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showInkAnnotation="0" backupFile="1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brookfieldenergia-my.sharepoint.com/personal/lucas_miliante_elera_com/Documents/Documentos/Python Scripts/book_trading_python/Recursos/"/>
    </mc:Choice>
  </mc:AlternateContent>
  <xr:revisionPtr revIDLastSave="20" documentId="13_ncr:1_{84094081-F811-4EA0-AC7F-830C2E46A511}" xr6:coauthVersionLast="47" xr6:coauthVersionMax="47" xr10:uidLastSave="{4B326524-F9B7-4476-BF52-0416B43EEB46}"/>
  <bookViews>
    <workbookView xWindow="4725" yWindow="16080" windowWidth="19800" windowHeight="11760" tabRatio="700" firstSheet="6" activeTab="9" xr2:uid="{00000000-000D-0000-FFFF-FFFF00000000}"/>
  </bookViews>
  <sheets>
    <sheet name="PAINEL DE CONTROLE" sheetId="26" r:id="rId1"/>
    <sheet name="RESULTADO" sheetId="17" r:id="rId2"/>
    <sheet name="DASHBOARD" sheetId="30" r:id="rId3"/>
    <sheet name="MtM" sheetId="1" r:id="rId4"/>
    <sheet name="MtM Releases" sheetId="21" r:id="rId5"/>
    <sheet name="HWM" sheetId="24" r:id="rId6"/>
    <sheet name="GPH-VOL" sheetId="19" r:id="rId7"/>
    <sheet name="GPH-VAR PAR" sheetId="22" r:id="rId8"/>
    <sheet name="GPH-SL" sheetId="23" r:id="rId9"/>
    <sheet name="pREFs" sheetId="15" r:id="rId10"/>
    <sheet name="pREFs_VaR" sheetId="16" r:id="rId11"/>
    <sheet name="DB" sheetId="11" r:id="rId12"/>
    <sheet name="RELEASES" sheetId="18" r:id="rId13"/>
    <sheet name="Email" sheetId="42" state="hidden" r:id="rId14"/>
    <sheet name="VaR-Covar Matrix_FPC BER" sheetId="36" r:id="rId15"/>
    <sheet name="CrossChecks" sheetId="37" state="hidden" r:id="rId16"/>
    <sheet name="Dates" sheetId="45" state="hidden" r:id="rId17"/>
    <sheet name="lookups" sheetId="12" state="hidden" r:id="rId18"/>
    <sheet name="BI" sheetId="46" state="hidden" r:id="rId19"/>
  </sheets>
  <functionGroups builtInGroupCount="19"/>
  <externalReferences>
    <externalReference r:id="rId20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localSheetId="16" hidden="1">0</definedName>
    <definedName name="_AtRisk_SimSetting_ReportOptionCustomItemsCount" hidden="1">6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localSheetId="16" hidden="1">0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localSheetId="16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18" hidden="1">BI!$M$1:$N$10</definedName>
    <definedName name="_xlnm._FilterDatabase" localSheetId="16" hidden="1">Dates!$A$1:$BC$10</definedName>
    <definedName name="_xlnm._FilterDatabase" localSheetId="11" hidden="1">DB!$A$4:$GU$4</definedName>
    <definedName name="_xlnm._FilterDatabase" localSheetId="3" hidden="1">MtM!$B$2:$AB$2</definedName>
    <definedName name="_xlnm._FilterDatabase" localSheetId="4" hidden="1">'MtM Releases'!$B$2:$T$2</definedName>
    <definedName name="_xlnm._FilterDatabase" localSheetId="12" hidden="1">RELEASES!$A$5:$ED$5</definedName>
    <definedName name="MESES" localSheetId="18">'[1]PAINEL DE CONTROLE'!$T$1:$T$61</definedName>
    <definedName name="MESES">'PAINEL DE CONTROLE'!$T$1:$T$61</definedName>
    <definedName name="Pal_Workbook_GUID" localSheetId="16" hidden="1">"4NFESJQXK1VY54LG5N1WX8BT"</definedName>
    <definedName name="Pal_Workbook_GUID" hidden="1">"GLPGI8UQN6QA81DYSHUUK2GX"</definedName>
    <definedName name="_xlnm.Print_Area" localSheetId="2">DASHBOARD!#REF!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localSheetId="16" hidden="1">1000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localSheetId="16" hidden="1">2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54" i="24" l="1"/>
  <c r="M254" i="24"/>
  <c r="N254" i="24" s="1"/>
  <c r="O254" i="24" s="1"/>
  <c r="L254" i="24"/>
  <c r="S4" i="21"/>
  <c r="S12" i="21"/>
  <c r="S16" i="21"/>
  <c r="S28" i="21"/>
  <c r="S40" i="21"/>
  <c r="S44" i="21"/>
  <c r="S48" i="21"/>
  <c r="S56" i="21"/>
  <c r="S64" i="21"/>
  <c r="S72" i="21"/>
  <c r="S76" i="21"/>
  <c r="S80" i="21"/>
  <c r="S92" i="21"/>
  <c r="S104" i="21"/>
  <c r="S108" i="21"/>
  <c r="S112" i="21"/>
  <c r="S120" i="21"/>
  <c r="S128" i="21"/>
  <c r="S136" i="21"/>
  <c r="S140" i="21"/>
  <c r="S144" i="21"/>
  <c r="S156" i="21"/>
  <c r="S168" i="21"/>
  <c r="S172" i="21"/>
  <c r="S176" i="21"/>
  <c r="S184" i="21"/>
  <c r="S192" i="21"/>
  <c r="S200" i="21"/>
  <c r="S204" i="21"/>
  <c r="S208" i="21"/>
  <c r="S220" i="21"/>
  <c r="S232" i="21"/>
  <c r="S240" i="21"/>
  <c r="S248" i="21"/>
  <c r="S256" i="21"/>
  <c r="S264" i="21"/>
  <c r="S272" i="21"/>
  <c r="S284" i="21"/>
  <c r="S296" i="21"/>
  <c r="S304" i="21"/>
  <c r="S312" i="21"/>
  <c r="S320" i="21"/>
  <c r="S328" i="21"/>
  <c r="S336" i="21"/>
  <c r="S348" i="21"/>
  <c r="S360" i="21"/>
  <c r="S368" i="21"/>
  <c r="S376" i="21"/>
  <c r="S384" i="21"/>
  <c r="S412" i="21"/>
  <c r="S440" i="21"/>
  <c r="S448" i="21"/>
  <c r="S504" i="21"/>
  <c r="S512" i="21"/>
  <c r="S568" i="21"/>
  <c r="S576" i="21"/>
  <c r="S632" i="21"/>
  <c r="S640" i="21"/>
  <c r="R3" i="21"/>
  <c r="S3" i="21" s="1"/>
  <c r="R4" i="21"/>
  <c r="R5" i="21"/>
  <c r="S5" i="21" s="1"/>
  <c r="R6" i="21"/>
  <c r="S6" i="21" s="1"/>
  <c r="R7" i="21"/>
  <c r="S7" i="21" s="1"/>
  <c r="R8" i="21"/>
  <c r="S8" i="21" s="1"/>
  <c r="R9" i="21"/>
  <c r="S9" i="21" s="1"/>
  <c r="R10" i="21"/>
  <c r="S10" i="21" s="1"/>
  <c r="R11" i="21"/>
  <c r="S11" i="21" s="1"/>
  <c r="R12" i="21"/>
  <c r="R13" i="21"/>
  <c r="S13" i="21" s="1"/>
  <c r="R14" i="21"/>
  <c r="S14" i="21" s="1"/>
  <c r="R15" i="21"/>
  <c r="S15" i="21" s="1"/>
  <c r="R16" i="21"/>
  <c r="R17" i="21"/>
  <c r="S17" i="21" s="1"/>
  <c r="R18" i="21"/>
  <c r="S18" i="21" s="1"/>
  <c r="R19" i="21"/>
  <c r="S19" i="21" s="1"/>
  <c r="R20" i="21"/>
  <c r="S20" i="21" s="1"/>
  <c r="R21" i="21"/>
  <c r="S21" i="21" s="1"/>
  <c r="R22" i="21"/>
  <c r="S22" i="21" s="1"/>
  <c r="R23" i="21"/>
  <c r="S23" i="21" s="1"/>
  <c r="R24" i="21"/>
  <c r="S24" i="21" s="1"/>
  <c r="R25" i="21"/>
  <c r="S25" i="21" s="1"/>
  <c r="R26" i="21"/>
  <c r="S26" i="21" s="1"/>
  <c r="R27" i="21"/>
  <c r="S27" i="21" s="1"/>
  <c r="R28" i="21"/>
  <c r="R29" i="21"/>
  <c r="S29" i="21" s="1"/>
  <c r="R30" i="21"/>
  <c r="S30" i="21" s="1"/>
  <c r="R31" i="21"/>
  <c r="S31" i="21" s="1"/>
  <c r="R32" i="21"/>
  <c r="S32" i="21" s="1"/>
  <c r="R33" i="21"/>
  <c r="S33" i="21" s="1"/>
  <c r="R34" i="21"/>
  <c r="S34" i="21" s="1"/>
  <c r="R35" i="21"/>
  <c r="S35" i="21" s="1"/>
  <c r="R36" i="21"/>
  <c r="S36" i="21" s="1"/>
  <c r="R37" i="21"/>
  <c r="S37" i="21" s="1"/>
  <c r="R38" i="21"/>
  <c r="S38" i="21" s="1"/>
  <c r="R39" i="21"/>
  <c r="S39" i="21" s="1"/>
  <c r="R40" i="21"/>
  <c r="R41" i="21"/>
  <c r="S41" i="21" s="1"/>
  <c r="R42" i="21"/>
  <c r="S42" i="21" s="1"/>
  <c r="R43" i="21"/>
  <c r="S43" i="21" s="1"/>
  <c r="R44" i="21"/>
  <c r="R45" i="21"/>
  <c r="S45" i="21" s="1"/>
  <c r="R46" i="21"/>
  <c r="S46" i="21" s="1"/>
  <c r="R47" i="21"/>
  <c r="S47" i="21" s="1"/>
  <c r="R48" i="21"/>
  <c r="R49" i="21"/>
  <c r="S49" i="21" s="1"/>
  <c r="R50" i="21"/>
  <c r="S50" i="21" s="1"/>
  <c r="R51" i="21"/>
  <c r="S51" i="21" s="1"/>
  <c r="R52" i="21"/>
  <c r="S52" i="21" s="1"/>
  <c r="R53" i="21"/>
  <c r="S53" i="21" s="1"/>
  <c r="R54" i="21"/>
  <c r="S54" i="21" s="1"/>
  <c r="R55" i="21"/>
  <c r="S55" i="21" s="1"/>
  <c r="R56" i="21"/>
  <c r="R57" i="21"/>
  <c r="S57" i="21" s="1"/>
  <c r="R58" i="21"/>
  <c r="S58" i="21" s="1"/>
  <c r="R59" i="21"/>
  <c r="S59" i="21" s="1"/>
  <c r="R60" i="21"/>
  <c r="S60" i="21" s="1"/>
  <c r="R61" i="21"/>
  <c r="S61" i="21" s="1"/>
  <c r="R62" i="21"/>
  <c r="S62" i="21" s="1"/>
  <c r="R63" i="21"/>
  <c r="S63" i="21" s="1"/>
  <c r="R64" i="21"/>
  <c r="R65" i="21"/>
  <c r="S65" i="21" s="1"/>
  <c r="R66" i="21"/>
  <c r="S66" i="21" s="1"/>
  <c r="R67" i="21"/>
  <c r="S67" i="21" s="1"/>
  <c r="R68" i="21"/>
  <c r="S68" i="21" s="1"/>
  <c r="R69" i="21"/>
  <c r="S69" i="21" s="1"/>
  <c r="R70" i="21"/>
  <c r="S70" i="21" s="1"/>
  <c r="R71" i="21"/>
  <c r="S71" i="21" s="1"/>
  <c r="R72" i="21"/>
  <c r="R73" i="21"/>
  <c r="S73" i="21" s="1"/>
  <c r="R74" i="21"/>
  <c r="S74" i="21" s="1"/>
  <c r="R75" i="21"/>
  <c r="S75" i="21" s="1"/>
  <c r="R76" i="21"/>
  <c r="R77" i="21"/>
  <c r="S77" i="21" s="1"/>
  <c r="R78" i="21"/>
  <c r="S78" i="21" s="1"/>
  <c r="R79" i="21"/>
  <c r="S79" i="21" s="1"/>
  <c r="R80" i="21"/>
  <c r="R81" i="21"/>
  <c r="S81" i="21" s="1"/>
  <c r="R82" i="21"/>
  <c r="S82" i="21" s="1"/>
  <c r="R83" i="21"/>
  <c r="S83" i="21" s="1"/>
  <c r="R84" i="21"/>
  <c r="S84" i="21" s="1"/>
  <c r="R85" i="21"/>
  <c r="S85" i="21" s="1"/>
  <c r="R86" i="21"/>
  <c r="S86" i="21" s="1"/>
  <c r="R87" i="21"/>
  <c r="S87" i="21" s="1"/>
  <c r="R88" i="21"/>
  <c r="S88" i="21" s="1"/>
  <c r="R89" i="21"/>
  <c r="S89" i="21" s="1"/>
  <c r="R90" i="21"/>
  <c r="S90" i="21" s="1"/>
  <c r="R91" i="21"/>
  <c r="S91" i="21" s="1"/>
  <c r="R92" i="21"/>
  <c r="R93" i="21"/>
  <c r="S93" i="21" s="1"/>
  <c r="R94" i="21"/>
  <c r="S94" i="21" s="1"/>
  <c r="R95" i="21"/>
  <c r="S95" i="21" s="1"/>
  <c r="R96" i="21"/>
  <c r="S96" i="21" s="1"/>
  <c r="R97" i="21"/>
  <c r="S97" i="21" s="1"/>
  <c r="R98" i="21"/>
  <c r="S98" i="21" s="1"/>
  <c r="R99" i="21"/>
  <c r="S99" i="21" s="1"/>
  <c r="R100" i="21"/>
  <c r="S100" i="21" s="1"/>
  <c r="R101" i="21"/>
  <c r="S101" i="21" s="1"/>
  <c r="R102" i="21"/>
  <c r="S102" i="21" s="1"/>
  <c r="R103" i="21"/>
  <c r="S103" i="21" s="1"/>
  <c r="R104" i="21"/>
  <c r="R105" i="21"/>
  <c r="S105" i="21" s="1"/>
  <c r="R106" i="21"/>
  <c r="S106" i="21" s="1"/>
  <c r="R107" i="21"/>
  <c r="S107" i="21" s="1"/>
  <c r="R108" i="21"/>
  <c r="R109" i="21"/>
  <c r="S109" i="21" s="1"/>
  <c r="R110" i="21"/>
  <c r="S110" i="21" s="1"/>
  <c r="R111" i="21"/>
  <c r="S111" i="21" s="1"/>
  <c r="R112" i="21"/>
  <c r="R113" i="21"/>
  <c r="S113" i="21" s="1"/>
  <c r="R114" i="21"/>
  <c r="S114" i="21" s="1"/>
  <c r="R115" i="21"/>
  <c r="S115" i="21" s="1"/>
  <c r="R116" i="21"/>
  <c r="S116" i="21" s="1"/>
  <c r="R117" i="21"/>
  <c r="S117" i="21" s="1"/>
  <c r="R118" i="21"/>
  <c r="S118" i="21" s="1"/>
  <c r="R119" i="21"/>
  <c r="S119" i="21" s="1"/>
  <c r="R120" i="21"/>
  <c r="R121" i="21"/>
  <c r="S121" i="21" s="1"/>
  <c r="R122" i="21"/>
  <c r="S122" i="21" s="1"/>
  <c r="R123" i="21"/>
  <c r="S123" i="21" s="1"/>
  <c r="R124" i="21"/>
  <c r="S124" i="21" s="1"/>
  <c r="R125" i="21"/>
  <c r="S125" i="21" s="1"/>
  <c r="R126" i="21"/>
  <c r="S126" i="21" s="1"/>
  <c r="R127" i="21"/>
  <c r="S127" i="21" s="1"/>
  <c r="R128" i="21"/>
  <c r="R129" i="21"/>
  <c r="S129" i="21" s="1"/>
  <c r="R130" i="21"/>
  <c r="S130" i="21" s="1"/>
  <c r="R131" i="21"/>
  <c r="S131" i="21" s="1"/>
  <c r="R132" i="21"/>
  <c r="S132" i="21" s="1"/>
  <c r="R133" i="21"/>
  <c r="S133" i="21" s="1"/>
  <c r="R134" i="21"/>
  <c r="S134" i="21" s="1"/>
  <c r="R135" i="21"/>
  <c r="S135" i="21" s="1"/>
  <c r="R136" i="21"/>
  <c r="R137" i="21"/>
  <c r="S137" i="21" s="1"/>
  <c r="R138" i="21"/>
  <c r="S138" i="21" s="1"/>
  <c r="R139" i="21"/>
  <c r="S139" i="21" s="1"/>
  <c r="R140" i="21"/>
  <c r="R141" i="21"/>
  <c r="S141" i="21" s="1"/>
  <c r="R142" i="21"/>
  <c r="S142" i="21" s="1"/>
  <c r="R143" i="21"/>
  <c r="S143" i="21" s="1"/>
  <c r="R144" i="21"/>
  <c r="R145" i="21"/>
  <c r="S145" i="21" s="1"/>
  <c r="R146" i="21"/>
  <c r="S146" i="21" s="1"/>
  <c r="R147" i="21"/>
  <c r="S147" i="21" s="1"/>
  <c r="R148" i="21"/>
  <c r="S148" i="21" s="1"/>
  <c r="R149" i="21"/>
  <c r="S149" i="21" s="1"/>
  <c r="R150" i="21"/>
  <c r="S150" i="21" s="1"/>
  <c r="R151" i="21"/>
  <c r="S151" i="21" s="1"/>
  <c r="R152" i="21"/>
  <c r="S152" i="21" s="1"/>
  <c r="R153" i="21"/>
  <c r="S153" i="21" s="1"/>
  <c r="R154" i="21"/>
  <c r="S154" i="21" s="1"/>
  <c r="R155" i="21"/>
  <c r="S155" i="21" s="1"/>
  <c r="R156" i="21"/>
  <c r="R157" i="21"/>
  <c r="S157" i="21" s="1"/>
  <c r="R158" i="21"/>
  <c r="S158" i="21" s="1"/>
  <c r="R159" i="21"/>
  <c r="S159" i="21" s="1"/>
  <c r="R160" i="21"/>
  <c r="S160" i="21" s="1"/>
  <c r="R161" i="21"/>
  <c r="S161" i="21" s="1"/>
  <c r="R162" i="21"/>
  <c r="S162" i="21" s="1"/>
  <c r="R163" i="21"/>
  <c r="S163" i="21" s="1"/>
  <c r="R164" i="21"/>
  <c r="S164" i="21" s="1"/>
  <c r="R165" i="21"/>
  <c r="S165" i="21" s="1"/>
  <c r="R166" i="21"/>
  <c r="S166" i="21" s="1"/>
  <c r="R167" i="21"/>
  <c r="S167" i="21" s="1"/>
  <c r="R168" i="21"/>
  <c r="R169" i="21"/>
  <c r="S169" i="21" s="1"/>
  <c r="R170" i="21"/>
  <c r="S170" i="21" s="1"/>
  <c r="R171" i="21"/>
  <c r="S171" i="21" s="1"/>
  <c r="R172" i="21"/>
  <c r="R173" i="21"/>
  <c r="S173" i="21" s="1"/>
  <c r="R174" i="21"/>
  <c r="S174" i="21" s="1"/>
  <c r="R175" i="21"/>
  <c r="S175" i="21" s="1"/>
  <c r="R176" i="21"/>
  <c r="R177" i="21"/>
  <c r="S177" i="21" s="1"/>
  <c r="R178" i="21"/>
  <c r="S178" i="21" s="1"/>
  <c r="R179" i="21"/>
  <c r="S179" i="21" s="1"/>
  <c r="R180" i="21"/>
  <c r="S180" i="21" s="1"/>
  <c r="R181" i="21"/>
  <c r="S181" i="21" s="1"/>
  <c r="R182" i="21"/>
  <c r="S182" i="21" s="1"/>
  <c r="R183" i="21"/>
  <c r="S183" i="21" s="1"/>
  <c r="R184" i="21"/>
  <c r="R185" i="21"/>
  <c r="S185" i="21" s="1"/>
  <c r="R186" i="21"/>
  <c r="S186" i="21" s="1"/>
  <c r="R187" i="21"/>
  <c r="S187" i="21" s="1"/>
  <c r="R188" i="21"/>
  <c r="S188" i="21" s="1"/>
  <c r="R189" i="21"/>
  <c r="S189" i="21" s="1"/>
  <c r="R190" i="21"/>
  <c r="S190" i="21" s="1"/>
  <c r="R191" i="21"/>
  <c r="S191" i="21" s="1"/>
  <c r="R192" i="21"/>
  <c r="R193" i="21"/>
  <c r="S193" i="21" s="1"/>
  <c r="R194" i="21"/>
  <c r="S194" i="21" s="1"/>
  <c r="R195" i="21"/>
  <c r="S195" i="21" s="1"/>
  <c r="R196" i="21"/>
  <c r="S196" i="21" s="1"/>
  <c r="R197" i="21"/>
  <c r="S197" i="21" s="1"/>
  <c r="R198" i="21"/>
  <c r="S198" i="21" s="1"/>
  <c r="R199" i="21"/>
  <c r="S199" i="21" s="1"/>
  <c r="R200" i="21"/>
  <c r="R201" i="21"/>
  <c r="S201" i="21" s="1"/>
  <c r="R202" i="21"/>
  <c r="S202" i="21" s="1"/>
  <c r="R203" i="21"/>
  <c r="S203" i="21" s="1"/>
  <c r="R204" i="21"/>
  <c r="R205" i="21"/>
  <c r="S205" i="21" s="1"/>
  <c r="R206" i="21"/>
  <c r="S206" i="21" s="1"/>
  <c r="R207" i="21"/>
  <c r="S207" i="21" s="1"/>
  <c r="R208" i="21"/>
  <c r="R209" i="21"/>
  <c r="S209" i="21" s="1"/>
  <c r="R210" i="21"/>
  <c r="S210" i="21" s="1"/>
  <c r="R211" i="21"/>
  <c r="S211" i="21" s="1"/>
  <c r="R212" i="21"/>
  <c r="S212" i="21" s="1"/>
  <c r="R213" i="21"/>
  <c r="S213" i="21" s="1"/>
  <c r="R214" i="21"/>
  <c r="S214" i="21" s="1"/>
  <c r="R215" i="21"/>
  <c r="S215" i="21" s="1"/>
  <c r="R216" i="21"/>
  <c r="S216" i="21" s="1"/>
  <c r="R217" i="21"/>
  <c r="S217" i="21" s="1"/>
  <c r="R218" i="21"/>
  <c r="S218" i="21" s="1"/>
  <c r="R219" i="21"/>
  <c r="S219" i="21" s="1"/>
  <c r="R220" i="21"/>
  <c r="R221" i="21"/>
  <c r="S221" i="21" s="1"/>
  <c r="R222" i="21"/>
  <c r="S222" i="21" s="1"/>
  <c r="R223" i="21"/>
  <c r="S223" i="21" s="1"/>
  <c r="R224" i="21"/>
  <c r="S224" i="21" s="1"/>
  <c r="R225" i="21"/>
  <c r="S225" i="21" s="1"/>
  <c r="R226" i="21"/>
  <c r="S226" i="21" s="1"/>
  <c r="R227" i="21"/>
  <c r="S227" i="21" s="1"/>
  <c r="R228" i="21"/>
  <c r="S228" i="21" s="1"/>
  <c r="R229" i="21"/>
  <c r="S229" i="21" s="1"/>
  <c r="R230" i="21"/>
  <c r="S230" i="21" s="1"/>
  <c r="R231" i="21"/>
  <c r="S231" i="21" s="1"/>
  <c r="R232" i="21"/>
  <c r="R233" i="21"/>
  <c r="S233" i="21" s="1"/>
  <c r="R234" i="21"/>
  <c r="S234" i="21" s="1"/>
  <c r="R235" i="21"/>
  <c r="S235" i="21" s="1"/>
  <c r="R236" i="21"/>
  <c r="S236" i="21" s="1"/>
  <c r="R237" i="21"/>
  <c r="S237" i="21" s="1"/>
  <c r="R238" i="21"/>
  <c r="S238" i="21" s="1"/>
  <c r="R239" i="21"/>
  <c r="S239" i="21" s="1"/>
  <c r="R240" i="21"/>
  <c r="R241" i="21"/>
  <c r="S241" i="21" s="1"/>
  <c r="R242" i="21"/>
  <c r="S242" i="21" s="1"/>
  <c r="R243" i="21"/>
  <c r="S243" i="21" s="1"/>
  <c r="R244" i="21"/>
  <c r="S244" i="21" s="1"/>
  <c r="R245" i="21"/>
  <c r="S245" i="21" s="1"/>
  <c r="R246" i="21"/>
  <c r="S246" i="21" s="1"/>
  <c r="R247" i="21"/>
  <c r="S247" i="21" s="1"/>
  <c r="R248" i="21"/>
  <c r="R249" i="21"/>
  <c r="S249" i="21" s="1"/>
  <c r="R250" i="21"/>
  <c r="S250" i="21" s="1"/>
  <c r="R251" i="21"/>
  <c r="S251" i="21" s="1"/>
  <c r="R252" i="21"/>
  <c r="S252" i="21" s="1"/>
  <c r="R253" i="21"/>
  <c r="S253" i="21" s="1"/>
  <c r="R254" i="21"/>
  <c r="S254" i="21" s="1"/>
  <c r="R255" i="21"/>
  <c r="S255" i="21" s="1"/>
  <c r="R256" i="21"/>
  <c r="R257" i="21"/>
  <c r="S257" i="21" s="1"/>
  <c r="R258" i="21"/>
  <c r="S258" i="21" s="1"/>
  <c r="R259" i="21"/>
  <c r="S259" i="21" s="1"/>
  <c r="R260" i="21"/>
  <c r="S260" i="21" s="1"/>
  <c r="R261" i="21"/>
  <c r="S261" i="21" s="1"/>
  <c r="R262" i="21"/>
  <c r="S262" i="21" s="1"/>
  <c r="R263" i="21"/>
  <c r="S263" i="21" s="1"/>
  <c r="R264" i="21"/>
  <c r="R265" i="21"/>
  <c r="S265" i="21" s="1"/>
  <c r="R266" i="21"/>
  <c r="S266" i="21" s="1"/>
  <c r="R267" i="21"/>
  <c r="S267" i="21" s="1"/>
  <c r="R268" i="21"/>
  <c r="S268" i="21" s="1"/>
  <c r="R269" i="21"/>
  <c r="S269" i="21" s="1"/>
  <c r="R270" i="21"/>
  <c r="S270" i="21" s="1"/>
  <c r="R271" i="21"/>
  <c r="S271" i="21" s="1"/>
  <c r="R272" i="21"/>
  <c r="R273" i="21"/>
  <c r="S273" i="21" s="1"/>
  <c r="R274" i="21"/>
  <c r="S274" i="21" s="1"/>
  <c r="R275" i="21"/>
  <c r="S275" i="21" s="1"/>
  <c r="R276" i="21"/>
  <c r="S276" i="21" s="1"/>
  <c r="R277" i="21"/>
  <c r="S277" i="21" s="1"/>
  <c r="R278" i="21"/>
  <c r="S278" i="21" s="1"/>
  <c r="R279" i="21"/>
  <c r="S279" i="21" s="1"/>
  <c r="R280" i="21"/>
  <c r="S280" i="21" s="1"/>
  <c r="R281" i="21"/>
  <c r="S281" i="21" s="1"/>
  <c r="R282" i="21"/>
  <c r="S282" i="21" s="1"/>
  <c r="R283" i="21"/>
  <c r="S283" i="21" s="1"/>
  <c r="R284" i="21"/>
  <c r="R285" i="21"/>
  <c r="S285" i="21" s="1"/>
  <c r="R286" i="21"/>
  <c r="S286" i="21" s="1"/>
  <c r="R287" i="21"/>
  <c r="S287" i="21" s="1"/>
  <c r="R288" i="21"/>
  <c r="S288" i="21" s="1"/>
  <c r="R289" i="21"/>
  <c r="S289" i="21" s="1"/>
  <c r="R290" i="21"/>
  <c r="S290" i="21" s="1"/>
  <c r="R291" i="21"/>
  <c r="S291" i="21" s="1"/>
  <c r="R292" i="21"/>
  <c r="S292" i="21" s="1"/>
  <c r="R293" i="21"/>
  <c r="S293" i="21" s="1"/>
  <c r="R294" i="21"/>
  <c r="S294" i="21" s="1"/>
  <c r="R295" i="21"/>
  <c r="S295" i="21" s="1"/>
  <c r="R296" i="21"/>
  <c r="R297" i="21"/>
  <c r="S297" i="21" s="1"/>
  <c r="R298" i="21"/>
  <c r="S298" i="21" s="1"/>
  <c r="R299" i="21"/>
  <c r="S299" i="21" s="1"/>
  <c r="R300" i="21"/>
  <c r="S300" i="21" s="1"/>
  <c r="R301" i="21"/>
  <c r="S301" i="21" s="1"/>
  <c r="R302" i="21"/>
  <c r="S302" i="21" s="1"/>
  <c r="R303" i="21"/>
  <c r="S303" i="21" s="1"/>
  <c r="R304" i="21"/>
  <c r="R305" i="21"/>
  <c r="S305" i="21" s="1"/>
  <c r="R306" i="21"/>
  <c r="S306" i="21" s="1"/>
  <c r="R307" i="21"/>
  <c r="S307" i="21" s="1"/>
  <c r="R308" i="21"/>
  <c r="S308" i="21" s="1"/>
  <c r="R309" i="21"/>
  <c r="S309" i="21" s="1"/>
  <c r="R310" i="21"/>
  <c r="S310" i="21" s="1"/>
  <c r="R311" i="21"/>
  <c r="S311" i="21" s="1"/>
  <c r="R312" i="21"/>
  <c r="R313" i="21"/>
  <c r="S313" i="21" s="1"/>
  <c r="R314" i="21"/>
  <c r="S314" i="21" s="1"/>
  <c r="R315" i="21"/>
  <c r="S315" i="21" s="1"/>
  <c r="R316" i="21"/>
  <c r="S316" i="21" s="1"/>
  <c r="R317" i="21"/>
  <c r="S317" i="21" s="1"/>
  <c r="R318" i="21"/>
  <c r="S318" i="21" s="1"/>
  <c r="R319" i="21"/>
  <c r="S319" i="21" s="1"/>
  <c r="R320" i="21"/>
  <c r="R321" i="21"/>
  <c r="S321" i="21" s="1"/>
  <c r="R322" i="21"/>
  <c r="S322" i="21" s="1"/>
  <c r="R323" i="21"/>
  <c r="S323" i="21" s="1"/>
  <c r="R324" i="21"/>
  <c r="S324" i="21" s="1"/>
  <c r="R325" i="21"/>
  <c r="S325" i="21" s="1"/>
  <c r="R326" i="21"/>
  <c r="S326" i="21" s="1"/>
  <c r="R327" i="21"/>
  <c r="S327" i="21" s="1"/>
  <c r="R328" i="21"/>
  <c r="R329" i="21"/>
  <c r="S329" i="21" s="1"/>
  <c r="R330" i="21"/>
  <c r="S330" i="21" s="1"/>
  <c r="R331" i="21"/>
  <c r="S331" i="21" s="1"/>
  <c r="R332" i="21"/>
  <c r="S332" i="21" s="1"/>
  <c r="R333" i="21"/>
  <c r="S333" i="21" s="1"/>
  <c r="R334" i="21"/>
  <c r="S334" i="21" s="1"/>
  <c r="R335" i="21"/>
  <c r="S335" i="21" s="1"/>
  <c r="R336" i="21"/>
  <c r="R337" i="21"/>
  <c r="S337" i="21" s="1"/>
  <c r="R338" i="21"/>
  <c r="S338" i="21" s="1"/>
  <c r="R339" i="21"/>
  <c r="S339" i="21" s="1"/>
  <c r="R340" i="21"/>
  <c r="S340" i="21" s="1"/>
  <c r="R341" i="21"/>
  <c r="S341" i="21" s="1"/>
  <c r="R342" i="21"/>
  <c r="S342" i="21" s="1"/>
  <c r="R343" i="21"/>
  <c r="S343" i="21" s="1"/>
  <c r="R344" i="21"/>
  <c r="S344" i="21" s="1"/>
  <c r="R345" i="21"/>
  <c r="S345" i="21" s="1"/>
  <c r="R346" i="21"/>
  <c r="S346" i="21" s="1"/>
  <c r="R347" i="21"/>
  <c r="S347" i="21" s="1"/>
  <c r="R348" i="21"/>
  <c r="R349" i="21"/>
  <c r="S349" i="21" s="1"/>
  <c r="R350" i="21"/>
  <c r="S350" i="21" s="1"/>
  <c r="R351" i="21"/>
  <c r="S351" i="21" s="1"/>
  <c r="R352" i="21"/>
  <c r="S352" i="21" s="1"/>
  <c r="R353" i="21"/>
  <c r="S353" i="21" s="1"/>
  <c r="R354" i="21"/>
  <c r="S354" i="21" s="1"/>
  <c r="R355" i="21"/>
  <c r="S355" i="21" s="1"/>
  <c r="R356" i="21"/>
  <c r="S356" i="21" s="1"/>
  <c r="R357" i="21"/>
  <c r="S357" i="21" s="1"/>
  <c r="R358" i="21"/>
  <c r="S358" i="21" s="1"/>
  <c r="R359" i="21"/>
  <c r="S359" i="21" s="1"/>
  <c r="R360" i="21"/>
  <c r="R361" i="21"/>
  <c r="S361" i="21" s="1"/>
  <c r="R362" i="21"/>
  <c r="S362" i="21" s="1"/>
  <c r="R363" i="21"/>
  <c r="S363" i="21" s="1"/>
  <c r="R364" i="21"/>
  <c r="S364" i="21" s="1"/>
  <c r="R365" i="21"/>
  <c r="S365" i="21" s="1"/>
  <c r="R366" i="21"/>
  <c r="S366" i="21" s="1"/>
  <c r="R367" i="21"/>
  <c r="S367" i="21" s="1"/>
  <c r="R368" i="21"/>
  <c r="R369" i="21"/>
  <c r="S369" i="21" s="1"/>
  <c r="R370" i="21"/>
  <c r="S370" i="21" s="1"/>
  <c r="R371" i="21"/>
  <c r="S371" i="21" s="1"/>
  <c r="R372" i="21"/>
  <c r="S372" i="21" s="1"/>
  <c r="R373" i="21"/>
  <c r="S373" i="21" s="1"/>
  <c r="R374" i="21"/>
  <c r="S374" i="21" s="1"/>
  <c r="R375" i="21"/>
  <c r="S375" i="21" s="1"/>
  <c r="R376" i="21"/>
  <c r="R377" i="21"/>
  <c r="S377" i="21" s="1"/>
  <c r="R378" i="21"/>
  <c r="S378" i="21" s="1"/>
  <c r="R379" i="21"/>
  <c r="S379" i="21" s="1"/>
  <c r="R380" i="21"/>
  <c r="S380" i="21" s="1"/>
  <c r="R381" i="21"/>
  <c r="S381" i="21" s="1"/>
  <c r="R382" i="21"/>
  <c r="S382" i="21" s="1"/>
  <c r="R383" i="21"/>
  <c r="S383" i="21" s="1"/>
  <c r="R384" i="21"/>
  <c r="R385" i="21"/>
  <c r="S385" i="21" s="1"/>
  <c r="R386" i="21"/>
  <c r="S386" i="21" s="1"/>
  <c r="R387" i="21"/>
  <c r="S387" i="21" s="1"/>
  <c r="R388" i="21"/>
  <c r="S388" i="21" s="1"/>
  <c r="R389" i="21"/>
  <c r="S389" i="21" s="1"/>
  <c r="R390" i="21"/>
  <c r="S390" i="21" s="1"/>
  <c r="R391" i="21"/>
  <c r="S391" i="21" s="1"/>
  <c r="R392" i="21"/>
  <c r="S392" i="21" s="1"/>
  <c r="R393" i="21"/>
  <c r="S393" i="21" s="1"/>
  <c r="R394" i="21"/>
  <c r="S394" i="21" s="1"/>
  <c r="R395" i="21"/>
  <c r="S395" i="21" s="1"/>
  <c r="R396" i="21"/>
  <c r="S396" i="21" s="1"/>
  <c r="R397" i="21"/>
  <c r="S397" i="21" s="1"/>
  <c r="R398" i="21"/>
  <c r="S398" i="21" s="1"/>
  <c r="R399" i="21"/>
  <c r="S399" i="21" s="1"/>
  <c r="R400" i="21"/>
  <c r="S400" i="21" s="1"/>
  <c r="R401" i="21"/>
  <c r="S401" i="21" s="1"/>
  <c r="R402" i="21"/>
  <c r="S402" i="21" s="1"/>
  <c r="R403" i="21"/>
  <c r="S403" i="21" s="1"/>
  <c r="R404" i="21"/>
  <c r="S404" i="21" s="1"/>
  <c r="R405" i="21"/>
  <c r="S405" i="21" s="1"/>
  <c r="R406" i="21"/>
  <c r="S406" i="21" s="1"/>
  <c r="R407" i="21"/>
  <c r="S407" i="21" s="1"/>
  <c r="R408" i="21"/>
  <c r="S408" i="21" s="1"/>
  <c r="R409" i="21"/>
  <c r="S409" i="21" s="1"/>
  <c r="R410" i="21"/>
  <c r="S410" i="21" s="1"/>
  <c r="R411" i="21"/>
  <c r="S411" i="21" s="1"/>
  <c r="R412" i="21"/>
  <c r="R413" i="21"/>
  <c r="S413" i="21" s="1"/>
  <c r="R414" i="21"/>
  <c r="S414" i="21" s="1"/>
  <c r="R415" i="21"/>
  <c r="S415" i="21" s="1"/>
  <c r="R416" i="21"/>
  <c r="S416" i="21" s="1"/>
  <c r="R417" i="21"/>
  <c r="S417" i="21" s="1"/>
  <c r="R418" i="21"/>
  <c r="S418" i="21" s="1"/>
  <c r="R419" i="21"/>
  <c r="S419" i="21" s="1"/>
  <c r="R420" i="21"/>
  <c r="S420" i="21" s="1"/>
  <c r="R421" i="21"/>
  <c r="S421" i="21" s="1"/>
  <c r="R422" i="21"/>
  <c r="S422" i="21" s="1"/>
  <c r="R423" i="21"/>
  <c r="S423" i="21" s="1"/>
  <c r="R424" i="21"/>
  <c r="S424" i="21" s="1"/>
  <c r="R425" i="21"/>
  <c r="S425" i="21" s="1"/>
  <c r="R426" i="21"/>
  <c r="S426" i="21" s="1"/>
  <c r="R427" i="21"/>
  <c r="S427" i="21" s="1"/>
  <c r="R428" i="21"/>
  <c r="S428" i="21" s="1"/>
  <c r="R429" i="21"/>
  <c r="S429" i="21" s="1"/>
  <c r="R430" i="21"/>
  <c r="S430" i="21" s="1"/>
  <c r="R431" i="21"/>
  <c r="S431" i="21" s="1"/>
  <c r="R432" i="21"/>
  <c r="S432" i="21" s="1"/>
  <c r="R433" i="21"/>
  <c r="S433" i="21" s="1"/>
  <c r="R434" i="21"/>
  <c r="S434" i="21" s="1"/>
  <c r="R435" i="21"/>
  <c r="S435" i="21" s="1"/>
  <c r="R436" i="21"/>
  <c r="S436" i="21" s="1"/>
  <c r="R437" i="21"/>
  <c r="S437" i="21" s="1"/>
  <c r="R438" i="21"/>
  <c r="S438" i="21" s="1"/>
  <c r="R439" i="21"/>
  <c r="S439" i="21" s="1"/>
  <c r="R440" i="21"/>
  <c r="R441" i="21"/>
  <c r="S441" i="21" s="1"/>
  <c r="R442" i="21"/>
  <c r="S442" i="21" s="1"/>
  <c r="R443" i="21"/>
  <c r="S443" i="21" s="1"/>
  <c r="R444" i="21"/>
  <c r="S444" i="21" s="1"/>
  <c r="R445" i="21"/>
  <c r="S445" i="21" s="1"/>
  <c r="R446" i="21"/>
  <c r="S446" i="21" s="1"/>
  <c r="R447" i="21"/>
  <c r="S447" i="21" s="1"/>
  <c r="R448" i="21"/>
  <c r="R449" i="21"/>
  <c r="S449" i="21" s="1"/>
  <c r="R450" i="21"/>
  <c r="S450" i="21" s="1"/>
  <c r="R451" i="21"/>
  <c r="S451" i="21" s="1"/>
  <c r="R452" i="21"/>
  <c r="S452" i="21" s="1"/>
  <c r="R453" i="21"/>
  <c r="S453" i="21" s="1"/>
  <c r="R454" i="21"/>
  <c r="S454" i="21" s="1"/>
  <c r="R455" i="21"/>
  <c r="S455" i="21" s="1"/>
  <c r="R456" i="21"/>
  <c r="S456" i="21" s="1"/>
  <c r="R457" i="21"/>
  <c r="S457" i="21" s="1"/>
  <c r="R458" i="21"/>
  <c r="S458" i="21" s="1"/>
  <c r="R459" i="21"/>
  <c r="S459" i="21" s="1"/>
  <c r="R460" i="21"/>
  <c r="S460" i="21" s="1"/>
  <c r="R461" i="21"/>
  <c r="S461" i="21" s="1"/>
  <c r="R462" i="21"/>
  <c r="S462" i="21" s="1"/>
  <c r="R463" i="21"/>
  <c r="S463" i="21" s="1"/>
  <c r="R464" i="21"/>
  <c r="S464" i="21" s="1"/>
  <c r="R465" i="21"/>
  <c r="S465" i="21" s="1"/>
  <c r="R466" i="21"/>
  <c r="S466" i="21" s="1"/>
  <c r="R467" i="21"/>
  <c r="S467" i="21" s="1"/>
  <c r="R468" i="21"/>
  <c r="S468" i="21" s="1"/>
  <c r="R469" i="21"/>
  <c r="S469" i="21" s="1"/>
  <c r="R470" i="21"/>
  <c r="S470" i="21" s="1"/>
  <c r="R471" i="21"/>
  <c r="S471" i="21" s="1"/>
  <c r="R472" i="21"/>
  <c r="S472" i="21" s="1"/>
  <c r="R473" i="21"/>
  <c r="S473" i="21" s="1"/>
  <c r="R474" i="21"/>
  <c r="S474" i="21" s="1"/>
  <c r="R475" i="21"/>
  <c r="S475" i="21" s="1"/>
  <c r="R476" i="21"/>
  <c r="S476" i="21" s="1"/>
  <c r="R477" i="21"/>
  <c r="S477" i="21" s="1"/>
  <c r="R478" i="21"/>
  <c r="S478" i="21" s="1"/>
  <c r="R479" i="21"/>
  <c r="S479" i="21" s="1"/>
  <c r="R480" i="21"/>
  <c r="S480" i="21" s="1"/>
  <c r="R481" i="21"/>
  <c r="S481" i="21" s="1"/>
  <c r="R482" i="21"/>
  <c r="S482" i="21" s="1"/>
  <c r="R483" i="21"/>
  <c r="S483" i="21" s="1"/>
  <c r="R484" i="21"/>
  <c r="S484" i="21" s="1"/>
  <c r="R485" i="21"/>
  <c r="S485" i="21" s="1"/>
  <c r="R486" i="21"/>
  <c r="S486" i="21" s="1"/>
  <c r="R487" i="21"/>
  <c r="S487" i="21" s="1"/>
  <c r="R488" i="21"/>
  <c r="S488" i="21" s="1"/>
  <c r="R489" i="21"/>
  <c r="S489" i="21" s="1"/>
  <c r="R490" i="21"/>
  <c r="S490" i="21" s="1"/>
  <c r="R491" i="21"/>
  <c r="S491" i="21" s="1"/>
  <c r="R492" i="21"/>
  <c r="S492" i="21" s="1"/>
  <c r="R493" i="21"/>
  <c r="S493" i="21" s="1"/>
  <c r="R494" i="21"/>
  <c r="S494" i="21" s="1"/>
  <c r="R495" i="21"/>
  <c r="S495" i="21" s="1"/>
  <c r="R496" i="21"/>
  <c r="S496" i="21" s="1"/>
  <c r="R497" i="21"/>
  <c r="S497" i="21" s="1"/>
  <c r="R498" i="21"/>
  <c r="S498" i="21" s="1"/>
  <c r="R499" i="21"/>
  <c r="S499" i="21" s="1"/>
  <c r="R500" i="21"/>
  <c r="S500" i="21" s="1"/>
  <c r="R501" i="21"/>
  <c r="S501" i="21" s="1"/>
  <c r="R502" i="21"/>
  <c r="S502" i="21" s="1"/>
  <c r="R503" i="21"/>
  <c r="S503" i="21" s="1"/>
  <c r="R504" i="21"/>
  <c r="R505" i="21"/>
  <c r="S505" i="21" s="1"/>
  <c r="R506" i="21"/>
  <c r="S506" i="21" s="1"/>
  <c r="R507" i="21"/>
  <c r="S507" i="21" s="1"/>
  <c r="R508" i="21"/>
  <c r="S508" i="21" s="1"/>
  <c r="R509" i="21"/>
  <c r="S509" i="21" s="1"/>
  <c r="R510" i="21"/>
  <c r="S510" i="21" s="1"/>
  <c r="R511" i="21"/>
  <c r="S511" i="21" s="1"/>
  <c r="R512" i="21"/>
  <c r="R513" i="21"/>
  <c r="S513" i="21" s="1"/>
  <c r="R514" i="21"/>
  <c r="S514" i="21" s="1"/>
  <c r="R515" i="21"/>
  <c r="S515" i="21" s="1"/>
  <c r="R516" i="21"/>
  <c r="S516" i="21" s="1"/>
  <c r="R517" i="21"/>
  <c r="S517" i="21" s="1"/>
  <c r="R518" i="21"/>
  <c r="S518" i="21" s="1"/>
  <c r="R519" i="21"/>
  <c r="S519" i="21" s="1"/>
  <c r="R520" i="21"/>
  <c r="S520" i="21" s="1"/>
  <c r="R521" i="21"/>
  <c r="S521" i="21" s="1"/>
  <c r="R522" i="21"/>
  <c r="S522" i="21" s="1"/>
  <c r="R523" i="21"/>
  <c r="S523" i="21" s="1"/>
  <c r="R524" i="21"/>
  <c r="S524" i="21" s="1"/>
  <c r="R525" i="21"/>
  <c r="S525" i="21" s="1"/>
  <c r="R526" i="21"/>
  <c r="S526" i="21" s="1"/>
  <c r="R527" i="21"/>
  <c r="S527" i="21" s="1"/>
  <c r="R528" i="21"/>
  <c r="S528" i="21" s="1"/>
  <c r="R529" i="21"/>
  <c r="S529" i="21" s="1"/>
  <c r="R530" i="21"/>
  <c r="S530" i="21" s="1"/>
  <c r="R531" i="21"/>
  <c r="S531" i="21" s="1"/>
  <c r="R532" i="21"/>
  <c r="S532" i="21" s="1"/>
  <c r="R533" i="21"/>
  <c r="S533" i="21" s="1"/>
  <c r="R534" i="21"/>
  <c r="S534" i="21" s="1"/>
  <c r="R535" i="21"/>
  <c r="S535" i="21" s="1"/>
  <c r="R536" i="21"/>
  <c r="S536" i="21" s="1"/>
  <c r="R537" i="21"/>
  <c r="S537" i="21" s="1"/>
  <c r="R538" i="21"/>
  <c r="S538" i="21" s="1"/>
  <c r="R539" i="21"/>
  <c r="S539" i="21" s="1"/>
  <c r="R540" i="21"/>
  <c r="S540" i="21" s="1"/>
  <c r="R541" i="21"/>
  <c r="S541" i="21" s="1"/>
  <c r="R542" i="21"/>
  <c r="S542" i="21" s="1"/>
  <c r="R543" i="21"/>
  <c r="S543" i="21" s="1"/>
  <c r="R544" i="21"/>
  <c r="S544" i="21" s="1"/>
  <c r="R545" i="21"/>
  <c r="S545" i="21" s="1"/>
  <c r="R546" i="21"/>
  <c r="S546" i="21" s="1"/>
  <c r="R547" i="21"/>
  <c r="S547" i="21" s="1"/>
  <c r="R548" i="21"/>
  <c r="S548" i="21" s="1"/>
  <c r="R549" i="21"/>
  <c r="S549" i="21" s="1"/>
  <c r="R550" i="21"/>
  <c r="S550" i="21" s="1"/>
  <c r="R551" i="21"/>
  <c r="S551" i="21" s="1"/>
  <c r="R552" i="21"/>
  <c r="S552" i="21" s="1"/>
  <c r="R553" i="21"/>
  <c r="S553" i="21" s="1"/>
  <c r="R554" i="21"/>
  <c r="S554" i="21" s="1"/>
  <c r="R555" i="21"/>
  <c r="S555" i="21" s="1"/>
  <c r="R556" i="21"/>
  <c r="S556" i="21" s="1"/>
  <c r="R557" i="21"/>
  <c r="S557" i="21" s="1"/>
  <c r="R558" i="21"/>
  <c r="S558" i="21" s="1"/>
  <c r="R559" i="21"/>
  <c r="S559" i="21" s="1"/>
  <c r="R560" i="21"/>
  <c r="S560" i="21" s="1"/>
  <c r="R561" i="21"/>
  <c r="S561" i="21" s="1"/>
  <c r="R562" i="21"/>
  <c r="S562" i="21" s="1"/>
  <c r="R563" i="21"/>
  <c r="S563" i="21" s="1"/>
  <c r="R564" i="21"/>
  <c r="S564" i="21" s="1"/>
  <c r="R565" i="21"/>
  <c r="S565" i="21" s="1"/>
  <c r="R566" i="21"/>
  <c r="S566" i="21" s="1"/>
  <c r="R567" i="21"/>
  <c r="S567" i="21" s="1"/>
  <c r="R568" i="21"/>
  <c r="R569" i="21"/>
  <c r="S569" i="21" s="1"/>
  <c r="R570" i="21"/>
  <c r="S570" i="21" s="1"/>
  <c r="R571" i="21"/>
  <c r="S571" i="21" s="1"/>
  <c r="R572" i="21"/>
  <c r="S572" i="21" s="1"/>
  <c r="R573" i="21"/>
  <c r="S573" i="21" s="1"/>
  <c r="R574" i="21"/>
  <c r="S574" i="21" s="1"/>
  <c r="R575" i="21"/>
  <c r="S575" i="21" s="1"/>
  <c r="R576" i="21"/>
  <c r="R577" i="21"/>
  <c r="S577" i="21" s="1"/>
  <c r="R578" i="21"/>
  <c r="S578" i="21" s="1"/>
  <c r="R579" i="21"/>
  <c r="S579" i="21" s="1"/>
  <c r="R580" i="21"/>
  <c r="S580" i="21" s="1"/>
  <c r="R581" i="21"/>
  <c r="S581" i="21" s="1"/>
  <c r="R582" i="21"/>
  <c r="S582" i="21" s="1"/>
  <c r="R583" i="21"/>
  <c r="S583" i="21" s="1"/>
  <c r="R584" i="21"/>
  <c r="S584" i="21" s="1"/>
  <c r="R585" i="21"/>
  <c r="S585" i="21" s="1"/>
  <c r="R586" i="21"/>
  <c r="S586" i="21" s="1"/>
  <c r="R587" i="21"/>
  <c r="S587" i="21" s="1"/>
  <c r="R588" i="21"/>
  <c r="S588" i="21" s="1"/>
  <c r="R589" i="21"/>
  <c r="S589" i="21" s="1"/>
  <c r="R590" i="21"/>
  <c r="S590" i="21" s="1"/>
  <c r="R591" i="21"/>
  <c r="S591" i="21" s="1"/>
  <c r="R592" i="21"/>
  <c r="S592" i="21" s="1"/>
  <c r="R593" i="21"/>
  <c r="S593" i="21" s="1"/>
  <c r="R594" i="21"/>
  <c r="S594" i="21" s="1"/>
  <c r="R595" i="21"/>
  <c r="S595" i="21" s="1"/>
  <c r="R596" i="21"/>
  <c r="S596" i="21" s="1"/>
  <c r="R597" i="21"/>
  <c r="S597" i="21" s="1"/>
  <c r="R598" i="21"/>
  <c r="S598" i="21" s="1"/>
  <c r="R599" i="21"/>
  <c r="S599" i="21" s="1"/>
  <c r="R600" i="21"/>
  <c r="S600" i="21" s="1"/>
  <c r="R601" i="21"/>
  <c r="S601" i="21" s="1"/>
  <c r="R602" i="21"/>
  <c r="S602" i="21" s="1"/>
  <c r="R603" i="21"/>
  <c r="S603" i="21" s="1"/>
  <c r="R604" i="21"/>
  <c r="S604" i="21" s="1"/>
  <c r="R605" i="21"/>
  <c r="S605" i="21" s="1"/>
  <c r="R606" i="21"/>
  <c r="S606" i="21" s="1"/>
  <c r="R607" i="21"/>
  <c r="S607" i="21" s="1"/>
  <c r="R608" i="21"/>
  <c r="S608" i="21" s="1"/>
  <c r="R609" i="21"/>
  <c r="S609" i="21" s="1"/>
  <c r="R610" i="21"/>
  <c r="S610" i="21" s="1"/>
  <c r="R611" i="21"/>
  <c r="S611" i="21" s="1"/>
  <c r="R612" i="21"/>
  <c r="S612" i="21" s="1"/>
  <c r="R613" i="21"/>
  <c r="S613" i="21" s="1"/>
  <c r="R614" i="21"/>
  <c r="S614" i="21" s="1"/>
  <c r="R615" i="21"/>
  <c r="S615" i="21" s="1"/>
  <c r="R616" i="21"/>
  <c r="S616" i="21" s="1"/>
  <c r="R617" i="21"/>
  <c r="S617" i="21" s="1"/>
  <c r="R618" i="21"/>
  <c r="S618" i="21" s="1"/>
  <c r="R619" i="21"/>
  <c r="S619" i="21" s="1"/>
  <c r="R620" i="21"/>
  <c r="S620" i="21" s="1"/>
  <c r="R621" i="21"/>
  <c r="S621" i="21" s="1"/>
  <c r="R622" i="21"/>
  <c r="S622" i="21" s="1"/>
  <c r="R623" i="21"/>
  <c r="S623" i="21" s="1"/>
  <c r="R624" i="21"/>
  <c r="S624" i="21" s="1"/>
  <c r="R625" i="21"/>
  <c r="S625" i="21" s="1"/>
  <c r="R626" i="21"/>
  <c r="S626" i="21" s="1"/>
  <c r="R627" i="21"/>
  <c r="S627" i="21" s="1"/>
  <c r="R628" i="21"/>
  <c r="S628" i="21" s="1"/>
  <c r="R629" i="21"/>
  <c r="S629" i="21" s="1"/>
  <c r="R630" i="21"/>
  <c r="S630" i="21" s="1"/>
  <c r="R631" i="21"/>
  <c r="S631" i="21" s="1"/>
  <c r="R632" i="21"/>
  <c r="R633" i="21"/>
  <c r="S633" i="21" s="1"/>
  <c r="R634" i="21"/>
  <c r="S634" i="21" s="1"/>
  <c r="R635" i="21"/>
  <c r="S635" i="21" s="1"/>
  <c r="R636" i="21"/>
  <c r="S636" i="21" s="1"/>
  <c r="R637" i="21"/>
  <c r="S637" i="21" s="1"/>
  <c r="R638" i="21"/>
  <c r="S638" i="21" s="1"/>
  <c r="R639" i="21"/>
  <c r="S639" i="21" s="1"/>
  <c r="R640" i="21"/>
  <c r="R641" i="21"/>
  <c r="S641" i="21" s="1"/>
  <c r="R642" i="21"/>
  <c r="S642" i="21" s="1"/>
  <c r="R643" i="21"/>
  <c r="S643" i="21" s="1"/>
  <c r="R644" i="21"/>
  <c r="S644" i="21" s="1"/>
  <c r="R645" i="21"/>
  <c r="S645" i="21" s="1"/>
  <c r="R646" i="21"/>
  <c r="S646" i="21" s="1"/>
  <c r="R647" i="21"/>
  <c r="S647" i="21" s="1"/>
  <c r="R648" i="21"/>
  <c r="S648" i="21" s="1"/>
  <c r="R649" i="21"/>
  <c r="S649" i="21" s="1"/>
  <c r="R650" i="21"/>
  <c r="S650" i="21" s="1"/>
  <c r="R651" i="21"/>
  <c r="S651" i="21" s="1"/>
  <c r="R652" i="21"/>
  <c r="S652" i="21" s="1"/>
  <c r="R653" i="21"/>
  <c r="S653" i="21" s="1"/>
  <c r="R654" i="21"/>
  <c r="S654" i="21" s="1"/>
  <c r="R655" i="21"/>
  <c r="S655" i="21" s="1"/>
  <c r="R656" i="21"/>
  <c r="S656" i="21" s="1"/>
  <c r="R657" i="21"/>
  <c r="S657" i="21" s="1"/>
  <c r="R658" i="21"/>
  <c r="S658" i="21" s="1"/>
  <c r="R659" i="21"/>
  <c r="S659" i="21" s="1"/>
  <c r="R660" i="21"/>
  <c r="S660" i="21" s="1"/>
  <c r="R661" i="21"/>
  <c r="S661" i="21" s="1"/>
  <c r="R662" i="21"/>
  <c r="S662" i="21" s="1"/>
  <c r="R663" i="21"/>
  <c r="S663" i="21" s="1"/>
  <c r="R664" i="21"/>
  <c r="S664" i="21" s="1"/>
  <c r="R665" i="21"/>
  <c r="S665" i="21" s="1"/>
  <c r="R666" i="21"/>
  <c r="S666" i="21" s="1"/>
  <c r="R667" i="21"/>
  <c r="S667" i="21" s="1"/>
  <c r="R668" i="21"/>
  <c r="S668" i="21" s="1"/>
  <c r="R669" i="21"/>
  <c r="S669" i="21" s="1"/>
  <c r="R670" i="21"/>
  <c r="S670" i="21" s="1"/>
  <c r="R671" i="21"/>
  <c r="S671" i="21" s="1"/>
  <c r="R672" i="21"/>
  <c r="S672" i="21" s="1"/>
  <c r="R673" i="21"/>
  <c r="S673" i="21" s="1"/>
  <c r="R674" i="21"/>
  <c r="S674" i="21" s="1"/>
  <c r="R675" i="21"/>
  <c r="S675" i="21" s="1"/>
  <c r="R676" i="21"/>
  <c r="S676" i="21" s="1"/>
  <c r="R677" i="21"/>
  <c r="S677" i="21" s="1"/>
  <c r="R678" i="21"/>
  <c r="S678" i="21" s="1"/>
  <c r="R679" i="21"/>
  <c r="S679" i="21" s="1"/>
  <c r="R680" i="21"/>
  <c r="S680" i="21" s="1"/>
  <c r="R681" i="21"/>
  <c r="S681" i="21" s="1"/>
  <c r="R682" i="21"/>
  <c r="S682" i="21" s="1"/>
  <c r="R683" i="21"/>
  <c r="S683" i="21" s="1"/>
  <c r="R684" i="21"/>
  <c r="S684" i="21" s="1"/>
  <c r="R685" i="21"/>
  <c r="S685" i="21" s="1"/>
  <c r="R686" i="21"/>
  <c r="S686" i="21" s="1"/>
  <c r="R687" i="21"/>
  <c r="S687" i="21" s="1"/>
  <c r="R688" i="21"/>
  <c r="S688" i="21" s="1"/>
  <c r="R689" i="21"/>
  <c r="S689" i="21" s="1"/>
  <c r="R690" i="21"/>
  <c r="S690" i="21" s="1"/>
  <c r="R691" i="21"/>
  <c r="S691" i="21" s="1"/>
  <c r="R692" i="21"/>
  <c r="S692" i="21" s="1"/>
  <c r="R693" i="21"/>
  <c r="S693" i="21" s="1"/>
  <c r="R694" i="21"/>
  <c r="S694" i="21" s="1"/>
  <c r="R695" i="21"/>
  <c r="S695" i="21" s="1"/>
  <c r="R696" i="21"/>
  <c r="S696" i="21" s="1"/>
  <c r="R697" i="21"/>
  <c r="S697" i="21" s="1"/>
  <c r="R698" i="21"/>
  <c r="S698" i="21" s="1"/>
  <c r="R699" i="21"/>
  <c r="S699" i="21" s="1"/>
  <c r="R700" i="21"/>
  <c r="S700" i="21" s="1"/>
  <c r="R701" i="21"/>
  <c r="S701" i="21" s="1"/>
  <c r="R702" i="21"/>
  <c r="S702" i="21" s="1"/>
  <c r="R703" i="21"/>
  <c r="S703" i="21" s="1"/>
  <c r="R704" i="21"/>
  <c r="S704" i="21" s="1"/>
  <c r="R705" i="21"/>
  <c r="S705" i="21" s="1"/>
  <c r="R706" i="21"/>
  <c r="S706" i="21" s="1"/>
  <c r="R707" i="21"/>
  <c r="S707" i="21" s="1"/>
  <c r="R708" i="21"/>
  <c r="S708" i="21" s="1"/>
  <c r="R709" i="21"/>
  <c r="S709" i="21" s="1"/>
  <c r="R710" i="21"/>
  <c r="S710" i="21" s="1"/>
  <c r="R711" i="21"/>
  <c r="S711" i="21" s="1"/>
  <c r="R712" i="21"/>
  <c r="S712" i="21" s="1"/>
  <c r="R713" i="21"/>
  <c r="S713" i="21" s="1"/>
  <c r="R714" i="21"/>
  <c r="S714" i="21" s="1"/>
  <c r="R715" i="21"/>
  <c r="S715" i="21" s="1"/>
  <c r="R716" i="21"/>
  <c r="S716" i="21" s="1"/>
  <c r="R717" i="21"/>
  <c r="S717" i="21" s="1"/>
  <c r="R718" i="21"/>
  <c r="S718" i="21" s="1"/>
  <c r="R719" i="21"/>
  <c r="S719" i="21" s="1"/>
  <c r="R720" i="21"/>
  <c r="S720" i="21" s="1"/>
  <c r="R721" i="21"/>
  <c r="S721" i="21" s="1"/>
  <c r="R722" i="21"/>
  <c r="S722" i="21" s="1"/>
  <c r="R723" i="21"/>
  <c r="S723" i="21" s="1"/>
  <c r="R724" i="21"/>
  <c r="S724" i="21" s="1"/>
  <c r="R725" i="21"/>
  <c r="S725" i="21" s="1"/>
  <c r="R726" i="21"/>
  <c r="S726" i="21" s="1"/>
  <c r="R727" i="21"/>
  <c r="S727" i="21" s="1"/>
  <c r="R728" i="21"/>
  <c r="S728" i="21" s="1"/>
  <c r="R729" i="21"/>
  <c r="S729" i="21" s="1"/>
  <c r="R730" i="21"/>
  <c r="S730" i="21" s="1"/>
  <c r="R731" i="21"/>
  <c r="S731" i="21" s="1"/>
  <c r="R732" i="21"/>
  <c r="S732" i="21" s="1"/>
  <c r="R733" i="21"/>
  <c r="S733" i="21" s="1"/>
  <c r="R734" i="21"/>
  <c r="S734" i="21" s="1"/>
  <c r="R735" i="21"/>
  <c r="S735" i="21" s="1"/>
  <c r="R736" i="21"/>
  <c r="S736" i="21" s="1"/>
  <c r="R737" i="21"/>
  <c r="S737" i="21" s="1"/>
  <c r="R738" i="21"/>
  <c r="S738" i="21" s="1"/>
  <c r="R739" i="21"/>
  <c r="S739" i="21" s="1"/>
  <c r="R740" i="21"/>
  <c r="S740" i="21" s="1"/>
  <c r="R741" i="21"/>
  <c r="S741" i="21" s="1"/>
  <c r="R742" i="21"/>
  <c r="S742" i="21" s="1"/>
  <c r="R743" i="21"/>
  <c r="S743" i="21" s="1"/>
  <c r="R744" i="21"/>
  <c r="S744" i="21" s="1"/>
  <c r="R745" i="21"/>
  <c r="S745" i="21" s="1"/>
  <c r="R746" i="21"/>
  <c r="S746" i="21" s="1"/>
  <c r="R747" i="21"/>
  <c r="S747" i="21" s="1"/>
  <c r="R748" i="21"/>
  <c r="S748" i="21" s="1"/>
  <c r="R749" i="21"/>
  <c r="S749" i="21" s="1"/>
  <c r="R750" i="21"/>
  <c r="S750" i="21" s="1"/>
  <c r="R751" i="21"/>
  <c r="S751" i="21" s="1"/>
  <c r="R752" i="21"/>
  <c r="S752" i="21" s="1"/>
  <c r="R753" i="21"/>
  <c r="S753" i="21" s="1"/>
  <c r="R754" i="21"/>
  <c r="S754" i="21" s="1"/>
  <c r="R755" i="21"/>
  <c r="S755" i="21" s="1"/>
  <c r="R756" i="21"/>
  <c r="S756" i="21" s="1"/>
  <c r="R757" i="21"/>
  <c r="S757" i="21" s="1"/>
  <c r="R758" i="21"/>
  <c r="S758" i="21" s="1"/>
  <c r="R759" i="21"/>
  <c r="S759" i="21" s="1"/>
  <c r="R760" i="21"/>
  <c r="S760" i="21" s="1"/>
  <c r="R761" i="21"/>
  <c r="S761" i="21" s="1"/>
  <c r="R762" i="21"/>
  <c r="S762" i="21" s="1"/>
  <c r="R763" i="21"/>
  <c r="S763" i="21" s="1"/>
  <c r="R764" i="21"/>
  <c r="S764" i="21" s="1"/>
  <c r="R765" i="21"/>
  <c r="S765" i="21" s="1"/>
  <c r="R766" i="21"/>
  <c r="S766" i="21" s="1"/>
  <c r="R767" i="21"/>
  <c r="S767" i="21" s="1"/>
  <c r="R768" i="21"/>
  <c r="S768" i="21" s="1"/>
  <c r="R769" i="21"/>
  <c r="S769" i="21" s="1"/>
  <c r="R770" i="21"/>
  <c r="S770" i="21" s="1"/>
  <c r="R771" i="21"/>
  <c r="S771" i="21" s="1"/>
  <c r="R772" i="21"/>
  <c r="S772" i="21" s="1"/>
  <c r="R773" i="21"/>
  <c r="S773" i="21" s="1"/>
  <c r="R774" i="21"/>
  <c r="S774" i="21" s="1"/>
  <c r="R775" i="21"/>
  <c r="S775" i="21" s="1"/>
  <c r="R776" i="21"/>
  <c r="S776" i="21" s="1"/>
  <c r="R777" i="21"/>
  <c r="S777" i="21" s="1"/>
  <c r="R778" i="21"/>
  <c r="S778" i="21" s="1"/>
  <c r="R779" i="21"/>
  <c r="S779" i="21" s="1"/>
  <c r="R780" i="21"/>
  <c r="S780" i="21" s="1"/>
  <c r="R781" i="21"/>
  <c r="S781" i="21" s="1"/>
  <c r="R782" i="21"/>
  <c r="S782" i="21" s="1"/>
  <c r="R783" i="21"/>
  <c r="S783" i="21" s="1"/>
  <c r="R784" i="21"/>
  <c r="S784" i="21" s="1"/>
  <c r="R785" i="21"/>
  <c r="S785" i="21" s="1"/>
  <c r="R786" i="21"/>
  <c r="S786" i="21" s="1"/>
  <c r="R787" i="21"/>
  <c r="S787" i="21" s="1"/>
  <c r="R788" i="21"/>
  <c r="S788" i="21" s="1"/>
  <c r="R789" i="21"/>
  <c r="S789" i="21" s="1"/>
  <c r="R790" i="21"/>
  <c r="S790" i="21" s="1"/>
  <c r="R791" i="21"/>
  <c r="S791" i="21" s="1"/>
  <c r="R792" i="21"/>
  <c r="S792" i="21" s="1"/>
  <c r="R793" i="21"/>
  <c r="S793" i="21" s="1"/>
  <c r="R794" i="21"/>
  <c r="S794" i="21" s="1"/>
  <c r="R795" i="21"/>
  <c r="S795" i="21" s="1"/>
  <c r="R796" i="21"/>
  <c r="S796" i="21" s="1"/>
  <c r="R797" i="21"/>
  <c r="S797" i="21" s="1"/>
  <c r="R798" i="21"/>
  <c r="S798" i="21" s="1"/>
  <c r="R799" i="21"/>
  <c r="S799" i="21" s="1"/>
  <c r="R800" i="21"/>
  <c r="S800" i="21" s="1"/>
  <c r="R801" i="21"/>
  <c r="S801" i="21" s="1"/>
  <c r="R802" i="21"/>
  <c r="S802" i="21" s="1"/>
  <c r="R803" i="21"/>
  <c r="S803" i="21" s="1"/>
  <c r="R804" i="21"/>
  <c r="S804" i="21" s="1"/>
  <c r="R805" i="21"/>
  <c r="S805" i="21" s="1"/>
  <c r="R806" i="21"/>
  <c r="S806" i="21" s="1"/>
  <c r="R807" i="21"/>
  <c r="S807" i="21" s="1"/>
  <c r="R808" i="21"/>
  <c r="S808" i="21" s="1"/>
  <c r="R809" i="21"/>
  <c r="S809" i="21" s="1"/>
  <c r="R810" i="21"/>
  <c r="S810" i="21" s="1"/>
  <c r="R811" i="21"/>
  <c r="S811" i="21" s="1"/>
  <c r="R812" i="21"/>
  <c r="S812" i="21" s="1"/>
  <c r="R813" i="21"/>
  <c r="S813" i="21" s="1"/>
  <c r="R814" i="21"/>
  <c r="S814" i="21" s="1"/>
  <c r="R815" i="21"/>
  <c r="S815" i="21" s="1"/>
  <c r="R816" i="21"/>
  <c r="S816" i="21" s="1"/>
  <c r="R817" i="21"/>
  <c r="S817" i="21" s="1"/>
  <c r="R818" i="21"/>
  <c r="S818" i="21" s="1"/>
  <c r="R819" i="21"/>
  <c r="S819" i="21" s="1"/>
  <c r="R820" i="21"/>
  <c r="S820" i="21" s="1"/>
  <c r="R821" i="21"/>
  <c r="S821" i="21" s="1"/>
  <c r="R822" i="21"/>
  <c r="S822" i="21" s="1"/>
  <c r="R823" i="21"/>
  <c r="S823" i="21" s="1"/>
  <c r="R824" i="21"/>
  <c r="S824" i="21" s="1"/>
  <c r="R825" i="21"/>
  <c r="S825" i="21" s="1"/>
  <c r="R826" i="21"/>
  <c r="S826" i="21" s="1"/>
  <c r="R827" i="21"/>
  <c r="S827" i="21" s="1"/>
  <c r="R828" i="21"/>
  <c r="S828" i="21" s="1"/>
  <c r="R829" i="21"/>
  <c r="S829" i="21" s="1"/>
  <c r="R830" i="21"/>
  <c r="S830" i="21" s="1"/>
  <c r="R831" i="21"/>
  <c r="S831" i="21" s="1"/>
  <c r="R832" i="21"/>
  <c r="S832" i="21" s="1"/>
  <c r="R833" i="21"/>
  <c r="S833" i="21" s="1"/>
  <c r="R834" i="21"/>
  <c r="S834" i="21" s="1"/>
  <c r="R835" i="21"/>
  <c r="S835" i="21" s="1"/>
  <c r="R836" i="21"/>
  <c r="S836" i="21" s="1"/>
  <c r="R837" i="21"/>
  <c r="S837" i="21" s="1"/>
  <c r="R838" i="21"/>
  <c r="S838" i="21" s="1"/>
  <c r="R839" i="21"/>
  <c r="S839" i="21" s="1"/>
  <c r="R840" i="21"/>
  <c r="S840" i="21" s="1"/>
  <c r="R841" i="21"/>
  <c r="S841" i="21" s="1"/>
  <c r="R842" i="21"/>
  <c r="S842" i="21" s="1"/>
  <c r="R843" i="21"/>
  <c r="S843" i="21" s="1"/>
  <c r="R844" i="21"/>
  <c r="S844" i="21" s="1"/>
  <c r="R845" i="21"/>
  <c r="S845" i="21" s="1"/>
  <c r="R846" i="21"/>
  <c r="S846" i="21" s="1"/>
  <c r="R847" i="21"/>
  <c r="S847" i="21" s="1"/>
  <c r="R848" i="21"/>
  <c r="S848" i="21" s="1"/>
  <c r="R849" i="21"/>
  <c r="S849" i="21" s="1"/>
  <c r="R850" i="21"/>
  <c r="S850" i="21" s="1"/>
  <c r="R851" i="21"/>
  <c r="S851" i="21" s="1"/>
  <c r="R852" i="21"/>
  <c r="S852" i="21" s="1"/>
  <c r="R853" i="21"/>
  <c r="S853" i="21" s="1"/>
  <c r="R854" i="21"/>
  <c r="S854" i="21" s="1"/>
  <c r="R855" i="21"/>
  <c r="S855" i="21" s="1"/>
  <c r="R856" i="21"/>
  <c r="S856" i="21" s="1"/>
  <c r="R857" i="21"/>
  <c r="S857" i="21" s="1"/>
  <c r="R858" i="21"/>
  <c r="S858" i="21" s="1"/>
  <c r="R859" i="21"/>
  <c r="S859" i="21" s="1"/>
  <c r="R860" i="21"/>
  <c r="S860" i="21" s="1"/>
  <c r="R861" i="21"/>
  <c r="S861" i="21" s="1"/>
  <c r="R862" i="21"/>
  <c r="S862" i="21" s="1"/>
  <c r="R863" i="21"/>
  <c r="S863" i="21" s="1"/>
  <c r="R864" i="21"/>
  <c r="S864" i="21" s="1"/>
  <c r="R865" i="21"/>
  <c r="S865" i="21" s="1"/>
  <c r="R866" i="21"/>
  <c r="S866" i="21" s="1"/>
  <c r="R867" i="21"/>
  <c r="S867" i="21" s="1"/>
  <c r="R868" i="21"/>
  <c r="S868" i="21" s="1"/>
  <c r="R869" i="21"/>
  <c r="S869" i="21" s="1"/>
  <c r="R870" i="21"/>
  <c r="S870" i="21" s="1"/>
  <c r="R871" i="21"/>
  <c r="S871" i="21" s="1"/>
  <c r="R872" i="21"/>
  <c r="S872" i="21" s="1"/>
  <c r="R873" i="21"/>
  <c r="S873" i="21" s="1"/>
  <c r="R874" i="21"/>
  <c r="S874" i="21" s="1"/>
  <c r="R875" i="21"/>
  <c r="S875" i="21" s="1"/>
  <c r="R876" i="21"/>
  <c r="S876" i="21" s="1"/>
  <c r="R877" i="21"/>
  <c r="S877" i="21" s="1"/>
  <c r="R878" i="21"/>
  <c r="S878" i="21" s="1"/>
  <c r="R879" i="21"/>
  <c r="S879" i="21" s="1"/>
  <c r="R880" i="21"/>
  <c r="S880" i="21" s="1"/>
  <c r="R881" i="21"/>
  <c r="S881" i="21" s="1"/>
  <c r="R882" i="21"/>
  <c r="S882" i="21" s="1"/>
  <c r="R883" i="21"/>
  <c r="S883" i="21" s="1"/>
  <c r="R884" i="21"/>
  <c r="S884" i="21" s="1"/>
  <c r="R885" i="21"/>
  <c r="S885" i="21" s="1"/>
  <c r="R886" i="21"/>
  <c r="S886" i="21" s="1"/>
  <c r="R887" i="21"/>
  <c r="S887" i="21" s="1"/>
  <c r="R888" i="21"/>
  <c r="S888" i="21" s="1"/>
  <c r="R889" i="21"/>
  <c r="S889" i="21" s="1"/>
  <c r="R890" i="21"/>
  <c r="S890" i="21" s="1"/>
  <c r="R891" i="21"/>
  <c r="S891" i="21" s="1"/>
  <c r="R892" i="21"/>
  <c r="S892" i="21" s="1"/>
  <c r="R893" i="21"/>
  <c r="S893" i="21" s="1"/>
  <c r="R894" i="21"/>
  <c r="S894" i="21" s="1"/>
  <c r="R895" i="21"/>
  <c r="S895" i="21" s="1"/>
  <c r="R896" i="21"/>
  <c r="S896" i="21" s="1"/>
  <c r="R897" i="21"/>
  <c r="S897" i="21" s="1"/>
  <c r="R898" i="21"/>
  <c r="S898" i="21" s="1"/>
  <c r="R899" i="21"/>
  <c r="S899" i="21" s="1"/>
  <c r="R900" i="21"/>
  <c r="S900" i="21" s="1"/>
  <c r="R901" i="21"/>
  <c r="S901" i="21" s="1"/>
  <c r="R902" i="21"/>
  <c r="S902" i="21" s="1"/>
  <c r="R903" i="21"/>
  <c r="S903" i="21" s="1"/>
  <c r="R904" i="21"/>
  <c r="S904" i="21" s="1"/>
  <c r="R905" i="21"/>
  <c r="S905" i="21" s="1"/>
  <c r="R906" i="21"/>
  <c r="S906" i="21" s="1"/>
  <c r="R907" i="21"/>
  <c r="S907" i="21" s="1"/>
  <c r="R908" i="21"/>
  <c r="S908" i="21" s="1"/>
  <c r="R909" i="21"/>
  <c r="S909" i="21" s="1"/>
  <c r="R910" i="21"/>
  <c r="S910" i="21" s="1"/>
  <c r="R911" i="21"/>
  <c r="S911" i="21" s="1"/>
  <c r="R912" i="21"/>
  <c r="S912" i="21" s="1"/>
  <c r="R913" i="21"/>
  <c r="S913" i="21" s="1"/>
  <c r="R914" i="21"/>
  <c r="S914" i="21" s="1"/>
  <c r="R915" i="21"/>
  <c r="S915" i="21" s="1"/>
  <c r="R916" i="21"/>
  <c r="S916" i="21" s="1"/>
  <c r="R917" i="21"/>
  <c r="S917" i="21" s="1"/>
  <c r="R918" i="21"/>
  <c r="S918" i="21" s="1"/>
  <c r="R919" i="21"/>
  <c r="S919" i="21" s="1"/>
  <c r="R920" i="21"/>
  <c r="S920" i="21" s="1"/>
  <c r="R921" i="21"/>
  <c r="S921" i="21" s="1"/>
  <c r="R922" i="21"/>
  <c r="S922" i="21" s="1"/>
  <c r="R923" i="21"/>
  <c r="S923" i="21" s="1"/>
  <c r="R924" i="21"/>
  <c r="S924" i="21" s="1"/>
  <c r="R925" i="21"/>
  <c r="S925" i="21" s="1"/>
  <c r="R926" i="21"/>
  <c r="S926" i="21" s="1"/>
  <c r="R927" i="21"/>
  <c r="S927" i="21" s="1"/>
  <c r="R928" i="21"/>
  <c r="S928" i="21" s="1"/>
  <c r="R929" i="21"/>
  <c r="S929" i="21" s="1"/>
  <c r="R930" i="21"/>
  <c r="S930" i="21" s="1"/>
  <c r="R931" i="21"/>
  <c r="S931" i="21" s="1"/>
  <c r="R932" i="21"/>
  <c r="S932" i="21" s="1"/>
  <c r="R933" i="21"/>
  <c r="S933" i="21" s="1"/>
  <c r="R934" i="21"/>
  <c r="S934" i="21" s="1"/>
  <c r="R935" i="21"/>
  <c r="S935" i="21" s="1"/>
  <c r="R936" i="21"/>
  <c r="S936" i="21" s="1"/>
  <c r="R937" i="21"/>
  <c r="S937" i="21" s="1"/>
  <c r="R938" i="21"/>
  <c r="S938" i="21" s="1"/>
  <c r="R939" i="21"/>
  <c r="S939" i="21" s="1"/>
  <c r="R940" i="21"/>
  <c r="S940" i="21" s="1"/>
  <c r="R941" i="21"/>
  <c r="S941" i="21" s="1"/>
  <c r="R942" i="21"/>
  <c r="S942" i="21" s="1"/>
  <c r="R943" i="21"/>
  <c r="S943" i="21" s="1"/>
  <c r="R944" i="21"/>
  <c r="S944" i="21" s="1"/>
  <c r="R945" i="21"/>
  <c r="S945" i="21" s="1"/>
  <c r="R946" i="21"/>
  <c r="S946" i="21" s="1"/>
  <c r="R947" i="21"/>
  <c r="S947" i="21" s="1"/>
  <c r="R948" i="21"/>
  <c r="S948" i="21" s="1"/>
  <c r="R949" i="21"/>
  <c r="S949" i="21" s="1"/>
  <c r="R950" i="21"/>
  <c r="S950" i="21" s="1"/>
  <c r="R951" i="21"/>
  <c r="S951" i="21" s="1"/>
  <c r="R952" i="21"/>
  <c r="S952" i="21" s="1"/>
  <c r="R953" i="21"/>
  <c r="S953" i="21" s="1"/>
  <c r="R954" i="21"/>
  <c r="S954" i="21" s="1"/>
  <c r="R955" i="21"/>
  <c r="S955" i="21" s="1"/>
  <c r="R956" i="21"/>
  <c r="S956" i="21" s="1"/>
  <c r="R957" i="21"/>
  <c r="S957" i="21" s="1"/>
  <c r="R958" i="21"/>
  <c r="S958" i="21" s="1"/>
  <c r="R959" i="21"/>
  <c r="S959" i="21" s="1"/>
  <c r="R960" i="21"/>
  <c r="S960" i="21" s="1"/>
  <c r="R961" i="21"/>
  <c r="S961" i="21" s="1"/>
  <c r="R962" i="21"/>
  <c r="S962" i="21" s="1"/>
  <c r="R963" i="21"/>
  <c r="S963" i="21" s="1"/>
  <c r="R964" i="21"/>
  <c r="S964" i="21" s="1"/>
  <c r="R965" i="21"/>
  <c r="S965" i="21" s="1"/>
  <c r="P3" i="21"/>
  <c r="P7" i="21"/>
  <c r="P15" i="21"/>
  <c r="P19" i="21"/>
  <c r="P23" i="21"/>
  <c r="P31" i="21"/>
  <c r="P35" i="21"/>
  <c r="P39" i="21"/>
  <c r="P47" i="21"/>
  <c r="P51" i="21"/>
  <c r="P55" i="21"/>
  <c r="P63" i="21"/>
  <c r="P67" i="21"/>
  <c r="P71" i="21"/>
  <c r="P79" i="21"/>
  <c r="P83" i="21"/>
  <c r="P87" i="21"/>
  <c r="P95" i="21"/>
  <c r="P99" i="21"/>
  <c r="P103" i="21"/>
  <c r="P111" i="21"/>
  <c r="P115" i="21"/>
  <c r="P119" i="21"/>
  <c r="P127" i="21"/>
  <c r="P131" i="21"/>
  <c r="P135" i="21"/>
  <c r="P143" i="21"/>
  <c r="P147" i="21"/>
  <c r="P151" i="21"/>
  <c r="P159" i="21"/>
  <c r="P163" i="21"/>
  <c r="P167" i="21"/>
  <c r="P175" i="21"/>
  <c r="P179" i="21"/>
  <c r="P183" i="21"/>
  <c r="P191" i="21"/>
  <c r="P195" i="21"/>
  <c r="P199" i="21"/>
  <c r="P207" i="21"/>
  <c r="P211" i="21"/>
  <c r="P215" i="21"/>
  <c r="P223" i="21"/>
  <c r="P227" i="21"/>
  <c r="P231" i="21"/>
  <c r="P239" i="21"/>
  <c r="P243" i="21"/>
  <c r="P247" i="21"/>
  <c r="P255" i="21"/>
  <c r="P259" i="21"/>
  <c r="P263" i="21"/>
  <c r="P271" i="21"/>
  <c r="P275" i="21"/>
  <c r="P279" i="21"/>
  <c r="P287" i="21"/>
  <c r="P291" i="21"/>
  <c r="P295" i="21"/>
  <c r="P303" i="21"/>
  <c r="P307" i="21"/>
  <c r="P311" i="21"/>
  <c r="P319" i="21"/>
  <c r="P323" i="21"/>
  <c r="P327" i="21"/>
  <c r="P335" i="21"/>
  <c r="P339" i="21"/>
  <c r="P343" i="21"/>
  <c r="P347" i="21"/>
  <c r="P351" i="21"/>
  <c r="P355" i="21"/>
  <c r="P367" i="21"/>
  <c r="P371" i="21"/>
  <c r="P375" i="21"/>
  <c r="P379" i="21"/>
  <c r="P383" i="21"/>
  <c r="P387" i="21"/>
  <c r="P399" i="21"/>
  <c r="P403" i="21"/>
  <c r="P407" i="21"/>
  <c r="P411" i="21"/>
  <c r="P415" i="21"/>
  <c r="P419" i="21"/>
  <c r="P431" i="21"/>
  <c r="P435" i="21"/>
  <c r="P439" i="21"/>
  <c r="P443" i="21"/>
  <c r="P447" i="21"/>
  <c r="P451" i="21"/>
  <c r="P463" i="21"/>
  <c r="P467" i="21"/>
  <c r="P471" i="21"/>
  <c r="P475" i="21"/>
  <c r="P479" i="21"/>
  <c r="P483" i="21"/>
  <c r="P495" i="21"/>
  <c r="P499" i="21"/>
  <c r="P503" i="21"/>
  <c r="P507" i="21"/>
  <c r="P511" i="21"/>
  <c r="P515" i="21"/>
  <c r="P527" i="21"/>
  <c r="P531" i="21"/>
  <c r="P535" i="21"/>
  <c r="P539" i="21"/>
  <c r="P543" i="21"/>
  <c r="P547" i="21"/>
  <c r="P559" i="21"/>
  <c r="P563" i="21"/>
  <c r="P567" i="21"/>
  <c r="P571" i="21"/>
  <c r="P575" i="21"/>
  <c r="P579" i="21"/>
  <c r="P591" i="21"/>
  <c r="P595" i="21"/>
  <c r="P599" i="21"/>
  <c r="P603" i="21"/>
  <c r="P607" i="21"/>
  <c r="P611" i="21"/>
  <c r="P623" i="21"/>
  <c r="P627" i="21"/>
  <c r="P631" i="21"/>
  <c r="P635" i="21"/>
  <c r="P639" i="21"/>
  <c r="P643" i="21"/>
  <c r="P655" i="21"/>
  <c r="P659" i="21"/>
  <c r="P663" i="21"/>
  <c r="P667" i="21"/>
  <c r="P671" i="21"/>
  <c r="P675" i="21"/>
  <c r="P687" i="21"/>
  <c r="P691" i="21"/>
  <c r="P695" i="21"/>
  <c r="P699" i="21"/>
  <c r="P703" i="21"/>
  <c r="P707" i="21"/>
  <c r="P719" i="21"/>
  <c r="P723" i="21"/>
  <c r="P727" i="21"/>
  <c r="P731" i="21"/>
  <c r="P735" i="21"/>
  <c r="P739" i="21"/>
  <c r="P743" i="21"/>
  <c r="P747" i="21"/>
  <c r="P751" i="21"/>
  <c r="P755" i="21"/>
  <c r="P759" i="21"/>
  <c r="P763" i="21"/>
  <c r="P767" i="21"/>
  <c r="P771" i="21"/>
  <c r="P775" i="21"/>
  <c r="P779" i="21"/>
  <c r="P783" i="21"/>
  <c r="P787" i="21"/>
  <c r="P791" i="21"/>
  <c r="P795" i="21"/>
  <c r="P799" i="21"/>
  <c r="P803" i="21"/>
  <c r="P807" i="21"/>
  <c r="P811" i="21"/>
  <c r="P815" i="21"/>
  <c r="P819" i="21"/>
  <c r="P823" i="21"/>
  <c r="P827" i="21"/>
  <c r="P831" i="21"/>
  <c r="P835" i="21"/>
  <c r="P839" i="21"/>
  <c r="P843" i="21"/>
  <c r="P847" i="21"/>
  <c r="P851" i="21"/>
  <c r="P855" i="21"/>
  <c r="P859" i="21"/>
  <c r="P863" i="21"/>
  <c r="P867" i="21"/>
  <c r="P871" i="21"/>
  <c r="P875" i="21"/>
  <c r="P879" i="21"/>
  <c r="P883" i="21"/>
  <c r="P887" i="21"/>
  <c r="P891" i="21"/>
  <c r="P895" i="21"/>
  <c r="P899" i="21"/>
  <c r="P903" i="21"/>
  <c r="P907" i="21"/>
  <c r="P911" i="21"/>
  <c r="P915" i="21"/>
  <c r="P919" i="21"/>
  <c r="P923" i="21"/>
  <c r="P927" i="21"/>
  <c r="P931" i="21"/>
  <c r="P935" i="21"/>
  <c r="P939" i="21"/>
  <c r="P943" i="21"/>
  <c r="P947" i="21"/>
  <c r="P951" i="21"/>
  <c r="P955" i="21"/>
  <c r="P959" i="21"/>
  <c r="P963" i="21"/>
  <c r="O3" i="21"/>
  <c r="O4" i="21"/>
  <c r="P4" i="21" s="1"/>
  <c r="O5" i="21"/>
  <c r="P5" i="21" s="1"/>
  <c r="O6" i="21"/>
  <c r="P6" i="21" s="1"/>
  <c r="O7" i="21"/>
  <c r="O8" i="21"/>
  <c r="P8" i="21" s="1"/>
  <c r="O9" i="21"/>
  <c r="P9" i="21" s="1"/>
  <c r="O10" i="21"/>
  <c r="P10" i="21" s="1"/>
  <c r="O11" i="21"/>
  <c r="P11" i="21" s="1"/>
  <c r="O12" i="21"/>
  <c r="P12" i="21" s="1"/>
  <c r="O13" i="21"/>
  <c r="P13" i="21" s="1"/>
  <c r="O14" i="21"/>
  <c r="P14" i="21" s="1"/>
  <c r="O15" i="21"/>
  <c r="O16" i="21"/>
  <c r="P16" i="21" s="1"/>
  <c r="O17" i="21"/>
  <c r="P17" i="21" s="1"/>
  <c r="O18" i="21"/>
  <c r="P18" i="21" s="1"/>
  <c r="O19" i="21"/>
  <c r="O20" i="21"/>
  <c r="P20" i="21" s="1"/>
  <c r="O21" i="21"/>
  <c r="P21" i="21" s="1"/>
  <c r="O22" i="21"/>
  <c r="P22" i="21" s="1"/>
  <c r="O23" i="21"/>
  <c r="O24" i="21"/>
  <c r="P24" i="21" s="1"/>
  <c r="O25" i="21"/>
  <c r="P25" i="21" s="1"/>
  <c r="O26" i="21"/>
  <c r="P26" i="21" s="1"/>
  <c r="O27" i="21"/>
  <c r="P27" i="21" s="1"/>
  <c r="O28" i="21"/>
  <c r="P28" i="21" s="1"/>
  <c r="O29" i="21"/>
  <c r="P29" i="21" s="1"/>
  <c r="O30" i="21"/>
  <c r="P30" i="21" s="1"/>
  <c r="O31" i="21"/>
  <c r="O32" i="21"/>
  <c r="P32" i="21" s="1"/>
  <c r="O33" i="21"/>
  <c r="P33" i="21" s="1"/>
  <c r="O34" i="21"/>
  <c r="P34" i="21" s="1"/>
  <c r="O35" i="21"/>
  <c r="O36" i="21"/>
  <c r="P36" i="21" s="1"/>
  <c r="O37" i="21"/>
  <c r="P37" i="21" s="1"/>
  <c r="O38" i="21"/>
  <c r="P38" i="21" s="1"/>
  <c r="O39" i="21"/>
  <c r="O40" i="21"/>
  <c r="P40" i="21" s="1"/>
  <c r="O41" i="21"/>
  <c r="P41" i="21" s="1"/>
  <c r="O42" i="21"/>
  <c r="P42" i="21" s="1"/>
  <c r="O43" i="21"/>
  <c r="P43" i="21" s="1"/>
  <c r="O44" i="21"/>
  <c r="P44" i="21" s="1"/>
  <c r="O45" i="21"/>
  <c r="P45" i="21" s="1"/>
  <c r="O46" i="21"/>
  <c r="P46" i="21" s="1"/>
  <c r="O47" i="21"/>
  <c r="O48" i="21"/>
  <c r="P48" i="21" s="1"/>
  <c r="O49" i="21"/>
  <c r="P49" i="21" s="1"/>
  <c r="O50" i="21"/>
  <c r="P50" i="21" s="1"/>
  <c r="O51" i="21"/>
  <c r="O52" i="21"/>
  <c r="P52" i="21" s="1"/>
  <c r="O53" i="21"/>
  <c r="P53" i="21" s="1"/>
  <c r="O54" i="21"/>
  <c r="P54" i="21" s="1"/>
  <c r="O55" i="21"/>
  <c r="O56" i="21"/>
  <c r="P56" i="21" s="1"/>
  <c r="O57" i="21"/>
  <c r="P57" i="21" s="1"/>
  <c r="O58" i="21"/>
  <c r="P58" i="21" s="1"/>
  <c r="O59" i="21"/>
  <c r="P59" i="21" s="1"/>
  <c r="O60" i="21"/>
  <c r="P60" i="21" s="1"/>
  <c r="O61" i="21"/>
  <c r="P61" i="21" s="1"/>
  <c r="O62" i="21"/>
  <c r="P62" i="21" s="1"/>
  <c r="O63" i="21"/>
  <c r="O64" i="21"/>
  <c r="P64" i="21" s="1"/>
  <c r="O65" i="21"/>
  <c r="P65" i="21" s="1"/>
  <c r="O66" i="21"/>
  <c r="P66" i="21" s="1"/>
  <c r="O67" i="21"/>
  <c r="O68" i="21"/>
  <c r="P68" i="21" s="1"/>
  <c r="O69" i="21"/>
  <c r="P69" i="21" s="1"/>
  <c r="O70" i="21"/>
  <c r="P70" i="21" s="1"/>
  <c r="O71" i="21"/>
  <c r="O72" i="21"/>
  <c r="P72" i="21" s="1"/>
  <c r="O73" i="21"/>
  <c r="P73" i="21" s="1"/>
  <c r="O74" i="21"/>
  <c r="P74" i="21" s="1"/>
  <c r="O75" i="21"/>
  <c r="P75" i="21" s="1"/>
  <c r="O76" i="21"/>
  <c r="P76" i="21" s="1"/>
  <c r="O77" i="21"/>
  <c r="P77" i="21" s="1"/>
  <c r="O78" i="21"/>
  <c r="P78" i="21" s="1"/>
  <c r="O79" i="21"/>
  <c r="O80" i="21"/>
  <c r="P80" i="21" s="1"/>
  <c r="O81" i="21"/>
  <c r="P81" i="21" s="1"/>
  <c r="O82" i="21"/>
  <c r="P82" i="21" s="1"/>
  <c r="O83" i="21"/>
  <c r="O84" i="21"/>
  <c r="P84" i="21" s="1"/>
  <c r="O85" i="21"/>
  <c r="P85" i="21" s="1"/>
  <c r="O86" i="21"/>
  <c r="P86" i="21" s="1"/>
  <c r="O87" i="21"/>
  <c r="O88" i="21"/>
  <c r="P88" i="21" s="1"/>
  <c r="O89" i="21"/>
  <c r="P89" i="21" s="1"/>
  <c r="O90" i="21"/>
  <c r="P90" i="21" s="1"/>
  <c r="O91" i="21"/>
  <c r="P91" i="21" s="1"/>
  <c r="O92" i="21"/>
  <c r="P92" i="21" s="1"/>
  <c r="O93" i="21"/>
  <c r="P93" i="21" s="1"/>
  <c r="O94" i="21"/>
  <c r="P94" i="21" s="1"/>
  <c r="O95" i="21"/>
  <c r="O96" i="21"/>
  <c r="P96" i="21" s="1"/>
  <c r="O97" i="21"/>
  <c r="P97" i="21" s="1"/>
  <c r="O98" i="21"/>
  <c r="P98" i="21" s="1"/>
  <c r="O99" i="21"/>
  <c r="O100" i="21"/>
  <c r="P100" i="21" s="1"/>
  <c r="O101" i="21"/>
  <c r="P101" i="21" s="1"/>
  <c r="O102" i="21"/>
  <c r="P102" i="21" s="1"/>
  <c r="O103" i="21"/>
  <c r="O104" i="21"/>
  <c r="P104" i="21" s="1"/>
  <c r="O105" i="21"/>
  <c r="P105" i="21" s="1"/>
  <c r="O106" i="21"/>
  <c r="P106" i="21" s="1"/>
  <c r="O107" i="21"/>
  <c r="P107" i="21" s="1"/>
  <c r="O108" i="21"/>
  <c r="P108" i="21" s="1"/>
  <c r="O109" i="21"/>
  <c r="P109" i="21" s="1"/>
  <c r="O110" i="21"/>
  <c r="P110" i="21" s="1"/>
  <c r="O111" i="21"/>
  <c r="O112" i="21"/>
  <c r="P112" i="21" s="1"/>
  <c r="O113" i="21"/>
  <c r="P113" i="21" s="1"/>
  <c r="O114" i="21"/>
  <c r="P114" i="21" s="1"/>
  <c r="O115" i="21"/>
  <c r="O116" i="21"/>
  <c r="P116" i="21" s="1"/>
  <c r="O117" i="21"/>
  <c r="P117" i="21" s="1"/>
  <c r="O118" i="21"/>
  <c r="P118" i="21" s="1"/>
  <c r="O119" i="21"/>
  <c r="O120" i="21"/>
  <c r="P120" i="21" s="1"/>
  <c r="O121" i="21"/>
  <c r="P121" i="21" s="1"/>
  <c r="O122" i="21"/>
  <c r="P122" i="21" s="1"/>
  <c r="O123" i="21"/>
  <c r="P123" i="21" s="1"/>
  <c r="O124" i="21"/>
  <c r="P124" i="21" s="1"/>
  <c r="O125" i="21"/>
  <c r="P125" i="21" s="1"/>
  <c r="O126" i="21"/>
  <c r="P126" i="21" s="1"/>
  <c r="O127" i="21"/>
  <c r="O128" i="21"/>
  <c r="P128" i="21" s="1"/>
  <c r="O129" i="21"/>
  <c r="P129" i="21" s="1"/>
  <c r="O130" i="21"/>
  <c r="P130" i="21" s="1"/>
  <c r="O131" i="21"/>
  <c r="O132" i="21"/>
  <c r="P132" i="21" s="1"/>
  <c r="O133" i="21"/>
  <c r="P133" i="21" s="1"/>
  <c r="O134" i="21"/>
  <c r="P134" i="21" s="1"/>
  <c r="O135" i="21"/>
  <c r="O136" i="21"/>
  <c r="P136" i="21" s="1"/>
  <c r="O137" i="21"/>
  <c r="P137" i="21" s="1"/>
  <c r="O138" i="21"/>
  <c r="P138" i="21" s="1"/>
  <c r="O139" i="21"/>
  <c r="P139" i="21" s="1"/>
  <c r="O140" i="21"/>
  <c r="P140" i="21" s="1"/>
  <c r="O141" i="21"/>
  <c r="P141" i="21" s="1"/>
  <c r="O142" i="21"/>
  <c r="P142" i="21" s="1"/>
  <c r="O143" i="21"/>
  <c r="O144" i="21"/>
  <c r="P144" i="21" s="1"/>
  <c r="O145" i="21"/>
  <c r="P145" i="21" s="1"/>
  <c r="O146" i="21"/>
  <c r="P146" i="21" s="1"/>
  <c r="O147" i="21"/>
  <c r="O148" i="21"/>
  <c r="P148" i="21" s="1"/>
  <c r="O149" i="21"/>
  <c r="P149" i="21" s="1"/>
  <c r="O150" i="21"/>
  <c r="P150" i="21" s="1"/>
  <c r="O151" i="21"/>
  <c r="O152" i="21"/>
  <c r="P152" i="21" s="1"/>
  <c r="O153" i="21"/>
  <c r="P153" i="21" s="1"/>
  <c r="O154" i="21"/>
  <c r="P154" i="21" s="1"/>
  <c r="O155" i="21"/>
  <c r="P155" i="21" s="1"/>
  <c r="O156" i="21"/>
  <c r="P156" i="21" s="1"/>
  <c r="O157" i="21"/>
  <c r="P157" i="21" s="1"/>
  <c r="O158" i="21"/>
  <c r="P158" i="21" s="1"/>
  <c r="O159" i="21"/>
  <c r="O160" i="21"/>
  <c r="P160" i="21" s="1"/>
  <c r="O161" i="21"/>
  <c r="P161" i="21" s="1"/>
  <c r="O162" i="21"/>
  <c r="P162" i="21" s="1"/>
  <c r="O163" i="21"/>
  <c r="O164" i="21"/>
  <c r="P164" i="21" s="1"/>
  <c r="O165" i="21"/>
  <c r="P165" i="21" s="1"/>
  <c r="O166" i="21"/>
  <c r="P166" i="21" s="1"/>
  <c r="O167" i="21"/>
  <c r="O168" i="21"/>
  <c r="P168" i="21" s="1"/>
  <c r="O169" i="21"/>
  <c r="P169" i="21" s="1"/>
  <c r="O170" i="21"/>
  <c r="P170" i="21" s="1"/>
  <c r="O171" i="21"/>
  <c r="P171" i="21" s="1"/>
  <c r="O172" i="21"/>
  <c r="P172" i="21" s="1"/>
  <c r="O173" i="21"/>
  <c r="P173" i="21" s="1"/>
  <c r="O174" i="21"/>
  <c r="P174" i="21" s="1"/>
  <c r="O175" i="21"/>
  <c r="O176" i="21"/>
  <c r="P176" i="21" s="1"/>
  <c r="O177" i="21"/>
  <c r="P177" i="21" s="1"/>
  <c r="O178" i="21"/>
  <c r="P178" i="21" s="1"/>
  <c r="O179" i="21"/>
  <c r="O180" i="21"/>
  <c r="P180" i="21" s="1"/>
  <c r="O181" i="21"/>
  <c r="P181" i="21" s="1"/>
  <c r="O182" i="21"/>
  <c r="P182" i="21" s="1"/>
  <c r="O183" i="21"/>
  <c r="O184" i="21"/>
  <c r="P184" i="21" s="1"/>
  <c r="O185" i="21"/>
  <c r="P185" i="21" s="1"/>
  <c r="O186" i="21"/>
  <c r="P186" i="21" s="1"/>
  <c r="O187" i="21"/>
  <c r="P187" i="21" s="1"/>
  <c r="O188" i="21"/>
  <c r="P188" i="21" s="1"/>
  <c r="O189" i="21"/>
  <c r="P189" i="21" s="1"/>
  <c r="O190" i="21"/>
  <c r="P190" i="21" s="1"/>
  <c r="O191" i="21"/>
  <c r="O192" i="21"/>
  <c r="P192" i="21" s="1"/>
  <c r="O193" i="21"/>
  <c r="P193" i="21" s="1"/>
  <c r="O194" i="21"/>
  <c r="P194" i="21" s="1"/>
  <c r="O195" i="21"/>
  <c r="O196" i="21"/>
  <c r="P196" i="21" s="1"/>
  <c r="O197" i="21"/>
  <c r="P197" i="21" s="1"/>
  <c r="O198" i="21"/>
  <c r="P198" i="21" s="1"/>
  <c r="O199" i="21"/>
  <c r="O200" i="21"/>
  <c r="P200" i="21" s="1"/>
  <c r="O201" i="21"/>
  <c r="P201" i="21" s="1"/>
  <c r="O202" i="21"/>
  <c r="P202" i="21" s="1"/>
  <c r="O203" i="21"/>
  <c r="P203" i="21" s="1"/>
  <c r="O204" i="21"/>
  <c r="P204" i="21" s="1"/>
  <c r="O205" i="21"/>
  <c r="P205" i="21" s="1"/>
  <c r="O206" i="21"/>
  <c r="P206" i="21" s="1"/>
  <c r="O207" i="21"/>
  <c r="O208" i="21"/>
  <c r="P208" i="21" s="1"/>
  <c r="O209" i="21"/>
  <c r="P209" i="21" s="1"/>
  <c r="O210" i="21"/>
  <c r="P210" i="21" s="1"/>
  <c r="O211" i="21"/>
  <c r="O212" i="21"/>
  <c r="P212" i="21" s="1"/>
  <c r="O213" i="21"/>
  <c r="P213" i="21" s="1"/>
  <c r="O214" i="21"/>
  <c r="P214" i="21" s="1"/>
  <c r="O215" i="21"/>
  <c r="O216" i="21"/>
  <c r="P216" i="21" s="1"/>
  <c r="O217" i="21"/>
  <c r="P217" i="21" s="1"/>
  <c r="O218" i="21"/>
  <c r="P218" i="21" s="1"/>
  <c r="O219" i="21"/>
  <c r="P219" i="21" s="1"/>
  <c r="O220" i="21"/>
  <c r="P220" i="21" s="1"/>
  <c r="O221" i="21"/>
  <c r="P221" i="21" s="1"/>
  <c r="O222" i="21"/>
  <c r="P222" i="21" s="1"/>
  <c r="O223" i="21"/>
  <c r="O224" i="21"/>
  <c r="P224" i="21" s="1"/>
  <c r="O225" i="21"/>
  <c r="P225" i="21" s="1"/>
  <c r="O226" i="21"/>
  <c r="P226" i="21" s="1"/>
  <c r="O227" i="21"/>
  <c r="O228" i="21"/>
  <c r="P228" i="21" s="1"/>
  <c r="O229" i="21"/>
  <c r="P229" i="21" s="1"/>
  <c r="O230" i="21"/>
  <c r="P230" i="21" s="1"/>
  <c r="O231" i="21"/>
  <c r="O232" i="21"/>
  <c r="P232" i="21" s="1"/>
  <c r="O233" i="21"/>
  <c r="P233" i="21" s="1"/>
  <c r="O234" i="21"/>
  <c r="P234" i="21" s="1"/>
  <c r="O235" i="21"/>
  <c r="P235" i="21" s="1"/>
  <c r="O236" i="21"/>
  <c r="P236" i="21" s="1"/>
  <c r="O237" i="21"/>
  <c r="P237" i="21" s="1"/>
  <c r="O238" i="21"/>
  <c r="P238" i="21" s="1"/>
  <c r="O239" i="21"/>
  <c r="O240" i="21"/>
  <c r="P240" i="21" s="1"/>
  <c r="O241" i="21"/>
  <c r="P241" i="21" s="1"/>
  <c r="O242" i="21"/>
  <c r="P242" i="21" s="1"/>
  <c r="O243" i="21"/>
  <c r="O244" i="21"/>
  <c r="P244" i="21" s="1"/>
  <c r="O245" i="21"/>
  <c r="P245" i="21" s="1"/>
  <c r="O246" i="21"/>
  <c r="P246" i="21" s="1"/>
  <c r="O247" i="21"/>
  <c r="O248" i="21"/>
  <c r="P248" i="21" s="1"/>
  <c r="O249" i="21"/>
  <c r="P249" i="21" s="1"/>
  <c r="O250" i="21"/>
  <c r="P250" i="21" s="1"/>
  <c r="O251" i="21"/>
  <c r="P251" i="21" s="1"/>
  <c r="O252" i="21"/>
  <c r="P252" i="21" s="1"/>
  <c r="O253" i="21"/>
  <c r="P253" i="21" s="1"/>
  <c r="O254" i="21"/>
  <c r="P254" i="21" s="1"/>
  <c r="O255" i="21"/>
  <c r="O256" i="21"/>
  <c r="P256" i="21" s="1"/>
  <c r="O257" i="21"/>
  <c r="P257" i="21" s="1"/>
  <c r="O258" i="21"/>
  <c r="P258" i="21" s="1"/>
  <c r="O259" i="21"/>
  <c r="O260" i="21"/>
  <c r="P260" i="21" s="1"/>
  <c r="O261" i="21"/>
  <c r="P261" i="21" s="1"/>
  <c r="O262" i="21"/>
  <c r="P262" i="21" s="1"/>
  <c r="O263" i="21"/>
  <c r="O264" i="21"/>
  <c r="P264" i="21" s="1"/>
  <c r="O265" i="21"/>
  <c r="P265" i="21" s="1"/>
  <c r="O266" i="21"/>
  <c r="P266" i="21" s="1"/>
  <c r="O267" i="21"/>
  <c r="P267" i="21" s="1"/>
  <c r="O268" i="21"/>
  <c r="P268" i="21" s="1"/>
  <c r="O269" i="21"/>
  <c r="P269" i="21" s="1"/>
  <c r="O270" i="21"/>
  <c r="P270" i="21" s="1"/>
  <c r="O271" i="21"/>
  <c r="O272" i="21"/>
  <c r="P272" i="21" s="1"/>
  <c r="O273" i="21"/>
  <c r="P273" i="21" s="1"/>
  <c r="O274" i="21"/>
  <c r="P274" i="21" s="1"/>
  <c r="O275" i="21"/>
  <c r="O276" i="21"/>
  <c r="P276" i="21" s="1"/>
  <c r="O277" i="21"/>
  <c r="P277" i="21" s="1"/>
  <c r="O278" i="21"/>
  <c r="P278" i="21" s="1"/>
  <c r="O279" i="21"/>
  <c r="O280" i="21"/>
  <c r="P280" i="21" s="1"/>
  <c r="O281" i="21"/>
  <c r="P281" i="21" s="1"/>
  <c r="O282" i="21"/>
  <c r="P282" i="21" s="1"/>
  <c r="O283" i="21"/>
  <c r="P283" i="21" s="1"/>
  <c r="O284" i="21"/>
  <c r="P284" i="21" s="1"/>
  <c r="O285" i="21"/>
  <c r="P285" i="21" s="1"/>
  <c r="O286" i="21"/>
  <c r="P286" i="21" s="1"/>
  <c r="O287" i="21"/>
  <c r="O288" i="21"/>
  <c r="P288" i="21" s="1"/>
  <c r="O289" i="21"/>
  <c r="P289" i="21" s="1"/>
  <c r="O290" i="21"/>
  <c r="P290" i="21" s="1"/>
  <c r="O291" i="21"/>
  <c r="O292" i="21"/>
  <c r="P292" i="21" s="1"/>
  <c r="O293" i="21"/>
  <c r="P293" i="21" s="1"/>
  <c r="O294" i="21"/>
  <c r="P294" i="21" s="1"/>
  <c r="O295" i="21"/>
  <c r="O296" i="21"/>
  <c r="P296" i="21" s="1"/>
  <c r="O297" i="21"/>
  <c r="P297" i="21" s="1"/>
  <c r="O298" i="21"/>
  <c r="P298" i="21" s="1"/>
  <c r="O299" i="21"/>
  <c r="P299" i="21" s="1"/>
  <c r="O300" i="21"/>
  <c r="P300" i="21" s="1"/>
  <c r="O301" i="21"/>
  <c r="P301" i="21" s="1"/>
  <c r="O302" i="21"/>
  <c r="P302" i="21" s="1"/>
  <c r="O303" i="21"/>
  <c r="O304" i="21"/>
  <c r="P304" i="21" s="1"/>
  <c r="O305" i="21"/>
  <c r="P305" i="21" s="1"/>
  <c r="O306" i="21"/>
  <c r="P306" i="21" s="1"/>
  <c r="O307" i="21"/>
  <c r="O308" i="21"/>
  <c r="P308" i="21" s="1"/>
  <c r="O309" i="21"/>
  <c r="P309" i="21" s="1"/>
  <c r="O310" i="21"/>
  <c r="P310" i="21" s="1"/>
  <c r="O311" i="21"/>
  <c r="O312" i="21"/>
  <c r="P312" i="21" s="1"/>
  <c r="O313" i="21"/>
  <c r="P313" i="21" s="1"/>
  <c r="O314" i="21"/>
  <c r="P314" i="21" s="1"/>
  <c r="O315" i="21"/>
  <c r="P315" i="21" s="1"/>
  <c r="O316" i="21"/>
  <c r="P316" i="21" s="1"/>
  <c r="O317" i="21"/>
  <c r="P317" i="21" s="1"/>
  <c r="O318" i="21"/>
  <c r="P318" i="21" s="1"/>
  <c r="O319" i="21"/>
  <c r="O320" i="21"/>
  <c r="P320" i="21" s="1"/>
  <c r="O321" i="21"/>
  <c r="P321" i="21" s="1"/>
  <c r="O322" i="21"/>
  <c r="P322" i="21" s="1"/>
  <c r="O323" i="21"/>
  <c r="O324" i="21"/>
  <c r="P324" i="21" s="1"/>
  <c r="O325" i="21"/>
  <c r="P325" i="21" s="1"/>
  <c r="O326" i="21"/>
  <c r="P326" i="21" s="1"/>
  <c r="O327" i="21"/>
  <c r="O328" i="21"/>
  <c r="P328" i="21" s="1"/>
  <c r="O329" i="21"/>
  <c r="P329" i="21" s="1"/>
  <c r="O330" i="21"/>
  <c r="P330" i="21" s="1"/>
  <c r="O331" i="21"/>
  <c r="P331" i="21" s="1"/>
  <c r="O332" i="21"/>
  <c r="P332" i="21" s="1"/>
  <c r="O333" i="21"/>
  <c r="P333" i="21" s="1"/>
  <c r="O334" i="21"/>
  <c r="P334" i="21" s="1"/>
  <c r="O335" i="21"/>
  <c r="O336" i="21"/>
  <c r="P336" i="21" s="1"/>
  <c r="O337" i="21"/>
  <c r="P337" i="21" s="1"/>
  <c r="O338" i="21"/>
  <c r="P338" i="21" s="1"/>
  <c r="O339" i="21"/>
  <c r="O340" i="21"/>
  <c r="P340" i="21" s="1"/>
  <c r="O341" i="21"/>
  <c r="P341" i="21" s="1"/>
  <c r="O342" i="21"/>
  <c r="P342" i="21" s="1"/>
  <c r="O343" i="21"/>
  <c r="O344" i="21"/>
  <c r="P344" i="21" s="1"/>
  <c r="O345" i="21"/>
  <c r="P345" i="21" s="1"/>
  <c r="O346" i="21"/>
  <c r="P346" i="21" s="1"/>
  <c r="O347" i="21"/>
  <c r="O348" i="21"/>
  <c r="P348" i="21" s="1"/>
  <c r="O349" i="21"/>
  <c r="P349" i="21" s="1"/>
  <c r="O350" i="21"/>
  <c r="P350" i="21" s="1"/>
  <c r="O351" i="21"/>
  <c r="O352" i="21"/>
  <c r="P352" i="21" s="1"/>
  <c r="O353" i="21"/>
  <c r="P353" i="21" s="1"/>
  <c r="O354" i="21"/>
  <c r="P354" i="21" s="1"/>
  <c r="O355" i="21"/>
  <c r="O356" i="21"/>
  <c r="P356" i="21" s="1"/>
  <c r="O357" i="21"/>
  <c r="P357" i="21" s="1"/>
  <c r="O358" i="21"/>
  <c r="P358" i="21" s="1"/>
  <c r="O359" i="21"/>
  <c r="P359" i="21" s="1"/>
  <c r="O360" i="21"/>
  <c r="P360" i="21" s="1"/>
  <c r="O361" i="21"/>
  <c r="P361" i="21" s="1"/>
  <c r="O362" i="21"/>
  <c r="P362" i="21" s="1"/>
  <c r="O363" i="21"/>
  <c r="P363" i="21" s="1"/>
  <c r="O364" i="21"/>
  <c r="P364" i="21" s="1"/>
  <c r="O365" i="21"/>
  <c r="P365" i="21" s="1"/>
  <c r="O366" i="21"/>
  <c r="P366" i="21" s="1"/>
  <c r="O367" i="21"/>
  <c r="O368" i="21"/>
  <c r="P368" i="21" s="1"/>
  <c r="O369" i="21"/>
  <c r="P369" i="21" s="1"/>
  <c r="O370" i="21"/>
  <c r="P370" i="21" s="1"/>
  <c r="O371" i="21"/>
  <c r="O372" i="21"/>
  <c r="P372" i="21" s="1"/>
  <c r="O373" i="21"/>
  <c r="P373" i="21" s="1"/>
  <c r="O374" i="21"/>
  <c r="P374" i="21" s="1"/>
  <c r="O375" i="21"/>
  <c r="O376" i="21"/>
  <c r="P376" i="21" s="1"/>
  <c r="O377" i="21"/>
  <c r="P377" i="21" s="1"/>
  <c r="O378" i="21"/>
  <c r="P378" i="21" s="1"/>
  <c r="O379" i="21"/>
  <c r="O380" i="21"/>
  <c r="P380" i="21" s="1"/>
  <c r="O381" i="21"/>
  <c r="P381" i="21" s="1"/>
  <c r="O382" i="21"/>
  <c r="P382" i="21" s="1"/>
  <c r="O383" i="21"/>
  <c r="O384" i="21"/>
  <c r="P384" i="21" s="1"/>
  <c r="O385" i="21"/>
  <c r="P385" i="21" s="1"/>
  <c r="O386" i="21"/>
  <c r="P386" i="21" s="1"/>
  <c r="O387" i="21"/>
  <c r="O388" i="21"/>
  <c r="P388" i="21" s="1"/>
  <c r="O389" i="21"/>
  <c r="P389" i="21" s="1"/>
  <c r="O390" i="21"/>
  <c r="P390" i="21" s="1"/>
  <c r="O391" i="21"/>
  <c r="P391" i="21" s="1"/>
  <c r="O392" i="21"/>
  <c r="P392" i="21" s="1"/>
  <c r="O393" i="21"/>
  <c r="P393" i="21" s="1"/>
  <c r="O394" i="21"/>
  <c r="P394" i="21" s="1"/>
  <c r="O395" i="21"/>
  <c r="P395" i="21" s="1"/>
  <c r="O396" i="21"/>
  <c r="P396" i="21" s="1"/>
  <c r="O397" i="21"/>
  <c r="P397" i="21" s="1"/>
  <c r="O398" i="21"/>
  <c r="P398" i="21" s="1"/>
  <c r="O399" i="21"/>
  <c r="O400" i="21"/>
  <c r="P400" i="21" s="1"/>
  <c r="O401" i="21"/>
  <c r="P401" i="21" s="1"/>
  <c r="O402" i="21"/>
  <c r="P402" i="21" s="1"/>
  <c r="O403" i="21"/>
  <c r="O404" i="21"/>
  <c r="P404" i="21" s="1"/>
  <c r="O405" i="21"/>
  <c r="P405" i="21" s="1"/>
  <c r="O406" i="21"/>
  <c r="P406" i="21" s="1"/>
  <c r="O407" i="21"/>
  <c r="O408" i="21"/>
  <c r="P408" i="21" s="1"/>
  <c r="O409" i="21"/>
  <c r="P409" i="21" s="1"/>
  <c r="O410" i="21"/>
  <c r="P410" i="21" s="1"/>
  <c r="O411" i="21"/>
  <c r="O412" i="21"/>
  <c r="P412" i="21" s="1"/>
  <c r="O413" i="21"/>
  <c r="P413" i="21" s="1"/>
  <c r="O414" i="21"/>
  <c r="P414" i="21" s="1"/>
  <c r="O415" i="21"/>
  <c r="O416" i="21"/>
  <c r="P416" i="21" s="1"/>
  <c r="O417" i="21"/>
  <c r="P417" i="21" s="1"/>
  <c r="O418" i="21"/>
  <c r="P418" i="21" s="1"/>
  <c r="O419" i="21"/>
  <c r="O420" i="21"/>
  <c r="P420" i="21" s="1"/>
  <c r="O421" i="21"/>
  <c r="P421" i="21" s="1"/>
  <c r="O422" i="21"/>
  <c r="P422" i="21" s="1"/>
  <c r="O423" i="21"/>
  <c r="P423" i="21" s="1"/>
  <c r="O424" i="21"/>
  <c r="P424" i="21" s="1"/>
  <c r="O425" i="21"/>
  <c r="P425" i="21" s="1"/>
  <c r="O426" i="21"/>
  <c r="P426" i="21" s="1"/>
  <c r="O427" i="21"/>
  <c r="P427" i="21" s="1"/>
  <c r="O428" i="21"/>
  <c r="P428" i="21" s="1"/>
  <c r="O429" i="21"/>
  <c r="P429" i="21" s="1"/>
  <c r="O430" i="21"/>
  <c r="P430" i="21" s="1"/>
  <c r="O431" i="21"/>
  <c r="O432" i="21"/>
  <c r="P432" i="21" s="1"/>
  <c r="O433" i="21"/>
  <c r="P433" i="21" s="1"/>
  <c r="O434" i="21"/>
  <c r="P434" i="21" s="1"/>
  <c r="O435" i="21"/>
  <c r="O436" i="21"/>
  <c r="P436" i="21" s="1"/>
  <c r="O437" i="21"/>
  <c r="P437" i="21" s="1"/>
  <c r="O438" i="21"/>
  <c r="P438" i="21" s="1"/>
  <c r="O439" i="21"/>
  <c r="O440" i="21"/>
  <c r="P440" i="21" s="1"/>
  <c r="O441" i="21"/>
  <c r="P441" i="21" s="1"/>
  <c r="O442" i="21"/>
  <c r="P442" i="21" s="1"/>
  <c r="O443" i="21"/>
  <c r="O444" i="21"/>
  <c r="P444" i="21" s="1"/>
  <c r="O445" i="21"/>
  <c r="P445" i="21" s="1"/>
  <c r="O446" i="21"/>
  <c r="P446" i="21" s="1"/>
  <c r="O447" i="21"/>
  <c r="O448" i="21"/>
  <c r="P448" i="21" s="1"/>
  <c r="O449" i="21"/>
  <c r="P449" i="21" s="1"/>
  <c r="O450" i="21"/>
  <c r="P450" i="21" s="1"/>
  <c r="O451" i="21"/>
  <c r="O452" i="21"/>
  <c r="P452" i="21" s="1"/>
  <c r="O453" i="21"/>
  <c r="P453" i="21" s="1"/>
  <c r="O454" i="21"/>
  <c r="P454" i="21" s="1"/>
  <c r="O455" i="21"/>
  <c r="P455" i="21" s="1"/>
  <c r="O456" i="21"/>
  <c r="P456" i="21" s="1"/>
  <c r="O457" i="21"/>
  <c r="P457" i="21" s="1"/>
  <c r="O458" i="21"/>
  <c r="P458" i="21" s="1"/>
  <c r="O459" i="21"/>
  <c r="P459" i="21" s="1"/>
  <c r="O460" i="21"/>
  <c r="P460" i="21" s="1"/>
  <c r="O461" i="21"/>
  <c r="P461" i="21" s="1"/>
  <c r="O462" i="21"/>
  <c r="P462" i="21" s="1"/>
  <c r="O463" i="21"/>
  <c r="O464" i="21"/>
  <c r="P464" i="21" s="1"/>
  <c r="O465" i="21"/>
  <c r="P465" i="21" s="1"/>
  <c r="O466" i="21"/>
  <c r="P466" i="21" s="1"/>
  <c r="O467" i="21"/>
  <c r="O468" i="21"/>
  <c r="P468" i="21" s="1"/>
  <c r="O469" i="21"/>
  <c r="P469" i="21" s="1"/>
  <c r="O470" i="21"/>
  <c r="P470" i="21" s="1"/>
  <c r="O471" i="21"/>
  <c r="O472" i="21"/>
  <c r="P472" i="21" s="1"/>
  <c r="O473" i="21"/>
  <c r="P473" i="21" s="1"/>
  <c r="O474" i="21"/>
  <c r="P474" i="21" s="1"/>
  <c r="O475" i="21"/>
  <c r="O476" i="21"/>
  <c r="P476" i="21" s="1"/>
  <c r="O477" i="21"/>
  <c r="P477" i="21" s="1"/>
  <c r="O478" i="21"/>
  <c r="P478" i="21" s="1"/>
  <c r="O479" i="21"/>
  <c r="O480" i="21"/>
  <c r="P480" i="21" s="1"/>
  <c r="O481" i="21"/>
  <c r="P481" i="21" s="1"/>
  <c r="O482" i="21"/>
  <c r="P482" i="21" s="1"/>
  <c r="O483" i="21"/>
  <c r="O484" i="21"/>
  <c r="P484" i="21" s="1"/>
  <c r="O485" i="21"/>
  <c r="P485" i="21" s="1"/>
  <c r="O486" i="21"/>
  <c r="P486" i="21" s="1"/>
  <c r="O487" i="21"/>
  <c r="P487" i="21" s="1"/>
  <c r="O488" i="21"/>
  <c r="P488" i="21" s="1"/>
  <c r="O489" i="21"/>
  <c r="P489" i="21" s="1"/>
  <c r="O490" i="21"/>
  <c r="P490" i="21" s="1"/>
  <c r="O491" i="21"/>
  <c r="P491" i="21" s="1"/>
  <c r="O492" i="21"/>
  <c r="P492" i="21" s="1"/>
  <c r="O493" i="21"/>
  <c r="P493" i="21" s="1"/>
  <c r="O494" i="21"/>
  <c r="P494" i="21" s="1"/>
  <c r="O495" i="21"/>
  <c r="O496" i="21"/>
  <c r="P496" i="21" s="1"/>
  <c r="O497" i="21"/>
  <c r="P497" i="21" s="1"/>
  <c r="O498" i="21"/>
  <c r="P498" i="21" s="1"/>
  <c r="O499" i="21"/>
  <c r="O500" i="21"/>
  <c r="P500" i="21" s="1"/>
  <c r="O501" i="21"/>
  <c r="P501" i="21" s="1"/>
  <c r="O502" i="21"/>
  <c r="P502" i="21" s="1"/>
  <c r="O503" i="21"/>
  <c r="O504" i="21"/>
  <c r="P504" i="21" s="1"/>
  <c r="O505" i="21"/>
  <c r="P505" i="21" s="1"/>
  <c r="O506" i="21"/>
  <c r="P506" i="21" s="1"/>
  <c r="O507" i="21"/>
  <c r="O508" i="21"/>
  <c r="P508" i="21" s="1"/>
  <c r="O509" i="21"/>
  <c r="P509" i="21" s="1"/>
  <c r="O510" i="21"/>
  <c r="P510" i="21" s="1"/>
  <c r="O511" i="21"/>
  <c r="O512" i="21"/>
  <c r="P512" i="21" s="1"/>
  <c r="O513" i="21"/>
  <c r="P513" i="21" s="1"/>
  <c r="O514" i="21"/>
  <c r="P514" i="21" s="1"/>
  <c r="O515" i="21"/>
  <c r="O516" i="21"/>
  <c r="P516" i="21" s="1"/>
  <c r="O517" i="21"/>
  <c r="P517" i="21" s="1"/>
  <c r="O518" i="21"/>
  <c r="P518" i="21" s="1"/>
  <c r="O519" i="21"/>
  <c r="P519" i="21" s="1"/>
  <c r="O520" i="21"/>
  <c r="P520" i="21" s="1"/>
  <c r="O521" i="21"/>
  <c r="P521" i="21" s="1"/>
  <c r="O522" i="21"/>
  <c r="P522" i="21" s="1"/>
  <c r="O523" i="21"/>
  <c r="P523" i="21" s="1"/>
  <c r="O524" i="21"/>
  <c r="P524" i="21" s="1"/>
  <c r="O525" i="21"/>
  <c r="P525" i="21" s="1"/>
  <c r="O526" i="21"/>
  <c r="P526" i="21" s="1"/>
  <c r="O527" i="21"/>
  <c r="O528" i="21"/>
  <c r="P528" i="21" s="1"/>
  <c r="O529" i="21"/>
  <c r="P529" i="21" s="1"/>
  <c r="O530" i="21"/>
  <c r="P530" i="21" s="1"/>
  <c r="O531" i="21"/>
  <c r="O532" i="21"/>
  <c r="P532" i="21" s="1"/>
  <c r="O533" i="21"/>
  <c r="P533" i="21" s="1"/>
  <c r="O534" i="21"/>
  <c r="P534" i="21" s="1"/>
  <c r="O535" i="21"/>
  <c r="O536" i="21"/>
  <c r="P536" i="21" s="1"/>
  <c r="O537" i="21"/>
  <c r="P537" i="21" s="1"/>
  <c r="O538" i="21"/>
  <c r="P538" i="21" s="1"/>
  <c r="O539" i="21"/>
  <c r="O540" i="21"/>
  <c r="P540" i="21" s="1"/>
  <c r="O541" i="21"/>
  <c r="P541" i="21" s="1"/>
  <c r="O542" i="21"/>
  <c r="P542" i="21" s="1"/>
  <c r="O543" i="21"/>
  <c r="O544" i="21"/>
  <c r="P544" i="21" s="1"/>
  <c r="O545" i="21"/>
  <c r="P545" i="21" s="1"/>
  <c r="O546" i="21"/>
  <c r="P546" i="21" s="1"/>
  <c r="O547" i="21"/>
  <c r="O548" i="21"/>
  <c r="P548" i="21" s="1"/>
  <c r="O549" i="21"/>
  <c r="P549" i="21" s="1"/>
  <c r="O550" i="21"/>
  <c r="P550" i="21" s="1"/>
  <c r="O551" i="21"/>
  <c r="P551" i="21" s="1"/>
  <c r="O552" i="21"/>
  <c r="P552" i="21" s="1"/>
  <c r="O553" i="21"/>
  <c r="P553" i="21" s="1"/>
  <c r="O554" i="21"/>
  <c r="P554" i="21" s="1"/>
  <c r="O555" i="21"/>
  <c r="P555" i="21" s="1"/>
  <c r="O556" i="21"/>
  <c r="P556" i="21" s="1"/>
  <c r="O557" i="21"/>
  <c r="P557" i="21" s="1"/>
  <c r="O558" i="21"/>
  <c r="P558" i="21" s="1"/>
  <c r="O559" i="21"/>
  <c r="O560" i="21"/>
  <c r="P560" i="21" s="1"/>
  <c r="O561" i="21"/>
  <c r="P561" i="21" s="1"/>
  <c r="O562" i="21"/>
  <c r="P562" i="21" s="1"/>
  <c r="O563" i="21"/>
  <c r="O564" i="21"/>
  <c r="P564" i="21" s="1"/>
  <c r="O565" i="21"/>
  <c r="P565" i="21" s="1"/>
  <c r="O566" i="21"/>
  <c r="P566" i="21" s="1"/>
  <c r="O567" i="21"/>
  <c r="O568" i="21"/>
  <c r="P568" i="21" s="1"/>
  <c r="O569" i="21"/>
  <c r="P569" i="21" s="1"/>
  <c r="O570" i="21"/>
  <c r="P570" i="21" s="1"/>
  <c r="O571" i="21"/>
  <c r="O572" i="21"/>
  <c r="P572" i="21" s="1"/>
  <c r="O573" i="21"/>
  <c r="P573" i="21" s="1"/>
  <c r="O574" i="21"/>
  <c r="P574" i="21" s="1"/>
  <c r="O575" i="21"/>
  <c r="O576" i="21"/>
  <c r="P576" i="21" s="1"/>
  <c r="O577" i="21"/>
  <c r="P577" i="21" s="1"/>
  <c r="O578" i="21"/>
  <c r="P578" i="21" s="1"/>
  <c r="O579" i="21"/>
  <c r="O580" i="21"/>
  <c r="P580" i="21" s="1"/>
  <c r="O581" i="21"/>
  <c r="P581" i="21" s="1"/>
  <c r="O582" i="21"/>
  <c r="P582" i="21" s="1"/>
  <c r="O583" i="21"/>
  <c r="P583" i="21" s="1"/>
  <c r="O584" i="21"/>
  <c r="P584" i="21" s="1"/>
  <c r="O585" i="21"/>
  <c r="P585" i="21" s="1"/>
  <c r="O586" i="21"/>
  <c r="P586" i="21" s="1"/>
  <c r="O587" i="21"/>
  <c r="P587" i="21" s="1"/>
  <c r="O588" i="21"/>
  <c r="P588" i="21" s="1"/>
  <c r="O589" i="21"/>
  <c r="P589" i="21" s="1"/>
  <c r="O590" i="21"/>
  <c r="P590" i="21" s="1"/>
  <c r="O591" i="21"/>
  <c r="O592" i="21"/>
  <c r="P592" i="21" s="1"/>
  <c r="O593" i="21"/>
  <c r="P593" i="21" s="1"/>
  <c r="O594" i="21"/>
  <c r="P594" i="21" s="1"/>
  <c r="O595" i="21"/>
  <c r="O596" i="21"/>
  <c r="P596" i="21" s="1"/>
  <c r="O597" i="21"/>
  <c r="P597" i="21" s="1"/>
  <c r="O598" i="21"/>
  <c r="P598" i="21" s="1"/>
  <c r="O599" i="21"/>
  <c r="O600" i="21"/>
  <c r="P600" i="21" s="1"/>
  <c r="O601" i="21"/>
  <c r="P601" i="21" s="1"/>
  <c r="O602" i="21"/>
  <c r="P602" i="21" s="1"/>
  <c r="O603" i="21"/>
  <c r="O604" i="21"/>
  <c r="P604" i="21" s="1"/>
  <c r="O605" i="21"/>
  <c r="P605" i="21" s="1"/>
  <c r="O606" i="21"/>
  <c r="P606" i="21" s="1"/>
  <c r="O607" i="21"/>
  <c r="O608" i="21"/>
  <c r="P608" i="21" s="1"/>
  <c r="O609" i="21"/>
  <c r="P609" i="21" s="1"/>
  <c r="O610" i="21"/>
  <c r="P610" i="21" s="1"/>
  <c r="O611" i="21"/>
  <c r="O612" i="21"/>
  <c r="P612" i="21" s="1"/>
  <c r="O613" i="21"/>
  <c r="P613" i="21" s="1"/>
  <c r="O614" i="21"/>
  <c r="P614" i="21" s="1"/>
  <c r="O615" i="21"/>
  <c r="P615" i="21" s="1"/>
  <c r="O616" i="21"/>
  <c r="P616" i="21" s="1"/>
  <c r="O617" i="21"/>
  <c r="P617" i="21" s="1"/>
  <c r="O618" i="21"/>
  <c r="P618" i="21" s="1"/>
  <c r="O619" i="21"/>
  <c r="P619" i="21" s="1"/>
  <c r="O620" i="21"/>
  <c r="P620" i="21" s="1"/>
  <c r="O621" i="21"/>
  <c r="P621" i="21" s="1"/>
  <c r="O622" i="21"/>
  <c r="P622" i="21" s="1"/>
  <c r="O623" i="21"/>
  <c r="O624" i="21"/>
  <c r="P624" i="21" s="1"/>
  <c r="O625" i="21"/>
  <c r="P625" i="21" s="1"/>
  <c r="O626" i="21"/>
  <c r="P626" i="21" s="1"/>
  <c r="O627" i="21"/>
  <c r="O628" i="21"/>
  <c r="P628" i="21" s="1"/>
  <c r="O629" i="21"/>
  <c r="P629" i="21" s="1"/>
  <c r="O630" i="21"/>
  <c r="P630" i="21" s="1"/>
  <c r="O631" i="21"/>
  <c r="O632" i="21"/>
  <c r="P632" i="21" s="1"/>
  <c r="O633" i="21"/>
  <c r="P633" i="21" s="1"/>
  <c r="O634" i="21"/>
  <c r="P634" i="21" s="1"/>
  <c r="O635" i="21"/>
  <c r="O636" i="21"/>
  <c r="P636" i="21" s="1"/>
  <c r="O637" i="21"/>
  <c r="P637" i="21" s="1"/>
  <c r="O638" i="21"/>
  <c r="P638" i="21" s="1"/>
  <c r="O639" i="21"/>
  <c r="O640" i="21"/>
  <c r="P640" i="21" s="1"/>
  <c r="O641" i="21"/>
  <c r="P641" i="21" s="1"/>
  <c r="O642" i="21"/>
  <c r="P642" i="21" s="1"/>
  <c r="O643" i="21"/>
  <c r="O644" i="21"/>
  <c r="P644" i="21" s="1"/>
  <c r="O645" i="21"/>
  <c r="P645" i="21" s="1"/>
  <c r="O646" i="21"/>
  <c r="P646" i="21" s="1"/>
  <c r="O647" i="21"/>
  <c r="P647" i="21" s="1"/>
  <c r="O648" i="21"/>
  <c r="P648" i="21" s="1"/>
  <c r="O649" i="21"/>
  <c r="P649" i="21" s="1"/>
  <c r="O650" i="21"/>
  <c r="P650" i="21" s="1"/>
  <c r="O651" i="21"/>
  <c r="P651" i="21" s="1"/>
  <c r="O652" i="21"/>
  <c r="P652" i="21" s="1"/>
  <c r="O653" i="21"/>
  <c r="P653" i="21" s="1"/>
  <c r="O654" i="21"/>
  <c r="P654" i="21" s="1"/>
  <c r="O655" i="21"/>
  <c r="O656" i="21"/>
  <c r="P656" i="21" s="1"/>
  <c r="O657" i="21"/>
  <c r="P657" i="21" s="1"/>
  <c r="O658" i="21"/>
  <c r="P658" i="21" s="1"/>
  <c r="O659" i="21"/>
  <c r="O660" i="21"/>
  <c r="P660" i="21" s="1"/>
  <c r="O661" i="21"/>
  <c r="P661" i="21" s="1"/>
  <c r="O662" i="21"/>
  <c r="P662" i="21" s="1"/>
  <c r="O663" i="21"/>
  <c r="O664" i="21"/>
  <c r="P664" i="21" s="1"/>
  <c r="O665" i="21"/>
  <c r="P665" i="21" s="1"/>
  <c r="O666" i="21"/>
  <c r="P666" i="21" s="1"/>
  <c r="O667" i="21"/>
  <c r="O668" i="21"/>
  <c r="P668" i="21" s="1"/>
  <c r="O669" i="21"/>
  <c r="P669" i="21" s="1"/>
  <c r="O670" i="21"/>
  <c r="P670" i="21" s="1"/>
  <c r="O671" i="21"/>
  <c r="O672" i="21"/>
  <c r="P672" i="21" s="1"/>
  <c r="O673" i="21"/>
  <c r="P673" i="21" s="1"/>
  <c r="O674" i="21"/>
  <c r="P674" i="21" s="1"/>
  <c r="O675" i="21"/>
  <c r="O676" i="21"/>
  <c r="P676" i="21" s="1"/>
  <c r="O677" i="21"/>
  <c r="P677" i="21" s="1"/>
  <c r="O678" i="21"/>
  <c r="P678" i="21" s="1"/>
  <c r="O679" i="21"/>
  <c r="P679" i="21" s="1"/>
  <c r="O680" i="21"/>
  <c r="P680" i="21" s="1"/>
  <c r="O681" i="21"/>
  <c r="P681" i="21" s="1"/>
  <c r="O682" i="21"/>
  <c r="P682" i="21" s="1"/>
  <c r="O683" i="21"/>
  <c r="P683" i="21" s="1"/>
  <c r="O684" i="21"/>
  <c r="P684" i="21" s="1"/>
  <c r="O685" i="21"/>
  <c r="P685" i="21" s="1"/>
  <c r="O686" i="21"/>
  <c r="P686" i="21" s="1"/>
  <c r="O687" i="21"/>
  <c r="O688" i="21"/>
  <c r="P688" i="21" s="1"/>
  <c r="O689" i="21"/>
  <c r="P689" i="21" s="1"/>
  <c r="O690" i="21"/>
  <c r="P690" i="21" s="1"/>
  <c r="O691" i="21"/>
  <c r="O692" i="21"/>
  <c r="P692" i="21" s="1"/>
  <c r="O693" i="21"/>
  <c r="P693" i="21" s="1"/>
  <c r="O694" i="21"/>
  <c r="P694" i="21" s="1"/>
  <c r="O695" i="21"/>
  <c r="O696" i="21"/>
  <c r="P696" i="21" s="1"/>
  <c r="O697" i="21"/>
  <c r="P697" i="21" s="1"/>
  <c r="O698" i="21"/>
  <c r="P698" i="21" s="1"/>
  <c r="O699" i="21"/>
  <c r="O700" i="21"/>
  <c r="P700" i="21" s="1"/>
  <c r="O701" i="21"/>
  <c r="P701" i="21" s="1"/>
  <c r="O702" i="21"/>
  <c r="P702" i="21" s="1"/>
  <c r="O703" i="21"/>
  <c r="O704" i="21"/>
  <c r="P704" i="21" s="1"/>
  <c r="O705" i="21"/>
  <c r="P705" i="21" s="1"/>
  <c r="O706" i="21"/>
  <c r="P706" i="21" s="1"/>
  <c r="O707" i="21"/>
  <c r="O708" i="21"/>
  <c r="P708" i="21" s="1"/>
  <c r="O709" i="21"/>
  <c r="P709" i="21" s="1"/>
  <c r="O710" i="21"/>
  <c r="P710" i="21" s="1"/>
  <c r="O711" i="21"/>
  <c r="P711" i="21" s="1"/>
  <c r="O712" i="21"/>
  <c r="P712" i="21" s="1"/>
  <c r="O713" i="21"/>
  <c r="P713" i="21" s="1"/>
  <c r="O714" i="21"/>
  <c r="P714" i="21" s="1"/>
  <c r="O715" i="21"/>
  <c r="P715" i="21" s="1"/>
  <c r="O716" i="21"/>
  <c r="P716" i="21" s="1"/>
  <c r="O717" i="21"/>
  <c r="P717" i="21" s="1"/>
  <c r="O718" i="21"/>
  <c r="P718" i="21" s="1"/>
  <c r="O719" i="21"/>
  <c r="O720" i="21"/>
  <c r="P720" i="21" s="1"/>
  <c r="O721" i="21"/>
  <c r="P721" i="21" s="1"/>
  <c r="O722" i="21"/>
  <c r="P722" i="21" s="1"/>
  <c r="O723" i="21"/>
  <c r="O724" i="21"/>
  <c r="P724" i="21" s="1"/>
  <c r="O725" i="21"/>
  <c r="P725" i="21" s="1"/>
  <c r="O726" i="21"/>
  <c r="P726" i="21" s="1"/>
  <c r="O727" i="21"/>
  <c r="O728" i="21"/>
  <c r="P728" i="21" s="1"/>
  <c r="O729" i="21"/>
  <c r="P729" i="21" s="1"/>
  <c r="O730" i="21"/>
  <c r="P730" i="21" s="1"/>
  <c r="O731" i="21"/>
  <c r="O732" i="21"/>
  <c r="P732" i="21" s="1"/>
  <c r="O733" i="21"/>
  <c r="P733" i="21" s="1"/>
  <c r="O734" i="21"/>
  <c r="P734" i="21" s="1"/>
  <c r="O735" i="21"/>
  <c r="O736" i="21"/>
  <c r="P736" i="21" s="1"/>
  <c r="O737" i="21"/>
  <c r="P737" i="21" s="1"/>
  <c r="O738" i="21"/>
  <c r="P738" i="21" s="1"/>
  <c r="O739" i="21"/>
  <c r="O740" i="21"/>
  <c r="P740" i="21" s="1"/>
  <c r="O741" i="21"/>
  <c r="P741" i="21" s="1"/>
  <c r="O742" i="21"/>
  <c r="P742" i="21" s="1"/>
  <c r="O743" i="21"/>
  <c r="O744" i="21"/>
  <c r="P744" i="21" s="1"/>
  <c r="O745" i="21"/>
  <c r="P745" i="21" s="1"/>
  <c r="O746" i="21"/>
  <c r="P746" i="21" s="1"/>
  <c r="O747" i="21"/>
  <c r="O748" i="21"/>
  <c r="P748" i="21" s="1"/>
  <c r="O749" i="21"/>
  <c r="P749" i="21" s="1"/>
  <c r="O750" i="21"/>
  <c r="P750" i="21" s="1"/>
  <c r="O751" i="21"/>
  <c r="O752" i="21"/>
  <c r="P752" i="21" s="1"/>
  <c r="O753" i="21"/>
  <c r="P753" i="21" s="1"/>
  <c r="O754" i="21"/>
  <c r="P754" i="21" s="1"/>
  <c r="O755" i="21"/>
  <c r="O756" i="21"/>
  <c r="P756" i="21" s="1"/>
  <c r="O757" i="21"/>
  <c r="P757" i="21" s="1"/>
  <c r="O758" i="21"/>
  <c r="P758" i="21" s="1"/>
  <c r="O759" i="21"/>
  <c r="O760" i="21"/>
  <c r="P760" i="21" s="1"/>
  <c r="O761" i="21"/>
  <c r="P761" i="21" s="1"/>
  <c r="O762" i="21"/>
  <c r="P762" i="21" s="1"/>
  <c r="O763" i="21"/>
  <c r="O764" i="21"/>
  <c r="P764" i="21" s="1"/>
  <c r="O765" i="21"/>
  <c r="P765" i="21" s="1"/>
  <c r="O766" i="21"/>
  <c r="P766" i="21" s="1"/>
  <c r="O767" i="21"/>
  <c r="O768" i="21"/>
  <c r="P768" i="21" s="1"/>
  <c r="O769" i="21"/>
  <c r="P769" i="21" s="1"/>
  <c r="O770" i="21"/>
  <c r="P770" i="21" s="1"/>
  <c r="O771" i="21"/>
  <c r="O772" i="21"/>
  <c r="P772" i="21" s="1"/>
  <c r="O773" i="21"/>
  <c r="P773" i="21" s="1"/>
  <c r="O774" i="21"/>
  <c r="P774" i="21" s="1"/>
  <c r="O775" i="21"/>
  <c r="O776" i="21"/>
  <c r="P776" i="21" s="1"/>
  <c r="O777" i="21"/>
  <c r="P777" i="21" s="1"/>
  <c r="O778" i="21"/>
  <c r="P778" i="21" s="1"/>
  <c r="O779" i="21"/>
  <c r="O780" i="21"/>
  <c r="P780" i="21" s="1"/>
  <c r="O781" i="21"/>
  <c r="P781" i="21" s="1"/>
  <c r="O782" i="21"/>
  <c r="P782" i="21" s="1"/>
  <c r="O783" i="21"/>
  <c r="O784" i="21"/>
  <c r="P784" i="21" s="1"/>
  <c r="O785" i="21"/>
  <c r="P785" i="21" s="1"/>
  <c r="O786" i="21"/>
  <c r="P786" i="21" s="1"/>
  <c r="O787" i="21"/>
  <c r="O788" i="21"/>
  <c r="P788" i="21" s="1"/>
  <c r="O789" i="21"/>
  <c r="P789" i="21" s="1"/>
  <c r="O790" i="21"/>
  <c r="P790" i="21" s="1"/>
  <c r="O791" i="21"/>
  <c r="O792" i="21"/>
  <c r="P792" i="21" s="1"/>
  <c r="O793" i="21"/>
  <c r="P793" i="21" s="1"/>
  <c r="O794" i="21"/>
  <c r="P794" i="21" s="1"/>
  <c r="O795" i="21"/>
  <c r="O796" i="21"/>
  <c r="P796" i="21" s="1"/>
  <c r="O797" i="21"/>
  <c r="P797" i="21" s="1"/>
  <c r="O798" i="21"/>
  <c r="P798" i="21" s="1"/>
  <c r="O799" i="21"/>
  <c r="O800" i="21"/>
  <c r="P800" i="21" s="1"/>
  <c r="O801" i="21"/>
  <c r="P801" i="21" s="1"/>
  <c r="O802" i="21"/>
  <c r="P802" i="21" s="1"/>
  <c r="O803" i="21"/>
  <c r="O804" i="21"/>
  <c r="P804" i="21" s="1"/>
  <c r="O805" i="21"/>
  <c r="P805" i="21" s="1"/>
  <c r="O806" i="21"/>
  <c r="P806" i="21" s="1"/>
  <c r="O807" i="21"/>
  <c r="O808" i="21"/>
  <c r="P808" i="21" s="1"/>
  <c r="O809" i="21"/>
  <c r="P809" i="21" s="1"/>
  <c r="O810" i="21"/>
  <c r="P810" i="21" s="1"/>
  <c r="O811" i="21"/>
  <c r="O812" i="21"/>
  <c r="P812" i="21" s="1"/>
  <c r="O813" i="21"/>
  <c r="P813" i="21" s="1"/>
  <c r="O814" i="21"/>
  <c r="P814" i="21" s="1"/>
  <c r="O815" i="21"/>
  <c r="O816" i="21"/>
  <c r="P816" i="21" s="1"/>
  <c r="O817" i="21"/>
  <c r="P817" i="21" s="1"/>
  <c r="O818" i="21"/>
  <c r="P818" i="21" s="1"/>
  <c r="O819" i="21"/>
  <c r="O820" i="21"/>
  <c r="P820" i="21" s="1"/>
  <c r="O821" i="21"/>
  <c r="P821" i="21" s="1"/>
  <c r="O822" i="21"/>
  <c r="P822" i="21" s="1"/>
  <c r="O823" i="21"/>
  <c r="O824" i="21"/>
  <c r="P824" i="21" s="1"/>
  <c r="O825" i="21"/>
  <c r="P825" i="21" s="1"/>
  <c r="O826" i="21"/>
  <c r="P826" i="21" s="1"/>
  <c r="O827" i="21"/>
  <c r="O828" i="21"/>
  <c r="P828" i="21" s="1"/>
  <c r="O829" i="21"/>
  <c r="P829" i="21" s="1"/>
  <c r="O830" i="21"/>
  <c r="P830" i="21" s="1"/>
  <c r="O831" i="21"/>
  <c r="O832" i="21"/>
  <c r="P832" i="21" s="1"/>
  <c r="O833" i="21"/>
  <c r="P833" i="21" s="1"/>
  <c r="O834" i="21"/>
  <c r="P834" i="21" s="1"/>
  <c r="O835" i="21"/>
  <c r="O836" i="21"/>
  <c r="P836" i="21" s="1"/>
  <c r="O837" i="21"/>
  <c r="P837" i="21" s="1"/>
  <c r="O838" i="21"/>
  <c r="P838" i="21" s="1"/>
  <c r="O839" i="21"/>
  <c r="O840" i="21"/>
  <c r="P840" i="21" s="1"/>
  <c r="O841" i="21"/>
  <c r="P841" i="21" s="1"/>
  <c r="O842" i="21"/>
  <c r="P842" i="21" s="1"/>
  <c r="O843" i="21"/>
  <c r="O844" i="21"/>
  <c r="P844" i="21" s="1"/>
  <c r="O845" i="21"/>
  <c r="P845" i="21" s="1"/>
  <c r="O846" i="21"/>
  <c r="P846" i="21" s="1"/>
  <c r="O847" i="21"/>
  <c r="O848" i="21"/>
  <c r="P848" i="21" s="1"/>
  <c r="O849" i="21"/>
  <c r="P849" i="21" s="1"/>
  <c r="O850" i="21"/>
  <c r="P850" i="21" s="1"/>
  <c r="O851" i="21"/>
  <c r="O852" i="21"/>
  <c r="P852" i="21" s="1"/>
  <c r="O853" i="21"/>
  <c r="P853" i="21" s="1"/>
  <c r="O854" i="21"/>
  <c r="P854" i="21" s="1"/>
  <c r="O855" i="21"/>
  <c r="O856" i="21"/>
  <c r="P856" i="21" s="1"/>
  <c r="O857" i="21"/>
  <c r="P857" i="21" s="1"/>
  <c r="O858" i="21"/>
  <c r="P858" i="21" s="1"/>
  <c r="O859" i="21"/>
  <c r="O860" i="21"/>
  <c r="P860" i="21" s="1"/>
  <c r="O861" i="21"/>
  <c r="P861" i="21" s="1"/>
  <c r="O862" i="21"/>
  <c r="P862" i="21" s="1"/>
  <c r="O863" i="21"/>
  <c r="O864" i="21"/>
  <c r="P864" i="21" s="1"/>
  <c r="O865" i="21"/>
  <c r="P865" i="21" s="1"/>
  <c r="O866" i="21"/>
  <c r="P866" i="21" s="1"/>
  <c r="O867" i="21"/>
  <c r="O868" i="21"/>
  <c r="P868" i="21" s="1"/>
  <c r="O869" i="21"/>
  <c r="P869" i="21" s="1"/>
  <c r="O870" i="21"/>
  <c r="P870" i="21" s="1"/>
  <c r="O871" i="21"/>
  <c r="O872" i="21"/>
  <c r="P872" i="21" s="1"/>
  <c r="O873" i="21"/>
  <c r="P873" i="21" s="1"/>
  <c r="O874" i="21"/>
  <c r="P874" i="21" s="1"/>
  <c r="O875" i="21"/>
  <c r="O876" i="21"/>
  <c r="P876" i="21" s="1"/>
  <c r="O877" i="21"/>
  <c r="P877" i="21" s="1"/>
  <c r="O878" i="21"/>
  <c r="P878" i="21" s="1"/>
  <c r="O879" i="21"/>
  <c r="O880" i="21"/>
  <c r="P880" i="21" s="1"/>
  <c r="O881" i="21"/>
  <c r="P881" i="21" s="1"/>
  <c r="O882" i="21"/>
  <c r="P882" i="21" s="1"/>
  <c r="O883" i="21"/>
  <c r="O884" i="21"/>
  <c r="P884" i="21" s="1"/>
  <c r="O885" i="21"/>
  <c r="P885" i="21" s="1"/>
  <c r="O886" i="21"/>
  <c r="P886" i="21" s="1"/>
  <c r="O887" i="21"/>
  <c r="O888" i="21"/>
  <c r="P888" i="21" s="1"/>
  <c r="O889" i="21"/>
  <c r="P889" i="21" s="1"/>
  <c r="O890" i="21"/>
  <c r="P890" i="21" s="1"/>
  <c r="O891" i="21"/>
  <c r="O892" i="21"/>
  <c r="P892" i="21" s="1"/>
  <c r="O893" i="21"/>
  <c r="P893" i="21" s="1"/>
  <c r="O894" i="21"/>
  <c r="P894" i="21" s="1"/>
  <c r="O895" i="21"/>
  <c r="O896" i="21"/>
  <c r="P896" i="21" s="1"/>
  <c r="O897" i="21"/>
  <c r="P897" i="21" s="1"/>
  <c r="O898" i="21"/>
  <c r="P898" i="21" s="1"/>
  <c r="O899" i="21"/>
  <c r="O900" i="21"/>
  <c r="P900" i="21" s="1"/>
  <c r="O901" i="21"/>
  <c r="P901" i="21" s="1"/>
  <c r="O902" i="21"/>
  <c r="P902" i="21" s="1"/>
  <c r="O903" i="21"/>
  <c r="O904" i="21"/>
  <c r="P904" i="21" s="1"/>
  <c r="O905" i="21"/>
  <c r="P905" i="21" s="1"/>
  <c r="O906" i="21"/>
  <c r="P906" i="21" s="1"/>
  <c r="O907" i="21"/>
  <c r="O908" i="21"/>
  <c r="P908" i="21" s="1"/>
  <c r="O909" i="21"/>
  <c r="P909" i="21" s="1"/>
  <c r="O910" i="21"/>
  <c r="P910" i="21" s="1"/>
  <c r="O911" i="21"/>
  <c r="O912" i="21"/>
  <c r="P912" i="21" s="1"/>
  <c r="O913" i="21"/>
  <c r="P913" i="21" s="1"/>
  <c r="O914" i="21"/>
  <c r="P914" i="21" s="1"/>
  <c r="O915" i="21"/>
  <c r="O916" i="21"/>
  <c r="P916" i="21" s="1"/>
  <c r="O917" i="21"/>
  <c r="P917" i="21" s="1"/>
  <c r="O918" i="21"/>
  <c r="P918" i="21" s="1"/>
  <c r="O919" i="21"/>
  <c r="O920" i="21"/>
  <c r="P920" i="21" s="1"/>
  <c r="O921" i="21"/>
  <c r="P921" i="21" s="1"/>
  <c r="O922" i="21"/>
  <c r="P922" i="21" s="1"/>
  <c r="O923" i="21"/>
  <c r="O924" i="21"/>
  <c r="P924" i="21" s="1"/>
  <c r="O925" i="21"/>
  <c r="P925" i="21" s="1"/>
  <c r="O926" i="21"/>
  <c r="P926" i="21" s="1"/>
  <c r="O927" i="21"/>
  <c r="O928" i="21"/>
  <c r="P928" i="21" s="1"/>
  <c r="O929" i="21"/>
  <c r="P929" i="21" s="1"/>
  <c r="O930" i="21"/>
  <c r="P930" i="21" s="1"/>
  <c r="O931" i="21"/>
  <c r="O932" i="21"/>
  <c r="P932" i="21" s="1"/>
  <c r="O933" i="21"/>
  <c r="P933" i="21" s="1"/>
  <c r="O934" i="21"/>
  <c r="P934" i="21" s="1"/>
  <c r="O935" i="21"/>
  <c r="O936" i="21"/>
  <c r="P936" i="21" s="1"/>
  <c r="O937" i="21"/>
  <c r="P937" i="21" s="1"/>
  <c r="O938" i="21"/>
  <c r="P938" i="21" s="1"/>
  <c r="O939" i="21"/>
  <c r="O940" i="21"/>
  <c r="P940" i="21" s="1"/>
  <c r="O941" i="21"/>
  <c r="P941" i="21" s="1"/>
  <c r="O942" i="21"/>
  <c r="P942" i="21" s="1"/>
  <c r="O943" i="21"/>
  <c r="O944" i="21"/>
  <c r="P944" i="21" s="1"/>
  <c r="O945" i="21"/>
  <c r="P945" i="21" s="1"/>
  <c r="O946" i="21"/>
  <c r="P946" i="21" s="1"/>
  <c r="O947" i="21"/>
  <c r="O948" i="21"/>
  <c r="P948" i="21" s="1"/>
  <c r="O949" i="21"/>
  <c r="P949" i="21" s="1"/>
  <c r="O950" i="21"/>
  <c r="P950" i="21" s="1"/>
  <c r="O951" i="21"/>
  <c r="O952" i="21"/>
  <c r="P952" i="21" s="1"/>
  <c r="O953" i="21"/>
  <c r="P953" i="21" s="1"/>
  <c r="O954" i="21"/>
  <c r="P954" i="21" s="1"/>
  <c r="O955" i="21"/>
  <c r="O956" i="21"/>
  <c r="P956" i="21" s="1"/>
  <c r="O957" i="21"/>
  <c r="P957" i="21" s="1"/>
  <c r="O958" i="21"/>
  <c r="P958" i="21" s="1"/>
  <c r="O959" i="21"/>
  <c r="O960" i="21"/>
  <c r="P960" i="21" s="1"/>
  <c r="O961" i="21"/>
  <c r="P961" i="21" s="1"/>
  <c r="O962" i="21"/>
  <c r="P962" i="21" s="1"/>
  <c r="O963" i="21"/>
  <c r="O964" i="21"/>
  <c r="P964" i="21" s="1"/>
  <c r="O965" i="21"/>
  <c r="P965" i="21" s="1"/>
  <c r="AB114" i="1"/>
  <c r="AB154" i="1"/>
  <c r="AB174" i="1"/>
  <c r="AB1338" i="1"/>
  <c r="AB1412" i="1"/>
  <c r="AB1556" i="1"/>
  <c r="AB1578" i="1"/>
  <c r="AB1604" i="1"/>
  <c r="AB1629" i="1"/>
  <c r="AB1652" i="1"/>
  <c r="AB1697" i="1"/>
  <c r="AB1803" i="1"/>
  <c r="AA3" i="1"/>
  <c r="AB3" i="1" s="1"/>
  <c r="AA4" i="1"/>
  <c r="AB4" i="1" s="1"/>
  <c r="AA5" i="1"/>
  <c r="AB5" i="1" s="1"/>
  <c r="AA6" i="1"/>
  <c r="AB6" i="1" s="1"/>
  <c r="AA7" i="1"/>
  <c r="AB7" i="1" s="1"/>
  <c r="AA8" i="1"/>
  <c r="AB8" i="1" s="1"/>
  <c r="AA9" i="1"/>
  <c r="AB9" i="1" s="1"/>
  <c r="AA10" i="1"/>
  <c r="AB10" i="1" s="1"/>
  <c r="AA11" i="1"/>
  <c r="AB11" i="1" s="1"/>
  <c r="AA12" i="1"/>
  <c r="AB12" i="1" s="1"/>
  <c r="AA13" i="1"/>
  <c r="AB13" i="1" s="1"/>
  <c r="AA14" i="1"/>
  <c r="AB14" i="1" s="1"/>
  <c r="AA15" i="1"/>
  <c r="AB15" i="1" s="1"/>
  <c r="AA16" i="1"/>
  <c r="AB16" i="1" s="1"/>
  <c r="AA17" i="1"/>
  <c r="AB17" i="1" s="1"/>
  <c r="AA18" i="1"/>
  <c r="AB18" i="1" s="1"/>
  <c r="AA19" i="1"/>
  <c r="AB19" i="1" s="1"/>
  <c r="AA20" i="1"/>
  <c r="AB20" i="1" s="1"/>
  <c r="AA21" i="1"/>
  <c r="AB21" i="1" s="1"/>
  <c r="AA22" i="1"/>
  <c r="AB22" i="1" s="1"/>
  <c r="AA23" i="1"/>
  <c r="AB23" i="1" s="1"/>
  <c r="AA24" i="1"/>
  <c r="AB24" i="1" s="1"/>
  <c r="AA25" i="1"/>
  <c r="AB25" i="1" s="1"/>
  <c r="AA26" i="1"/>
  <c r="AB26" i="1" s="1"/>
  <c r="AA27" i="1"/>
  <c r="AB27" i="1" s="1"/>
  <c r="AA28" i="1"/>
  <c r="AB28" i="1" s="1"/>
  <c r="AA29" i="1"/>
  <c r="AB29" i="1" s="1"/>
  <c r="AA30" i="1"/>
  <c r="AB30" i="1" s="1"/>
  <c r="AA31" i="1"/>
  <c r="AB31" i="1" s="1"/>
  <c r="AA32" i="1"/>
  <c r="AB32" i="1" s="1"/>
  <c r="AA33" i="1"/>
  <c r="AB33" i="1" s="1"/>
  <c r="AA34" i="1"/>
  <c r="AB34" i="1" s="1"/>
  <c r="AA35" i="1"/>
  <c r="AB35" i="1" s="1"/>
  <c r="AA36" i="1"/>
  <c r="AB36" i="1" s="1"/>
  <c r="AA37" i="1"/>
  <c r="AB37" i="1" s="1"/>
  <c r="AA38" i="1"/>
  <c r="AB38" i="1" s="1"/>
  <c r="AA39" i="1"/>
  <c r="AB39" i="1" s="1"/>
  <c r="AA40" i="1"/>
  <c r="AB40" i="1" s="1"/>
  <c r="AA41" i="1"/>
  <c r="AB41" i="1" s="1"/>
  <c r="AA42" i="1"/>
  <c r="AB42" i="1" s="1"/>
  <c r="AA43" i="1"/>
  <c r="AB43" i="1" s="1"/>
  <c r="AA44" i="1"/>
  <c r="AB44" i="1" s="1"/>
  <c r="AA45" i="1"/>
  <c r="AB45" i="1" s="1"/>
  <c r="AA46" i="1"/>
  <c r="AB46" i="1" s="1"/>
  <c r="AA47" i="1"/>
  <c r="AB47" i="1" s="1"/>
  <c r="AA48" i="1"/>
  <c r="AB48" i="1" s="1"/>
  <c r="AA49" i="1"/>
  <c r="AB49" i="1" s="1"/>
  <c r="AA50" i="1"/>
  <c r="AB50" i="1" s="1"/>
  <c r="AA51" i="1"/>
  <c r="AB51" i="1" s="1"/>
  <c r="AA52" i="1"/>
  <c r="AB52" i="1" s="1"/>
  <c r="AA53" i="1"/>
  <c r="AB53" i="1" s="1"/>
  <c r="AA54" i="1"/>
  <c r="AB54" i="1" s="1"/>
  <c r="AA55" i="1"/>
  <c r="AB55" i="1" s="1"/>
  <c r="AA56" i="1"/>
  <c r="AB56" i="1" s="1"/>
  <c r="AA57" i="1"/>
  <c r="AB57" i="1" s="1"/>
  <c r="AA58" i="1"/>
  <c r="AB58" i="1" s="1"/>
  <c r="AA59" i="1"/>
  <c r="AB59" i="1" s="1"/>
  <c r="AA60" i="1"/>
  <c r="AB60" i="1" s="1"/>
  <c r="AA61" i="1"/>
  <c r="AB61" i="1" s="1"/>
  <c r="AA62" i="1"/>
  <c r="AB62" i="1" s="1"/>
  <c r="AA63" i="1"/>
  <c r="AB63" i="1" s="1"/>
  <c r="AA64" i="1"/>
  <c r="AB64" i="1" s="1"/>
  <c r="AA65" i="1"/>
  <c r="AB65" i="1" s="1"/>
  <c r="AA66" i="1"/>
  <c r="AB66" i="1" s="1"/>
  <c r="AA67" i="1"/>
  <c r="AB67" i="1" s="1"/>
  <c r="AA68" i="1"/>
  <c r="AB68" i="1" s="1"/>
  <c r="AA69" i="1"/>
  <c r="AB69" i="1" s="1"/>
  <c r="AA70" i="1"/>
  <c r="AB70" i="1" s="1"/>
  <c r="AA71" i="1"/>
  <c r="AB71" i="1" s="1"/>
  <c r="AA72" i="1"/>
  <c r="AB72" i="1" s="1"/>
  <c r="AA73" i="1"/>
  <c r="AB73" i="1" s="1"/>
  <c r="AA74" i="1"/>
  <c r="AB74" i="1" s="1"/>
  <c r="AA75" i="1"/>
  <c r="AB75" i="1" s="1"/>
  <c r="AA76" i="1"/>
  <c r="AB76" i="1" s="1"/>
  <c r="AA77" i="1"/>
  <c r="AB77" i="1" s="1"/>
  <c r="AA78" i="1"/>
  <c r="AB78" i="1" s="1"/>
  <c r="AA79" i="1"/>
  <c r="AB79" i="1" s="1"/>
  <c r="AA80" i="1"/>
  <c r="AB80" i="1" s="1"/>
  <c r="AA81" i="1"/>
  <c r="AB81" i="1" s="1"/>
  <c r="AA82" i="1"/>
  <c r="AB82" i="1" s="1"/>
  <c r="AA83" i="1"/>
  <c r="AB83" i="1" s="1"/>
  <c r="AA84" i="1"/>
  <c r="AB84" i="1" s="1"/>
  <c r="AA85" i="1"/>
  <c r="AB85" i="1" s="1"/>
  <c r="AA86" i="1"/>
  <c r="AB86" i="1" s="1"/>
  <c r="AA87" i="1"/>
  <c r="AB87" i="1" s="1"/>
  <c r="AA88" i="1"/>
  <c r="AB88" i="1" s="1"/>
  <c r="AA89" i="1"/>
  <c r="AB89" i="1" s="1"/>
  <c r="AA90" i="1"/>
  <c r="AB90" i="1" s="1"/>
  <c r="AA91" i="1"/>
  <c r="AB91" i="1" s="1"/>
  <c r="AA92" i="1"/>
  <c r="AB92" i="1" s="1"/>
  <c r="AA93" i="1"/>
  <c r="AB93" i="1" s="1"/>
  <c r="AA94" i="1"/>
  <c r="AB94" i="1" s="1"/>
  <c r="AA95" i="1"/>
  <c r="AB95" i="1" s="1"/>
  <c r="AA96" i="1"/>
  <c r="AB96" i="1" s="1"/>
  <c r="AA97" i="1"/>
  <c r="AB97" i="1" s="1"/>
  <c r="AA98" i="1"/>
  <c r="AB98" i="1" s="1"/>
  <c r="AA99" i="1"/>
  <c r="AB99" i="1" s="1"/>
  <c r="AA100" i="1"/>
  <c r="AB100" i="1" s="1"/>
  <c r="AA101" i="1"/>
  <c r="AB101" i="1" s="1"/>
  <c r="AA102" i="1"/>
  <c r="AB102" i="1" s="1"/>
  <c r="AA103" i="1"/>
  <c r="AB103" i="1" s="1"/>
  <c r="AA104" i="1"/>
  <c r="AB104" i="1" s="1"/>
  <c r="AA105" i="1"/>
  <c r="AB105" i="1" s="1"/>
  <c r="AA106" i="1"/>
  <c r="AB106" i="1" s="1"/>
  <c r="AA107" i="1"/>
  <c r="AB107" i="1" s="1"/>
  <c r="AA108" i="1"/>
  <c r="AB108" i="1" s="1"/>
  <c r="AA109" i="1"/>
  <c r="AB109" i="1" s="1"/>
  <c r="AA110" i="1"/>
  <c r="AB110" i="1" s="1"/>
  <c r="AA111" i="1"/>
  <c r="AB111" i="1" s="1"/>
  <c r="AA112" i="1"/>
  <c r="AB112" i="1" s="1"/>
  <c r="AA113" i="1"/>
  <c r="AB113" i="1" s="1"/>
  <c r="AA114" i="1"/>
  <c r="AA115" i="1"/>
  <c r="AB115" i="1" s="1"/>
  <c r="AA116" i="1"/>
  <c r="AB116" i="1" s="1"/>
  <c r="AA117" i="1"/>
  <c r="AB117" i="1" s="1"/>
  <c r="AA118" i="1"/>
  <c r="AB118" i="1" s="1"/>
  <c r="AA119" i="1"/>
  <c r="AB119" i="1" s="1"/>
  <c r="AA120" i="1"/>
  <c r="AB120" i="1" s="1"/>
  <c r="AA121" i="1"/>
  <c r="AB121" i="1" s="1"/>
  <c r="AA122" i="1"/>
  <c r="AB122" i="1" s="1"/>
  <c r="AA123" i="1"/>
  <c r="AB123" i="1" s="1"/>
  <c r="AA124" i="1"/>
  <c r="AB124" i="1" s="1"/>
  <c r="AA125" i="1"/>
  <c r="AB125" i="1" s="1"/>
  <c r="AA126" i="1"/>
  <c r="AB126" i="1" s="1"/>
  <c r="AA127" i="1"/>
  <c r="AB127" i="1" s="1"/>
  <c r="AA128" i="1"/>
  <c r="AB128" i="1" s="1"/>
  <c r="AA129" i="1"/>
  <c r="AB129" i="1" s="1"/>
  <c r="AA130" i="1"/>
  <c r="AB130" i="1" s="1"/>
  <c r="AA131" i="1"/>
  <c r="AB131" i="1" s="1"/>
  <c r="AA132" i="1"/>
  <c r="AB132" i="1" s="1"/>
  <c r="AA133" i="1"/>
  <c r="AB133" i="1" s="1"/>
  <c r="AA134" i="1"/>
  <c r="AB134" i="1" s="1"/>
  <c r="AA135" i="1"/>
  <c r="AB135" i="1" s="1"/>
  <c r="AA136" i="1"/>
  <c r="AB136" i="1" s="1"/>
  <c r="AA137" i="1"/>
  <c r="AB137" i="1" s="1"/>
  <c r="AA138" i="1"/>
  <c r="AB138" i="1" s="1"/>
  <c r="AA139" i="1"/>
  <c r="AB139" i="1" s="1"/>
  <c r="AA140" i="1"/>
  <c r="AB140" i="1" s="1"/>
  <c r="AA141" i="1"/>
  <c r="AB141" i="1" s="1"/>
  <c r="AA142" i="1"/>
  <c r="AB142" i="1" s="1"/>
  <c r="AA143" i="1"/>
  <c r="AB143" i="1" s="1"/>
  <c r="AA144" i="1"/>
  <c r="AB144" i="1" s="1"/>
  <c r="AA145" i="1"/>
  <c r="AB145" i="1" s="1"/>
  <c r="AA146" i="1"/>
  <c r="AB146" i="1" s="1"/>
  <c r="AA147" i="1"/>
  <c r="AB147" i="1" s="1"/>
  <c r="AA148" i="1"/>
  <c r="AB148" i="1" s="1"/>
  <c r="AA149" i="1"/>
  <c r="AB149" i="1" s="1"/>
  <c r="AA150" i="1"/>
  <c r="AB150" i="1" s="1"/>
  <c r="AA151" i="1"/>
  <c r="AB151" i="1" s="1"/>
  <c r="AA152" i="1"/>
  <c r="AB152" i="1" s="1"/>
  <c r="AA153" i="1"/>
  <c r="AB153" i="1" s="1"/>
  <c r="AA154" i="1"/>
  <c r="AA155" i="1"/>
  <c r="AB155" i="1" s="1"/>
  <c r="AA156" i="1"/>
  <c r="AB156" i="1" s="1"/>
  <c r="AA157" i="1"/>
  <c r="AB157" i="1" s="1"/>
  <c r="AA158" i="1"/>
  <c r="AB158" i="1" s="1"/>
  <c r="AA159" i="1"/>
  <c r="AB159" i="1" s="1"/>
  <c r="AA160" i="1"/>
  <c r="AB160" i="1" s="1"/>
  <c r="AA161" i="1"/>
  <c r="AB161" i="1" s="1"/>
  <c r="AA162" i="1"/>
  <c r="AB162" i="1" s="1"/>
  <c r="AA163" i="1"/>
  <c r="AB163" i="1" s="1"/>
  <c r="AA164" i="1"/>
  <c r="AB164" i="1" s="1"/>
  <c r="AA165" i="1"/>
  <c r="AB165" i="1" s="1"/>
  <c r="AA166" i="1"/>
  <c r="AB166" i="1" s="1"/>
  <c r="AA167" i="1"/>
  <c r="AB167" i="1" s="1"/>
  <c r="AA168" i="1"/>
  <c r="AB168" i="1" s="1"/>
  <c r="AA169" i="1"/>
  <c r="AB169" i="1" s="1"/>
  <c r="AA170" i="1"/>
  <c r="AB170" i="1" s="1"/>
  <c r="AA171" i="1"/>
  <c r="AB171" i="1" s="1"/>
  <c r="AA172" i="1"/>
  <c r="AB172" i="1" s="1"/>
  <c r="AA173" i="1"/>
  <c r="AB173" i="1" s="1"/>
  <c r="AA174" i="1"/>
  <c r="AA175" i="1"/>
  <c r="AB175" i="1" s="1"/>
  <c r="AA176" i="1"/>
  <c r="AB176" i="1" s="1"/>
  <c r="AA177" i="1"/>
  <c r="AB177" i="1" s="1"/>
  <c r="AA178" i="1"/>
  <c r="AB178" i="1" s="1"/>
  <c r="AA179" i="1"/>
  <c r="AB179" i="1" s="1"/>
  <c r="AA180" i="1"/>
  <c r="AB180" i="1" s="1"/>
  <c r="AA181" i="1"/>
  <c r="AB181" i="1" s="1"/>
  <c r="AA182" i="1"/>
  <c r="AB182" i="1" s="1"/>
  <c r="AA183" i="1"/>
  <c r="AB183" i="1" s="1"/>
  <c r="AA184" i="1"/>
  <c r="AB184" i="1" s="1"/>
  <c r="AA185" i="1"/>
  <c r="AB185" i="1" s="1"/>
  <c r="AA186" i="1"/>
  <c r="AB186" i="1" s="1"/>
  <c r="AA187" i="1"/>
  <c r="AB187" i="1" s="1"/>
  <c r="AA188" i="1"/>
  <c r="AB188" i="1" s="1"/>
  <c r="AA189" i="1"/>
  <c r="AB189" i="1" s="1"/>
  <c r="AA190" i="1"/>
  <c r="AB190" i="1" s="1"/>
  <c r="AA191" i="1"/>
  <c r="AB191" i="1" s="1"/>
  <c r="AA192" i="1"/>
  <c r="AB192" i="1" s="1"/>
  <c r="AA193" i="1"/>
  <c r="AB193" i="1" s="1"/>
  <c r="AA194" i="1"/>
  <c r="AB194" i="1" s="1"/>
  <c r="AA195" i="1"/>
  <c r="AB195" i="1" s="1"/>
  <c r="AA196" i="1"/>
  <c r="AB196" i="1" s="1"/>
  <c r="AA197" i="1"/>
  <c r="AB197" i="1" s="1"/>
  <c r="AA198" i="1"/>
  <c r="AB198" i="1" s="1"/>
  <c r="AA199" i="1"/>
  <c r="AB199" i="1" s="1"/>
  <c r="AA200" i="1"/>
  <c r="AB200" i="1" s="1"/>
  <c r="AA201" i="1"/>
  <c r="AB201" i="1" s="1"/>
  <c r="AA202" i="1"/>
  <c r="AB202" i="1" s="1"/>
  <c r="AA203" i="1"/>
  <c r="AB203" i="1" s="1"/>
  <c r="AA204" i="1"/>
  <c r="AB204" i="1" s="1"/>
  <c r="AA205" i="1"/>
  <c r="AB205" i="1" s="1"/>
  <c r="AA206" i="1"/>
  <c r="AB206" i="1" s="1"/>
  <c r="AA207" i="1"/>
  <c r="AB207" i="1" s="1"/>
  <c r="AA208" i="1"/>
  <c r="AB208" i="1" s="1"/>
  <c r="AA209" i="1"/>
  <c r="AB209" i="1" s="1"/>
  <c r="AA210" i="1"/>
  <c r="AB210" i="1" s="1"/>
  <c r="AA211" i="1"/>
  <c r="AB211" i="1" s="1"/>
  <c r="AA212" i="1"/>
  <c r="AB212" i="1" s="1"/>
  <c r="AA213" i="1"/>
  <c r="AB213" i="1" s="1"/>
  <c r="AA214" i="1"/>
  <c r="AB214" i="1" s="1"/>
  <c r="AA215" i="1"/>
  <c r="AB215" i="1" s="1"/>
  <c r="AA216" i="1"/>
  <c r="AB216" i="1" s="1"/>
  <c r="AA217" i="1"/>
  <c r="AB217" i="1" s="1"/>
  <c r="AA218" i="1"/>
  <c r="AB218" i="1" s="1"/>
  <c r="AA219" i="1"/>
  <c r="AB219" i="1" s="1"/>
  <c r="AA220" i="1"/>
  <c r="AB220" i="1" s="1"/>
  <c r="AA221" i="1"/>
  <c r="AB221" i="1" s="1"/>
  <c r="AA222" i="1"/>
  <c r="AB222" i="1" s="1"/>
  <c r="AA223" i="1"/>
  <c r="AB223" i="1" s="1"/>
  <c r="AA224" i="1"/>
  <c r="AB224" i="1" s="1"/>
  <c r="AA225" i="1"/>
  <c r="AB225" i="1" s="1"/>
  <c r="AA226" i="1"/>
  <c r="AB226" i="1" s="1"/>
  <c r="AA227" i="1"/>
  <c r="AB227" i="1" s="1"/>
  <c r="AA228" i="1"/>
  <c r="AB228" i="1" s="1"/>
  <c r="AA229" i="1"/>
  <c r="AB229" i="1" s="1"/>
  <c r="AA230" i="1"/>
  <c r="AB230" i="1" s="1"/>
  <c r="AA231" i="1"/>
  <c r="AB231" i="1" s="1"/>
  <c r="AA232" i="1"/>
  <c r="AB232" i="1" s="1"/>
  <c r="AA233" i="1"/>
  <c r="AB233" i="1" s="1"/>
  <c r="AA234" i="1"/>
  <c r="AB234" i="1" s="1"/>
  <c r="AA235" i="1"/>
  <c r="AB235" i="1" s="1"/>
  <c r="AA236" i="1"/>
  <c r="AB236" i="1" s="1"/>
  <c r="AA237" i="1"/>
  <c r="AB237" i="1" s="1"/>
  <c r="AA238" i="1"/>
  <c r="AB238" i="1" s="1"/>
  <c r="AA239" i="1"/>
  <c r="AB239" i="1" s="1"/>
  <c r="AA240" i="1"/>
  <c r="AB240" i="1" s="1"/>
  <c r="AA241" i="1"/>
  <c r="AB241" i="1" s="1"/>
  <c r="AA242" i="1"/>
  <c r="AB242" i="1" s="1"/>
  <c r="AA243" i="1"/>
  <c r="AB243" i="1" s="1"/>
  <c r="AA244" i="1"/>
  <c r="AB244" i="1" s="1"/>
  <c r="AA245" i="1"/>
  <c r="AB245" i="1" s="1"/>
  <c r="AA246" i="1"/>
  <c r="AB246" i="1" s="1"/>
  <c r="AA247" i="1"/>
  <c r="AB247" i="1" s="1"/>
  <c r="AA248" i="1"/>
  <c r="AB248" i="1" s="1"/>
  <c r="AA249" i="1"/>
  <c r="AB249" i="1" s="1"/>
  <c r="AA250" i="1"/>
  <c r="AB250" i="1" s="1"/>
  <c r="AA251" i="1"/>
  <c r="AB251" i="1" s="1"/>
  <c r="AA252" i="1"/>
  <c r="AB252" i="1" s="1"/>
  <c r="AA253" i="1"/>
  <c r="AB253" i="1" s="1"/>
  <c r="AA254" i="1"/>
  <c r="AB254" i="1" s="1"/>
  <c r="AA255" i="1"/>
  <c r="AB255" i="1" s="1"/>
  <c r="AA256" i="1"/>
  <c r="AB256" i="1" s="1"/>
  <c r="AA257" i="1"/>
  <c r="AB257" i="1" s="1"/>
  <c r="AA258" i="1"/>
  <c r="AB258" i="1" s="1"/>
  <c r="AA259" i="1"/>
  <c r="AB259" i="1" s="1"/>
  <c r="AA260" i="1"/>
  <c r="AB260" i="1" s="1"/>
  <c r="AA261" i="1"/>
  <c r="AB261" i="1" s="1"/>
  <c r="AA262" i="1"/>
  <c r="AB262" i="1" s="1"/>
  <c r="AA263" i="1"/>
  <c r="AB263" i="1" s="1"/>
  <c r="AA264" i="1"/>
  <c r="AB264" i="1" s="1"/>
  <c r="AA265" i="1"/>
  <c r="AB265" i="1" s="1"/>
  <c r="AA266" i="1"/>
  <c r="AB266" i="1" s="1"/>
  <c r="AA267" i="1"/>
  <c r="AB267" i="1" s="1"/>
  <c r="AA268" i="1"/>
  <c r="AB268" i="1" s="1"/>
  <c r="AA269" i="1"/>
  <c r="AB269" i="1" s="1"/>
  <c r="AA270" i="1"/>
  <c r="AB270" i="1" s="1"/>
  <c r="AA271" i="1"/>
  <c r="AB271" i="1" s="1"/>
  <c r="AA272" i="1"/>
  <c r="AB272" i="1" s="1"/>
  <c r="AA273" i="1"/>
  <c r="AB273" i="1" s="1"/>
  <c r="AA274" i="1"/>
  <c r="AB274" i="1" s="1"/>
  <c r="AA275" i="1"/>
  <c r="AB275" i="1" s="1"/>
  <c r="AA276" i="1"/>
  <c r="AB276" i="1" s="1"/>
  <c r="AA277" i="1"/>
  <c r="AB277" i="1" s="1"/>
  <c r="AA278" i="1"/>
  <c r="AB278" i="1" s="1"/>
  <c r="AA279" i="1"/>
  <c r="AB279" i="1" s="1"/>
  <c r="AA280" i="1"/>
  <c r="AB280" i="1" s="1"/>
  <c r="AA281" i="1"/>
  <c r="AB281" i="1" s="1"/>
  <c r="AA282" i="1"/>
  <c r="AB282" i="1" s="1"/>
  <c r="AA283" i="1"/>
  <c r="AB283" i="1" s="1"/>
  <c r="AA284" i="1"/>
  <c r="AB284" i="1" s="1"/>
  <c r="AA285" i="1"/>
  <c r="AB285" i="1" s="1"/>
  <c r="AA286" i="1"/>
  <c r="AB286" i="1" s="1"/>
  <c r="AA287" i="1"/>
  <c r="AB287" i="1" s="1"/>
  <c r="AA288" i="1"/>
  <c r="AB288" i="1" s="1"/>
  <c r="AA289" i="1"/>
  <c r="AB289" i="1" s="1"/>
  <c r="AA290" i="1"/>
  <c r="AB290" i="1" s="1"/>
  <c r="AA291" i="1"/>
  <c r="AB291" i="1" s="1"/>
  <c r="AA292" i="1"/>
  <c r="AB292" i="1" s="1"/>
  <c r="AA293" i="1"/>
  <c r="AB293" i="1" s="1"/>
  <c r="AA294" i="1"/>
  <c r="AB294" i="1" s="1"/>
  <c r="AA295" i="1"/>
  <c r="AB295" i="1" s="1"/>
  <c r="AA296" i="1"/>
  <c r="AB296" i="1" s="1"/>
  <c r="AA297" i="1"/>
  <c r="AB297" i="1" s="1"/>
  <c r="AA298" i="1"/>
  <c r="AB298" i="1" s="1"/>
  <c r="AA299" i="1"/>
  <c r="AB299" i="1" s="1"/>
  <c r="AA300" i="1"/>
  <c r="AB300" i="1" s="1"/>
  <c r="AA301" i="1"/>
  <c r="AB301" i="1" s="1"/>
  <c r="AA302" i="1"/>
  <c r="AB302" i="1" s="1"/>
  <c r="AA303" i="1"/>
  <c r="AB303" i="1" s="1"/>
  <c r="AA304" i="1"/>
  <c r="AB304" i="1" s="1"/>
  <c r="AA305" i="1"/>
  <c r="AB305" i="1" s="1"/>
  <c r="AA306" i="1"/>
  <c r="AB306" i="1" s="1"/>
  <c r="AA307" i="1"/>
  <c r="AB307" i="1" s="1"/>
  <c r="AA308" i="1"/>
  <c r="AB308" i="1" s="1"/>
  <c r="AA309" i="1"/>
  <c r="AB309" i="1" s="1"/>
  <c r="AA310" i="1"/>
  <c r="AB310" i="1" s="1"/>
  <c r="AA311" i="1"/>
  <c r="AB311" i="1" s="1"/>
  <c r="AA312" i="1"/>
  <c r="AB312" i="1" s="1"/>
  <c r="AA313" i="1"/>
  <c r="AB313" i="1" s="1"/>
  <c r="AA314" i="1"/>
  <c r="AB314" i="1" s="1"/>
  <c r="AA315" i="1"/>
  <c r="AB315" i="1" s="1"/>
  <c r="AA316" i="1"/>
  <c r="AB316" i="1" s="1"/>
  <c r="AA317" i="1"/>
  <c r="AB317" i="1" s="1"/>
  <c r="AA318" i="1"/>
  <c r="AB318" i="1" s="1"/>
  <c r="AA319" i="1"/>
  <c r="AB319" i="1" s="1"/>
  <c r="AA320" i="1"/>
  <c r="AB320" i="1" s="1"/>
  <c r="AA321" i="1"/>
  <c r="AB321" i="1" s="1"/>
  <c r="AA322" i="1"/>
  <c r="AB322" i="1" s="1"/>
  <c r="AA323" i="1"/>
  <c r="AB323" i="1" s="1"/>
  <c r="AA324" i="1"/>
  <c r="AB324" i="1" s="1"/>
  <c r="AA325" i="1"/>
  <c r="AB325" i="1" s="1"/>
  <c r="AA326" i="1"/>
  <c r="AB326" i="1" s="1"/>
  <c r="AA327" i="1"/>
  <c r="AB327" i="1" s="1"/>
  <c r="AA328" i="1"/>
  <c r="AB328" i="1" s="1"/>
  <c r="AA329" i="1"/>
  <c r="AB329" i="1" s="1"/>
  <c r="AA330" i="1"/>
  <c r="AB330" i="1" s="1"/>
  <c r="AA331" i="1"/>
  <c r="AB331" i="1" s="1"/>
  <c r="AA332" i="1"/>
  <c r="AB332" i="1" s="1"/>
  <c r="AA333" i="1"/>
  <c r="AB333" i="1" s="1"/>
  <c r="AA334" i="1"/>
  <c r="AB334" i="1" s="1"/>
  <c r="AA335" i="1"/>
  <c r="AB335" i="1" s="1"/>
  <c r="AA336" i="1"/>
  <c r="AB336" i="1" s="1"/>
  <c r="AA337" i="1"/>
  <c r="AB337" i="1" s="1"/>
  <c r="AA338" i="1"/>
  <c r="AB338" i="1" s="1"/>
  <c r="AA339" i="1"/>
  <c r="AB339" i="1" s="1"/>
  <c r="AA340" i="1"/>
  <c r="AB340" i="1" s="1"/>
  <c r="AA341" i="1"/>
  <c r="AB341" i="1" s="1"/>
  <c r="AA342" i="1"/>
  <c r="AB342" i="1" s="1"/>
  <c r="AA343" i="1"/>
  <c r="AB343" i="1" s="1"/>
  <c r="AA344" i="1"/>
  <c r="AB344" i="1" s="1"/>
  <c r="AA345" i="1"/>
  <c r="AB345" i="1" s="1"/>
  <c r="AA346" i="1"/>
  <c r="AB346" i="1" s="1"/>
  <c r="AA347" i="1"/>
  <c r="AB347" i="1" s="1"/>
  <c r="AA348" i="1"/>
  <c r="AB348" i="1" s="1"/>
  <c r="AA349" i="1"/>
  <c r="AB349" i="1" s="1"/>
  <c r="AA350" i="1"/>
  <c r="AB350" i="1" s="1"/>
  <c r="AA351" i="1"/>
  <c r="AB351" i="1" s="1"/>
  <c r="AA352" i="1"/>
  <c r="AB352" i="1" s="1"/>
  <c r="AA353" i="1"/>
  <c r="AB353" i="1" s="1"/>
  <c r="AA354" i="1"/>
  <c r="AB354" i="1" s="1"/>
  <c r="AA355" i="1"/>
  <c r="AB355" i="1" s="1"/>
  <c r="AA356" i="1"/>
  <c r="AB356" i="1" s="1"/>
  <c r="AA357" i="1"/>
  <c r="AB357" i="1" s="1"/>
  <c r="AA358" i="1"/>
  <c r="AB358" i="1" s="1"/>
  <c r="AA359" i="1"/>
  <c r="AB359" i="1" s="1"/>
  <c r="AA360" i="1"/>
  <c r="AB360" i="1" s="1"/>
  <c r="AA361" i="1"/>
  <c r="AB361" i="1" s="1"/>
  <c r="AA362" i="1"/>
  <c r="AB362" i="1" s="1"/>
  <c r="AA363" i="1"/>
  <c r="AB363" i="1" s="1"/>
  <c r="AA364" i="1"/>
  <c r="AB364" i="1" s="1"/>
  <c r="AA365" i="1"/>
  <c r="AB365" i="1" s="1"/>
  <c r="AA366" i="1"/>
  <c r="AB366" i="1" s="1"/>
  <c r="AA367" i="1"/>
  <c r="AB367" i="1" s="1"/>
  <c r="AA368" i="1"/>
  <c r="AB368" i="1" s="1"/>
  <c r="AA369" i="1"/>
  <c r="AB369" i="1" s="1"/>
  <c r="AA370" i="1"/>
  <c r="AB370" i="1" s="1"/>
  <c r="AA371" i="1"/>
  <c r="AB371" i="1" s="1"/>
  <c r="AA372" i="1"/>
  <c r="AB372" i="1" s="1"/>
  <c r="AA373" i="1"/>
  <c r="AB373" i="1" s="1"/>
  <c r="AA374" i="1"/>
  <c r="AB374" i="1" s="1"/>
  <c r="AA375" i="1"/>
  <c r="AB375" i="1" s="1"/>
  <c r="AA376" i="1"/>
  <c r="AB376" i="1" s="1"/>
  <c r="AA377" i="1"/>
  <c r="AB377" i="1" s="1"/>
  <c r="AA378" i="1"/>
  <c r="AB378" i="1" s="1"/>
  <c r="AA379" i="1"/>
  <c r="AB379" i="1" s="1"/>
  <c r="AA380" i="1"/>
  <c r="AB380" i="1" s="1"/>
  <c r="AA381" i="1"/>
  <c r="AB381" i="1" s="1"/>
  <c r="AA382" i="1"/>
  <c r="AB382" i="1" s="1"/>
  <c r="AA383" i="1"/>
  <c r="AB383" i="1" s="1"/>
  <c r="AA384" i="1"/>
  <c r="AB384" i="1" s="1"/>
  <c r="AA385" i="1"/>
  <c r="AB385" i="1" s="1"/>
  <c r="AA386" i="1"/>
  <c r="AB386" i="1" s="1"/>
  <c r="AA387" i="1"/>
  <c r="AB387" i="1" s="1"/>
  <c r="AA388" i="1"/>
  <c r="AB388" i="1" s="1"/>
  <c r="AA389" i="1"/>
  <c r="AB389" i="1" s="1"/>
  <c r="AA390" i="1"/>
  <c r="AB390" i="1" s="1"/>
  <c r="AA391" i="1"/>
  <c r="AB391" i="1" s="1"/>
  <c r="AA392" i="1"/>
  <c r="AB392" i="1" s="1"/>
  <c r="AA393" i="1"/>
  <c r="AB393" i="1" s="1"/>
  <c r="AA394" i="1"/>
  <c r="AB394" i="1" s="1"/>
  <c r="AA395" i="1"/>
  <c r="AB395" i="1" s="1"/>
  <c r="AA396" i="1"/>
  <c r="AB396" i="1" s="1"/>
  <c r="AA397" i="1"/>
  <c r="AB397" i="1" s="1"/>
  <c r="AA398" i="1"/>
  <c r="AB398" i="1" s="1"/>
  <c r="AA399" i="1"/>
  <c r="AB399" i="1" s="1"/>
  <c r="AA400" i="1"/>
  <c r="AB400" i="1" s="1"/>
  <c r="AA401" i="1"/>
  <c r="AB401" i="1" s="1"/>
  <c r="AA402" i="1"/>
  <c r="AB402" i="1" s="1"/>
  <c r="AA403" i="1"/>
  <c r="AB403" i="1" s="1"/>
  <c r="AA404" i="1"/>
  <c r="AB404" i="1" s="1"/>
  <c r="AA405" i="1"/>
  <c r="AB405" i="1" s="1"/>
  <c r="AA406" i="1"/>
  <c r="AB406" i="1" s="1"/>
  <c r="AA407" i="1"/>
  <c r="AB407" i="1" s="1"/>
  <c r="AA408" i="1"/>
  <c r="AB408" i="1" s="1"/>
  <c r="AA409" i="1"/>
  <c r="AB409" i="1" s="1"/>
  <c r="AA410" i="1"/>
  <c r="AB410" i="1" s="1"/>
  <c r="AA411" i="1"/>
  <c r="AB411" i="1" s="1"/>
  <c r="AA412" i="1"/>
  <c r="AB412" i="1" s="1"/>
  <c r="AA413" i="1"/>
  <c r="AB413" i="1" s="1"/>
  <c r="AA414" i="1"/>
  <c r="AB414" i="1" s="1"/>
  <c r="AA415" i="1"/>
  <c r="AB415" i="1" s="1"/>
  <c r="AA416" i="1"/>
  <c r="AB416" i="1" s="1"/>
  <c r="AA417" i="1"/>
  <c r="AB417" i="1" s="1"/>
  <c r="AA418" i="1"/>
  <c r="AB418" i="1" s="1"/>
  <c r="AA419" i="1"/>
  <c r="AB419" i="1" s="1"/>
  <c r="AA420" i="1"/>
  <c r="AB420" i="1" s="1"/>
  <c r="AA421" i="1"/>
  <c r="AB421" i="1" s="1"/>
  <c r="AA422" i="1"/>
  <c r="AB422" i="1" s="1"/>
  <c r="AA423" i="1"/>
  <c r="AB423" i="1" s="1"/>
  <c r="AA424" i="1"/>
  <c r="AB424" i="1" s="1"/>
  <c r="AA425" i="1"/>
  <c r="AB425" i="1" s="1"/>
  <c r="AA426" i="1"/>
  <c r="AB426" i="1" s="1"/>
  <c r="AA427" i="1"/>
  <c r="AB427" i="1" s="1"/>
  <c r="AA428" i="1"/>
  <c r="AB428" i="1" s="1"/>
  <c r="AA429" i="1"/>
  <c r="AB429" i="1" s="1"/>
  <c r="AA430" i="1"/>
  <c r="AB430" i="1" s="1"/>
  <c r="AA431" i="1"/>
  <c r="AB431" i="1" s="1"/>
  <c r="AA432" i="1"/>
  <c r="AB432" i="1" s="1"/>
  <c r="AA433" i="1"/>
  <c r="AB433" i="1" s="1"/>
  <c r="AA434" i="1"/>
  <c r="AB434" i="1" s="1"/>
  <c r="AA435" i="1"/>
  <c r="AB435" i="1" s="1"/>
  <c r="AA436" i="1"/>
  <c r="AB436" i="1" s="1"/>
  <c r="AA437" i="1"/>
  <c r="AB437" i="1" s="1"/>
  <c r="AA438" i="1"/>
  <c r="AB438" i="1" s="1"/>
  <c r="AA439" i="1"/>
  <c r="AB439" i="1" s="1"/>
  <c r="AA440" i="1"/>
  <c r="AB440" i="1" s="1"/>
  <c r="AA441" i="1"/>
  <c r="AB441" i="1" s="1"/>
  <c r="AA442" i="1"/>
  <c r="AB442" i="1" s="1"/>
  <c r="AA443" i="1"/>
  <c r="AB443" i="1" s="1"/>
  <c r="AA444" i="1"/>
  <c r="AB444" i="1" s="1"/>
  <c r="AA445" i="1"/>
  <c r="AB445" i="1" s="1"/>
  <c r="AA446" i="1"/>
  <c r="AB446" i="1" s="1"/>
  <c r="AA447" i="1"/>
  <c r="AB447" i="1" s="1"/>
  <c r="AA448" i="1"/>
  <c r="AB448" i="1" s="1"/>
  <c r="AA449" i="1"/>
  <c r="AB449" i="1" s="1"/>
  <c r="AA450" i="1"/>
  <c r="AB450" i="1" s="1"/>
  <c r="AA451" i="1"/>
  <c r="AB451" i="1" s="1"/>
  <c r="AA452" i="1"/>
  <c r="AB452" i="1" s="1"/>
  <c r="AA453" i="1"/>
  <c r="AB453" i="1" s="1"/>
  <c r="AA454" i="1"/>
  <c r="AB454" i="1" s="1"/>
  <c r="AA455" i="1"/>
  <c r="AB455" i="1" s="1"/>
  <c r="AA456" i="1"/>
  <c r="AB456" i="1" s="1"/>
  <c r="AA457" i="1"/>
  <c r="AB457" i="1" s="1"/>
  <c r="AA458" i="1"/>
  <c r="AB458" i="1" s="1"/>
  <c r="AA459" i="1"/>
  <c r="AB459" i="1" s="1"/>
  <c r="AA460" i="1"/>
  <c r="AB460" i="1" s="1"/>
  <c r="AA461" i="1"/>
  <c r="AB461" i="1" s="1"/>
  <c r="AA462" i="1"/>
  <c r="AB462" i="1" s="1"/>
  <c r="AA463" i="1"/>
  <c r="AB463" i="1" s="1"/>
  <c r="AA464" i="1"/>
  <c r="AB464" i="1" s="1"/>
  <c r="AA465" i="1"/>
  <c r="AB465" i="1" s="1"/>
  <c r="AA466" i="1"/>
  <c r="AB466" i="1" s="1"/>
  <c r="AA467" i="1"/>
  <c r="AB467" i="1" s="1"/>
  <c r="AA468" i="1"/>
  <c r="AB468" i="1" s="1"/>
  <c r="AA469" i="1"/>
  <c r="AB469" i="1" s="1"/>
  <c r="AA470" i="1"/>
  <c r="AB470" i="1" s="1"/>
  <c r="AA471" i="1"/>
  <c r="AB471" i="1" s="1"/>
  <c r="AA472" i="1"/>
  <c r="AB472" i="1" s="1"/>
  <c r="AA473" i="1"/>
  <c r="AB473" i="1" s="1"/>
  <c r="AA474" i="1"/>
  <c r="AB474" i="1" s="1"/>
  <c r="AA475" i="1"/>
  <c r="AB475" i="1" s="1"/>
  <c r="AA476" i="1"/>
  <c r="AB476" i="1" s="1"/>
  <c r="AA477" i="1"/>
  <c r="AB477" i="1" s="1"/>
  <c r="AA478" i="1"/>
  <c r="AB478" i="1" s="1"/>
  <c r="AA479" i="1"/>
  <c r="AB479" i="1" s="1"/>
  <c r="AA480" i="1"/>
  <c r="AB480" i="1" s="1"/>
  <c r="AA481" i="1"/>
  <c r="AB481" i="1" s="1"/>
  <c r="AA482" i="1"/>
  <c r="AB482" i="1" s="1"/>
  <c r="AA483" i="1"/>
  <c r="AB483" i="1" s="1"/>
  <c r="AA484" i="1"/>
  <c r="AB484" i="1" s="1"/>
  <c r="AA485" i="1"/>
  <c r="AB485" i="1" s="1"/>
  <c r="AA486" i="1"/>
  <c r="AB486" i="1" s="1"/>
  <c r="AA487" i="1"/>
  <c r="AB487" i="1" s="1"/>
  <c r="AA488" i="1"/>
  <c r="AB488" i="1" s="1"/>
  <c r="AA489" i="1"/>
  <c r="AB489" i="1" s="1"/>
  <c r="AA490" i="1"/>
  <c r="AB490" i="1" s="1"/>
  <c r="AA491" i="1"/>
  <c r="AB491" i="1" s="1"/>
  <c r="AA492" i="1"/>
  <c r="AB492" i="1" s="1"/>
  <c r="AA493" i="1"/>
  <c r="AB493" i="1" s="1"/>
  <c r="AA494" i="1"/>
  <c r="AB494" i="1" s="1"/>
  <c r="AA495" i="1"/>
  <c r="AB495" i="1" s="1"/>
  <c r="AA496" i="1"/>
  <c r="AB496" i="1" s="1"/>
  <c r="AA497" i="1"/>
  <c r="AB497" i="1" s="1"/>
  <c r="AA498" i="1"/>
  <c r="AB498" i="1" s="1"/>
  <c r="AA499" i="1"/>
  <c r="AB499" i="1" s="1"/>
  <c r="AA500" i="1"/>
  <c r="AB500" i="1" s="1"/>
  <c r="AA501" i="1"/>
  <c r="AB501" i="1" s="1"/>
  <c r="AA502" i="1"/>
  <c r="AB502" i="1" s="1"/>
  <c r="AA503" i="1"/>
  <c r="AB503" i="1" s="1"/>
  <c r="AA504" i="1"/>
  <c r="AB504" i="1" s="1"/>
  <c r="AA505" i="1"/>
  <c r="AB505" i="1" s="1"/>
  <c r="AA506" i="1"/>
  <c r="AB506" i="1" s="1"/>
  <c r="AA507" i="1"/>
  <c r="AB507" i="1" s="1"/>
  <c r="AA508" i="1"/>
  <c r="AB508" i="1" s="1"/>
  <c r="AA509" i="1"/>
  <c r="AB509" i="1" s="1"/>
  <c r="AA510" i="1"/>
  <c r="AB510" i="1" s="1"/>
  <c r="AA511" i="1"/>
  <c r="AB511" i="1" s="1"/>
  <c r="AA512" i="1"/>
  <c r="AB512" i="1" s="1"/>
  <c r="AA513" i="1"/>
  <c r="AB513" i="1" s="1"/>
  <c r="AA514" i="1"/>
  <c r="AB514" i="1" s="1"/>
  <c r="AA515" i="1"/>
  <c r="AB515" i="1" s="1"/>
  <c r="AA516" i="1"/>
  <c r="AB516" i="1" s="1"/>
  <c r="AA517" i="1"/>
  <c r="AB517" i="1" s="1"/>
  <c r="AA518" i="1"/>
  <c r="AB518" i="1" s="1"/>
  <c r="AA519" i="1"/>
  <c r="AB519" i="1" s="1"/>
  <c r="AA520" i="1"/>
  <c r="AB520" i="1" s="1"/>
  <c r="AA521" i="1"/>
  <c r="AB521" i="1" s="1"/>
  <c r="AA522" i="1"/>
  <c r="AB522" i="1" s="1"/>
  <c r="AA523" i="1"/>
  <c r="AB523" i="1" s="1"/>
  <c r="AA524" i="1"/>
  <c r="AB524" i="1" s="1"/>
  <c r="AA525" i="1"/>
  <c r="AB525" i="1" s="1"/>
  <c r="AA526" i="1"/>
  <c r="AB526" i="1" s="1"/>
  <c r="AA527" i="1"/>
  <c r="AB527" i="1" s="1"/>
  <c r="AA528" i="1"/>
  <c r="AB528" i="1" s="1"/>
  <c r="AA529" i="1"/>
  <c r="AB529" i="1" s="1"/>
  <c r="AA530" i="1"/>
  <c r="AB530" i="1" s="1"/>
  <c r="AA531" i="1"/>
  <c r="AB531" i="1" s="1"/>
  <c r="AA532" i="1"/>
  <c r="AB532" i="1" s="1"/>
  <c r="AA533" i="1"/>
  <c r="AB533" i="1" s="1"/>
  <c r="AA534" i="1"/>
  <c r="AB534" i="1" s="1"/>
  <c r="AA535" i="1"/>
  <c r="AB535" i="1" s="1"/>
  <c r="AA536" i="1"/>
  <c r="AB536" i="1" s="1"/>
  <c r="AA537" i="1"/>
  <c r="AB537" i="1" s="1"/>
  <c r="AA538" i="1"/>
  <c r="AB538" i="1" s="1"/>
  <c r="AA539" i="1"/>
  <c r="AB539" i="1" s="1"/>
  <c r="AA540" i="1"/>
  <c r="AB540" i="1" s="1"/>
  <c r="AA541" i="1"/>
  <c r="AB541" i="1" s="1"/>
  <c r="AA542" i="1"/>
  <c r="AB542" i="1" s="1"/>
  <c r="AA543" i="1"/>
  <c r="AB543" i="1" s="1"/>
  <c r="AA544" i="1"/>
  <c r="AB544" i="1" s="1"/>
  <c r="AA545" i="1"/>
  <c r="AB545" i="1" s="1"/>
  <c r="AA546" i="1"/>
  <c r="AB546" i="1" s="1"/>
  <c r="AA547" i="1"/>
  <c r="AB547" i="1" s="1"/>
  <c r="AA548" i="1"/>
  <c r="AB548" i="1" s="1"/>
  <c r="AA549" i="1"/>
  <c r="AB549" i="1" s="1"/>
  <c r="AA550" i="1"/>
  <c r="AB550" i="1" s="1"/>
  <c r="AA551" i="1"/>
  <c r="AB551" i="1" s="1"/>
  <c r="AA552" i="1"/>
  <c r="AB552" i="1" s="1"/>
  <c r="AA553" i="1"/>
  <c r="AB553" i="1" s="1"/>
  <c r="AA554" i="1"/>
  <c r="AB554" i="1" s="1"/>
  <c r="AA555" i="1"/>
  <c r="AB555" i="1" s="1"/>
  <c r="AA556" i="1"/>
  <c r="AB556" i="1" s="1"/>
  <c r="AA557" i="1"/>
  <c r="AB557" i="1" s="1"/>
  <c r="AA558" i="1"/>
  <c r="AB558" i="1" s="1"/>
  <c r="AA559" i="1"/>
  <c r="AB559" i="1" s="1"/>
  <c r="AA560" i="1"/>
  <c r="AB560" i="1" s="1"/>
  <c r="AA561" i="1"/>
  <c r="AB561" i="1" s="1"/>
  <c r="AA562" i="1"/>
  <c r="AB562" i="1" s="1"/>
  <c r="AA563" i="1"/>
  <c r="AB563" i="1" s="1"/>
  <c r="AA564" i="1"/>
  <c r="AB564" i="1" s="1"/>
  <c r="AA565" i="1"/>
  <c r="AB565" i="1" s="1"/>
  <c r="AA566" i="1"/>
  <c r="AB566" i="1" s="1"/>
  <c r="AA567" i="1"/>
  <c r="AB567" i="1" s="1"/>
  <c r="AA568" i="1"/>
  <c r="AB568" i="1" s="1"/>
  <c r="AA569" i="1"/>
  <c r="AB569" i="1" s="1"/>
  <c r="AA570" i="1"/>
  <c r="AB570" i="1" s="1"/>
  <c r="AA571" i="1"/>
  <c r="AB571" i="1" s="1"/>
  <c r="AA572" i="1"/>
  <c r="AB572" i="1" s="1"/>
  <c r="AA573" i="1"/>
  <c r="AB573" i="1" s="1"/>
  <c r="AA574" i="1"/>
  <c r="AB574" i="1" s="1"/>
  <c r="AA575" i="1"/>
  <c r="AB575" i="1" s="1"/>
  <c r="AA576" i="1"/>
  <c r="AB576" i="1" s="1"/>
  <c r="AA577" i="1"/>
  <c r="AB577" i="1" s="1"/>
  <c r="AA578" i="1"/>
  <c r="AB578" i="1" s="1"/>
  <c r="AA579" i="1"/>
  <c r="AB579" i="1" s="1"/>
  <c r="AA580" i="1"/>
  <c r="AB580" i="1" s="1"/>
  <c r="AA581" i="1"/>
  <c r="AB581" i="1" s="1"/>
  <c r="AA582" i="1"/>
  <c r="AB582" i="1" s="1"/>
  <c r="AA583" i="1"/>
  <c r="AB583" i="1" s="1"/>
  <c r="AA584" i="1"/>
  <c r="AB584" i="1" s="1"/>
  <c r="AA585" i="1"/>
  <c r="AB585" i="1" s="1"/>
  <c r="AA586" i="1"/>
  <c r="AB586" i="1" s="1"/>
  <c r="AA587" i="1"/>
  <c r="AB587" i="1" s="1"/>
  <c r="AA588" i="1"/>
  <c r="AB588" i="1" s="1"/>
  <c r="AA589" i="1"/>
  <c r="AB589" i="1" s="1"/>
  <c r="AA590" i="1"/>
  <c r="AB590" i="1" s="1"/>
  <c r="AA591" i="1"/>
  <c r="AB591" i="1" s="1"/>
  <c r="AA592" i="1"/>
  <c r="AB592" i="1" s="1"/>
  <c r="AA593" i="1"/>
  <c r="AB593" i="1" s="1"/>
  <c r="AA594" i="1"/>
  <c r="AB594" i="1" s="1"/>
  <c r="AA595" i="1"/>
  <c r="AB595" i="1" s="1"/>
  <c r="AA596" i="1"/>
  <c r="AB596" i="1" s="1"/>
  <c r="AA597" i="1"/>
  <c r="AB597" i="1" s="1"/>
  <c r="AA598" i="1"/>
  <c r="AB598" i="1" s="1"/>
  <c r="AA599" i="1"/>
  <c r="AB599" i="1" s="1"/>
  <c r="AA600" i="1"/>
  <c r="AB600" i="1" s="1"/>
  <c r="AA601" i="1"/>
  <c r="AB601" i="1" s="1"/>
  <c r="AA602" i="1"/>
  <c r="AB602" i="1" s="1"/>
  <c r="AA603" i="1"/>
  <c r="AB603" i="1" s="1"/>
  <c r="AA604" i="1"/>
  <c r="AB604" i="1" s="1"/>
  <c r="AA605" i="1"/>
  <c r="AB605" i="1" s="1"/>
  <c r="AA606" i="1"/>
  <c r="AB606" i="1" s="1"/>
  <c r="AA607" i="1"/>
  <c r="AB607" i="1" s="1"/>
  <c r="AA608" i="1"/>
  <c r="AB608" i="1" s="1"/>
  <c r="AA609" i="1"/>
  <c r="AB609" i="1" s="1"/>
  <c r="AA610" i="1"/>
  <c r="AB610" i="1" s="1"/>
  <c r="AA611" i="1"/>
  <c r="AB611" i="1" s="1"/>
  <c r="AA612" i="1"/>
  <c r="AB612" i="1" s="1"/>
  <c r="AA613" i="1"/>
  <c r="AB613" i="1" s="1"/>
  <c r="AA614" i="1"/>
  <c r="AB614" i="1" s="1"/>
  <c r="AA615" i="1"/>
  <c r="AB615" i="1" s="1"/>
  <c r="AA616" i="1"/>
  <c r="AB616" i="1" s="1"/>
  <c r="AA617" i="1"/>
  <c r="AB617" i="1" s="1"/>
  <c r="AA618" i="1"/>
  <c r="AB618" i="1" s="1"/>
  <c r="AA619" i="1"/>
  <c r="AB619" i="1" s="1"/>
  <c r="AA620" i="1"/>
  <c r="AB620" i="1" s="1"/>
  <c r="AA621" i="1"/>
  <c r="AB621" i="1" s="1"/>
  <c r="AA622" i="1"/>
  <c r="AB622" i="1" s="1"/>
  <c r="AA623" i="1"/>
  <c r="AB623" i="1" s="1"/>
  <c r="AA624" i="1"/>
  <c r="AB624" i="1" s="1"/>
  <c r="AA625" i="1"/>
  <c r="AB625" i="1" s="1"/>
  <c r="AA626" i="1"/>
  <c r="AB626" i="1" s="1"/>
  <c r="AA627" i="1"/>
  <c r="AB627" i="1" s="1"/>
  <c r="AA628" i="1"/>
  <c r="AB628" i="1" s="1"/>
  <c r="AA629" i="1"/>
  <c r="AB629" i="1" s="1"/>
  <c r="AA630" i="1"/>
  <c r="AB630" i="1" s="1"/>
  <c r="AA631" i="1"/>
  <c r="AB631" i="1" s="1"/>
  <c r="AA632" i="1"/>
  <c r="AB632" i="1" s="1"/>
  <c r="AA633" i="1"/>
  <c r="AB633" i="1" s="1"/>
  <c r="AA634" i="1"/>
  <c r="AB634" i="1" s="1"/>
  <c r="AA635" i="1"/>
  <c r="AB635" i="1" s="1"/>
  <c r="AA636" i="1"/>
  <c r="AB636" i="1" s="1"/>
  <c r="AA637" i="1"/>
  <c r="AB637" i="1" s="1"/>
  <c r="AA638" i="1"/>
  <c r="AB638" i="1" s="1"/>
  <c r="AA639" i="1"/>
  <c r="AB639" i="1" s="1"/>
  <c r="AA640" i="1"/>
  <c r="AB640" i="1" s="1"/>
  <c r="AA641" i="1"/>
  <c r="AB641" i="1" s="1"/>
  <c r="AA642" i="1"/>
  <c r="AB642" i="1" s="1"/>
  <c r="AA643" i="1"/>
  <c r="AB643" i="1" s="1"/>
  <c r="AA644" i="1"/>
  <c r="AB644" i="1" s="1"/>
  <c r="AA645" i="1"/>
  <c r="AB645" i="1" s="1"/>
  <c r="AA646" i="1"/>
  <c r="AB646" i="1" s="1"/>
  <c r="AA647" i="1"/>
  <c r="AB647" i="1" s="1"/>
  <c r="AA648" i="1"/>
  <c r="AB648" i="1" s="1"/>
  <c r="AA649" i="1"/>
  <c r="AB649" i="1" s="1"/>
  <c r="AA650" i="1"/>
  <c r="AB650" i="1" s="1"/>
  <c r="AA651" i="1"/>
  <c r="AB651" i="1" s="1"/>
  <c r="AA652" i="1"/>
  <c r="AB652" i="1" s="1"/>
  <c r="AA653" i="1"/>
  <c r="AB653" i="1" s="1"/>
  <c r="AA654" i="1"/>
  <c r="AB654" i="1" s="1"/>
  <c r="AA655" i="1"/>
  <c r="AB655" i="1" s="1"/>
  <c r="AA656" i="1"/>
  <c r="AB656" i="1" s="1"/>
  <c r="AA657" i="1"/>
  <c r="AB657" i="1" s="1"/>
  <c r="AA658" i="1"/>
  <c r="AB658" i="1" s="1"/>
  <c r="AA659" i="1"/>
  <c r="AB659" i="1" s="1"/>
  <c r="AA660" i="1"/>
  <c r="AB660" i="1" s="1"/>
  <c r="AA661" i="1"/>
  <c r="AB661" i="1" s="1"/>
  <c r="AA662" i="1"/>
  <c r="AB662" i="1" s="1"/>
  <c r="AA663" i="1"/>
  <c r="AB663" i="1" s="1"/>
  <c r="AA664" i="1"/>
  <c r="AB664" i="1" s="1"/>
  <c r="AA665" i="1"/>
  <c r="AB665" i="1" s="1"/>
  <c r="AA666" i="1"/>
  <c r="AB666" i="1" s="1"/>
  <c r="AA667" i="1"/>
  <c r="AB667" i="1" s="1"/>
  <c r="AA668" i="1"/>
  <c r="AB668" i="1" s="1"/>
  <c r="AA669" i="1"/>
  <c r="AB669" i="1" s="1"/>
  <c r="AA670" i="1"/>
  <c r="AB670" i="1" s="1"/>
  <c r="AA671" i="1"/>
  <c r="AB671" i="1" s="1"/>
  <c r="AA672" i="1"/>
  <c r="AB672" i="1" s="1"/>
  <c r="AA673" i="1"/>
  <c r="AB673" i="1" s="1"/>
  <c r="AA674" i="1"/>
  <c r="AB674" i="1" s="1"/>
  <c r="AA675" i="1"/>
  <c r="AB675" i="1" s="1"/>
  <c r="AA676" i="1"/>
  <c r="AB676" i="1" s="1"/>
  <c r="AA677" i="1"/>
  <c r="AB677" i="1" s="1"/>
  <c r="AA678" i="1"/>
  <c r="AB678" i="1" s="1"/>
  <c r="AA679" i="1"/>
  <c r="AB679" i="1" s="1"/>
  <c r="AA680" i="1"/>
  <c r="AB680" i="1" s="1"/>
  <c r="AA681" i="1"/>
  <c r="AB681" i="1" s="1"/>
  <c r="AA682" i="1"/>
  <c r="AB682" i="1" s="1"/>
  <c r="AA683" i="1"/>
  <c r="AB683" i="1" s="1"/>
  <c r="AA684" i="1"/>
  <c r="AB684" i="1" s="1"/>
  <c r="AA685" i="1"/>
  <c r="AB685" i="1" s="1"/>
  <c r="AA686" i="1"/>
  <c r="AB686" i="1" s="1"/>
  <c r="AA687" i="1"/>
  <c r="AB687" i="1" s="1"/>
  <c r="AA688" i="1"/>
  <c r="AB688" i="1" s="1"/>
  <c r="AA689" i="1"/>
  <c r="AB689" i="1" s="1"/>
  <c r="AA690" i="1"/>
  <c r="AB690" i="1" s="1"/>
  <c r="AA691" i="1"/>
  <c r="AB691" i="1" s="1"/>
  <c r="AA692" i="1"/>
  <c r="AB692" i="1" s="1"/>
  <c r="AA693" i="1"/>
  <c r="AB693" i="1" s="1"/>
  <c r="AA694" i="1"/>
  <c r="AB694" i="1" s="1"/>
  <c r="AA695" i="1"/>
  <c r="AB695" i="1" s="1"/>
  <c r="AA696" i="1"/>
  <c r="AB696" i="1" s="1"/>
  <c r="AA697" i="1"/>
  <c r="AB697" i="1" s="1"/>
  <c r="AA698" i="1"/>
  <c r="AB698" i="1" s="1"/>
  <c r="AA699" i="1"/>
  <c r="AB699" i="1" s="1"/>
  <c r="AA700" i="1"/>
  <c r="AB700" i="1" s="1"/>
  <c r="AA701" i="1"/>
  <c r="AB701" i="1" s="1"/>
  <c r="AA702" i="1"/>
  <c r="AB702" i="1" s="1"/>
  <c r="AA703" i="1"/>
  <c r="AB703" i="1" s="1"/>
  <c r="AA704" i="1"/>
  <c r="AB704" i="1" s="1"/>
  <c r="AA705" i="1"/>
  <c r="AB705" i="1" s="1"/>
  <c r="AA706" i="1"/>
  <c r="AB706" i="1" s="1"/>
  <c r="AA707" i="1"/>
  <c r="AB707" i="1" s="1"/>
  <c r="AA708" i="1"/>
  <c r="AB708" i="1" s="1"/>
  <c r="AA709" i="1"/>
  <c r="AB709" i="1" s="1"/>
  <c r="AA710" i="1"/>
  <c r="AB710" i="1" s="1"/>
  <c r="AA711" i="1"/>
  <c r="AB711" i="1" s="1"/>
  <c r="AA712" i="1"/>
  <c r="AB712" i="1" s="1"/>
  <c r="AA713" i="1"/>
  <c r="AB713" i="1" s="1"/>
  <c r="AA714" i="1"/>
  <c r="AB714" i="1" s="1"/>
  <c r="AA715" i="1"/>
  <c r="AB715" i="1" s="1"/>
  <c r="AA716" i="1"/>
  <c r="AB716" i="1" s="1"/>
  <c r="AA717" i="1"/>
  <c r="AB717" i="1" s="1"/>
  <c r="AA718" i="1"/>
  <c r="AB718" i="1" s="1"/>
  <c r="AA719" i="1"/>
  <c r="AB719" i="1" s="1"/>
  <c r="AA720" i="1"/>
  <c r="AB720" i="1" s="1"/>
  <c r="AA721" i="1"/>
  <c r="AB721" i="1" s="1"/>
  <c r="AA722" i="1"/>
  <c r="AB722" i="1" s="1"/>
  <c r="AA723" i="1"/>
  <c r="AB723" i="1" s="1"/>
  <c r="AA724" i="1"/>
  <c r="AB724" i="1" s="1"/>
  <c r="AA725" i="1"/>
  <c r="AB725" i="1" s="1"/>
  <c r="AA726" i="1"/>
  <c r="AB726" i="1" s="1"/>
  <c r="AA727" i="1"/>
  <c r="AB727" i="1" s="1"/>
  <c r="AA728" i="1"/>
  <c r="AB728" i="1" s="1"/>
  <c r="AA729" i="1"/>
  <c r="AB729" i="1" s="1"/>
  <c r="AA730" i="1"/>
  <c r="AB730" i="1" s="1"/>
  <c r="AA731" i="1"/>
  <c r="AB731" i="1" s="1"/>
  <c r="AA732" i="1"/>
  <c r="AB732" i="1" s="1"/>
  <c r="AA733" i="1"/>
  <c r="AB733" i="1" s="1"/>
  <c r="AA734" i="1"/>
  <c r="AB734" i="1" s="1"/>
  <c r="AA735" i="1"/>
  <c r="AB735" i="1" s="1"/>
  <c r="AA736" i="1"/>
  <c r="AB736" i="1" s="1"/>
  <c r="AA737" i="1"/>
  <c r="AB737" i="1" s="1"/>
  <c r="AA738" i="1"/>
  <c r="AB738" i="1" s="1"/>
  <c r="AA739" i="1"/>
  <c r="AB739" i="1" s="1"/>
  <c r="AA740" i="1"/>
  <c r="AB740" i="1" s="1"/>
  <c r="AA741" i="1"/>
  <c r="AB741" i="1" s="1"/>
  <c r="AA742" i="1"/>
  <c r="AB742" i="1" s="1"/>
  <c r="AA743" i="1"/>
  <c r="AB743" i="1" s="1"/>
  <c r="AA744" i="1"/>
  <c r="AB744" i="1" s="1"/>
  <c r="AA745" i="1"/>
  <c r="AB745" i="1" s="1"/>
  <c r="AA746" i="1"/>
  <c r="AB746" i="1" s="1"/>
  <c r="AA747" i="1"/>
  <c r="AB747" i="1" s="1"/>
  <c r="AA748" i="1"/>
  <c r="AB748" i="1" s="1"/>
  <c r="AA749" i="1"/>
  <c r="AB749" i="1" s="1"/>
  <c r="AA750" i="1"/>
  <c r="AB750" i="1" s="1"/>
  <c r="AA751" i="1"/>
  <c r="AB751" i="1" s="1"/>
  <c r="AA752" i="1"/>
  <c r="AB752" i="1" s="1"/>
  <c r="AA753" i="1"/>
  <c r="AB753" i="1" s="1"/>
  <c r="AA754" i="1"/>
  <c r="AB754" i="1" s="1"/>
  <c r="AA755" i="1"/>
  <c r="AB755" i="1" s="1"/>
  <c r="AA756" i="1"/>
  <c r="AB756" i="1" s="1"/>
  <c r="AA757" i="1"/>
  <c r="AB757" i="1" s="1"/>
  <c r="AA758" i="1"/>
  <c r="AB758" i="1" s="1"/>
  <c r="AA759" i="1"/>
  <c r="AB759" i="1" s="1"/>
  <c r="AA760" i="1"/>
  <c r="AB760" i="1" s="1"/>
  <c r="AA761" i="1"/>
  <c r="AB761" i="1" s="1"/>
  <c r="AA762" i="1"/>
  <c r="AB762" i="1" s="1"/>
  <c r="AA763" i="1"/>
  <c r="AB763" i="1" s="1"/>
  <c r="AA764" i="1"/>
  <c r="AB764" i="1" s="1"/>
  <c r="AA765" i="1"/>
  <c r="AB765" i="1" s="1"/>
  <c r="AA766" i="1"/>
  <c r="AB766" i="1" s="1"/>
  <c r="AA767" i="1"/>
  <c r="AB767" i="1" s="1"/>
  <c r="AA768" i="1"/>
  <c r="AB768" i="1" s="1"/>
  <c r="AA769" i="1"/>
  <c r="AB769" i="1" s="1"/>
  <c r="AA770" i="1"/>
  <c r="AB770" i="1" s="1"/>
  <c r="AA771" i="1"/>
  <c r="AB771" i="1" s="1"/>
  <c r="AA772" i="1"/>
  <c r="AB772" i="1" s="1"/>
  <c r="AA773" i="1"/>
  <c r="AB773" i="1" s="1"/>
  <c r="AA774" i="1"/>
  <c r="AB774" i="1" s="1"/>
  <c r="AA775" i="1"/>
  <c r="AB775" i="1" s="1"/>
  <c r="AA776" i="1"/>
  <c r="AB776" i="1" s="1"/>
  <c r="AA777" i="1"/>
  <c r="AB777" i="1" s="1"/>
  <c r="AA778" i="1"/>
  <c r="AB778" i="1" s="1"/>
  <c r="AA779" i="1"/>
  <c r="AB779" i="1" s="1"/>
  <c r="AA780" i="1"/>
  <c r="AB780" i="1" s="1"/>
  <c r="AA781" i="1"/>
  <c r="AB781" i="1" s="1"/>
  <c r="AA782" i="1"/>
  <c r="AB782" i="1" s="1"/>
  <c r="AA783" i="1"/>
  <c r="AB783" i="1" s="1"/>
  <c r="AA784" i="1"/>
  <c r="AB784" i="1" s="1"/>
  <c r="AA785" i="1"/>
  <c r="AB785" i="1" s="1"/>
  <c r="AA786" i="1"/>
  <c r="AB786" i="1" s="1"/>
  <c r="AA787" i="1"/>
  <c r="AB787" i="1" s="1"/>
  <c r="AA788" i="1"/>
  <c r="AB788" i="1" s="1"/>
  <c r="AA789" i="1"/>
  <c r="AB789" i="1" s="1"/>
  <c r="AA790" i="1"/>
  <c r="AB790" i="1" s="1"/>
  <c r="AA791" i="1"/>
  <c r="AB791" i="1" s="1"/>
  <c r="AA792" i="1"/>
  <c r="AB792" i="1" s="1"/>
  <c r="AA793" i="1"/>
  <c r="AB793" i="1" s="1"/>
  <c r="AA794" i="1"/>
  <c r="AB794" i="1" s="1"/>
  <c r="AA795" i="1"/>
  <c r="AB795" i="1" s="1"/>
  <c r="AA796" i="1"/>
  <c r="AB796" i="1" s="1"/>
  <c r="AA797" i="1"/>
  <c r="AB797" i="1" s="1"/>
  <c r="AA798" i="1"/>
  <c r="AB798" i="1" s="1"/>
  <c r="AA799" i="1"/>
  <c r="AB799" i="1" s="1"/>
  <c r="AA800" i="1"/>
  <c r="AB800" i="1" s="1"/>
  <c r="AA801" i="1"/>
  <c r="AB801" i="1" s="1"/>
  <c r="AA802" i="1"/>
  <c r="AB802" i="1" s="1"/>
  <c r="AA803" i="1"/>
  <c r="AB803" i="1" s="1"/>
  <c r="AA804" i="1"/>
  <c r="AB804" i="1" s="1"/>
  <c r="AA805" i="1"/>
  <c r="AB805" i="1" s="1"/>
  <c r="AA806" i="1"/>
  <c r="AB806" i="1" s="1"/>
  <c r="AA807" i="1"/>
  <c r="AB807" i="1" s="1"/>
  <c r="AA808" i="1"/>
  <c r="AB808" i="1" s="1"/>
  <c r="AA809" i="1"/>
  <c r="AB809" i="1" s="1"/>
  <c r="AA810" i="1"/>
  <c r="AB810" i="1" s="1"/>
  <c r="AA811" i="1"/>
  <c r="AB811" i="1" s="1"/>
  <c r="AA812" i="1"/>
  <c r="AB812" i="1" s="1"/>
  <c r="AA813" i="1"/>
  <c r="AB813" i="1" s="1"/>
  <c r="AA814" i="1"/>
  <c r="AB814" i="1" s="1"/>
  <c r="AA815" i="1"/>
  <c r="AB815" i="1" s="1"/>
  <c r="AA816" i="1"/>
  <c r="AB816" i="1" s="1"/>
  <c r="AA817" i="1"/>
  <c r="AB817" i="1" s="1"/>
  <c r="AA818" i="1"/>
  <c r="AB818" i="1" s="1"/>
  <c r="AA819" i="1"/>
  <c r="AB819" i="1" s="1"/>
  <c r="AA820" i="1"/>
  <c r="AB820" i="1" s="1"/>
  <c r="AA821" i="1"/>
  <c r="AB821" i="1" s="1"/>
  <c r="AA822" i="1"/>
  <c r="AB822" i="1" s="1"/>
  <c r="AA823" i="1"/>
  <c r="AB823" i="1" s="1"/>
  <c r="AA824" i="1"/>
  <c r="AB824" i="1" s="1"/>
  <c r="AA825" i="1"/>
  <c r="AB825" i="1" s="1"/>
  <c r="AA826" i="1"/>
  <c r="AB826" i="1" s="1"/>
  <c r="AA827" i="1"/>
  <c r="AB827" i="1" s="1"/>
  <c r="AA828" i="1"/>
  <c r="AB828" i="1" s="1"/>
  <c r="AA829" i="1"/>
  <c r="AB829" i="1" s="1"/>
  <c r="AA830" i="1"/>
  <c r="AB830" i="1" s="1"/>
  <c r="AA831" i="1"/>
  <c r="AB831" i="1" s="1"/>
  <c r="AA832" i="1"/>
  <c r="AB832" i="1" s="1"/>
  <c r="AA833" i="1"/>
  <c r="AB833" i="1" s="1"/>
  <c r="AA834" i="1"/>
  <c r="AB834" i="1" s="1"/>
  <c r="AA835" i="1"/>
  <c r="AB835" i="1" s="1"/>
  <c r="AA836" i="1"/>
  <c r="AB836" i="1" s="1"/>
  <c r="AA837" i="1"/>
  <c r="AB837" i="1" s="1"/>
  <c r="AA838" i="1"/>
  <c r="AB838" i="1" s="1"/>
  <c r="AA839" i="1"/>
  <c r="AB839" i="1" s="1"/>
  <c r="AA840" i="1"/>
  <c r="AB840" i="1" s="1"/>
  <c r="AA841" i="1"/>
  <c r="AB841" i="1" s="1"/>
  <c r="AA842" i="1"/>
  <c r="AB842" i="1" s="1"/>
  <c r="AA843" i="1"/>
  <c r="AB843" i="1" s="1"/>
  <c r="AA844" i="1"/>
  <c r="AB844" i="1" s="1"/>
  <c r="AA845" i="1"/>
  <c r="AB845" i="1" s="1"/>
  <c r="AA846" i="1"/>
  <c r="AB846" i="1" s="1"/>
  <c r="AA847" i="1"/>
  <c r="AB847" i="1" s="1"/>
  <c r="AA848" i="1"/>
  <c r="AB848" i="1" s="1"/>
  <c r="AA849" i="1"/>
  <c r="AB849" i="1" s="1"/>
  <c r="AA850" i="1"/>
  <c r="AB850" i="1" s="1"/>
  <c r="AA851" i="1"/>
  <c r="AB851" i="1" s="1"/>
  <c r="AA852" i="1"/>
  <c r="AB852" i="1" s="1"/>
  <c r="AA853" i="1"/>
  <c r="AB853" i="1" s="1"/>
  <c r="AA854" i="1"/>
  <c r="AB854" i="1" s="1"/>
  <c r="AA855" i="1"/>
  <c r="AB855" i="1" s="1"/>
  <c r="AA856" i="1"/>
  <c r="AB856" i="1" s="1"/>
  <c r="AA857" i="1"/>
  <c r="AB857" i="1" s="1"/>
  <c r="AA858" i="1"/>
  <c r="AB858" i="1" s="1"/>
  <c r="AA859" i="1"/>
  <c r="AB859" i="1" s="1"/>
  <c r="AA860" i="1"/>
  <c r="AB860" i="1" s="1"/>
  <c r="AA861" i="1"/>
  <c r="AB861" i="1" s="1"/>
  <c r="AA862" i="1"/>
  <c r="AB862" i="1" s="1"/>
  <c r="AA863" i="1"/>
  <c r="AB863" i="1" s="1"/>
  <c r="AA864" i="1"/>
  <c r="AB864" i="1" s="1"/>
  <c r="AA865" i="1"/>
  <c r="AB865" i="1" s="1"/>
  <c r="AA866" i="1"/>
  <c r="AB866" i="1" s="1"/>
  <c r="AA867" i="1"/>
  <c r="AB867" i="1" s="1"/>
  <c r="AA868" i="1"/>
  <c r="AB868" i="1" s="1"/>
  <c r="AA869" i="1"/>
  <c r="AB869" i="1" s="1"/>
  <c r="AA870" i="1"/>
  <c r="AB870" i="1" s="1"/>
  <c r="AA871" i="1"/>
  <c r="AB871" i="1" s="1"/>
  <c r="AA872" i="1"/>
  <c r="AB872" i="1" s="1"/>
  <c r="AA873" i="1"/>
  <c r="AB873" i="1" s="1"/>
  <c r="AA874" i="1"/>
  <c r="AB874" i="1" s="1"/>
  <c r="AA875" i="1"/>
  <c r="AB875" i="1" s="1"/>
  <c r="AA876" i="1"/>
  <c r="AB876" i="1" s="1"/>
  <c r="AA877" i="1"/>
  <c r="AB877" i="1" s="1"/>
  <c r="AA878" i="1"/>
  <c r="AB878" i="1" s="1"/>
  <c r="AA879" i="1"/>
  <c r="AB879" i="1" s="1"/>
  <c r="AA880" i="1"/>
  <c r="AB880" i="1" s="1"/>
  <c r="AA881" i="1"/>
  <c r="AB881" i="1" s="1"/>
  <c r="AA882" i="1"/>
  <c r="AB882" i="1" s="1"/>
  <c r="AA883" i="1"/>
  <c r="AB883" i="1" s="1"/>
  <c r="AA884" i="1"/>
  <c r="AB884" i="1" s="1"/>
  <c r="AA885" i="1"/>
  <c r="AB885" i="1" s="1"/>
  <c r="AA886" i="1"/>
  <c r="AB886" i="1" s="1"/>
  <c r="AA887" i="1"/>
  <c r="AB887" i="1" s="1"/>
  <c r="AA888" i="1"/>
  <c r="AB888" i="1" s="1"/>
  <c r="AA889" i="1"/>
  <c r="AB889" i="1" s="1"/>
  <c r="AA890" i="1"/>
  <c r="AB890" i="1" s="1"/>
  <c r="AA891" i="1"/>
  <c r="AB891" i="1" s="1"/>
  <c r="AA892" i="1"/>
  <c r="AB892" i="1" s="1"/>
  <c r="AA893" i="1"/>
  <c r="AB893" i="1" s="1"/>
  <c r="AA894" i="1"/>
  <c r="AB894" i="1" s="1"/>
  <c r="AA895" i="1"/>
  <c r="AB895" i="1" s="1"/>
  <c r="AA896" i="1"/>
  <c r="AB896" i="1" s="1"/>
  <c r="AA897" i="1"/>
  <c r="AB897" i="1" s="1"/>
  <c r="AA898" i="1"/>
  <c r="AB898" i="1" s="1"/>
  <c r="AA899" i="1"/>
  <c r="AB899" i="1" s="1"/>
  <c r="AA900" i="1"/>
  <c r="AB900" i="1" s="1"/>
  <c r="AA901" i="1"/>
  <c r="AB901" i="1" s="1"/>
  <c r="AA902" i="1"/>
  <c r="AB902" i="1" s="1"/>
  <c r="AA903" i="1"/>
  <c r="AB903" i="1" s="1"/>
  <c r="AA904" i="1"/>
  <c r="AB904" i="1" s="1"/>
  <c r="AA905" i="1"/>
  <c r="AB905" i="1" s="1"/>
  <c r="AA906" i="1"/>
  <c r="AB906" i="1" s="1"/>
  <c r="AA907" i="1"/>
  <c r="AB907" i="1" s="1"/>
  <c r="AA908" i="1"/>
  <c r="AB908" i="1" s="1"/>
  <c r="AA909" i="1"/>
  <c r="AB909" i="1" s="1"/>
  <c r="AA910" i="1"/>
  <c r="AB910" i="1" s="1"/>
  <c r="AA911" i="1"/>
  <c r="AB911" i="1" s="1"/>
  <c r="AA912" i="1"/>
  <c r="AB912" i="1" s="1"/>
  <c r="AA913" i="1"/>
  <c r="AB913" i="1" s="1"/>
  <c r="AA914" i="1"/>
  <c r="AB914" i="1" s="1"/>
  <c r="AA915" i="1"/>
  <c r="AB915" i="1" s="1"/>
  <c r="AA916" i="1"/>
  <c r="AB916" i="1" s="1"/>
  <c r="AA917" i="1"/>
  <c r="AB917" i="1" s="1"/>
  <c r="AA918" i="1"/>
  <c r="AB918" i="1" s="1"/>
  <c r="AA919" i="1"/>
  <c r="AB919" i="1" s="1"/>
  <c r="AA920" i="1"/>
  <c r="AB920" i="1" s="1"/>
  <c r="AA921" i="1"/>
  <c r="AB921" i="1" s="1"/>
  <c r="AA922" i="1"/>
  <c r="AB922" i="1" s="1"/>
  <c r="AA923" i="1"/>
  <c r="AB923" i="1" s="1"/>
  <c r="AA924" i="1"/>
  <c r="AB924" i="1" s="1"/>
  <c r="AA925" i="1"/>
  <c r="AB925" i="1" s="1"/>
  <c r="AA926" i="1"/>
  <c r="AB926" i="1" s="1"/>
  <c r="AA927" i="1"/>
  <c r="AB927" i="1" s="1"/>
  <c r="AA928" i="1"/>
  <c r="AB928" i="1" s="1"/>
  <c r="AA929" i="1"/>
  <c r="AB929" i="1" s="1"/>
  <c r="AA930" i="1"/>
  <c r="AB930" i="1" s="1"/>
  <c r="AA931" i="1"/>
  <c r="AB931" i="1" s="1"/>
  <c r="AA932" i="1"/>
  <c r="AB932" i="1" s="1"/>
  <c r="AA933" i="1"/>
  <c r="AB933" i="1" s="1"/>
  <c r="AA934" i="1"/>
  <c r="AB934" i="1" s="1"/>
  <c r="AA935" i="1"/>
  <c r="AB935" i="1" s="1"/>
  <c r="AA936" i="1"/>
  <c r="AB936" i="1" s="1"/>
  <c r="AA937" i="1"/>
  <c r="AB937" i="1" s="1"/>
  <c r="AA938" i="1"/>
  <c r="AB938" i="1" s="1"/>
  <c r="AA939" i="1"/>
  <c r="AB939" i="1" s="1"/>
  <c r="AA940" i="1"/>
  <c r="AB940" i="1" s="1"/>
  <c r="AA941" i="1"/>
  <c r="AB941" i="1" s="1"/>
  <c r="AA942" i="1"/>
  <c r="AB942" i="1" s="1"/>
  <c r="AA943" i="1"/>
  <c r="AB943" i="1" s="1"/>
  <c r="AA944" i="1"/>
  <c r="AB944" i="1" s="1"/>
  <c r="AA945" i="1"/>
  <c r="AB945" i="1" s="1"/>
  <c r="AA946" i="1"/>
  <c r="AB946" i="1" s="1"/>
  <c r="AA947" i="1"/>
  <c r="AB947" i="1" s="1"/>
  <c r="AA948" i="1"/>
  <c r="AB948" i="1" s="1"/>
  <c r="AA949" i="1"/>
  <c r="AB949" i="1" s="1"/>
  <c r="AA950" i="1"/>
  <c r="AB950" i="1" s="1"/>
  <c r="AA951" i="1"/>
  <c r="AB951" i="1" s="1"/>
  <c r="AA952" i="1"/>
  <c r="AB952" i="1" s="1"/>
  <c r="AA953" i="1"/>
  <c r="AB953" i="1" s="1"/>
  <c r="AA954" i="1"/>
  <c r="AB954" i="1" s="1"/>
  <c r="AA955" i="1"/>
  <c r="AB955" i="1" s="1"/>
  <c r="AA956" i="1"/>
  <c r="AB956" i="1" s="1"/>
  <c r="AA957" i="1"/>
  <c r="AB957" i="1" s="1"/>
  <c r="AA958" i="1"/>
  <c r="AB958" i="1" s="1"/>
  <c r="AA959" i="1"/>
  <c r="AB959" i="1" s="1"/>
  <c r="AA960" i="1"/>
  <c r="AB960" i="1" s="1"/>
  <c r="AA961" i="1"/>
  <c r="AB961" i="1" s="1"/>
  <c r="AA962" i="1"/>
  <c r="AB962" i="1" s="1"/>
  <c r="AA963" i="1"/>
  <c r="AB963" i="1" s="1"/>
  <c r="AA964" i="1"/>
  <c r="AB964" i="1" s="1"/>
  <c r="AA965" i="1"/>
  <c r="AB965" i="1" s="1"/>
  <c r="AA966" i="1"/>
  <c r="AB966" i="1" s="1"/>
  <c r="AA967" i="1"/>
  <c r="AB967" i="1" s="1"/>
  <c r="AA968" i="1"/>
  <c r="AB968" i="1" s="1"/>
  <c r="AA969" i="1"/>
  <c r="AB969" i="1" s="1"/>
  <c r="AA970" i="1"/>
  <c r="AB970" i="1" s="1"/>
  <c r="AA971" i="1"/>
  <c r="AB971" i="1" s="1"/>
  <c r="AA972" i="1"/>
  <c r="AB972" i="1" s="1"/>
  <c r="AA973" i="1"/>
  <c r="AB973" i="1" s="1"/>
  <c r="AA974" i="1"/>
  <c r="AB974" i="1" s="1"/>
  <c r="AA975" i="1"/>
  <c r="AB975" i="1" s="1"/>
  <c r="AA976" i="1"/>
  <c r="AB976" i="1" s="1"/>
  <c r="AA977" i="1"/>
  <c r="AB977" i="1" s="1"/>
  <c r="AA978" i="1"/>
  <c r="AB978" i="1" s="1"/>
  <c r="AA979" i="1"/>
  <c r="AB979" i="1" s="1"/>
  <c r="AA980" i="1"/>
  <c r="AB980" i="1" s="1"/>
  <c r="AA981" i="1"/>
  <c r="AB981" i="1" s="1"/>
  <c r="AA982" i="1"/>
  <c r="AB982" i="1" s="1"/>
  <c r="AA983" i="1"/>
  <c r="AB983" i="1" s="1"/>
  <c r="AA984" i="1"/>
  <c r="AB984" i="1" s="1"/>
  <c r="AA985" i="1"/>
  <c r="AB985" i="1" s="1"/>
  <c r="AA986" i="1"/>
  <c r="AB986" i="1" s="1"/>
  <c r="AA987" i="1"/>
  <c r="AB987" i="1" s="1"/>
  <c r="AA988" i="1"/>
  <c r="AB988" i="1" s="1"/>
  <c r="AA989" i="1"/>
  <c r="AB989" i="1" s="1"/>
  <c r="AA990" i="1"/>
  <c r="AB990" i="1" s="1"/>
  <c r="AA991" i="1"/>
  <c r="AB991" i="1" s="1"/>
  <c r="AA992" i="1"/>
  <c r="AB992" i="1" s="1"/>
  <c r="AA993" i="1"/>
  <c r="AB993" i="1" s="1"/>
  <c r="AA994" i="1"/>
  <c r="AB994" i="1" s="1"/>
  <c r="AA995" i="1"/>
  <c r="AB995" i="1" s="1"/>
  <c r="AA996" i="1"/>
  <c r="AB996" i="1" s="1"/>
  <c r="AA997" i="1"/>
  <c r="AB997" i="1" s="1"/>
  <c r="AA998" i="1"/>
  <c r="AB998" i="1" s="1"/>
  <c r="AA999" i="1"/>
  <c r="AB999" i="1" s="1"/>
  <c r="AA1000" i="1"/>
  <c r="AB1000" i="1" s="1"/>
  <c r="AA1001" i="1"/>
  <c r="AB1001" i="1" s="1"/>
  <c r="AA1002" i="1"/>
  <c r="AB1002" i="1" s="1"/>
  <c r="AA1003" i="1"/>
  <c r="AB1003" i="1" s="1"/>
  <c r="AA1004" i="1"/>
  <c r="AB1004" i="1" s="1"/>
  <c r="AA1005" i="1"/>
  <c r="AB1005" i="1" s="1"/>
  <c r="AA1006" i="1"/>
  <c r="AB1006" i="1" s="1"/>
  <c r="AA1007" i="1"/>
  <c r="AB1007" i="1" s="1"/>
  <c r="AA1008" i="1"/>
  <c r="AB1008" i="1" s="1"/>
  <c r="AA1009" i="1"/>
  <c r="AB1009" i="1" s="1"/>
  <c r="AA1010" i="1"/>
  <c r="AB1010" i="1" s="1"/>
  <c r="AA1011" i="1"/>
  <c r="AB1011" i="1" s="1"/>
  <c r="AA1012" i="1"/>
  <c r="AB1012" i="1" s="1"/>
  <c r="AA1013" i="1"/>
  <c r="AB1013" i="1" s="1"/>
  <c r="AA1014" i="1"/>
  <c r="AB1014" i="1" s="1"/>
  <c r="AA1015" i="1"/>
  <c r="AB1015" i="1" s="1"/>
  <c r="AA1016" i="1"/>
  <c r="AB1016" i="1" s="1"/>
  <c r="AA1017" i="1"/>
  <c r="AB1017" i="1" s="1"/>
  <c r="AA1018" i="1"/>
  <c r="AB1018" i="1" s="1"/>
  <c r="AA1019" i="1"/>
  <c r="AB1019" i="1" s="1"/>
  <c r="AA1020" i="1"/>
  <c r="AB1020" i="1" s="1"/>
  <c r="AA1021" i="1"/>
  <c r="AB1021" i="1" s="1"/>
  <c r="AA1022" i="1"/>
  <c r="AB1022" i="1" s="1"/>
  <c r="AA1023" i="1"/>
  <c r="AB1023" i="1" s="1"/>
  <c r="AA1024" i="1"/>
  <c r="AB1024" i="1" s="1"/>
  <c r="AA1025" i="1"/>
  <c r="AB1025" i="1" s="1"/>
  <c r="AA1026" i="1"/>
  <c r="AB1026" i="1" s="1"/>
  <c r="AA1027" i="1"/>
  <c r="AB1027" i="1" s="1"/>
  <c r="AA1028" i="1"/>
  <c r="AB1028" i="1" s="1"/>
  <c r="AA1029" i="1"/>
  <c r="AB1029" i="1" s="1"/>
  <c r="AA1030" i="1"/>
  <c r="AB1030" i="1" s="1"/>
  <c r="AA1031" i="1"/>
  <c r="AB1031" i="1" s="1"/>
  <c r="AA1032" i="1"/>
  <c r="AB1032" i="1" s="1"/>
  <c r="AA1033" i="1"/>
  <c r="AB1033" i="1" s="1"/>
  <c r="AA1034" i="1"/>
  <c r="AB1034" i="1" s="1"/>
  <c r="AA1035" i="1"/>
  <c r="AB1035" i="1" s="1"/>
  <c r="AA1036" i="1"/>
  <c r="AB1036" i="1" s="1"/>
  <c r="AA1037" i="1"/>
  <c r="AB1037" i="1" s="1"/>
  <c r="AA1038" i="1"/>
  <c r="AB1038" i="1" s="1"/>
  <c r="AA1039" i="1"/>
  <c r="AB1039" i="1" s="1"/>
  <c r="AA1040" i="1"/>
  <c r="AB1040" i="1" s="1"/>
  <c r="AA1041" i="1"/>
  <c r="AB1041" i="1" s="1"/>
  <c r="AA1042" i="1"/>
  <c r="AB1042" i="1" s="1"/>
  <c r="AA1043" i="1"/>
  <c r="AB1043" i="1" s="1"/>
  <c r="AA1044" i="1"/>
  <c r="AB1044" i="1" s="1"/>
  <c r="AA1045" i="1"/>
  <c r="AB1045" i="1" s="1"/>
  <c r="AA1046" i="1"/>
  <c r="AB1046" i="1" s="1"/>
  <c r="AA1047" i="1"/>
  <c r="AB1047" i="1" s="1"/>
  <c r="AA1048" i="1"/>
  <c r="AB1048" i="1" s="1"/>
  <c r="AA1049" i="1"/>
  <c r="AB1049" i="1" s="1"/>
  <c r="AA1050" i="1"/>
  <c r="AB1050" i="1" s="1"/>
  <c r="AA1051" i="1"/>
  <c r="AB1051" i="1" s="1"/>
  <c r="AA1052" i="1"/>
  <c r="AB1052" i="1" s="1"/>
  <c r="AA1053" i="1"/>
  <c r="AB1053" i="1" s="1"/>
  <c r="AA1054" i="1"/>
  <c r="AB1054" i="1" s="1"/>
  <c r="AA1055" i="1"/>
  <c r="AB1055" i="1" s="1"/>
  <c r="AA1056" i="1"/>
  <c r="AB1056" i="1" s="1"/>
  <c r="AA1057" i="1"/>
  <c r="AB1057" i="1" s="1"/>
  <c r="AA1058" i="1"/>
  <c r="AB1058" i="1" s="1"/>
  <c r="AA1059" i="1"/>
  <c r="AB1059" i="1" s="1"/>
  <c r="AA1060" i="1"/>
  <c r="AB1060" i="1" s="1"/>
  <c r="AA1061" i="1"/>
  <c r="AB1061" i="1" s="1"/>
  <c r="AA1062" i="1"/>
  <c r="AB1062" i="1" s="1"/>
  <c r="AA1063" i="1"/>
  <c r="AB1063" i="1" s="1"/>
  <c r="AA1064" i="1"/>
  <c r="AB1064" i="1" s="1"/>
  <c r="AA1065" i="1"/>
  <c r="AB1065" i="1" s="1"/>
  <c r="AA1066" i="1"/>
  <c r="AB1066" i="1" s="1"/>
  <c r="AA1067" i="1"/>
  <c r="AB1067" i="1" s="1"/>
  <c r="AA1068" i="1"/>
  <c r="AB1068" i="1" s="1"/>
  <c r="AA1069" i="1"/>
  <c r="AB1069" i="1" s="1"/>
  <c r="AA1070" i="1"/>
  <c r="AB1070" i="1" s="1"/>
  <c r="AA1071" i="1"/>
  <c r="AB1071" i="1" s="1"/>
  <c r="AA1072" i="1"/>
  <c r="AB1072" i="1" s="1"/>
  <c r="AA1073" i="1"/>
  <c r="AB1073" i="1" s="1"/>
  <c r="AA1074" i="1"/>
  <c r="AB1074" i="1" s="1"/>
  <c r="AA1075" i="1"/>
  <c r="AB1075" i="1" s="1"/>
  <c r="AA1076" i="1"/>
  <c r="AB1076" i="1" s="1"/>
  <c r="AA1077" i="1"/>
  <c r="AB1077" i="1" s="1"/>
  <c r="AA1078" i="1"/>
  <c r="AB1078" i="1" s="1"/>
  <c r="AA1079" i="1"/>
  <c r="AB1079" i="1" s="1"/>
  <c r="AA1080" i="1"/>
  <c r="AB1080" i="1" s="1"/>
  <c r="AA1081" i="1"/>
  <c r="AB1081" i="1" s="1"/>
  <c r="AA1082" i="1"/>
  <c r="AB1082" i="1" s="1"/>
  <c r="AA1083" i="1"/>
  <c r="AB1083" i="1" s="1"/>
  <c r="AA1084" i="1"/>
  <c r="AB1084" i="1" s="1"/>
  <c r="AA1085" i="1"/>
  <c r="AB1085" i="1" s="1"/>
  <c r="AA1086" i="1"/>
  <c r="AB1086" i="1" s="1"/>
  <c r="AA1087" i="1"/>
  <c r="AB1087" i="1" s="1"/>
  <c r="AA1088" i="1"/>
  <c r="AB1088" i="1" s="1"/>
  <c r="AA1089" i="1"/>
  <c r="AB1089" i="1" s="1"/>
  <c r="AA1090" i="1"/>
  <c r="AB1090" i="1" s="1"/>
  <c r="AA1091" i="1"/>
  <c r="AB1091" i="1" s="1"/>
  <c r="AA1092" i="1"/>
  <c r="AB1092" i="1" s="1"/>
  <c r="AA1093" i="1"/>
  <c r="AB1093" i="1" s="1"/>
  <c r="AA1094" i="1"/>
  <c r="AB1094" i="1" s="1"/>
  <c r="AA1095" i="1"/>
  <c r="AB1095" i="1" s="1"/>
  <c r="AA1096" i="1"/>
  <c r="AB1096" i="1" s="1"/>
  <c r="AA1097" i="1"/>
  <c r="AB1097" i="1" s="1"/>
  <c r="AA1098" i="1"/>
  <c r="AB1098" i="1" s="1"/>
  <c r="AA1099" i="1"/>
  <c r="AB1099" i="1" s="1"/>
  <c r="AA1100" i="1"/>
  <c r="AB1100" i="1" s="1"/>
  <c r="AA1101" i="1"/>
  <c r="AB1101" i="1" s="1"/>
  <c r="AA1102" i="1"/>
  <c r="AB1102" i="1" s="1"/>
  <c r="AA1103" i="1"/>
  <c r="AB1103" i="1" s="1"/>
  <c r="AA1104" i="1"/>
  <c r="AB1104" i="1" s="1"/>
  <c r="AA1105" i="1"/>
  <c r="AB1105" i="1" s="1"/>
  <c r="AA1106" i="1"/>
  <c r="AB1106" i="1" s="1"/>
  <c r="AA1107" i="1"/>
  <c r="AB1107" i="1" s="1"/>
  <c r="AA1108" i="1"/>
  <c r="AB1108" i="1" s="1"/>
  <c r="AA1109" i="1"/>
  <c r="AB1109" i="1" s="1"/>
  <c r="AA1110" i="1"/>
  <c r="AB1110" i="1" s="1"/>
  <c r="AA1111" i="1"/>
  <c r="AB1111" i="1" s="1"/>
  <c r="AA1112" i="1"/>
  <c r="AB1112" i="1" s="1"/>
  <c r="AA1113" i="1"/>
  <c r="AB1113" i="1" s="1"/>
  <c r="AA1114" i="1"/>
  <c r="AB1114" i="1" s="1"/>
  <c r="AA1115" i="1"/>
  <c r="AB1115" i="1" s="1"/>
  <c r="AA1116" i="1"/>
  <c r="AB1116" i="1" s="1"/>
  <c r="AA1117" i="1"/>
  <c r="AB1117" i="1" s="1"/>
  <c r="AA1118" i="1"/>
  <c r="AB1118" i="1" s="1"/>
  <c r="AA1119" i="1"/>
  <c r="AB1119" i="1" s="1"/>
  <c r="AA1120" i="1"/>
  <c r="AB1120" i="1" s="1"/>
  <c r="AA1121" i="1"/>
  <c r="AB1121" i="1" s="1"/>
  <c r="AA1122" i="1"/>
  <c r="AB1122" i="1" s="1"/>
  <c r="AA1123" i="1"/>
  <c r="AB1123" i="1" s="1"/>
  <c r="AA1124" i="1"/>
  <c r="AB1124" i="1" s="1"/>
  <c r="AA1125" i="1"/>
  <c r="AB1125" i="1" s="1"/>
  <c r="AA1126" i="1"/>
  <c r="AB1126" i="1" s="1"/>
  <c r="AA1127" i="1"/>
  <c r="AB1127" i="1" s="1"/>
  <c r="AA1128" i="1"/>
  <c r="AB1128" i="1" s="1"/>
  <c r="AA1129" i="1"/>
  <c r="AB1129" i="1" s="1"/>
  <c r="AA1130" i="1"/>
  <c r="AB1130" i="1" s="1"/>
  <c r="AA1131" i="1"/>
  <c r="AB1131" i="1" s="1"/>
  <c r="AA1132" i="1"/>
  <c r="AB1132" i="1" s="1"/>
  <c r="AA1133" i="1"/>
  <c r="AB1133" i="1" s="1"/>
  <c r="AA1134" i="1"/>
  <c r="AB1134" i="1" s="1"/>
  <c r="AA1135" i="1"/>
  <c r="AB1135" i="1" s="1"/>
  <c r="AA1136" i="1"/>
  <c r="AB1136" i="1" s="1"/>
  <c r="AA1137" i="1"/>
  <c r="AB1137" i="1" s="1"/>
  <c r="AA1138" i="1"/>
  <c r="AB1138" i="1" s="1"/>
  <c r="AA1139" i="1"/>
  <c r="AB1139" i="1" s="1"/>
  <c r="AA1140" i="1"/>
  <c r="AB1140" i="1" s="1"/>
  <c r="AA1141" i="1"/>
  <c r="AB1141" i="1" s="1"/>
  <c r="AA1142" i="1"/>
  <c r="AB1142" i="1" s="1"/>
  <c r="AA1143" i="1"/>
  <c r="AB1143" i="1" s="1"/>
  <c r="AA1144" i="1"/>
  <c r="AB1144" i="1" s="1"/>
  <c r="AA1145" i="1"/>
  <c r="AB1145" i="1" s="1"/>
  <c r="AA1146" i="1"/>
  <c r="AB1146" i="1" s="1"/>
  <c r="AA1147" i="1"/>
  <c r="AB1147" i="1" s="1"/>
  <c r="AA1148" i="1"/>
  <c r="AB1148" i="1" s="1"/>
  <c r="AA1149" i="1"/>
  <c r="AB1149" i="1" s="1"/>
  <c r="AA1150" i="1"/>
  <c r="AB1150" i="1" s="1"/>
  <c r="AA1151" i="1"/>
  <c r="AB1151" i="1" s="1"/>
  <c r="AA1152" i="1"/>
  <c r="AB1152" i="1" s="1"/>
  <c r="AA1153" i="1"/>
  <c r="AB1153" i="1" s="1"/>
  <c r="AA1154" i="1"/>
  <c r="AB1154" i="1" s="1"/>
  <c r="AA1155" i="1"/>
  <c r="AB1155" i="1" s="1"/>
  <c r="AA1156" i="1"/>
  <c r="AB1156" i="1" s="1"/>
  <c r="AA1157" i="1"/>
  <c r="AB1157" i="1" s="1"/>
  <c r="AA1158" i="1"/>
  <c r="AB1158" i="1" s="1"/>
  <c r="AA1159" i="1"/>
  <c r="AB1159" i="1" s="1"/>
  <c r="AA1160" i="1"/>
  <c r="AB1160" i="1" s="1"/>
  <c r="AA1161" i="1"/>
  <c r="AB1161" i="1" s="1"/>
  <c r="AA1162" i="1"/>
  <c r="AB1162" i="1" s="1"/>
  <c r="AA1163" i="1"/>
  <c r="AB1163" i="1" s="1"/>
  <c r="AA1164" i="1"/>
  <c r="AB1164" i="1" s="1"/>
  <c r="AA1165" i="1"/>
  <c r="AB1165" i="1" s="1"/>
  <c r="AA1166" i="1"/>
  <c r="AB1166" i="1" s="1"/>
  <c r="AA1167" i="1"/>
  <c r="AB1167" i="1" s="1"/>
  <c r="AA1168" i="1"/>
  <c r="AB1168" i="1" s="1"/>
  <c r="AA1169" i="1"/>
  <c r="AB1169" i="1" s="1"/>
  <c r="AA1170" i="1"/>
  <c r="AB1170" i="1" s="1"/>
  <c r="AA1171" i="1"/>
  <c r="AB1171" i="1" s="1"/>
  <c r="AA1172" i="1"/>
  <c r="AB1172" i="1" s="1"/>
  <c r="AA1173" i="1"/>
  <c r="AB1173" i="1" s="1"/>
  <c r="AA1174" i="1"/>
  <c r="AB1174" i="1" s="1"/>
  <c r="AA1175" i="1"/>
  <c r="AB1175" i="1" s="1"/>
  <c r="AA1176" i="1"/>
  <c r="AB1176" i="1" s="1"/>
  <c r="AA1177" i="1"/>
  <c r="AB1177" i="1" s="1"/>
  <c r="AA1178" i="1"/>
  <c r="AB1178" i="1" s="1"/>
  <c r="AA1179" i="1"/>
  <c r="AB1179" i="1" s="1"/>
  <c r="AA1180" i="1"/>
  <c r="AB1180" i="1" s="1"/>
  <c r="AA1181" i="1"/>
  <c r="AB1181" i="1" s="1"/>
  <c r="AA1182" i="1"/>
  <c r="AB1182" i="1" s="1"/>
  <c r="AA1183" i="1"/>
  <c r="AB1183" i="1" s="1"/>
  <c r="AA1184" i="1"/>
  <c r="AB1184" i="1" s="1"/>
  <c r="AA1185" i="1"/>
  <c r="AB1185" i="1" s="1"/>
  <c r="AA1186" i="1"/>
  <c r="AB1186" i="1" s="1"/>
  <c r="AA1187" i="1"/>
  <c r="AB1187" i="1" s="1"/>
  <c r="AA1188" i="1"/>
  <c r="AB1188" i="1" s="1"/>
  <c r="AA1189" i="1"/>
  <c r="AB1189" i="1" s="1"/>
  <c r="AA1190" i="1"/>
  <c r="AB1190" i="1" s="1"/>
  <c r="AA1191" i="1"/>
  <c r="AB1191" i="1" s="1"/>
  <c r="AA1192" i="1"/>
  <c r="AB1192" i="1" s="1"/>
  <c r="AA1193" i="1"/>
  <c r="AB1193" i="1" s="1"/>
  <c r="AA1194" i="1"/>
  <c r="AB1194" i="1" s="1"/>
  <c r="AA1195" i="1"/>
  <c r="AB1195" i="1" s="1"/>
  <c r="AA1196" i="1"/>
  <c r="AB1196" i="1" s="1"/>
  <c r="AA1197" i="1"/>
  <c r="AB1197" i="1" s="1"/>
  <c r="AA1198" i="1"/>
  <c r="AB1198" i="1" s="1"/>
  <c r="AA1199" i="1"/>
  <c r="AB1199" i="1" s="1"/>
  <c r="AA1200" i="1"/>
  <c r="AB1200" i="1" s="1"/>
  <c r="AA1201" i="1"/>
  <c r="AB1201" i="1" s="1"/>
  <c r="AA1202" i="1"/>
  <c r="AB1202" i="1" s="1"/>
  <c r="AA1203" i="1"/>
  <c r="AB1203" i="1" s="1"/>
  <c r="AA1204" i="1"/>
  <c r="AB1204" i="1" s="1"/>
  <c r="AA1205" i="1"/>
  <c r="AB1205" i="1" s="1"/>
  <c r="AA1206" i="1"/>
  <c r="AB1206" i="1" s="1"/>
  <c r="AA1207" i="1"/>
  <c r="AB1207" i="1" s="1"/>
  <c r="AA1208" i="1"/>
  <c r="AB1208" i="1" s="1"/>
  <c r="AA1209" i="1"/>
  <c r="AB1209" i="1" s="1"/>
  <c r="AA1210" i="1"/>
  <c r="AB1210" i="1" s="1"/>
  <c r="AA1211" i="1"/>
  <c r="AB1211" i="1" s="1"/>
  <c r="AA1212" i="1"/>
  <c r="AB1212" i="1" s="1"/>
  <c r="AA1213" i="1"/>
  <c r="AB1213" i="1" s="1"/>
  <c r="AA1214" i="1"/>
  <c r="AB1214" i="1" s="1"/>
  <c r="AA1215" i="1"/>
  <c r="AB1215" i="1" s="1"/>
  <c r="AA1216" i="1"/>
  <c r="AB1216" i="1" s="1"/>
  <c r="AA1217" i="1"/>
  <c r="AB1217" i="1" s="1"/>
  <c r="AA1218" i="1"/>
  <c r="AB1218" i="1" s="1"/>
  <c r="AA1219" i="1"/>
  <c r="AB1219" i="1" s="1"/>
  <c r="AA1220" i="1"/>
  <c r="AB1220" i="1" s="1"/>
  <c r="AA1221" i="1"/>
  <c r="AB1221" i="1" s="1"/>
  <c r="AA1222" i="1"/>
  <c r="AB1222" i="1" s="1"/>
  <c r="AA1223" i="1"/>
  <c r="AB1223" i="1" s="1"/>
  <c r="AA1224" i="1"/>
  <c r="AB1224" i="1" s="1"/>
  <c r="AA1225" i="1"/>
  <c r="AB1225" i="1" s="1"/>
  <c r="AA1226" i="1"/>
  <c r="AB1226" i="1" s="1"/>
  <c r="AA1227" i="1"/>
  <c r="AB1227" i="1" s="1"/>
  <c r="AA1228" i="1"/>
  <c r="AB1228" i="1" s="1"/>
  <c r="AA1229" i="1"/>
  <c r="AB1229" i="1" s="1"/>
  <c r="AA1230" i="1"/>
  <c r="AB1230" i="1" s="1"/>
  <c r="AA1231" i="1"/>
  <c r="AB1231" i="1" s="1"/>
  <c r="AA1232" i="1"/>
  <c r="AB1232" i="1" s="1"/>
  <c r="AA1233" i="1"/>
  <c r="AB1233" i="1" s="1"/>
  <c r="AA1234" i="1"/>
  <c r="AB1234" i="1" s="1"/>
  <c r="AA1235" i="1"/>
  <c r="AB1235" i="1" s="1"/>
  <c r="AA1236" i="1"/>
  <c r="AB1236" i="1" s="1"/>
  <c r="AA1237" i="1"/>
  <c r="AB1237" i="1" s="1"/>
  <c r="AA1238" i="1"/>
  <c r="AB1238" i="1" s="1"/>
  <c r="AA1239" i="1"/>
  <c r="AB1239" i="1" s="1"/>
  <c r="AA1240" i="1"/>
  <c r="AB1240" i="1" s="1"/>
  <c r="AA1241" i="1"/>
  <c r="AB1241" i="1" s="1"/>
  <c r="AA1242" i="1"/>
  <c r="AB1242" i="1" s="1"/>
  <c r="AA1243" i="1"/>
  <c r="AB1243" i="1" s="1"/>
  <c r="AA1244" i="1"/>
  <c r="AB1244" i="1" s="1"/>
  <c r="AA1245" i="1"/>
  <c r="AB1245" i="1" s="1"/>
  <c r="AA1246" i="1"/>
  <c r="AB1246" i="1" s="1"/>
  <c r="AA1247" i="1"/>
  <c r="AB1247" i="1" s="1"/>
  <c r="AA1248" i="1"/>
  <c r="AB1248" i="1" s="1"/>
  <c r="AA1249" i="1"/>
  <c r="AB1249" i="1" s="1"/>
  <c r="AA1250" i="1"/>
  <c r="AB1250" i="1" s="1"/>
  <c r="AA1251" i="1"/>
  <c r="AB1251" i="1" s="1"/>
  <c r="AA1252" i="1"/>
  <c r="AB1252" i="1" s="1"/>
  <c r="AA1253" i="1"/>
  <c r="AB1253" i="1" s="1"/>
  <c r="AA1254" i="1"/>
  <c r="AB1254" i="1" s="1"/>
  <c r="AA1255" i="1"/>
  <c r="AB1255" i="1" s="1"/>
  <c r="AA1256" i="1"/>
  <c r="AB1256" i="1" s="1"/>
  <c r="AA1257" i="1"/>
  <c r="AB1257" i="1" s="1"/>
  <c r="AA1258" i="1"/>
  <c r="AB1258" i="1" s="1"/>
  <c r="AA1259" i="1"/>
  <c r="AB1259" i="1" s="1"/>
  <c r="AA1260" i="1"/>
  <c r="AB1260" i="1" s="1"/>
  <c r="AA1261" i="1"/>
  <c r="AB1261" i="1" s="1"/>
  <c r="AA1262" i="1"/>
  <c r="AB1262" i="1" s="1"/>
  <c r="AA1263" i="1"/>
  <c r="AB1263" i="1" s="1"/>
  <c r="AA1264" i="1"/>
  <c r="AB1264" i="1" s="1"/>
  <c r="AA1265" i="1"/>
  <c r="AB1265" i="1" s="1"/>
  <c r="AA1266" i="1"/>
  <c r="AB1266" i="1" s="1"/>
  <c r="AA1267" i="1"/>
  <c r="AB1267" i="1" s="1"/>
  <c r="AA1268" i="1"/>
  <c r="AB1268" i="1" s="1"/>
  <c r="AA1269" i="1"/>
  <c r="AB1269" i="1" s="1"/>
  <c r="AA1270" i="1"/>
  <c r="AB1270" i="1" s="1"/>
  <c r="AA1271" i="1"/>
  <c r="AB1271" i="1" s="1"/>
  <c r="AA1272" i="1"/>
  <c r="AB1272" i="1" s="1"/>
  <c r="AA1273" i="1"/>
  <c r="AB1273" i="1" s="1"/>
  <c r="AA1274" i="1"/>
  <c r="AB1274" i="1" s="1"/>
  <c r="AA1275" i="1"/>
  <c r="AB1275" i="1" s="1"/>
  <c r="AA1276" i="1"/>
  <c r="AB1276" i="1" s="1"/>
  <c r="AA1277" i="1"/>
  <c r="AB1277" i="1" s="1"/>
  <c r="AA1278" i="1"/>
  <c r="AB1278" i="1" s="1"/>
  <c r="AA1279" i="1"/>
  <c r="AB1279" i="1" s="1"/>
  <c r="AA1280" i="1"/>
  <c r="AB1280" i="1" s="1"/>
  <c r="AA1281" i="1"/>
  <c r="AB1281" i="1" s="1"/>
  <c r="AA1282" i="1"/>
  <c r="AB1282" i="1" s="1"/>
  <c r="AA1283" i="1"/>
  <c r="AB1283" i="1" s="1"/>
  <c r="AA1284" i="1"/>
  <c r="AB1284" i="1" s="1"/>
  <c r="AA1285" i="1"/>
  <c r="AB1285" i="1" s="1"/>
  <c r="AA1286" i="1"/>
  <c r="AB1286" i="1" s="1"/>
  <c r="AA1287" i="1"/>
  <c r="AB1287" i="1" s="1"/>
  <c r="AA1288" i="1"/>
  <c r="AB1288" i="1" s="1"/>
  <c r="AA1289" i="1"/>
  <c r="AB1289" i="1" s="1"/>
  <c r="AA1290" i="1"/>
  <c r="AB1290" i="1" s="1"/>
  <c r="AA1291" i="1"/>
  <c r="AB1291" i="1" s="1"/>
  <c r="AA1292" i="1"/>
  <c r="AB1292" i="1" s="1"/>
  <c r="AA1293" i="1"/>
  <c r="AB1293" i="1" s="1"/>
  <c r="AA1294" i="1"/>
  <c r="AB1294" i="1" s="1"/>
  <c r="AA1295" i="1"/>
  <c r="AB1295" i="1" s="1"/>
  <c r="AA1296" i="1"/>
  <c r="AB1296" i="1" s="1"/>
  <c r="AA1297" i="1"/>
  <c r="AB1297" i="1" s="1"/>
  <c r="AA1298" i="1"/>
  <c r="AB1298" i="1" s="1"/>
  <c r="AA1299" i="1"/>
  <c r="AB1299" i="1" s="1"/>
  <c r="AA1300" i="1"/>
  <c r="AB1300" i="1" s="1"/>
  <c r="AA1301" i="1"/>
  <c r="AB1301" i="1" s="1"/>
  <c r="AA1302" i="1"/>
  <c r="AB1302" i="1" s="1"/>
  <c r="AA1303" i="1"/>
  <c r="AB1303" i="1" s="1"/>
  <c r="AA1304" i="1"/>
  <c r="AB1304" i="1" s="1"/>
  <c r="AA1305" i="1"/>
  <c r="AB1305" i="1" s="1"/>
  <c r="AA1306" i="1"/>
  <c r="AB1306" i="1" s="1"/>
  <c r="AA1307" i="1"/>
  <c r="AB1307" i="1" s="1"/>
  <c r="AA1308" i="1"/>
  <c r="AB1308" i="1" s="1"/>
  <c r="AA1309" i="1"/>
  <c r="AB1309" i="1" s="1"/>
  <c r="AA1310" i="1"/>
  <c r="AB1310" i="1" s="1"/>
  <c r="AA1311" i="1"/>
  <c r="AB1311" i="1" s="1"/>
  <c r="AA1312" i="1"/>
  <c r="AB1312" i="1" s="1"/>
  <c r="AA1313" i="1"/>
  <c r="AB1313" i="1" s="1"/>
  <c r="AA1314" i="1"/>
  <c r="AB1314" i="1" s="1"/>
  <c r="AA1315" i="1"/>
  <c r="AB1315" i="1" s="1"/>
  <c r="AA1316" i="1"/>
  <c r="AB1316" i="1" s="1"/>
  <c r="AA1317" i="1"/>
  <c r="AB1317" i="1" s="1"/>
  <c r="AA1318" i="1"/>
  <c r="AB1318" i="1" s="1"/>
  <c r="AA1319" i="1"/>
  <c r="AB1319" i="1" s="1"/>
  <c r="AA1320" i="1"/>
  <c r="AB1320" i="1" s="1"/>
  <c r="AA1321" i="1"/>
  <c r="AB1321" i="1" s="1"/>
  <c r="AA1322" i="1"/>
  <c r="AB1322" i="1" s="1"/>
  <c r="AA1323" i="1"/>
  <c r="AB1323" i="1" s="1"/>
  <c r="AA1324" i="1"/>
  <c r="AB1324" i="1" s="1"/>
  <c r="AA1325" i="1"/>
  <c r="AB1325" i="1" s="1"/>
  <c r="AA1326" i="1"/>
  <c r="AB1326" i="1" s="1"/>
  <c r="AA1327" i="1"/>
  <c r="AB1327" i="1" s="1"/>
  <c r="AA1328" i="1"/>
  <c r="AB1328" i="1" s="1"/>
  <c r="AA1329" i="1"/>
  <c r="AB1329" i="1" s="1"/>
  <c r="AA1330" i="1"/>
  <c r="AB1330" i="1" s="1"/>
  <c r="AA1331" i="1"/>
  <c r="AB1331" i="1" s="1"/>
  <c r="AA1332" i="1"/>
  <c r="AB1332" i="1" s="1"/>
  <c r="AA1333" i="1"/>
  <c r="AB1333" i="1" s="1"/>
  <c r="AA1334" i="1"/>
  <c r="AB1334" i="1" s="1"/>
  <c r="AA1335" i="1"/>
  <c r="AB1335" i="1" s="1"/>
  <c r="AA1336" i="1"/>
  <c r="AB1336" i="1" s="1"/>
  <c r="AA1337" i="1"/>
  <c r="AB1337" i="1" s="1"/>
  <c r="AA1338" i="1"/>
  <c r="AA1339" i="1"/>
  <c r="AB1339" i="1" s="1"/>
  <c r="AA1340" i="1"/>
  <c r="AB1340" i="1" s="1"/>
  <c r="AA1341" i="1"/>
  <c r="AB1341" i="1" s="1"/>
  <c r="AA1342" i="1"/>
  <c r="AB1342" i="1" s="1"/>
  <c r="AA1343" i="1"/>
  <c r="AB1343" i="1" s="1"/>
  <c r="AA1344" i="1"/>
  <c r="AB1344" i="1" s="1"/>
  <c r="AA1345" i="1"/>
  <c r="AB1345" i="1" s="1"/>
  <c r="AA1346" i="1"/>
  <c r="AB1346" i="1" s="1"/>
  <c r="AA1347" i="1"/>
  <c r="AB1347" i="1" s="1"/>
  <c r="AA1348" i="1"/>
  <c r="AB1348" i="1" s="1"/>
  <c r="AA1349" i="1"/>
  <c r="AB1349" i="1" s="1"/>
  <c r="AA1350" i="1"/>
  <c r="AB1350" i="1" s="1"/>
  <c r="AA1351" i="1"/>
  <c r="AB1351" i="1" s="1"/>
  <c r="AA1352" i="1"/>
  <c r="AB1352" i="1" s="1"/>
  <c r="AA1353" i="1"/>
  <c r="AB1353" i="1" s="1"/>
  <c r="AA1354" i="1"/>
  <c r="AB1354" i="1" s="1"/>
  <c r="AA1355" i="1"/>
  <c r="AB1355" i="1" s="1"/>
  <c r="AA1356" i="1"/>
  <c r="AB1356" i="1" s="1"/>
  <c r="AA1357" i="1"/>
  <c r="AB1357" i="1" s="1"/>
  <c r="AA1358" i="1"/>
  <c r="AB1358" i="1" s="1"/>
  <c r="AA1359" i="1"/>
  <c r="AB1359" i="1" s="1"/>
  <c r="AA1360" i="1"/>
  <c r="AB1360" i="1" s="1"/>
  <c r="AA1361" i="1"/>
  <c r="AB1361" i="1" s="1"/>
  <c r="AA1362" i="1"/>
  <c r="AB1362" i="1" s="1"/>
  <c r="AA1363" i="1"/>
  <c r="AB1363" i="1" s="1"/>
  <c r="AA1364" i="1"/>
  <c r="AB1364" i="1" s="1"/>
  <c r="AA1365" i="1"/>
  <c r="AB1365" i="1" s="1"/>
  <c r="AA1366" i="1"/>
  <c r="AB1366" i="1" s="1"/>
  <c r="AA1367" i="1"/>
  <c r="AB1367" i="1" s="1"/>
  <c r="AA1368" i="1"/>
  <c r="AB1368" i="1" s="1"/>
  <c r="AA1369" i="1"/>
  <c r="AB1369" i="1" s="1"/>
  <c r="AA1370" i="1"/>
  <c r="AB1370" i="1" s="1"/>
  <c r="AA1371" i="1"/>
  <c r="AB1371" i="1" s="1"/>
  <c r="AA1372" i="1"/>
  <c r="AB1372" i="1" s="1"/>
  <c r="AA1373" i="1"/>
  <c r="AB1373" i="1" s="1"/>
  <c r="AA1374" i="1"/>
  <c r="AB1374" i="1" s="1"/>
  <c r="AA1375" i="1"/>
  <c r="AB1375" i="1" s="1"/>
  <c r="AA1376" i="1"/>
  <c r="AB1376" i="1" s="1"/>
  <c r="AA1377" i="1"/>
  <c r="AB1377" i="1" s="1"/>
  <c r="AA1378" i="1"/>
  <c r="AB1378" i="1" s="1"/>
  <c r="AA1379" i="1"/>
  <c r="AB1379" i="1" s="1"/>
  <c r="AA1380" i="1"/>
  <c r="AB1380" i="1" s="1"/>
  <c r="AA1381" i="1"/>
  <c r="AB1381" i="1" s="1"/>
  <c r="AA1382" i="1"/>
  <c r="AB1382" i="1" s="1"/>
  <c r="AA1383" i="1"/>
  <c r="AB1383" i="1" s="1"/>
  <c r="AA1384" i="1"/>
  <c r="AB1384" i="1" s="1"/>
  <c r="AA1385" i="1"/>
  <c r="AB1385" i="1" s="1"/>
  <c r="AA1386" i="1"/>
  <c r="AB1386" i="1" s="1"/>
  <c r="AA1387" i="1"/>
  <c r="AB1387" i="1" s="1"/>
  <c r="AA1388" i="1"/>
  <c r="AB1388" i="1" s="1"/>
  <c r="AA1389" i="1"/>
  <c r="AB1389" i="1" s="1"/>
  <c r="AA1390" i="1"/>
  <c r="AB1390" i="1" s="1"/>
  <c r="AA1391" i="1"/>
  <c r="AB1391" i="1" s="1"/>
  <c r="AA1392" i="1"/>
  <c r="AB1392" i="1" s="1"/>
  <c r="AA1393" i="1"/>
  <c r="AB1393" i="1" s="1"/>
  <c r="AA1394" i="1"/>
  <c r="AB1394" i="1" s="1"/>
  <c r="AA1395" i="1"/>
  <c r="AB1395" i="1" s="1"/>
  <c r="AA1396" i="1"/>
  <c r="AB1396" i="1" s="1"/>
  <c r="AA1397" i="1"/>
  <c r="AB1397" i="1" s="1"/>
  <c r="AA1398" i="1"/>
  <c r="AB1398" i="1" s="1"/>
  <c r="AA1399" i="1"/>
  <c r="AB1399" i="1" s="1"/>
  <c r="AA1400" i="1"/>
  <c r="AB1400" i="1" s="1"/>
  <c r="AA1401" i="1"/>
  <c r="AB1401" i="1" s="1"/>
  <c r="AA1402" i="1"/>
  <c r="AB1402" i="1" s="1"/>
  <c r="AA1403" i="1"/>
  <c r="AB1403" i="1" s="1"/>
  <c r="AA1404" i="1"/>
  <c r="AB1404" i="1" s="1"/>
  <c r="AA1405" i="1"/>
  <c r="AB1405" i="1" s="1"/>
  <c r="AA1406" i="1"/>
  <c r="AB1406" i="1" s="1"/>
  <c r="AA1407" i="1"/>
  <c r="AB1407" i="1" s="1"/>
  <c r="AA1408" i="1"/>
  <c r="AB1408" i="1" s="1"/>
  <c r="AA1409" i="1"/>
  <c r="AB1409" i="1" s="1"/>
  <c r="AA1410" i="1"/>
  <c r="AB1410" i="1" s="1"/>
  <c r="AA1411" i="1"/>
  <c r="AB1411" i="1" s="1"/>
  <c r="AA1412" i="1"/>
  <c r="AA1413" i="1"/>
  <c r="AB1413" i="1" s="1"/>
  <c r="AA1414" i="1"/>
  <c r="AB1414" i="1" s="1"/>
  <c r="AA1415" i="1"/>
  <c r="AB1415" i="1" s="1"/>
  <c r="AA1416" i="1"/>
  <c r="AB1416" i="1" s="1"/>
  <c r="AA1417" i="1"/>
  <c r="AB1417" i="1" s="1"/>
  <c r="AA1418" i="1"/>
  <c r="AB1418" i="1" s="1"/>
  <c r="AA1419" i="1"/>
  <c r="AB1419" i="1" s="1"/>
  <c r="AA1420" i="1"/>
  <c r="AB1420" i="1" s="1"/>
  <c r="AA1421" i="1"/>
  <c r="AB1421" i="1" s="1"/>
  <c r="AA1422" i="1"/>
  <c r="AB1422" i="1" s="1"/>
  <c r="AA1423" i="1"/>
  <c r="AB1423" i="1" s="1"/>
  <c r="AA1424" i="1"/>
  <c r="AB1424" i="1" s="1"/>
  <c r="AA1425" i="1"/>
  <c r="AB1425" i="1" s="1"/>
  <c r="AA1426" i="1"/>
  <c r="AB1426" i="1" s="1"/>
  <c r="AA1427" i="1"/>
  <c r="AB1427" i="1" s="1"/>
  <c r="AA1428" i="1"/>
  <c r="AB1428" i="1" s="1"/>
  <c r="AA1429" i="1"/>
  <c r="AB1429" i="1" s="1"/>
  <c r="AA1430" i="1"/>
  <c r="AB1430" i="1" s="1"/>
  <c r="AA1431" i="1"/>
  <c r="AB1431" i="1" s="1"/>
  <c r="AA1432" i="1"/>
  <c r="AB1432" i="1" s="1"/>
  <c r="AA1433" i="1"/>
  <c r="AB1433" i="1" s="1"/>
  <c r="AA1434" i="1"/>
  <c r="AB1434" i="1" s="1"/>
  <c r="AA1435" i="1"/>
  <c r="AB1435" i="1" s="1"/>
  <c r="AA1436" i="1"/>
  <c r="AB1436" i="1" s="1"/>
  <c r="AA1437" i="1"/>
  <c r="AB1437" i="1" s="1"/>
  <c r="AA1438" i="1"/>
  <c r="AB1438" i="1" s="1"/>
  <c r="AA1439" i="1"/>
  <c r="AB1439" i="1" s="1"/>
  <c r="AA1440" i="1"/>
  <c r="AB1440" i="1" s="1"/>
  <c r="AA1441" i="1"/>
  <c r="AB1441" i="1" s="1"/>
  <c r="AA1442" i="1"/>
  <c r="AB1442" i="1" s="1"/>
  <c r="AA1443" i="1"/>
  <c r="AB1443" i="1" s="1"/>
  <c r="AA1444" i="1"/>
  <c r="AB1444" i="1" s="1"/>
  <c r="AA1445" i="1"/>
  <c r="AB1445" i="1" s="1"/>
  <c r="AA1446" i="1"/>
  <c r="AB1446" i="1" s="1"/>
  <c r="AA1447" i="1"/>
  <c r="AB1447" i="1" s="1"/>
  <c r="AA1448" i="1"/>
  <c r="AB1448" i="1" s="1"/>
  <c r="AA1449" i="1"/>
  <c r="AB1449" i="1" s="1"/>
  <c r="AA1450" i="1"/>
  <c r="AB1450" i="1" s="1"/>
  <c r="AA1451" i="1"/>
  <c r="AB1451" i="1" s="1"/>
  <c r="AA1452" i="1"/>
  <c r="AB1452" i="1" s="1"/>
  <c r="AA1453" i="1"/>
  <c r="AB1453" i="1" s="1"/>
  <c r="AA1454" i="1"/>
  <c r="AB1454" i="1" s="1"/>
  <c r="AA1455" i="1"/>
  <c r="AB1455" i="1" s="1"/>
  <c r="AA1456" i="1"/>
  <c r="AB1456" i="1" s="1"/>
  <c r="AA1457" i="1"/>
  <c r="AB1457" i="1" s="1"/>
  <c r="AA1458" i="1"/>
  <c r="AB1458" i="1" s="1"/>
  <c r="AA1459" i="1"/>
  <c r="AB1459" i="1" s="1"/>
  <c r="AA1460" i="1"/>
  <c r="AB1460" i="1" s="1"/>
  <c r="AA1461" i="1"/>
  <c r="AB1461" i="1" s="1"/>
  <c r="AA1462" i="1"/>
  <c r="AB1462" i="1" s="1"/>
  <c r="AA1463" i="1"/>
  <c r="AB1463" i="1" s="1"/>
  <c r="AA1464" i="1"/>
  <c r="AB1464" i="1" s="1"/>
  <c r="AA1465" i="1"/>
  <c r="AB1465" i="1" s="1"/>
  <c r="AA1466" i="1"/>
  <c r="AB1466" i="1" s="1"/>
  <c r="AA1467" i="1"/>
  <c r="AB1467" i="1" s="1"/>
  <c r="AA1468" i="1"/>
  <c r="AB1468" i="1" s="1"/>
  <c r="AA1469" i="1"/>
  <c r="AB1469" i="1" s="1"/>
  <c r="AA1470" i="1"/>
  <c r="AB1470" i="1" s="1"/>
  <c r="AA1471" i="1"/>
  <c r="AB1471" i="1" s="1"/>
  <c r="AA1472" i="1"/>
  <c r="AB1472" i="1" s="1"/>
  <c r="AA1473" i="1"/>
  <c r="AB1473" i="1" s="1"/>
  <c r="AA1474" i="1"/>
  <c r="AB1474" i="1" s="1"/>
  <c r="AA1475" i="1"/>
  <c r="AB1475" i="1" s="1"/>
  <c r="AA1476" i="1"/>
  <c r="AB1476" i="1" s="1"/>
  <c r="AA1477" i="1"/>
  <c r="AB1477" i="1" s="1"/>
  <c r="AA1478" i="1"/>
  <c r="AB1478" i="1" s="1"/>
  <c r="AA1479" i="1"/>
  <c r="AB1479" i="1" s="1"/>
  <c r="AA1480" i="1"/>
  <c r="AB1480" i="1" s="1"/>
  <c r="AA1481" i="1"/>
  <c r="AB1481" i="1" s="1"/>
  <c r="AA1482" i="1"/>
  <c r="AB1482" i="1" s="1"/>
  <c r="AA1483" i="1"/>
  <c r="AB1483" i="1" s="1"/>
  <c r="AA1484" i="1"/>
  <c r="AB1484" i="1" s="1"/>
  <c r="AA1485" i="1"/>
  <c r="AB1485" i="1" s="1"/>
  <c r="AA1486" i="1"/>
  <c r="AB1486" i="1" s="1"/>
  <c r="AA1487" i="1"/>
  <c r="AB1487" i="1" s="1"/>
  <c r="AA1488" i="1"/>
  <c r="AB1488" i="1" s="1"/>
  <c r="AA1489" i="1"/>
  <c r="AB1489" i="1" s="1"/>
  <c r="AA1490" i="1"/>
  <c r="AB1490" i="1" s="1"/>
  <c r="AA1491" i="1"/>
  <c r="AB1491" i="1" s="1"/>
  <c r="AA1492" i="1"/>
  <c r="AB1492" i="1" s="1"/>
  <c r="AA1493" i="1"/>
  <c r="AB1493" i="1" s="1"/>
  <c r="AA1494" i="1"/>
  <c r="AB1494" i="1" s="1"/>
  <c r="AA1495" i="1"/>
  <c r="AB1495" i="1" s="1"/>
  <c r="AA1496" i="1"/>
  <c r="AB1496" i="1" s="1"/>
  <c r="AA1497" i="1"/>
  <c r="AB1497" i="1" s="1"/>
  <c r="AA1498" i="1"/>
  <c r="AB1498" i="1" s="1"/>
  <c r="AA1499" i="1"/>
  <c r="AB1499" i="1" s="1"/>
  <c r="AA1500" i="1"/>
  <c r="AB1500" i="1" s="1"/>
  <c r="AA1501" i="1"/>
  <c r="AB1501" i="1" s="1"/>
  <c r="AA1502" i="1"/>
  <c r="AB1502" i="1" s="1"/>
  <c r="AA1503" i="1"/>
  <c r="AB1503" i="1" s="1"/>
  <c r="AA1504" i="1"/>
  <c r="AB1504" i="1" s="1"/>
  <c r="AA1505" i="1"/>
  <c r="AB1505" i="1" s="1"/>
  <c r="AA1506" i="1"/>
  <c r="AB1506" i="1" s="1"/>
  <c r="AA1507" i="1"/>
  <c r="AB1507" i="1" s="1"/>
  <c r="AA1508" i="1"/>
  <c r="AB1508" i="1" s="1"/>
  <c r="AA1509" i="1"/>
  <c r="AB1509" i="1" s="1"/>
  <c r="AA1510" i="1"/>
  <c r="AB1510" i="1" s="1"/>
  <c r="AA1511" i="1"/>
  <c r="AB1511" i="1" s="1"/>
  <c r="AA1512" i="1"/>
  <c r="AB1512" i="1" s="1"/>
  <c r="AA1513" i="1"/>
  <c r="AB1513" i="1" s="1"/>
  <c r="AA1514" i="1"/>
  <c r="AB1514" i="1" s="1"/>
  <c r="AA1515" i="1"/>
  <c r="AB1515" i="1" s="1"/>
  <c r="AA1516" i="1"/>
  <c r="AB1516" i="1" s="1"/>
  <c r="AA1517" i="1"/>
  <c r="AB1517" i="1" s="1"/>
  <c r="AA1518" i="1"/>
  <c r="AB1518" i="1" s="1"/>
  <c r="AA1519" i="1"/>
  <c r="AB1519" i="1" s="1"/>
  <c r="AA1520" i="1"/>
  <c r="AB1520" i="1" s="1"/>
  <c r="AA1521" i="1"/>
  <c r="AB1521" i="1" s="1"/>
  <c r="AA1522" i="1"/>
  <c r="AB1522" i="1" s="1"/>
  <c r="AA1523" i="1"/>
  <c r="AB1523" i="1" s="1"/>
  <c r="AA1524" i="1"/>
  <c r="AB1524" i="1" s="1"/>
  <c r="AA1525" i="1"/>
  <c r="AB1525" i="1" s="1"/>
  <c r="AA1526" i="1"/>
  <c r="AB1526" i="1" s="1"/>
  <c r="AA1527" i="1"/>
  <c r="AB1527" i="1" s="1"/>
  <c r="AA1528" i="1"/>
  <c r="AB1528" i="1" s="1"/>
  <c r="AA1529" i="1"/>
  <c r="AB1529" i="1" s="1"/>
  <c r="AA1530" i="1"/>
  <c r="AB1530" i="1" s="1"/>
  <c r="AA1531" i="1"/>
  <c r="AB1531" i="1" s="1"/>
  <c r="AA1532" i="1"/>
  <c r="AB1532" i="1" s="1"/>
  <c r="AA1533" i="1"/>
  <c r="AB1533" i="1" s="1"/>
  <c r="AA1534" i="1"/>
  <c r="AB1534" i="1" s="1"/>
  <c r="AA1535" i="1"/>
  <c r="AB1535" i="1" s="1"/>
  <c r="AA1536" i="1"/>
  <c r="AB1536" i="1" s="1"/>
  <c r="AA1537" i="1"/>
  <c r="AB1537" i="1" s="1"/>
  <c r="AA1538" i="1"/>
  <c r="AB1538" i="1" s="1"/>
  <c r="AA1539" i="1"/>
  <c r="AB1539" i="1" s="1"/>
  <c r="AA1540" i="1"/>
  <c r="AB1540" i="1" s="1"/>
  <c r="AA1541" i="1"/>
  <c r="AB1541" i="1" s="1"/>
  <c r="AA1542" i="1"/>
  <c r="AB1542" i="1" s="1"/>
  <c r="AA1543" i="1"/>
  <c r="AB1543" i="1" s="1"/>
  <c r="AA1544" i="1"/>
  <c r="AB1544" i="1" s="1"/>
  <c r="AA1545" i="1"/>
  <c r="AB1545" i="1" s="1"/>
  <c r="AA1546" i="1"/>
  <c r="AB1546" i="1" s="1"/>
  <c r="AA1547" i="1"/>
  <c r="AB1547" i="1" s="1"/>
  <c r="AA1548" i="1"/>
  <c r="AB1548" i="1" s="1"/>
  <c r="AA1549" i="1"/>
  <c r="AB1549" i="1" s="1"/>
  <c r="AA1550" i="1"/>
  <c r="AB1550" i="1" s="1"/>
  <c r="AA1551" i="1"/>
  <c r="AB1551" i="1" s="1"/>
  <c r="AA1552" i="1"/>
  <c r="AB1552" i="1" s="1"/>
  <c r="AA1553" i="1"/>
  <c r="AB1553" i="1" s="1"/>
  <c r="AA1554" i="1"/>
  <c r="AB1554" i="1" s="1"/>
  <c r="AA1555" i="1"/>
  <c r="AB1555" i="1" s="1"/>
  <c r="AA1556" i="1"/>
  <c r="AA1557" i="1"/>
  <c r="AB1557" i="1" s="1"/>
  <c r="AA1558" i="1"/>
  <c r="AB1558" i="1" s="1"/>
  <c r="AA1559" i="1"/>
  <c r="AB1559" i="1" s="1"/>
  <c r="AA1560" i="1"/>
  <c r="AB1560" i="1" s="1"/>
  <c r="AA1561" i="1"/>
  <c r="AB1561" i="1" s="1"/>
  <c r="AA1562" i="1"/>
  <c r="AB1562" i="1" s="1"/>
  <c r="AA1563" i="1"/>
  <c r="AB1563" i="1" s="1"/>
  <c r="AA1564" i="1"/>
  <c r="AB1564" i="1" s="1"/>
  <c r="AA1565" i="1"/>
  <c r="AB1565" i="1" s="1"/>
  <c r="AA1566" i="1"/>
  <c r="AB1566" i="1" s="1"/>
  <c r="AA1567" i="1"/>
  <c r="AB1567" i="1" s="1"/>
  <c r="AA1568" i="1"/>
  <c r="AB1568" i="1" s="1"/>
  <c r="AA1569" i="1"/>
  <c r="AB1569" i="1" s="1"/>
  <c r="AA1570" i="1"/>
  <c r="AB1570" i="1" s="1"/>
  <c r="AA1571" i="1"/>
  <c r="AB1571" i="1" s="1"/>
  <c r="AA1572" i="1"/>
  <c r="AB1572" i="1" s="1"/>
  <c r="AA1573" i="1"/>
  <c r="AB1573" i="1" s="1"/>
  <c r="AA1574" i="1"/>
  <c r="AB1574" i="1" s="1"/>
  <c r="AA1575" i="1"/>
  <c r="AB1575" i="1" s="1"/>
  <c r="AA1576" i="1"/>
  <c r="AB1576" i="1" s="1"/>
  <c r="AA1577" i="1"/>
  <c r="AB1577" i="1" s="1"/>
  <c r="AA1578" i="1"/>
  <c r="AA1579" i="1"/>
  <c r="AB1579" i="1" s="1"/>
  <c r="AA1580" i="1"/>
  <c r="AB1580" i="1" s="1"/>
  <c r="AA1581" i="1"/>
  <c r="AB1581" i="1" s="1"/>
  <c r="AA1582" i="1"/>
  <c r="AB1582" i="1" s="1"/>
  <c r="AA1583" i="1"/>
  <c r="AB1583" i="1" s="1"/>
  <c r="AA1584" i="1"/>
  <c r="AB1584" i="1" s="1"/>
  <c r="AA1585" i="1"/>
  <c r="AB1585" i="1" s="1"/>
  <c r="AA1586" i="1"/>
  <c r="AB1586" i="1" s="1"/>
  <c r="AA1587" i="1"/>
  <c r="AB1587" i="1" s="1"/>
  <c r="AA1588" i="1"/>
  <c r="AB1588" i="1" s="1"/>
  <c r="AA1589" i="1"/>
  <c r="AB1589" i="1" s="1"/>
  <c r="AA1590" i="1"/>
  <c r="AB1590" i="1" s="1"/>
  <c r="AA1591" i="1"/>
  <c r="AB1591" i="1" s="1"/>
  <c r="AA1592" i="1"/>
  <c r="AB1592" i="1" s="1"/>
  <c r="AA1593" i="1"/>
  <c r="AB1593" i="1" s="1"/>
  <c r="AA1594" i="1"/>
  <c r="AB1594" i="1" s="1"/>
  <c r="AA1595" i="1"/>
  <c r="AB1595" i="1" s="1"/>
  <c r="AA1596" i="1"/>
  <c r="AB1596" i="1" s="1"/>
  <c r="AA1597" i="1"/>
  <c r="AB1597" i="1" s="1"/>
  <c r="AA1598" i="1"/>
  <c r="AB1598" i="1" s="1"/>
  <c r="AA1599" i="1"/>
  <c r="AB1599" i="1" s="1"/>
  <c r="AA1600" i="1"/>
  <c r="AB1600" i="1" s="1"/>
  <c r="AA1601" i="1"/>
  <c r="AB1601" i="1" s="1"/>
  <c r="AA1602" i="1"/>
  <c r="AB1602" i="1" s="1"/>
  <c r="AA1603" i="1"/>
  <c r="AB1603" i="1" s="1"/>
  <c r="AA1604" i="1"/>
  <c r="AA1605" i="1"/>
  <c r="AB1605" i="1" s="1"/>
  <c r="AA1606" i="1"/>
  <c r="AB1606" i="1" s="1"/>
  <c r="AA1607" i="1"/>
  <c r="AB1607" i="1" s="1"/>
  <c r="AA1608" i="1"/>
  <c r="AB1608" i="1" s="1"/>
  <c r="AA1609" i="1"/>
  <c r="AB1609" i="1" s="1"/>
  <c r="AA1610" i="1"/>
  <c r="AB1610" i="1" s="1"/>
  <c r="AA1611" i="1"/>
  <c r="AB1611" i="1" s="1"/>
  <c r="AA1612" i="1"/>
  <c r="AB1612" i="1" s="1"/>
  <c r="AA1613" i="1"/>
  <c r="AB1613" i="1" s="1"/>
  <c r="AA1614" i="1"/>
  <c r="AB1614" i="1" s="1"/>
  <c r="AA1615" i="1"/>
  <c r="AB1615" i="1" s="1"/>
  <c r="AA1616" i="1"/>
  <c r="AB1616" i="1" s="1"/>
  <c r="AA1617" i="1"/>
  <c r="AB1617" i="1" s="1"/>
  <c r="AA1618" i="1"/>
  <c r="AB1618" i="1" s="1"/>
  <c r="AA1619" i="1"/>
  <c r="AB1619" i="1" s="1"/>
  <c r="AA1620" i="1"/>
  <c r="AB1620" i="1" s="1"/>
  <c r="AA1621" i="1"/>
  <c r="AB1621" i="1" s="1"/>
  <c r="AA1622" i="1"/>
  <c r="AB1622" i="1" s="1"/>
  <c r="AA1623" i="1"/>
  <c r="AB1623" i="1" s="1"/>
  <c r="AA1624" i="1"/>
  <c r="AB1624" i="1" s="1"/>
  <c r="AA1625" i="1"/>
  <c r="AB1625" i="1" s="1"/>
  <c r="AA1626" i="1"/>
  <c r="AB1626" i="1" s="1"/>
  <c r="AA1627" i="1"/>
  <c r="AB1627" i="1" s="1"/>
  <c r="AA1628" i="1"/>
  <c r="AB1628" i="1" s="1"/>
  <c r="AA1629" i="1"/>
  <c r="AA1630" i="1"/>
  <c r="AB1630" i="1" s="1"/>
  <c r="AA1631" i="1"/>
  <c r="AB1631" i="1" s="1"/>
  <c r="AA1632" i="1"/>
  <c r="AB1632" i="1" s="1"/>
  <c r="AA1633" i="1"/>
  <c r="AB1633" i="1" s="1"/>
  <c r="AA1634" i="1"/>
  <c r="AB1634" i="1" s="1"/>
  <c r="AA1635" i="1"/>
  <c r="AB1635" i="1" s="1"/>
  <c r="AA1636" i="1"/>
  <c r="AB1636" i="1" s="1"/>
  <c r="AA1637" i="1"/>
  <c r="AB1637" i="1" s="1"/>
  <c r="AA1638" i="1"/>
  <c r="AB1638" i="1" s="1"/>
  <c r="AA1639" i="1"/>
  <c r="AB1639" i="1" s="1"/>
  <c r="AA1640" i="1"/>
  <c r="AB1640" i="1" s="1"/>
  <c r="AA1641" i="1"/>
  <c r="AB1641" i="1" s="1"/>
  <c r="AA1642" i="1"/>
  <c r="AB1642" i="1" s="1"/>
  <c r="AA1643" i="1"/>
  <c r="AB1643" i="1" s="1"/>
  <c r="AA1644" i="1"/>
  <c r="AB1644" i="1" s="1"/>
  <c r="AA1645" i="1"/>
  <c r="AB1645" i="1" s="1"/>
  <c r="AA1646" i="1"/>
  <c r="AB1646" i="1" s="1"/>
  <c r="AA1647" i="1"/>
  <c r="AB1647" i="1" s="1"/>
  <c r="AA1648" i="1"/>
  <c r="AB1648" i="1" s="1"/>
  <c r="AA1649" i="1"/>
  <c r="AB1649" i="1" s="1"/>
  <c r="AA1650" i="1"/>
  <c r="AB1650" i="1" s="1"/>
  <c r="AA1651" i="1"/>
  <c r="AB1651" i="1" s="1"/>
  <c r="AA1652" i="1"/>
  <c r="AA1653" i="1"/>
  <c r="AB1653" i="1" s="1"/>
  <c r="AA1654" i="1"/>
  <c r="AB1654" i="1" s="1"/>
  <c r="AA1655" i="1"/>
  <c r="AB1655" i="1" s="1"/>
  <c r="AA1656" i="1"/>
  <c r="AB1656" i="1" s="1"/>
  <c r="AA1657" i="1"/>
  <c r="AB1657" i="1" s="1"/>
  <c r="AA1658" i="1"/>
  <c r="AB1658" i="1" s="1"/>
  <c r="AA1659" i="1"/>
  <c r="AB1659" i="1" s="1"/>
  <c r="AA1660" i="1"/>
  <c r="AB1660" i="1" s="1"/>
  <c r="AA1661" i="1"/>
  <c r="AB1661" i="1" s="1"/>
  <c r="AA1662" i="1"/>
  <c r="AB1662" i="1" s="1"/>
  <c r="AA1663" i="1"/>
  <c r="AB1663" i="1" s="1"/>
  <c r="AA1664" i="1"/>
  <c r="AB1664" i="1" s="1"/>
  <c r="AA1665" i="1"/>
  <c r="AB1665" i="1" s="1"/>
  <c r="AA1666" i="1"/>
  <c r="AB1666" i="1" s="1"/>
  <c r="AA1667" i="1"/>
  <c r="AB1667" i="1" s="1"/>
  <c r="AA1668" i="1"/>
  <c r="AB1668" i="1" s="1"/>
  <c r="AA1669" i="1"/>
  <c r="AB1669" i="1" s="1"/>
  <c r="AA1670" i="1"/>
  <c r="AB1670" i="1" s="1"/>
  <c r="AA1671" i="1"/>
  <c r="AB1671" i="1" s="1"/>
  <c r="AA1672" i="1"/>
  <c r="AB1672" i="1" s="1"/>
  <c r="AA1673" i="1"/>
  <c r="AB1673" i="1" s="1"/>
  <c r="AA1674" i="1"/>
  <c r="AB1674" i="1" s="1"/>
  <c r="AA1675" i="1"/>
  <c r="AB1675" i="1" s="1"/>
  <c r="AA1676" i="1"/>
  <c r="AB1676" i="1" s="1"/>
  <c r="AA1677" i="1"/>
  <c r="AB1677" i="1" s="1"/>
  <c r="AA1678" i="1"/>
  <c r="AB1678" i="1" s="1"/>
  <c r="AA1679" i="1"/>
  <c r="AB1679" i="1" s="1"/>
  <c r="AA1680" i="1"/>
  <c r="AB1680" i="1" s="1"/>
  <c r="AA1681" i="1"/>
  <c r="AB1681" i="1" s="1"/>
  <c r="AA1682" i="1"/>
  <c r="AB1682" i="1" s="1"/>
  <c r="AA1683" i="1"/>
  <c r="AB1683" i="1" s="1"/>
  <c r="AA1684" i="1"/>
  <c r="AB1684" i="1" s="1"/>
  <c r="AA1685" i="1"/>
  <c r="AB1685" i="1" s="1"/>
  <c r="AA1686" i="1"/>
  <c r="AB1686" i="1" s="1"/>
  <c r="AA1687" i="1"/>
  <c r="AB1687" i="1" s="1"/>
  <c r="AA1688" i="1"/>
  <c r="AB1688" i="1" s="1"/>
  <c r="AA1689" i="1"/>
  <c r="AB1689" i="1" s="1"/>
  <c r="AA1690" i="1"/>
  <c r="AB1690" i="1" s="1"/>
  <c r="AA1691" i="1"/>
  <c r="AB1691" i="1" s="1"/>
  <c r="AA1692" i="1"/>
  <c r="AB1692" i="1" s="1"/>
  <c r="AA1693" i="1"/>
  <c r="AB1693" i="1" s="1"/>
  <c r="AA1694" i="1"/>
  <c r="AB1694" i="1" s="1"/>
  <c r="AA1695" i="1"/>
  <c r="AB1695" i="1" s="1"/>
  <c r="AA1696" i="1"/>
  <c r="AB1696" i="1" s="1"/>
  <c r="AA1697" i="1"/>
  <c r="AA1698" i="1"/>
  <c r="AB1698" i="1" s="1"/>
  <c r="AA1699" i="1"/>
  <c r="AB1699" i="1" s="1"/>
  <c r="AA1700" i="1"/>
  <c r="AB1700" i="1" s="1"/>
  <c r="AA1701" i="1"/>
  <c r="AB1701" i="1" s="1"/>
  <c r="AA1702" i="1"/>
  <c r="AB1702" i="1" s="1"/>
  <c r="AA1703" i="1"/>
  <c r="AB1703" i="1" s="1"/>
  <c r="AA1704" i="1"/>
  <c r="AB1704" i="1" s="1"/>
  <c r="AA1705" i="1"/>
  <c r="AB1705" i="1" s="1"/>
  <c r="AA1706" i="1"/>
  <c r="AB1706" i="1" s="1"/>
  <c r="AA1707" i="1"/>
  <c r="AB1707" i="1" s="1"/>
  <c r="AA1708" i="1"/>
  <c r="AB1708" i="1" s="1"/>
  <c r="AA1709" i="1"/>
  <c r="AB1709" i="1" s="1"/>
  <c r="AA1710" i="1"/>
  <c r="AB1710" i="1" s="1"/>
  <c r="AA1711" i="1"/>
  <c r="AB1711" i="1" s="1"/>
  <c r="AA1712" i="1"/>
  <c r="AB1712" i="1" s="1"/>
  <c r="AA1713" i="1"/>
  <c r="AB1713" i="1" s="1"/>
  <c r="AA1714" i="1"/>
  <c r="AB1714" i="1" s="1"/>
  <c r="AA1715" i="1"/>
  <c r="AB1715" i="1" s="1"/>
  <c r="AA1716" i="1"/>
  <c r="AB1716" i="1" s="1"/>
  <c r="AA1717" i="1"/>
  <c r="AB1717" i="1" s="1"/>
  <c r="AA1718" i="1"/>
  <c r="AB1718" i="1" s="1"/>
  <c r="AA1719" i="1"/>
  <c r="AB1719" i="1" s="1"/>
  <c r="AA1720" i="1"/>
  <c r="AB1720" i="1" s="1"/>
  <c r="AA1721" i="1"/>
  <c r="AB1721" i="1" s="1"/>
  <c r="AA1722" i="1"/>
  <c r="AB1722" i="1" s="1"/>
  <c r="AA1723" i="1"/>
  <c r="AB1723" i="1" s="1"/>
  <c r="AA1724" i="1"/>
  <c r="AB1724" i="1" s="1"/>
  <c r="AA1725" i="1"/>
  <c r="AB1725" i="1" s="1"/>
  <c r="AA1726" i="1"/>
  <c r="AB1726" i="1" s="1"/>
  <c r="AA1727" i="1"/>
  <c r="AB1727" i="1" s="1"/>
  <c r="AA1728" i="1"/>
  <c r="AB1728" i="1" s="1"/>
  <c r="AA1729" i="1"/>
  <c r="AB1729" i="1" s="1"/>
  <c r="AA1730" i="1"/>
  <c r="AB1730" i="1" s="1"/>
  <c r="AA1731" i="1"/>
  <c r="AB1731" i="1" s="1"/>
  <c r="AA1732" i="1"/>
  <c r="AB1732" i="1" s="1"/>
  <c r="AA1733" i="1"/>
  <c r="AB1733" i="1" s="1"/>
  <c r="AA1734" i="1"/>
  <c r="AB1734" i="1" s="1"/>
  <c r="AA1735" i="1"/>
  <c r="AB1735" i="1" s="1"/>
  <c r="AA1736" i="1"/>
  <c r="AB1736" i="1" s="1"/>
  <c r="AA1737" i="1"/>
  <c r="AB1737" i="1" s="1"/>
  <c r="AA1738" i="1"/>
  <c r="AB1738" i="1" s="1"/>
  <c r="AA1739" i="1"/>
  <c r="AB1739" i="1" s="1"/>
  <c r="AA1740" i="1"/>
  <c r="AB1740" i="1" s="1"/>
  <c r="AA1741" i="1"/>
  <c r="AB1741" i="1" s="1"/>
  <c r="AA1742" i="1"/>
  <c r="AB1742" i="1" s="1"/>
  <c r="AA1743" i="1"/>
  <c r="AB1743" i="1" s="1"/>
  <c r="AA1744" i="1"/>
  <c r="AB1744" i="1" s="1"/>
  <c r="AA1745" i="1"/>
  <c r="AB1745" i="1" s="1"/>
  <c r="AA1746" i="1"/>
  <c r="AB1746" i="1" s="1"/>
  <c r="AA1747" i="1"/>
  <c r="AB1747" i="1" s="1"/>
  <c r="AA1748" i="1"/>
  <c r="AB1748" i="1" s="1"/>
  <c r="AA1749" i="1"/>
  <c r="AB1749" i="1" s="1"/>
  <c r="AA1750" i="1"/>
  <c r="AB1750" i="1" s="1"/>
  <c r="AA1751" i="1"/>
  <c r="AB1751" i="1" s="1"/>
  <c r="AA1752" i="1"/>
  <c r="AB1752" i="1" s="1"/>
  <c r="AA1753" i="1"/>
  <c r="AB1753" i="1" s="1"/>
  <c r="AA1754" i="1"/>
  <c r="AB1754" i="1" s="1"/>
  <c r="AA1755" i="1"/>
  <c r="AB1755" i="1" s="1"/>
  <c r="AA1756" i="1"/>
  <c r="AB1756" i="1" s="1"/>
  <c r="AA1757" i="1"/>
  <c r="AB1757" i="1" s="1"/>
  <c r="AA1758" i="1"/>
  <c r="AB1758" i="1" s="1"/>
  <c r="AA1759" i="1"/>
  <c r="AB1759" i="1" s="1"/>
  <c r="AA1760" i="1"/>
  <c r="AB1760" i="1" s="1"/>
  <c r="AA1761" i="1"/>
  <c r="AB1761" i="1" s="1"/>
  <c r="AA1762" i="1"/>
  <c r="AB1762" i="1" s="1"/>
  <c r="AA1763" i="1"/>
  <c r="AB1763" i="1" s="1"/>
  <c r="AA1764" i="1"/>
  <c r="AB1764" i="1" s="1"/>
  <c r="AA1765" i="1"/>
  <c r="AB1765" i="1" s="1"/>
  <c r="AA1766" i="1"/>
  <c r="AB1766" i="1" s="1"/>
  <c r="AA1767" i="1"/>
  <c r="AB1767" i="1" s="1"/>
  <c r="AA1768" i="1"/>
  <c r="AB1768" i="1" s="1"/>
  <c r="AA1769" i="1"/>
  <c r="AB1769" i="1" s="1"/>
  <c r="AA1770" i="1"/>
  <c r="AB1770" i="1" s="1"/>
  <c r="AA1771" i="1"/>
  <c r="AB1771" i="1" s="1"/>
  <c r="AA1772" i="1"/>
  <c r="AB1772" i="1" s="1"/>
  <c r="AA1773" i="1"/>
  <c r="AB1773" i="1" s="1"/>
  <c r="AA1774" i="1"/>
  <c r="AB1774" i="1" s="1"/>
  <c r="AA1775" i="1"/>
  <c r="AB1775" i="1" s="1"/>
  <c r="AA1776" i="1"/>
  <c r="AB1776" i="1" s="1"/>
  <c r="AA1777" i="1"/>
  <c r="AB1777" i="1" s="1"/>
  <c r="AA1778" i="1"/>
  <c r="AB1778" i="1" s="1"/>
  <c r="AA1779" i="1"/>
  <c r="AB1779" i="1" s="1"/>
  <c r="AA1780" i="1"/>
  <c r="AB1780" i="1" s="1"/>
  <c r="AA1781" i="1"/>
  <c r="AB1781" i="1" s="1"/>
  <c r="AA1782" i="1"/>
  <c r="AB1782" i="1" s="1"/>
  <c r="AA1783" i="1"/>
  <c r="AB1783" i="1" s="1"/>
  <c r="AA1784" i="1"/>
  <c r="AB1784" i="1" s="1"/>
  <c r="AA1785" i="1"/>
  <c r="AB1785" i="1" s="1"/>
  <c r="AA1786" i="1"/>
  <c r="AB1786" i="1" s="1"/>
  <c r="AA1787" i="1"/>
  <c r="AB1787" i="1" s="1"/>
  <c r="AA1788" i="1"/>
  <c r="AB1788" i="1" s="1"/>
  <c r="AA1789" i="1"/>
  <c r="AB1789" i="1" s="1"/>
  <c r="AA1790" i="1"/>
  <c r="AB1790" i="1" s="1"/>
  <c r="AA1791" i="1"/>
  <c r="AB1791" i="1" s="1"/>
  <c r="AA1792" i="1"/>
  <c r="AB1792" i="1" s="1"/>
  <c r="AA1793" i="1"/>
  <c r="AB1793" i="1" s="1"/>
  <c r="AA1794" i="1"/>
  <c r="AB1794" i="1" s="1"/>
  <c r="AA1795" i="1"/>
  <c r="AB1795" i="1" s="1"/>
  <c r="AA1796" i="1"/>
  <c r="AB1796" i="1" s="1"/>
  <c r="AA1797" i="1"/>
  <c r="AB1797" i="1" s="1"/>
  <c r="AA1798" i="1"/>
  <c r="AB1798" i="1" s="1"/>
  <c r="AA1799" i="1"/>
  <c r="AB1799" i="1" s="1"/>
  <c r="AA1800" i="1"/>
  <c r="AB1800" i="1" s="1"/>
  <c r="AA1801" i="1"/>
  <c r="AB1801" i="1" s="1"/>
  <c r="AA1802" i="1"/>
  <c r="AB1802" i="1" s="1"/>
  <c r="AA1803" i="1"/>
  <c r="AA1804" i="1"/>
  <c r="AB1804" i="1" s="1"/>
  <c r="AA1805" i="1"/>
  <c r="AB1805" i="1" s="1"/>
  <c r="AA1806" i="1"/>
  <c r="AB1806" i="1" s="1"/>
  <c r="AA1807" i="1"/>
  <c r="AB1807" i="1" s="1"/>
  <c r="AA1808" i="1"/>
  <c r="AB1808" i="1" s="1"/>
  <c r="AA1809" i="1"/>
  <c r="AB1809" i="1" s="1"/>
  <c r="AA1810" i="1"/>
  <c r="AB1810" i="1" s="1"/>
  <c r="AA1811" i="1"/>
  <c r="AB1811" i="1" s="1"/>
  <c r="AA1812" i="1"/>
  <c r="AB1812" i="1" s="1"/>
  <c r="AA1813" i="1"/>
  <c r="AB1813" i="1" s="1"/>
  <c r="AA1814" i="1"/>
  <c r="AB1814" i="1" s="1"/>
  <c r="AA1815" i="1"/>
  <c r="AB1815" i="1" s="1"/>
  <c r="AA1816" i="1"/>
  <c r="AB1816" i="1" s="1"/>
  <c r="AA1817" i="1"/>
  <c r="AB1817" i="1" s="1"/>
  <c r="AA1818" i="1"/>
  <c r="AB1818" i="1" s="1"/>
  <c r="AA1819" i="1"/>
  <c r="AB1819" i="1" s="1"/>
  <c r="AA1820" i="1"/>
  <c r="AB1820" i="1" s="1"/>
  <c r="AA1821" i="1"/>
  <c r="AB1821" i="1" s="1"/>
  <c r="AA1822" i="1"/>
  <c r="AB1822" i="1" s="1"/>
  <c r="Y3" i="1"/>
  <c r="Y7" i="1"/>
  <c r="Y9" i="1"/>
  <c r="Y11" i="1"/>
  <c r="Y15" i="1"/>
  <c r="Y19" i="1"/>
  <c r="Y23" i="1"/>
  <c r="Y25" i="1"/>
  <c r="Y27" i="1"/>
  <c r="Y31" i="1"/>
  <c r="Y35" i="1"/>
  <c r="Y39" i="1"/>
  <c r="Y41" i="1"/>
  <c r="Y43" i="1"/>
  <c r="Y47" i="1"/>
  <c r="Y51" i="1"/>
  <c r="Y55" i="1"/>
  <c r="Y57" i="1"/>
  <c r="Y59" i="1"/>
  <c r="Y63" i="1"/>
  <c r="Y67" i="1"/>
  <c r="Y71" i="1"/>
  <c r="Y73" i="1"/>
  <c r="Y75" i="1"/>
  <c r="Y79" i="1"/>
  <c r="Y83" i="1"/>
  <c r="Y87" i="1"/>
  <c r="Y89" i="1"/>
  <c r="Y91" i="1"/>
  <c r="Y95" i="1"/>
  <c r="Y99" i="1"/>
  <c r="Y103" i="1"/>
  <c r="Y105" i="1"/>
  <c r="Y107" i="1"/>
  <c r="Y111" i="1"/>
  <c r="Y115" i="1"/>
  <c r="Y119" i="1"/>
  <c r="Y121" i="1"/>
  <c r="Y123" i="1"/>
  <c r="Y127" i="1"/>
  <c r="Y131" i="1"/>
  <c r="Y135" i="1"/>
  <c r="Y137" i="1"/>
  <c r="Y139" i="1"/>
  <c r="Y143" i="1"/>
  <c r="Y151" i="1"/>
  <c r="Y153" i="1"/>
  <c r="Y155" i="1"/>
  <c r="Y159" i="1"/>
  <c r="Y167" i="1"/>
  <c r="Y169" i="1"/>
  <c r="Y171" i="1"/>
  <c r="Y175" i="1"/>
  <c r="Y183" i="1"/>
  <c r="Y185" i="1"/>
  <c r="Y187" i="1"/>
  <c r="Y191" i="1"/>
  <c r="Y199" i="1"/>
  <c r="Y201" i="1"/>
  <c r="Y203" i="1"/>
  <c r="Y207" i="1"/>
  <c r="Y215" i="1"/>
  <c r="Y217" i="1"/>
  <c r="Y219" i="1"/>
  <c r="Y223" i="1"/>
  <c r="Y231" i="1"/>
  <c r="Y233" i="1"/>
  <c r="Y235" i="1"/>
  <c r="Y239" i="1"/>
  <c r="Y247" i="1"/>
  <c r="Y249" i="1"/>
  <c r="Y251" i="1"/>
  <c r="Y255" i="1"/>
  <c r="Y263" i="1"/>
  <c r="Y265" i="1"/>
  <c r="Y267" i="1"/>
  <c r="Y271" i="1"/>
  <c r="Y279" i="1"/>
  <c r="Y281" i="1"/>
  <c r="Y283" i="1"/>
  <c r="Y287" i="1"/>
  <c r="Y295" i="1"/>
  <c r="Y297" i="1"/>
  <c r="Y299" i="1"/>
  <c r="Y303" i="1"/>
  <c r="Y311" i="1"/>
  <c r="Y313" i="1"/>
  <c r="Y315" i="1"/>
  <c r="Y319" i="1"/>
  <c r="Y327" i="1"/>
  <c r="Y329" i="1"/>
  <c r="Y331" i="1"/>
  <c r="Y335" i="1"/>
  <c r="Y343" i="1"/>
  <c r="Y345" i="1"/>
  <c r="Y347" i="1"/>
  <c r="Y351" i="1"/>
  <c r="Y359" i="1"/>
  <c r="Y361" i="1"/>
  <c r="Y363" i="1"/>
  <c r="Y367" i="1"/>
  <c r="Y375" i="1"/>
  <c r="Y377" i="1"/>
  <c r="Y379" i="1"/>
  <c r="Y383" i="1"/>
  <c r="Y391" i="1"/>
  <c r="Y393" i="1"/>
  <c r="Y395" i="1"/>
  <c r="Y399" i="1"/>
  <c r="Y407" i="1"/>
  <c r="Y409" i="1"/>
  <c r="Y411" i="1"/>
  <c r="Y415" i="1"/>
  <c r="Y423" i="1"/>
  <c r="Y425" i="1"/>
  <c r="Y427" i="1"/>
  <c r="Y431" i="1"/>
  <c r="Y439" i="1"/>
  <c r="Y441" i="1"/>
  <c r="Y443" i="1"/>
  <c r="Y447" i="1"/>
  <c r="Y455" i="1"/>
  <c r="Y457" i="1"/>
  <c r="Y459" i="1"/>
  <c r="Y463" i="1"/>
  <c r="Y471" i="1"/>
  <c r="Y473" i="1"/>
  <c r="Y475" i="1"/>
  <c r="Y483" i="1"/>
  <c r="Y489" i="1"/>
  <c r="Y495" i="1"/>
  <c r="Y497" i="1"/>
  <c r="Y498" i="1"/>
  <c r="Y507" i="1"/>
  <c r="Y511" i="1"/>
  <c r="Y514" i="1"/>
  <c r="Y521" i="1"/>
  <c r="Y522" i="1"/>
  <c r="Y523" i="1"/>
  <c r="Y527" i="1"/>
  <c r="Y535" i="1"/>
  <c r="Y537" i="1"/>
  <c r="Y539" i="1"/>
  <c r="Y547" i="1"/>
  <c r="Y553" i="1"/>
  <c r="Y559" i="1"/>
  <c r="Y561" i="1"/>
  <c r="Y562" i="1"/>
  <c r="Y571" i="1"/>
  <c r="Y575" i="1"/>
  <c r="Y578" i="1"/>
  <c r="Y585" i="1"/>
  <c r="Y586" i="1"/>
  <c r="Y587" i="1"/>
  <c r="Y591" i="1"/>
  <c r="Y599" i="1"/>
  <c r="Y601" i="1"/>
  <c r="Y603" i="1"/>
  <c r="Y611" i="1"/>
  <c r="Y617" i="1"/>
  <c r="Y623" i="1"/>
  <c r="Y625" i="1"/>
  <c r="Y626" i="1"/>
  <c r="Y635" i="1"/>
  <c r="Y639" i="1"/>
  <c r="Y642" i="1"/>
  <c r="Y649" i="1"/>
  <c r="Y650" i="1"/>
  <c r="Y651" i="1"/>
  <c r="Y655" i="1"/>
  <c r="Y663" i="1"/>
  <c r="Y665" i="1"/>
  <c r="Y667" i="1"/>
  <c r="Y675" i="1"/>
  <c r="Y681" i="1"/>
  <c r="Y687" i="1"/>
  <c r="Y689" i="1"/>
  <c r="Y690" i="1"/>
  <c r="Y699" i="1"/>
  <c r="Y703" i="1"/>
  <c r="Y706" i="1"/>
  <c r="Y713" i="1"/>
  <c r="Y714" i="1"/>
  <c r="Y715" i="1"/>
  <c r="Y719" i="1"/>
  <c r="Y727" i="1"/>
  <c r="Y729" i="1"/>
  <c r="Y731" i="1"/>
  <c r="Y739" i="1"/>
  <c r="Y743" i="1"/>
  <c r="Y750" i="1"/>
  <c r="Y751" i="1"/>
  <c r="Y754" i="1"/>
  <c r="Y759" i="1"/>
  <c r="Y761" i="1"/>
  <c r="Y762" i="1"/>
  <c r="Y771" i="1"/>
  <c r="Y775" i="1"/>
  <c r="Y782" i="1"/>
  <c r="Y783" i="1"/>
  <c r="Y786" i="1"/>
  <c r="Y791" i="1"/>
  <c r="Y793" i="1"/>
  <c r="Y794" i="1"/>
  <c r="Y803" i="1"/>
  <c r="Y807" i="1"/>
  <c r="Y814" i="1"/>
  <c r="Y815" i="1"/>
  <c r="Y818" i="1"/>
  <c r="Y823" i="1"/>
  <c r="Y825" i="1"/>
  <c r="Y826" i="1"/>
  <c r="Y835" i="1"/>
  <c r="Y839" i="1"/>
  <c r="Y846" i="1"/>
  <c r="Y847" i="1"/>
  <c r="Y850" i="1"/>
  <c r="Y855" i="1"/>
  <c r="Y857" i="1"/>
  <c r="Y858" i="1"/>
  <c r="Y867" i="1"/>
  <c r="Y871" i="1"/>
  <c r="Y878" i="1"/>
  <c r="Y879" i="1"/>
  <c r="Y882" i="1"/>
  <c r="Y887" i="1"/>
  <c r="Y889" i="1"/>
  <c r="Y890" i="1"/>
  <c r="Y899" i="1"/>
  <c r="Y903" i="1"/>
  <c r="Y910" i="1"/>
  <c r="Y911" i="1"/>
  <c r="Y914" i="1"/>
  <c r="Y919" i="1"/>
  <c r="Y921" i="1"/>
  <c r="Y922" i="1"/>
  <c r="Y931" i="1"/>
  <c r="Y935" i="1"/>
  <c r="Y942" i="1"/>
  <c r="Y943" i="1"/>
  <c r="Y946" i="1"/>
  <c r="Y951" i="1"/>
  <c r="Y953" i="1"/>
  <c r="Y954" i="1"/>
  <c r="Y963" i="1"/>
  <c r="Y967" i="1"/>
  <c r="Y974" i="1"/>
  <c r="Y975" i="1"/>
  <c r="Y978" i="1"/>
  <c r="Y983" i="1"/>
  <c r="Y985" i="1"/>
  <c r="Y986" i="1"/>
  <c r="Y995" i="1"/>
  <c r="Y999" i="1"/>
  <c r="Y1014" i="1"/>
  <c r="Y1015" i="1"/>
  <c r="Y1017" i="1"/>
  <c r="Y1023" i="1"/>
  <c r="Y1026" i="1"/>
  <c r="Y1033" i="1"/>
  <c r="Y1035" i="1"/>
  <c r="Y1041" i="1"/>
  <c r="Y1042" i="1"/>
  <c r="Y1050" i="1"/>
  <c r="Y1051" i="1"/>
  <c r="Y1054" i="1"/>
  <c r="Y1059" i="1"/>
  <c r="Y1063" i="1"/>
  <c r="Y1078" i="1"/>
  <c r="Y1079" i="1"/>
  <c r="Y1081" i="1"/>
  <c r="Y1087" i="1"/>
  <c r="Y1090" i="1"/>
  <c r="Y1097" i="1"/>
  <c r="Y1099" i="1"/>
  <c r="Y1105" i="1"/>
  <c r="Y1106" i="1"/>
  <c r="Y1114" i="1"/>
  <c r="Y1115" i="1"/>
  <c r="Y1118" i="1"/>
  <c r="Y1123" i="1"/>
  <c r="Y1127" i="1"/>
  <c r="Y1142" i="1"/>
  <c r="Y1143" i="1"/>
  <c r="Y1145" i="1"/>
  <c r="Y1151" i="1"/>
  <c r="Y1154" i="1"/>
  <c r="Y1161" i="1"/>
  <c r="Y1163" i="1"/>
  <c r="Y1169" i="1"/>
  <c r="Y1170" i="1"/>
  <c r="Y1178" i="1"/>
  <c r="Y1179" i="1"/>
  <c r="Y1182" i="1"/>
  <c r="Y1187" i="1"/>
  <c r="Y1191" i="1"/>
  <c r="Y1206" i="1"/>
  <c r="Y1207" i="1"/>
  <c r="Y1209" i="1"/>
  <c r="Y1215" i="1"/>
  <c r="Y1218" i="1"/>
  <c r="Y1225" i="1"/>
  <c r="Y1227" i="1"/>
  <c r="Y1233" i="1"/>
  <c r="Y1234" i="1"/>
  <c r="Y1236" i="1"/>
  <c r="Y1241" i="1"/>
  <c r="Y1242" i="1"/>
  <c r="Y1244" i="1"/>
  <c r="Y1249" i="1"/>
  <c r="Y1250" i="1"/>
  <c r="Y1252" i="1"/>
  <c r="Y1257" i="1"/>
  <c r="Y1258" i="1"/>
  <c r="Y1260" i="1"/>
  <c r="Y1265" i="1"/>
  <c r="Y1266" i="1"/>
  <c r="Y1268" i="1"/>
  <c r="Y1273" i="1"/>
  <c r="Y1274" i="1"/>
  <c r="Y1276" i="1"/>
  <c r="Y1281" i="1"/>
  <c r="Y1282" i="1"/>
  <c r="Y1284" i="1"/>
  <c r="Y1289" i="1"/>
  <c r="Y1290" i="1"/>
  <c r="Y1292" i="1"/>
  <c r="Y1297" i="1"/>
  <c r="Y1298" i="1"/>
  <c r="Y1300" i="1"/>
  <c r="Y1305" i="1"/>
  <c r="Y1306" i="1"/>
  <c r="Y1308" i="1"/>
  <c r="Y1313" i="1"/>
  <c r="Y1314" i="1"/>
  <c r="Y1316" i="1"/>
  <c r="Y1321" i="1"/>
  <c r="Y1322" i="1"/>
  <c r="Y1324" i="1"/>
  <c r="Y1329" i="1"/>
  <c r="Y1330" i="1"/>
  <c r="Y1332" i="1"/>
  <c r="Y1337" i="1"/>
  <c r="Y1338" i="1"/>
  <c r="Y1340" i="1"/>
  <c r="Y1345" i="1"/>
  <c r="Y1346" i="1"/>
  <c r="Y1348" i="1"/>
  <c r="Y1353" i="1"/>
  <c r="Y1354" i="1"/>
  <c r="Y1356" i="1"/>
  <c r="Y1361" i="1"/>
  <c r="Y1362" i="1"/>
  <c r="Y1364" i="1"/>
  <c r="Y1369" i="1"/>
  <c r="Y1370" i="1"/>
  <c r="Y1372" i="1"/>
  <c r="Y1377" i="1"/>
  <c r="Y1378" i="1"/>
  <c r="Y1380" i="1"/>
  <c r="Y1385" i="1"/>
  <c r="Y1386" i="1"/>
  <c r="Y1388" i="1"/>
  <c r="Y1393" i="1"/>
  <c r="Y1394" i="1"/>
  <c r="Y1396" i="1"/>
  <c r="Y1401" i="1"/>
  <c r="Y1402" i="1"/>
  <c r="Y1404" i="1"/>
  <c r="Y1409" i="1"/>
  <c r="Y1410" i="1"/>
  <c r="Y1412" i="1"/>
  <c r="Y1417" i="1"/>
  <c r="Y1418" i="1"/>
  <c r="Y1420" i="1"/>
  <c r="Y1425" i="1"/>
  <c r="Y1426" i="1"/>
  <c r="Y1428" i="1"/>
  <c r="Y1433" i="1"/>
  <c r="Y1434" i="1"/>
  <c r="Y1436" i="1"/>
  <c r="Y1441" i="1"/>
  <c r="Y1442" i="1"/>
  <c r="Y1444" i="1"/>
  <c r="Y1449" i="1"/>
  <c r="Y1450" i="1"/>
  <c r="Y1452" i="1"/>
  <c r="Y1457" i="1"/>
  <c r="Y1458" i="1"/>
  <c r="Y1460" i="1"/>
  <c r="Y1465" i="1"/>
  <c r="Y1466" i="1"/>
  <c r="Y1468" i="1"/>
  <c r="Y1473" i="1"/>
  <c r="Y1474" i="1"/>
  <c r="Y1476" i="1"/>
  <c r="Y1481" i="1"/>
  <c r="Y1482" i="1"/>
  <c r="Y1484" i="1"/>
  <c r="Y1489" i="1"/>
  <c r="Y1490" i="1"/>
  <c r="Y1492" i="1"/>
  <c r="Y1497" i="1"/>
  <c r="Y1498" i="1"/>
  <c r="Y1500" i="1"/>
  <c r="Y1505" i="1"/>
  <c r="Y1506" i="1"/>
  <c r="Y1508" i="1"/>
  <c r="Y1513" i="1"/>
  <c r="Y1514" i="1"/>
  <c r="Y1516" i="1"/>
  <c r="Y1521" i="1"/>
  <c r="Y1522" i="1"/>
  <c r="Y1524" i="1"/>
  <c r="Y1529" i="1"/>
  <c r="Y1530" i="1"/>
  <c r="Y1532" i="1"/>
  <c r="Y1537" i="1"/>
  <c r="Y1538" i="1"/>
  <c r="Y1540" i="1"/>
  <c r="Y1545" i="1"/>
  <c r="Y1546" i="1"/>
  <c r="Y1548" i="1"/>
  <c r="Y1553" i="1"/>
  <c r="Y1554" i="1"/>
  <c r="Y1556" i="1"/>
  <c r="Y1561" i="1"/>
  <c r="Y1562" i="1"/>
  <c r="Y1564" i="1"/>
  <c r="Y1569" i="1"/>
  <c r="Y1570" i="1"/>
  <c r="Y1572" i="1"/>
  <c r="Y1577" i="1"/>
  <c r="Y1578" i="1"/>
  <c r="Y1580" i="1"/>
  <c r="Y1585" i="1"/>
  <c r="Y1586" i="1"/>
  <c r="Y1588" i="1"/>
  <c r="Y1593" i="1"/>
  <c r="Y1594" i="1"/>
  <c r="Y1596" i="1"/>
  <c r="Y1601" i="1"/>
  <c r="Y1602" i="1"/>
  <c r="Y1604" i="1"/>
  <c r="Y1609" i="1"/>
  <c r="Y1610" i="1"/>
  <c r="Y1612" i="1"/>
  <c r="Y1617" i="1"/>
  <c r="Y1618" i="1"/>
  <c r="Y1620" i="1"/>
  <c r="Y1625" i="1"/>
  <c r="Y1626" i="1"/>
  <c r="Y1628" i="1"/>
  <c r="Y1633" i="1"/>
  <c r="Y1634" i="1"/>
  <c r="Y1636" i="1"/>
  <c r="Y1641" i="1"/>
  <c r="Y1642" i="1"/>
  <c r="Y1644" i="1"/>
  <c r="Y1649" i="1"/>
  <c r="Y1650" i="1"/>
  <c r="Y1652" i="1"/>
  <c r="Y1657" i="1"/>
  <c r="Y1658" i="1"/>
  <c r="Y1660" i="1"/>
  <c r="Y1665" i="1"/>
  <c r="Y1666" i="1"/>
  <c r="Y1668" i="1"/>
  <c r="Y1673" i="1"/>
  <c r="Y1674" i="1"/>
  <c r="Y1676" i="1"/>
  <c r="Y1681" i="1"/>
  <c r="Y1682" i="1"/>
  <c r="Y1684" i="1"/>
  <c r="Y1689" i="1"/>
  <c r="Y1690" i="1"/>
  <c r="Y1692" i="1"/>
  <c r="Y1697" i="1"/>
  <c r="Y1698" i="1"/>
  <c r="Y1700" i="1"/>
  <c r="Y1705" i="1"/>
  <c r="Y1706" i="1"/>
  <c r="Y1708" i="1"/>
  <c r="Y1713" i="1"/>
  <c r="Y1714" i="1"/>
  <c r="Y1716" i="1"/>
  <c r="Y1721" i="1"/>
  <c r="Y1722" i="1"/>
  <c r="Y1724" i="1"/>
  <c r="Y1729" i="1"/>
  <c r="Y1730" i="1"/>
  <c r="Y1732" i="1"/>
  <c r="Y1737" i="1"/>
  <c r="Y1738" i="1"/>
  <c r="Y1740" i="1"/>
  <c r="Y1745" i="1"/>
  <c r="Y1746" i="1"/>
  <c r="Y1748" i="1"/>
  <c r="Y1753" i="1"/>
  <c r="Y1754" i="1"/>
  <c r="Y1756" i="1"/>
  <c r="Y1761" i="1"/>
  <c r="Y1762" i="1"/>
  <c r="Y1764" i="1"/>
  <c r="Y1769" i="1"/>
  <c r="Y1770" i="1"/>
  <c r="Y1772" i="1"/>
  <c r="Y1777" i="1"/>
  <c r="Y1778" i="1"/>
  <c r="Y1780" i="1"/>
  <c r="Y1785" i="1"/>
  <c r="Y1786" i="1"/>
  <c r="Y1788" i="1"/>
  <c r="Y1793" i="1"/>
  <c r="Y1794" i="1"/>
  <c r="Y1796" i="1"/>
  <c r="Y1801" i="1"/>
  <c r="Y1802" i="1"/>
  <c r="Y1804" i="1"/>
  <c r="Y1809" i="1"/>
  <c r="Y1810" i="1"/>
  <c r="Y1812" i="1"/>
  <c r="Y1817" i="1"/>
  <c r="Y1818" i="1"/>
  <c r="Y1820" i="1"/>
  <c r="X3" i="1"/>
  <c r="X4" i="1"/>
  <c r="Y4" i="1" s="1"/>
  <c r="X5" i="1"/>
  <c r="Y5" i="1" s="1"/>
  <c r="X6" i="1"/>
  <c r="Y6" i="1" s="1"/>
  <c r="X7" i="1"/>
  <c r="X8" i="1"/>
  <c r="Y8" i="1" s="1"/>
  <c r="X9" i="1"/>
  <c r="X10" i="1"/>
  <c r="Y10" i="1" s="1"/>
  <c r="X11" i="1"/>
  <c r="X12" i="1"/>
  <c r="Y12" i="1" s="1"/>
  <c r="X13" i="1"/>
  <c r="Y13" i="1" s="1"/>
  <c r="X14" i="1"/>
  <c r="Y14" i="1" s="1"/>
  <c r="X15" i="1"/>
  <c r="X16" i="1"/>
  <c r="Y16" i="1" s="1"/>
  <c r="X17" i="1"/>
  <c r="Y17" i="1" s="1"/>
  <c r="X18" i="1"/>
  <c r="Y18" i="1" s="1"/>
  <c r="X19" i="1"/>
  <c r="X20" i="1"/>
  <c r="Y20" i="1" s="1"/>
  <c r="X21" i="1"/>
  <c r="Y21" i="1" s="1"/>
  <c r="X22" i="1"/>
  <c r="Y22" i="1" s="1"/>
  <c r="X23" i="1"/>
  <c r="X24" i="1"/>
  <c r="Y24" i="1" s="1"/>
  <c r="X25" i="1"/>
  <c r="X26" i="1"/>
  <c r="Y26" i="1" s="1"/>
  <c r="X27" i="1"/>
  <c r="X28" i="1"/>
  <c r="Y28" i="1" s="1"/>
  <c r="X29" i="1"/>
  <c r="Y29" i="1" s="1"/>
  <c r="X30" i="1"/>
  <c r="Y30" i="1" s="1"/>
  <c r="X31" i="1"/>
  <c r="X32" i="1"/>
  <c r="Y32" i="1" s="1"/>
  <c r="X33" i="1"/>
  <c r="Y33" i="1" s="1"/>
  <c r="X34" i="1"/>
  <c r="Y34" i="1" s="1"/>
  <c r="X35" i="1"/>
  <c r="X36" i="1"/>
  <c r="Y36" i="1" s="1"/>
  <c r="X37" i="1"/>
  <c r="Y37" i="1" s="1"/>
  <c r="X38" i="1"/>
  <c r="Y38" i="1" s="1"/>
  <c r="X39" i="1"/>
  <c r="X40" i="1"/>
  <c r="Y40" i="1" s="1"/>
  <c r="X41" i="1"/>
  <c r="X42" i="1"/>
  <c r="Y42" i="1" s="1"/>
  <c r="X43" i="1"/>
  <c r="X44" i="1"/>
  <c r="Y44" i="1" s="1"/>
  <c r="X45" i="1"/>
  <c r="Y45" i="1" s="1"/>
  <c r="X46" i="1"/>
  <c r="Y46" i="1" s="1"/>
  <c r="X47" i="1"/>
  <c r="X48" i="1"/>
  <c r="Y48" i="1" s="1"/>
  <c r="X49" i="1"/>
  <c r="Y49" i="1" s="1"/>
  <c r="X50" i="1"/>
  <c r="Y50" i="1" s="1"/>
  <c r="X51" i="1"/>
  <c r="X52" i="1"/>
  <c r="Y52" i="1" s="1"/>
  <c r="X53" i="1"/>
  <c r="Y53" i="1" s="1"/>
  <c r="X54" i="1"/>
  <c r="Y54" i="1" s="1"/>
  <c r="X55" i="1"/>
  <c r="X56" i="1"/>
  <c r="Y56" i="1" s="1"/>
  <c r="X57" i="1"/>
  <c r="X58" i="1"/>
  <c r="Y58" i="1" s="1"/>
  <c r="X59" i="1"/>
  <c r="X60" i="1"/>
  <c r="Y60" i="1" s="1"/>
  <c r="X61" i="1"/>
  <c r="Y61" i="1" s="1"/>
  <c r="X62" i="1"/>
  <c r="Y62" i="1" s="1"/>
  <c r="X63" i="1"/>
  <c r="X64" i="1"/>
  <c r="Y64" i="1" s="1"/>
  <c r="X65" i="1"/>
  <c r="Y65" i="1" s="1"/>
  <c r="X66" i="1"/>
  <c r="Y66" i="1" s="1"/>
  <c r="X67" i="1"/>
  <c r="X68" i="1"/>
  <c r="Y68" i="1" s="1"/>
  <c r="X69" i="1"/>
  <c r="Y69" i="1" s="1"/>
  <c r="X70" i="1"/>
  <c r="Y70" i="1" s="1"/>
  <c r="X71" i="1"/>
  <c r="X72" i="1"/>
  <c r="Y72" i="1" s="1"/>
  <c r="X73" i="1"/>
  <c r="X74" i="1"/>
  <c r="Y74" i="1" s="1"/>
  <c r="X75" i="1"/>
  <c r="X76" i="1"/>
  <c r="Y76" i="1" s="1"/>
  <c r="X77" i="1"/>
  <c r="Y77" i="1" s="1"/>
  <c r="X78" i="1"/>
  <c r="Y78" i="1" s="1"/>
  <c r="X79" i="1"/>
  <c r="X80" i="1"/>
  <c r="Y80" i="1" s="1"/>
  <c r="X81" i="1"/>
  <c r="Y81" i="1" s="1"/>
  <c r="X82" i="1"/>
  <c r="Y82" i="1" s="1"/>
  <c r="X83" i="1"/>
  <c r="X84" i="1"/>
  <c r="Y84" i="1" s="1"/>
  <c r="X85" i="1"/>
  <c r="Y85" i="1" s="1"/>
  <c r="X86" i="1"/>
  <c r="Y86" i="1" s="1"/>
  <c r="X87" i="1"/>
  <c r="X88" i="1"/>
  <c r="Y88" i="1" s="1"/>
  <c r="X89" i="1"/>
  <c r="X90" i="1"/>
  <c r="Y90" i="1" s="1"/>
  <c r="X91" i="1"/>
  <c r="X92" i="1"/>
  <c r="Y92" i="1" s="1"/>
  <c r="X93" i="1"/>
  <c r="Y93" i="1" s="1"/>
  <c r="X94" i="1"/>
  <c r="Y94" i="1" s="1"/>
  <c r="X95" i="1"/>
  <c r="X96" i="1"/>
  <c r="Y96" i="1" s="1"/>
  <c r="X97" i="1"/>
  <c r="Y97" i="1" s="1"/>
  <c r="X98" i="1"/>
  <c r="Y98" i="1" s="1"/>
  <c r="X99" i="1"/>
  <c r="X100" i="1"/>
  <c r="Y100" i="1" s="1"/>
  <c r="X101" i="1"/>
  <c r="Y101" i="1" s="1"/>
  <c r="X102" i="1"/>
  <c r="Y102" i="1" s="1"/>
  <c r="X103" i="1"/>
  <c r="X104" i="1"/>
  <c r="Y104" i="1" s="1"/>
  <c r="X105" i="1"/>
  <c r="X106" i="1"/>
  <c r="Y106" i="1" s="1"/>
  <c r="X107" i="1"/>
  <c r="X108" i="1"/>
  <c r="Y108" i="1" s="1"/>
  <c r="X109" i="1"/>
  <c r="Y109" i="1" s="1"/>
  <c r="X110" i="1"/>
  <c r="Y110" i="1" s="1"/>
  <c r="X111" i="1"/>
  <c r="X112" i="1"/>
  <c r="Y112" i="1" s="1"/>
  <c r="X113" i="1"/>
  <c r="Y113" i="1" s="1"/>
  <c r="X114" i="1"/>
  <c r="Y114" i="1" s="1"/>
  <c r="X115" i="1"/>
  <c r="X116" i="1"/>
  <c r="Y116" i="1" s="1"/>
  <c r="X117" i="1"/>
  <c r="Y117" i="1" s="1"/>
  <c r="X118" i="1"/>
  <c r="Y118" i="1" s="1"/>
  <c r="X119" i="1"/>
  <c r="X120" i="1"/>
  <c r="Y120" i="1" s="1"/>
  <c r="X121" i="1"/>
  <c r="X122" i="1"/>
  <c r="Y122" i="1" s="1"/>
  <c r="X123" i="1"/>
  <c r="X124" i="1"/>
  <c r="Y124" i="1" s="1"/>
  <c r="X125" i="1"/>
  <c r="Y125" i="1" s="1"/>
  <c r="X126" i="1"/>
  <c r="Y126" i="1" s="1"/>
  <c r="X127" i="1"/>
  <c r="X128" i="1"/>
  <c r="Y128" i="1" s="1"/>
  <c r="X129" i="1"/>
  <c r="Y129" i="1" s="1"/>
  <c r="X130" i="1"/>
  <c r="Y130" i="1" s="1"/>
  <c r="X131" i="1"/>
  <c r="X132" i="1"/>
  <c r="Y132" i="1" s="1"/>
  <c r="X133" i="1"/>
  <c r="Y133" i="1" s="1"/>
  <c r="X134" i="1"/>
  <c r="Y134" i="1" s="1"/>
  <c r="X135" i="1"/>
  <c r="X136" i="1"/>
  <c r="Y136" i="1" s="1"/>
  <c r="X137" i="1"/>
  <c r="X138" i="1"/>
  <c r="Y138" i="1" s="1"/>
  <c r="X139" i="1"/>
  <c r="X140" i="1"/>
  <c r="Y140" i="1" s="1"/>
  <c r="X141" i="1"/>
  <c r="Y141" i="1" s="1"/>
  <c r="X142" i="1"/>
  <c r="Y142" i="1" s="1"/>
  <c r="X143" i="1"/>
  <c r="X144" i="1"/>
  <c r="Y144" i="1" s="1"/>
  <c r="X145" i="1"/>
  <c r="Y145" i="1" s="1"/>
  <c r="X146" i="1"/>
  <c r="Y146" i="1" s="1"/>
  <c r="X147" i="1"/>
  <c r="Y147" i="1" s="1"/>
  <c r="X148" i="1"/>
  <c r="Y148" i="1" s="1"/>
  <c r="X149" i="1"/>
  <c r="Y149" i="1" s="1"/>
  <c r="X150" i="1"/>
  <c r="Y150" i="1" s="1"/>
  <c r="X151" i="1"/>
  <c r="X152" i="1"/>
  <c r="Y152" i="1" s="1"/>
  <c r="X153" i="1"/>
  <c r="X154" i="1"/>
  <c r="Y154" i="1" s="1"/>
  <c r="X155" i="1"/>
  <c r="X156" i="1"/>
  <c r="Y156" i="1" s="1"/>
  <c r="X157" i="1"/>
  <c r="Y157" i="1" s="1"/>
  <c r="X158" i="1"/>
  <c r="Y158" i="1" s="1"/>
  <c r="X159" i="1"/>
  <c r="X160" i="1"/>
  <c r="Y160" i="1" s="1"/>
  <c r="X161" i="1"/>
  <c r="Y161" i="1" s="1"/>
  <c r="X162" i="1"/>
  <c r="Y162" i="1" s="1"/>
  <c r="X163" i="1"/>
  <c r="Y163" i="1" s="1"/>
  <c r="X164" i="1"/>
  <c r="Y164" i="1" s="1"/>
  <c r="X165" i="1"/>
  <c r="Y165" i="1" s="1"/>
  <c r="X166" i="1"/>
  <c r="Y166" i="1" s="1"/>
  <c r="X167" i="1"/>
  <c r="X168" i="1"/>
  <c r="Y168" i="1" s="1"/>
  <c r="X169" i="1"/>
  <c r="X170" i="1"/>
  <c r="Y170" i="1" s="1"/>
  <c r="X171" i="1"/>
  <c r="X172" i="1"/>
  <c r="Y172" i="1" s="1"/>
  <c r="X173" i="1"/>
  <c r="Y173" i="1" s="1"/>
  <c r="X174" i="1"/>
  <c r="Y174" i="1" s="1"/>
  <c r="X175" i="1"/>
  <c r="X176" i="1"/>
  <c r="Y176" i="1" s="1"/>
  <c r="X177" i="1"/>
  <c r="Y177" i="1" s="1"/>
  <c r="X178" i="1"/>
  <c r="Y178" i="1" s="1"/>
  <c r="X179" i="1"/>
  <c r="Y179" i="1" s="1"/>
  <c r="X180" i="1"/>
  <c r="Y180" i="1" s="1"/>
  <c r="X181" i="1"/>
  <c r="Y181" i="1" s="1"/>
  <c r="X182" i="1"/>
  <c r="Y182" i="1" s="1"/>
  <c r="X183" i="1"/>
  <c r="X184" i="1"/>
  <c r="Y184" i="1" s="1"/>
  <c r="X185" i="1"/>
  <c r="X186" i="1"/>
  <c r="Y186" i="1" s="1"/>
  <c r="X187" i="1"/>
  <c r="X188" i="1"/>
  <c r="Y188" i="1" s="1"/>
  <c r="X189" i="1"/>
  <c r="Y189" i="1" s="1"/>
  <c r="X190" i="1"/>
  <c r="Y190" i="1" s="1"/>
  <c r="X191" i="1"/>
  <c r="X192" i="1"/>
  <c r="Y192" i="1" s="1"/>
  <c r="X193" i="1"/>
  <c r="Y193" i="1" s="1"/>
  <c r="X194" i="1"/>
  <c r="Y194" i="1" s="1"/>
  <c r="X195" i="1"/>
  <c r="Y195" i="1" s="1"/>
  <c r="X196" i="1"/>
  <c r="Y196" i="1" s="1"/>
  <c r="X197" i="1"/>
  <c r="Y197" i="1" s="1"/>
  <c r="X198" i="1"/>
  <c r="Y198" i="1" s="1"/>
  <c r="X199" i="1"/>
  <c r="X200" i="1"/>
  <c r="Y200" i="1" s="1"/>
  <c r="X201" i="1"/>
  <c r="X202" i="1"/>
  <c r="Y202" i="1" s="1"/>
  <c r="X203" i="1"/>
  <c r="X204" i="1"/>
  <c r="Y204" i="1" s="1"/>
  <c r="X205" i="1"/>
  <c r="Y205" i="1" s="1"/>
  <c r="X206" i="1"/>
  <c r="Y206" i="1" s="1"/>
  <c r="X207" i="1"/>
  <c r="X208" i="1"/>
  <c r="Y208" i="1" s="1"/>
  <c r="X209" i="1"/>
  <c r="Y209" i="1" s="1"/>
  <c r="X210" i="1"/>
  <c r="Y210" i="1" s="1"/>
  <c r="X211" i="1"/>
  <c r="Y211" i="1" s="1"/>
  <c r="X212" i="1"/>
  <c r="Y212" i="1" s="1"/>
  <c r="X213" i="1"/>
  <c r="Y213" i="1" s="1"/>
  <c r="X214" i="1"/>
  <c r="Y214" i="1" s="1"/>
  <c r="X215" i="1"/>
  <c r="X216" i="1"/>
  <c r="Y216" i="1" s="1"/>
  <c r="X217" i="1"/>
  <c r="X218" i="1"/>
  <c r="Y218" i="1" s="1"/>
  <c r="X219" i="1"/>
  <c r="X220" i="1"/>
  <c r="Y220" i="1" s="1"/>
  <c r="X221" i="1"/>
  <c r="Y221" i="1" s="1"/>
  <c r="X222" i="1"/>
  <c r="Y222" i="1" s="1"/>
  <c r="X223" i="1"/>
  <c r="X224" i="1"/>
  <c r="Y224" i="1" s="1"/>
  <c r="X225" i="1"/>
  <c r="Y225" i="1" s="1"/>
  <c r="X226" i="1"/>
  <c r="Y226" i="1" s="1"/>
  <c r="X227" i="1"/>
  <c r="Y227" i="1" s="1"/>
  <c r="X228" i="1"/>
  <c r="Y228" i="1" s="1"/>
  <c r="X229" i="1"/>
  <c r="Y229" i="1" s="1"/>
  <c r="X230" i="1"/>
  <c r="Y230" i="1" s="1"/>
  <c r="X231" i="1"/>
  <c r="X232" i="1"/>
  <c r="Y232" i="1" s="1"/>
  <c r="X233" i="1"/>
  <c r="X234" i="1"/>
  <c r="Y234" i="1" s="1"/>
  <c r="X235" i="1"/>
  <c r="X236" i="1"/>
  <c r="Y236" i="1" s="1"/>
  <c r="X237" i="1"/>
  <c r="Y237" i="1" s="1"/>
  <c r="X238" i="1"/>
  <c r="Y238" i="1" s="1"/>
  <c r="X239" i="1"/>
  <c r="X240" i="1"/>
  <c r="Y240" i="1" s="1"/>
  <c r="X241" i="1"/>
  <c r="Y241" i="1" s="1"/>
  <c r="X242" i="1"/>
  <c r="Y242" i="1" s="1"/>
  <c r="X243" i="1"/>
  <c r="Y243" i="1" s="1"/>
  <c r="X244" i="1"/>
  <c r="Y244" i="1" s="1"/>
  <c r="X245" i="1"/>
  <c r="Y245" i="1" s="1"/>
  <c r="X246" i="1"/>
  <c r="Y246" i="1" s="1"/>
  <c r="X247" i="1"/>
  <c r="X248" i="1"/>
  <c r="Y248" i="1" s="1"/>
  <c r="X249" i="1"/>
  <c r="X250" i="1"/>
  <c r="Y250" i="1" s="1"/>
  <c r="X251" i="1"/>
  <c r="X252" i="1"/>
  <c r="Y252" i="1" s="1"/>
  <c r="X253" i="1"/>
  <c r="Y253" i="1" s="1"/>
  <c r="X254" i="1"/>
  <c r="Y254" i="1" s="1"/>
  <c r="X255" i="1"/>
  <c r="X256" i="1"/>
  <c r="Y256" i="1" s="1"/>
  <c r="X257" i="1"/>
  <c r="Y257" i="1" s="1"/>
  <c r="X258" i="1"/>
  <c r="Y258" i="1" s="1"/>
  <c r="X259" i="1"/>
  <c r="Y259" i="1" s="1"/>
  <c r="X260" i="1"/>
  <c r="Y260" i="1" s="1"/>
  <c r="X261" i="1"/>
  <c r="Y261" i="1" s="1"/>
  <c r="X262" i="1"/>
  <c r="Y262" i="1" s="1"/>
  <c r="X263" i="1"/>
  <c r="X264" i="1"/>
  <c r="Y264" i="1" s="1"/>
  <c r="X265" i="1"/>
  <c r="X266" i="1"/>
  <c r="Y266" i="1" s="1"/>
  <c r="X267" i="1"/>
  <c r="X268" i="1"/>
  <c r="Y268" i="1" s="1"/>
  <c r="X269" i="1"/>
  <c r="Y269" i="1" s="1"/>
  <c r="X270" i="1"/>
  <c r="Y270" i="1" s="1"/>
  <c r="X271" i="1"/>
  <c r="X272" i="1"/>
  <c r="Y272" i="1" s="1"/>
  <c r="X273" i="1"/>
  <c r="Y273" i="1" s="1"/>
  <c r="X274" i="1"/>
  <c r="Y274" i="1" s="1"/>
  <c r="X275" i="1"/>
  <c r="Y275" i="1" s="1"/>
  <c r="X276" i="1"/>
  <c r="Y276" i="1" s="1"/>
  <c r="X277" i="1"/>
  <c r="Y277" i="1" s="1"/>
  <c r="X278" i="1"/>
  <c r="Y278" i="1" s="1"/>
  <c r="X279" i="1"/>
  <c r="X280" i="1"/>
  <c r="Y280" i="1" s="1"/>
  <c r="X281" i="1"/>
  <c r="X282" i="1"/>
  <c r="Y282" i="1" s="1"/>
  <c r="X283" i="1"/>
  <c r="X284" i="1"/>
  <c r="Y284" i="1" s="1"/>
  <c r="X285" i="1"/>
  <c r="Y285" i="1" s="1"/>
  <c r="X286" i="1"/>
  <c r="Y286" i="1" s="1"/>
  <c r="X287" i="1"/>
  <c r="X288" i="1"/>
  <c r="Y288" i="1" s="1"/>
  <c r="X289" i="1"/>
  <c r="Y289" i="1" s="1"/>
  <c r="X290" i="1"/>
  <c r="Y290" i="1" s="1"/>
  <c r="X291" i="1"/>
  <c r="Y291" i="1" s="1"/>
  <c r="X292" i="1"/>
  <c r="Y292" i="1" s="1"/>
  <c r="X293" i="1"/>
  <c r="Y293" i="1" s="1"/>
  <c r="X294" i="1"/>
  <c r="Y294" i="1" s="1"/>
  <c r="X295" i="1"/>
  <c r="X296" i="1"/>
  <c r="Y296" i="1" s="1"/>
  <c r="X297" i="1"/>
  <c r="X298" i="1"/>
  <c r="Y298" i="1" s="1"/>
  <c r="X299" i="1"/>
  <c r="X300" i="1"/>
  <c r="Y300" i="1" s="1"/>
  <c r="X301" i="1"/>
  <c r="Y301" i="1" s="1"/>
  <c r="X302" i="1"/>
  <c r="Y302" i="1" s="1"/>
  <c r="X303" i="1"/>
  <c r="X304" i="1"/>
  <c r="Y304" i="1" s="1"/>
  <c r="X305" i="1"/>
  <c r="Y305" i="1" s="1"/>
  <c r="X306" i="1"/>
  <c r="Y306" i="1" s="1"/>
  <c r="X307" i="1"/>
  <c r="Y307" i="1" s="1"/>
  <c r="X308" i="1"/>
  <c r="Y308" i="1" s="1"/>
  <c r="X309" i="1"/>
  <c r="Y309" i="1" s="1"/>
  <c r="X310" i="1"/>
  <c r="Y310" i="1" s="1"/>
  <c r="X311" i="1"/>
  <c r="X312" i="1"/>
  <c r="Y312" i="1" s="1"/>
  <c r="X313" i="1"/>
  <c r="X314" i="1"/>
  <c r="Y314" i="1" s="1"/>
  <c r="X315" i="1"/>
  <c r="X316" i="1"/>
  <c r="Y316" i="1" s="1"/>
  <c r="X317" i="1"/>
  <c r="Y317" i="1" s="1"/>
  <c r="X318" i="1"/>
  <c r="Y318" i="1" s="1"/>
  <c r="X319" i="1"/>
  <c r="X320" i="1"/>
  <c r="Y320" i="1" s="1"/>
  <c r="X321" i="1"/>
  <c r="Y321" i="1" s="1"/>
  <c r="X322" i="1"/>
  <c r="Y322" i="1" s="1"/>
  <c r="X323" i="1"/>
  <c r="Y323" i="1" s="1"/>
  <c r="X324" i="1"/>
  <c r="Y324" i="1" s="1"/>
  <c r="X325" i="1"/>
  <c r="Y325" i="1" s="1"/>
  <c r="X326" i="1"/>
  <c r="Y326" i="1" s="1"/>
  <c r="X327" i="1"/>
  <c r="X328" i="1"/>
  <c r="Y328" i="1" s="1"/>
  <c r="X329" i="1"/>
  <c r="X330" i="1"/>
  <c r="Y330" i="1" s="1"/>
  <c r="X331" i="1"/>
  <c r="X332" i="1"/>
  <c r="Y332" i="1" s="1"/>
  <c r="X333" i="1"/>
  <c r="Y333" i="1" s="1"/>
  <c r="X334" i="1"/>
  <c r="Y334" i="1" s="1"/>
  <c r="X335" i="1"/>
  <c r="X336" i="1"/>
  <c r="Y336" i="1" s="1"/>
  <c r="X337" i="1"/>
  <c r="Y337" i="1" s="1"/>
  <c r="X338" i="1"/>
  <c r="Y338" i="1" s="1"/>
  <c r="X339" i="1"/>
  <c r="Y339" i="1" s="1"/>
  <c r="X340" i="1"/>
  <c r="Y340" i="1" s="1"/>
  <c r="X341" i="1"/>
  <c r="Y341" i="1" s="1"/>
  <c r="X342" i="1"/>
  <c r="Y342" i="1" s="1"/>
  <c r="X343" i="1"/>
  <c r="X344" i="1"/>
  <c r="Y344" i="1" s="1"/>
  <c r="X345" i="1"/>
  <c r="X346" i="1"/>
  <c r="Y346" i="1" s="1"/>
  <c r="X347" i="1"/>
  <c r="X348" i="1"/>
  <c r="Y348" i="1" s="1"/>
  <c r="X349" i="1"/>
  <c r="Y349" i="1" s="1"/>
  <c r="X350" i="1"/>
  <c r="Y350" i="1" s="1"/>
  <c r="X351" i="1"/>
  <c r="X352" i="1"/>
  <c r="Y352" i="1" s="1"/>
  <c r="X353" i="1"/>
  <c r="Y353" i="1" s="1"/>
  <c r="X354" i="1"/>
  <c r="Y354" i="1" s="1"/>
  <c r="X355" i="1"/>
  <c r="Y355" i="1" s="1"/>
  <c r="X356" i="1"/>
  <c r="Y356" i="1" s="1"/>
  <c r="X357" i="1"/>
  <c r="Y357" i="1" s="1"/>
  <c r="X358" i="1"/>
  <c r="Y358" i="1" s="1"/>
  <c r="X359" i="1"/>
  <c r="X360" i="1"/>
  <c r="Y360" i="1" s="1"/>
  <c r="X361" i="1"/>
  <c r="X362" i="1"/>
  <c r="Y362" i="1" s="1"/>
  <c r="X363" i="1"/>
  <c r="X364" i="1"/>
  <c r="Y364" i="1" s="1"/>
  <c r="X365" i="1"/>
  <c r="Y365" i="1" s="1"/>
  <c r="X366" i="1"/>
  <c r="Y366" i="1" s="1"/>
  <c r="X367" i="1"/>
  <c r="X368" i="1"/>
  <c r="Y368" i="1" s="1"/>
  <c r="X369" i="1"/>
  <c r="Y369" i="1" s="1"/>
  <c r="X370" i="1"/>
  <c r="Y370" i="1" s="1"/>
  <c r="X371" i="1"/>
  <c r="Y371" i="1" s="1"/>
  <c r="X372" i="1"/>
  <c r="Y372" i="1" s="1"/>
  <c r="X373" i="1"/>
  <c r="Y373" i="1" s="1"/>
  <c r="X374" i="1"/>
  <c r="Y374" i="1" s="1"/>
  <c r="X375" i="1"/>
  <c r="X376" i="1"/>
  <c r="Y376" i="1" s="1"/>
  <c r="X377" i="1"/>
  <c r="X378" i="1"/>
  <c r="Y378" i="1" s="1"/>
  <c r="X379" i="1"/>
  <c r="X380" i="1"/>
  <c r="Y380" i="1" s="1"/>
  <c r="X381" i="1"/>
  <c r="Y381" i="1" s="1"/>
  <c r="X382" i="1"/>
  <c r="Y382" i="1" s="1"/>
  <c r="X383" i="1"/>
  <c r="X384" i="1"/>
  <c r="Y384" i="1" s="1"/>
  <c r="X385" i="1"/>
  <c r="Y385" i="1" s="1"/>
  <c r="X386" i="1"/>
  <c r="Y386" i="1" s="1"/>
  <c r="X387" i="1"/>
  <c r="Y387" i="1" s="1"/>
  <c r="X388" i="1"/>
  <c r="Y388" i="1" s="1"/>
  <c r="X389" i="1"/>
  <c r="Y389" i="1" s="1"/>
  <c r="X390" i="1"/>
  <c r="Y390" i="1" s="1"/>
  <c r="X391" i="1"/>
  <c r="X392" i="1"/>
  <c r="Y392" i="1" s="1"/>
  <c r="X393" i="1"/>
  <c r="X394" i="1"/>
  <c r="Y394" i="1" s="1"/>
  <c r="X395" i="1"/>
  <c r="X396" i="1"/>
  <c r="Y396" i="1" s="1"/>
  <c r="X397" i="1"/>
  <c r="Y397" i="1" s="1"/>
  <c r="X398" i="1"/>
  <c r="Y398" i="1" s="1"/>
  <c r="X399" i="1"/>
  <c r="X400" i="1"/>
  <c r="Y400" i="1" s="1"/>
  <c r="X401" i="1"/>
  <c r="Y401" i="1" s="1"/>
  <c r="X402" i="1"/>
  <c r="Y402" i="1" s="1"/>
  <c r="X403" i="1"/>
  <c r="Y403" i="1" s="1"/>
  <c r="X404" i="1"/>
  <c r="Y404" i="1" s="1"/>
  <c r="X405" i="1"/>
  <c r="Y405" i="1" s="1"/>
  <c r="X406" i="1"/>
  <c r="Y406" i="1" s="1"/>
  <c r="X407" i="1"/>
  <c r="X408" i="1"/>
  <c r="Y408" i="1" s="1"/>
  <c r="X409" i="1"/>
  <c r="X410" i="1"/>
  <c r="Y410" i="1" s="1"/>
  <c r="X411" i="1"/>
  <c r="X412" i="1"/>
  <c r="Y412" i="1" s="1"/>
  <c r="X413" i="1"/>
  <c r="Y413" i="1" s="1"/>
  <c r="X414" i="1"/>
  <c r="Y414" i="1" s="1"/>
  <c r="X415" i="1"/>
  <c r="X416" i="1"/>
  <c r="Y416" i="1" s="1"/>
  <c r="X417" i="1"/>
  <c r="Y417" i="1" s="1"/>
  <c r="X418" i="1"/>
  <c r="Y418" i="1" s="1"/>
  <c r="X419" i="1"/>
  <c r="Y419" i="1" s="1"/>
  <c r="X420" i="1"/>
  <c r="Y420" i="1" s="1"/>
  <c r="X421" i="1"/>
  <c r="Y421" i="1" s="1"/>
  <c r="X422" i="1"/>
  <c r="Y422" i="1" s="1"/>
  <c r="X423" i="1"/>
  <c r="X424" i="1"/>
  <c r="Y424" i="1" s="1"/>
  <c r="X425" i="1"/>
  <c r="X426" i="1"/>
  <c r="Y426" i="1" s="1"/>
  <c r="X427" i="1"/>
  <c r="X428" i="1"/>
  <c r="Y428" i="1" s="1"/>
  <c r="X429" i="1"/>
  <c r="Y429" i="1" s="1"/>
  <c r="X430" i="1"/>
  <c r="Y430" i="1" s="1"/>
  <c r="X431" i="1"/>
  <c r="X432" i="1"/>
  <c r="Y432" i="1" s="1"/>
  <c r="X433" i="1"/>
  <c r="Y433" i="1" s="1"/>
  <c r="X434" i="1"/>
  <c r="Y434" i="1" s="1"/>
  <c r="X435" i="1"/>
  <c r="Y435" i="1" s="1"/>
  <c r="X436" i="1"/>
  <c r="Y436" i="1" s="1"/>
  <c r="X437" i="1"/>
  <c r="Y437" i="1" s="1"/>
  <c r="X438" i="1"/>
  <c r="Y438" i="1" s="1"/>
  <c r="X439" i="1"/>
  <c r="X440" i="1"/>
  <c r="Y440" i="1" s="1"/>
  <c r="X441" i="1"/>
  <c r="X442" i="1"/>
  <c r="Y442" i="1" s="1"/>
  <c r="X443" i="1"/>
  <c r="X444" i="1"/>
  <c r="Y444" i="1" s="1"/>
  <c r="X445" i="1"/>
  <c r="Y445" i="1" s="1"/>
  <c r="X446" i="1"/>
  <c r="Y446" i="1" s="1"/>
  <c r="X447" i="1"/>
  <c r="X448" i="1"/>
  <c r="Y448" i="1" s="1"/>
  <c r="X449" i="1"/>
  <c r="Y449" i="1" s="1"/>
  <c r="X450" i="1"/>
  <c r="Y450" i="1" s="1"/>
  <c r="X451" i="1"/>
  <c r="Y451" i="1" s="1"/>
  <c r="X452" i="1"/>
  <c r="Y452" i="1" s="1"/>
  <c r="X453" i="1"/>
  <c r="Y453" i="1" s="1"/>
  <c r="X454" i="1"/>
  <c r="Y454" i="1" s="1"/>
  <c r="X455" i="1"/>
  <c r="X456" i="1"/>
  <c r="Y456" i="1" s="1"/>
  <c r="X457" i="1"/>
  <c r="X458" i="1"/>
  <c r="Y458" i="1" s="1"/>
  <c r="X459" i="1"/>
  <c r="X460" i="1"/>
  <c r="Y460" i="1" s="1"/>
  <c r="X461" i="1"/>
  <c r="Y461" i="1" s="1"/>
  <c r="X462" i="1"/>
  <c r="Y462" i="1" s="1"/>
  <c r="X463" i="1"/>
  <c r="X464" i="1"/>
  <c r="Y464" i="1" s="1"/>
  <c r="X465" i="1"/>
  <c r="Y465" i="1" s="1"/>
  <c r="X466" i="1"/>
  <c r="Y466" i="1" s="1"/>
  <c r="X467" i="1"/>
  <c r="Y467" i="1" s="1"/>
  <c r="X468" i="1"/>
  <c r="Y468" i="1" s="1"/>
  <c r="X469" i="1"/>
  <c r="Y469" i="1" s="1"/>
  <c r="X470" i="1"/>
  <c r="Y470" i="1" s="1"/>
  <c r="X471" i="1"/>
  <c r="X472" i="1"/>
  <c r="Y472" i="1" s="1"/>
  <c r="X473" i="1"/>
  <c r="X474" i="1"/>
  <c r="Y474" i="1" s="1"/>
  <c r="X475" i="1"/>
  <c r="X476" i="1"/>
  <c r="Y476" i="1" s="1"/>
  <c r="X477" i="1"/>
  <c r="Y477" i="1" s="1"/>
  <c r="X478" i="1"/>
  <c r="Y478" i="1" s="1"/>
  <c r="X479" i="1"/>
  <c r="Y479" i="1" s="1"/>
  <c r="X480" i="1"/>
  <c r="Y480" i="1" s="1"/>
  <c r="X481" i="1"/>
  <c r="Y481" i="1" s="1"/>
  <c r="X482" i="1"/>
  <c r="Y482" i="1" s="1"/>
  <c r="X483" i="1"/>
  <c r="X484" i="1"/>
  <c r="Y484" i="1" s="1"/>
  <c r="X485" i="1"/>
  <c r="Y485" i="1" s="1"/>
  <c r="X486" i="1"/>
  <c r="Y486" i="1" s="1"/>
  <c r="X487" i="1"/>
  <c r="Y487" i="1" s="1"/>
  <c r="X488" i="1"/>
  <c r="Y488" i="1" s="1"/>
  <c r="X489" i="1"/>
  <c r="X490" i="1"/>
  <c r="Y490" i="1" s="1"/>
  <c r="X491" i="1"/>
  <c r="Y491" i="1" s="1"/>
  <c r="X492" i="1"/>
  <c r="Y492" i="1" s="1"/>
  <c r="X493" i="1"/>
  <c r="Y493" i="1" s="1"/>
  <c r="X494" i="1"/>
  <c r="Y494" i="1" s="1"/>
  <c r="X495" i="1"/>
  <c r="X496" i="1"/>
  <c r="Y496" i="1" s="1"/>
  <c r="X497" i="1"/>
  <c r="X498" i="1"/>
  <c r="X499" i="1"/>
  <c r="Y499" i="1" s="1"/>
  <c r="X500" i="1"/>
  <c r="Y500" i="1" s="1"/>
  <c r="X501" i="1"/>
  <c r="Y501" i="1" s="1"/>
  <c r="X502" i="1"/>
  <c r="Y502" i="1" s="1"/>
  <c r="X503" i="1"/>
  <c r="Y503" i="1" s="1"/>
  <c r="X504" i="1"/>
  <c r="Y504" i="1" s="1"/>
  <c r="X505" i="1"/>
  <c r="Y505" i="1" s="1"/>
  <c r="X506" i="1"/>
  <c r="Y506" i="1" s="1"/>
  <c r="X507" i="1"/>
  <c r="X508" i="1"/>
  <c r="Y508" i="1" s="1"/>
  <c r="X509" i="1"/>
  <c r="Y509" i="1" s="1"/>
  <c r="X510" i="1"/>
  <c r="Y510" i="1" s="1"/>
  <c r="X511" i="1"/>
  <c r="X512" i="1"/>
  <c r="Y512" i="1" s="1"/>
  <c r="X513" i="1"/>
  <c r="Y513" i="1" s="1"/>
  <c r="X514" i="1"/>
  <c r="X515" i="1"/>
  <c r="Y515" i="1" s="1"/>
  <c r="X516" i="1"/>
  <c r="Y516" i="1" s="1"/>
  <c r="X517" i="1"/>
  <c r="Y517" i="1" s="1"/>
  <c r="X518" i="1"/>
  <c r="Y518" i="1" s="1"/>
  <c r="X519" i="1"/>
  <c r="Y519" i="1" s="1"/>
  <c r="X520" i="1"/>
  <c r="Y520" i="1" s="1"/>
  <c r="X521" i="1"/>
  <c r="X522" i="1"/>
  <c r="X523" i="1"/>
  <c r="X524" i="1"/>
  <c r="Y524" i="1" s="1"/>
  <c r="X525" i="1"/>
  <c r="Y525" i="1" s="1"/>
  <c r="X526" i="1"/>
  <c r="Y526" i="1" s="1"/>
  <c r="X527" i="1"/>
  <c r="X528" i="1"/>
  <c r="Y528" i="1" s="1"/>
  <c r="X529" i="1"/>
  <c r="Y529" i="1" s="1"/>
  <c r="X530" i="1"/>
  <c r="Y530" i="1" s="1"/>
  <c r="X531" i="1"/>
  <c r="Y531" i="1" s="1"/>
  <c r="X532" i="1"/>
  <c r="Y532" i="1" s="1"/>
  <c r="X533" i="1"/>
  <c r="Y533" i="1" s="1"/>
  <c r="X534" i="1"/>
  <c r="Y534" i="1" s="1"/>
  <c r="X535" i="1"/>
  <c r="X536" i="1"/>
  <c r="Y536" i="1" s="1"/>
  <c r="X537" i="1"/>
  <c r="X538" i="1"/>
  <c r="Y538" i="1" s="1"/>
  <c r="X539" i="1"/>
  <c r="X540" i="1"/>
  <c r="Y540" i="1" s="1"/>
  <c r="X541" i="1"/>
  <c r="Y541" i="1" s="1"/>
  <c r="X542" i="1"/>
  <c r="Y542" i="1" s="1"/>
  <c r="X543" i="1"/>
  <c r="Y543" i="1" s="1"/>
  <c r="X544" i="1"/>
  <c r="Y544" i="1" s="1"/>
  <c r="X545" i="1"/>
  <c r="Y545" i="1" s="1"/>
  <c r="X546" i="1"/>
  <c r="Y546" i="1" s="1"/>
  <c r="X547" i="1"/>
  <c r="X548" i="1"/>
  <c r="Y548" i="1" s="1"/>
  <c r="X549" i="1"/>
  <c r="Y549" i="1" s="1"/>
  <c r="X550" i="1"/>
  <c r="Y550" i="1" s="1"/>
  <c r="X551" i="1"/>
  <c r="Y551" i="1" s="1"/>
  <c r="X552" i="1"/>
  <c r="Y552" i="1" s="1"/>
  <c r="X553" i="1"/>
  <c r="X554" i="1"/>
  <c r="Y554" i="1" s="1"/>
  <c r="X555" i="1"/>
  <c r="Y555" i="1" s="1"/>
  <c r="X556" i="1"/>
  <c r="Y556" i="1" s="1"/>
  <c r="X557" i="1"/>
  <c r="Y557" i="1" s="1"/>
  <c r="X558" i="1"/>
  <c r="Y558" i="1" s="1"/>
  <c r="X559" i="1"/>
  <c r="X560" i="1"/>
  <c r="Y560" i="1" s="1"/>
  <c r="X561" i="1"/>
  <c r="X562" i="1"/>
  <c r="X563" i="1"/>
  <c r="Y563" i="1" s="1"/>
  <c r="X564" i="1"/>
  <c r="Y564" i="1" s="1"/>
  <c r="X565" i="1"/>
  <c r="Y565" i="1" s="1"/>
  <c r="X566" i="1"/>
  <c r="Y566" i="1" s="1"/>
  <c r="X567" i="1"/>
  <c r="Y567" i="1" s="1"/>
  <c r="X568" i="1"/>
  <c r="Y568" i="1" s="1"/>
  <c r="X569" i="1"/>
  <c r="Y569" i="1" s="1"/>
  <c r="X570" i="1"/>
  <c r="Y570" i="1" s="1"/>
  <c r="X571" i="1"/>
  <c r="X572" i="1"/>
  <c r="Y572" i="1" s="1"/>
  <c r="X573" i="1"/>
  <c r="Y573" i="1" s="1"/>
  <c r="X574" i="1"/>
  <c r="Y574" i="1" s="1"/>
  <c r="X575" i="1"/>
  <c r="X576" i="1"/>
  <c r="Y576" i="1" s="1"/>
  <c r="X577" i="1"/>
  <c r="Y577" i="1" s="1"/>
  <c r="X578" i="1"/>
  <c r="X579" i="1"/>
  <c r="Y579" i="1" s="1"/>
  <c r="X580" i="1"/>
  <c r="Y580" i="1" s="1"/>
  <c r="X581" i="1"/>
  <c r="Y581" i="1" s="1"/>
  <c r="X582" i="1"/>
  <c r="Y582" i="1" s="1"/>
  <c r="X583" i="1"/>
  <c r="Y583" i="1" s="1"/>
  <c r="X584" i="1"/>
  <c r="Y584" i="1" s="1"/>
  <c r="X585" i="1"/>
  <c r="X586" i="1"/>
  <c r="X587" i="1"/>
  <c r="X588" i="1"/>
  <c r="Y588" i="1" s="1"/>
  <c r="X589" i="1"/>
  <c r="Y589" i="1" s="1"/>
  <c r="X590" i="1"/>
  <c r="Y590" i="1" s="1"/>
  <c r="X591" i="1"/>
  <c r="X592" i="1"/>
  <c r="Y592" i="1" s="1"/>
  <c r="X593" i="1"/>
  <c r="Y593" i="1" s="1"/>
  <c r="X594" i="1"/>
  <c r="Y594" i="1" s="1"/>
  <c r="X595" i="1"/>
  <c r="Y595" i="1" s="1"/>
  <c r="X596" i="1"/>
  <c r="Y596" i="1" s="1"/>
  <c r="X597" i="1"/>
  <c r="Y597" i="1" s="1"/>
  <c r="X598" i="1"/>
  <c r="Y598" i="1" s="1"/>
  <c r="X599" i="1"/>
  <c r="X600" i="1"/>
  <c r="Y600" i="1" s="1"/>
  <c r="X601" i="1"/>
  <c r="X602" i="1"/>
  <c r="Y602" i="1" s="1"/>
  <c r="X603" i="1"/>
  <c r="X604" i="1"/>
  <c r="Y604" i="1" s="1"/>
  <c r="X605" i="1"/>
  <c r="Y605" i="1" s="1"/>
  <c r="X606" i="1"/>
  <c r="Y606" i="1" s="1"/>
  <c r="X607" i="1"/>
  <c r="Y607" i="1" s="1"/>
  <c r="X608" i="1"/>
  <c r="Y608" i="1" s="1"/>
  <c r="X609" i="1"/>
  <c r="Y609" i="1" s="1"/>
  <c r="X610" i="1"/>
  <c r="Y610" i="1" s="1"/>
  <c r="X611" i="1"/>
  <c r="X612" i="1"/>
  <c r="Y612" i="1" s="1"/>
  <c r="X613" i="1"/>
  <c r="Y613" i="1" s="1"/>
  <c r="X614" i="1"/>
  <c r="Y614" i="1" s="1"/>
  <c r="X615" i="1"/>
  <c r="Y615" i="1" s="1"/>
  <c r="X616" i="1"/>
  <c r="Y616" i="1" s="1"/>
  <c r="X617" i="1"/>
  <c r="X618" i="1"/>
  <c r="Y618" i="1" s="1"/>
  <c r="X619" i="1"/>
  <c r="Y619" i="1" s="1"/>
  <c r="X620" i="1"/>
  <c r="Y620" i="1" s="1"/>
  <c r="X621" i="1"/>
  <c r="Y621" i="1" s="1"/>
  <c r="X622" i="1"/>
  <c r="Y622" i="1" s="1"/>
  <c r="X623" i="1"/>
  <c r="X624" i="1"/>
  <c r="Y624" i="1" s="1"/>
  <c r="X625" i="1"/>
  <c r="X626" i="1"/>
  <c r="X627" i="1"/>
  <c r="Y627" i="1" s="1"/>
  <c r="X628" i="1"/>
  <c r="Y628" i="1" s="1"/>
  <c r="X629" i="1"/>
  <c r="Y629" i="1" s="1"/>
  <c r="X630" i="1"/>
  <c r="Y630" i="1" s="1"/>
  <c r="X631" i="1"/>
  <c r="Y631" i="1" s="1"/>
  <c r="X632" i="1"/>
  <c r="Y632" i="1" s="1"/>
  <c r="X633" i="1"/>
  <c r="Y633" i="1" s="1"/>
  <c r="X634" i="1"/>
  <c r="Y634" i="1" s="1"/>
  <c r="X635" i="1"/>
  <c r="X636" i="1"/>
  <c r="Y636" i="1" s="1"/>
  <c r="X637" i="1"/>
  <c r="Y637" i="1" s="1"/>
  <c r="X638" i="1"/>
  <c r="Y638" i="1" s="1"/>
  <c r="X639" i="1"/>
  <c r="X640" i="1"/>
  <c r="Y640" i="1" s="1"/>
  <c r="X641" i="1"/>
  <c r="Y641" i="1" s="1"/>
  <c r="X642" i="1"/>
  <c r="X643" i="1"/>
  <c r="Y643" i="1" s="1"/>
  <c r="X644" i="1"/>
  <c r="Y644" i="1" s="1"/>
  <c r="X645" i="1"/>
  <c r="Y645" i="1" s="1"/>
  <c r="X646" i="1"/>
  <c r="Y646" i="1" s="1"/>
  <c r="X647" i="1"/>
  <c r="Y647" i="1" s="1"/>
  <c r="X648" i="1"/>
  <c r="Y648" i="1" s="1"/>
  <c r="X649" i="1"/>
  <c r="X650" i="1"/>
  <c r="X651" i="1"/>
  <c r="X652" i="1"/>
  <c r="Y652" i="1" s="1"/>
  <c r="X653" i="1"/>
  <c r="Y653" i="1" s="1"/>
  <c r="X654" i="1"/>
  <c r="Y654" i="1" s="1"/>
  <c r="X655" i="1"/>
  <c r="X656" i="1"/>
  <c r="Y656" i="1" s="1"/>
  <c r="X657" i="1"/>
  <c r="Y657" i="1" s="1"/>
  <c r="X658" i="1"/>
  <c r="Y658" i="1" s="1"/>
  <c r="X659" i="1"/>
  <c r="Y659" i="1" s="1"/>
  <c r="X660" i="1"/>
  <c r="Y660" i="1" s="1"/>
  <c r="X661" i="1"/>
  <c r="Y661" i="1" s="1"/>
  <c r="X662" i="1"/>
  <c r="Y662" i="1" s="1"/>
  <c r="X663" i="1"/>
  <c r="X664" i="1"/>
  <c r="Y664" i="1" s="1"/>
  <c r="X665" i="1"/>
  <c r="X666" i="1"/>
  <c r="Y666" i="1" s="1"/>
  <c r="X667" i="1"/>
  <c r="X668" i="1"/>
  <c r="Y668" i="1" s="1"/>
  <c r="X669" i="1"/>
  <c r="Y669" i="1" s="1"/>
  <c r="X670" i="1"/>
  <c r="Y670" i="1" s="1"/>
  <c r="X671" i="1"/>
  <c r="Y671" i="1" s="1"/>
  <c r="X672" i="1"/>
  <c r="Y672" i="1" s="1"/>
  <c r="X673" i="1"/>
  <c r="Y673" i="1" s="1"/>
  <c r="X674" i="1"/>
  <c r="Y674" i="1" s="1"/>
  <c r="X675" i="1"/>
  <c r="X676" i="1"/>
  <c r="Y676" i="1" s="1"/>
  <c r="X677" i="1"/>
  <c r="Y677" i="1" s="1"/>
  <c r="X678" i="1"/>
  <c r="Y678" i="1" s="1"/>
  <c r="X679" i="1"/>
  <c r="Y679" i="1" s="1"/>
  <c r="X680" i="1"/>
  <c r="Y680" i="1" s="1"/>
  <c r="X681" i="1"/>
  <c r="X682" i="1"/>
  <c r="Y682" i="1" s="1"/>
  <c r="X683" i="1"/>
  <c r="Y683" i="1" s="1"/>
  <c r="X684" i="1"/>
  <c r="Y684" i="1" s="1"/>
  <c r="X685" i="1"/>
  <c r="Y685" i="1" s="1"/>
  <c r="X686" i="1"/>
  <c r="Y686" i="1" s="1"/>
  <c r="X687" i="1"/>
  <c r="X688" i="1"/>
  <c r="Y688" i="1" s="1"/>
  <c r="X689" i="1"/>
  <c r="X690" i="1"/>
  <c r="X691" i="1"/>
  <c r="Y691" i="1" s="1"/>
  <c r="X692" i="1"/>
  <c r="Y692" i="1" s="1"/>
  <c r="X693" i="1"/>
  <c r="Y693" i="1" s="1"/>
  <c r="X694" i="1"/>
  <c r="Y694" i="1" s="1"/>
  <c r="X695" i="1"/>
  <c r="Y695" i="1" s="1"/>
  <c r="X696" i="1"/>
  <c r="Y696" i="1" s="1"/>
  <c r="X697" i="1"/>
  <c r="Y697" i="1" s="1"/>
  <c r="X698" i="1"/>
  <c r="Y698" i="1" s="1"/>
  <c r="X699" i="1"/>
  <c r="X700" i="1"/>
  <c r="Y700" i="1" s="1"/>
  <c r="X701" i="1"/>
  <c r="Y701" i="1" s="1"/>
  <c r="X702" i="1"/>
  <c r="Y702" i="1" s="1"/>
  <c r="X703" i="1"/>
  <c r="X704" i="1"/>
  <c r="Y704" i="1" s="1"/>
  <c r="X705" i="1"/>
  <c r="Y705" i="1" s="1"/>
  <c r="X706" i="1"/>
  <c r="X707" i="1"/>
  <c r="Y707" i="1" s="1"/>
  <c r="X708" i="1"/>
  <c r="Y708" i="1" s="1"/>
  <c r="X709" i="1"/>
  <c r="Y709" i="1" s="1"/>
  <c r="X710" i="1"/>
  <c r="Y710" i="1" s="1"/>
  <c r="X711" i="1"/>
  <c r="Y711" i="1" s="1"/>
  <c r="X712" i="1"/>
  <c r="Y712" i="1" s="1"/>
  <c r="X713" i="1"/>
  <c r="X714" i="1"/>
  <c r="X715" i="1"/>
  <c r="X716" i="1"/>
  <c r="Y716" i="1" s="1"/>
  <c r="X717" i="1"/>
  <c r="Y717" i="1" s="1"/>
  <c r="X718" i="1"/>
  <c r="Y718" i="1" s="1"/>
  <c r="X719" i="1"/>
  <c r="X720" i="1"/>
  <c r="Y720" i="1" s="1"/>
  <c r="X721" i="1"/>
  <c r="Y721" i="1" s="1"/>
  <c r="X722" i="1"/>
  <c r="Y722" i="1" s="1"/>
  <c r="X723" i="1"/>
  <c r="Y723" i="1" s="1"/>
  <c r="X724" i="1"/>
  <c r="Y724" i="1" s="1"/>
  <c r="X725" i="1"/>
  <c r="Y725" i="1" s="1"/>
  <c r="X726" i="1"/>
  <c r="Y726" i="1" s="1"/>
  <c r="X727" i="1"/>
  <c r="X728" i="1"/>
  <c r="Y728" i="1" s="1"/>
  <c r="X729" i="1"/>
  <c r="X730" i="1"/>
  <c r="Y730" i="1" s="1"/>
  <c r="X731" i="1"/>
  <c r="X732" i="1"/>
  <c r="Y732" i="1" s="1"/>
  <c r="X733" i="1"/>
  <c r="Y733" i="1" s="1"/>
  <c r="X734" i="1"/>
  <c r="Y734" i="1" s="1"/>
  <c r="X735" i="1"/>
  <c r="Y735" i="1" s="1"/>
  <c r="X736" i="1"/>
  <c r="Y736" i="1" s="1"/>
  <c r="X737" i="1"/>
  <c r="Y737" i="1" s="1"/>
  <c r="X738" i="1"/>
  <c r="Y738" i="1" s="1"/>
  <c r="X739" i="1"/>
  <c r="X740" i="1"/>
  <c r="Y740" i="1" s="1"/>
  <c r="X741" i="1"/>
  <c r="Y741" i="1" s="1"/>
  <c r="X742" i="1"/>
  <c r="Y742" i="1" s="1"/>
  <c r="X743" i="1"/>
  <c r="X744" i="1"/>
  <c r="Y744" i="1" s="1"/>
  <c r="X745" i="1"/>
  <c r="Y745" i="1" s="1"/>
  <c r="X746" i="1"/>
  <c r="Y746" i="1" s="1"/>
  <c r="X747" i="1"/>
  <c r="Y747" i="1" s="1"/>
  <c r="X748" i="1"/>
  <c r="Y748" i="1" s="1"/>
  <c r="X749" i="1"/>
  <c r="Y749" i="1" s="1"/>
  <c r="X750" i="1"/>
  <c r="X751" i="1"/>
  <c r="X752" i="1"/>
  <c r="Y752" i="1" s="1"/>
  <c r="X753" i="1"/>
  <c r="Y753" i="1" s="1"/>
  <c r="X754" i="1"/>
  <c r="X755" i="1"/>
  <c r="Y755" i="1" s="1"/>
  <c r="X756" i="1"/>
  <c r="Y756" i="1" s="1"/>
  <c r="X757" i="1"/>
  <c r="Y757" i="1" s="1"/>
  <c r="X758" i="1"/>
  <c r="Y758" i="1" s="1"/>
  <c r="X759" i="1"/>
  <c r="X760" i="1"/>
  <c r="Y760" i="1" s="1"/>
  <c r="X761" i="1"/>
  <c r="X762" i="1"/>
  <c r="X763" i="1"/>
  <c r="Y763" i="1" s="1"/>
  <c r="X764" i="1"/>
  <c r="Y764" i="1" s="1"/>
  <c r="X765" i="1"/>
  <c r="Y765" i="1" s="1"/>
  <c r="X766" i="1"/>
  <c r="Y766" i="1" s="1"/>
  <c r="X767" i="1"/>
  <c r="Y767" i="1" s="1"/>
  <c r="X768" i="1"/>
  <c r="Y768" i="1" s="1"/>
  <c r="X769" i="1"/>
  <c r="Y769" i="1" s="1"/>
  <c r="X770" i="1"/>
  <c r="Y770" i="1" s="1"/>
  <c r="X771" i="1"/>
  <c r="X772" i="1"/>
  <c r="Y772" i="1" s="1"/>
  <c r="X773" i="1"/>
  <c r="Y773" i="1" s="1"/>
  <c r="X774" i="1"/>
  <c r="Y774" i="1" s="1"/>
  <c r="X775" i="1"/>
  <c r="X776" i="1"/>
  <c r="Y776" i="1" s="1"/>
  <c r="X777" i="1"/>
  <c r="Y777" i="1" s="1"/>
  <c r="X778" i="1"/>
  <c r="Y778" i="1" s="1"/>
  <c r="X779" i="1"/>
  <c r="Y779" i="1" s="1"/>
  <c r="X780" i="1"/>
  <c r="Y780" i="1" s="1"/>
  <c r="X781" i="1"/>
  <c r="Y781" i="1" s="1"/>
  <c r="X782" i="1"/>
  <c r="X783" i="1"/>
  <c r="X784" i="1"/>
  <c r="Y784" i="1" s="1"/>
  <c r="X785" i="1"/>
  <c r="Y785" i="1" s="1"/>
  <c r="X786" i="1"/>
  <c r="X787" i="1"/>
  <c r="Y787" i="1" s="1"/>
  <c r="X788" i="1"/>
  <c r="Y788" i="1" s="1"/>
  <c r="X789" i="1"/>
  <c r="Y789" i="1" s="1"/>
  <c r="X790" i="1"/>
  <c r="Y790" i="1" s="1"/>
  <c r="X791" i="1"/>
  <c r="X792" i="1"/>
  <c r="Y792" i="1" s="1"/>
  <c r="X793" i="1"/>
  <c r="X794" i="1"/>
  <c r="X795" i="1"/>
  <c r="Y795" i="1" s="1"/>
  <c r="X796" i="1"/>
  <c r="Y796" i="1" s="1"/>
  <c r="X797" i="1"/>
  <c r="Y797" i="1" s="1"/>
  <c r="X798" i="1"/>
  <c r="Y798" i="1" s="1"/>
  <c r="X799" i="1"/>
  <c r="Y799" i="1" s="1"/>
  <c r="X800" i="1"/>
  <c r="Y800" i="1" s="1"/>
  <c r="X801" i="1"/>
  <c r="Y801" i="1" s="1"/>
  <c r="X802" i="1"/>
  <c r="Y802" i="1" s="1"/>
  <c r="X803" i="1"/>
  <c r="X804" i="1"/>
  <c r="Y804" i="1" s="1"/>
  <c r="X805" i="1"/>
  <c r="Y805" i="1" s="1"/>
  <c r="X806" i="1"/>
  <c r="Y806" i="1" s="1"/>
  <c r="X807" i="1"/>
  <c r="X808" i="1"/>
  <c r="Y808" i="1" s="1"/>
  <c r="X809" i="1"/>
  <c r="Y809" i="1" s="1"/>
  <c r="X810" i="1"/>
  <c r="Y810" i="1" s="1"/>
  <c r="X811" i="1"/>
  <c r="Y811" i="1" s="1"/>
  <c r="X812" i="1"/>
  <c r="Y812" i="1" s="1"/>
  <c r="X813" i="1"/>
  <c r="Y813" i="1" s="1"/>
  <c r="X814" i="1"/>
  <c r="X815" i="1"/>
  <c r="X816" i="1"/>
  <c r="Y816" i="1" s="1"/>
  <c r="X817" i="1"/>
  <c r="Y817" i="1" s="1"/>
  <c r="X818" i="1"/>
  <c r="X819" i="1"/>
  <c r="Y819" i="1" s="1"/>
  <c r="X820" i="1"/>
  <c r="Y820" i="1" s="1"/>
  <c r="X821" i="1"/>
  <c r="Y821" i="1" s="1"/>
  <c r="X822" i="1"/>
  <c r="Y822" i="1" s="1"/>
  <c r="X823" i="1"/>
  <c r="X824" i="1"/>
  <c r="Y824" i="1" s="1"/>
  <c r="X825" i="1"/>
  <c r="X826" i="1"/>
  <c r="X827" i="1"/>
  <c r="Y827" i="1" s="1"/>
  <c r="X828" i="1"/>
  <c r="Y828" i="1" s="1"/>
  <c r="X829" i="1"/>
  <c r="Y829" i="1" s="1"/>
  <c r="X830" i="1"/>
  <c r="Y830" i="1" s="1"/>
  <c r="X831" i="1"/>
  <c r="Y831" i="1" s="1"/>
  <c r="X832" i="1"/>
  <c r="Y832" i="1" s="1"/>
  <c r="X833" i="1"/>
  <c r="Y833" i="1" s="1"/>
  <c r="X834" i="1"/>
  <c r="Y834" i="1" s="1"/>
  <c r="X835" i="1"/>
  <c r="X836" i="1"/>
  <c r="Y836" i="1" s="1"/>
  <c r="X837" i="1"/>
  <c r="Y837" i="1" s="1"/>
  <c r="X838" i="1"/>
  <c r="Y838" i="1" s="1"/>
  <c r="X839" i="1"/>
  <c r="X840" i="1"/>
  <c r="Y840" i="1" s="1"/>
  <c r="X841" i="1"/>
  <c r="Y841" i="1" s="1"/>
  <c r="X842" i="1"/>
  <c r="Y842" i="1" s="1"/>
  <c r="X843" i="1"/>
  <c r="Y843" i="1" s="1"/>
  <c r="X844" i="1"/>
  <c r="Y844" i="1" s="1"/>
  <c r="X845" i="1"/>
  <c r="Y845" i="1" s="1"/>
  <c r="X846" i="1"/>
  <c r="X847" i="1"/>
  <c r="X848" i="1"/>
  <c r="Y848" i="1" s="1"/>
  <c r="X849" i="1"/>
  <c r="Y849" i="1" s="1"/>
  <c r="X850" i="1"/>
  <c r="X851" i="1"/>
  <c r="Y851" i="1" s="1"/>
  <c r="X852" i="1"/>
  <c r="Y852" i="1" s="1"/>
  <c r="X853" i="1"/>
  <c r="Y853" i="1" s="1"/>
  <c r="X854" i="1"/>
  <c r="Y854" i="1" s="1"/>
  <c r="X855" i="1"/>
  <c r="X856" i="1"/>
  <c r="Y856" i="1" s="1"/>
  <c r="X857" i="1"/>
  <c r="X858" i="1"/>
  <c r="X859" i="1"/>
  <c r="Y859" i="1" s="1"/>
  <c r="X860" i="1"/>
  <c r="Y860" i="1" s="1"/>
  <c r="X861" i="1"/>
  <c r="Y861" i="1" s="1"/>
  <c r="X862" i="1"/>
  <c r="Y862" i="1" s="1"/>
  <c r="X863" i="1"/>
  <c r="Y863" i="1" s="1"/>
  <c r="X864" i="1"/>
  <c r="Y864" i="1" s="1"/>
  <c r="X865" i="1"/>
  <c r="Y865" i="1" s="1"/>
  <c r="X866" i="1"/>
  <c r="Y866" i="1" s="1"/>
  <c r="X867" i="1"/>
  <c r="X868" i="1"/>
  <c r="Y868" i="1" s="1"/>
  <c r="X869" i="1"/>
  <c r="Y869" i="1" s="1"/>
  <c r="X870" i="1"/>
  <c r="Y870" i="1" s="1"/>
  <c r="X871" i="1"/>
  <c r="X872" i="1"/>
  <c r="Y872" i="1" s="1"/>
  <c r="X873" i="1"/>
  <c r="Y873" i="1" s="1"/>
  <c r="X874" i="1"/>
  <c r="Y874" i="1" s="1"/>
  <c r="X875" i="1"/>
  <c r="Y875" i="1" s="1"/>
  <c r="X876" i="1"/>
  <c r="Y876" i="1" s="1"/>
  <c r="X877" i="1"/>
  <c r="Y877" i="1" s="1"/>
  <c r="X878" i="1"/>
  <c r="X879" i="1"/>
  <c r="X880" i="1"/>
  <c r="Y880" i="1" s="1"/>
  <c r="X881" i="1"/>
  <c r="Y881" i="1" s="1"/>
  <c r="X882" i="1"/>
  <c r="X883" i="1"/>
  <c r="Y883" i="1" s="1"/>
  <c r="X884" i="1"/>
  <c r="Y884" i="1" s="1"/>
  <c r="X885" i="1"/>
  <c r="Y885" i="1" s="1"/>
  <c r="X886" i="1"/>
  <c r="Y886" i="1" s="1"/>
  <c r="X887" i="1"/>
  <c r="X888" i="1"/>
  <c r="Y888" i="1" s="1"/>
  <c r="X889" i="1"/>
  <c r="X890" i="1"/>
  <c r="X891" i="1"/>
  <c r="Y891" i="1" s="1"/>
  <c r="X892" i="1"/>
  <c r="Y892" i="1" s="1"/>
  <c r="X893" i="1"/>
  <c r="Y893" i="1" s="1"/>
  <c r="X894" i="1"/>
  <c r="Y894" i="1" s="1"/>
  <c r="X895" i="1"/>
  <c r="Y895" i="1" s="1"/>
  <c r="X896" i="1"/>
  <c r="Y896" i="1" s="1"/>
  <c r="X897" i="1"/>
  <c r="Y897" i="1" s="1"/>
  <c r="X898" i="1"/>
  <c r="Y898" i="1" s="1"/>
  <c r="X899" i="1"/>
  <c r="X900" i="1"/>
  <c r="Y900" i="1" s="1"/>
  <c r="X901" i="1"/>
  <c r="Y901" i="1" s="1"/>
  <c r="X902" i="1"/>
  <c r="Y902" i="1" s="1"/>
  <c r="X903" i="1"/>
  <c r="X904" i="1"/>
  <c r="Y904" i="1" s="1"/>
  <c r="X905" i="1"/>
  <c r="Y905" i="1" s="1"/>
  <c r="X906" i="1"/>
  <c r="Y906" i="1" s="1"/>
  <c r="X907" i="1"/>
  <c r="Y907" i="1" s="1"/>
  <c r="X908" i="1"/>
  <c r="Y908" i="1" s="1"/>
  <c r="X909" i="1"/>
  <c r="Y909" i="1" s="1"/>
  <c r="X910" i="1"/>
  <c r="X911" i="1"/>
  <c r="X912" i="1"/>
  <c r="Y912" i="1" s="1"/>
  <c r="X913" i="1"/>
  <c r="Y913" i="1" s="1"/>
  <c r="X914" i="1"/>
  <c r="X915" i="1"/>
  <c r="Y915" i="1" s="1"/>
  <c r="X916" i="1"/>
  <c r="Y916" i="1" s="1"/>
  <c r="X917" i="1"/>
  <c r="Y917" i="1" s="1"/>
  <c r="X918" i="1"/>
  <c r="Y918" i="1" s="1"/>
  <c r="X919" i="1"/>
  <c r="X920" i="1"/>
  <c r="Y920" i="1" s="1"/>
  <c r="X921" i="1"/>
  <c r="X922" i="1"/>
  <c r="X923" i="1"/>
  <c r="Y923" i="1" s="1"/>
  <c r="X924" i="1"/>
  <c r="Y924" i="1" s="1"/>
  <c r="X925" i="1"/>
  <c r="Y925" i="1" s="1"/>
  <c r="X926" i="1"/>
  <c r="Y926" i="1" s="1"/>
  <c r="X927" i="1"/>
  <c r="Y927" i="1" s="1"/>
  <c r="X928" i="1"/>
  <c r="Y928" i="1" s="1"/>
  <c r="X929" i="1"/>
  <c r="Y929" i="1" s="1"/>
  <c r="X930" i="1"/>
  <c r="Y930" i="1" s="1"/>
  <c r="X931" i="1"/>
  <c r="X932" i="1"/>
  <c r="Y932" i="1" s="1"/>
  <c r="X933" i="1"/>
  <c r="Y933" i="1" s="1"/>
  <c r="X934" i="1"/>
  <c r="Y934" i="1" s="1"/>
  <c r="X935" i="1"/>
  <c r="X936" i="1"/>
  <c r="Y936" i="1" s="1"/>
  <c r="X937" i="1"/>
  <c r="Y937" i="1" s="1"/>
  <c r="X938" i="1"/>
  <c r="Y938" i="1" s="1"/>
  <c r="X939" i="1"/>
  <c r="Y939" i="1" s="1"/>
  <c r="X940" i="1"/>
  <c r="Y940" i="1" s="1"/>
  <c r="X941" i="1"/>
  <c r="Y941" i="1" s="1"/>
  <c r="X942" i="1"/>
  <c r="X943" i="1"/>
  <c r="X944" i="1"/>
  <c r="Y944" i="1" s="1"/>
  <c r="X945" i="1"/>
  <c r="Y945" i="1" s="1"/>
  <c r="X946" i="1"/>
  <c r="X947" i="1"/>
  <c r="Y947" i="1" s="1"/>
  <c r="X948" i="1"/>
  <c r="Y948" i="1" s="1"/>
  <c r="X949" i="1"/>
  <c r="Y949" i="1" s="1"/>
  <c r="X950" i="1"/>
  <c r="Y950" i="1" s="1"/>
  <c r="X951" i="1"/>
  <c r="X952" i="1"/>
  <c r="Y952" i="1" s="1"/>
  <c r="X953" i="1"/>
  <c r="X954" i="1"/>
  <c r="X955" i="1"/>
  <c r="Y955" i="1" s="1"/>
  <c r="X956" i="1"/>
  <c r="Y956" i="1" s="1"/>
  <c r="X957" i="1"/>
  <c r="Y957" i="1" s="1"/>
  <c r="X958" i="1"/>
  <c r="Y958" i="1" s="1"/>
  <c r="X959" i="1"/>
  <c r="Y959" i="1" s="1"/>
  <c r="X960" i="1"/>
  <c r="Y960" i="1" s="1"/>
  <c r="X961" i="1"/>
  <c r="Y961" i="1" s="1"/>
  <c r="X962" i="1"/>
  <c r="Y962" i="1" s="1"/>
  <c r="X963" i="1"/>
  <c r="X964" i="1"/>
  <c r="Y964" i="1" s="1"/>
  <c r="X965" i="1"/>
  <c r="Y965" i="1" s="1"/>
  <c r="X966" i="1"/>
  <c r="Y966" i="1" s="1"/>
  <c r="X967" i="1"/>
  <c r="X968" i="1"/>
  <c r="Y968" i="1" s="1"/>
  <c r="X969" i="1"/>
  <c r="Y969" i="1" s="1"/>
  <c r="X970" i="1"/>
  <c r="Y970" i="1" s="1"/>
  <c r="X971" i="1"/>
  <c r="Y971" i="1" s="1"/>
  <c r="X972" i="1"/>
  <c r="Y972" i="1" s="1"/>
  <c r="X973" i="1"/>
  <c r="Y973" i="1" s="1"/>
  <c r="X974" i="1"/>
  <c r="X975" i="1"/>
  <c r="X976" i="1"/>
  <c r="Y976" i="1" s="1"/>
  <c r="X977" i="1"/>
  <c r="Y977" i="1" s="1"/>
  <c r="X978" i="1"/>
  <c r="X979" i="1"/>
  <c r="Y979" i="1" s="1"/>
  <c r="X980" i="1"/>
  <c r="Y980" i="1" s="1"/>
  <c r="X981" i="1"/>
  <c r="Y981" i="1" s="1"/>
  <c r="X982" i="1"/>
  <c r="Y982" i="1" s="1"/>
  <c r="X983" i="1"/>
  <c r="X984" i="1"/>
  <c r="Y984" i="1" s="1"/>
  <c r="X985" i="1"/>
  <c r="X986" i="1"/>
  <c r="X987" i="1"/>
  <c r="Y987" i="1" s="1"/>
  <c r="X988" i="1"/>
  <c r="Y988" i="1" s="1"/>
  <c r="X989" i="1"/>
  <c r="Y989" i="1" s="1"/>
  <c r="X990" i="1"/>
  <c r="Y990" i="1" s="1"/>
  <c r="X991" i="1"/>
  <c r="Y991" i="1" s="1"/>
  <c r="X992" i="1"/>
  <c r="Y992" i="1" s="1"/>
  <c r="X993" i="1"/>
  <c r="Y993" i="1" s="1"/>
  <c r="X994" i="1"/>
  <c r="Y994" i="1" s="1"/>
  <c r="X995" i="1"/>
  <c r="X996" i="1"/>
  <c r="Y996" i="1" s="1"/>
  <c r="X997" i="1"/>
  <c r="Y997" i="1" s="1"/>
  <c r="X998" i="1"/>
  <c r="Y998" i="1" s="1"/>
  <c r="X999" i="1"/>
  <c r="X1000" i="1"/>
  <c r="Y1000" i="1" s="1"/>
  <c r="X1001" i="1"/>
  <c r="Y1001" i="1" s="1"/>
  <c r="X1002" i="1"/>
  <c r="Y1002" i="1" s="1"/>
  <c r="X1003" i="1"/>
  <c r="Y1003" i="1" s="1"/>
  <c r="X1004" i="1"/>
  <c r="Y1004" i="1" s="1"/>
  <c r="X1005" i="1"/>
  <c r="Y1005" i="1" s="1"/>
  <c r="X1006" i="1"/>
  <c r="Y1006" i="1" s="1"/>
  <c r="X1007" i="1"/>
  <c r="Y1007" i="1" s="1"/>
  <c r="X1008" i="1"/>
  <c r="Y1008" i="1" s="1"/>
  <c r="X1009" i="1"/>
  <c r="Y1009" i="1" s="1"/>
  <c r="X1010" i="1"/>
  <c r="Y1010" i="1" s="1"/>
  <c r="X1011" i="1"/>
  <c r="Y1011" i="1" s="1"/>
  <c r="X1012" i="1"/>
  <c r="Y1012" i="1" s="1"/>
  <c r="X1013" i="1"/>
  <c r="Y1013" i="1" s="1"/>
  <c r="X1014" i="1"/>
  <c r="X1015" i="1"/>
  <c r="X1016" i="1"/>
  <c r="Y1016" i="1" s="1"/>
  <c r="X1017" i="1"/>
  <c r="X1018" i="1"/>
  <c r="Y1018" i="1" s="1"/>
  <c r="X1019" i="1"/>
  <c r="Y1019" i="1" s="1"/>
  <c r="X1020" i="1"/>
  <c r="Y1020" i="1" s="1"/>
  <c r="X1021" i="1"/>
  <c r="Y1021" i="1" s="1"/>
  <c r="X1022" i="1"/>
  <c r="Y1022" i="1" s="1"/>
  <c r="X1023" i="1"/>
  <c r="X1024" i="1"/>
  <c r="Y1024" i="1" s="1"/>
  <c r="X1025" i="1"/>
  <c r="Y1025" i="1" s="1"/>
  <c r="X1026" i="1"/>
  <c r="X1027" i="1"/>
  <c r="Y1027" i="1" s="1"/>
  <c r="X1028" i="1"/>
  <c r="Y1028" i="1" s="1"/>
  <c r="X1029" i="1"/>
  <c r="Y1029" i="1" s="1"/>
  <c r="X1030" i="1"/>
  <c r="Y1030" i="1" s="1"/>
  <c r="X1031" i="1"/>
  <c r="Y1031" i="1" s="1"/>
  <c r="X1032" i="1"/>
  <c r="Y1032" i="1" s="1"/>
  <c r="X1033" i="1"/>
  <c r="X1034" i="1"/>
  <c r="Y1034" i="1" s="1"/>
  <c r="X1035" i="1"/>
  <c r="X1036" i="1"/>
  <c r="Y1036" i="1" s="1"/>
  <c r="X1037" i="1"/>
  <c r="Y1037" i="1" s="1"/>
  <c r="X1038" i="1"/>
  <c r="Y1038" i="1" s="1"/>
  <c r="X1039" i="1"/>
  <c r="Y1039" i="1" s="1"/>
  <c r="X1040" i="1"/>
  <c r="Y1040" i="1" s="1"/>
  <c r="X1041" i="1"/>
  <c r="X1042" i="1"/>
  <c r="X1043" i="1"/>
  <c r="Y1043" i="1" s="1"/>
  <c r="X1044" i="1"/>
  <c r="Y1044" i="1" s="1"/>
  <c r="X1045" i="1"/>
  <c r="Y1045" i="1" s="1"/>
  <c r="X1046" i="1"/>
  <c r="Y1046" i="1" s="1"/>
  <c r="X1047" i="1"/>
  <c r="Y1047" i="1" s="1"/>
  <c r="X1048" i="1"/>
  <c r="Y1048" i="1" s="1"/>
  <c r="X1049" i="1"/>
  <c r="Y1049" i="1" s="1"/>
  <c r="X1050" i="1"/>
  <c r="X1051" i="1"/>
  <c r="X1052" i="1"/>
  <c r="Y1052" i="1" s="1"/>
  <c r="X1053" i="1"/>
  <c r="Y1053" i="1" s="1"/>
  <c r="X1054" i="1"/>
  <c r="X1055" i="1"/>
  <c r="Y1055" i="1" s="1"/>
  <c r="X1056" i="1"/>
  <c r="Y1056" i="1" s="1"/>
  <c r="X1057" i="1"/>
  <c r="Y1057" i="1" s="1"/>
  <c r="X1058" i="1"/>
  <c r="Y1058" i="1" s="1"/>
  <c r="X1059" i="1"/>
  <c r="X1060" i="1"/>
  <c r="Y1060" i="1" s="1"/>
  <c r="X1061" i="1"/>
  <c r="Y1061" i="1" s="1"/>
  <c r="X1062" i="1"/>
  <c r="Y1062" i="1" s="1"/>
  <c r="X1063" i="1"/>
  <c r="X1064" i="1"/>
  <c r="Y1064" i="1" s="1"/>
  <c r="X1065" i="1"/>
  <c r="Y1065" i="1" s="1"/>
  <c r="X1066" i="1"/>
  <c r="Y1066" i="1" s="1"/>
  <c r="X1067" i="1"/>
  <c r="Y1067" i="1" s="1"/>
  <c r="X1068" i="1"/>
  <c r="Y1068" i="1" s="1"/>
  <c r="X1069" i="1"/>
  <c r="Y1069" i="1" s="1"/>
  <c r="X1070" i="1"/>
  <c r="Y1070" i="1" s="1"/>
  <c r="X1071" i="1"/>
  <c r="Y1071" i="1" s="1"/>
  <c r="X1072" i="1"/>
  <c r="Y1072" i="1" s="1"/>
  <c r="X1073" i="1"/>
  <c r="Y1073" i="1" s="1"/>
  <c r="X1074" i="1"/>
  <c r="Y1074" i="1" s="1"/>
  <c r="X1075" i="1"/>
  <c r="Y1075" i="1" s="1"/>
  <c r="X1076" i="1"/>
  <c r="Y1076" i="1" s="1"/>
  <c r="X1077" i="1"/>
  <c r="Y1077" i="1" s="1"/>
  <c r="X1078" i="1"/>
  <c r="X1079" i="1"/>
  <c r="X1080" i="1"/>
  <c r="Y1080" i="1" s="1"/>
  <c r="X1081" i="1"/>
  <c r="X1082" i="1"/>
  <c r="Y1082" i="1" s="1"/>
  <c r="X1083" i="1"/>
  <c r="Y1083" i="1" s="1"/>
  <c r="X1084" i="1"/>
  <c r="Y1084" i="1" s="1"/>
  <c r="X1085" i="1"/>
  <c r="Y1085" i="1" s="1"/>
  <c r="X1086" i="1"/>
  <c r="Y1086" i="1" s="1"/>
  <c r="X1087" i="1"/>
  <c r="X1088" i="1"/>
  <c r="Y1088" i="1" s="1"/>
  <c r="X1089" i="1"/>
  <c r="Y1089" i="1" s="1"/>
  <c r="X1090" i="1"/>
  <c r="X1091" i="1"/>
  <c r="Y1091" i="1" s="1"/>
  <c r="X1092" i="1"/>
  <c r="Y1092" i="1" s="1"/>
  <c r="X1093" i="1"/>
  <c r="Y1093" i="1" s="1"/>
  <c r="X1094" i="1"/>
  <c r="Y1094" i="1" s="1"/>
  <c r="X1095" i="1"/>
  <c r="Y1095" i="1" s="1"/>
  <c r="X1096" i="1"/>
  <c r="Y1096" i="1" s="1"/>
  <c r="X1097" i="1"/>
  <c r="X1098" i="1"/>
  <c r="Y1098" i="1" s="1"/>
  <c r="X1099" i="1"/>
  <c r="X1100" i="1"/>
  <c r="Y1100" i="1" s="1"/>
  <c r="X1101" i="1"/>
  <c r="Y1101" i="1" s="1"/>
  <c r="X1102" i="1"/>
  <c r="Y1102" i="1" s="1"/>
  <c r="X1103" i="1"/>
  <c r="Y1103" i="1" s="1"/>
  <c r="X1104" i="1"/>
  <c r="Y1104" i="1" s="1"/>
  <c r="X1105" i="1"/>
  <c r="X1106" i="1"/>
  <c r="X1107" i="1"/>
  <c r="Y1107" i="1" s="1"/>
  <c r="X1108" i="1"/>
  <c r="Y1108" i="1" s="1"/>
  <c r="X1109" i="1"/>
  <c r="Y1109" i="1" s="1"/>
  <c r="X1110" i="1"/>
  <c r="Y1110" i="1" s="1"/>
  <c r="X1111" i="1"/>
  <c r="Y1111" i="1" s="1"/>
  <c r="X1112" i="1"/>
  <c r="Y1112" i="1" s="1"/>
  <c r="X1113" i="1"/>
  <c r="Y1113" i="1" s="1"/>
  <c r="X1114" i="1"/>
  <c r="X1115" i="1"/>
  <c r="X1116" i="1"/>
  <c r="Y1116" i="1" s="1"/>
  <c r="X1117" i="1"/>
  <c r="Y1117" i="1" s="1"/>
  <c r="X1118" i="1"/>
  <c r="X1119" i="1"/>
  <c r="Y1119" i="1" s="1"/>
  <c r="X1120" i="1"/>
  <c r="Y1120" i="1" s="1"/>
  <c r="X1121" i="1"/>
  <c r="Y1121" i="1" s="1"/>
  <c r="X1122" i="1"/>
  <c r="Y1122" i="1" s="1"/>
  <c r="X1123" i="1"/>
  <c r="X1124" i="1"/>
  <c r="Y1124" i="1" s="1"/>
  <c r="X1125" i="1"/>
  <c r="Y1125" i="1" s="1"/>
  <c r="X1126" i="1"/>
  <c r="Y1126" i="1" s="1"/>
  <c r="X1127" i="1"/>
  <c r="X1128" i="1"/>
  <c r="Y1128" i="1" s="1"/>
  <c r="X1129" i="1"/>
  <c r="Y1129" i="1" s="1"/>
  <c r="X1130" i="1"/>
  <c r="Y1130" i="1" s="1"/>
  <c r="X1131" i="1"/>
  <c r="Y1131" i="1" s="1"/>
  <c r="X1132" i="1"/>
  <c r="Y1132" i="1" s="1"/>
  <c r="X1133" i="1"/>
  <c r="Y1133" i="1" s="1"/>
  <c r="X1134" i="1"/>
  <c r="Y1134" i="1" s="1"/>
  <c r="X1135" i="1"/>
  <c r="Y1135" i="1" s="1"/>
  <c r="X1136" i="1"/>
  <c r="Y1136" i="1" s="1"/>
  <c r="X1137" i="1"/>
  <c r="Y1137" i="1" s="1"/>
  <c r="X1138" i="1"/>
  <c r="Y1138" i="1" s="1"/>
  <c r="X1139" i="1"/>
  <c r="Y1139" i="1" s="1"/>
  <c r="X1140" i="1"/>
  <c r="Y1140" i="1" s="1"/>
  <c r="X1141" i="1"/>
  <c r="Y1141" i="1" s="1"/>
  <c r="X1142" i="1"/>
  <c r="X1143" i="1"/>
  <c r="X1144" i="1"/>
  <c r="Y1144" i="1" s="1"/>
  <c r="X1145" i="1"/>
  <c r="X1146" i="1"/>
  <c r="Y1146" i="1" s="1"/>
  <c r="X1147" i="1"/>
  <c r="Y1147" i="1" s="1"/>
  <c r="X1148" i="1"/>
  <c r="Y1148" i="1" s="1"/>
  <c r="X1149" i="1"/>
  <c r="Y1149" i="1" s="1"/>
  <c r="X1150" i="1"/>
  <c r="Y1150" i="1" s="1"/>
  <c r="X1151" i="1"/>
  <c r="X1152" i="1"/>
  <c r="Y1152" i="1" s="1"/>
  <c r="X1153" i="1"/>
  <c r="Y1153" i="1" s="1"/>
  <c r="X1154" i="1"/>
  <c r="X1155" i="1"/>
  <c r="Y1155" i="1" s="1"/>
  <c r="X1156" i="1"/>
  <c r="Y1156" i="1" s="1"/>
  <c r="X1157" i="1"/>
  <c r="Y1157" i="1" s="1"/>
  <c r="X1158" i="1"/>
  <c r="Y1158" i="1" s="1"/>
  <c r="X1159" i="1"/>
  <c r="Y1159" i="1" s="1"/>
  <c r="X1160" i="1"/>
  <c r="Y1160" i="1" s="1"/>
  <c r="X1161" i="1"/>
  <c r="X1162" i="1"/>
  <c r="Y1162" i="1" s="1"/>
  <c r="X1163" i="1"/>
  <c r="X1164" i="1"/>
  <c r="Y1164" i="1" s="1"/>
  <c r="X1165" i="1"/>
  <c r="Y1165" i="1" s="1"/>
  <c r="X1166" i="1"/>
  <c r="Y1166" i="1" s="1"/>
  <c r="X1167" i="1"/>
  <c r="Y1167" i="1" s="1"/>
  <c r="X1168" i="1"/>
  <c r="Y1168" i="1" s="1"/>
  <c r="X1169" i="1"/>
  <c r="X1170" i="1"/>
  <c r="X1171" i="1"/>
  <c r="Y1171" i="1" s="1"/>
  <c r="X1172" i="1"/>
  <c r="Y1172" i="1" s="1"/>
  <c r="X1173" i="1"/>
  <c r="Y1173" i="1" s="1"/>
  <c r="X1174" i="1"/>
  <c r="Y1174" i="1" s="1"/>
  <c r="X1175" i="1"/>
  <c r="Y1175" i="1" s="1"/>
  <c r="X1176" i="1"/>
  <c r="Y1176" i="1" s="1"/>
  <c r="X1177" i="1"/>
  <c r="Y1177" i="1" s="1"/>
  <c r="X1178" i="1"/>
  <c r="X1179" i="1"/>
  <c r="X1180" i="1"/>
  <c r="Y1180" i="1" s="1"/>
  <c r="X1181" i="1"/>
  <c r="Y1181" i="1" s="1"/>
  <c r="X1182" i="1"/>
  <c r="X1183" i="1"/>
  <c r="Y1183" i="1" s="1"/>
  <c r="X1184" i="1"/>
  <c r="Y1184" i="1" s="1"/>
  <c r="X1185" i="1"/>
  <c r="Y1185" i="1" s="1"/>
  <c r="X1186" i="1"/>
  <c r="Y1186" i="1" s="1"/>
  <c r="X1187" i="1"/>
  <c r="X1188" i="1"/>
  <c r="Y1188" i="1" s="1"/>
  <c r="X1189" i="1"/>
  <c r="Y1189" i="1" s="1"/>
  <c r="X1190" i="1"/>
  <c r="Y1190" i="1" s="1"/>
  <c r="X1191" i="1"/>
  <c r="X1192" i="1"/>
  <c r="Y1192" i="1" s="1"/>
  <c r="X1193" i="1"/>
  <c r="Y1193" i="1" s="1"/>
  <c r="X1194" i="1"/>
  <c r="Y1194" i="1" s="1"/>
  <c r="X1195" i="1"/>
  <c r="Y1195" i="1" s="1"/>
  <c r="X1196" i="1"/>
  <c r="Y1196" i="1" s="1"/>
  <c r="X1197" i="1"/>
  <c r="Y1197" i="1" s="1"/>
  <c r="X1198" i="1"/>
  <c r="Y1198" i="1" s="1"/>
  <c r="X1199" i="1"/>
  <c r="Y1199" i="1" s="1"/>
  <c r="X1200" i="1"/>
  <c r="Y1200" i="1" s="1"/>
  <c r="X1201" i="1"/>
  <c r="Y1201" i="1" s="1"/>
  <c r="X1202" i="1"/>
  <c r="Y1202" i="1" s="1"/>
  <c r="X1203" i="1"/>
  <c r="Y1203" i="1" s="1"/>
  <c r="X1204" i="1"/>
  <c r="Y1204" i="1" s="1"/>
  <c r="X1205" i="1"/>
  <c r="Y1205" i="1" s="1"/>
  <c r="X1206" i="1"/>
  <c r="X1207" i="1"/>
  <c r="X1208" i="1"/>
  <c r="Y1208" i="1" s="1"/>
  <c r="X1209" i="1"/>
  <c r="X1210" i="1"/>
  <c r="Y1210" i="1" s="1"/>
  <c r="X1211" i="1"/>
  <c r="Y1211" i="1" s="1"/>
  <c r="X1212" i="1"/>
  <c r="Y1212" i="1" s="1"/>
  <c r="X1213" i="1"/>
  <c r="Y1213" i="1" s="1"/>
  <c r="X1214" i="1"/>
  <c r="Y1214" i="1" s="1"/>
  <c r="X1215" i="1"/>
  <c r="X1216" i="1"/>
  <c r="Y1216" i="1" s="1"/>
  <c r="X1217" i="1"/>
  <c r="Y1217" i="1" s="1"/>
  <c r="X1218" i="1"/>
  <c r="X1219" i="1"/>
  <c r="Y1219" i="1" s="1"/>
  <c r="X1220" i="1"/>
  <c r="Y1220" i="1" s="1"/>
  <c r="X1221" i="1"/>
  <c r="Y1221" i="1" s="1"/>
  <c r="X1222" i="1"/>
  <c r="Y1222" i="1" s="1"/>
  <c r="X1223" i="1"/>
  <c r="Y1223" i="1" s="1"/>
  <c r="X1224" i="1"/>
  <c r="Y1224" i="1" s="1"/>
  <c r="X1225" i="1"/>
  <c r="X1226" i="1"/>
  <c r="Y1226" i="1" s="1"/>
  <c r="X1227" i="1"/>
  <c r="X1228" i="1"/>
  <c r="Y1228" i="1" s="1"/>
  <c r="X1229" i="1"/>
  <c r="Y1229" i="1" s="1"/>
  <c r="X1230" i="1"/>
  <c r="Y1230" i="1" s="1"/>
  <c r="X1231" i="1"/>
  <c r="Y1231" i="1" s="1"/>
  <c r="X1232" i="1"/>
  <c r="Y1232" i="1" s="1"/>
  <c r="X1233" i="1"/>
  <c r="X1234" i="1"/>
  <c r="X1235" i="1"/>
  <c r="Y1235" i="1" s="1"/>
  <c r="X1236" i="1"/>
  <c r="X1237" i="1"/>
  <c r="Y1237" i="1" s="1"/>
  <c r="X1238" i="1"/>
  <c r="Y1238" i="1" s="1"/>
  <c r="X1239" i="1"/>
  <c r="Y1239" i="1" s="1"/>
  <c r="X1240" i="1"/>
  <c r="Y1240" i="1" s="1"/>
  <c r="X1241" i="1"/>
  <c r="X1242" i="1"/>
  <c r="X1243" i="1"/>
  <c r="Y1243" i="1" s="1"/>
  <c r="X1244" i="1"/>
  <c r="X1245" i="1"/>
  <c r="Y1245" i="1" s="1"/>
  <c r="X1246" i="1"/>
  <c r="Y1246" i="1" s="1"/>
  <c r="X1247" i="1"/>
  <c r="Y1247" i="1" s="1"/>
  <c r="X1248" i="1"/>
  <c r="Y1248" i="1" s="1"/>
  <c r="X1249" i="1"/>
  <c r="X1250" i="1"/>
  <c r="X1251" i="1"/>
  <c r="Y1251" i="1" s="1"/>
  <c r="X1252" i="1"/>
  <c r="X1253" i="1"/>
  <c r="Y1253" i="1" s="1"/>
  <c r="X1254" i="1"/>
  <c r="Y1254" i="1" s="1"/>
  <c r="X1255" i="1"/>
  <c r="Y1255" i="1" s="1"/>
  <c r="X1256" i="1"/>
  <c r="Y1256" i="1" s="1"/>
  <c r="X1257" i="1"/>
  <c r="X1258" i="1"/>
  <c r="X1259" i="1"/>
  <c r="Y1259" i="1" s="1"/>
  <c r="X1260" i="1"/>
  <c r="X1261" i="1"/>
  <c r="Y1261" i="1" s="1"/>
  <c r="X1262" i="1"/>
  <c r="Y1262" i="1" s="1"/>
  <c r="X1263" i="1"/>
  <c r="Y1263" i="1" s="1"/>
  <c r="X1264" i="1"/>
  <c r="Y1264" i="1" s="1"/>
  <c r="X1265" i="1"/>
  <c r="X1266" i="1"/>
  <c r="X1267" i="1"/>
  <c r="Y1267" i="1" s="1"/>
  <c r="X1268" i="1"/>
  <c r="X1269" i="1"/>
  <c r="Y1269" i="1" s="1"/>
  <c r="X1270" i="1"/>
  <c r="Y1270" i="1" s="1"/>
  <c r="X1271" i="1"/>
  <c r="Y1271" i="1" s="1"/>
  <c r="X1272" i="1"/>
  <c r="Y1272" i="1" s="1"/>
  <c r="X1273" i="1"/>
  <c r="X1274" i="1"/>
  <c r="X1275" i="1"/>
  <c r="Y1275" i="1" s="1"/>
  <c r="X1276" i="1"/>
  <c r="X1277" i="1"/>
  <c r="Y1277" i="1" s="1"/>
  <c r="X1278" i="1"/>
  <c r="Y1278" i="1" s="1"/>
  <c r="X1279" i="1"/>
  <c r="Y1279" i="1" s="1"/>
  <c r="X1280" i="1"/>
  <c r="Y1280" i="1" s="1"/>
  <c r="X1281" i="1"/>
  <c r="X1282" i="1"/>
  <c r="X1283" i="1"/>
  <c r="Y1283" i="1" s="1"/>
  <c r="X1284" i="1"/>
  <c r="X1285" i="1"/>
  <c r="Y1285" i="1" s="1"/>
  <c r="X1286" i="1"/>
  <c r="Y1286" i="1" s="1"/>
  <c r="X1287" i="1"/>
  <c r="Y1287" i="1" s="1"/>
  <c r="X1288" i="1"/>
  <c r="Y1288" i="1" s="1"/>
  <c r="X1289" i="1"/>
  <c r="X1290" i="1"/>
  <c r="X1291" i="1"/>
  <c r="Y1291" i="1" s="1"/>
  <c r="X1292" i="1"/>
  <c r="X1293" i="1"/>
  <c r="Y1293" i="1" s="1"/>
  <c r="X1294" i="1"/>
  <c r="Y1294" i="1" s="1"/>
  <c r="X1295" i="1"/>
  <c r="Y1295" i="1" s="1"/>
  <c r="X1296" i="1"/>
  <c r="Y1296" i="1" s="1"/>
  <c r="X1297" i="1"/>
  <c r="X1298" i="1"/>
  <c r="X1299" i="1"/>
  <c r="Y1299" i="1" s="1"/>
  <c r="X1300" i="1"/>
  <c r="X1301" i="1"/>
  <c r="Y1301" i="1" s="1"/>
  <c r="X1302" i="1"/>
  <c r="Y1302" i="1" s="1"/>
  <c r="X1303" i="1"/>
  <c r="Y1303" i="1" s="1"/>
  <c r="X1304" i="1"/>
  <c r="Y1304" i="1" s="1"/>
  <c r="X1305" i="1"/>
  <c r="X1306" i="1"/>
  <c r="X1307" i="1"/>
  <c r="Y1307" i="1" s="1"/>
  <c r="X1308" i="1"/>
  <c r="X1309" i="1"/>
  <c r="Y1309" i="1" s="1"/>
  <c r="X1310" i="1"/>
  <c r="Y1310" i="1" s="1"/>
  <c r="X1311" i="1"/>
  <c r="Y1311" i="1" s="1"/>
  <c r="X1312" i="1"/>
  <c r="Y1312" i="1" s="1"/>
  <c r="X1313" i="1"/>
  <c r="X1314" i="1"/>
  <c r="X1315" i="1"/>
  <c r="Y1315" i="1" s="1"/>
  <c r="X1316" i="1"/>
  <c r="X1317" i="1"/>
  <c r="Y1317" i="1" s="1"/>
  <c r="X1318" i="1"/>
  <c r="Y1318" i="1" s="1"/>
  <c r="X1319" i="1"/>
  <c r="Y1319" i="1" s="1"/>
  <c r="X1320" i="1"/>
  <c r="Y1320" i="1" s="1"/>
  <c r="X1321" i="1"/>
  <c r="X1322" i="1"/>
  <c r="X1323" i="1"/>
  <c r="Y1323" i="1" s="1"/>
  <c r="X1324" i="1"/>
  <c r="X1325" i="1"/>
  <c r="Y1325" i="1" s="1"/>
  <c r="X1326" i="1"/>
  <c r="Y1326" i="1" s="1"/>
  <c r="X1327" i="1"/>
  <c r="Y1327" i="1" s="1"/>
  <c r="X1328" i="1"/>
  <c r="Y1328" i="1" s="1"/>
  <c r="X1329" i="1"/>
  <c r="X1330" i="1"/>
  <c r="X1331" i="1"/>
  <c r="Y1331" i="1" s="1"/>
  <c r="X1332" i="1"/>
  <c r="X1333" i="1"/>
  <c r="Y1333" i="1" s="1"/>
  <c r="X1334" i="1"/>
  <c r="Y1334" i="1" s="1"/>
  <c r="X1335" i="1"/>
  <c r="Y1335" i="1" s="1"/>
  <c r="X1336" i="1"/>
  <c r="Y1336" i="1" s="1"/>
  <c r="X1337" i="1"/>
  <c r="X1338" i="1"/>
  <c r="X1339" i="1"/>
  <c r="Y1339" i="1" s="1"/>
  <c r="X1340" i="1"/>
  <c r="X1341" i="1"/>
  <c r="Y1341" i="1" s="1"/>
  <c r="X1342" i="1"/>
  <c r="Y1342" i="1" s="1"/>
  <c r="X1343" i="1"/>
  <c r="Y1343" i="1" s="1"/>
  <c r="X1344" i="1"/>
  <c r="Y1344" i="1" s="1"/>
  <c r="X1345" i="1"/>
  <c r="X1346" i="1"/>
  <c r="X1347" i="1"/>
  <c r="Y1347" i="1" s="1"/>
  <c r="X1348" i="1"/>
  <c r="X1349" i="1"/>
  <c r="Y1349" i="1" s="1"/>
  <c r="X1350" i="1"/>
  <c r="Y1350" i="1" s="1"/>
  <c r="X1351" i="1"/>
  <c r="Y1351" i="1" s="1"/>
  <c r="X1352" i="1"/>
  <c r="Y1352" i="1" s="1"/>
  <c r="X1353" i="1"/>
  <c r="X1354" i="1"/>
  <c r="X1355" i="1"/>
  <c r="Y1355" i="1" s="1"/>
  <c r="X1356" i="1"/>
  <c r="X1357" i="1"/>
  <c r="Y1357" i="1" s="1"/>
  <c r="X1358" i="1"/>
  <c r="Y1358" i="1" s="1"/>
  <c r="X1359" i="1"/>
  <c r="Y1359" i="1" s="1"/>
  <c r="X1360" i="1"/>
  <c r="Y1360" i="1" s="1"/>
  <c r="X1361" i="1"/>
  <c r="X1362" i="1"/>
  <c r="X1363" i="1"/>
  <c r="Y1363" i="1" s="1"/>
  <c r="X1364" i="1"/>
  <c r="X1365" i="1"/>
  <c r="Y1365" i="1" s="1"/>
  <c r="X1366" i="1"/>
  <c r="Y1366" i="1" s="1"/>
  <c r="X1367" i="1"/>
  <c r="Y1367" i="1" s="1"/>
  <c r="X1368" i="1"/>
  <c r="Y1368" i="1" s="1"/>
  <c r="X1369" i="1"/>
  <c r="X1370" i="1"/>
  <c r="X1371" i="1"/>
  <c r="Y1371" i="1" s="1"/>
  <c r="X1372" i="1"/>
  <c r="X1373" i="1"/>
  <c r="Y1373" i="1" s="1"/>
  <c r="X1374" i="1"/>
  <c r="Y1374" i="1" s="1"/>
  <c r="X1375" i="1"/>
  <c r="Y1375" i="1" s="1"/>
  <c r="X1376" i="1"/>
  <c r="Y1376" i="1" s="1"/>
  <c r="X1377" i="1"/>
  <c r="X1378" i="1"/>
  <c r="X1379" i="1"/>
  <c r="Y1379" i="1" s="1"/>
  <c r="X1380" i="1"/>
  <c r="X1381" i="1"/>
  <c r="Y1381" i="1" s="1"/>
  <c r="X1382" i="1"/>
  <c r="Y1382" i="1" s="1"/>
  <c r="X1383" i="1"/>
  <c r="Y1383" i="1" s="1"/>
  <c r="X1384" i="1"/>
  <c r="Y1384" i="1" s="1"/>
  <c r="X1385" i="1"/>
  <c r="X1386" i="1"/>
  <c r="X1387" i="1"/>
  <c r="Y1387" i="1" s="1"/>
  <c r="X1388" i="1"/>
  <c r="X1389" i="1"/>
  <c r="Y1389" i="1" s="1"/>
  <c r="X1390" i="1"/>
  <c r="Y1390" i="1" s="1"/>
  <c r="X1391" i="1"/>
  <c r="Y1391" i="1" s="1"/>
  <c r="X1392" i="1"/>
  <c r="Y1392" i="1" s="1"/>
  <c r="X1393" i="1"/>
  <c r="X1394" i="1"/>
  <c r="X1395" i="1"/>
  <c r="Y1395" i="1" s="1"/>
  <c r="X1396" i="1"/>
  <c r="X1397" i="1"/>
  <c r="Y1397" i="1" s="1"/>
  <c r="X1398" i="1"/>
  <c r="Y1398" i="1" s="1"/>
  <c r="X1399" i="1"/>
  <c r="Y1399" i="1" s="1"/>
  <c r="X1400" i="1"/>
  <c r="Y1400" i="1" s="1"/>
  <c r="X1401" i="1"/>
  <c r="X1402" i="1"/>
  <c r="X1403" i="1"/>
  <c r="Y1403" i="1" s="1"/>
  <c r="X1404" i="1"/>
  <c r="X1405" i="1"/>
  <c r="Y1405" i="1" s="1"/>
  <c r="X1406" i="1"/>
  <c r="Y1406" i="1" s="1"/>
  <c r="X1407" i="1"/>
  <c r="Y1407" i="1" s="1"/>
  <c r="X1408" i="1"/>
  <c r="Y1408" i="1" s="1"/>
  <c r="X1409" i="1"/>
  <c r="X1410" i="1"/>
  <c r="X1411" i="1"/>
  <c r="Y1411" i="1" s="1"/>
  <c r="X1412" i="1"/>
  <c r="X1413" i="1"/>
  <c r="Y1413" i="1" s="1"/>
  <c r="X1414" i="1"/>
  <c r="Y1414" i="1" s="1"/>
  <c r="X1415" i="1"/>
  <c r="Y1415" i="1" s="1"/>
  <c r="X1416" i="1"/>
  <c r="Y1416" i="1" s="1"/>
  <c r="X1417" i="1"/>
  <c r="X1418" i="1"/>
  <c r="X1419" i="1"/>
  <c r="Y1419" i="1" s="1"/>
  <c r="X1420" i="1"/>
  <c r="X1421" i="1"/>
  <c r="Y1421" i="1" s="1"/>
  <c r="X1422" i="1"/>
  <c r="Y1422" i="1" s="1"/>
  <c r="X1423" i="1"/>
  <c r="Y1423" i="1" s="1"/>
  <c r="X1424" i="1"/>
  <c r="Y1424" i="1" s="1"/>
  <c r="X1425" i="1"/>
  <c r="X1426" i="1"/>
  <c r="X1427" i="1"/>
  <c r="Y1427" i="1" s="1"/>
  <c r="X1428" i="1"/>
  <c r="X1429" i="1"/>
  <c r="Y1429" i="1" s="1"/>
  <c r="X1430" i="1"/>
  <c r="Y1430" i="1" s="1"/>
  <c r="X1431" i="1"/>
  <c r="Y1431" i="1" s="1"/>
  <c r="X1432" i="1"/>
  <c r="Y1432" i="1" s="1"/>
  <c r="X1433" i="1"/>
  <c r="X1434" i="1"/>
  <c r="X1435" i="1"/>
  <c r="Y1435" i="1" s="1"/>
  <c r="X1436" i="1"/>
  <c r="X1437" i="1"/>
  <c r="Y1437" i="1" s="1"/>
  <c r="X1438" i="1"/>
  <c r="Y1438" i="1" s="1"/>
  <c r="X1439" i="1"/>
  <c r="Y1439" i="1" s="1"/>
  <c r="X1440" i="1"/>
  <c r="Y1440" i="1" s="1"/>
  <c r="X1441" i="1"/>
  <c r="X1442" i="1"/>
  <c r="X1443" i="1"/>
  <c r="Y1443" i="1" s="1"/>
  <c r="X1444" i="1"/>
  <c r="X1445" i="1"/>
  <c r="Y1445" i="1" s="1"/>
  <c r="X1446" i="1"/>
  <c r="Y1446" i="1" s="1"/>
  <c r="X1447" i="1"/>
  <c r="Y1447" i="1" s="1"/>
  <c r="X1448" i="1"/>
  <c r="Y1448" i="1" s="1"/>
  <c r="X1449" i="1"/>
  <c r="X1450" i="1"/>
  <c r="X1451" i="1"/>
  <c r="Y1451" i="1" s="1"/>
  <c r="X1452" i="1"/>
  <c r="X1453" i="1"/>
  <c r="Y1453" i="1" s="1"/>
  <c r="X1454" i="1"/>
  <c r="Y1454" i="1" s="1"/>
  <c r="X1455" i="1"/>
  <c r="Y1455" i="1" s="1"/>
  <c r="X1456" i="1"/>
  <c r="Y1456" i="1" s="1"/>
  <c r="X1457" i="1"/>
  <c r="X1458" i="1"/>
  <c r="X1459" i="1"/>
  <c r="Y1459" i="1" s="1"/>
  <c r="X1460" i="1"/>
  <c r="X1461" i="1"/>
  <c r="Y1461" i="1" s="1"/>
  <c r="X1462" i="1"/>
  <c r="Y1462" i="1" s="1"/>
  <c r="X1463" i="1"/>
  <c r="Y1463" i="1" s="1"/>
  <c r="X1464" i="1"/>
  <c r="Y1464" i="1" s="1"/>
  <c r="X1465" i="1"/>
  <c r="X1466" i="1"/>
  <c r="X1467" i="1"/>
  <c r="Y1467" i="1" s="1"/>
  <c r="X1468" i="1"/>
  <c r="X1469" i="1"/>
  <c r="Y1469" i="1" s="1"/>
  <c r="X1470" i="1"/>
  <c r="Y1470" i="1" s="1"/>
  <c r="X1471" i="1"/>
  <c r="Y1471" i="1" s="1"/>
  <c r="X1472" i="1"/>
  <c r="Y1472" i="1" s="1"/>
  <c r="X1473" i="1"/>
  <c r="X1474" i="1"/>
  <c r="X1475" i="1"/>
  <c r="Y1475" i="1" s="1"/>
  <c r="X1476" i="1"/>
  <c r="X1477" i="1"/>
  <c r="Y1477" i="1" s="1"/>
  <c r="X1478" i="1"/>
  <c r="Y1478" i="1" s="1"/>
  <c r="X1479" i="1"/>
  <c r="Y1479" i="1" s="1"/>
  <c r="X1480" i="1"/>
  <c r="Y1480" i="1" s="1"/>
  <c r="X1481" i="1"/>
  <c r="X1482" i="1"/>
  <c r="X1483" i="1"/>
  <c r="Y1483" i="1" s="1"/>
  <c r="X1484" i="1"/>
  <c r="X1485" i="1"/>
  <c r="Y1485" i="1" s="1"/>
  <c r="X1486" i="1"/>
  <c r="Y1486" i="1" s="1"/>
  <c r="X1487" i="1"/>
  <c r="Y1487" i="1" s="1"/>
  <c r="X1488" i="1"/>
  <c r="Y1488" i="1" s="1"/>
  <c r="X1489" i="1"/>
  <c r="X1490" i="1"/>
  <c r="X1491" i="1"/>
  <c r="Y1491" i="1" s="1"/>
  <c r="X1492" i="1"/>
  <c r="X1493" i="1"/>
  <c r="Y1493" i="1" s="1"/>
  <c r="X1494" i="1"/>
  <c r="Y1494" i="1" s="1"/>
  <c r="X1495" i="1"/>
  <c r="Y1495" i="1" s="1"/>
  <c r="X1496" i="1"/>
  <c r="Y1496" i="1" s="1"/>
  <c r="X1497" i="1"/>
  <c r="X1498" i="1"/>
  <c r="X1499" i="1"/>
  <c r="Y1499" i="1" s="1"/>
  <c r="X1500" i="1"/>
  <c r="X1501" i="1"/>
  <c r="Y1501" i="1" s="1"/>
  <c r="X1502" i="1"/>
  <c r="Y1502" i="1" s="1"/>
  <c r="X1503" i="1"/>
  <c r="Y1503" i="1" s="1"/>
  <c r="X1504" i="1"/>
  <c r="Y1504" i="1" s="1"/>
  <c r="X1505" i="1"/>
  <c r="X1506" i="1"/>
  <c r="X1507" i="1"/>
  <c r="Y1507" i="1" s="1"/>
  <c r="X1508" i="1"/>
  <c r="X1509" i="1"/>
  <c r="Y1509" i="1" s="1"/>
  <c r="X1510" i="1"/>
  <c r="Y1510" i="1" s="1"/>
  <c r="X1511" i="1"/>
  <c r="Y1511" i="1" s="1"/>
  <c r="X1512" i="1"/>
  <c r="Y1512" i="1" s="1"/>
  <c r="X1513" i="1"/>
  <c r="X1514" i="1"/>
  <c r="X1515" i="1"/>
  <c r="Y1515" i="1" s="1"/>
  <c r="X1516" i="1"/>
  <c r="X1517" i="1"/>
  <c r="Y1517" i="1" s="1"/>
  <c r="X1518" i="1"/>
  <c r="Y1518" i="1" s="1"/>
  <c r="X1519" i="1"/>
  <c r="Y1519" i="1" s="1"/>
  <c r="X1520" i="1"/>
  <c r="Y1520" i="1" s="1"/>
  <c r="X1521" i="1"/>
  <c r="X1522" i="1"/>
  <c r="X1523" i="1"/>
  <c r="Y1523" i="1" s="1"/>
  <c r="X1524" i="1"/>
  <c r="X1525" i="1"/>
  <c r="Y1525" i="1" s="1"/>
  <c r="X1526" i="1"/>
  <c r="Y1526" i="1" s="1"/>
  <c r="X1527" i="1"/>
  <c r="Y1527" i="1" s="1"/>
  <c r="X1528" i="1"/>
  <c r="Y1528" i="1" s="1"/>
  <c r="X1529" i="1"/>
  <c r="X1530" i="1"/>
  <c r="X1531" i="1"/>
  <c r="Y1531" i="1" s="1"/>
  <c r="X1532" i="1"/>
  <c r="X1533" i="1"/>
  <c r="Y1533" i="1" s="1"/>
  <c r="X1534" i="1"/>
  <c r="Y1534" i="1" s="1"/>
  <c r="X1535" i="1"/>
  <c r="Y1535" i="1" s="1"/>
  <c r="X1536" i="1"/>
  <c r="Y1536" i="1" s="1"/>
  <c r="X1537" i="1"/>
  <c r="X1538" i="1"/>
  <c r="X1539" i="1"/>
  <c r="Y1539" i="1" s="1"/>
  <c r="X1540" i="1"/>
  <c r="X1541" i="1"/>
  <c r="Y1541" i="1" s="1"/>
  <c r="X1542" i="1"/>
  <c r="Y1542" i="1" s="1"/>
  <c r="X1543" i="1"/>
  <c r="Y1543" i="1" s="1"/>
  <c r="X1544" i="1"/>
  <c r="Y1544" i="1" s="1"/>
  <c r="X1545" i="1"/>
  <c r="X1546" i="1"/>
  <c r="X1547" i="1"/>
  <c r="Y1547" i="1" s="1"/>
  <c r="X1548" i="1"/>
  <c r="X1549" i="1"/>
  <c r="Y1549" i="1" s="1"/>
  <c r="X1550" i="1"/>
  <c r="Y1550" i="1" s="1"/>
  <c r="X1551" i="1"/>
  <c r="Y1551" i="1" s="1"/>
  <c r="X1552" i="1"/>
  <c r="Y1552" i="1" s="1"/>
  <c r="X1553" i="1"/>
  <c r="X1554" i="1"/>
  <c r="X1555" i="1"/>
  <c r="Y1555" i="1" s="1"/>
  <c r="X1556" i="1"/>
  <c r="X1557" i="1"/>
  <c r="Y1557" i="1" s="1"/>
  <c r="X1558" i="1"/>
  <c r="Y1558" i="1" s="1"/>
  <c r="X1559" i="1"/>
  <c r="Y1559" i="1" s="1"/>
  <c r="X1560" i="1"/>
  <c r="Y1560" i="1" s="1"/>
  <c r="X1561" i="1"/>
  <c r="X1562" i="1"/>
  <c r="X1563" i="1"/>
  <c r="Y1563" i="1" s="1"/>
  <c r="X1564" i="1"/>
  <c r="X1565" i="1"/>
  <c r="Y1565" i="1" s="1"/>
  <c r="X1566" i="1"/>
  <c r="Y1566" i="1" s="1"/>
  <c r="X1567" i="1"/>
  <c r="Y1567" i="1" s="1"/>
  <c r="X1568" i="1"/>
  <c r="Y1568" i="1" s="1"/>
  <c r="X1569" i="1"/>
  <c r="X1570" i="1"/>
  <c r="X1571" i="1"/>
  <c r="Y1571" i="1" s="1"/>
  <c r="X1572" i="1"/>
  <c r="X1573" i="1"/>
  <c r="Y1573" i="1" s="1"/>
  <c r="X1574" i="1"/>
  <c r="Y1574" i="1" s="1"/>
  <c r="X1575" i="1"/>
  <c r="Y1575" i="1" s="1"/>
  <c r="X1576" i="1"/>
  <c r="Y1576" i="1" s="1"/>
  <c r="X1577" i="1"/>
  <c r="X1578" i="1"/>
  <c r="X1579" i="1"/>
  <c r="Y1579" i="1" s="1"/>
  <c r="X1580" i="1"/>
  <c r="X1581" i="1"/>
  <c r="Y1581" i="1" s="1"/>
  <c r="X1582" i="1"/>
  <c r="Y1582" i="1" s="1"/>
  <c r="X1583" i="1"/>
  <c r="Y1583" i="1" s="1"/>
  <c r="X1584" i="1"/>
  <c r="Y1584" i="1" s="1"/>
  <c r="X1585" i="1"/>
  <c r="X1586" i="1"/>
  <c r="X1587" i="1"/>
  <c r="Y1587" i="1" s="1"/>
  <c r="X1588" i="1"/>
  <c r="X1589" i="1"/>
  <c r="Y1589" i="1" s="1"/>
  <c r="X1590" i="1"/>
  <c r="Y1590" i="1" s="1"/>
  <c r="X1591" i="1"/>
  <c r="Y1591" i="1" s="1"/>
  <c r="X1592" i="1"/>
  <c r="Y1592" i="1" s="1"/>
  <c r="X1593" i="1"/>
  <c r="X1594" i="1"/>
  <c r="X1595" i="1"/>
  <c r="Y1595" i="1" s="1"/>
  <c r="X1596" i="1"/>
  <c r="X1597" i="1"/>
  <c r="Y1597" i="1" s="1"/>
  <c r="X1598" i="1"/>
  <c r="Y1598" i="1" s="1"/>
  <c r="X1599" i="1"/>
  <c r="Y1599" i="1" s="1"/>
  <c r="X1600" i="1"/>
  <c r="Y1600" i="1" s="1"/>
  <c r="X1601" i="1"/>
  <c r="X1602" i="1"/>
  <c r="X1603" i="1"/>
  <c r="Y1603" i="1" s="1"/>
  <c r="X1604" i="1"/>
  <c r="X1605" i="1"/>
  <c r="Y1605" i="1" s="1"/>
  <c r="X1606" i="1"/>
  <c r="Y1606" i="1" s="1"/>
  <c r="X1607" i="1"/>
  <c r="Y1607" i="1" s="1"/>
  <c r="X1608" i="1"/>
  <c r="Y1608" i="1" s="1"/>
  <c r="X1609" i="1"/>
  <c r="X1610" i="1"/>
  <c r="X1611" i="1"/>
  <c r="Y1611" i="1" s="1"/>
  <c r="X1612" i="1"/>
  <c r="X1613" i="1"/>
  <c r="Y1613" i="1" s="1"/>
  <c r="X1614" i="1"/>
  <c r="Y1614" i="1" s="1"/>
  <c r="X1615" i="1"/>
  <c r="Y1615" i="1" s="1"/>
  <c r="X1616" i="1"/>
  <c r="Y1616" i="1" s="1"/>
  <c r="X1617" i="1"/>
  <c r="X1618" i="1"/>
  <c r="X1619" i="1"/>
  <c r="Y1619" i="1" s="1"/>
  <c r="X1620" i="1"/>
  <c r="X1621" i="1"/>
  <c r="Y1621" i="1" s="1"/>
  <c r="X1622" i="1"/>
  <c r="Y1622" i="1" s="1"/>
  <c r="X1623" i="1"/>
  <c r="Y1623" i="1" s="1"/>
  <c r="X1624" i="1"/>
  <c r="Y1624" i="1" s="1"/>
  <c r="X1625" i="1"/>
  <c r="X1626" i="1"/>
  <c r="X1627" i="1"/>
  <c r="Y1627" i="1" s="1"/>
  <c r="X1628" i="1"/>
  <c r="X1629" i="1"/>
  <c r="Y1629" i="1" s="1"/>
  <c r="X1630" i="1"/>
  <c r="Y1630" i="1" s="1"/>
  <c r="X1631" i="1"/>
  <c r="Y1631" i="1" s="1"/>
  <c r="X1632" i="1"/>
  <c r="Y1632" i="1" s="1"/>
  <c r="X1633" i="1"/>
  <c r="X1634" i="1"/>
  <c r="X1635" i="1"/>
  <c r="Y1635" i="1" s="1"/>
  <c r="X1636" i="1"/>
  <c r="X1637" i="1"/>
  <c r="Y1637" i="1" s="1"/>
  <c r="X1638" i="1"/>
  <c r="Y1638" i="1" s="1"/>
  <c r="X1639" i="1"/>
  <c r="Y1639" i="1" s="1"/>
  <c r="X1640" i="1"/>
  <c r="Y1640" i="1" s="1"/>
  <c r="X1641" i="1"/>
  <c r="X1642" i="1"/>
  <c r="X1643" i="1"/>
  <c r="Y1643" i="1" s="1"/>
  <c r="X1644" i="1"/>
  <c r="X1645" i="1"/>
  <c r="Y1645" i="1" s="1"/>
  <c r="X1646" i="1"/>
  <c r="Y1646" i="1" s="1"/>
  <c r="X1647" i="1"/>
  <c r="Y1647" i="1" s="1"/>
  <c r="X1648" i="1"/>
  <c r="Y1648" i="1" s="1"/>
  <c r="X1649" i="1"/>
  <c r="X1650" i="1"/>
  <c r="X1651" i="1"/>
  <c r="Y1651" i="1" s="1"/>
  <c r="X1652" i="1"/>
  <c r="X1653" i="1"/>
  <c r="Y1653" i="1" s="1"/>
  <c r="X1654" i="1"/>
  <c r="Y1654" i="1" s="1"/>
  <c r="X1655" i="1"/>
  <c r="Y1655" i="1" s="1"/>
  <c r="X1656" i="1"/>
  <c r="Y1656" i="1" s="1"/>
  <c r="X1657" i="1"/>
  <c r="X1658" i="1"/>
  <c r="X1659" i="1"/>
  <c r="Y1659" i="1" s="1"/>
  <c r="X1660" i="1"/>
  <c r="X1661" i="1"/>
  <c r="Y1661" i="1" s="1"/>
  <c r="X1662" i="1"/>
  <c r="Y1662" i="1" s="1"/>
  <c r="X1663" i="1"/>
  <c r="Y1663" i="1" s="1"/>
  <c r="X1664" i="1"/>
  <c r="Y1664" i="1" s="1"/>
  <c r="X1665" i="1"/>
  <c r="X1666" i="1"/>
  <c r="X1667" i="1"/>
  <c r="Y1667" i="1" s="1"/>
  <c r="X1668" i="1"/>
  <c r="X1669" i="1"/>
  <c r="Y1669" i="1" s="1"/>
  <c r="X1670" i="1"/>
  <c r="Y1670" i="1" s="1"/>
  <c r="X1671" i="1"/>
  <c r="Y1671" i="1" s="1"/>
  <c r="X1672" i="1"/>
  <c r="Y1672" i="1" s="1"/>
  <c r="X1673" i="1"/>
  <c r="X1674" i="1"/>
  <c r="X1675" i="1"/>
  <c r="Y1675" i="1" s="1"/>
  <c r="X1676" i="1"/>
  <c r="X1677" i="1"/>
  <c r="Y1677" i="1" s="1"/>
  <c r="X1678" i="1"/>
  <c r="Y1678" i="1" s="1"/>
  <c r="X1679" i="1"/>
  <c r="Y1679" i="1" s="1"/>
  <c r="X1680" i="1"/>
  <c r="Y1680" i="1" s="1"/>
  <c r="X1681" i="1"/>
  <c r="X1682" i="1"/>
  <c r="X1683" i="1"/>
  <c r="Y1683" i="1" s="1"/>
  <c r="X1684" i="1"/>
  <c r="X1685" i="1"/>
  <c r="Y1685" i="1" s="1"/>
  <c r="X1686" i="1"/>
  <c r="Y1686" i="1" s="1"/>
  <c r="X1687" i="1"/>
  <c r="Y1687" i="1" s="1"/>
  <c r="X1688" i="1"/>
  <c r="Y1688" i="1" s="1"/>
  <c r="X1689" i="1"/>
  <c r="X1690" i="1"/>
  <c r="X1691" i="1"/>
  <c r="Y1691" i="1" s="1"/>
  <c r="X1692" i="1"/>
  <c r="X1693" i="1"/>
  <c r="Y1693" i="1" s="1"/>
  <c r="X1694" i="1"/>
  <c r="Y1694" i="1" s="1"/>
  <c r="X1695" i="1"/>
  <c r="Y1695" i="1" s="1"/>
  <c r="X1696" i="1"/>
  <c r="Y1696" i="1" s="1"/>
  <c r="X1697" i="1"/>
  <c r="X1698" i="1"/>
  <c r="X1699" i="1"/>
  <c r="Y1699" i="1" s="1"/>
  <c r="X1700" i="1"/>
  <c r="X1701" i="1"/>
  <c r="Y1701" i="1" s="1"/>
  <c r="X1702" i="1"/>
  <c r="Y1702" i="1" s="1"/>
  <c r="X1703" i="1"/>
  <c r="Y1703" i="1" s="1"/>
  <c r="X1704" i="1"/>
  <c r="Y1704" i="1" s="1"/>
  <c r="X1705" i="1"/>
  <c r="X1706" i="1"/>
  <c r="X1707" i="1"/>
  <c r="Y1707" i="1" s="1"/>
  <c r="X1708" i="1"/>
  <c r="X1709" i="1"/>
  <c r="Y1709" i="1" s="1"/>
  <c r="X1710" i="1"/>
  <c r="Y1710" i="1" s="1"/>
  <c r="X1711" i="1"/>
  <c r="Y1711" i="1" s="1"/>
  <c r="X1712" i="1"/>
  <c r="Y1712" i="1" s="1"/>
  <c r="X1713" i="1"/>
  <c r="X1714" i="1"/>
  <c r="X1715" i="1"/>
  <c r="Y1715" i="1" s="1"/>
  <c r="X1716" i="1"/>
  <c r="X1717" i="1"/>
  <c r="Y1717" i="1" s="1"/>
  <c r="X1718" i="1"/>
  <c r="Y1718" i="1" s="1"/>
  <c r="X1719" i="1"/>
  <c r="Y1719" i="1" s="1"/>
  <c r="X1720" i="1"/>
  <c r="Y1720" i="1" s="1"/>
  <c r="X1721" i="1"/>
  <c r="X1722" i="1"/>
  <c r="X1723" i="1"/>
  <c r="Y1723" i="1" s="1"/>
  <c r="X1724" i="1"/>
  <c r="X1725" i="1"/>
  <c r="Y1725" i="1" s="1"/>
  <c r="X1726" i="1"/>
  <c r="Y1726" i="1" s="1"/>
  <c r="X1727" i="1"/>
  <c r="Y1727" i="1" s="1"/>
  <c r="X1728" i="1"/>
  <c r="Y1728" i="1" s="1"/>
  <c r="X1729" i="1"/>
  <c r="X1730" i="1"/>
  <c r="X1731" i="1"/>
  <c r="Y1731" i="1" s="1"/>
  <c r="X1732" i="1"/>
  <c r="X1733" i="1"/>
  <c r="Y1733" i="1" s="1"/>
  <c r="X1734" i="1"/>
  <c r="Y1734" i="1" s="1"/>
  <c r="X1735" i="1"/>
  <c r="Y1735" i="1" s="1"/>
  <c r="X1736" i="1"/>
  <c r="Y1736" i="1" s="1"/>
  <c r="X1737" i="1"/>
  <c r="X1738" i="1"/>
  <c r="X1739" i="1"/>
  <c r="Y1739" i="1" s="1"/>
  <c r="X1740" i="1"/>
  <c r="X1741" i="1"/>
  <c r="Y1741" i="1" s="1"/>
  <c r="X1742" i="1"/>
  <c r="Y1742" i="1" s="1"/>
  <c r="X1743" i="1"/>
  <c r="Y1743" i="1" s="1"/>
  <c r="X1744" i="1"/>
  <c r="Y1744" i="1" s="1"/>
  <c r="X1745" i="1"/>
  <c r="X1746" i="1"/>
  <c r="X1747" i="1"/>
  <c r="Y1747" i="1" s="1"/>
  <c r="X1748" i="1"/>
  <c r="X1749" i="1"/>
  <c r="Y1749" i="1" s="1"/>
  <c r="X1750" i="1"/>
  <c r="Y1750" i="1" s="1"/>
  <c r="X1751" i="1"/>
  <c r="Y1751" i="1" s="1"/>
  <c r="X1752" i="1"/>
  <c r="Y1752" i="1" s="1"/>
  <c r="X1753" i="1"/>
  <c r="X1754" i="1"/>
  <c r="X1755" i="1"/>
  <c r="Y1755" i="1" s="1"/>
  <c r="X1756" i="1"/>
  <c r="X1757" i="1"/>
  <c r="Y1757" i="1" s="1"/>
  <c r="X1758" i="1"/>
  <c r="Y1758" i="1" s="1"/>
  <c r="X1759" i="1"/>
  <c r="Y1759" i="1" s="1"/>
  <c r="X1760" i="1"/>
  <c r="Y1760" i="1" s="1"/>
  <c r="X1761" i="1"/>
  <c r="X1762" i="1"/>
  <c r="X1763" i="1"/>
  <c r="Y1763" i="1" s="1"/>
  <c r="X1764" i="1"/>
  <c r="X1765" i="1"/>
  <c r="Y1765" i="1" s="1"/>
  <c r="X1766" i="1"/>
  <c r="Y1766" i="1" s="1"/>
  <c r="X1767" i="1"/>
  <c r="Y1767" i="1" s="1"/>
  <c r="X1768" i="1"/>
  <c r="Y1768" i="1" s="1"/>
  <c r="X1769" i="1"/>
  <c r="X1770" i="1"/>
  <c r="X1771" i="1"/>
  <c r="Y1771" i="1" s="1"/>
  <c r="X1772" i="1"/>
  <c r="X1773" i="1"/>
  <c r="Y1773" i="1" s="1"/>
  <c r="X1774" i="1"/>
  <c r="Y1774" i="1" s="1"/>
  <c r="X1775" i="1"/>
  <c r="Y1775" i="1" s="1"/>
  <c r="X1776" i="1"/>
  <c r="Y1776" i="1" s="1"/>
  <c r="X1777" i="1"/>
  <c r="X1778" i="1"/>
  <c r="X1779" i="1"/>
  <c r="Y1779" i="1" s="1"/>
  <c r="X1780" i="1"/>
  <c r="X1781" i="1"/>
  <c r="Y1781" i="1" s="1"/>
  <c r="X1782" i="1"/>
  <c r="Y1782" i="1" s="1"/>
  <c r="X1783" i="1"/>
  <c r="Y1783" i="1" s="1"/>
  <c r="X1784" i="1"/>
  <c r="Y1784" i="1" s="1"/>
  <c r="X1785" i="1"/>
  <c r="X1786" i="1"/>
  <c r="X1787" i="1"/>
  <c r="Y1787" i="1" s="1"/>
  <c r="X1788" i="1"/>
  <c r="X1789" i="1"/>
  <c r="Y1789" i="1" s="1"/>
  <c r="X1790" i="1"/>
  <c r="Y1790" i="1" s="1"/>
  <c r="X1791" i="1"/>
  <c r="Y1791" i="1" s="1"/>
  <c r="X1792" i="1"/>
  <c r="Y1792" i="1" s="1"/>
  <c r="X1793" i="1"/>
  <c r="X1794" i="1"/>
  <c r="X1795" i="1"/>
  <c r="Y1795" i="1" s="1"/>
  <c r="X1796" i="1"/>
  <c r="X1797" i="1"/>
  <c r="Y1797" i="1" s="1"/>
  <c r="X1798" i="1"/>
  <c r="Y1798" i="1" s="1"/>
  <c r="X1799" i="1"/>
  <c r="Y1799" i="1" s="1"/>
  <c r="X1800" i="1"/>
  <c r="Y1800" i="1" s="1"/>
  <c r="X1801" i="1"/>
  <c r="X1802" i="1"/>
  <c r="X1803" i="1"/>
  <c r="Y1803" i="1" s="1"/>
  <c r="X1804" i="1"/>
  <c r="X1805" i="1"/>
  <c r="Y1805" i="1" s="1"/>
  <c r="X1806" i="1"/>
  <c r="Y1806" i="1" s="1"/>
  <c r="X1807" i="1"/>
  <c r="Y1807" i="1" s="1"/>
  <c r="X1808" i="1"/>
  <c r="Y1808" i="1" s="1"/>
  <c r="X1809" i="1"/>
  <c r="X1810" i="1"/>
  <c r="X1811" i="1"/>
  <c r="Y1811" i="1" s="1"/>
  <c r="X1812" i="1"/>
  <c r="X1813" i="1"/>
  <c r="Y1813" i="1" s="1"/>
  <c r="X1814" i="1"/>
  <c r="Y1814" i="1" s="1"/>
  <c r="X1815" i="1"/>
  <c r="Y1815" i="1" s="1"/>
  <c r="X1816" i="1"/>
  <c r="Y1816" i="1" s="1"/>
  <c r="X1817" i="1"/>
  <c r="X1818" i="1"/>
  <c r="X1819" i="1"/>
  <c r="Y1819" i="1" s="1"/>
  <c r="X1820" i="1"/>
  <c r="X1821" i="1"/>
  <c r="Y1821" i="1" s="1"/>
  <c r="X1822" i="1"/>
  <c r="Y1822" i="1" s="1"/>
  <c r="J3" i="2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M649" i="21" s="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M895" i="21" s="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M927" i="21" s="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M6" i="21"/>
  <c r="M8" i="21"/>
  <c r="M48" i="21"/>
  <c r="M68" i="21"/>
  <c r="M124" i="21"/>
  <c r="M164" i="21"/>
  <c r="M180" i="21"/>
  <c r="M200" i="21"/>
  <c r="M216" i="21"/>
  <c r="M227" i="21"/>
  <c r="M232" i="21"/>
  <c r="M251" i="21"/>
  <c r="M261" i="21"/>
  <c r="M262" i="21"/>
  <c r="M264" i="21"/>
  <c r="M280" i="21"/>
  <c r="M291" i="21"/>
  <c r="M292" i="21"/>
  <c r="M309" i="21"/>
  <c r="M328" i="21"/>
  <c r="M347" i="21"/>
  <c r="M379" i="21"/>
  <c r="M389" i="21"/>
  <c r="M396" i="21"/>
  <c r="M444" i="21"/>
  <c r="M460" i="21"/>
  <c r="M507" i="21"/>
  <c r="M508" i="21"/>
  <c r="M524" i="21"/>
  <c r="M555" i="21"/>
  <c r="M556" i="21"/>
  <c r="M557" i="21"/>
  <c r="M572" i="21"/>
  <c r="M603" i="21"/>
  <c r="M620" i="21"/>
  <c r="M636" i="21"/>
  <c r="M637" i="21"/>
  <c r="M646" i="21"/>
  <c r="M648" i="21"/>
  <c r="M677" i="21"/>
  <c r="M700" i="21"/>
  <c r="M715" i="21"/>
  <c r="M716" i="21"/>
  <c r="M724" i="21"/>
  <c r="M752" i="21"/>
  <c r="M753" i="21"/>
  <c r="M763" i="21"/>
  <c r="M772" i="21"/>
  <c r="M788" i="21"/>
  <c r="M789" i="21"/>
  <c r="M798" i="21"/>
  <c r="M800" i="21"/>
  <c r="M853" i="21"/>
  <c r="M864" i="21"/>
  <c r="M885" i="21"/>
  <c r="M893" i="21"/>
  <c r="M925" i="21"/>
  <c r="M955" i="21"/>
  <c r="M956" i="21"/>
  <c r="M957" i="21"/>
  <c r="M964" i="21"/>
  <c r="L3" i="21"/>
  <c r="M3" i="21" s="1"/>
  <c r="L4" i="21"/>
  <c r="M4" i="21" s="1"/>
  <c r="L5" i="21"/>
  <c r="M5" i="21" s="1"/>
  <c r="L6" i="21"/>
  <c r="L7" i="21"/>
  <c r="M7" i="21" s="1"/>
  <c r="L8" i="21"/>
  <c r="L9" i="21"/>
  <c r="L10" i="21"/>
  <c r="L11" i="21"/>
  <c r="M11" i="21" s="1"/>
  <c r="L12" i="21"/>
  <c r="M12" i="21" s="1"/>
  <c r="L13" i="21"/>
  <c r="M13" i="21" s="1"/>
  <c r="L14" i="21"/>
  <c r="M14" i="21" s="1"/>
  <c r="L15" i="21"/>
  <c r="M15" i="21" s="1"/>
  <c r="L16" i="21"/>
  <c r="M16" i="21" s="1"/>
  <c r="L17" i="21"/>
  <c r="L18" i="21"/>
  <c r="L19" i="21"/>
  <c r="M19" i="21" s="1"/>
  <c r="L20" i="21"/>
  <c r="M20" i="21" s="1"/>
  <c r="L21" i="21"/>
  <c r="M21" i="21" s="1"/>
  <c r="L22" i="21"/>
  <c r="M22" i="21" s="1"/>
  <c r="L23" i="21"/>
  <c r="M23" i="21" s="1"/>
  <c r="L24" i="21"/>
  <c r="M24" i="21" s="1"/>
  <c r="L25" i="21"/>
  <c r="L26" i="21"/>
  <c r="L27" i="21"/>
  <c r="M27" i="21" s="1"/>
  <c r="L28" i="21"/>
  <c r="M28" i="21" s="1"/>
  <c r="L29" i="21"/>
  <c r="M29" i="21" s="1"/>
  <c r="L30" i="21"/>
  <c r="M30" i="21" s="1"/>
  <c r="L31" i="21"/>
  <c r="M31" i="21" s="1"/>
  <c r="L32" i="21"/>
  <c r="M32" i="21" s="1"/>
  <c r="L33" i="21"/>
  <c r="L34" i="21"/>
  <c r="L35" i="21"/>
  <c r="M35" i="21" s="1"/>
  <c r="L36" i="21"/>
  <c r="M36" i="21" s="1"/>
  <c r="L37" i="21"/>
  <c r="M37" i="21" s="1"/>
  <c r="L38" i="21"/>
  <c r="M38" i="21" s="1"/>
  <c r="L39" i="21"/>
  <c r="M39" i="21" s="1"/>
  <c r="L40" i="21"/>
  <c r="M40" i="21" s="1"/>
  <c r="L41" i="21"/>
  <c r="L42" i="21"/>
  <c r="L43" i="21"/>
  <c r="M43" i="21" s="1"/>
  <c r="L44" i="21"/>
  <c r="M44" i="21" s="1"/>
  <c r="L45" i="21"/>
  <c r="M45" i="21" s="1"/>
  <c r="L46" i="21"/>
  <c r="M46" i="21" s="1"/>
  <c r="L47" i="21"/>
  <c r="M47" i="21" s="1"/>
  <c r="L48" i="21"/>
  <c r="L49" i="21"/>
  <c r="L50" i="21"/>
  <c r="L51" i="21"/>
  <c r="M51" i="21" s="1"/>
  <c r="L52" i="21"/>
  <c r="M52" i="21" s="1"/>
  <c r="L53" i="21"/>
  <c r="M53" i="21" s="1"/>
  <c r="L54" i="21"/>
  <c r="M54" i="21" s="1"/>
  <c r="L55" i="21"/>
  <c r="M55" i="21" s="1"/>
  <c r="L56" i="21"/>
  <c r="M56" i="21" s="1"/>
  <c r="L57" i="21"/>
  <c r="L58" i="21"/>
  <c r="L59" i="21"/>
  <c r="M59" i="21" s="1"/>
  <c r="L60" i="21"/>
  <c r="M60" i="21" s="1"/>
  <c r="L61" i="21"/>
  <c r="M61" i="21" s="1"/>
  <c r="L62" i="21"/>
  <c r="M62" i="21" s="1"/>
  <c r="L63" i="21"/>
  <c r="M63" i="21" s="1"/>
  <c r="L64" i="21"/>
  <c r="M64" i="21" s="1"/>
  <c r="L65" i="21"/>
  <c r="M65" i="21" s="1"/>
  <c r="L66" i="21"/>
  <c r="L67" i="21"/>
  <c r="M67" i="21" s="1"/>
  <c r="L68" i="21"/>
  <c r="L69" i="21"/>
  <c r="M69" i="21" s="1"/>
  <c r="L70" i="21"/>
  <c r="M70" i="21" s="1"/>
  <c r="L71" i="21"/>
  <c r="M71" i="21" s="1"/>
  <c r="L72" i="21"/>
  <c r="M72" i="21" s="1"/>
  <c r="L73" i="21"/>
  <c r="L74" i="21"/>
  <c r="L75" i="21"/>
  <c r="M75" i="21" s="1"/>
  <c r="L76" i="21"/>
  <c r="M76" i="21" s="1"/>
  <c r="L77" i="21"/>
  <c r="M77" i="21" s="1"/>
  <c r="L78" i="21"/>
  <c r="M78" i="21" s="1"/>
  <c r="L79" i="21"/>
  <c r="M79" i="21" s="1"/>
  <c r="L80" i="21"/>
  <c r="M80" i="21" s="1"/>
  <c r="L81" i="21"/>
  <c r="L82" i="21"/>
  <c r="L83" i="21"/>
  <c r="M83" i="21" s="1"/>
  <c r="L84" i="21"/>
  <c r="M84" i="21" s="1"/>
  <c r="L85" i="21"/>
  <c r="M85" i="21" s="1"/>
  <c r="L86" i="21"/>
  <c r="M86" i="21" s="1"/>
  <c r="L87" i="21"/>
  <c r="M87" i="21" s="1"/>
  <c r="L88" i="21"/>
  <c r="M88" i="21" s="1"/>
  <c r="L89" i="21"/>
  <c r="L90" i="21"/>
  <c r="L91" i="21"/>
  <c r="M91" i="21" s="1"/>
  <c r="L92" i="21"/>
  <c r="M92" i="21" s="1"/>
  <c r="L93" i="21"/>
  <c r="M93" i="21" s="1"/>
  <c r="L94" i="21"/>
  <c r="M94" i="21" s="1"/>
  <c r="L95" i="21"/>
  <c r="M95" i="21" s="1"/>
  <c r="L96" i="21"/>
  <c r="M96" i="21" s="1"/>
  <c r="L97" i="21"/>
  <c r="L98" i="21"/>
  <c r="L99" i="21"/>
  <c r="M99" i="21" s="1"/>
  <c r="L100" i="21"/>
  <c r="M100" i="21" s="1"/>
  <c r="L101" i="21"/>
  <c r="M101" i="21" s="1"/>
  <c r="L102" i="21"/>
  <c r="M102" i="21" s="1"/>
  <c r="L103" i="21"/>
  <c r="M103" i="21" s="1"/>
  <c r="L104" i="21"/>
  <c r="M104" i="21" s="1"/>
  <c r="L105" i="21"/>
  <c r="L106" i="21"/>
  <c r="L107" i="21"/>
  <c r="M107" i="21" s="1"/>
  <c r="L108" i="21"/>
  <c r="M108" i="21" s="1"/>
  <c r="L109" i="21"/>
  <c r="M109" i="21" s="1"/>
  <c r="L110" i="21"/>
  <c r="M110" i="21" s="1"/>
  <c r="L111" i="21"/>
  <c r="M111" i="21" s="1"/>
  <c r="L112" i="21"/>
  <c r="M112" i="21" s="1"/>
  <c r="L113" i="21"/>
  <c r="L114" i="21"/>
  <c r="L115" i="21"/>
  <c r="M115" i="21" s="1"/>
  <c r="L116" i="21"/>
  <c r="M116" i="21" s="1"/>
  <c r="L117" i="21"/>
  <c r="M117" i="21" s="1"/>
  <c r="L118" i="21"/>
  <c r="M118" i="21" s="1"/>
  <c r="L119" i="21"/>
  <c r="M119" i="21" s="1"/>
  <c r="L120" i="21"/>
  <c r="M120" i="21" s="1"/>
  <c r="L121" i="21"/>
  <c r="M121" i="21" s="1"/>
  <c r="L122" i="21"/>
  <c r="L123" i="21"/>
  <c r="M123" i="21" s="1"/>
  <c r="L124" i="21"/>
  <c r="L125" i="21"/>
  <c r="M125" i="21" s="1"/>
  <c r="L126" i="21"/>
  <c r="M126" i="21" s="1"/>
  <c r="L127" i="21"/>
  <c r="M127" i="21" s="1"/>
  <c r="L128" i="21"/>
  <c r="M128" i="21" s="1"/>
  <c r="L129" i="21"/>
  <c r="L130" i="21"/>
  <c r="L131" i="21"/>
  <c r="M131" i="21" s="1"/>
  <c r="L132" i="21"/>
  <c r="M132" i="21" s="1"/>
  <c r="L133" i="21"/>
  <c r="M133" i="21" s="1"/>
  <c r="L134" i="21"/>
  <c r="M134" i="21" s="1"/>
  <c r="L135" i="21"/>
  <c r="M135" i="21" s="1"/>
  <c r="L136" i="21"/>
  <c r="M136" i="21" s="1"/>
  <c r="L137" i="21"/>
  <c r="L138" i="21"/>
  <c r="L139" i="21"/>
  <c r="M139" i="21" s="1"/>
  <c r="L140" i="21"/>
  <c r="M140" i="21" s="1"/>
  <c r="L141" i="21"/>
  <c r="M141" i="21" s="1"/>
  <c r="L142" i="21"/>
  <c r="M142" i="21" s="1"/>
  <c r="L143" i="21"/>
  <c r="M143" i="21" s="1"/>
  <c r="L144" i="21"/>
  <c r="M144" i="21" s="1"/>
  <c r="L145" i="21"/>
  <c r="L146" i="21"/>
  <c r="L147" i="21"/>
  <c r="M147" i="21" s="1"/>
  <c r="L148" i="21"/>
  <c r="M148" i="21" s="1"/>
  <c r="L149" i="21"/>
  <c r="M149" i="21" s="1"/>
  <c r="L150" i="21"/>
  <c r="M150" i="21" s="1"/>
  <c r="L151" i="21"/>
  <c r="M151" i="21" s="1"/>
  <c r="L152" i="21"/>
  <c r="M152" i="21" s="1"/>
  <c r="L153" i="21"/>
  <c r="L154" i="21"/>
  <c r="L155" i="21"/>
  <c r="M155" i="21" s="1"/>
  <c r="L156" i="21"/>
  <c r="M156" i="21" s="1"/>
  <c r="L157" i="21"/>
  <c r="M157" i="21" s="1"/>
  <c r="L158" i="21"/>
  <c r="M158" i="21" s="1"/>
  <c r="L159" i="21"/>
  <c r="M159" i="21" s="1"/>
  <c r="L160" i="21"/>
  <c r="M160" i="21" s="1"/>
  <c r="L161" i="21"/>
  <c r="M161" i="21" s="1"/>
  <c r="L162" i="21"/>
  <c r="L163" i="21"/>
  <c r="M163" i="21" s="1"/>
  <c r="L164" i="21"/>
  <c r="L165" i="21"/>
  <c r="M165" i="21" s="1"/>
  <c r="L166" i="21"/>
  <c r="M166" i="21" s="1"/>
  <c r="L167" i="21"/>
  <c r="M167" i="21" s="1"/>
  <c r="L168" i="21"/>
  <c r="M168" i="21" s="1"/>
  <c r="L169" i="21"/>
  <c r="L170" i="21"/>
  <c r="L171" i="21"/>
  <c r="M171" i="21" s="1"/>
  <c r="L172" i="21"/>
  <c r="M172" i="21" s="1"/>
  <c r="L173" i="21"/>
  <c r="M173" i="21" s="1"/>
  <c r="L174" i="21"/>
  <c r="M174" i="21" s="1"/>
  <c r="L175" i="21"/>
  <c r="M175" i="21" s="1"/>
  <c r="L176" i="21"/>
  <c r="M176" i="21" s="1"/>
  <c r="L177" i="21"/>
  <c r="M177" i="21" s="1"/>
  <c r="L178" i="21"/>
  <c r="L179" i="21"/>
  <c r="M179" i="21" s="1"/>
  <c r="L180" i="21"/>
  <c r="L181" i="21"/>
  <c r="M181" i="21" s="1"/>
  <c r="L182" i="21"/>
  <c r="M182" i="21" s="1"/>
  <c r="L183" i="21"/>
  <c r="M183" i="21" s="1"/>
  <c r="L184" i="21"/>
  <c r="M184" i="21" s="1"/>
  <c r="L185" i="21"/>
  <c r="L186" i="21"/>
  <c r="L187" i="21"/>
  <c r="M187" i="21" s="1"/>
  <c r="L188" i="21"/>
  <c r="M188" i="21" s="1"/>
  <c r="L189" i="21"/>
  <c r="M189" i="21" s="1"/>
  <c r="L190" i="21"/>
  <c r="M190" i="21" s="1"/>
  <c r="L191" i="21"/>
  <c r="M191" i="21" s="1"/>
  <c r="L192" i="21"/>
  <c r="M192" i="21" s="1"/>
  <c r="L193" i="21"/>
  <c r="L194" i="21"/>
  <c r="L195" i="21"/>
  <c r="M195" i="21" s="1"/>
  <c r="L196" i="21"/>
  <c r="M196" i="21" s="1"/>
  <c r="L197" i="21"/>
  <c r="M197" i="21" s="1"/>
  <c r="L198" i="21"/>
  <c r="M198" i="21" s="1"/>
  <c r="L199" i="21"/>
  <c r="M199" i="21" s="1"/>
  <c r="L200" i="21"/>
  <c r="L201" i="21"/>
  <c r="L202" i="21"/>
  <c r="L203" i="21"/>
  <c r="M203" i="21" s="1"/>
  <c r="L204" i="21"/>
  <c r="M204" i="21" s="1"/>
  <c r="L205" i="21"/>
  <c r="M205" i="21" s="1"/>
  <c r="L206" i="21"/>
  <c r="M206" i="21" s="1"/>
  <c r="L207" i="21"/>
  <c r="M207" i="21" s="1"/>
  <c r="L208" i="21"/>
  <c r="M208" i="21" s="1"/>
  <c r="L209" i="21"/>
  <c r="L210" i="21"/>
  <c r="L211" i="21"/>
  <c r="M211" i="21" s="1"/>
  <c r="L212" i="21"/>
  <c r="M212" i="21" s="1"/>
  <c r="L213" i="21"/>
  <c r="M213" i="21" s="1"/>
  <c r="L214" i="21"/>
  <c r="M214" i="21" s="1"/>
  <c r="L215" i="21"/>
  <c r="M215" i="21" s="1"/>
  <c r="L216" i="21"/>
  <c r="L217" i="21"/>
  <c r="L218" i="21"/>
  <c r="L219" i="21"/>
  <c r="M219" i="21" s="1"/>
  <c r="L220" i="21"/>
  <c r="M220" i="21" s="1"/>
  <c r="L221" i="21"/>
  <c r="M221" i="21" s="1"/>
  <c r="L222" i="21"/>
  <c r="M222" i="21" s="1"/>
  <c r="L223" i="21"/>
  <c r="M223" i="21" s="1"/>
  <c r="L224" i="21"/>
  <c r="M224" i="21" s="1"/>
  <c r="L225" i="21"/>
  <c r="L226" i="21"/>
  <c r="L227" i="21"/>
  <c r="L228" i="21"/>
  <c r="M228" i="21" s="1"/>
  <c r="L229" i="21"/>
  <c r="M229" i="21" s="1"/>
  <c r="L230" i="21"/>
  <c r="M230" i="21" s="1"/>
  <c r="L231" i="21"/>
  <c r="M231" i="21" s="1"/>
  <c r="L232" i="21"/>
  <c r="L233" i="21"/>
  <c r="L234" i="21"/>
  <c r="L235" i="21"/>
  <c r="M235" i="21" s="1"/>
  <c r="L236" i="21"/>
  <c r="M236" i="21" s="1"/>
  <c r="L237" i="21"/>
  <c r="M237" i="21" s="1"/>
  <c r="L238" i="21"/>
  <c r="M238" i="21" s="1"/>
  <c r="L239" i="21"/>
  <c r="M239" i="21" s="1"/>
  <c r="L240" i="21"/>
  <c r="M240" i="21" s="1"/>
  <c r="L241" i="21"/>
  <c r="L242" i="21"/>
  <c r="L243" i="21"/>
  <c r="M243" i="21" s="1"/>
  <c r="L244" i="21"/>
  <c r="M244" i="21" s="1"/>
  <c r="L245" i="21"/>
  <c r="M245" i="21" s="1"/>
  <c r="L246" i="21"/>
  <c r="M246" i="21" s="1"/>
  <c r="L247" i="21"/>
  <c r="M247" i="21" s="1"/>
  <c r="L248" i="21"/>
  <c r="M248" i="21" s="1"/>
  <c r="L249" i="21"/>
  <c r="M249" i="21" s="1"/>
  <c r="L250" i="21"/>
  <c r="L251" i="21"/>
  <c r="L252" i="21"/>
  <c r="M252" i="21" s="1"/>
  <c r="L253" i="21"/>
  <c r="M253" i="21" s="1"/>
  <c r="L254" i="21"/>
  <c r="M254" i="21" s="1"/>
  <c r="L255" i="21"/>
  <c r="M255" i="21" s="1"/>
  <c r="L256" i="21"/>
  <c r="L257" i="21"/>
  <c r="L258" i="21"/>
  <c r="L259" i="21"/>
  <c r="M259" i="21" s="1"/>
  <c r="L260" i="21"/>
  <c r="M260" i="21" s="1"/>
  <c r="L261" i="21"/>
  <c r="L262" i="21"/>
  <c r="L263" i="21"/>
  <c r="M263" i="21" s="1"/>
  <c r="L264" i="21"/>
  <c r="L265" i="21"/>
  <c r="L266" i="21"/>
  <c r="L267" i="21"/>
  <c r="M267" i="21" s="1"/>
  <c r="L268" i="21"/>
  <c r="M268" i="21" s="1"/>
  <c r="L269" i="21"/>
  <c r="M269" i="21" s="1"/>
  <c r="L270" i="21"/>
  <c r="M270" i="21" s="1"/>
  <c r="L271" i="21"/>
  <c r="M271" i="21" s="1"/>
  <c r="L272" i="21"/>
  <c r="M272" i="21" s="1"/>
  <c r="L273" i="21"/>
  <c r="L274" i="21"/>
  <c r="L275" i="21"/>
  <c r="M275" i="21" s="1"/>
  <c r="L276" i="21"/>
  <c r="M276" i="21" s="1"/>
  <c r="L277" i="21"/>
  <c r="M277" i="21" s="1"/>
  <c r="L278" i="21"/>
  <c r="M278" i="21" s="1"/>
  <c r="L279" i="21"/>
  <c r="M279" i="21" s="1"/>
  <c r="L280" i="21"/>
  <c r="L281" i="21"/>
  <c r="L282" i="21"/>
  <c r="L283" i="21"/>
  <c r="M283" i="21" s="1"/>
  <c r="L284" i="21"/>
  <c r="M284" i="21" s="1"/>
  <c r="L285" i="21"/>
  <c r="M285" i="21" s="1"/>
  <c r="L286" i="21"/>
  <c r="M286" i="21" s="1"/>
  <c r="L287" i="21"/>
  <c r="M287" i="21" s="1"/>
  <c r="L288" i="21"/>
  <c r="M288" i="21" s="1"/>
  <c r="L289" i="21"/>
  <c r="L290" i="21"/>
  <c r="L291" i="21"/>
  <c r="L292" i="21"/>
  <c r="L293" i="21"/>
  <c r="M293" i="21" s="1"/>
  <c r="L294" i="21"/>
  <c r="M294" i="21" s="1"/>
  <c r="L295" i="21"/>
  <c r="M295" i="21" s="1"/>
  <c r="L296" i="21"/>
  <c r="M296" i="21" s="1"/>
  <c r="L297" i="21"/>
  <c r="M297" i="21" s="1"/>
  <c r="L298" i="21"/>
  <c r="L299" i="21"/>
  <c r="M299" i="21" s="1"/>
  <c r="L300" i="21"/>
  <c r="M300" i="21" s="1"/>
  <c r="L301" i="21"/>
  <c r="M301" i="21" s="1"/>
  <c r="L302" i="21"/>
  <c r="M302" i="21" s="1"/>
  <c r="L303" i="21"/>
  <c r="M303" i="21" s="1"/>
  <c r="L304" i="21"/>
  <c r="M304" i="21" s="1"/>
  <c r="L305" i="21"/>
  <c r="L306" i="21"/>
  <c r="L307" i="21"/>
  <c r="M307" i="21" s="1"/>
  <c r="L308" i="21"/>
  <c r="M308" i="21" s="1"/>
  <c r="L309" i="21"/>
  <c r="L310" i="21"/>
  <c r="M310" i="21" s="1"/>
  <c r="L311" i="21"/>
  <c r="M311" i="21" s="1"/>
  <c r="L312" i="21"/>
  <c r="M312" i="21" s="1"/>
  <c r="L313" i="21"/>
  <c r="M313" i="21" s="1"/>
  <c r="L314" i="21"/>
  <c r="L315" i="21"/>
  <c r="M315" i="21" s="1"/>
  <c r="L316" i="21"/>
  <c r="M316" i="21" s="1"/>
  <c r="L317" i="21"/>
  <c r="M317" i="21" s="1"/>
  <c r="L318" i="21"/>
  <c r="M318" i="21" s="1"/>
  <c r="L319" i="21"/>
  <c r="M319" i="21" s="1"/>
  <c r="L320" i="21"/>
  <c r="L321" i="21"/>
  <c r="L322" i="21"/>
  <c r="L323" i="21"/>
  <c r="M323" i="21" s="1"/>
  <c r="L324" i="21"/>
  <c r="M324" i="21" s="1"/>
  <c r="L325" i="21"/>
  <c r="M325" i="21" s="1"/>
  <c r="L326" i="21"/>
  <c r="M326" i="21" s="1"/>
  <c r="L327" i="21"/>
  <c r="M327" i="21" s="1"/>
  <c r="L328" i="21"/>
  <c r="L329" i="21"/>
  <c r="L330" i="21"/>
  <c r="L331" i="21"/>
  <c r="M331" i="21" s="1"/>
  <c r="L332" i="21"/>
  <c r="M332" i="21" s="1"/>
  <c r="L333" i="21"/>
  <c r="M333" i="21" s="1"/>
  <c r="L334" i="21"/>
  <c r="M334" i="21" s="1"/>
  <c r="L335" i="21"/>
  <c r="M335" i="21" s="1"/>
  <c r="L336" i="21"/>
  <c r="M336" i="21" s="1"/>
  <c r="L337" i="21"/>
  <c r="L338" i="21"/>
  <c r="L339" i="21"/>
  <c r="M339" i="21" s="1"/>
  <c r="L340" i="21"/>
  <c r="M340" i="21" s="1"/>
  <c r="L341" i="21"/>
  <c r="M341" i="21" s="1"/>
  <c r="L342" i="21"/>
  <c r="M342" i="21" s="1"/>
  <c r="L343" i="21"/>
  <c r="M343" i="21" s="1"/>
  <c r="L344" i="21"/>
  <c r="M344" i="21" s="1"/>
  <c r="L345" i="21"/>
  <c r="M345" i="21" s="1"/>
  <c r="L346" i="21"/>
  <c r="L347" i="21"/>
  <c r="L348" i="21"/>
  <c r="M348" i="21" s="1"/>
  <c r="L349" i="21"/>
  <c r="M349" i="21" s="1"/>
  <c r="L350" i="21"/>
  <c r="M350" i="21" s="1"/>
  <c r="L351" i="21"/>
  <c r="M351" i="21" s="1"/>
  <c r="L352" i="21"/>
  <c r="M352" i="21" s="1"/>
  <c r="L353" i="21"/>
  <c r="L354" i="21"/>
  <c r="L355" i="21"/>
  <c r="M355" i="21" s="1"/>
  <c r="L356" i="21"/>
  <c r="M356" i="21" s="1"/>
  <c r="L357" i="21"/>
  <c r="M357" i="21" s="1"/>
  <c r="L358" i="21"/>
  <c r="M358" i="21" s="1"/>
  <c r="L359" i="21"/>
  <c r="M359" i="21" s="1"/>
  <c r="L360" i="21"/>
  <c r="M360" i="21" s="1"/>
  <c r="L361" i="21"/>
  <c r="M361" i="21" s="1"/>
  <c r="L362" i="21"/>
  <c r="L363" i="21"/>
  <c r="M363" i="21" s="1"/>
  <c r="L364" i="21"/>
  <c r="M364" i="21" s="1"/>
  <c r="L365" i="21"/>
  <c r="M365" i="21" s="1"/>
  <c r="L366" i="21"/>
  <c r="M366" i="21" s="1"/>
  <c r="L367" i="21"/>
  <c r="M367" i="21" s="1"/>
  <c r="L368" i="21"/>
  <c r="M368" i="21" s="1"/>
  <c r="L369" i="21"/>
  <c r="L370" i="21"/>
  <c r="L371" i="21"/>
  <c r="M371" i="21" s="1"/>
  <c r="L372" i="21"/>
  <c r="M372" i="21" s="1"/>
  <c r="L373" i="21"/>
  <c r="M373" i="21" s="1"/>
  <c r="L374" i="21"/>
  <c r="M374" i="21" s="1"/>
  <c r="L375" i="21"/>
  <c r="L376" i="21"/>
  <c r="L377" i="21"/>
  <c r="M377" i="21" s="1"/>
  <c r="L378" i="21"/>
  <c r="L379" i="21"/>
  <c r="L380" i="21"/>
  <c r="M380" i="21" s="1"/>
  <c r="L381" i="21"/>
  <c r="M381" i="21" s="1"/>
  <c r="L382" i="21"/>
  <c r="M382" i="21" s="1"/>
  <c r="L383" i="21"/>
  <c r="M383" i="21" s="1"/>
  <c r="L384" i="21"/>
  <c r="L385" i="21"/>
  <c r="L386" i="21"/>
  <c r="L387" i="21"/>
  <c r="M387" i="21" s="1"/>
  <c r="L388" i="21"/>
  <c r="M388" i="21" s="1"/>
  <c r="L389" i="21"/>
  <c r="L390" i="21"/>
  <c r="M390" i="21" s="1"/>
  <c r="L391" i="21"/>
  <c r="M391" i="21" s="1"/>
  <c r="L392" i="21"/>
  <c r="M392" i="21" s="1"/>
  <c r="L393" i="21"/>
  <c r="L394" i="21"/>
  <c r="L395" i="21"/>
  <c r="M395" i="21" s="1"/>
  <c r="L396" i="21"/>
  <c r="L397" i="21"/>
  <c r="M397" i="21" s="1"/>
  <c r="L398" i="21"/>
  <c r="M398" i="21" s="1"/>
  <c r="L399" i="21"/>
  <c r="M399" i="21" s="1"/>
  <c r="L400" i="21"/>
  <c r="M400" i="21" s="1"/>
  <c r="L401" i="21"/>
  <c r="L402" i="21"/>
  <c r="L403" i="21"/>
  <c r="M403" i="21" s="1"/>
  <c r="L404" i="21"/>
  <c r="M404" i="21" s="1"/>
  <c r="L405" i="21"/>
  <c r="M405" i="21" s="1"/>
  <c r="L406" i="21"/>
  <c r="M406" i="21" s="1"/>
  <c r="L407" i="21"/>
  <c r="M407" i="21" s="1"/>
  <c r="L408" i="21"/>
  <c r="M408" i="21" s="1"/>
  <c r="L409" i="21"/>
  <c r="M409" i="21" s="1"/>
  <c r="L410" i="21"/>
  <c r="L411" i="21"/>
  <c r="M411" i="21" s="1"/>
  <c r="L412" i="21"/>
  <c r="M412" i="21" s="1"/>
  <c r="L413" i="21"/>
  <c r="M413" i="21" s="1"/>
  <c r="L414" i="21"/>
  <c r="M414" i="21" s="1"/>
  <c r="L415" i="21"/>
  <c r="M415" i="21" s="1"/>
  <c r="L416" i="21"/>
  <c r="M416" i="21" s="1"/>
  <c r="L417" i="21"/>
  <c r="L418" i="21"/>
  <c r="L419" i="21"/>
  <c r="M419" i="21" s="1"/>
  <c r="L420" i="21"/>
  <c r="M420" i="21" s="1"/>
  <c r="L421" i="21"/>
  <c r="M421" i="21" s="1"/>
  <c r="L422" i="21"/>
  <c r="M422" i="21" s="1"/>
  <c r="L423" i="21"/>
  <c r="M423" i="21" s="1"/>
  <c r="L424" i="21"/>
  <c r="M424" i="21" s="1"/>
  <c r="L425" i="21"/>
  <c r="M425" i="21" s="1"/>
  <c r="L426" i="21"/>
  <c r="L427" i="21"/>
  <c r="M427" i="21" s="1"/>
  <c r="L428" i="21"/>
  <c r="M428" i="21" s="1"/>
  <c r="L429" i="21"/>
  <c r="M429" i="21" s="1"/>
  <c r="L430" i="21"/>
  <c r="M430" i="21" s="1"/>
  <c r="L431" i="21"/>
  <c r="M431" i="21" s="1"/>
  <c r="L432" i="21"/>
  <c r="M432" i="21" s="1"/>
  <c r="L433" i="21"/>
  <c r="L434" i="21"/>
  <c r="L435" i="21"/>
  <c r="M435" i="21" s="1"/>
  <c r="L436" i="21"/>
  <c r="M436" i="21" s="1"/>
  <c r="L437" i="21"/>
  <c r="M437" i="21" s="1"/>
  <c r="L438" i="21"/>
  <c r="M438" i="21" s="1"/>
  <c r="L439" i="21"/>
  <c r="L440" i="21"/>
  <c r="L441" i="21"/>
  <c r="L442" i="21"/>
  <c r="L443" i="21"/>
  <c r="M443" i="21" s="1"/>
  <c r="L444" i="21"/>
  <c r="L445" i="21"/>
  <c r="M445" i="21" s="1"/>
  <c r="L446" i="21"/>
  <c r="M446" i="21" s="1"/>
  <c r="L447" i="21"/>
  <c r="M447" i="21" s="1"/>
  <c r="L448" i="21"/>
  <c r="L449" i="21"/>
  <c r="L450" i="21"/>
  <c r="L451" i="21"/>
  <c r="M451" i="21" s="1"/>
  <c r="L452" i="21"/>
  <c r="M452" i="21" s="1"/>
  <c r="L453" i="21"/>
  <c r="M453" i="21" s="1"/>
  <c r="L454" i="21"/>
  <c r="M454" i="21" s="1"/>
  <c r="L455" i="21"/>
  <c r="M455" i="21" s="1"/>
  <c r="L456" i="21"/>
  <c r="M456" i="21" s="1"/>
  <c r="L457" i="21"/>
  <c r="L458" i="21"/>
  <c r="L459" i="21"/>
  <c r="M459" i="21" s="1"/>
  <c r="L460" i="21"/>
  <c r="L461" i="21"/>
  <c r="M461" i="21" s="1"/>
  <c r="L462" i="21"/>
  <c r="M462" i="21" s="1"/>
  <c r="L463" i="21"/>
  <c r="M463" i="21" s="1"/>
  <c r="L464" i="21"/>
  <c r="M464" i="21" s="1"/>
  <c r="L465" i="21"/>
  <c r="L466" i="21"/>
  <c r="L467" i="21"/>
  <c r="M467" i="21" s="1"/>
  <c r="L468" i="21"/>
  <c r="M468" i="21" s="1"/>
  <c r="L469" i="21"/>
  <c r="M469" i="21" s="1"/>
  <c r="L470" i="21"/>
  <c r="M470" i="21" s="1"/>
  <c r="L471" i="21"/>
  <c r="M471" i="21" s="1"/>
  <c r="L472" i="21"/>
  <c r="M472" i="21" s="1"/>
  <c r="L473" i="21"/>
  <c r="M473" i="21" s="1"/>
  <c r="L474" i="21"/>
  <c r="L475" i="21"/>
  <c r="M475" i="21" s="1"/>
  <c r="L476" i="21"/>
  <c r="M476" i="21" s="1"/>
  <c r="L477" i="21"/>
  <c r="M477" i="21" s="1"/>
  <c r="L478" i="21"/>
  <c r="M478" i="21" s="1"/>
  <c r="L479" i="21"/>
  <c r="M479" i="21" s="1"/>
  <c r="L480" i="21"/>
  <c r="M480" i="21" s="1"/>
  <c r="L481" i="21"/>
  <c r="L482" i="21"/>
  <c r="L483" i="21"/>
  <c r="M483" i="21" s="1"/>
  <c r="L484" i="21"/>
  <c r="M484" i="21" s="1"/>
  <c r="L485" i="21"/>
  <c r="M485" i="21" s="1"/>
  <c r="L486" i="21"/>
  <c r="M486" i="21" s="1"/>
  <c r="L487" i="21"/>
  <c r="M487" i="21" s="1"/>
  <c r="L488" i="21"/>
  <c r="M488" i="21" s="1"/>
  <c r="L489" i="21"/>
  <c r="L490" i="21"/>
  <c r="L491" i="21"/>
  <c r="M491" i="21" s="1"/>
  <c r="L492" i="21"/>
  <c r="M492" i="21" s="1"/>
  <c r="L493" i="21"/>
  <c r="M493" i="21" s="1"/>
  <c r="L494" i="21"/>
  <c r="M494" i="21" s="1"/>
  <c r="L495" i="21"/>
  <c r="M495" i="21" s="1"/>
  <c r="L496" i="21"/>
  <c r="M496" i="21" s="1"/>
  <c r="L497" i="21"/>
  <c r="L498" i="21"/>
  <c r="L499" i="21"/>
  <c r="M499" i="21" s="1"/>
  <c r="L500" i="21"/>
  <c r="M500" i="21" s="1"/>
  <c r="L501" i="21"/>
  <c r="M501" i="21" s="1"/>
  <c r="L502" i="21"/>
  <c r="M502" i="21" s="1"/>
  <c r="L503" i="21"/>
  <c r="L504" i="21"/>
  <c r="L505" i="21"/>
  <c r="L506" i="21"/>
  <c r="L507" i="21"/>
  <c r="L508" i="21"/>
  <c r="L509" i="21"/>
  <c r="M509" i="21" s="1"/>
  <c r="L510" i="21"/>
  <c r="M510" i="21" s="1"/>
  <c r="L511" i="21"/>
  <c r="M511" i="21" s="1"/>
  <c r="L512" i="21"/>
  <c r="L513" i="21"/>
  <c r="L514" i="21"/>
  <c r="L515" i="21"/>
  <c r="M515" i="21" s="1"/>
  <c r="L516" i="21"/>
  <c r="M516" i="21" s="1"/>
  <c r="L517" i="21"/>
  <c r="M517" i="21" s="1"/>
  <c r="L518" i="21"/>
  <c r="M518" i="21" s="1"/>
  <c r="L519" i="21"/>
  <c r="M519" i="21" s="1"/>
  <c r="L520" i="21"/>
  <c r="M520" i="21" s="1"/>
  <c r="L521" i="21"/>
  <c r="L522" i="21"/>
  <c r="L523" i="21"/>
  <c r="M523" i="21" s="1"/>
  <c r="L524" i="21"/>
  <c r="L525" i="21"/>
  <c r="M525" i="21" s="1"/>
  <c r="L526" i="21"/>
  <c r="M526" i="21" s="1"/>
  <c r="L527" i="21"/>
  <c r="M527" i="21" s="1"/>
  <c r="L528" i="21"/>
  <c r="M528" i="21" s="1"/>
  <c r="L529" i="21"/>
  <c r="L530" i="21"/>
  <c r="L531" i="21"/>
  <c r="M531" i="21" s="1"/>
  <c r="L532" i="21"/>
  <c r="M532" i="21" s="1"/>
  <c r="L533" i="21"/>
  <c r="M533" i="21" s="1"/>
  <c r="L534" i="21"/>
  <c r="M534" i="21" s="1"/>
  <c r="L535" i="21"/>
  <c r="M535" i="21" s="1"/>
  <c r="L536" i="21"/>
  <c r="M536" i="21" s="1"/>
  <c r="L537" i="21"/>
  <c r="L538" i="21"/>
  <c r="L539" i="21"/>
  <c r="M539" i="21" s="1"/>
  <c r="L540" i="21"/>
  <c r="M540" i="21" s="1"/>
  <c r="L541" i="21"/>
  <c r="M541" i="21" s="1"/>
  <c r="L542" i="21"/>
  <c r="M542" i="21" s="1"/>
  <c r="L543" i="21"/>
  <c r="M543" i="21" s="1"/>
  <c r="L544" i="21"/>
  <c r="M544" i="21" s="1"/>
  <c r="L545" i="21"/>
  <c r="L546" i="21"/>
  <c r="L547" i="21"/>
  <c r="M547" i="21" s="1"/>
  <c r="L548" i="21"/>
  <c r="M548" i="21" s="1"/>
  <c r="L549" i="21"/>
  <c r="M549" i="21" s="1"/>
  <c r="L550" i="21"/>
  <c r="M550" i="21" s="1"/>
  <c r="L551" i="21"/>
  <c r="M551" i="21" s="1"/>
  <c r="L552" i="21"/>
  <c r="M552" i="21" s="1"/>
  <c r="L553" i="21"/>
  <c r="L554" i="21"/>
  <c r="L555" i="21"/>
  <c r="L556" i="21"/>
  <c r="L557" i="21"/>
  <c r="L558" i="21"/>
  <c r="M558" i="21" s="1"/>
  <c r="L559" i="21"/>
  <c r="M559" i="21" s="1"/>
  <c r="L560" i="21"/>
  <c r="M560" i="21" s="1"/>
  <c r="L561" i="21"/>
  <c r="L562" i="21"/>
  <c r="L563" i="21"/>
  <c r="M563" i="21" s="1"/>
  <c r="L564" i="21"/>
  <c r="M564" i="21" s="1"/>
  <c r="L565" i="21"/>
  <c r="M565" i="21" s="1"/>
  <c r="L566" i="21"/>
  <c r="M566" i="21" s="1"/>
  <c r="L567" i="21"/>
  <c r="L568" i="21"/>
  <c r="L569" i="21"/>
  <c r="L570" i="21"/>
  <c r="L571" i="21"/>
  <c r="M571" i="21" s="1"/>
  <c r="L572" i="21"/>
  <c r="L573" i="21"/>
  <c r="M573" i="21" s="1"/>
  <c r="L574" i="21"/>
  <c r="M574" i="21" s="1"/>
  <c r="L575" i="21"/>
  <c r="M575" i="21" s="1"/>
  <c r="L576" i="21"/>
  <c r="L577" i="21"/>
  <c r="L578" i="21"/>
  <c r="L579" i="21"/>
  <c r="M579" i="21" s="1"/>
  <c r="L580" i="21"/>
  <c r="M580" i="21" s="1"/>
  <c r="L581" i="21"/>
  <c r="M581" i="21" s="1"/>
  <c r="L582" i="21"/>
  <c r="M582" i="21" s="1"/>
  <c r="L583" i="21"/>
  <c r="M583" i="21" s="1"/>
  <c r="L584" i="21"/>
  <c r="M584" i="21" s="1"/>
  <c r="L585" i="21"/>
  <c r="L586" i="21"/>
  <c r="L587" i="21"/>
  <c r="M587" i="21" s="1"/>
  <c r="L588" i="21"/>
  <c r="M588" i="21" s="1"/>
  <c r="L589" i="21"/>
  <c r="M589" i="21" s="1"/>
  <c r="L590" i="21"/>
  <c r="M590" i="21" s="1"/>
  <c r="L591" i="21"/>
  <c r="M591" i="21" s="1"/>
  <c r="L592" i="21"/>
  <c r="M592" i="21" s="1"/>
  <c r="L593" i="21"/>
  <c r="L594" i="21"/>
  <c r="L595" i="21"/>
  <c r="M595" i="21" s="1"/>
  <c r="L596" i="21"/>
  <c r="M596" i="21" s="1"/>
  <c r="L597" i="21"/>
  <c r="M597" i="21" s="1"/>
  <c r="L598" i="21"/>
  <c r="M598" i="21" s="1"/>
  <c r="L599" i="21"/>
  <c r="M599" i="21" s="1"/>
  <c r="L600" i="21"/>
  <c r="M600" i="21" s="1"/>
  <c r="L601" i="21"/>
  <c r="L602" i="21"/>
  <c r="L603" i="21"/>
  <c r="L604" i="21"/>
  <c r="M604" i="21" s="1"/>
  <c r="L605" i="21"/>
  <c r="M605" i="21" s="1"/>
  <c r="L606" i="21"/>
  <c r="M606" i="21" s="1"/>
  <c r="L607" i="21"/>
  <c r="M607" i="21" s="1"/>
  <c r="L608" i="21"/>
  <c r="M608" i="21" s="1"/>
  <c r="L609" i="21"/>
  <c r="L610" i="21"/>
  <c r="L611" i="21"/>
  <c r="M611" i="21" s="1"/>
  <c r="L612" i="21"/>
  <c r="M612" i="21" s="1"/>
  <c r="L613" i="21"/>
  <c r="M613" i="21" s="1"/>
  <c r="L614" i="21"/>
  <c r="M614" i="21" s="1"/>
  <c r="L615" i="21"/>
  <c r="M615" i="21" s="1"/>
  <c r="L616" i="21"/>
  <c r="M616" i="21" s="1"/>
  <c r="L617" i="21"/>
  <c r="L618" i="21"/>
  <c r="L619" i="21"/>
  <c r="M619" i="21" s="1"/>
  <c r="L620" i="21"/>
  <c r="L621" i="21"/>
  <c r="M621" i="21" s="1"/>
  <c r="L622" i="21"/>
  <c r="M622" i="21" s="1"/>
  <c r="L623" i="21"/>
  <c r="L624" i="21"/>
  <c r="L625" i="21"/>
  <c r="L626" i="21"/>
  <c r="L627" i="21"/>
  <c r="M627" i="21" s="1"/>
  <c r="L628" i="21"/>
  <c r="M628" i="21" s="1"/>
  <c r="L629" i="21"/>
  <c r="M629" i="21" s="1"/>
  <c r="L630" i="21"/>
  <c r="M630" i="21" s="1"/>
  <c r="L631" i="21"/>
  <c r="M631" i="21" s="1"/>
  <c r="L632" i="21"/>
  <c r="L633" i="21"/>
  <c r="L634" i="21"/>
  <c r="L635" i="21"/>
  <c r="M635" i="21" s="1"/>
  <c r="L636" i="21"/>
  <c r="L637" i="21"/>
  <c r="L638" i="21"/>
  <c r="M638" i="21" s="1"/>
  <c r="L639" i="21"/>
  <c r="M639" i="21" s="1"/>
  <c r="L640" i="21"/>
  <c r="M640" i="21" s="1"/>
  <c r="L641" i="21"/>
  <c r="L642" i="21"/>
  <c r="L643" i="21"/>
  <c r="M643" i="21" s="1"/>
  <c r="L644" i="21"/>
  <c r="M644" i="21" s="1"/>
  <c r="L645" i="21"/>
  <c r="M645" i="21" s="1"/>
  <c r="L646" i="21"/>
  <c r="L647" i="21"/>
  <c r="M647" i="21" s="1"/>
  <c r="L648" i="21"/>
  <c r="L649" i="21"/>
  <c r="L650" i="21"/>
  <c r="L651" i="21"/>
  <c r="M651" i="21" s="1"/>
  <c r="L652" i="21"/>
  <c r="M652" i="21" s="1"/>
  <c r="L653" i="21"/>
  <c r="M653" i="21" s="1"/>
  <c r="L654" i="21"/>
  <c r="M654" i="21" s="1"/>
  <c r="L655" i="21"/>
  <c r="M655" i="21" s="1"/>
  <c r="L656" i="21"/>
  <c r="M656" i="21" s="1"/>
  <c r="L657" i="21"/>
  <c r="L658" i="21"/>
  <c r="L659" i="21"/>
  <c r="M659" i="21" s="1"/>
  <c r="L660" i="21"/>
  <c r="M660" i="21" s="1"/>
  <c r="L661" i="21"/>
  <c r="M661" i="21" s="1"/>
  <c r="L662" i="21"/>
  <c r="M662" i="21" s="1"/>
  <c r="L663" i="21"/>
  <c r="M663" i="21" s="1"/>
  <c r="L664" i="21"/>
  <c r="L665" i="21"/>
  <c r="L666" i="21"/>
  <c r="L667" i="21"/>
  <c r="M667" i="21" s="1"/>
  <c r="L668" i="21"/>
  <c r="M668" i="21" s="1"/>
  <c r="L669" i="21"/>
  <c r="M669" i="21" s="1"/>
  <c r="L670" i="21"/>
  <c r="M670" i="21" s="1"/>
  <c r="L671" i="21"/>
  <c r="M671" i="21" s="1"/>
  <c r="L672" i="21"/>
  <c r="M672" i="21" s="1"/>
  <c r="L673" i="21"/>
  <c r="L674" i="21"/>
  <c r="L675" i="21"/>
  <c r="M675" i="21" s="1"/>
  <c r="L676" i="21"/>
  <c r="M676" i="21" s="1"/>
  <c r="L677" i="21"/>
  <c r="L678" i="21"/>
  <c r="M678" i="21" s="1"/>
  <c r="L679" i="21"/>
  <c r="M679" i="21" s="1"/>
  <c r="L680" i="21"/>
  <c r="M680" i="21" s="1"/>
  <c r="L681" i="21"/>
  <c r="L682" i="21"/>
  <c r="L683" i="21"/>
  <c r="M683" i="21" s="1"/>
  <c r="L684" i="21"/>
  <c r="M684" i="21" s="1"/>
  <c r="L685" i="21"/>
  <c r="M685" i="21" s="1"/>
  <c r="L686" i="21"/>
  <c r="M686" i="21" s="1"/>
  <c r="L687" i="21"/>
  <c r="L688" i="21"/>
  <c r="M688" i="21" s="1"/>
  <c r="L689" i="21"/>
  <c r="L690" i="21"/>
  <c r="L691" i="21"/>
  <c r="M691" i="21" s="1"/>
  <c r="L692" i="21"/>
  <c r="M692" i="21" s="1"/>
  <c r="L693" i="21"/>
  <c r="M693" i="21" s="1"/>
  <c r="L694" i="21"/>
  <c r="M694" i="21" s="1"/>
  <c r="L695" i="21"/>
  <c r="L696" i="21"/>
  <c r="L697" i="21"/>
  <c r="L698" i="21"/>
  <c r="L699" i="21"/>
  <c r="M699" i="21" s="1"/>
  <c r="L700" i="21"/>
  <c r="L701" i="21"/>
  <c r="M701" i="21" s="1"/>
  <c r="L702" i="21"/>
  <c r="M702" i="21" s="1"/>
  <c r="L703" i="21"/>
  <c r="L704" i="21"/>
  <c r="L705" i="21"/>
  <c r="L706" i="21"/>
  <c r="L707" i="21"/>
  <c r="M707" i="21" s="1"/>
  <c r="L708" i="21"/>
  <c r="M708" i="21" s="1"/>
  <c r="L709" i="21"/>
  <c r="M709" i="21" s="1"/>
  <c r="L710" i="21"/>
  <c r="M710" i="21" s="1"/>
  <c r="L711" i="21"/>
  <c r="L712" i="21"/>
  <c r="M712" i="21" s="1"/>
  <c r="L713" i="21"/>
  <c r="L714" i="21"/>
  <c r="L715" i="21"/>
  <c r="L716" i="21"/>
  <c r="L717" i="21"/>
  <c r="M717" i="21" s="1"/>
  <c r="L718" i="21"/>
  <c r="M718" i="21" s="1"/>
  <c r="L719" i="21"/>
  <c r="L720" i="21"/>
  <c r="M720" i="21" s="1"/>
  <c r="L721" i="21"/>
  <c r="L722" i="21"/>
  <c r="L723" i="21"/>
  <c r="M723" i="21" s="1"/>
  <c r="L724" i="21"/>
  <c r="L725" i="21"/>
  <c r="M725" i="21" s="1"/>
  <c r="L726" i="21"/>
  <c r="M726" i="21" s="1"/>
  <c r="L727" i="21"/>
  <c r="L728" i="21"/>
  <c r="M728" i="21" s="1"/>
  <c r="L729" i="21"/>
  <c r="L730" i="21"/>
  <c r="L731" i="21"/>
  <c r="M731" i="21" s="1"/>
  <c r="L732" i="21"/>
  <c r="M732" i="21" s="1"/>
  <c r="L733" i="21"/>
  <c r="M733" i="21" s="1"/>
  <c r="L734" i="21"/>
  <c r="M734" i="21" s="1"/>
  <c r="L735" i="21"/>
  <c r="L736" i="21"/>
  <c r="M736" i="21" s="1"/>
  <c r="L737" i="21"/>
  <c r="L738" i="21"/>
  <c r="L739" i="21"/>
  <c r="M739" i="21" s="1"/>
  <c r="L740" i="21"/>
  <c r="M740" i="21" s="1"/>
  <c r="L741" i="21"/>
  <c r="M741" i="21" s="1"/>
  <c r="L742" i="21"/>
  <c r="M742" i="21" s="1"/>
  <c r="L743" i="21"/>
  <c r="L744" i="21"/>
  <c r="M744" i="21" s="1"/>
  <c r="L745" i="21"/>
  <c r="L746" i="21"/>
  <c r="L747" i="21"/>
  <c r="M747" i="21" s="1"/>
  <c r="L748" i="21"/>
  <c r="M748" i="21" s="1"/>
  <c r="L749" i="21"/>
  <c r="M749" i="21" s="1"/>
  <c r="L750" i="21"/>
  <c r="M750" i="21" s="1"/>
  <c r="L751" i="21"/>
  <c r="L752" i="21"/>
  <c r="L753" i="21"/>
  <c r="L754" i="21"/>
  <c r="L755" i="21"/>
  <c r="M755" i="21" s="1"/>
  <c r="L756" i="21"/>
  <c r="M756" i="21" s="1"/>
  <c r="L757" i="21"/>
  <c r="M757" i="21" s="1"/>
  <c r="L758" i="21"/>
  <c r="M758" i="21" s="1"/>
  <c r="L759" i="21"/>
  <c r="L760" i="21"/>
  <c r="L761" i="21"/>
  <c r="L762" i="21"/>
  <c r="L763" i="21"/>
  <c r="L764" i="21"/>
  <c r="M764" i="21" s="1"/>
  <c r="L765" i="21"/>
  <c r="M765" i="21" s="1"/>
  <c r="L766" i="21"/>
  <c r="M766" i="21" s="1"/>
  <c r="L767" i="21"/>
  <c r="L768" i="21"/>
  <c r="L769" i="21"/>
  <c r="L770" i="21"/>
  <c r="L771" i="21"/>
  <c r="M771" i="21" s="1"/>
  <c r="L772" i="21"/>
  <c r="L773" i="21"/>
  <c r="M773" i="21" s="1"/>
  <c r="L774" i="21"/>
  <c r="M774" i="21" s="1"/>
  <c r="L775" i="21"/>
  <c r="L776" i="21"/>
  <c r="M776" i="21" s="1"/>
  <c r="L777" i="21"/>
  <c r="L778" i="21"/>
  <c r="L779" i="21"/>
  <c r="M779" i="21" s="1"/>
  <c r="L780" i="21"/>
  <c r="M780" i="21" s="1"/>
  <c r="L781" i="21"/>
  <c r="M781" i="21" s="1"/>
  <c r="L782" i="21"/>
  <c r="M782" i="21" s="1"/>
  <c r="L783" i="21"/>
  <c r="L784" i="21"/>
  <c r="L785" i="21"/>
  <c r="L786" i="21"/>
  <c r="L787" i="21"/>
  <c r="M787" i="21" s="1"/>
  <c r="L788" i="21"/>
  <c r="L789" i="21"/>
  <c r="L790" i="21"/>
  <c r="M790" i="21" s="1"/>
  <c r="L791" i="21"/>
  <c r="L792" i="21"/>
  <c r="L793" i="21"/>
  <c r="L794" i="21"/>
  <c r="L795" i="21"/>
  <c r="M795" i="21" s="1"/>
  <c r="L796" i="21"/>
  <c r="M796" i="21" s="1"/>
  <c r="L797" i="21"/>
  <c r="M797" i="21" s="1"/>
  <c r="L798" i="21"/>
  <c r="L799" i="21"/>
  <c r="M799" i="21" s="1"/>
  <c r="L800" i="21"/>
  <c r="L801" i="21"/>
  <c r="L802" i="21"/>
  <c r="L803" i="21"/>
  <c r="M803" i="21" s="1"/>
  <c r="L804" i="21"/>
  <c r="M804" i="21" s="1"/>
  <c r="L805" i="21"/>
  <c r="M805" i="21" s="1"/>
  <c r="L806" i="21"/>
  <c r="M806" i="21" s="1"/>
  <c r="L807" i="21"/>
  <c r="M807" i="21" s="1"/>
  <c r="L808" i="21"/>
  <c r="M808" i="21" s="1"/>
  <c r="L809" i="21"/>
  <c r="M809" i="21" s="1"/>
  <c r="L810" i="21"/>
  <c r="M810" i="21" s="1"/>
  <c r="L811" i="21"/>
  <c r="M811" i="21" s="1"/>
  <c r="L812" i="21"/>
  <c r="M812" i="21" s="1"/>
  <c r="L813" i="21"/>
  <c r="M813" i="21" s="1"/>
  <c r="L814" i="21"/>
  <c r="M814" i="21" s="1"/>
  <c r="L815" i="21"/>
  <c r="M815" i="21" s="1"/>
  <c r="L816" i="21"/>
  <c r="L817" i="21"/>
  <c r="L818" i="21"/>
  <c r="L819" i="21"/>
  <c r="M819" i="21" s="1"/>
  <c r="L820" i="21"/>
  <c r="M820" i="21" s="1"/>
  <c r="L821" i="21"/>
  <c r="M821" i="21" s="1"/>
  <c r="L822" i="21"/>
  <c r="M822" i="21" s="1"/>
  <c r="L823" i="21"/>
  <c r="M823" i="21" s="1"/>
  <c r="L824" i="21"/>
  <c r="L825" i="21"/>
  <c r="L826" i="21"/>
  <c r="L827" i="21"/>
  <c r="M827" i="21" s="1"/>
  <c r="L828" i="21"/>
  <c r="M828" i="21" s="1"/>
  <c r="L829" i="21"/>
  <c r="M829" i="21" s="1"/>
  <c r="L830" i="21"/>
  <c r="M830" i="21" s="1"/>
  <c r="L831" i="21"/>
  <c r="M831" i="21" s="1"/>
  <c r="L832" i="21"/>
  <c r="M832" i="21" s="1"/>
  <c r="L833" i="21"/>
  <c r="L834" i="21"/>
  <c r="L835" i="21"/>
  <c r="M835" i="21" s="1"/>
  <c r="L836" i="21"/>
  <c r="M836" i="21" s="1"/>
  <c r="L837" i="21"/>
  <c r="M837" i="21" s="1"/>
  <c r="L838" i="21"/>
  <c r="M838" i="21" s="1"/>
  <c r="L839" i="21"/>
  <c r="M839" i="21" s="1"/>
  <c r="L840" i="21"/>
  <c r="M840" i="21" s="1"/>
  <c r="L841" i="21"/>
  <c r="M841" i="21" s="1"/>
  <c r="L842" i="21"/>
  <c r="L843" i="21"/>
  <c r="M843" i="21" s="1"/>
  <c r="L844" i="21"/>
  <c r="M844" i="21" s="1"/>
  <c r="L845" i="21"/>
  <c r="M845" i="21" s="1"/>
  <c r="L846" i="21"/>
  <c r="M846" i="21" s="1"/>
  <c r="L847" i="21"/>
  <c r="M847" i="21" s="1"/>
  <c r="L848" i="21"/>
  <c r="L849" i="21"/>
  <c r="L850" i="21"/>
  <c r="L851" i="21"/>
  <c r="M851" i="21" s="1"/>
  <c r="L852" i="21"/>
  <c r="M852" i="21" s="1"/>
  <c r="L853" i="21"/>
  <c r="L854" i="21"/>
  <c r="M854" i="21" s="1"/>
  <c r="L855" i="21"/>
  <c r="M855" i="21" s="1"/>
  <c r="L856" i="21"/>
  <c r="L857" i="21"/>
  <c r="L858" i="21"/>
  <c r="L859" i="21"/>
  <c r="M859" i="21" s="1"/>
  <c r="L860" i="21"/>
  <c r="M860" i="21" s="1"/>
  <c r="L861" i="21"/>
  <c r="M861" i="21" s="1"/>
  <c r="L862" i="21"/>
  <c r="M862" i="21" s="1"/>
  <c r="L863" i="21"/>
  <c r="M863" i="21" s="1"/>
  <c r="L864" i="21"/>
  <c r="L865" i="21"/>
  <c r="L866" i="21"/>
  <c r="L867" i="21"/>
  <c r="M867" i="21" s="1"/>
  <c r="L868" i="21"/>
  <c r="M868" i="21" s="1"/>
  <c r="L869" i="21"/>
  <c r="M869" i="21" s="1"/>
  <c r="L870" i="21"/>
  <c r="M870" i="21" s="1"/>
  <c r="L871" i="21"/>
  <c r="M871" i="21" s="1"/>
  <c r="L872" i="21"/>
  <c r="M872" i="21" s="1"/>
  <c r="L873" i="21"/>
  <c r="M873" i="21" s="1"/>
  <c r="L874" i="21"/>
  <c r="L875" i="21"/>
  <c r="M875" i="21" s="1"/>
  <c r="L876" i="21"/>
  <c r="M876" i="21" s="1"/>
  <c r="L877" i="21"/>
  <c r="M877" i="21" s="1"/>
  <c r="L878" i="21"/>
  <c r="M878" i="21" s="1"/>
  <c r="L879" i="21"/>
  <c r="L880" i="21"/>
  <c r="L881" i="21"/>
  <c r="L882" i="21"/>
  <c r="L883" i="21"/>
  <c r="M883" i="21" s="1"/>
  <c r="L884" i="21"/>
  <c r="M884" i="21" s="1"/>
  <c r="L885" i="21"/>
  <c r="L886" i="21"/>
  <c r="M886" i="21" s="1"/>
  <c r="L887" i="21"/>
  <c r="L888" i="21"/>
  <c r="L889" i="21"/>
  <c r="L890" i="21"/>
  <c r="L891" i="21"/>
  <c r="M891" i="21" s="1"/>
  <c r="L892" i="21"/>
  <c r="M892" i="21" s="1"/>
  <c r="L893" i="21"/>
  <c r="L894" i="21"/>
  <c r="M894" i="21" s="1"/>
  <c r="L895" i="21"/>
  <c r="L896" i="21"/>
  <c r="M896" i="21" s="1"/>
  <c r="L897" i="21"/>
  <c r="L898" i="21"/>
  <c r="L899" i="21"/>
  <c r="M899" i="21" s="1"/>
  <c r="L900" i="21"/>
  <c r="M900" i="21" s="1"/>
  <c r="L901" i="21"/>
  <c r="M901" i="21" s="1"/>
  <c r="L902" i="21"/>
  <c r="M902" i="21" s="1"/>
  <c r="L903" i="21"/>
  <c r="M903" i="21" s="1"/>
  <c r="L904" i="21"/>
  <c r="M904" i="21" s="1"/>
  <c r="L905" i="21"/>
  <c r="M905" i="21" s="1"/>
  <c r="L906" i="21"/>
  <c r="L907" i="21"/>
  <c r="M907" i="21" s="1"/>
  <c r="L908" i="21"/>
  <c r="M908" i="21" s="1"/>
  <c r="L909" i="21"/>
  <c r="M909" i="21" s="1"/>
  <c r="L910" i="21"/>
  <c r="M910" i="21" s="1"/>
  <c r="L911" i="21"/>
  <c r="L912" i="21"/>
  <c r="L913" i="21"/>
  <c r="L914" i="21"/>
  <c r="L915" i="21"/>
  <c r="M915" i="21" s="1"/>
  <c r="L916" i="21"/>
  <c r="M916" i="21" s="1"/>
  <c r="L917" i="21"/>
  <c r="M917" i="21" s="1"/>
  <c r="L918" i="21"/>
  <c r="M918" i="21" s="1"/>
  <c r="L919" i="21"/>
  <c r="L920" i="21"/>
  <c r="L921" i="21"/>
  <c r="L922" i="21"/>
  <c r="L923" i="21"/>
  <c r="M923" i="21" s="1"/>
  <c r="L924" i="21"/>
  <c r="M924" i="21" s="1"/>
  <c r="L925" i="21"/>
  <c r="L926" i="21"/>
  <c r="M926" i="21" s="1"/>
  <c r="L927" i="21"/>
  <c r="L928" i="21"/>
  <c r="M928" i="21" s="1"/>
  <c r="L929" i="21"/>
  <c r="L930" i="21"/>
  <c r="L931" i="21"/>
  <c r="M931" i="21" s="1"/>
  <c r="L932" i="21"/>
  <c r="M932" i="21" s="1"/>
  <c r="L933" i="21"/>
  <c r="M933" i="21" s="1"/>
  <c r="L934" i="21"/>
  <c r="M934" i="21" s="1"/>
  <c r="L935" i="21"/>
  <c r="M935" i="21" s="1"/>
  <c r="L936" i="21"/>
  <c r="M936" i="21" s="1"/>
  <c r="L937" i="21"/>
  <c r="M937" i="21" s="1"/>
  <c r="L938" i="21"/>
  <c r="L939" i="21"/>
  <c r="M939" i="21" s="1"/>
  <c r="L940" i="21"/>
  <c r="M940" i="21" s="1"/>
  <c r="L941" i="21"/>
  <c r="M941" i="21" s="1"/>
  <c r="L942" i="21"/>
  <c r="M942" i="21" s="1"/>
  <c r="L943" i="21"/>
  <c r="L944" i="21"/>
  <c r="L945" i="21"/>
  <c r="L946" i="21"/>
  <c r="L947" i="21"/>
  <c r="M947" i="21" s="1"/>
  <c r="L948" i="21"/>
  <c r="M948" i="21" s="1"/>
  <c r="L949" i="21"/>
  <c r="M949" i="21" s="1"/>
  <c r="L950" i="21"/>
  <c r="M950" i="21" s="1"/>
  <c r="L951" i="21"/>
  <c r="L952" i="21"/>
  <c r="L953" i="21"/>
  <c r="L954" i="21"/>
  <c r="L955" i="21"/>
  <c r="L956" i="21"/>
  <c r="L957" i="21"/>
  <c r="L958" i="21"/>
  <c r="M958" i="21" s="1"/>
  <c r="L959" i="21"/>
  <c r="L960" i="21"/>
  <c r="L961" i="21"/>
  <c r="L962" i="21"/>
  <c r="L963" i="21"/>
  <c r="M963" i="21" s="1"/>
  <c r="L964" i="21"/>
  <c r="L965" i="21"/>
  <c r="M965" i="2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R3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3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89" i="1"/>
  <c r="R90" i="1"/>
  <c r="R91" i="1"/>
  <c r="R92" i="1"/>
  <c r="R93" i="1"/>
  <c r="R94" i="1"/>
  <c r="R95" i="1"/>
  <c r="R96" i="1"/>
  <c r="R97" i="1"/>
  <c r="R98" i="1"/>
  <c r="R99" i="1"/>
  <c r="R100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164" i="1"/>
  <c r="R165" i="1"/>
  <c r="R166" i="1"/>
  <c r="R167" i="1"/>
  <c r="R168" i="1"/>
  <c r="R169" i="1"/>
  <c r="R170" i="1"/>
  <c r="R171" i="1"/>
  <c r="R172" i="1"/>
  <c r="R173" i="1"/>
  <c r="R174" i="1"/>
  <c r="R175" i="1"/>
  <c r="R176" i="1"/>
  <c r="R177" i="1"/>
  <c r="R178" i="1"/>
  <c r="R179" i="1"/>
  <c r="R180" i="1"/>
  <c r="R181" i="1"/>
  <c r="R182" i="1"/>
  <c r="R183" i="1"/>
  <c r="R184" i="1"/>
  <c r="R185" i="1"/>
  <c r="R186" i="1"/>
  <c r="R187" i="1"/>
  <c r="R188" i="1"/>
  <c r="R189" i="1"/>
  <c r="R190" i="1"/>
  <c r="R191" i="1"/>
  <c r="R192" i="1"/>
  <c r="R193" i="1"/>
  <c r="R194" i="1"/>
  <c r="R195" i="1"/>
  <c r="R196" i="1"/>
  <c r="R197" i="1"/>
  <c r="R198" i="1"/>
  <c r="R199" i="1"/>
  <c r="R200" i="1"/>
  <c r="R201" i="1"/>
  <c r="R202" i="1"/>
  <c r="R203" i="1"/>
  <c r="R204" i="1"/>
  <c r="R205" i="1"/>
  <c r="R206" i="1"/>
  <c r="R207" i="1"/>
  <c r="R208" i="1"/>
  <c r="R209" i="1"/>
  <c r="R210" i="1"/>
  <c r="R211" i="1"/>
  <c r="R212" i="1"/>
  <c r="R213" i="1"/>
  <c r="R214" i="1"/>
  <c r="R215" i="1"/>
  <c r="R216" i="1"/>
  <c r="R217" i="1"/>
  <c r="R218" i="1"/>
  <c r="R219" i="1"/>
  <c r="R220" i="1"/>
  <c r="R221" i="1"/>
  <c r="R222" i="1"/>
  <c r="R223" i="1"/>
  <c r="R224" i="1"/>
  <c r="R225" i="1"/>
  <c r="R226" i="1"/>
  <c r="R227" i="1"/>
  <c r="R228" i="1"/>
  <c r="R229" i="1"/>
  <c r="R230" i="1"/>
  <c r="R231" i="1"/>
  <c r="R232" i="1"/>
  <c r="R233" i="1"/>
  <c r="R234" i="1"/>
  <c r="R235" i="1"/>
  <c r="R236" i="1"/>
  <c r="R237" i="1"/>
  <c r="R238" i="1"/>
  <c r="R239" i="1"/>
  <c r="R240" i="1"/>
  <c r="R241" i="1"/>
  <c r="R242" i="1"/>
  <c r="R243" i="1"/>
  <c r="R244" i="1"/>
  <c r="R245" i="1"/>
  <c r="R246" i="1"/>
  <c r="R247" i="1"/>
  <c r="R248" i="1"/>
  <c r="R249" i="1"/>
  <c r="R250" i="1"/>
  <c r="R251" i="1"/>
  <c r="R252" i="1"/>
  <c r="R253" i="1"/>
  <c r="R254" i="1"/>
  <c r="R255" i="1"/>
  <c r="R256" i="1"/>
  <c r="R257" i="1"/>
  <c r="R258" i="1"/>
  <c r="R259" i="1"/>
  <c r="R260" i="1"/>
  <c r="R261" i="1"/>
  <c r="R262" i="1"/>
  <c r="R263" i="1"/>
  <c r="R264" i="1"/>
  <c r="R265" i="1"/>
  <c r="R266" i="1"/>
  <c r="R267" i="1"/>
  <c r="R268" i="1"/>
  <c r="R269" i="1"/>
  <c r="R270" i="1"/>
  <c r="R271" i="1"/>
  <c r="R272" i="1"/>
  <c r="R273" i="1"/>
  <c r="R274" i="1"/>
  <c r="R275" i="1"/>
  <c r="R276" i="1"/>
  <c r="R277" i="1"/>
  <c r="R278" i="1"/>
  <c r="R279" i="1"/>
  <c r="R280" i="1"/>
  <c r="R281" i="1"/>
  <c r="R282" i="1"/>
  <c r="R283" i="1"/>
  <c r="R284" i="1"/>
  <c r="R285" i="1"/>
  <c r="R286" i="1"/>
  <c r="R287" i="1"/>
  <c r="R288" i="1"/>
  <c r="R289" i="1"/>
  <c r="R290" i="1"/>
  <c r="R291" i="1"/>
  <c r="R292" i="1"/>
  <c r="R293" i="1"/>
  <c r="R294" i="1"/>
  <c r="R295" i="1"/>
  <c r="R296" i="1"/>
  <c r="R297" i="1"/>
  <c r="R298" i="1"/>
  <c r="R299" i="1"/>
  <c r="R300" i="1"/>
  <c r="R301" i="1"/>
  <c r="R302" i="1"/>
  <c r="R303" i="1"/>
  <c r="R304" i="1"/>
  <c r="R305" i="1"/>
  <c r="R306" i="1"/>
  <c r="R307" i="1"/>
  <c r="R308" i="1"/>
  <c r="R309" i="1"/>
  <c r="R310" i="1"/>
  <c r="R311" i="1"/>
  <c r="R312" i="1"/>
  <c r="R313" i="1"/>
  <c r="R314" i="1"/>
  <c r="R315" i="1"/>
  <c r="R316" i="1"/>
  <c r="R317" i="1"/>
  <c r="R318" i="1"/>
  <c r="R319" i="1"/>
  <c r="R320" i="1"/>
  <c r="R321" i="1"/>
  <c r="R322" i="1"/>
  <c r="R323" i="1"/>
  <c r="R324" i="1"/>
  <c r="R325" i="1"/>
  <c r="R326" i="1"/>
  <c r="R327" i="1"/>
  <c r="R328" i="1"/>
  <c r="R329" i="1"/>
  <c r="R330" i="1"/>
  <c r="R331" i="1"/>
  <c r="R332" i="1"/>
  <c r="R333" i="1"/>
  <c r="R334" i="1"/>
  <c r="R335" i="1"/>
  <c r="R336" i="1"/>
  <c r="R337" i="1"/>
  <c r="R338" i="1"/>
  <c r="R339" i="1"/>
  <c r="R340" i="1"/>
  <c r="R341" i="1"/>
  <c r="R342" i="1"/>
  <c r="R343" i="1"/>
  <c r="R344" i="1"/>
  <c r="R345" i="1"/>
  <c r="R346" i="1"/>
  <c r="R347" i="1"/>
  <c r="R348" i="1"/>
  <c r="R349" i="1"/>
  <c r="R350" i="1"/>
  <c r="R351" i="1"/>
  <c r="R352" i="1"/>
  <c r="R353" i="1"/>
  <c r="R354" i="1"/>
  <c r="R355" i="1"/>
  <c r="R356" i="1"/>
  <c r="R357" i="1"/>
  <c r="R358" i="1"/>
  <c r="R359" i="1"/>
  <c r="R360" i="1"/>
  <c r="R361" i="1"/>
  <c r="R362" i="1"/>
  <c r="R363" i="1"/>
  <c r="R364" i="1"/>
  <c r="R365" i="1"/>
  <c r="R366" i="1"/>
  <c r="R367" i="1"/>
  <c r="R368" i="1"/>
  <c r="R369" i="1"/>
  <c r="R370" i="1"/>
  <c r="R371" i="1"/>
  <c r="R372" i="1"/>
  <c r="R373" i="1"/>
  <c r="R374" i="1"/>
  <c r="R375" i="1"/>
  <c r="R376" i="1"/>
  <c r="R377" i="1"/>
  <c r="R378" i="1"/>
  <c r="R379" i="1"/>
  <c r="R380" i="1"/>
  <c r="R381" i="1"/>
  <c r="R382" i="1"/>
  <c r="R383" i="1"/>
  <c r="R384" i="1"/>
  <c r="R385" i="1"/>
  <c r="R386" i="1"/>
  <c r="R387" i="1"/>
  <c r="R388" i="1"/>
  <c r="R389" i="1"/>
  <c r="R390" i="1"/>
  <c r="R391" i="1"/>
  <c r="R392" i="1"/>
  <c r="R393" i="1"/>
  <c r="R394" i="1"/>
  <c r="R395" i="1"/>
  <c r="R396" i="1"/>
  <c r="R397" i="1"/>
  <c r="R398" i="1"/>
  <c r="R399" i="1"/>
  <c r="R400" i="1"/>
  <c r="R401" i="1"/>
  <c r="R402" i="1"/>
  <c r="R403" i="1"/>
  <c r="R404" i="1"/>
  <c r="R405" i="1"/>
  <c r="R406" i="1"/>
  <c r="R407" i="1"/>
  <c r="R408" i="1"/>
  <c r="R409" i="1"/>
  <c r="R410" i="1"/>
  <c r="R411" i="1"/>
  <c r="R412" i="1"/>
  <c r="R413" i="1"/>
  <c r="R414" i="1"/>
  <c r="R415" i="1"/>
  <c r="R416" i="1"/>
  <c r="R417" i="1"/>
  <c r="R418" i="1"/>
  <c r="R419" i="1"/>
  <c r="R420" i="1"/>
  <c r="R421" i="1"/>
  <c r="R422" i="1"/>
  <c r="R423" i="1"/>
  <c r="R424" i="1"/>
  <c r="R425" i="1"/>
  <c r="R426" i="1"/>
  <c r="R427" i="1"/>
  <c r="R428" i="1"/>
  <c r="R429" i="1"/>
  <c r="R430" i="1"/>
  <c r="R431" i="1"/>
  <c r="R432" i="1"/>
  <c r="R433" i="1"/>
  <c r="R434" i="1"/>
  <c r="R435" i="1"/>
  <c r="R436" i="1"/>
  <c r="R437" i="1"/>
  <c r="R438" i="1"/>
  <c r="R439" i="1"/>
  <c r="R440" i="1"/>
  <c r="R441" i="1"/>
  <c r="R442" i="1"/>
  <c r="R443" i="1"/>
  <c r="R444" i="1"/>
  <c r="R445" i="1"/>
  <c r="R446" i="1"/>
  <c r="R447" i="1"/>
  <c r="R448" i="1"/>
  <c r="R449" i="1"/>
  <c r="R450" i="1"/>
  <c r="R451" i="1"/>
  <c r="R452" i="1"/>
  <c r="R453" i="1"/>
  <c r="R454" i="1"/>
  <c r="R455" i="1"/>
  <c r="R456" i="1"/>
  <c r="R457" i="1"/>
  <c r="R458" i="1"/>
  <c r="R459" i="1"/>
  <c r="R460" i="1"/>
  <c r="R461" i="1"/>
  <c r="R462" i="1"/>
  <c r="R463" i="1"/>
  <c r="R464" i="1"/>
  <c r="R465" i="1"/>
  <c r="R466" i="1"/>
  <c r="R467" i="1"/>
  <c r="R468" i="1"/>
  <c r="R469" i="1"/>
  <c r="R470" i="1"/>
  <c r="R471" i="1"/>
  <c r="R472" i="1"/>
  <c r="R473" i="1"/>
  <c r="R474" i="1"/>
  <c r="R475" i="1"/>
  <c r="R476" i="1"/>
  <c r="R477" i="1"/>
  <c r="R478" i="1"/>
  <c r="R479" i="1"/>
  <c r="R480" i="1"/>
  <c r="R481" i="1"/>
  <c r="R482" i="1"/>
  <c r="R483" i="1"/>
  <c r="R484" i="1"/>
  <c r="R485" i="1"/>
  <c r="R486" i="1"/>
  <c r="R487" i="1"/>
  <c r="R488" i="1"/>
  <c r="R489" i="1"/>
  <c r="R490" i="1"/>
  <c r="R491" i="1"/>
  <c r="R492" i="1"/>
  <c r="R493" i="1"/>
  <c r="R494" i="1"/>
  <c r="R495" i="1"/>
  <c r="R496" i="1"/>
  <c r="R497" i="1"/>
  <c r="R498" i="1"/>
  <c r="R499" i="1"/>
  <c r="R500" i="1"/>
  <c r="R501" i="1"/>
  <c r="R502" i="1"/>
  <c r="R503" i="1"/>
  <c r="R504" i="1"/>
  <c r="R505" i="1"/>
  <c r="R506" i="1"/>
  <c r="R507" i="1"/>
  <c r="R508" i="1"/>
  <c r="R509" i="1"/>
  <c r="R510" i="1"/>
  <c r="R511" i="1"/>
  <c r="R512" i="1"/>
  <c r="R513" i="1"/>
  <c r="R514" i="1"/>
  <c r="R515" i="1"/>
  <c r="R516" i="1"/>
  <c r="R517" i="1"/>
  <c r="R518" i="1"/>
  <c r="R519" i="1"/>
  <c r="R520" i="1"/>
  <c r="R521" i="1"/>
  <c r="R522" i="1"/>
  <c r="R523" i="1"/>
  <c r="R524" i="1"/>
  <c r="R525" i="1"/>
  <c r="R526" i="1"/>
  <c r="R527" i="1"/>
  <c r="R528" i="1"/>
  <c r="R529" i="1"/>
  <c r="R530" i="1"/>
  <c r="R531" i="1"/>
  <c r="R532" i="1"/>
  <c r="R533" i="1"/>
  <c r="R534" i="1"/>
  <c r="R535" i="1"/>
  <c r="R536" i="1"/>
  <c r="R537" i="1"/>
  <c r="R538" i="1"/>
  <c r="R539" i="1"/>
  <c r="R540" i="1"/>
  <c r="R541" i="1"/>
  <c r="R542" i="1"/>
  <c r="R543" i="1"/>
  <c r="R544" i="1"/>
  <c r="R545" i="1"/>
  <c r="R546" i="1"/>
  <c r="R547" i="1"/>
  <c r="R548" i="1"/>
  <c r="R549" i="1"/>
  <c r="R550" i="1"/>
  <c r="R551" i="1"/>
  <c r="R552" i="1"/>
  <c r="R553" i="1"/>
  <c r="R554" i="1"/>
  <c r="R555" i="1"/>
  <c r="R556" i="1"/>
  <c r="R557" i="1"/>
  <c r="R558" i="1"/>
  <c r="R559" i="1"/>
  <c r="R560" i="1"/>
  <c r="R561" i="1"/>
  <c r="R562" i="1"/>
  <c r="R563" i="1"/>
  <c r="R564" i="1"/>
  <c r="R565" i="1"/>
  <c r="R566" i="1"/>
  <c r="R567" i="1"/>
  <c r="R568" i="1"/>
  <c r="R569" i="1"/>
  <c r="R570" i="1"/>
  <c r="R571" i="1"/>
  <c r="R572" i="1"/>
  <c r="R573" i="1"/>
  <c r="R574" i="1"/>
  <c r="R575" i="1"/>
  <c r="R576" i="1"/>
  <c r="R577" i="1"/>
  <c r="R578" i="1"/>
  <c r="R579" i="1"/>
  <c r="R580" i="1"/>
  <c r="R581" i="1"/>
  <c r="R582" i="1"/>
  <c r="R583" i="1"/>
  <c r="R584" i="1"/>
  <c r="R585" i="1"/>
  <c r="R586" i="1"/>
  <c r="R587" i="1"/>
  <c r="R588" i="1"/>
  <c r="R589" i="1"/>
  <c r="R590" i="1"/>
  <c r="R591" i="1"/>
  <c r="R592" i="1"/>
  <c r="R593" i="1"/>
  <c r="R594" i="1"/>
  <c r="R595" i="1"/>
  <c r="R596" i="1"/>
  <c r="R597" i="1"/>
  <c r="R598" i="1"/>
  <c r="R599" i="1"/>
  <c r="R600" i="1"/>
  <c r="R601" i="1"/>
  <c r="R602" i="1"/>
  <c r="R603" i="1"/>
  <c r="R604" i="1"/>
  <c r="R605" i="1"/>
  <c r="R606" i="1"/>
  <c r="R607" i="1"/>
  <c r="R608" i="1"/>
  <c r="R609" i="1"/>
  <c r="R610" i="1"/>
  <c r="R611" i="1"/>
  <c r="R612" i="1"/>
  <c r="R613" i="1"/>
  <c r="R614" i="1"/>
  <c r="R615" i="1"/>
  <c r="R616" i="1"/>
  <c r="R617" i="1"/>
  <c r="R618" i="1"/>
  <c r="R619" i="1"/>
  <c r="R620" i="1"/>
  <c r="R621" i="1"/>
  <c r="R622" i="1"/>
  <c r="R623" i="1"/>
  <c r="R624" i="1"/>
  <c r="R625" i="1"/>
  <c r="R626" i="1"/>
  <c r="R627" i="1"/>
  <c r="R628" i="1"/>
  <c r="R629" i="1"/>
  <c r="R630" i="1"/>
  <c r="R631" i="1"/>
  <c r="R632" i="1"/>
  <c r="R633" i="1"/>
  <c r="R634" i="1"/>
  <c r="R635" i="1"/>
  <c r="R636" i="1"/>
  <c r="R637" i="1"/>
  <c r="R638" i="1"/>
  <c r="R639" i="1"/>
  <c r="R640" i="1"/>
  <c r="R641" i="1"/>
  <c r="R642" i="1"/>
  <c r="R643" i="1"/>
  <c r="R644" i="1"/>
  <c r="R645" i="1"/>
  <c r="R646" i="1"/>
  <c r="R647" i="1"/>
  <c r="R648" i="1"/>
  <c r="R649" i="1"/>
  <c r="R650" i="1"/>
  <c r="R651" i="1"/>
  <c r="R652" i="1"/>
  <c r="R653" i="1"/>
  <c r="R654" i="1"/>
  <c r="R655" i="1"/>
  <c r="R656" i="1"/>
  <c r="R657" i="1"/>
  <c r="R658" i="1"/>
  <c r="R659" i="1"/>
  <c r="R660" i="1"/>
  <c r="R661" i="1"/>
  <c r="R662" i="1"/>
  <c r="R663" i="1"/>
  <c r="R664" i="1"/>
  <c r="R665" i="1"/>
  <c r="R666" i="1"/>
  <c r="R667" i="1"/>
  <c r="R668" i="1"/>
  <c r="R669" i="1"/>
  <c r="R670" i="1"/>
  <c r="R671" i="1"/>
  <c r="R672" i="1"/>
  <c r="R673" i="1"/>
  <c r="R674" i="1"/>
  <c r="R675" i="1"/>
  <c r="R676" i="1"/>
  <c r="R677" i="1"/>
  <c r="R678" i="1"/>
  <c r="R679" i="1"/>
  <c r="R680" i="1"/>
  <c r="R681" i="1"/>
  <c r="R682" i="1"/>
  <c r="R683" i="1"/>
  <c r="R684" i="1"/>
  <c r="R685" i="1"/>
  <c r="R686" i="1"/>
  <c r="R687" i="1"/>
  <c r="R688" i="1"/>
  <c r="R689" i="1"/>
  <c r="R690" i="1"/>
  <c r="R691" i="1"/>
  <c r="R692" i="1"/>
  <c r="R693" i="1"/>
  <c r="R694" i="1"/>
  <c r="R695" i="1"/>
  <c r="R696" i="1"/>
  <c r="R697" i="1"/>
  <c r="R698" i="1"/>
  <c r="R699" i="1"/>
  <c r="R700" i="1"/>
  <c r="R701" i="1"/>
  <c r="R702" i="1"/>
  <c r="R703" i="1"/>
  <c r="R704" i="1"/>
  <c r="R705" i="1"/>
  <c r="R706" i="1"/>
  <c r="R707" i="1"/>
  <c r="R708" i="1"/>
  <c r="R709" i="1"/>
  <c r="R710" i="1"/>
  <c r="R711" i="1"/>
  <c r="R712" i="1"/>
  <c r="R713" i="1"/>
  <c r="R714" i="1"/>
  <c r="R715" i="1"/>
  <c r="R716" i="1"/>
  <c r="R717" i="1"/>
  <c r="R718" i="1"/>
  <c r="R719" i="1"/>
  <c r="R720" i="1"/>
  <c r="R721" i="1"/>
  <c r="R722" i="1"/>
  <c r="R723" i="1"/>
  <c r="R724" i="1"/>
  <c r="R725" i="1"/>
  <c r="R726" i="1"/>
  <c r="R727" i="1"/>
  <c r="R728" i="1"/>
  <c r="R729" i="1"/>
  <c r="R730" i="1"/>
  <c r="R731" i="1"/>
  <c r="R732" i="1"/>
  <c r="R733" i="1"/>
  <c r="R734" i="1"/>
  <c r="R735" i="1"/>
  <c r="R736" i="1"/>
  <c r="R737" i="1"/>
  <c r="R738" i="1"/>
  <c r="R739" i="1"/>
  <c r="R740" i="1"/>
  <c r="R741" i="1"/>
  <c r="R742" i="1"/>
  <c r="R743" i="1"/>
  <c r="R744" i="1"/>
  <c r="R745" i="1"/>
  <c r="R746" i="1"/>
  <c r="R747" i="1"/>
  <c r="R748" i="1"/>
  <c r="R749" i="1"/>
  <c r="R750" i="1"/>
  <c r="R751" i="1"/>
  <c r="R752" i="1"/>
  <c r="R753" i="1"/>
  <c r="R754" i="1"/>
  <c r="R755" i="1"/>
  <c r="R756" i="1"/>
  <c r="R757" i="1"/>
  <c r="R758" i="1"/>
  <c r="R759" i="1"/>
  <c r="R760" i="1"/>
  <c r="R761" i="1"/>
  <c r="R762" i="1"/>
  <c r="R763" i="1"/>
  <c r="R764" i="1"/>
  <c r="R765" i="1"/>
  <c r="R766" i="1"/>
  <c r="R767" i="1"/>
  <c r="R768" i="1"/>
  <c r="R769" i="1"/>
  <c r="R770" i="1"/>
  <c r="R771" i="1"/>
  <c r="R772" i="1"/>
  <c r="R773" i="1"/>
  <c r="R774" i="1"/>
  <c r="R775" i="1"/>
  <c r="R776" i="1"/>
  <c r="R777" i="1"/>
  <c r="R778" i="1"/>
  <c r="R779" i="1"/>
  <c r="R780" i="1"/>
  <c r="R781" i="1"/>
  <c r="R782" i="1"/>
  <c r="R783" i="1"/>
  <c r="R784" i="1"/>
  <c r="R785" i="1"/>
  <c r="R786" i="1"/>
  <c r="R787" i="1"/>
  <c r="R788" i="1"/>
  <c r="R789" i="1"/>
  <c r="R790" i="1"/>
  <c r="R791" i="1"/>
  <c r="R792" i="1"/>
  <c r="R793" i="1"/>
  <c r="R794" i="1"/>
  <c r="R795" i="1"/>
  <c r="R796" i="1"/>
  <c r="R797" i="1"/>
  <c r="R798" i="1"/>
  <c r="R799" i="1"/>
  <c r="R800" i="1"/>
  <c r="R801" i="1"/>
  <c r="R802" i="1"/>
  <c r="R803" i="1"/>
  <c r="R804" i="1"/>
  <c r="R805" i="1"/>
  <c r="R806" i="1"/>
  <c r="R807" i="1"/>
  <c r="R808" i="1"/>
  <c r="R809" i="1"/>
  <c r="R810" i="1"/>
  <c r="R811" i="1"/>
  <c r="R812" i="1"/>
  <c r="R813" i="1"/>
  <c r="R814" i="1"/>
  <c r="R815" i="1"/>
  <c r="R816" i="1"/>
  <c r="R817" i="1"/>
  <c r="R818" i="1"/>
  <c r="R819" i="1"/>
  <c r="R820" i="1"/>
  <c r="R821" i="1"/>
  <c r="R822" i="1"/>
  <c r="R823" i="1"/>
  <c r="R824" i="1"/>
  <c r="R825" i="1"/>
  <c r="R826" i="1"/>
  <c r="R827" i="1"/>
  <c r="R828" i="1"/>
  <c r="R829" i="1"/>
  <c r="R830" i="1"/>
  <c r="R831" i="1"/>
  <c r="R832" i="1"/>
  <c r="R833" i="1"/>
  <c r="R834" i="1"/>
  <c r="R835" i="1"/>
  <c r="R836" i="1"/>
  <c r="R837" i="1"/>
  <c r="R838" i="1"/>
  <c r="R839" i="1"/>
  <c r="R840" i="1"/>
  <c r="R841" i="1"/>
  <c r="R842" i="1"/>
  <c r="R843" i="1"/>
  <c r="R844" i="1"/>
  <c r="R845" i="1"/>
  <c r="R846" i="1"/>
  <c r="R847" i="1"/>
  <c r="R848" i="1"/>
  <c r="R849" i="1"/>
  <c r="R850" i="1"/>
  <c r="R851" i="1"/>
  <c r="R852" i="1"/>
  <c r="R853" i="1"/>
  <c r="R854" i="1"/>
  <c r="R855" i="1"/>
  <c r="R856" i="1"/>
  <c r="R857" i="1"/>
  <c r="R858" i="1"/>
  <c r="R859" i="1"/>
  <c r="R860" i="1"/>
  <c r="R861" i="1"/>
  <c r="R862" i="1"/>
  <c r="R863" i="1"/>
  <c r="R864" i="1"/>
  <c r="R865" i="1"/>
  <c r="R866" i="1"/>
  <c r="R867" i="1"/>
  <c r="R868" i="1"/>
  <c r="R869" i="1"/>
  <c r="R870" i="1"/>
  <c r="R871" i="1"/>
  <c r="R872" i="1"/>
  <c r="R873" i="1"/>
  <c r="R874" i="1"/>
  <c r="R875" i="1"/>
  <c r="R876" i="1"/>
  <c r="R877" i="1"/>
  <c r="R878" i="1"/>
  <c r="R879" i="1"/>
  <c r="R880" i="1"/>
  <c r="R881" i="1"/>
  <c r="R882" i="1"/>
  <c r="R883" i="1"/>
  <c r="R884" i="1"/>
  <c r="R885" i="1"/>
  <c r="R886" i="1"/>
  <c r="R887" i="1"/>
  <c r="R888" i="1"/>
  <c r="R889" i="1"/>
  <c r="R890" i="1"/>
  <c r="R891" i="1"/>
  <c r="R892" i="1"/>
  <c r="R893" i="1"/>
  <c r="R894" i="1"/>
  <c r="R895" i="1"/>
  <c r="R896" i="1"/>
  <c r="R897" i="1"/>
  <c r="R898" i="1"/>
  <c r="R899" i="1"/>
  <c r="R900" i="1"/>
  <c r="R901" i="1"/>
  <c r="R902" i="1"/>
  <c r="R903" i="1"/>
  <c r="R904" i="1"/>
  <c r="R905" i="1"/>
  <c r="R906" i="1"/>
  <c r="R907" i="1"/>
  <c r="R908" i="1"/>
  <c r="R909" i="1"/>
  <c r="R910" i="1"/>
  <c r="R911" i="1"/>
  <c r="R912" i="1"/>
  <c r="R913" i="1"/>
  <c r="R914" i="1"/>
  <c r="R915" i="1"/>
  <c r="R916" i="1"/>
  <c r="R917" i="1"/>
  <c r="R918" i="1"/>
  <c r="R919" i="1"/>
  <c r="R920" i="1"/>
  <c r="R921" i="1"/>
  <c r="R922" i="1"/>
  <c r="R923" i="1"/>
  <c r="R924" i="1"/>
  <c r="R925" i="1"/>
  <c r="R926" i="1"/>
  <c r="R927" i="1"/>
  <c r="R928" i="1"/>
  <c r="R929" i="1"/>
  <c r="R930" i="1"/>
  <c r="R931" i="1"/>
  <c r="R932" i="1"/>
  <c r="R933" i="1"/>
  <c r="R934" i="1"/>
  <c r="R935" i="1"/>
  <c r="R936" i="1"/>
  <c r="R937" i="1"/>
  <c r="R938" i="1"/>
  <c r="R939" i="1"/>
  <c r="R940" i="1"/>
  <c r="R941" i="1"/>
  <c r="R942" i="1"/>
  <c r="R943" i="1"/>
  <c r="R944" i="1"/>
  <c r="R945" i="1"/>
  <c r="R946" i="1"/>
  <c r="R947" i="1"/>
  <c r="R948" i="1"/>
  <c r="R949" i="1"/>
  <c r="R950" i="1"/>
  <c r="R951" i="1"/>
  <c r="R952" i="1"/>
  <c r="R953" i="1"/>
  <c r="R954" i="1"/>
  <c r="R955" i="1"/>
  <c r="R956" i="1"/>
  <c r="R957" i="1"/>
  <c r="R958" i="1"/>
  <c r="R959" i="1"/>
  <c r="R960" i="1"/>
  <c r="R961" i="1"/>
  <c r="R962" i="1"/>
  <c r="R963" i="1"/>
  <c r="R964" i="1"/>
  <c r="R965" i="1"/>
  <c r="R966" i="1"/>
  <c r="R967" i="1"/>
  <c r="R968" i="1"/>
  <c r="R969" i="1"/>
  <c r="R970" i="1"/>
  <c r="R971" i="1"/>
  <c r="R972" i="1"/>
  <c r="R973" i="1"/>
  <c r="R974" i="1"/>
  <c r="R975" i="1"/>
  <c r="R976" i="1"/>
  <c r="R977" i="1"/>
  <c r="R978" i="1"/>
  <c r="R979" i="1"/>
  <c r="R980" i="1"/>
  <c r="R981" i="1"/>
  <c r="R982" i="1"/>
  <c r="R983" i="1"/>
  <c r="R984" i="1"/>
  <c r="R985" i="1"/>
  <c r="R986" i="1"/>
  <c r="R987" i="1"/>
  <c r="R988" i="1"/>
  <c r="R989" i="1"/>
  <c r="R990" i="1"/>
  <c r="R991" i="1"/>
  <c r="R992" i="1"/>
  <c r="R993" i="1"/>
  <c r="R994" i="1"/>
  <c r="R995" i="1"/>
  <c r="R996" i="1"/>
  <c r="R997" i="1"/>
  <c r="R998" i="1"/>
  <c r="R999" i="1"/>
  <c r="R1000" i="1"/>
  <c r="R1001" i="1"/>
  <c r="R1002" i="1"/>
  <c r="R1003" i="1"/>
  <c r="R1004" i="1"/>
  <c r="R1005" i="1"/>
  <c r="R1006" i="1"/>
  <c r="R1007" i="1"/>
  <c r="R1008" i="1"/>
  <c r="R1009" i="1"/>
  <c r="R1010" i="1"/>
  <c r="R1011" i="1"/>
  <c r="R1012" i="1"/>
  <c r="R1013" i="1"/>
  <c r="R1014" i="1"/>
  <c r="R1015" i="1"/>
  <c r="R1016" i="1"/>
  <c r="R1017" i="1"/>
  <c r="R1018" i="1"/>
  <c r="R1019" i="1"/>
  <c r="R1020" i="1"/>
  <c r="R1021" i="1"/>
  <c r="R1022" i="1"/>
  <c r="R1023" i="1"/>
  <c r="R1024" i="1"/>
  <c r="R1025" i="1"/>
  <c r="R1026" i="1"/>
  <c r="R1027" i="1"/>
  <c r="R1028" i="1"/>
  <c r="R1029" i="1"/>
  <c r="R1030" i="1"/>
  <c r="R1031" i="1"/>
  <c r="R1032" i="1"/>
  <c r="R1033" i="1"/>
  <c r="R1034" i="1"/>
  <c r="R1035" i="1"/>
  <c r="R1036" i="1"/>
  <c r="R1037" i="1"/>
  <c r="R1038" i="1"/>
  <c r="R1039" i="1"/>
  <c r="R1040" i="1"/>
  <c r="R1041" i="1"/>
  <c r="R1042" i="1"/>
  <c r="R1043" i="1"/>
  <c r="R1044" i="1"/>
  <c r="R1045" i="1"/>
  <c r="R1046" i="1"/>
  <c r="R1047" i="1"/>
  <c r="R1048" i="1"/>
  <c r="R1049" i="1"/>
  <c r="R1050" i="1"/>
  <c r="R1051" i="1"/>
  <c r="R1052" i="1"/>
  <c r="R1053" i="1"/>
  <c r="R1054" i="1"/>
  <c r="R1055" i="1"/>
  <c r="R1056" i="1"/>
  <c r="R1057" i="1"/>
  <c r="R1058" i="1"/>
  <c r="R1059" i="1"/>
  <c r="R1060" i="1"/>
  <c r="R1061" i="1"/>
  <c r="R1062" i="1"/>
  <c r="R1063" i="1"/>
  <c r="R1064" i="1"/>
  <c r="R1065" i="1"/>
  <c r="R1066" i="1"/>
  <c r="R1067" i="1"/>
  <c r="R1068" i="1"/>
  <c r="R1069" i="1"/>
  <c r="R1070" i="1"/>
  <c r="R1071" i="1"/>
  <c r="R1072" i="1"/>
  <c r="R1073" i="1"/>
  <c r="R1074" i="1"/>
  <c r="R1075" i="1"/>
  <c r="R1076" i="1"/>
  <c r="R1077" i="1"/>
  <c r="R1078" i="1"/>
  <c r="R1079" i="1"/>
  <c r="R1080" i="1"/>
  <c r="R1081" i="1"/>
  <c r="R1082" i="1"/>
  <c r="R1083" i="1"/>
  <c r="R1084" i="1"/>
  <c r="R1085" i="1"/>
  <c r="R1086" i="1"/>
  <c r="R1087" i="1"/>
  <c r="R1088" i="1"/>
  <c r="R1089" i="1"/>
  <c r="R1090" i="1"/>
  <c r="R1091" i="1"/>
  <c r="R1092" i="1"/>
  <c r="R1093" i="1"/>
  <c r="R1094" i="1"/>
  <c r="R1095" i="1"/>
  <c r="R1096" i="1"/>
  <c r="R1097" i="1"/>
  <c r="R1098" i="1"/>
  <c r="R1099" i="1"/>
  <c r="R1100" i="1"/>
  <c r="R1101" i="1"/>
  <c r="R1102" i="1"/>
  <c r="R1103" i="1"/>
  <c r="R1104" i="1"/>
  <c r="R1105" i="1"/>
  <c r="R1106" i="1"/>
  <c r="R1107" i="1"/>
  <c r="R1108" i="1"/>
  <c r="R1109" i="1"/>
  <c r="R1110" i="1"/>
  <c r="R1111" i="1"/>
  <c r="R1112" i="1"/>
  <c r="R1113" i="1"/>
  <c r="R1114" i="1"/>
  <c r="R1115" i="1"/>
  <c r="R1116" i="1"/>
  <c r="R1117" i="1"/>
  <c r="R1118" i="1"/>
  <c r="R1119" i="1"/>
  <c r="R1120" i="1"/>
  <c r="R1121" i="1"/>
  <c r="R1122" i="1"/>
  <c r="R1123" i="1"/>
  <c r="R1124" i="1"/>
  <c r="R1125" i="1"/>
  <c r="R1126" i="1"/>
  <c r="R1127" i="1"/>
  <c r="R1128" i="1"/>
  <c r="R1129" i="1"/>
  <c r="R1130" i="1"/>
  <c r="R1131" i="1"/>
  <c r="R1132" i="1"/>
  <c r="R1133" i="1"/>
  <c r="R1134" i="1"/>
  <c r="R1135" i="1"/>
  <c r="R1136" i="1"/>
  <c r="R1137" i="1"/>
  <c r="R1138" i="1"/>
  <c r="R1139" i="1"/>
  <c r="R1140" i="1"/>
  <c r="R1141" i="1"/>
  <c r="R1142" i="1"/>
  <c r="R1143" i="1"/>
  <c r="R1144" i="1"/>
  <c r="R1145" i="1"/>
  <c r="R1146" i="1"/>
  <c r="R1147" i="1"/>
  <c r="R1148" i="1"/>
  <c r="R1149" i="1"/>
  <c r="R1150" i="1"/>
  <c r="R1151" i="1"/>
  <c r="R1152" i="1"/>
  <c r="R1153" i="1"/>
  <c r="R1154" i="1"/>
  <c r="R1155" i="1"/>
  <c r="R1156" i="1"/>
  <c r="R1157" i="1"/>
  <c r="R1158" i="1"/>
  <c r="R1159" i="1"/>
  <c r="R1160" i="1"/>
  <c r="R1161" i="1"/>
  <c r="R1162" i="1"/>
  <c r="R1163" i="1"/>
  <c r="R1164" i="1"/>
  <c r="R1165" i="1"/>
  <c r="R1166" i="1"/>
  <c r="R1167" i="1"/>
  <c r="R1168" i="1"/>
  <c r="R1169" i="1"/>
  <c r="R1170" i="1"/>
  <c r="R1171" i="1"/>
  <c r="R1172" i="1"/>
  <c r="R1173" i="1"/>
  <c r="R1174" i="1"/>
  <c r="R1175" i="1"/>
  <c r="R1176" i="1"/>
  <c r="R1177" i="1"/>
  <c r="R1178" i="1"/>
  <c r="R1179" i="1"/>
  <c r="R1180" i="1"/>
  <c r="R1181" i="1"/>
  <c r="R1182" i="1"/>
  <c r="R1183" i="1"/>
  <c r="R1184" i="1"/>
  <c r="R1185" i="1"/>
  <c r="R1186" i="1"/>
  <c r="R1187" i="1"/>
  <c r="R1188" i="1"/>
  <c r="R1189" i="1"/>
  <c r="R1190" i="1"/>
  <c r="R1191" i="1"/>
  <c r="R1192" i="1"/>
  <c r="R1193" i="1"/>
  <c r="R1194" i="1"/>
  <c r="R1195" i="1"/>
  <c r="R1196" i="1"/>
  <c r="R1197" i="1"/>
  <c r="R1198" i="1"/>
  <c r="R1199" i="1"/>
  <c r="R1200" i="1"/>
  <c r="R1201" i="1"/>
  <c r="R1202" i="1"/>
  <c r="R1203" i="1"/>
  <c r="R1204" i="1"/>
  <c r="R1205" i="1"/>
  <c r="R1206" i="1"/>
  <c r="R1207" i="1"/>
  <c r="R1208" i="1"/>
  <c r="R1209" i="1"/>
  <c r="R1210" i="1"/>
  <c r="R1211" i="1"/>
  <c r="R1212" i="1"/>
  <c r="R1213" i="1"/>
  <c r="R1214" i="1"/>
  <c r="R1215" i="1"/>
  <c r="R1216" i="1"/>
  <c r="R1217" i="1"/>
  <c r="R1218" i="1"/>
  <c r="R1219" i="1"/>
  <c r="R1220" i="1"/>
  <c r="R1221" i="1"/>
  <c r="R1222" i="1"/>
  <c r="R1223" i="1"/>
  <c r="R1224" i="1"/>
  <c r="R1225" i="1"/>
  <c r="R1226" i="1"/>
  <c r="R1227" i="1"/>
  <c r="R1228" i="1"/>
  <c r="R1229" i="1"/>
  <c r="R1230" i="1"/>
  <c r="R1231" i="1"/>
  <c r="R1232" i="1"/>
  <c r="R1233" i="1"/>
  <c r="R1234" i="1"/>
  <c r="R1235" i="1"/>
  <c r="R1236" i="1"/>
  <c r="R1237" i="1"/>
  <c r="R1238" i="1"/>
  <c r="R1239" i="1"/>
  <c r="R1240" i="1"/>
  <c r="R1241" i="1"/>
  <c r="R1242" i="1"/>
  <c r="R1243" i="1"/>
  <c r="R1244" i="1"/>
  <c r="R1245" i="1"/>
  <c r="R1246" i="1"/>
  <c r="R1247" i="1"/>
  <c r="R1248" i="1"/>
  <c r="R1249" i="1"/>
  <c r="R1250" i="1"/>
  <c r="R1251" i="1"/>
  <c r="R1252" i="1"/>
  <c r="R1253" i="1"/>
  <c r="R1254" i="1"/>
  <c r="R1255" i="1"/>
  <c r="R1256" i="1"/>
  <c r="R1257" i="1"/>
  <c r="R1258" i="1"/>
  <c r="R1259" i="1"/>
  <c r="R1260" i="1"/>
  <c r="R1261" i="1"/>
  <c r="R1262" i="1"/>
  <c r="R1263" i="1"/>
  <c r="R1264" i="1"/>
  <c r="R1265" i="1"/>
  <c r="R1266" i="1"/>
  <c r="R1267" i="1"/>
  <c r="R1268" i="1"/>
  <c r="R1269" i="1"/>
  <c r="R1270" i="1"/>
  <c r="R1271" i="1"/>
  <c r="R1272" i="1"/>
  <c r="R1273" i="1"/>
  <c r="R1274" i="1"/>
  <c r="R1275" i="1"/>
  <c r="R1276" i="1"/>
  <c r="R1277" i="1"/>
  <c r="R1278" i="1"/>
  <c r="R1279" i="1"/>
  <c r="R1280" i="1"/>
  <c r="R1281" i="1"/>
  <c r="R1282" i="1"/>
  <c r="R1283" i="1"/>
  <c r="R1284" i="1"/>
  <c r="R1285" i="1"/>
  <c r="R1286" i="1"/>
  <c r="R1287" i="1"/>
  <c r="R1288" i="1"/>
  <c r="R1289" i="1"/>
  <c r="R1290" i="1"/>
  <c r="R1291" i="1"/>
  <c r="R1292" i="1"/>
  <c r="R1293" i="1"/>
  <c r="R1294" i="1"/>
  <c r="R1295" i="1"/>
  <c r="R1296" i="1"/>
  <c r="R1297" i="1"/>
  <c r="R1298" i="1"/>
  <c r="R1299" i="1"/>
  <c r="R1300" i="1"/>
  <c r="R1301" i="1"/>
  <c r="R1302" i="1"/>
  <c r="R1303" i="1"/>
  <c r="R1304" i="1"/>
  <c r="R1305" i="1"/>
  <c r="R1306" i="1"/>
  <c r="R1307" i="1"/>
  <c r="R1308" i="1"/>
  <c r="R1309" i="1"/>
  <c r="R1310" i="1"/>
  <c r="R1311" i="1"/>
  <c r="R1312" i="1"/>
  <c r="R1313" i="1"/>
  <c r="R1314" i="1"/>
  <c r="R1315" i="1"/>
  <c r="R1316" i="1"/>
  <c r="R1317" i="1"/>
  <c r="R1318" i="1"/>
  <c r="R1319" i="1"/>
  <c r="R1320" i="1"/>
  <c r="R1321" i="1"/>
  <c r="R1322" i="1"/>
  <c r="R1323" i="1"/>
  <c r="R1324" i="1"/>
  <c r="R1325" i="1"/>
  <c r="R1326" i="1"/>
  <c r="R1327" i="1"/>
  <c r="R1328" i="1"/>
  <c r="R1329" i="1"/>
  <c r="R1330" i="1"/>
  <c r="R1331" i="1"/>
  <c r="R1332" i="1"/>
  <c r="R1333" i="1"/>
  <c r="R1334" i="1"/>
  <c r="R1335" i="1"/>
  <c r="R1336" i="1"/>
  <c r="R1337" i="1"/>
  <c r="R1338" i="1"/>
  <c r="R1339" i="1"/>
  <c r="R1340" i="1"/>
  <c r="R1341" i="1"/>
  <c r="R1342" i="1"/>
  <c r="R1343" i="1"/>
  <c r="R1344" i="1"/>
  <c r="R1345" i="1"/>
  <c r="R1346" i="1"/>
  <c r="R1347" i="1"/>
  <c r="R1348" i="1"/>
  <c r="R1349" i="1"/>
  <c r="R1350" i="1"/>
  <c r="R1351" i="1"/>
  <c r="R1352" i="1"/>
  <c r="R1353" i="1"/>
  <c r="R1354" i="1"/>
  <c r="R1355" i="1"/>
  <c r="R1356" i="1"/>
  <c r="R1357" i="1"/>
  <c r="R1358" i="1"/>
  <c r="R1359" i="1"/>
  <c r="R1360" i="1"/>
  <c r="R1361" i="1"/>
  <c r="R1362" i="1"/>
  <c r="R1363" i="1"/>
  <c r="R1364" i="1"/>
  <c r="R1365" i="1"/>
  <c r="R1366" i="1"/>
  <c r="R1367" i="1"/>
  <c r="R1368" i="1"/>
  <c r="R1369" i="1"/>
  <c r="R1370" i="1"/>
  <c r="R1371" i="1"/>
  <c r="R1372" i="1"/>
  <c r="R1373" i="1"/>
  <c r="R1374" i="1"/>
  <c r="R1375" i="1"/>
  <c r="R1376" i="1"/>
  <c r="R1377" i="1"/>
  <c r="R1378" i="1"/>
  <c r="R1379" i="1"/>
  <c r="R1380" i="1"/>
  <c r="R1381" i="1"/>
  <c r="R1382" i="1"/>
  <c r="R1383" i="1"/>
  <c r="R1384" i="1"/>
  <c r="R1385" i="1"/>
  <c r="R1386" i="1"/>
  <c r="R1387" i="1"/>
  <c r="R1388" i="1"/>
  <c r="R1389" i="1"/>
  <c r="R1390" i="1"/>
  <c r="R1391" i="1"/>
  <c r="R1392" i="1"/>
  <c r="R1393" i="1"/>
  <c r="R1394" i="1"/>
  <c r="R1395" i="1"/>
  <c r="R1396" i="1"/>
  <c r="R1397" i="1"/>
  <c r="R1398" i="1"/>
  <c r="R1399" i="1"/>
  <c r="R1400" i="1"/>
  <c r="R1401" i="1"/>
  <c r="R1402" i="1"/>
  <c r="R1403" i="1"/>
  <c r="R1404" i="1"/>
  <c r="R1405" i="1"/>
  <c r="R1406" i="1"/>
  <c r="R1407" i="1"/>
  <c r="R1408" i="1"/>
  <c r="R1409" i="1"/>
  <c r="R1410" i="1"/>
  <c r="R1411" i="1"/>
  <c r="R1412" i="1"/>
  <c r="R1413" i="1"/>
  <c r="R1414" i="1"/>
  <c r="R1415" i="1"/>
  <c r="R1416" i="1"/>
  <c r="R1417" i="1"/>
  <c r="R1418" i="1"/>
  <c r="R1419" i="1"/>
  <c r="R1420" i="1"/>
  <c r="R1421" i="1"/>
  <c r="R1422" i="1"/>
  <c r="R1423" i="1"/>
  <c r="R1424" i="1"/>
  <c r="R1425" i="1"/>
  <c r="R1426" i="1"/>
  <c r="R1427" i="1"/>
  <c r="R1428" i="1"/>
  <c r="R1429" i="1"/>
  <c r="R1430" i="1"/>
  <c r="R1431" i="1"/>
  <c r="R1432" i="1"/>
  <c r="R1433" i="1"/>
  <c r="R1434" i="1"/>
  <c r="R1435" i="1"/>
  <c r="R1436" i="1"/>
  <c r="R1437" i="1"/>
  <c r="R1438" i="1"/>
  <c r="R1439" i="1"/>
  <c r="R1440" i="1"/>
  <c r="R1441" i="1"/>
  <c r="R1442" i="1"/>
  <c r="R1443" i="1"/>
  <c r="R1444" i="1"/>
  <c r="R1445" i="1"/>
  <c r="R1446" i="1"/>
  <c r="R1447" i="1"/>
  <c r="R1448" i="1"/>
  <c r="R1449" i="1"/>
  <c r="R1450" i="1"/>
  <c r="R1451" i="1"/>
  <c r="R1452" i="1"/>
  <c r="R1453" i="1"/>
  <c r="R1454" i="1"/>
  <c r="R1455" i="1"/>
  <c r="R1456" i="1"/>
  <c r="R1457" i="1"/>
  <c r="R1458" i="1"/>
  <c r="R1459" i="1"/>
  <c r="R1460" i="1"/>
  <c r="R1461" i="1"/>
  <c r="R1462" i="1"/>
  <c r="R1463" i="1"/>
  <c r="R1464" i="1"/>
  <c r="R1465" i="1"/>
  <c r="R1466" i="1"/>
  <c r="R1467" i="1"/>
  <c r="R1468" i="1"/>
  <c r="R1469" i="1"/>
  <c r="R1470" i="1"/>
  <c r="R1471" i="1"/>
  <c r="R1472" i="1"/>
  <c r="R1473" i="1"/>
  <c r="R1474" i="1"/>
  <c r="R1475" i="1"/>
  <c r="R1476" i="1"/>
  <c r="R1477" i="1"/>
  <c r="R1478" i="1"/>
  <c r="R1479" i="1"/>
  <c r="R1480" i="1"/>
  <c r="R1481" i="1"/>
  <c r="R1482" i="1"/>
  <c r="R1483" i="1"/>
  <c r="R1484" i="1"/>
  <c r="R1485" i="1"/>
  <c r="R1486" i="1"/>
  <c r="R1487" i="1"/>
  <c r="R1488" i="1"/>
  <c r="R1489" i="1"/>
  <c r="R1490" i="1"/>
  <c r="R1491" i="1"/>
  <c r="R1492" i="1"/>
  <c r="R1493" i="1"/>
  <c r="R1494" i="1"/>
  <c r="R1495" i="1"/>
  <c r="R1496" i="1"/>
  <c r="R1497" i="1"/>
  <c r="R1498" i="1"/>
  <c r="R1499" i="1"/>
  <c r="R1500" i="1"/>
  <c r="R1501" i="1"/>
  <c r="R1502" i="1"/>
  <c r="R1503" i="1"/>
  <c r="R1504" i="1"/>
  <c r="R1505" i="1"/>
  <c r="R1506" i="1"/>
  <c r="R1507" i="1"/>
  <c r="R1508" i="1"/>
  <c r="R1509" i="1"/>
  <c r="R1510" i="1"/>
  <c r="R1511" i="1"/>
  <c r="R1512" i="1"/>
  <c r="R1513" i="1"/>
  <c r="R1514" i="1"/>
  <c r="R1515" i="1"/>
  <c r="R1516" i="1"/>
  <c r="R1517" i="1"/>
  <c r="R1518" i="1"/>
  <c r="R1519" i="1"/>
  <c r="R1520" i="1"/>
  <c r="R1521" i="1"/>
  <c r="R1522" i="1"/>
  <c r="R1523" i="1"/>
  <c r="R1524" i="1"/>
  <c r="R1525" i="1"/>
  <c r="R1526" i="1"/>
  <c r="R1527" i="1"/>
  <c r="R1528" i="1"/>
  <c r="R1529" i="1"/>
  <c r="R1530" i="1"/>
  <c r="R1531" i="1"/>
  <c r="R1532" i="1"/>
  <c r="R1533" i="1"/>
  <c r="R1534" i="1"/>
  <c r="R1535" i="1"/>
  <c r="R1536" i="1"/>
  <c r="R1537" i="1"/>
  <c r="R1538" i="1"/>
  <c r="R1539" i="1"/>
  <c r="R1540" i="1"/>
  <c r="R1541" i="1"/>
  <c r="R1542" i="1"/>
  <c r="R1543" i="1"/>
  <c r="R1544" i="1"/>
  <c r="R1545" i="1"/>
  <c r="R1546" i="1"/>
  <c r="R1547" i="1"/>
  <c r="R1548" i="1"/>
  <c r="R1549" i="1"/>
  <c r="R1550" i="1"/>
  <c r="R1551" i="1"/>
  <c r="R1552" i="1"/>
  <c r="R1553" i="1"/>
  <c r="R1554" i="1"/>
  <c r="R1555" i="1"/>
  <c r="R1556" i="1"/>
  <c r="R1557" i="1"/>
  <c r="R1558" i="1"/>
  <c r="R1559" i="1"/>
  <c r="R1560" i="1"/>
  <c r="R1561" i="1"/>
  <c r="R1562" i="1"/>
  <c r="R1563" i="1"/>
  <c r="R1564" i="1"/>
  <c r="R1565" i="1"/>
  <c r="R1566" i="1"/>
  <c r="R1567" i="1"/>
  <c r="R1568" i="1"/>
  <c r="R1569" i="1"/>
  <c r="R1570" i="1"/>
  <c r="R1571" i="1"/>
  <c r="R1572" i="1"/>
  <c r="R1573" i="1"/>
  <c r="R1574" i="1"/>
  <c r="R1575" i="1"/>
  <c r="R1576" i="1"/>
  <c r="R1577" i="1"/>
  <c r="R1578" i="1"/>
  <c r="R1579" i="1"/>
  <c r="R1580" i="1"/>
  <c r="R1581" i="1"/>
  <c r="R1582" i="1"/>
  <c r="R1583" i="1"/>
  <c r="R1584" i="1"/>
  <c r="R1585" i="1"/>
  <c r="R1586" i="1"/>
  <c r="R1587" i="1"/>
  <c r="R1588" i="1"/>
  <c r="R1589" i="1"/>
  <c r="R1590" i="1"/>
  <c r="R1591" i="1"/>
  <c r="R1592" i="1"/>
  <c r="R1593" i="1"/>
  <c r="R1594" i="1"/>
  <c r="R1595" i="1"/>
  <c r="R1596" i="1"/>
  <c r="R1597" i="1"/>
  <c r="R1598" i="1"/>
  <c r="R1599" i="1"/>
  <c r="R1600" i="1"/>
  <c r="R1601" i="1"/>
  <c r="R1602" i="1"/>
  <c r="R1603" i="1"/>
  <c r="R1604" i="1"/>
  <c r="R1605" i="1"/>
  <c r="R1606" i="1"/>
  <c r="R1607" i="1"/>
  <c r="R1608" i="1"/>
  <c r="R1609" i="1"/>
  <c r="R1610" i="1"/>
  <c r="R1611" i="1"/>
  <c r="R1612" i="1"/>
  <c r="R1613" i="1"/>
  <c r="R1614" i="1"/>
  <c r="R1615" i="1"/>
  <c r="R1616" i="1"/>
  <c r="R1617" i="1"/>
  <c r="R1618" i="1"/>
  <c r="R1619" i="1"/>
  <c r="R1620" i="1"/>
  <c r="R1621" i="1"/>
  <c r="R1622" i="1"/>
  <c r="R1623" i="1"/>
  <c r="R1624" i="1"/>
  <c r="R1625" i="1"/>
  <c r="R1626" i="1"/>
  <c r="R1627" i="1"/>
  <c r="R1628" i="1"/>
  <c r="R1629" i="1"/>
  <c r="R1630" i="1"/>
  <c r="R1631" i="1"/>
  <c r="R1632" i="1"/>
  <c r="R1633" i="1"/>
  <c r="R1634" i="1"/>
  <c r="R1635" i="1"/>
  <c r="R1636" i="1"/>
  <c r="R1637" i="1"/>
  <c r="R1638" i="1"/>
  <c r="R1639" i="1"/>
  <c r="R1640" i="1"/>
  <c r="R1641" i="1"/>
  <c r="R1642" i="1"/>
  <c r="R1643" i="1"/>
  <c r="R1644" i="1"/>
  <c r="R1645" i="1"/>
  <c r="R1646" i="1"/>
  <c r="R1647" i="1"/>
  <c r="R1648" i="1"/>
  <c r="R1649" i="1"/>
  <c r="R1650" i="1"/>
  <c r="R1651" i="1"/>
  <c r="R1652" i="1"/>
  <c r="R1653" i="1"/>
  <c r="R1654" i="1"/>
  <c r="R1655" i="1"/>
  <c r="R1656" i="1"/>
  <c r="R1657" i="1"/>
  <c r="R1658" i="1"/>
  <c r="R1659" i="1"/>
  <c r="R1660" i="1"/>
  <c r="R1661" i="1"/>
  <c r="R1662" i="1"/>
  <c r="R1663" i="1"/>
  <c r="R1664" i="1"/>
  <c r="R1665" i="1"/>
  <c r="R1666" i="1"/>
  <c r="R1667" i="1"/>
  <c r="R1668" i="1"/>
  <c r="R1669" i="1"/>
  <c r="R1670" i="1"/>
  <c r="R1671" i="1"/>
  <c r="R1672" i="1"/>
  <c r="R1673" i="1"/>
  <c r="R1674" i="1"/>
  <c r="R1675" i="1"/>
  <c r="R1676" i="1"/>
  <c r="R1677" i="1"/>
  <c r="R1678" i="1"/>
  <c r="R1679" i="1"/>
  <c r="R1680" i="1"/>
  <c r="R1681" i="1"/>
  <c r="R1682" i="1"/>
  <c r="R1683" i="1"/>
  <c r="R1684" i="1"/>
  <c r="R1685" i="1"/>
  <c r="R1686" i="1"/>
  <c r="R1687" i="1"/>
  <c r="R1688" i="1"/>
  <c r="R1689" i="1"/>
  <c r="R1690" i="1"/>
  <c r="R1691" i="1"/>
  <c r="R1692" i="1"/>
  <c r="R1693" i="1"/>
  <c r="R1694" i="1"/>
  <c r="R1695" i="1"/>
  <c r="R1696" i="1"/>
  <c r="R1697" i="1"/>
  <c r="R1698" i="1"/>
  <c r="R1699" i="1"/>
  <c r="R1700" i="1"/>
  <c r="R1701" i="1"/>
  <c r="R1702" i="1"/>
  <c r="R1703" i="1"/>
  <c r="R1704" i="1"/>
  <c r="R1705" i="1"/>
  <c r="R1706" i="1"/>
  <c r="R1707" i="1"/>
  <c r="R1708" i="1"/>
  <c r="R1709" i="1"/>
  <c r="R1710" i="1"/>
  <c r="R1711" i="1"/>
  <c r="R1712" i="1"/>
  <c r="R1713" i="1"/>
  <c r="R1714" i="1"/>
  <c r="R1715" i="1"/>
  <c r="R1716" i="1"/>
  <c r="R1717" i="1"/>
  <c r="R1718" i="1"/>
  <c r="R1719" i="1"/>
  <c r="R1720" i="1"/>
  <c r="R1721" i="1"/>
  <c r="R1722" i="1"/>
  <c r="R1723" i="1"/>
  <c r="R1724" i="1"/>
  <c r="R1725" i="1"/>
  <c r="R1726" i="1"/>
  <c r="R1727" i="1"/>
  <c r="R1728" i="1"/>
  <c r="R1729" i="1"/>
  <c r="R1730" i="1"/>
  <c r="R1731" i="1"/>
  <c r="R1732" i="1"/>
  <c r="R1733" i="1"/>
  <c r="R1734" i="1"/>
  <c r="R1735" i="1"/>
  <c r="R1736" i="1"/>
  <c r="R1737" i="1"/>
  <c r="R1738" i="1"/>
  <c r="R1739" i="1"/>
  <c r="R1740" i="1"/>
  <c r="R1741" i="1"/>
  <c r="R1742" i="1"/>
  <c r="R1743" i="1"/>
  <c r="R1744" i="1"/>
  <c r="R1745" i="1"/>
  <c r="R1746" i="1"/>
  <c r="R1747" i="1"/>
  <c r="R1748" i="1"/>
  <c r="R1749" i="1"/>
  <c r="R1750" i="1"/>
  <c r="R1751" i="1"/>
  <c r="R1752" i="1"/>
  <c r="R1753" i="1"/>
  <c r="R1754" i="1"/>
  <c r="R1755" i="1"/>
  <c r="R1756" i="1"/>
  <c r="R1757" i="1"/>
  <c r="R1758" i="1"/>
  <c r="R1759" i="1"/>
  <c r="R1760" i="1"/>
  <c r="R1761" i="1"/>
  <c r="R1762" i="1"/>
  <c r="R1763" i="1"/>
  <c r="R1764" i="1"/>
  <c r="R1765" i="1"/>
  <c r="R1766" i="1"/>
  <c r="R1767" i="1"/>
  <c r="R1768" i="1"/>
  <c r="R1769" i="1"/>
  <c r="R1770" i="1"/>
  <c r="R1771" i="1"/>
  <c r="R1772" i="1"/>
  <c r="R1773" i="1"/>
  <c r="R1774" i="1"/>
  <c r="R1775" i="1"/>
  <c r="R1776" i="1"/>
  <c r="R1777" i="1"/>
  <c r="R1778" i="1"/>
  <c r="R1779" i="1"/>
  <c r="R1780" i="1"/>
  <c r="R1781" i="1"/>
  <c r="R1782" i="1"/>
  <c r="R1783" i="1"/>
  <c r="R1784" i="1"/>
  <c r="R1785" i="1"/>
  <c r="R1786" i="1"/>
  <c r="R1787" i="1"/>
  <c r="R1788" i="1"/>
  <c r="R1789" i="1"/>
  <c r="R1790" i="1"/>
  <c r="R1791" i="1"/>
  <c r="R1792" i="1"/>
  <c r="R1793" i="1"/>
  <c r="R1794" i="1"/>
  <c r="R1795" i="1"/>
  <c r="R1796" i="1"/>
  <c r="R1797" i="1"/>
  <c r="R1798" i="1"/>
  <c r="R1799" i="1"/>
  <c r="R1800" i="1"/>
  <c r="R1801" i="1"/>
  <c r="R1802" i="1"/>
  <c r="R1803" i="1"/>
  <c r="R1804" i="1"/>
  <c r="R1805" i="1"/>
  <c r="R1806" i="1"/>
  <c r="R1807" i="1"/>
  <c r="R1808" i="1"/>
  <c r="R1809" i="1"/>
  <c r="R1810" i="1"/>
  <c r="R1811" i="1"/>
  <c r="R1812" i="1"/>
  <c r="R1813" i="1"/>
  <c r="R1814" i="1"/>
  <c r="R1815" i="1"/>
  <c r="R1816" i="1"/>
  <c r="R1817" i="1"/>
  <c r="R1818" i="1"/>
  <c r="R1819" i="1"/>
  <c r="R1820" i="1"/>
  <c r="R1821" i="1"/>
  <c r="R1822" i="1"/>
  <c r="Q3" i="1"/>
  <c r="S3" i="1" s="1"/>
  <c r="V3" i="1" s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S51" i="1" s="1"/>
  <c r="V51" i="1" s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S81" i="1" s="1"/>
  <c r="V81" i="1" s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S104" i="1" s="1"/>
  <c r="V104" i="1" s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S146" i="1" s="1"/>
  <c r="V146" i="1" s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S209" i="1" s="1"/>
  <c r="V209" i="1" s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S289" i="1" s="1"/>
  <c r="V289" i="1" s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S309" i="1" s="1"/>
  <c r="V309" i="1" s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S377" i="1" s="1"/>
  <c r="V377" i="1" s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S445" i="1" s="1"/>
  <c r="V445" i="1" s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S513" i="1" s="1"/>
  <c r="V513" i="1" s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S779" i="1" s="1"/>
  <c r="V779" i="1" s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S885" i="1" s="1"/>
  <c r="V885" i="1" s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S1497" i="1" s="1"/>
  <c r="V1497" i="1" s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S1625" i="1" s="1"/>
  <c r="V1625" i="1" s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M951" i="21" l="1"/>
  <c r="M887" i="21"/>
  <c r="M962" i="21"/>
  <c r="M954" i="21"/>
  <c r="M946" i="21"/>
  <c r="M938" i="21"/>
  <c r="M930" i="21"/>
  <c r="M922" i="21"/>
  <c r="M914" i="21"/>
  <c r="M906" i="21"/>
  <c r="M898" i="21"/>
  <c r="M890" i="21"/>
  <c r="M882" i="21"/>
  <c r="M874" i="21"/>
  <c r="M866" i="21"/>
  <c r="M858" i="21"/>
  <c r="M850" i="21"/>
  <c r="M842" i="21"/>
  <c r="M834" i="21"/>
  <c r="M826" i="21"/>
  <c r="M818" i="21"/>
  <c r="M802" i="21"/>
  <c r="M794" i="21"/>
  <c r="M786" i="21"/>
  <c r="M778" i="21"/>
  <c r="M770" i="21"/>
  <c r="M762" i="21"/>
  <c r="M754" i="21"/>
  <c r="M746" i="21"/>
  <c r="M738" i="21"/>
  <c r="M730" i="21"/>
  <c r="M722" i="21"/>
  <c r="M714" i="21"/>
  <c r="M706" i="21"/>
  <c r="M698" i="21"/>
  <c r="M690" i="21"/>
  <c r="M442" i="21"/>
  <c r="M943" i="21"/>
  <c r="M953" i="21"/>
  <c r="M921" i="21"/>
  <c r="M889" i="21"/>
  <c r="M865" i="21"/>
  <c r="M849" i="21"/>
  <c r="M825" i="21"/>
  <c r="M793" i="21"/>
  <c r="M745" i="21"/>
  <c r="M729" i="21"/>
  <c r="M697" i="21"/>
  <c r="M681" i="21"/>
  <c r="M625" i="21"/>
  <c r="M601" i="21"/>
  <c r="M569" i="21"/>
  <c r="M553" i="21"/>
  <c r="M505" i="21"/>
  <c r="M401" i="21"/>
  <c r="M241" i="21"/>
  <c r="M17" i="21"/>
  <c r="M919" i="21"/>
  <c r="M961" i="21"/>
  <c r="M945" i="21"/>
  <c r="M929" i="21"/>
  <c r="M913" i="21"/>
  <c r="M897" i="21"/>
  <c r="M881" i="21"/>
  <c r="M857" i="21"/>
  <c r="M833" i="21"/>
  <c r="M817" i="21"/>
  <c r="M801" i="21"/>
  <c r="M785" i="21"/>
  <c r="M761" i="21"/>
  <c r="M737" i="21"/>
  <c r="M721" i="21"/>
  <c r="M689" i="21"/>
  <c r="M673" i="21"/>
  <c r="M657" i="21"/>
  <c r="M617" i="21"/>
  <c r="M609" i="21"/>
  <c r="M593" i="21"/>
  <c r="M577" i="21"/>
  <c r="M561" i="21"/>
  <c r="M545" i="21"/>
  <c r="M529" i="21"/>
  <c r="M497" i="21"/>
  <c r="M481" i="21"/>
  <c r="M433" i="21"/>
  <c r="M353" i="21"/>
  <c r="M337" i="21"/>
  <c r="M305" i="21"/>
  <c r="M289" i="21"/>
  <c r="M273" i="21"/>
  <c r="M225" i="21"/>
  <c r="M217" i="21"/>
  <c r="M193" i="21"/>
  <c r="M185" i="21"/>
  <c r="M145" i="21"/>
  <c r="M129" i="21"/>
  <c r="M113" i="21"/>
  <c r="M89" i="21"/>
  <c r="M57" i="21"/>
  <c r="M49" i="21"/>
  <c r="M33" i="21"/>
  <c r="M960" i="21"/>
  <c r="M952" i="21"/>
  <c r="M944" i="21"/>
  <c r="M920" i="21"/>
  <c r="M912" i="21"/>
  <c r="M888" i="21"/>
  <c r="M880" i="21"/>
  <c r="M856" i="21"/>
  <c r="M848" i="21"/>
  <c r="M824" i="21"/>
  <c r="M816" i="21"/>
  <c r="M792" i="21"/>
  <c r="M784" i="21"/>
  <c r="M879" i="21"/>
  <c r="M911" i="21"/>
  <c r="M959" i="21"/>
  <c r="M489" i="21"/>
  <c r="M457" i="21"/>
  <c r="M25" i="21"/>
  <c r="M674" i="21"/>
  <c r="M658" i="21"/>
  <c r="M642" i="21"/>
  <c r="M626" i="21"/>
  <c r="M602" i="21"/>
  <c r="M586" i="21"/>
  <c r="M570" i="21"/>
  <c r="M554" i="21"/>
  <c r="M538" i="21"/>
  <c r="M522" i="21"/>
  <c r="M506" i="21"/>
  <c r="M482" i="21"/>
  <c r="M466" i="21"/>
  <c r="M450" i="21"/>
  <c r="M434" i="21"/>
  <c r="M410" i="21"/>
  <c r="M370" i="21"/>
  <c r="M26" i="21"/>
  <c r="M705" i="21"/>
  <c r="M585" i="21"/>
  <c r="M513" i="21"/>
  <c r="M393" i="21"/>
  <c r="M321" i="21"/>
  <c r="M265" i="21"/>
  <c r="M682" i="21"/>
  <c r="M666" i="21"/>
  <c r="M650" i="21"/>
  <c r="M634" i="21"/>
  <c r="M618" i="21"/>
  <c r="M610" i="21"/>
  <c r="M594" i="21"/>
  <c r="M578" i="21"/>
  <c r="M562" i="21"/>
  <c r="M546" i="21"/>
  <c r="M530" i="21"/>
  <c r="M514" i="21"/>
  <c r="M498" i="21"/>
  <c r="M490" i="21"/>
  <c r="M474" i="21"/>
  <c r="M458" i="21"/>
  <c r="M426" i="21"/>
  <c r="M418" i="21"/>
  <c r="M394" i="21"/>
  <c r="M378" i="21"/>
  <c r="M362" i="21"/>
  <c r="M354" i="21"/>
  <c r="M338" i="21"/>
  <c r="M330" i="21"/>
  <c r="M322" i="21"/>
  <c r="M306" i="21"/>
  <c r="M290" i="21"/>
  <c r="M274" i="21"/>
  <c r="M250" i="21"/>
  <c r="M234" i="21"/>
  <c r="M226" i="21"/>
  <c r="M210" i="21"/>
  <c r="M194" i="21"/>
  <c r="M178" i="21"/>
  <c r="M162" i="21"/>
  <c r="M146" i="21"/>
  <c r="M130" i="21"/>
  <c r="M114" i="21"/>
  <c r="M98" i="21"/>
  <c r="M90" i="21"/>
  <c r="M74" i="21"/>
  <c r="M58" i="21"/>
  <c r="M42" i="21"/>
  <c r="M34" i="21"/>
  <c r="M18" i="21"/>
  <c r="M769" i="21"/>
  <c r="M713" i="21"/>
  <c r="M665" i="21"/>
  <c r="M641" i="21"/>
  <c r="M521" i="21"/>
  <c r="M465" i="21"/>
  <c r="M441" i="21"/>
  <c r="M369" i="21"/>
  <c r="M329" i="21"/>
  <c r="M257" i="21"/>
  <c r="M233" i="21"/>
  <c r="M201" i="21"/>
  <c r="M169" i="21"/>
  <c r="M153" i="21"/>
  <c r="M137" i="21"/>
  <c r="M105" i="21"/>
  <c r="M97" i="21"/>
  <c r="M81" i="21"/>
  <c r="M73" i="21"/>
  <c r="M41" i="21"/>
  <c r="M9" i="21"/>
  <c r="M768" i="21"/>
  <c r="M760" i="21"/>
  <c r="M704" i="21"/>
  <c r="M696" i="21"/>
  <c r="M664" i="21"/>
  <c r="M624" i="21"/>
  <c r="M402" i="21"/>
  <c r="M386" i="21"/>
  <c r="M346" i="21"/>
  <c r="M314" i="21"/>
  <c r="M298" i="21"/>
  <c r="M282" i="21"/>
  <c r="M266" i="21"/>
  <c r="M258" i="21"/>
  <c r="M242" i="21"/>
  <c r="M218" i="21"/>
  <c r="M202" i="21"/>
  <c r="M186" i="21"/>
  <c r="M170" i="21"/>
  <c r="M154" i="21"/>
  <c r="M138" i="21"/>
  <c r="M122" i="21"/>
  <c r="M106" i="21"/>
  <c r="M82" i="21"/>
  <c r="M66" i="21"/>
  <c r="M50" i="21"/>
  <c r="M10" i="21"/>
  <c r="M777" i="21"/>
  <c r="M633" i="21"/>
  <c r="M537" i="21"/>
  <c r="M449" i="21"/>
  <c r="M417" i="21"/>
  <c r="M385" i="21"/>
  <c r="M281" i="21"/>
  <c r="M209" i="21"/>
  <c r="M632" i="21"/>
  <c r="M576" i="21"/>
  <c r="M568" i="21"/>
  <c r="M512" i="21"/>
  <c r="M504" i="21"/>
  <c r="M448" i="21"/>
  <c r="M440" i="21"/>
  <c r="M384" i="21"/>
  <c r="M376" i="21"/>
  <c r="M320" i="21"/>
  <c r="M256" i="21"/>
  <c r="M791" i="21"/>
  <c r="M783" i="21"/>
  <c r="M775" i="21"/>
  <c r="M767" i="21"/>
  <c r="M759" i="21"/>
  <c r="M751" i="21"/>
  <c r="M743" i="21"/>
  <c r="M735" i="21"/>
  <c r="M727" i="21"/>
  <c r="M719" i="21"/>
  <c r="M711" i="21"/>
  <c r="M703" i="21"/>
  <c r="M695" i="21"/>
  <c r="M687" i="21"/>
  <c r="M623" i="21"/>
  <c r="M567" i="21"/>
  <c r="M503" i="21"/>
  <c r="M439" i="21"/>
  <c r="M375" i="21"/>
  <c r="S1822" i="1"/>
  <c r="V1822" i="1" s="1"/>
  <c r="S1814" i="1"/>
  <c r="V1814" i="1" s="1"/>
  <c r="S1806" i="1"/>
  <c r="V1806" i="1" s="1"/>
  <c r="S1798" i="1"/>
  <c r="V1798" i="1" s="1"/>
  <c r="S1790" i="1"/>
  <c r="V1790" i="1" s="1"/>
  <c r="S1782" i="1"/>
  <c r="V1782" i="1" s="1"/>
  <c r="S1774" i="1"/>
  <c r="V1774" i="1" s="1"/>
  <c r="S1766" i="1"/>
  <c r="V1766" i="1" s="1"/>
  <c r="S1758" i="1"/>
  <c r="V1758" i="1" s="1"/>
  <c r="S1750" i="1"/>
  <c r="V1750" i="1" s="1"/>
  <c r="S1742" i="1"/>
  <c r="V1742" i="1" s="1"/>
  <c r="S1734" i="1"/>
  <c r="V1734" i="1" s="1"/>
  <c r="S1726" i="1"/>
  <c r="V1726" i="1" s="1"/>
  <c r="S1718" i="1"/>
  <c r="V1718" i="1" s="1"/>
  <c r="S1710" i="1"/>
  <c r="V1710" i="1" s="1"/>
  <c r="S1702" i="1"/>
  <c r="V1702" i="1" s="1"/>
  <c r="S1694" i="1"/>
  <c r="V1694" i="1" s="1"/>
  <c r="S1686" i="1"/>
  <c r="V1686" i="1" s="1"/>
  <c r="S1678" i="1"/>
  <c r="V1678" i="1" s="1"/>
  <c r="S1670" i="1"/>
  <c r="V1670" i="1" s="1"/>
  <c r="S1662" i="1"/>
  <c r="V1662" i="1" s="1"/>
  <c r="S1654" i="1"/>
  <c r="V1654" i="1" s="1"/>
  <c r="S1646" i="1"/>
  <c r="V1646" i="1" s="1"/>
  <c r="S1638" i="1"/>
  <c r="V1638" i="1" s="1"/>
  <c r="S1630" i="1"/>
  <c r="V1630" i="1" s="1"/>
  <c r="S1622" i="1"/>
  <c r="V1622" i="1" s="1"/>
  <c r="S1614" i="1"/>
  <c r="V1614" i="1" s="1"/>
  <c r="S1606" i="1"/>
  <c r="V1606" i="1" s="1"/>
  <c r="S1598" i="1"/>
  <c r="V1598" i="1" s="1"/>
  <c r="S1590" i="1"/>
  <c r="V1590" i="1" s="1"/>
  <c r="S1582" i="1"/>
  <c r="V1582" i="1" s="1"/>
  <c r="S1574" i="1"/>
  <c r="V1574" i="1" s="1"/>
  <c r="S1566" i="1"/>
  <c r="V1566" i="1" s="1"/>
  <c r="S1558" i="1"/>
  <c r="V1558" i="1" s="1"/>
  <c r="S1550" i="1"/>
  <c r="V1550" i="1" s="1"/>
  <c r="S1542" i="1"/>
  <c r="V1542" i="1" s="1"/>
  <c r="S1534" i="1"/>
  <c r="V1534" i="1" s="1"/>
  <c r="S1526" i="1"/>
  <c r="V1526" i="1" s="1"/>
  <c r="S1518" i="1"/>
  <c r="V1518" i="1" s="1"/>
  <c r="S1510" i="1"/>
  <c r="V1510" i="1" s="1"/>
  <c r="S1502" i="1"/>
  <c r="V1502" i="1" s="1"/>
  <c r="S1494" i="1"/>
  <c r="V1494" i="1" s="1"/>
  <c r="S1486" i="1"/>
  <c r="V1486" i="1" s="1"/>
  <c r="S1478" i="1"/>
  <c r="V1478" i="1" s="1"/>
  <c r="S1470" i="1"/>
  <c r="V1470" i="1" s="1"/>
  <c r="S1462" i="1"/>
  <c r="V1462" i="1" s="1"/>
  <c r="S1454" i="1"/>
  <c r="V1454" i="1" s="1"/>
  <c r="S1446" i="1"/>
  <c r="V1446" i="1" s="1"/>
  <c r="S1438" i="1"/>
  <c r="V1438" i="1" s="1"/>
  <c r="S1430" i="1"/>
  <c r="V1430" i="1" s="1"/>
  <c r="S1422" i="1"/>
  <c r="V1422" i="1" s="1"/>
  <c r="S1414" i="1"/>
  <c r="V1414" i="1" s="1"/>
  <c r="S1406" i="1"/>
  <c r="V1406" i="1" s="1"/>
  <c r="S1398" i="1"/>
  <c r="V1398" i="1" s="1"/>
  <c r="S1390" i="1"/>
  <c r="V1390" i="1" s="1"/>
  <c r="S1382" i="1"/>
  <c r="V1382" i="1" s="1"/>
  <c r="S1374" i="1"/>
  <c r="V1374" i="1" s="1"/>
  <c r="S1366" i="1"/>
  <c r="V1366" i="1" s="1"/>
  <c r="S1358" i="1"/>
  <c r="V1358" i="1" s="1"/>
  <c r="S1350" i="1"/>
  <c r="V1350" i="1" s="1"/>
  <c r="S1342" i="1"/>
  <c r="V1342" i="1" s="1"/>
  <c r="S1334" i="1"/>
  <c r="V1334" i="1" s="1"/>
  <c r="S1326" i="1"/>
  <c r="V1326" i="1" s="1"/>
  <c r="S1318" i="1"/>
  <c r="V1318" i="1" s="1"/>
  <c r="S1310" i="1"/>
  <c r="V1310" i="1" s="1"/>
  <c r="S1302" i="1"/>
  <c r="V1302" i="1" s="1"/>
  <c r="S1294" i="1"/>
  <c r="V1294" i="1" s="1"/>
  <c r="S1286" i="1"/>
  <c r="V1286" i="1" s="1"/>
  <c r="S1278" i="1"/>
  <c r="V1278" i="1" s="1"/>
  <c r="S1270" i="1"/>
  <c r="V1270" i="1" s="1"/>
  <c r="S1262" i="1"/>
  <c r="V1262" i="1" s="1"/>
  <c r="S1254" i="1"/>
  <c r="V1254" i="1" s="1"/>
  <c r="S1246" i="1"/>
  <c r="V1246" i="1" s="1"/>
  <c r="S1238" i="1"/>
  <c r="V1238" i="1" s="1"/>
  <c r="S1230" i="1"/>
  <c r="V1230" i="1" s="1"/>
  <c r="S1222" i="1"/>
  <c r="V1222" i="1" s="1"/>
  <c r="S1214" i="1"/>
  <c r="V1214" i="1" s="1"/>
  <c r="S1206" i="1"/>
  <c r="V1206" i="1" s="1"/>
  <c r="S1198" i="1"/>
  <c r="V1198" i="1" s="1"/>
  <c r="S1190" i="1"/>
  <c r="V1190" i="1" s="1"/>
  <c r="S1182" i="1"/>
  <c r="V1182" i="1" s="1"/>
  <c r="S1174" i="1"/>
  <c r="V1174" i="1" s="1"/>
  <c r="S1166" i="1"/>
  <c r="V1166" i="1" s="1"/>
  <c r="S1158" i="1"/>
  <c r="V1158" i="1" s="1"/>
  <c r="S1150" i="1"/>
  <c r="V1150" i="1" s="1"/>
  <c r="S1142" i="1"/>
  <c r="V1142" i="1" s="1"/>
  <c r="S1134" i="1"/>
  <c r="V1134" i="1" s="1"/>
  <c r="S1126" i="1"/>
  <c r="V1126" i="1" s="1"/>
  <c r="S1118" i="1"/>
  <c r="V1118" i="1" s="1"/>
  <c r="S1110" i="1"/>
  <c r="V1110" i="1" s="1"/>
  <c r="S1102" i="1"/>
  <c r="V1102" i="1" s="1"/>
  <c r="S1094" i="1"/>
  <c r="V1094" i="1" s="1"/>
  <c r="S1086" i="1"/>
  <c r="V1086" i="1" s="1"/>
  <c r="S1078" i="1"/>
  <c r="V1078" i="1" s="1"/>
  <c r="S1070" i="1"/>
  <c r="V1070" i="1" s="1"/>
  <c r="S1062" i="1"/>
  <c r="V1062" i="1" s="1"/>
  <c r="S1054" i="1"/>
  <c r="V1054" i="1" s="1"/>
  <c r="S1046" i="1"/>
  <c r="V1046" i="1" s="1"/>
  <c r="S1038" i="1"/>
  <c r="V1038" i="1" s="1"/>
  <c r="S1030" i="1"/>
  <c r="V1030" i="1" s="1"/>
  <c r="S1022" i="1"/>
  <c r="V1022" i="1" s="1"/>
  <c r="S1014" i="1"/>
  <c r="V1014" i="1" s="1"/>
  <c r="S1006" i="1"/>
  <c r="V1006" i="1" s="1"/>
  <c r="S998" i="1"/>
  <c r="V998" i="1" s="1"/>
  <c r="S990" i="1"/>
  <c r="V990" i="1" s="1"/>
  <c r="S982" i="1"/>
  <c r="V982" i="1" s="1"/>
  <c r="S974" i="1"/>
  <c r="V974" i="1" s="1"/>
  <c r="S966" i="1"/>
  <c r="V966" i="1" s="1"/>
  <c r="S958" i="1"/>
  <c r="V958" i="1" s="1"/>
  <c r="S950" i="1"/>
  <c r="V950" i="1" s="1"/>
  <c r="S942" i="1"/>
  <c r="V942" i="1" s="1"/>
  <c r="S934" i="1"/>
  <c r="V934" i="1" s="1"/>
  <c r="S926" i="1"/>
  <c r="V926" i="1" s="1"/>
  <c r="S918" i="1"/>
  <c r="V918" i="1" s="1"/>
  <c r="S910" i="1"/>
  <c r="V910" i="1" s="1"/>
  <c r="S902" i="1"/>
  <c r="V902" i="1" s="1"/>
  <c r="S894" i="1"/>
  <c r="V894" i="1" s="1"/>
  <c r="S886" i="1"/>
  <c r="V886" i="1" s="1"/>
  <c r="S878" i="1"/>
  <c r="V878" i="1" s="1"/>
  <c r="S870" i="1"/>
  <c r="V870" i="1" s="1"/>
  <c r="S862" i="1"/>
  <c r="V862" i="1" s="1"/>
  <c r="S854" i="1"/>
  <c r="V854" i="1" s="1"/>
  <c r="S846" i="1"/>
  <c r="V846" i="1" s="1"/>
  <c r="S838" i="1"/>
  <c r="V838" i="1" s="1"/>
  <c r="S830" i="1"/>
  <c r="V830" i="1" s="1"/>
  <c r="S822" i="1"/>
  <c r="V822" i="1" s="1"/>
  <c r="S814" i="1"/>
  <c r="V814" i="1" s="1"/>
  <c r="S806" i="1"/>
  <c r="V806" i="1" s="1"/>
  <c r="S798" i="1"/>
  <c r="V798" i="1" s="1"/>
  <c r="S790" i="1"/>
  <c r="V790" i="1" s="1"/>
  <c r="S782" i="1"/>
  <c r="V782" i="1" s="1"/>
  <c r="S774" i="1"/>
  <c r="V774" i="1" s="1"/>
  <c r="S766" i="1"/>
  <c r="V766" i="1" s="1"/>
  <c r="S758" i="1"/>
  <c r="V758" i="1" s="1"/>
  <c r="S750" i="1"/>
  <c r="V750" i="1" s="1"/>
  <c r="S742" i="1"/>
  <c r="V742" i="1" s="1"/>
  <c r="S734" i="1"/>
  <c r="V734" i="1" s="1"/>
  <c r="S726" i="1"/>
  <c r="V726" i="1" s="1"/>
  <c r="S718" i="1"/>
  <c r="V718" i="1" s="1"/>
  <c r="S710" i="1"/>
  <c r="V710" i="1" s="1"/>
  <c r="S702" i="1"/>
  <c r="V702" i="1" s="1"/>
  <c r="S694" i="1"/>
  <c r="V694" i="1" s="1"/>
  <c r="S686" i="1"/>
  <c r="V686" i="1" s="1"/>
  <c r="S678" i="1"/>
  <c r="V678" i="1" s="1"/>
  <c r="S670" i="1"/>
  <c r="V670" i="1" s="1"/>
  <c r="S662" i="1"/>
  <c r="V662" i="1" s="1"/>
  <c r="S654" i="1"/>
  <c r="V654" i="1" s="1"/>
  <c r="S646" i="1"/>
  <c r="V646" i="1" s="1"/>
  <c r="S638" i="1"/>
  <c r="V638" i="1" s="1"/>
  <c r="S630" i="1"/>
  <c r="V630" i="1" s="1"/>
  <c r="S622" i="1"/>
  <c r="V622" i="1" s="1"/>
  <c r="S614" i="1"/>
  <c r="V614" i="1" s="1"/>
  <c r="S606" i="1"/>
  <c r="V606" i="1" s="1"/>
  <c r="S598" i="1"/>
  <c r="V598" i="1" s="1"/>
  <c r="S590" i="1"/>
  <c r="V590" i="1" s="1"/>
  <c r="S582" i="1"/>
  <c r="V582" i="1" s="1"/>
  <c r="S574" i="1"/>
  <c r="V574" i="1" s="1"/>
  <c r="S566" i="1"/>
  <c r="V566" i="1" s="1"/>
  <c r="S558" i="1"/>
  <c r="V558" i="1" s="1"/>
  <c r="S550" i="1"/>
  <c r="V550" i="1" s="1"/>
  <c r="S542" i="1"/>
  <c r="V542" i="1" s="1"/>
  <c r="S534" i="1"/>
  <c r="V534" i="1" s="1"/>
  <c r="S526" i="1"/>
  <c r="V526" i="1" s="1"/>
  <c r="S518" i="1"/>
  <c r="V518" i="1" s="1"/>
  <c r="S510" i="1"/>
  <c r="V510" i="1" s="1"/>
  <c r="S502" i="1"/>
  <c r="V502" i="1" s="1"/>
  <c r="S494" i="1"/>
  <c r="V494" i="1" s="1"/>
  <c r="S486" i="1"/>
  <c r="V486" i="1" s="1"/>
  <c r="S478" i="1"/>
  <c r="V478" i="1" s="1"/>
  <c r="S470" i="1"/>
  <c r="V470" i="1" s="1"/>
  <c r="S462" i="1"/>
  <c r="V462" i="1" s="1"/>
  <c r="S454" i="1"/>
  <c r="V454" i="1" s="1"/>
  <c r="S446" i="1"/>
  <c r="V446" i="1" s="1"/>
  <c r="S438" i="1"/>
  <c r="V438" i="1" s="1"/>
  <c r="S430" i="1"/>
  <c r="V430" i="1" s="1"/>
  <c r="S422" i="1"/>
  <c r="V422" i="1" s="1"/>
  <c r="S414" i="1"/>
  <c r="V414" i="1" s="1"/>
  <c r="S406" i="1"/>
  <c r="V406" i="1" s="1"/>
  <c r="S398" i="1"/>
  <c r="V398" i="1" s="1"/>
  <c r="S390" i="1"/>
  <c r="V390" i="1" s="1"/>
  <c r="S382" i="1"/>
  <c r="V382" i="1" s="1"/>
  <c r="S374" i="1"/>
  <c r="V374" i="1" s="1"/>
  <c r="S366" i="1"/>
  <c r="V366" i="1" s="1"/>
  <c r="S1821" i="1"/>
  <c r="V1821" i="1" s="1"/>
  <c r="S1813" i="1"/>
  <c r="V1813" i="1" s="1"/>
  <c r="S1805" i="1"/>
  <c r="V1805" i="1" s="1"/>
  <c r="S1797" i="1"/>
  <c r="V1797" i="1" s="1"/>
  <c r="S1789" i="1"/>
  <c r="V1789" i="1" s="1"/>
  <c r="S1781" i="1"/>
  <c r="V1781" i="1" s="1"/>
  <c r="S1773" i="1"/>
  <c r="V1773" i="1" s="1"/>
  <c r="S1765" i="1"/>
  <c r="V1765" i="1" s="1"/>
  <c r="S1757" i="1"/>
  <c r="V1757" i="1" s="1"/>
  <c r="S1749" i="1"/>
  <c r="V1749" i="1" s="1"/>
  <c r="S1741" i="1"/>
  <c r="V1741" i="1" s="1"/>
  <c r="S1733" i="1"/>
  <c r="V1733" i="1" s="1"/>
  <c r="S1725" i="1"/>
  <c r="V1725" i="1" s="1"/>
  <c r="S1717" i="1"/>
  <c r="V1717" i="1" s="1"/>
  <c r="S1709" i="1"/>
  <c r="V1709" i="1" s="1"/>
  <c r="S1013" i="1"/>
  <c r="V1013" i="1" s="1"/>
  <c r="S1820" i="1"/>
  <c r="V1820" i="1" s="1"/>
  <c r="S1812" i="1"/>
  <c r="V1812" i="1" s="1"/>
  <c r="S1804" i="1"/>
  <c r="V1804" i="1" s="1"/>
  <c r="S1796" i="1"/>
  <c r="V1796" i="1" s="1"/>
  <c r="S1788" i="1"/>
  <c r="V1788" i="1" s="1"/>
  <c r="S1780" i="1"/>
  <c r="V1780" i="1" s="1"/>
  <c r="S1772" i="1"/>
  <c r="V1772" i="1" s="1"/>
  <c r="S1764" i="1"/>
  <c r="V1764" i="1" s="1"/>
  <c r="S1756" i="1"/>
  <c r="V1756" i="1" s="1"/>
  <c r="S1748" i="1"/>
  <c r="V1748" i="1" s="1"/>
  <c r="S1740" i="1"/>
  <c r="V1740" i="1" s="1"/>
  <c r="S1732" i="1"/>
  <c r="V1732" i="1" s="1"/>
  <c r="S1724" i="1"/>
  <c r="V1724" i="1" s="1"/>
  <c r="S1716" i="1"/>
  <c r="V1716" i="1" s="1"/>
  <c r="S1708" i="1"/>
  <c r="V1708" i="1" s="1"/>
  <c r="S1700" i="1"/>
  <c r="V1700" i="1" s="1"/>
  <c r="S1692" i="1"/>
  <c r="V1692" i="1" s="1"/>
  <c r="S1684" i="1"/>
  <c r="V1684" i="1" s="1"/>
  <c r="S1676" i="1"/>
  <c r="V1676" i="1" s="1"/>
  <c r="S1668" i="1"/>
  <c r="V1668" i="1" s="1"/>
  <c r="S1660" i="1"/>
  <c r="V1660" i="1" s="1"/>
  <c r="S1652" i="1"/>
  <c r="V1652" i="1" s="1"/>
  <c r="S1644" i="1"/>
  <c r="V1644" i="1" s="1"/>
  <c r="S1636" i="1"/>
  <c r="V1636" i="1" s="1"/>
  <c r="S1628" i="1"/>
  <c r="V1628" i="1" s="1"/>
  <c r="S1620" i="1"/>
  <c r="V1620" i="1" s="1"/>
  <c r="S1612" i="1"/>
  <c r="V1612" i="1" s="1"/>
  <c r="S1604" i="1"/>
  <c r="V1604" i="1" s="1"/>
  <c r="S1596" i="1"/>
  <c r="V1596" i="1" s="1"/>
  <c r="S1588" i="1"/>
  <c r="V1588" i="1" s="1"/>
  <c r="S1580" i="1"/>
  <c r="V1580" i="1" s="1"/>
  <c r="S1819" i="1"/>
  <c r="V1819" i="1" s="1"/>
  <c r="S1811" i="1"/>
  <c r="V1811" i="1" s="1"/>
  <c r="S1803" i="1"/>
  <c r="V1803" i="1" s="1"/>
  <c r="S1795" i="1"/>
  <c r="V1795" i="1" s="1"/>
  <c r="S1787" i="1"/>
  <c r="V1787" i="1" s="1"/>
  <c r="S1779" i="1"/>
  <c r="V1779" i="1" s="1"/>
  <c r="S1771" i="1"/>
  <c r="V1771" i="1" s="1"/>
  <c r="S1763" i="1"/>
  <c r="V1763" i="1" s="1"/>
  <c r="S1755" i="1"/>
  <c r="V1755" i="1" s="1"/>
  <c r="S1747" i="1"/>
  <c r="V1747" i="1" s="1"/>
  <c r="S1739" i="1"/>
  <c r="V1739" i="1" s="1"/>
  <c r="S1731" i="1"/>
  <c r="V1731" i="1" s="1"/>
  <c r="S1723" i="1"/>
  <c r="V1723" i="1" s="1"/>
  <c r="S1715" i="1"/>
  <c r="V1715" i="1" s="1"/>
  <c r="S1707" i="1"/>
  <c r="V1707" i="1" s="1"/>
  <c r="S1699" i="1"/>
  <c r="V1699" i="1" s="1"/>
  <c r="S1691" i="1"/>
  <c r="V1691" i="1" s="1"/>
  <c r="S1683" i="1"/>
  <c r="V1683" i="1" s="1"/>
  <c r="S1675" i="1"/>
  <c r="V1675" i="1" s="1"/>
  <c r="S1667" i="1"/>
  <c r="V1667" i="1" s="1"/>
  <c r="S1659" i="1"/>
  <c r="V1659" i="1" s="1"/>
  <c r="S1651" i="1"/>
  <c r="V1651" i="1" s="1"/>
  <c r="S1643" i="1"/>
  <c r="V1643" i="1" s="1"/>
  <c r="S1635" i="1"/>
  <c r="V1635" i="1" s="1"/>
  <c r="S1627" i="1"/>
  <c r="V1627" i="1" s="1"/>
  <c r="S1619" i="1"/>
  <c r="V1619" i="1" s="1"/>
  <c r="S1611" i="1"/>
  <c r="V1611" i="1" s="1"/>
  <c r="S1603" i="1"/>
  <c r="V1603" i="1" s="1"/>
  <c r="S1595" i="1"/>
  <c r="V1595" i="1" s="1"/>
  <c r="S1587" i="1"/>
  <c r="V1587" i="1" s="1"/>
  <c r="S1579" i="1"/>
  <c r="V1579" i="1" s="1"/>
  <c r="S1571" i="1"/>
  <c r="V1571" i="1" s="1"/>
  <c r="S1563" i="1"/>
  <c r="V1563" i="1" s="1"/>
  <c r="S1555" i="1"/>
  <c r="V1555" i="1" s="1"/>
  <c r="S1547" i="1"/>
  <c r="V1547" i="1" s="1"/>
  <c r="S1539" i="1"/>
  <c r="V1539" i="1" s="1"/>
  <c r="S1531" i="1"/>
  <c r="V1531" i="1" s="1"/>
  <c r="S1523" i="1"/>
  <c r="V1523" i="1" s="1"/>
  <c r="S1515" i="1"/>
  <c r="V1515" i="1" s="1"/>
  <c r="S1507" i="1"/>
  <c r="V1507" i="1" s="1"/>
  <c r="S1499" i="1"/>
  <c r="V1499" i="1" s="1"/>
  <c r="S1491" i="1"/>
  <c r="V1491" i="1" s="1"/>
  <c r="S1483" i="1"/>
  <c r="V1483" i="1" s="1"/>
  <c r="S1475" i="1"/>
  <c r="V1475" i="1" s="1"/>
  <c r="S1467" i="1"/>
  <c r="V1467" i="1" s="1"/>
  <c r="S1459" i="1"/>
  <c r="V1459" i="1" s="1"/>
  <c r="S1451" i="1"/>
  <c r="V1451" i="1" s="1"/>
  <c r="S1443" i="1"/>
  <c r="V1443" i="1" s="1"/>
  <c r="S1435" i="1"/>
  <c r="V1435" i="1" s="1"/>
  <c r="S1427" i="1"/>
  <c r="V1427" i="1" s="1"/>
  <c r="S1419" i="1"/>
  <c r="V1419" i="1" s="1"/>
  <c r="S1411" i="1"/>
  <c r="V1411" i="1" s="1"/>
  <c r="S1403" i="1"/>
  <c r="V1403" i="1" s="1"/>
  <c r="S1395" i="1"/>
  <c r="V1395" i="1" s="1"/>
  <c r="S1387" i="1"/>
  <c r="V1387" i="1" s="1"/>
  <c r="S1379" i="1"/>
  <c r="V1379" i="1" s="1"/>
  <c r="S1371" i="1"/>
  <c r="V1371" i="1" s="1"/>
  <c r="S1363" i="1"/>
  <c r="V1363" i="1" s="1"/>
  <c r="S1355" i="1"/>
  <c r="V1355" i="1" s="1"/>
  <c r="S1347" i="1"/>
  <c r="V1347" i="1" s="1"/>
  <c r="S1339" i="1"/>
  <c r="V1339" i="1" s="1"/>
  <c r="S1331" i="1"/>
  <c r="V1331" i="1" s="1"/>
  <c r="S1323" i="1"/>
  <c r="V1323" i="1" s="1"/>
  <c r="S1315" i="1"/>
  <c r="V1315" i="1" s="1"/>
  <c r="S1307" i="1"/>
  <c r="V1307" i="1" s="1"/>
  <c r="S1299" i="1"/>
  <c r="V1299" i="1" s="1"/>
  <c r="S1291" i="1"/>
  <c r="V1291" i="1" s="1"/>
  <c r="S1283" i="1"/>
  <c r="V1283" i="1" s="1"/>
  <c r="S1275" i="1"/>
  <c r="V1275" i="1" s="1"/>
  <c r="S1267" i="1"/>
  <c r="V1267" i="1" s="1"/>
  <c r="S1259" i="1"/>
  <c r="V1259" i="1" s="1"/>
  <c r="S1251" i="1"/>
  <c r="V1251" i="1" s="1"/>
  <c r="S1243" i="1"/>
  <c r="V1243" i="1" s="1"/>
  <c r="S1235" i="1"/>
  <c r="V1235" i="1" s="1"/>
  <c r="S1227" i="1"/>
  <c r="V1227" i="1" s="1"/>
  <c r="S1219" i="1"/>
  <c r="V1219" i="1" s="1"/>
  <c r="S1211" i="1"/>
  <c r="V1211" i="1" s="1"/>
  <c r="S1203" i="1"/>
  <c r="V1203" i="1" s="1"/>
  <c r="S1195" i="1"/>
  <c r="V1195" i="1" s="1"/>
  <c r="S1187" i="1"/>
  <c r="V1187" i="1" s="1"/>
  <c r="S1179" i="1"/>
  <c r="V1179" i="1" s="1"/>
  <c r="S1171" i="1"/>
  <c r="V1171" i="1" s="1"/>
  <c r="S1163" i="1"/>
  <c r="V1163" i="1" s="1"/>
  <c r="S1155" i="1"/>
  <c r="V1155" i="1" s="1"/>
  <c r="S1147" i="1"/>
  <c r="V1147" i="1" s="1"/>
  <c r="S1139" i="1"/>
  <c r="V1139" i="1" s="1"/>
  <c r="S1131" i="1"/>
  <c r="V1131" i="1" s="1"/>
  <c r="S1123" i="1"/>
  <c r="V1123" i="1" s="1"/>
  <c r="S1115" i="1"/>
  <c r="V1115" i="1" s="1"/>
  <c r="S1107" i="1"/>
  <c r="V1107" i="1" s="1"/>
  <c r="S1099" i="1"/>
  <c r="V1099" i="1" s="1"/>
  <c r="S1091" i="1"/>
  <c r="V1091" i="1" s="1"/>
  <c r="S1083" i="1"/>
  <c r="V1083" i="1" s="1"/>
  <c r="S1075" i="1"/>
  <c r="V1075" i="1" s="1"/>
  <c r="S1067" i="1"/>
  <c r="V1067" i="1" s="1"/>
  <c r="S1059" i="1"/>
  <c r="V1059" i="1" s="1"/>
  <c r="S1051" i="1"/>
  <c r="V1051" i="1" s="1"/>
  <c r="S1043" i="1"/>
  <c r="V1043" i="1" s="1"/>
  <c r="S1035" i="1"/>
  <c r="V1035" i="1" s="1"/>
  <c r="S1027" i="1"/>
  <c r="V1027" i="1" s="1"/>
  <c r="S1019" i="1"/>
  <c r="V1019" i="1" s="1"/>
  <c r="S1011" i="1"/>
  <c r="V1011" i="1" s="1"/>
  <c r="S1003" i="1"/>
  <c r="V1003" i="1" s="1"/>
  <c r="S995" i="1"/>
  <c r="V995" i="1" s="1"/>
  <c r="S987" i="1"/>
  <c r="V987" i="1" s="1"/>
  <c r="S979" i="1"/>
  <c r="V979" i="1" s="1"/>
  <c r="S971" i="1"/>
  <c r="V971" i="1" s="1"/>
  <c r="S963" i="1"/>
  <c r="V963" i="1" s="1"/>
  <c r="S843" i="1"/>
  <c r="V843" i="1" s="1"/>
  <c r="S1818" i="1"/>
  <c r="V1818" i="1" s="1"/>
  <c r="S1810" i="1"/>
  <c r="V1810" i="1" s="1"/>
  <c r="S1802" i="1"/>
  <c r="V1802" i="1" s="1"/>
  <c r="S1794" i="1"/>
  <c r="V1794" i="1" s="1"/>
  <c r="S1786" i="1"/>
  <c r="V1786" i="1" s="1"/>
  <c r="S1778" i="1"/>
  <c r="V1778" i="1" s="1"/>
  <c r="S1770" i="1"/>
  <c r="V1770" i="1" s="1"/>
  <c r="S1762" i="1"/>
  <c r="V1762" i="1" s="1"/>
  <c r="S1754" i="1"/>
  <c r="V1754" i="1" s="1"/>
  <c r="S1746" i="1"/>
  <c r="V1746" i="1" s="1"/>
  <c r="S1738" i="1"/>
  <c r="V1738" i="1" s="1"/>
  <c r="S1730" i="1"/>
  <c r="V1730" i="1" s="1"/>
  <c r="S1722" i="1"/>
  <c r="V1722" i="1" s="1"/>
  <c r="S1714" i="1"/>
  <c r="V1714" i="1" s="1"/>
  <c r="S1706" i="1"/>
  <c r="V1706" i="1" s="1"/>
  <c r="S1698" i="1"/>
  <c r="V1698" i="1" s="1"/>
  <c r="S1690" i="1"/>
  <c r="V1690" i="1" s="1"/>
  <c r="S1682" i="1"/>
  <c r="V1682" i="1" s="1"/>
  <c r="S1674" i="1"/>
  <c r="V1674" i="1" s="1"/>
  <c r="S1666" i="1"/>
  <c r="V1666" i="1" s="1"/>
  <c r="S1658" i="1"/>
  <c r="V1658" i="1" s="1"/>
  <c r="S1650" i="1"/>
  <c r="V1650" i="1" s="1"/>
  <c r="S1642" i="1"/>
  <c r="V1642" i="1" s="1"/>
  <c r="S1634" i="1"/>
  <c r="V1634" i="1" s="1"/>
  <c r="S1626" i="1"/>
  <c r="V1626" i="1" s="1"/>
  <c r="S1618" i="1"/>
  <c r="V1618" i="1" s="1"/>
  <c r="S1610" i="1"/>
  <c r="V1610" i="1" s="1"/>
  <c r="S1602" i="1"/>
  <c r="V1602" i="1" s="1"/>
  <c r="S1594" i="1"/>
  <c r="V1594" i="1" s="1"/>
  <c r="S1586" i="1"/>
  <c r="V1586" i="1" s="1"/>
  <c r="S1578" i="1"/>
  <c r="V1578" i="1" s="1"/>
  <c r="S1570" i="1"/>
  <c r="V1570" i="1" s="1"/>
  <c r="S1562" i="1"/>
  <c r="V1562" i="1" s="1"/>
  <c r="S1554" i="1"/>
  <c r="V1554" i="1" s="1"/>
  <c r="S1546" i="1"/>
  <c r="V1546" i="1" s="1"/>
  <c r="S1538" i="1"/>
  <c r="V1538" i="1" s="1"/>
  <c r="S1530" i="1"/>
  <c r="V1530" i="1" s="1"/>
  <c r="S1522" i="1"/>
  <c r="V1522" i="1" s="1"/>
  <c r="S1514" i="1"/>
  <c r="V1514" i="1" s="1"/>
  <c r="S1506" i="1"/>
  <c r="V1506" i="1" s="1"/>
  <c r="S1498" i="1"/>
  <c r="V1498" i="1" s="1"/>
  <c r="S1490" i="1"/>
  <c r="V1490" i="1" s="1"/>
  <c r="S1482" i="1"/>
  <c r="V1482" i="1" s="1"/>
  <c r="S1474" i="1"/>
  <c r="V1474" i="1" s="1"/>
  <c r="S1466" i="1"/>
  <c r="V1466" i="1" s="1"/>
  <c r="S1458" i="1"/>
  <c r="V1458" i="1" s="1"/>
  <c r="S1450" i="1"/>
  <c r="V1450" i="1" s="1"/>
  <c r="S1442" i="1"/>
  <c r="V1442" i="1" s="1"/>
  <c r="S1434" i="1"/>
  <c r="V1434" i="1" s="1"/>
  <c r="S1426" i="1"/>
  <c r="V1426" i="1" s="1"/>
  <c r="S1418" i="1"/>
  <c r="V1418" i="1" s="1"/>
  <c r="S1410" i="1"/>
  <c r="V1410" i="1" s="1"/>
  <c r="S1402" i="1"/>
  <c r="V1402" i="1" s="1"/>
  <c r="S1394" i="1"/>
  <c r="V1394" i="1" s="1"/>
  <c r="S1386" i="1"/>
  <c r="V1386" i="1" s="1"/>
  <c r="S1378" i="1"/>
  <c r="V1378" i="1" s="1"/>
  <c r="S1370" i="1"/>
  <c r="V1370" i="1" s="1"/>
  <c r="S1362" i="1"/>
  <c r="V1362" i="1" s="1"/>
  <c r="S1354" i="1"/>
  <c r="V1354" i="1" s="1"/>
  <c r="S1346" i="1"/>
  <c r="V1346" i="1" s="1"/>
  <c r="S1338" i="1"/>
  <c r="V1338" i="1" s="1"/>
  <c r="S1330" i="1"/>
  <c r="V1330" i="1" s="1"/>
  <c r="S1322" i="1"/>
  <c r="V1322" i="1" s="1"/>
  <c r="S1314" i="1"/>
  <c r="V1314" i="1" s="1"/>
  <c r="S1306" i="1"/>
  <c r="V1306" i="1" s="1"/>
  <c r="S1298" i="1"/>
  <c r="V1298" i="1" s="1"/>
  <c r="S1290" i="1"/>
  <c r="V1290" i="1" s="1"/>
  <c r="S1282" i="1"/>
  <c r="V1282" i="1" s="1"/>
  <c r="S1274" i="1"/>
  <c r="V1274" i="1" s="1"/>
  <c r="S1266" i="1"/>
  <c r="V1266" i="1" s="1"/>
  <c r="S1258" i="1"/>
  <c r="V1258" i="1" s="1"/>
  <c r="S1250" i="1"/>
  <c r="V1250" i="1" s="1"/>
  <c r="S1242" i="1"/>
  <c r="V1242" i="1" s="1"/>
  <c r="S1234" i="1"/>
  <c r="V1234" i="1" s="1"/>
  <c r="S1226" i="1"/>
  <c r="V1226" i="1" s="1"/>
  <c r="S1218" i="1"/>
  <c r="V1218" i="1" s="1"/>
  <c r="S1210" i="1"/>
  <c r="V1210" i="1" s="1"/>
  <c r="S1202" i="1"/>
  <c r="V1202" i="1" s="1"/>
  <c r="S1194" i="1"/>
  <c r="V1194" i="1" s="1"/>
  <c r="S1186" i="1"/>
  <c r="V1186" i="1" s="1"/>
  <c r="S1178" i="1"/>
  <c r="V1178" i="1" s="1"/>
  <c r="S1170" i="1"/>
  <c r="V1170" i="1" s="1"/>
  <c r="S1162" i="1"/>
  <c r="V1162" i="1" s="1"/>
  <c r="S1154" i="1"/>
  <c r="V1154" i="1" s="1"/>
  <c r="S1146" i="1"/>
  <c r="V1146" i="1" s="1"/>
  <c r="S1138" i="1"/>
  <c r="V1138" i="1" s="1"/>
  <c r="S1130" i="1"/>
  <c r="V1130" i="1" s="1"/>
  <c r="S1122" i="1"/>
  <c r="V1122" i="1" s="1"/>
  <c r="S1114" i="1"/>
  <c r="V1114" i="1" s="1"/>
  <c r="S1106" i="1"/>
  <c r="V1106" i="1" s="1"/>
  <c r="S1098" i="1"/>
  <c r="V1098" i="1" s="1"/>
  <c r="S1090" i="1"/>
  <c r="V1090" i="1" s="1"/>
  <c r="S1082" i="1"/>
  <c r="V1082" i="1" s="1"/>
  <c r="S1074" i="1"/>
  <c r="V1074" i="1" s="1"/>
  <c r="S1066" i="1"/>
  <c r="V1066" i="1" s="1"/>
  <c r="S1058" i="1"/>
  <c r="V1058" i="1" s="1"/>
  <c r="S1050" i="1"/>
  <c r="V1050" i="1" s="1"/>
  <c r="S1042" i="1"/>
  <c r="V1042" i="1" s="1"/>
  <c r="S1034" i="1"/>
  <c r="V1034" i="1" s="1"/>
  <c r="S1026" i="1"/>
  <c r="V1026" i="1" s="1"/>
  <c r="S1018" i="1"/>
  <c r="V1018" i="1" s="1"/>
  <c r="S1010" i="1"/>
  <c r="V1010" i="1" s="1"/>
  <c r="S1002" i="1"/>
  <c r="V1002" i="1" s="1"/>
  <c r="S994" i="1"/>
  <c r="V994" i="1" s="1"/>
  <c r="S986" i="1"/>
  <c r="V986" i="1" s="1"/>
  <c r="S978" i="1"/>
  <c r="V978" i="1" s="1"/>
  <c r="S970" i="1"/>
  <c r="V970" i="1" s="1"/>
  <c r="S962" i="1"/>
  <c r="V962" i="1" s="1"/>
  <c r="S954" i="1"/>
  <c r="V954" i="1" s="1"/>
  <c r="S946" i="1"/>
  <c r="V946" i="1" s="1"/>
  <c r="S938" i="1"/>
  <c r="V938" i="1" s="1"/>
  <c r="S930" i="1"/>
  <c r="V930" i="1" s="1"/>
  <c r="S922" i="1"/>
  <c r="V922" i="1" s="1"/>
  <c r="S682" i="1"/>
  <c r="V682" i="1" s="1"/>
  <c r="S1817" i="1"/>
  <c r="V1817" i="1" s="1"/>
  <c r="S1809" i="1"/>
  <c r="V1809" i="1" s="1"/>
  <c r="S1801" i="1"/>
  <c r="V1801" i="1" s="1"/>
  <c r="S1793" i="1"/>
  <c r="V1793" i="1" s="1"/>
  <c r="S1785" i="1"/>
  <c r="V1785" i="1" s="1"/>
  <c r="S1777" i="1"/>
  <c r="V1777" i="1" s="1"/>
  <c r="S1769" i="1"/>
  <c r="V1769" i="1" s="1"/>
  <c r="S1761" i="1"/>
  <c r="V1761" i="1" s="1"/>
  <c r="S1753" i="1"/>
  <c r="V1753" i="1" s="1"/>
  <c r="S1737" i="1"/>
  <c r="V1737" i="1" s="1"/>
  <c r="S1721" i="1"/>
  <c r="V1721" i="1" s="1"/>
  <c r="S1705" i="1"/>
  <c r="V1705" i="1" s="1"/>
  <c r="S1689" i="1"/>
  <c r="V1689" i="1" s="1"/>
  <c r="S1673" i="1"/>
  <c r="V1673" i="1" s="1"/>
  <c r="S1657" i="1"/>
  <c r="V1657" i="1" s="1"/>
  <c r="S1641" i="1"/>
  <c r="V1641" i="1" s="1"/>
  <c r="S1609" i="1"/>
  <c r="V1609" i="1" s="1"/>
  <c r="S1593" i="1"/>
  <c r="V1593" i="1" s="1"/>
  <c r="S1577" i="1"/>
  <c r="V1577" i="1" s="1"/>
  <c r="S1561" i="1"/>
  <c r="V1561" i="1" s="1"/>
  <c r="S1545" i="1"/>
  <c r="V1545" i="1" s="1"/>
  <c r="S1529" i="1"/>
  <c r="V1529" i="1" s="1"/>
  <c r="S1513" i="1"/>
  <c r="V1513" i="1" s="1"/>
  <c r="S1481" i="1"/>
  <c r="V1481" i="1" s="1"/>
  <c r="S1465" i="1"/>
  <c r="V1465" i="1" s="1"/>
  <c r="S1449" i="1"/>
  <c r="V1449" i="1" s="1"/>
  <c r="S1433" i="1"/>
  <c r="V1433" i="1" s="1"/>
  <c r="S1417" i="1"/>
  <c r="V1417" i="1" s="1"/>
  <c r="S1401" i="1"/>
  <c r="V1401" i="1" s="1"/>
  <c r="S1385" i="1"/>
  <c r="V1385" i="1" s="1"/>
  <c r="S1345" i="1"/>
  <c r="V1345" i="1" s="1"/>
  <c r="S1057" i="1"/>
  <c r="V1057" i="1" s="1"/>
  <c r="S929" i="1"/>
  <c r="V929" i="1" s="1"/>
  <c r="S1816" i="1"/>
  <c r="V1816" i="1" s="1"/>
  <c r="S1808" i="1"/>
  <c r="V1808" i="1" s="1"/>
  <c r="S1800" i="1"/>
  <c r="V1800" i="1" s="1"/>
  <c r="S1792" i="1"/>
  <c r="V1792" i="1" s="1"/>
  <c r="S1784" i="1"/>
  <c r="V1784" i="1" s="1"/>
  <c r="S1776" i="1"/>
  <c r="V1776" i="1" s="1"/>
  <c r="S1768" i="1"/>
  <c r="V1768" i="1" s="1"/>
  <c r="S1760" i="1"/>
  <c r="V1760" i="1" s="1"/>
  <c r="S1752" i="1"/>
  <c r="V1752" i="1" s="1"/>
  <c r="S1744" i="1"/>
  <c r="V1744" i="1" s="1"/>
  <c r="S1736" i="1"/>
  <c r="V1736" i="1" s="1"/>
  <c r="S1728" i="1"/>
  <c r="V1728" i="1" s="1"/>
  <c r="S1720" i="1"/>
  <c r="V1720" i="1" s="1"/>
  <c r="S1712" i="1"/>
  <c r="V1712" i="1" s="1"/>
  <c r="S1704" i="1"/>
  <c r="V1704" i="1" s="1"/>
  <c r="S1696" i="1"/>
  <c r="V1696" i="1" s="1"/>
  <c r="S1688" i="1"/>
  <c r="V1688" i="1" s="1"/>
  <c r="S1680" i="1"/>
  <c r="V1680" i="1" s="1"/>
  <c r="S1672" i="1"/>
  <c r="V1672" i="1" s="1"/>
  <c r="S1664" i="1"/>
  <c r="V1664" i="1" s="1"/>
  <c r="S1656" i="1"/>
  <c r="V1656" i="1" s="1"/>
  <c r="S1648" i="1"/>
  <c r="V1648" i="1" s="1"/>
  <c r="S1640" i="1"/>
  <c r="V1640" i="1" s="1"/>
  <c r="S1632" i="1"/>
  <c r="V1632" i="1" s="1"/>
  <c r="S1624" i="1"/>
  <c r="V1624" i="1" s="1"/>
  <c r="S1616" i="1"/>
  <c r="V1616" i="1" s="1"/>
  <c r="S1608" i="1"/>
  <c r="V1608" i="1" s="1"/>
  <c r="S1600" i="1"/>
  <c r="V1600" i="1" s="1"/>
  <c r="S1592" i="1"/>
  <c r="V1592" i="1" s="1"/>
  <c r="S1584" i="1"/>
  <c r="V1584" i="1" s="1"/>
  <c r="S1576" i="1"/>
  <c r="V1576" i="1" s="1"/>
  <c r="S1815" i="1"/>
  <c r="V1815" i="1" s="1"/>
  <c r="S1807" i="1"/>
  <c r="V1807" i="1" s="1"/>
  <c r="S1799" i="1"/>
  <c r="V1799" i="1" s="1"/>
  <c r="S1791" i="1"/>
  <c r="V1791" i="1" s="1"/>
  <c r="S1783" i="1"/>
  <c r="V1783" i="1" s="1"/>
  <c r="S1775" i="1"/>
  <c r="V1775" i="1" s="1"/>
  <c r="S1767" i="1"/>
  <c r="V1767" i="1" s="1"/>
  <c r="S1759" i="1"/>
  <c r="V1759" i="1" s="1"/>
  <c r="S1751" i="1"/>
  <c r="V1751" i="1" s="1"/>
  <c r="S1743" i="1"/>
  <c r="V1743" i="1" s="1"/>
  <c r="S1735" i="1"/>
  <c r="V1735" i="1" s="1"/>
  <c r="S1727" i="1"/>
  <c r="V1727" i="1" s="1"/>
  <c r="S1719" i="1"/>
  <c r="V1719" i="1" s="1"/>
  <c r="S1711" i="1"/>
  <c r="V1711" i="1" s="1"/>
  <c r="S1703" i="1"/>
  <c r="V1703" i="1" s="1"/>
  <c r="S1695" i="1"/>
  <c r="V1695" i="1" s="1"/>
  <c r="S1687" i="1"/>
  <c r="V1687" i="1" s="1"/>
  <c r="S1679" i="1"/>
  <c r="V1679" i="1" s="1"/>
  <c r="S1671" i="1"/>
  <c r="V1671" i="1" s="1"/>
  <c r="S1663" i="1"/>
  <c r="V1663" i="1" s="1"/>
  <c r="S1655" i="1"/>
  <c r="V1655" i="1" s="1"/>
  <c r="S1647" i="1"/>
  <c r="V1647" i="1" s="1"/>
  <c r="S1639" i="1"/>
  <c r="V1639" i="1" s="1"/>
  <c r="S1631" i="1"/>
  <c r="V1631" i="1" s="1"/>
  <c r="S1623" i="1"/>
  <c r="V1623" i="1" s="1"/>
  <c r="S1615" i="1"/>
  <c r="V1615" i="1" s="1"/>
  <c r="S1607" i="1"/>
  <c r="V1607" i="1" s="1"/>
  <c r="S1599" i="1"/>
  <c r="V1599" i="1" s="1"/>
  <c r="S1591" i="1"/>
  <c r="V1591" i="1" s="1"/>
  <c r="S1583" i="1"/>
  <c r="V1583" i="1" s="1"/>
  <c r="S1575" i="1"/>
  <c r="V1575" i="1" s="1"/>
  <c r="S1567" i="1"/>
  <c r="V1567" i="1" s="1"/>
  <c r="S1559" i="1"/>
  <c r="V1559" i="1" s="1"/>
  <c r="S1551" i="1"/>
  <c r="V1551" i="1" s="1"/>
  <c r="S1543" i="1"/>
  <c r="V1543" i="1" s="1"/>
  <c r="S1535" i="1"/>
  <c r="V1535" i="1" s="1"/>
  <c r="S1527" i="1"/>
  <c r="V1527" i="1" s="1"/>
  <c r="S1519" i="1"/>
  <c r="V1519" i="1" s="1"/>
  <c r="S1511" i="1"/>
  <c r="V1511" i="1" s="1"/>
  <c r="S1503" i="1"/>
  <c r="V1503" i="1" s="1"/>
  <c r="S1495" i="1"/>
  <c r="V1495" i="1" s="1"/>
  <c r="S1487" i="1"/>
  <c r="V1487" i="1" s="1"/>
  <c r="S1479" i="1"/>
  <c r="V1479" i="1" s="1"/>
  <c r="S1471" i="1"/>
  <c r="V1471" i="1" s="1"/>
  <c r="S1463" i="1"/>
  <c r="V1463" i="1" s="1"/>
  <c r="S1455" i="1"/>
  <c r="V1455" i="1" s="1"/>
  <c r="S1447" i="1"/>
  <c r="V1447" i="1" s="1"/>
  <c r="S1439" i="1"/>
  <c r="V1439" i="1" s="1"/>
  <c r="S1431" i="1"/>
  <c r="V1431" i="1" s="1"/>
  <c r="S1423" i="1"/>
  <c r="V1423" i="1" s="1"/>
  <c r="S1415" i="1"/>
  <c r="V1415" i="1" s="1"/>
  <c r="S1407" i="1"/>
  <c r="V1407" i="1" s="1"/>
  <c r="S1399" i="1"/>
  <c r="V1399" i="1" s="1"/>
  <c r="S1391" i="1"/>
  <c r="V1391" i="1" s="1"/>
  <c r="S1383" i="1"/>
  <c r="V1383" i="1" s="1"/>
  <c r="S1375" i="1"/>
  <c r="V1375" i="1" s="1"/>
  <c r="S1367" i="1"/>
  <c r="V1367" i="1" s="1"/>
  <c r="S1359" i="1"/>
  <c r="V1359" i="1" s="1"/>
  <c r="S1351" i="1"/>
  <c r="V1351" i="1" s="1"/>
  <c r="S1343" i="1"/>
  <c r="V1343" i="1" s="1"/>
  <c r="S1335" i="1"/>
  <c r="V1335" i="1" s="1"/>
  <c r="S1327" i="1"/>
  <c r="V1327" i="1" s="1"/>
  <c r="S1319" i="1"/>
  <c r="V1319" i="1" s="1"/>
  <c r="S1311" i="1"/>
  <c r="V1311" i="1" s="1"/>
  <c r="S1303" i="1"/>
  <c r="V1303" i="1" s="1"/>
  <c r="S1295" i="1"/>
  <c r="V1295" i="1" s="1"/>
  <c r="S1287" i="1"/>
  <c r="V1287" i="1" s="1"/>
  <c r="S1279" i="1"/>
  <c r="V1279" i="1" s="1"/>
  <c r="S1271" i="1"/>
  <c r="V1271" i="1" s="1"/>
  <c r="S1263" i="1"/>
  <c r="V1263" i="1" s="1"/>
  <c r="S1255" i="1"/>
  <c r="V1255" i="1" s="1"/>
  <c r="S1247" i="1"/>
  <c r="V1247" i="1" s="1"/>
  <c r="S1239" i="1"/>
  <c r="V1239" i="1" s="1"/>
  <c r="S1231" i="1"/>
  <c r="V1231" i="1" s="1"/>
  <c r="S1223" i="1"/>
  <c r="V1223" i="1" s="1"/>
  <c r="S1215" i="1"/>
  <c r="V1215" i="1" s="1"/>
  <c r="S1207" i="1"/>
  <c r="V1207" i="1" s="1"/>
  <c r="S1199" i="1"/>
  <c r="V1199" i="1" s="1"/>
  <c r="S1191" i="1"/>
  <c r="V1191" i="1" s="1"/>
  <c r="S1183" i="1"/>
  <c r="V1183" i="1" s="1"/>
  <c r="S1175" i="1"/>
  <c r="V1175" i="1" s="1"/>
  <c r="S1167" i="1"/>
  <c r="V1167" i="1" s="1"/>
  <c r="S1159" i="1"/>
  <c r="V1159" i="1" s="1"/>
  <c r="S1151" i="1"/>
  <c r="V1151" i="1" s="1"/>
  <c r="S1143" i="1"/>
  <c r="V1143" i="1" s="1"/>
  <c r="S1135" i="1"/>
  <c r="V1135" i="1" s="1"/>
  <c r="S1127" i="1"/>
  <c r="V1127" i="1" s="1"/>
  <c r="S1119" i="1"/>
  <c r="V1119" i="1" s="1"/>
  <c r="S1111" i="1"/>
  <c r="V1111" i="1" s="1"/>
  <c r="S1103" i="1"/>
  <c r="V1103" i="1" s="1"/>
  <c r="S1095" i="1"/>
  <c r="V1095" i="1" s="1"/>
  <c r="S1087" i="1"/>
  <c r="V1087" i="1" s="1"/>
  <c r="S1079" i="1"/>
  <c r="V1079" i="1" s="1"/>
  <c r="S1071" i="1"/>
  <c r="V1071" i="1" s="1"/>
  <c r="S1063" i="1"/>
  <c r="V1063" i="1" s="1"/>
  <c r="S1055" i="1"/>
  <c r="V1055" i="1" s="1"/>
  <c r="S1047" i="1"/>
  <c r="V1047" i="1" s="1"/>
  <c r="S1039" i="1"/>
  <c r="V1039" i="1" s="1"/>
  <c r="S1031" i="1"/>
  <c r="V1031" i="1" s="1"/>
  <c r="S1023" i="1"/>
  <c r="V1023" i="1" s="1"/>
  <c r="S1015" i="1"/>
  <c r="V1015" i="1" s="1"/>
  <c r="S1007" i="1"/>
  <c r="V1007" i="1" s="1"/>
  <c r="S999" i="1"/>
  <c r="V999" i="1" s="1"/>
  <c r="S991" i="1"/>
  <c r="V991" i="1" s="1"/>
  <c r="S983" i="1"/>
  <c r="V983" i="1" s="1"/>
  <c r="S975" i="1"/>
  <c r="V975" i="1" s="1"/>
  <c r="S967" i="1"/>
  <c r="V967" i="1" s="1"/>
  <c r="S959" i="1"/>
  <c r="V959" i="1" s="1"/>
  <c r="S951" i="1"/>
  <c r="V951" i="1" s="1"/>
  <c r="S943" i="1"/>
  <c r="V943" i="1" s="1"/>
  <c r="S935" i="1"/>
  <c r="V935" i="1" s="1"/>
  <c r="S927" i="1"/>
  <c r="V927" i="1" s="1"/>
  <c r="S919" i="1"/>
  <c r="V919" i="1" s="1"/>
  <c r="S911" i="1"/>
  <c r="V911" i="1" s="1"/>
  <c r="S903" i="1"/>
  <c r="V903" i="1" s="1"/>
  <c r="S895" i="1"/>
  <c r="V895" i="1" s="1"/>
  <c r="S887" i="1"/>
  <c r="V887" i="1" s="1"/>
  <c r="S879" i="1"/>
  <c r="V879" i="1" s="1"/>
  <c r="S871" i="1"/>
  <c r="V871" i="1" s="1"/>
  <c r="S863" i="1"/>
  <c r="V863" i="1" s="1"/>
  <c r="S855" i="1"/>
  <c r="V855" i="1" s="1"/>
  <c r="S847" i="1"/>
  <c r="V847" i="1" s="1"/>
  <c r="S839" i="1"/>
  <c r="V839" i="1" s="1"/>
  <c r="S831" i="1"/>
  <c r="V831" i="1" s="1"/>
  <c r="S823" i="1"/>
  <c r="V823" i="1" s="1"/>
  <c r="S815" i="1"/>
  <c r="V815" i="1" s="1"/>
  <c r="S807" i="1"/>
  <c r="V807" i="1" s="1"/>
  <c r="S1572" i="1"/>
  <c r="V1572" i="1" s="1"/>
  <c r="S1564" i="1"/>
  <c r="V1564" i="1" s="1"/>
  <c r="S1556" i="1"/>
  <c r="V1556" i="1" s="1"/>
  <c r="S1548" i="1"/>
  <c r="V1548" i="1" s="1"/>
  <c r="S1540" i="1"/>
  <c r="V1540" i="1" s="1"/>
  <c r="S1532" i="1"/>
  <c r="V1532" i="1" s="1"/>
  <c r="S1524" i="1"/>
  <c r="V1524" i="1" s="1"/>
  <c r="S1516" i="1"/>
  <c r="V1516" i="1" s="1"/>
  <c r="S1508" i="1"/>
  <c r="V1508" i="1" s="1"/>
  <c r="S1500" i="1"/>
  <c r="V1500" i="1" s="1"/>
  <c r="S1492" i="1"/>
  <c r="V1492" i="1" s="1"/>
  <c r="S1484" i="1"/>
  <c r="V1484" i="1" s="1"/>
  <c r="S1476" i="1"/>
  <c r="V1476" i="1" s="1"/>
  <c r="S1468" i="1"/>
  <c r="V1468" i="1" s="1"/>
  <c r="S1460" i="1"/>
  <c r="V1460" i="1" s="1"/>
  <c r="S1452" i="1"/>
  <c r="V1452" i="1" s="1"/>
  <c r="S1444" i="1"/>
  <c r="V1444" i="1" s="1"/>
  <c r="S1436" i="1"/>
  <c r="V1436" i="1" s="1"/>
  <c r="S1428" i="1"/>
  <c r="V1428" i="1" s="1"/>
  <c r="S1420" i="1"/>
  <c r="V1420" i="1" s="1"/>
  <c r="S1412" i="1"/>
  <c r="V1412" i="1" s="1"/>
  <c r="S1404" i="1"/>
  <c r="V1404" i="1" s="1"/>
  <c r="S1396" i="1"/>
  <c r="V1396" i="1" s="1"/>
  <c r="S1388" i="1"/>
  <c r="V1388" i="1" s="1"/>
  <c r="S1380" i="1"/>
  <c r="V1380" i="1" s="1"/>
  <c r="S1372" i="1"/>
  <c r="V1372" i="1" s="1"/>
  <c r="S1364" i="1"/>
  <c r="V1364" i="1" s="1"/>
  <c r="S1356" i="1"/>
  <c r="V1356" i="1" s="1"/>
  <c r="S1348" i="1"/>
  <c r="V1348" i="1" s="1"/>
  <c r="S1340" i="1"/>
  <c r="V1340" i="1" s="1"/>
  <c r="S1332" i="1"/>
  <c r="V1332" i="1" s="1"/>
  <c r="S1324" i="1"/>
  <c r="V1324" i="1" s="1"/>
  <c r="S1316" i="1"/>
  <c r="V1316" i="1" s="1"/>
  <c r="S1308" i="1"/>
  <c r="V1308" i="1" s="1"/>
  <c r="S1300" i="1"/>
  <c r="V1300" i="1" s="1"/>
  <c r="S1292" i="1"/>
  <c r="V1292" i="1" s="1"/>
  <c r="S1284" i="1"/>
  <c r="V1284" i="1" s="1"/>
  <c r="S1276" i="1"/>
  <c r="V1276" i="1" s="1"/>
  <c r="S1268" i="1"/>
  <c r="V1268" i="1" s="1"/>
  <c r="S1260" i="1"/>
  <c r="V1260" i="1" s="1"/>
  <c r="S1252" i="1"/>
  <c r="V1252" i="1" s="1"/>
  <c r="S1244" i="1"/>
  <c r="V1244" i="1" s="1"/>
  <c r="S1236" i="1"/>
  <c r="V1236" i="1" s="1"/>
  <c r="S1228" i="1"/>
  <c r="V1228" i="1" s="1"/>
  <c r="S1220" i="1"/>
  <c r="V1220" i="1" s="1"/>
  <c r="S1212" i="1"/>
  <c r="V1212" i="1" s="1"/>
  <c r="S1204" i="1"/>
  <c r="V1204" i="1" s="1"/>
  <c r="S1196" i="1"/>
  <c r="V1196" i="1" s="1"/>
  <c r="S1188" i="1"/>
  <c r="V1188" i="1" s="1"/>
  <c r="S1180" i="1"/>
  <c r="V1180" i="1" s="1"/>
  <c r="S1172" i="1"/>
  <c r="V1172" i="1" s="1"/>
  <c r="S1164" i="1"/>
  <c r="V1164" i="1" s="1"/>
  <c r="S1156" i="1"/>
  <c r="V1156" i="1" s="1"/>
  <c r="S1148" i="1"/>
  <c r="V1148" i="1" s="1"/>
  <c r="S1140" i="1"/>
  <c r="V1140" i="1" s="1"/>
  <c r="S1132" i="1"/>
  <c r="V1132" i="1" s="1"/>
  <c r="S1124" i="1"/>
  <c r="V1124" i="1" s="1"/>
  <c r="S1116" i="1"/>
  <c r="V1116" i="1" s="1"/>
  <c r="S1108" i="1"/>
  <c r="V1108" i="1" s="1"/>
  <c r="S1100" i="1"/>
  <c r="V1100" i="1" s="1"/>
  <c r="S1092" i="1"/>
  <c r="V1092" i="1" s="1"/>
  <c r="S1084" i="1"/>
  <c r="V1084" i="1" s="1"/>
  <c r="S1076" i="1"/>
  <c r="V1076" i="1" s="1"/>
  <c r="S1068" i="1"/>
  <c r="V1068" i="1" s="1"/>
  <c r="S1060" i="1"/>
  <c r="V1060" i="1" s="1"/>
  <c r="S1052" i="1"/>
  <c r="V1052" i="1" s="1"/>
  <c r="S1044" i="1"/>
  <c r="V1044" i="1" s="1"/>
  <c r="S1036" i="1"/>
  <c r="V1036" i="1" s="1"/>
  <c r="S1028" i="1"/>
  <c r="V1028" i="1" s="1"/>
  <c r="S1020" i="1"/>
  <c r="V1020" i="1" s="1"/>
  <c r="S1012" i="1"/>
  <c r="V1012" i="1" s="1"/>
  <c r="S1004" i="1"/>
  <c r="V1004" i="1" s="1"/>
  <c r="S996" i="1"/>
  <c r="V996" i="1" s="1"/>
  <c r="S988" i="1"/>
  <c r="V988" i="1" s="1"/>
  <c r="S980" i="1"/>
  <c r="V980" i="1" s="1"/>
  <c r="S972" i="1"/>
  <c r="V972" i="1" s="1"/>
  <c r="S964" i="1"/>
  <c r="V964" i="1" s="1"/>
  <c r="S956" i="1"/>
  <c r="V956" i="1" s="1"/>
  <c r="S948" i="1"/>
  <c r="V948" i="1" s="1"/>
  <c r="S940" i="1"/>
  <c r="V940" i="1" s="1"/>
  <c r="S932" i="1"/>
  <c r="V932" i="1" s="1"/>
  <c r="S924" i="1"/>
  <c r="V924" i="1" s="1"/>
  <c r="S916" i="1"/>
  <c r="V916" i="1" s="1"/>
  <c r="S908" i="1"/>
  <c r="V908" i="1" s="1"/>
  <c r="S900" i="1"/>
  <c r="V900" i="1" s="1"/>
  <c r="S892" i="1"/>
  <c r="V892" i="1" s="1"/>
  <c r="S884" i="1"/>
  <c r="V884" i="1" s="1"/>
  <c r="S876" i="1"/>
  <c r="V876" i="1" s="1"/>
  <c r="S868" i="1"/>
  <c r="V868" i="1" s="1"/>
  <c r="S860" i="1"/>
  <c r="V860" i="1" s="1"/>
  <c r="S852" i="1"/>
  <c r="V852" i="1" s="1"/>
  <c r="S844" i="1"/>
  <c r="V844" i="1" s="1"/>
  <c r="S836" i="1"/>
  <c r="V836" i="1" s="1"/>
  <c r="S828" i="1"/>
  <c r="V828" i="1" s="1"/>
  <c r="S820" i="1"/>
  <c r="V820" i="1" s="1"/>
  <c r="S812" i="1"/>
  <c r="V812" i="1" s="1"/>
  <c r="S804" i="1"/>
  <c r="V804" i="1" s="1"/>
  <c r="S796" i="1"/>
  <c r="V796" i="1" s="1"/>
  <c r="S788" i="1"/>
  <c r="V788" i="1" s="1"/>
  <c r="S780" i="1"/>
  <c r="V780" i="1" s="1"/>
  <c r="S772" i="1"/>
  <c r="V772" i="1" s="1"/>
  <c r="S764" i="1"/>
  <c r="V764" i="1" s="1"/>
  <c r="S756" i="1"/>
  <c r="V756" i="1" s="1"/>
  <c r="S748" i="1"/>
  <c r="V748" i="1" s="1"/>
  <c r="S740" i="1"/>
  <c r="V740" i="1" s="1"/>
  <c r="S732" i="1"/>
  <c r="V732" i="1" s="1"/>
  <c r="S724" i="1"/>
  <c r="V724" i="1" s="1"/>
  <c r="S716" i="1"/>
  <c r="V716" i="1" s="1"/>
  <c r="S708" i="1"/>
  <c r="V708" i="1" s="1"/>
  <c r="S700" i="1"/>
  <c r="V700" i="1" s="1"/>
  <c r="S692" i="1"/>
  <c r="V692" i="1" s="1"/>
  <c r="S684" i="1"/>
  <c r="V684" i="1" s="1"/>
  <c r="S676" i="1"/>
  <c r="V676" i="1" s="1"/>
  <c r="S668" i="1"/>
  <c r="V668" i="1" s="1"/>
  <c r="S660" i="1"/>
  <c r="V660" i="1" s="1"/>
  <c r="S652" i="1"/>
  <c r="V652" i="1" s="1"/>
  <c r="S644" i="1"/>
  <c r="V644" i="1" s="1"/>
  <c r="S636" i="1"/>
  <c r="V636" i="1" s="1"/>
  <c r="S628" i="1"/>
  <c r="V628" i="1" s="1"/>
  <c r="S620" i="1"/>
  <c r="V620" i="1" s="1"/>
  <c r="S612" i="1"/>
  <c r="V612" i="1" s="1"/>
  <c r="S604" i="1"/>
  <c r="V604" i="1" s="1"/>
  <c r="S596" i="1"/>
  <c r="V596" i="1" s="1"/>
  <c r="S588" i="1"/>
  <c r="V588" i="1" s="1"/>
  <c r="S580" i="1"/>
  <c r="V580" i="1" s="1"/>
  <c r="S572" i="1"/>
  <c r="V572" i="1" s="1"/>
  <c r="S564" i="1"/>
  <c r="V564" i="1" s="1"/>
  <c r="S556" i="1"/>
  <c r="V556" i="1" s="1"/>
  <c r="S548" i="1"/>
  <c r="V548" i="1" s="1"/>
  <c r="S540" i="1"/>
  <c r="V540" i="1" s="1"/>
  <c r="S532" i="1"/>
  <c r="V532" i="1" s="1"/>
  <c r="S524" i="1"/>
  <c r="V524" i="1" s="1"/>
  <c r="S516" i="1"/>
  <c r="V516" i="1" s="1"/>
  <c r="S508" i="1"/>
  <c r="V508" i="1" s="1"/>
  <c r="S500" i="1"/>
  <c r="V500" i="1" s="1"/>
  <c r="S492" i="1"/>
  <c r="V492" i="1" s="1"/>
  <c r="S484" i="1"/>
  <c r="V484" i="1" s="1"/>
  <c r="S476" i="1"/>
  <c r="V476" i="1" s="1"/>
  <c r="S468" i="1"/>
  <c r="V468" i="1" s="1"/>
  <c r="S460" i="1"/>
  <c r="V460" i="1" s="1"/>
  <c r="S452" i="1"/>
  <c r="V452" i="1" s="1"/>
  <c r="S444" i="1"/>
  <c r="V444" i="1" s="1"/>
  <c r="S436" i="1"/>
  <c r="V436" i="1" s="1"/>
  <c r="S428" i="1"/>
  <c r="V428" i="1" s="1"/>
  <c r="S420" i="1"/>
  <c r="V420" i="1" s="1"/>
  <c r="S412" i="1"/>
  <c r="V412" i="1" s="1"/>
  <c r="S404" i="1"/>
  <c r="V404" i="1" s="1"/>
  <c r="S396" i="1"/>
  <c r="V396" i="1" s="1"/>
  <c r="S388" i="1"/>
  <c r="V388" i="1" s="1"/>
  <c r="S380" i="1"/>
  <c r="V380" i="1" s="1"/>
  <c r="S372" i="1"/>
  <c r="V372" i="1" s="1"/>
  <c r="S364" i="1"/>
  <c r="V364" i="1" s="1"/>
  <c r="S356" i="1"/>
  <c r="V356" i="1" s="1"/>
  <c r="S348" i="1"/>
  <c r="V348" i="1" s="1"/>
  <c r="S340" i="1"/>
  <c r="V340" i="1" s="1"/>
  <c r="S332" i="1"/>
  <c r="V332" i="1" s="1"/>
  <c r="S324" i="1"/>
  <c r="V324" i="1" s="1"/>
  <c r="S316" i="1"/>
  <c r="V316" i="1" s="1"/>
  <c r="S308" i="1"/>
  <c r="V308" i="1" s="1"/>
  <c r="S300" i="1"/>
  <c r="V300" i="1" s="1"/>
  <c r="S955" i="1"/>
  <c r="V955" i="1" s="1"/>
  <c r="S947" i="1"/>
  <c r="V947" i="1" s="1"/>
  <c r="S939" i="1"/>
  <c r="V939" i="1" s="1"/>
  <c r="S931" i="1"/>
  <c r="V931" i="1" s="1"/>
  <c r="S923" i="1"/>
  <c r="V923" i="1" s="1"/>
  <c r="S915" i="1"/>
  <c r="V915" i="1" s="1"/>
  <c r="S907" i="1"/>
  <c r="V907" i="1" s="1"/>
  <c r="S899" i="1"/>
  <c r="V899" i="1" s="1"/>
  <c r="S891" i="1"/>
  <c r="V891" i="1" s="1"/>
  <c r="S883" i="1"/>
  <c r="V883" i="1" s="1"/>
  <c r="S875" i="1"/>
  <c r="V875" i="1" s="1"/>
  <c r="S867" i="1"/>
  <c r="V867" i="1" s="1"/>
  <c r="S859" i="1"/>
  <c r="V859" i="1" s="1"/>
  <c r="S851" i="1"/>
  <c r="V851" i="1" s="1"/>
  <c r="S835" i="1"/>
  <c r="V835" i="1" s="1"/>
  <c r="S827" i="1"/>
  <c r="V827" i="1" s="1"/>
  <c r="S819" i="1"/>
  <c r="V819" i="1" s="1"/>
  <c r="S811" i="1"/>
  <c r="V811" i="1" s="1"/>
  <c r="S803" i="1"/>
  <c r="V803" i="1" s="1"/>
  <c r="S795" i="1"/>
  <c r="V795" i="1" s="1"/>
  <c r="S787" i="1"/>
  <c r="V787" i="1" s="1"/>
  <c r="S771" i="1"/>
  <c r="V771" i="1" s="1"/>
  <c r="S763" i="1"/>
  <c r="V763" i="1" s="1"/>
  <c r="S755" i="1"/>
  <c r="V755" i="1" s="1"/>
  <c r="S747" i="1"/>
  <c r="V747" i="1" s="1"/>
  <c r="S739" i="1"/>
  <c r="V739" i="1" s="1"/>
  <c r="S731" i="1"/>
  <c r="V731" i="1" s="1"/>
  <c r="S723" i="1"/>
  <c r="V723" i="1" s="1"/>
  <c r="S715" i="1"/>
  <c r="V715" i="1" s="1"/>
  <c r="S707" i="1"/>
  <c r="V707" i="1" s="1"/>
  <c r="S699" i="1"/>
  <c r="V699" i="1" s="1"/>
  <c r="S691" i="1"/>
  <c r="V691" i="1" s="1"/>
  <c r="S683" i="1"/>
  <c r="V683" i="1" s="1"/>
  <c r="S675" i="1"/>
  <c r="V675" i="1" s="1"/>
  <c r="S667" i="1"/>
  <c r="V667" i="1" s="1"/>
  <c r="S659" i="1"/>
  <c r="V659" i="1" s="1"/>
  <c r="S651" i="1"/>
  <c r="V651" i="1" s="1"/>
  <c r="S643" i="1"/>
  <c r="V643" i="1" s="1"/>
  <c r="S635" i="1"/>
  <c r="V635" i="1" s="1"/>
  <c r="S627" i="1"/>
  <c r="V627" i="1" s="1"/>
  <c r="S619" i="1"/>
  <c r="V619" i="1" s="1"/>
  <c r="S611" i="1"/>
  <c r="V611" i="1" s="1"/>
  <c r="S603" i="1"/>
  <c r="V603" i="1" s="1"/>
  <c r="S595" i="1"/>
  <c r="V595" i="1" s="1"/>
  <c r="S587" i="1"/>
  <c r="V587" i="1" s="1"/>
  <c r="S579" i="1"/>
  <c r="V579" i="1" s="1"/>
  <c r="S571" i="1"/>
  <c r="V571" i="1" s="1"/>
  <c r="S563" i="1"/>
  <c r="V563" i="1" s="1"/>
  <c r="S555" i="1"/>
  <c r="V555" i="1" s="1"/>
  <c r="S547" i="1"/>
  <c r="V547" i="1" s="1"/>
  <c r="S539" i="1"/>
  <c r="V539" i="1" s="1"/>
  <c r="S531" i="1"/>
  <c r="V531" i="1" s="1"/>
  <c r="S523" i="1"/>
  <c r="V523" i="1" s="1"/>
  <c r="S515" i="1"/>
  <c r="V515" i="1" s="1"/>
  <c r="S507" i="1"/>
  <c r="V507" i="1" s="1"/>
  <c r="S499" i="1"/>
  <c r="V499" i="1" s="1"/>
  <c r="S491" i="1"/>
  <c r="V491" i="1" s="1"/>
  <c r="S483" i="1"/>
  <c r="V483" i="1" s="1"/>
  <c r="S475" i="1"/>
  <c r="V475" i="1" s="1"/>
  <c r="S467" i="1"/>
  <c r="V467" i="1" s="1"/>
  <c r="S459" i="1"/>
  <c r="V459" i="1" s="1"/>
  <c r="S451" i="1"/>
  <c r="V451" i="1" s="1"/>
  <c r="S443" i="1"/>
  <c r="V443" i="1" s="1"/>
  <c r="S435" i="1"/>
  <c r="V435" i="1" s="1"/>
  <c r="S427" i="1"/>
  <c r="V427" i="1" s="1"/>
  <c r="S419" i="1"/>
  <c r="V419" i="1" s="1"/>
  <c r="S411" i="1"/>
  <c r="V411" i="1" s="1"/>
  <c r="S403" i="1"/>
  <c r="V403" i="1" s="1"/>
  <c r="S395" i="1"/>
  <c r="V395" i="1" s="1"/>
  <c r="S387" i="1"/>
  <c r="V387" i="1" s="1"/>
  <c r="S379" i="1"/>
  <c r="V379" i="1" s="1"/>
  <c r="S371" i="1"/>
  <c r="V371" i="1" s="1"/>
  <c r="S363" i="1"/>
  <c r="V363" i="1" s="1"/>
  <c r="S355" i="1"/>
  <c r="V355" i="1" s="1"/>
  <c r="S347" i="1"/>
  <c r="V347" i="1" s="1"/>
  <c r="S339" i="1"/>
  <c r="V339" i="1" s="1"/>
  <c r="S331" i="1"/>
  <c r="V331" i="1" s="1"/>
  <c r="S323" i="1"/>
  <c r="V323" i="1" s="1"/>
  <c r="S315" i="1"/>
  <c r="V315" i="1" s="1"/>
  <c r="S307" i="1"/>
  <c r="V307" i="1" s="1"/>
  <c r="S299" i="1"/>
  <c r="V299" i="1" s="1"/>
  <c r="S291" i="1"/>
  <c r="V291" i="1" s="1"/>
  <c r="S283" i="1"/>
  <c r="V283" i="1" s="1"/>
  <c r="S251" i="1"/>
  <c r="V251" i="1" s="1"/>
  <c r="S123" i="1"/>
  <c r="V123" i="1" s="1"/>
  <c r="S914" i="1"/>
  <c r="V914" i="1" s="1"/>
  <c r="S906" i="1"/>
  <c r="V906" i="1" s="1"/>
  <c r="S898" i="1"/>
  <c r="V898" i="1" s="1"/>
  <c r="S890" i="1"/>
  <c r="V890" i="1" s="1"/>
  <c r="S882" i="1"/>
  <c r="V882" i="1" s="1"/>
  <c r="S874" i="1"/>
  <c r="V874" i="1" s="1"/>
  <c r="S866" i="1"/>
  <c r="V866" i="1" s="1"/>
  <c r="S858" i="1"/>
  <c r="V858" i="1" s="1"/>
  <c r="S850" i="1"/>
  <c r="V850" i="1" s="1"/>
  <c r="S842" i="1"/>
  <c r="V842" i="1" s="1"/>
  <c r="S834" i="1"/>
  <c r="V834" i="1" s="1"/>
  <c r="S826" i="1"/>
  <c r="V826" i="1" s="1"/>
  <c r="S818" i="1"/>
  <c r="V818" i="1" s="1"/>
  <c r="S810" i="1"/>
  <c r="V810" i="1" s="1"/>
  <c r="S802" i="1"/>
  <c r="V802" i="1" s="1"/>
  <c r="S794" i="1"/>
  <c r="V794" i="1" s="1"/>
  <c r="S786" i="1"/>
  <c r="V786" i="1" s="1"/>
  <c r="S778" i="1"/>
  <c r="V778" i="1" s="1"/>
  <c r="S770" i="1"/>
  <c r="V770" i="1" s="1"/>
  <c r="S762" i="1"/>
  <c r="V762" i="1" s="1"/>
  <c r="S754" i="1"/>
  <c r="V754" i="1" s="1"/>
  <c r="S746" i="1"/>
  <c r="V746" i="1" s="1"/>
  <c r="S738" i="1"/>
  <c r="V738" i="1" s="1"/>
  <c r="S730" i="1"/>
  <c r="V730" i="1" s="1"/>
  <c r="S722" i="1"/>
  <c r="V722" i="1" s="1"/>
  <c r="S714" i="1"/>
  <c r="V714" i="1" s="1"/>
  <c r="S706" i="1"/>
  <c r="V706" i="1" s="1"/>
  <c r="S698" i="1"/>
  <c r="V698" i="1" s="1"/>
  <c r="S690" i="1"/>
  <c r="V690" i="1" s="1"/>
  <c r="S674" i="1"/>
  <c r="V674" i="1" s="1"/>
  <c r="S666" i="1"/>
  <c r="V666" i="1" s="1"/>
  <c r="S658" i="1"/>
  <c r="V658" i="1" s="1"/>
  <c r="S650" i="1"/>
  <c r="V650" i="1" s="1"/>
  <c r="S642" i="1"/>
  <c r="V642" i="1" s="1"/>
  <c r="S634" i="1"/>
  <c r="V634" i="1" s="1"/>
  <c r="S626" i="1"/>
  <c r="V626" i="1" s="1"/>
  <c r="S618" i="1"/>
  <c r="V618" i="1" s="1"/>
  <c r="S610" i="1"/>
  <c r="V610" i="1" s="1"/>
  <c r="S602" i="1"/>
  <c r="V602" i="1" s="1"/>
  <c r="S594" i="1"/>
  <c r="V594" i="1" s="1"/>
  <c r="S586" i="1"/>
  <c r="V586" i="1" s="1"/>
  <c r="S578" i="1"/>
  <c r="V578" i="1" s="1"/>
  <c r="S570" i="1"/>
  <c r="V570" i="1" s="1"/>
  <c r="S562" i="1"/>
  <c r="V562" i="1" s="1"/>
  <c r="S554" i="1"/>
  <c r="V554" i="1" s="1"/>
  <c r="S546" i="1"/>
  <c r="V546" i="1" s="1"/>
  <c r="S538" i="1"/>
  <c r="V538" i="1" s="1"/>
  <c r="S530" i="1"/>
  <c r="V530" i="1" s="1"/>
  <c r="S522" i="1"/>
  <c r="V522" i="1" s="1"/>
  <c r="S514" i="1"/>
  <c r="V514" i="1" s="1"/>
  <c r="S506" i="1"/>
  <c r="V506" i="1" s="1"/>
  <c r="S498" i="1"/>
  <c r="V498" i="1" s="1"/>
  <c r="S490" i="1"/>
  <c r="V490" i="1" s="1"/>
  <c r="S482" i="1"/>
  <c r="V482" i="1" s="1"/>
  <c r="S474" i="1"/>
  <c r="V474" i="1" s="1"/>
  <c r="S466" i="1"/>
  <c r="V466" i="1" s="1"/>
  <c r="S458" i="1"/>
  <c r="V458" i="1" s="1"/>
  <c r="S450" i="1"/>
  <c r="V450" i="1" s="1"/>
  <c r="S442" i="1"/>
  <c r="V442" i="1" s="1"/>
  <c r="S434" i="1"/>
  <c r="V434" i="1" s="1"/>
  <c r="S426" i="1"/>
  <c r="V426" i="1" s="1"/>
  <c r="S418" i="1"/>
  <c r="V418" i="1" s="1"/>
  <c r="S410" i="1"/>
  <c r="V410" i="1" s="1"/>
  <c r="S402" i="1"/>
  <c r="V402" i="1" s="1"/>
  <c r="S394" i="1"/>
  <c r="V394" i="1" s="1"/>
  <c r="S386" i="1"/>
  <c r="V386" i="1" s="1"/>
  <c r="S378" i="1"/>
  <c r="V378" i="1" s="1"/>
  <c r="S370" i="1"/>
  <c r="V370" i="1" s="1"/>
  <c r="S362" i="1"/>
  <c r="V362" i="1" s="1"/>
  <c r="S354" i="1"/>
  <c r="V354" i="1" s="1"/>
  <c r="S346" i="1"/>
  <c r="V346" i="1" s="1"/>
  <c r="S338" i="1"/>
  <c r="V338" i="1" s="1"/>
  <c r="S330" i="1"/>
  <c r="V330" i="1" s="1"/>
  <c r="S322" i="1"/>
  <c r="V322" i="1" s="1"/>
  <c r="S314" i="1"/>
  <c r="V314" i="1" s="1"/>
  <c r="S306" i="1"/>
  <c r="V306" i="1" s="1"/>
  <c r="S298" i="1"/>
  <c r="V298" i="1" s="1"/>
  <c r="S274" i="1"/>
  <c r="V274" i="1" s="1"/>
  <c r="S1745" i="1"/>
  <c r="V1745" i="1" s="1"/>
  <c r="S1729" i="1"/>
  <c r="V1729" i="1" s="1"/>
  <c r="S1713" i="1"/>
  <c r="V1713" i="1" s="1"/>
  <c r="S1697" i="1"/>
  <c r="V1697" i="1" s="1"/>
  <c r="S1681" i="1"/>
  <c r="V1681" i="1" s="1"/>
  <c r="S1665" i="1"/>
  <c r="V1665" i="1" s="1"/>
  <c r="S1649" i="1"/>
  <c r="V1649" i="1" s="1"/>
  <c r="S1633" i="1"/>
  <c r="V1633" i="1" s="1"/>
  <c r="S1617" i="1"/>
  <c r="V1617" i="1" s="1"/>
  <c r="S1601" i="1"/>
  <c r="V1601" i="1" s="1"/>
  <c r="S1585" i="1"/>
  <c r="V1585" i="1" s="1"/>
  <c r="S1569" i="1"/>
  <c r="V1569" i="1" s="1"/>
  <c r="S1553" i="1"/>
  <c r="V1553" i="1" s="1"/>
  <c r="S1537" i="1"/>
  <c r="V1537" i="1" s="1"/>
  <c r="S1521" i="1"/>
  <c r="V1521" i="1" s="1"/>
  <c r="S1505" i="1"/>
  <c r="V1505" i="1" s="1"/>
  <c r="S1489" i="1"/>
  <c r="V1489" i="1" s="1"/>
  <c r="S1473" i="1"/>
  <c r="V1473" i="1" s="1"/>
  <c r="S1457" i="1"/>
  <c r="V1457" i="1" s="1"/>
  <c r="S1441" i="1"/>
  <c r="V1441" i="1" s="1"/>
  <c r="S1425" i="1"/>
  <c r="V1425" i="1" s="1"/>
  <c r="S1409" i="1"/>
  <c r="V1409" i="1" s="1"/>
  <c r="S1393" i="1"/>
  <c r="V1393" i="1" s="1"/>
  <c r="S1377" i="1"/>
  <c r="V1377" i="1" s="1"/>
  <c r="S1369" i="1"/>
  <c r="V1369" i="1" s="1"/>
  <c r="S1361" i="1"/>
  <c r="V1361" i="1" s="1"/>
  <c r="S1353" i="1"/>
  <c r="V1353" i="1" s="1"/>
  <c r="S1337" i="1"/>
  <c r="V1337" i="1" s="1"/>
  <c r="S1329" i="1"/>
  <c r="V1329" i="1" s="1"/>
  <c r="S1321" i="1"/>
  <c r="V1321" i="1" s="1"/>
  <c r="S1313" i="1"/>
  <c r="V1313" i="1" s="1"/>
  <c r="S1305" i="1"/>
  <c r="V1305" i="1" s="1"/>
  <c r="S1297" i="1"/>
  <c r="V1297" i="1" s="1"/>
  <c r="S1289" i="1"/>
  <c r="V1289" i="1" s="1"/>
  <c r="S1281" i="1"/>
  <c r="V1281" i="1" s="1"/>
  <c r="S1273" i="1"/>
  <c r="V1273" i="1" s="1"/>
  <c r="S1265" i="1"/>
  <c r="V1265" i="1" s="1"/>
  <c r="S1257" i="1"/>
  <c r="V1257" i="1" s="1"/>
  <c r="S1249" i="1"/>
  <c r="V1249" i="1" s="1"/>
  <c r="S1241" i="1"/>
  <c r="V1241" i="1" s="1"/>
  <c r="S1233" i="1"/>
  <c r="V1233" i="1" s="1"/>
  <c r="S1225" i="1"/>
  <c r="V1225" i="1" s="1"/>
  <c r="S1217" i="1"/>
  <c r="V1217" i="1" s="1"/>
  <c r="S1209" i="1"/>
  <c r="V1209" i="1" s="1"/>
  <c r="S1201" i="1"/>
  <c r="V1201" i="1" s="1"/>
  <c r="S1193" i="1"/>
  <c r="V1193" i="1" s="1"/>
  <c r="S1185" i="1"/>
  <c r="V1185" i="1" s="1"/>
  <c r="S1177" i="1"/>
  <c r="V1177" i="1" s="1"/>
  <c r="S1169" i="1"/>
  <c r="V1169" i="1" s="1"/>
  <c r="S1161" i="1"/>
  <c r="V1161" i="1" s="1"/>
  <c r="S1153" i="1"/>
  <c r="V1153" i="1" s="1"/>
  <c r="S1145" i="1"/>
  <c r="V1145" i="1" s="1"/>
  <c r="S1137" i="1"/>
  <c r="V1137" i="1" s="1"/>
  <c r="S1129" i="1"/>
  <c r="V1129" i="1" s="1"/>
  <c r="S1121" i="1"/>
  <c r="V1121" i="1" s="1"/>
  <c r="S1113" i="1"/>
  <c r="V1113" i="1" s="1"/>
  <c r="S1105" i="1"/>
  <c r="V1105" i="1" s="1"/>
  <c r="S1097" i="1"/>
  <c r="V1097" i="1" s="1"/>
  <c r="S1089" i="1"/>
  <c r="V1089" i="1" s="1"/>
  <c r="S1081" i="1"/>
  <c r="V1081" i="1" s="1"/>
  <c r="S1073" i="1"/>
  <c r="V1073" i="1" s="1"/>
  <c r="S1065" i="1"/>
  <c r="V1065" i="1" s="1"/>
  <c r="S1049" i="1"/>
  <c r="V1049" i="1" s="1"/>
  <c r="S1041" i="1"/>
  <c r="V1041" i="1" s="1"/>
  <c r="S1033" i="1"/>
  <c r="V1033" i="1" s="1"/>
  <c r="S1025" i="1"/>
  <c r="V1025" i="1" s="1"/>
  <c r="S1017" i="1"/>
  <c r="V1017" i="1" s="1"/>
  <c r="S1009" i="1"/>
  <c r="V1009" i="1" s="1"/>
  <c r="S1001" i="1"/>
  <c r="V1001" i="1" s="1"/>
  <c r="S993" i="1"/>
  <c r="V993" i="1" s="1"/>
  <c r="S985" i="1"/>
  <c r="V985" i="1" s="1"/>
  <c r="S977" i="1"/>
  <c r="V977" i="1" s="1"/>
  <c r="S969" i="1"/>
  <c r="V969" i="1" s="1"/>
  <c r="S961" i="1"/>
  <c r="V961" i="1" s="1"/>
  <c r="S953" i="1"/>
  <c r="V953" i="1" s="1"/>
  <c r="S945" i="1"/>
  <c r="V945" i="1" s="1"/>
  <c r="S937" i="1"/>
  <c r="V937" i="1" s="1"/>
  <c r="S921" i="1"/>
  <c r="V921" i="1" s="1"/>
  <c r="S913" i="1"/>
  <c r="V913" i="1" s="1"/>
  <c r="S905" i="1"/>
  <c r="V905" i="1" s="1"/>
  <c r="S897" i="1"/>
  <c r="V897" i="1" s="1"/>
  <c r="S889" i="1"/>
  <c r="V889" i="1" s="1"/>
  <c r="S865" i="1"/>
  <c r="V865" i="1" s="1"/>
  <c r="S817" i="1"/>
  <c r="V817" i="1" s="1"/>
  <c r="S657" i="1"/>
  <c r="V657" i="1" s="1"/>
  <c r="S633" i="1"/>
  <c r="V633" i="1" s="1"/>
  <c r="S609" i="1"/>
  <c r="V609" i="1" s="1"/>
  <c r="S529" i="1"/>
  <c r="V529" i="1" s="1"/>
  <c r="S1568" i="1"/>
  <c r="V1568" i="1" s="1"/>
  <c r="S1560" i="1"/>
  <c r="V1560" i="1" s="1"/>
  <c r="S1552" i="1"/>
  <c r="V1552" i="1" s="1"/>
  <c r="S1544" i="1"/>
  <c r="V1544" i="1" s="1"/>
  <c r="S1536" i="1"/>
  <c r="V1536" i="1" s="1"/>
  <c r="S1528" i="1"/>
  <c r="V1528" i="1" s="1"/>
  <c r="S1520" i="1"/>
  <c r="V1520" i="1" s="1"/>
  <c r="S1512" i="1"/>
  <c r="V1512" i="1" s="1"/>
  <c r="S1504" i="1"/>
  <c r="V1504" i="1" s="1"/>
  <c r="S1496" i="1"/>
  <c r="V1496" i="1" s="1"/>
  <c r="S1488" i="1"/>
  <c r="V1488" i="1" s="1"/>
  <c r="S1480" i="1"/>
  <c r="V1480" i="1" s="1"/>
  <c r="S1472" i="1"/>
  <c r="V1472" i="1" s="1"/>
  <c r="S1464" i="1"/>
  <c r="V1464" i="1" s="1"/>
  <c r="S1456" i="1"/>
  <c r="V1456" i="1" s="1"/>
  <c r="S1448" i="1"/>
  <c r="V1448" i="1" s="1"/>
  <c r="S1440" i="1"/>
  <c r="V1440" i="1" s="1"/>
  <c r="S1432" i="1"/>
  <c r="V1432" i="1" s="1"/>
  <c r="S1424" i="1"/>
  <c r="V1424" i="1" s="1"/>
  <c r="S1416" i="1"/>
  <c r="V1416" i="1" s="1"/>
  <c r="S1408" i="1"/>
  <c r="V1408" i="1" s="1"/>
  <c r="S1400" i="1"/>
  <c r="V1400" i="1" s="1"/>
  <c r="S1392" i="1"/>
  <c r="V1392" i="1" s="1"/>
  <c r="S1384" i="1"/>
  <c r="V1384" i="1" s="1"/>
  <c r="S1376" i="1"/>
  <c r="V1376" i="1" s="1"/>
  <c r="S1368" i="1"/>
  <c r="V1368" i="1" s="1"/>
  <c r="S1360" i="1"/>
  <c r="V1360" i="1" s="1"/>
  <c r="S1352" i="1"/>
  <c r="V1352" i="1" s="1"/>
  <c r="S1344" i="1"/>
  <c r="V1344" i="1" s="1"/>
  <c r="S1336" i="1"/>
  <c r="V1336" i="1" s="1"/>
  <c r="S1328" i="1"/>
  <c r="V1328" i="1" s="1"/>
  <c r="S1320" i="1"/>
  <c r="V1320" i="1" s="1"/>
  <c r="S1312" i="1"/>
  <c r="V1312" i="1" s="1"/>
  <c r="S1304" i="1"/>
  <c r="V1304" i="1" s="1"/>
  <c r="S1296" i="1"/>
  <c r="V1296" i="1" s="1"/>
  <c r="S1288" i="1"/>
  <c r="V1288" i="1" s="1"/>
  <c r="S1280" i="1"/>
  <c r="V1280" i="1" s="1"/>
  <c r="S1272" i="1"/>
  <c r="V1272" i="1" s="1"/>
  <c r="S1264" i="1"/>
  <c r="V1264" i="1" s="1"/>
  <c r="S1256" i="1"/>
  <c r="V1256" i="1" s="1"/>
  <c r="S1248" i="1"/>
  <c r="V1248" i="1" s="1"/>
  <c r="S1240" i="1"/>
  <c r="V1240" i="1" s="1"/>
  <c r="S1232" i="1"/>
  <c r="V1232" i="1" s="1"/>
  <c r="S1224" i="1"/>
  <c r="V1224" i="1" s="1"/>
  <c r="S1216" i="1"/>
  <c r="V1216" i="1" s="1"/>
  <c r="S1208" i="1"/>
  <c r="V1208" i="1" s="1"/>
  <c r="S1200" i="1"/>
  <c r="V1200" i="1" s="1"/>
  <c r="S1192" i="1"/>
  <c r="V1192" i="1" s="1"/>
  <c r="S1184" i="1"/>
  <c r="V1184" i="1" s="1"/>
  <c r="S1176" i="1"/>
  <c r="V1176" i="1" s="1"/>
  <c r="S1168" i="1"/>
  <c r="V1168" i="1" s="1"/>
  <c r="S1160" i="1"/>
  <c r="V1160" i="1" s="1"/>
  <c r="S1152" i="1"/>
  <c r="V1152" i="1" s="1"/>
  <c r="S1144" i="1"/>
  <c r="V1144" i="1" s="1"/>
  <c r="S1136" i="1"/>
  <c r="V1136" i="1" s="1"/>
  <c r="S1128" i="1"/>
  <c r="V1128" i="1" s="1"/>
  <c r="S1120" i="1"/>
  <c r="V1120" i="1" s="1"/>
  <c r="S1112" i="1"/>
  <c r="V1112" i="1" s="1"/>
  <c r="S1104" i="1"/>
  <c r="V1104" i="1" s="1"/>
  <c r="S1096" i="1"/>
  <c r="V1096" i="1" s="1"/>
  <c r="S1088" i="1"/>
  <c r="V1088" i="1" s="1"/>
  <c r="S1080" i="1"/>
  <c r="V1080" i="1" s="1"/>
  <c r="S1072" i="1"/>
  <c r="V1072" i="1" s="1"/>
  <c r="S1064" i="1"/>
  <c r="V1064" i="1" s="1"/>
  <c r="S1056" i="1"/>
  <c r="V1056" i="1" s="1"/>
  <c r="S1048" i="1"/>
  <c r="V1048" i="1" s="1"/>
  <c r="S1040" i="1"/>
  <c r="V1040" i="1" s="1"/>
  <c r="S1032" i="1"/>
  <c r="V1032" i="1" s="1"/>
  <c r="S1024" i="1"/>
  <c r="V1024" i="1" s="1"/>
  <c r="S1016" i="1"/>
  <c r="V1016" i="1" s="1"/>
  <c r="S1008" i="1"/>
  <c r="V1008" i="1" s="1"/>
  <c r="S1000" i="1"/>
  <c r="V1000" i="1" s="1"/>
  <c r="S992" i="1"/>
  <c r="V992" i="1" s="1"/>
  <c r="S984" i="1"/>
  <c r="V984" i="1" s="1"/>
  <c r="S976" i="1"/>
  <c r="V976" i="1" s="1"/>
  <c r="S968" i="1"/>
  <c r="V968" i="1" s="1"/>
  <c r="S960" i="1"/>
  <c r="V960" i="1" s="1"/>
  <c r="S952" i="1"/>
  <c r="V952" i="1" s="1"/>
  <c r="S944" i="1"/>
  <c r="V944" i="1" s="1"/>
  <c r="S936" i="1"/>
  <c r="V936" i="1" s="1"/>
  <c r="S928" i="1"/>
  <c r="V928" i="1" s="1"/>
  <c r="S920" i="1"/>
  <c r="V920" i="1" s="1"/>
  <c r="S912" i="1"/>
  <c r="V912" i="1" s="1"/>
  <c r="S904" i="1"/>
  <c r="V904" i="1" s="1"/>
  <c r="S896" i="1"/>
  <c r="V896" i="1" s="1"/>
  <c r="S888" i="1"/>
  <c r="V888" i="1" s="1"/>
  <c r="S880" i="1"/>
  <c r="V880" i="1" s="1"/>
  <c r="S872" i="1"/>
  <c r="V872" i="1" s="1"/>
  <c r="S864" i="1"/>
  <c r="V864" i="1" s="1"/>
  <c r="S856" i="1"/>
  <c r="V856" i="1" s="1"/>
  <c r="S848" i="1"/>
  <c r="V848" i="1" s="1"/>
  <c r="S840" i="1"/>
  <c r="V840" i="1" s="1"/>
  <c r="S832" i="1"/>
  <c r="V832" i="1" s="1"/>
  <c r="S824" i="1"/>
  <c r="V824" i="1" s="1"/>
  <c r="S816" i="1"/>
  <c r="V816" i="1" s="1"/>
  <c r="S808" i="1"/>
  <c r="V808" i="1" s="1"/>
  <c r="S800" i="1"/>
  <c r="V800" i="1" s="1"/>
  <c r="S792" i="1"/>
  <c r="V792" i="1" s="1"/>
  <c r="S784" i="1"/>
  <c r="V784" i="1" s="1"/>
  <c r="S776" i="1"/>
  <c r="V776" i="1" s="1"/>
  <c r="S768" i="1"/>
  <c r="V768" i="1" s="1"/>
  <c r="S760" i="1"/>
  <c r="V760" i="1" s="1"/>
  <c r="S752" i="1"/>
  <c r="V752" i="1" s="1"/>
  <c r="S744" i="1"/>
  <c r="V744" i="1" s="1"/>
  <c r="S736" i="1"/>
  <c r="V736" i="1" s="1"/>
  <c r="S728" i="1"/>
  <c r="V728" i="1" s="1"/>
  <c r="S720" i="1"/>
  <c r="V720" i="1" s="1"/>
  <c r="S712" i="1"/>
  <c r="V712" i="1" s="1"/>
  <c r="S704" i="1"/>
  <c r="V704" i="1" s="1"/>
  <c r="S696" i="1"/>
  <c r="V696" i="1" s="1"/>
  <c r="S688" i="1"/>
  <c r="V688" i="1" s="1"/>
  <c r="S680" i="1"/>
  <c r="V680" i="1" s="1"/>
  <c r="S672" i="1"/>
  <c r="V672" i="1" s="1"/>
  <c r="S664" i="1"/>
  <c r="V664" i="1" s="1"/>
  <c r="S656" i="1"/>
  <c r="V656" i="1" s="1"/>
  <c r="S648" i="1"/>
  <c r="V648" i="1" s="1"/>
  <c r="S640" i="1"/>
  <c r="V640" i="1" s="1"/>
  <c r="S632" i="1"/>
  <c r="V632" i="1" s="1"/>
  <c r="S624" i="1"/>
  <c r="V624" i="1" s="1"/>
  <c r="S616" i="1"/>
  <c r="V616" i="1" s="1"/>
  <c r="S608" i="1"/>
  <c r="V608" i="1" s="1"/>
  <c r="S600" i="1"/>
  <c r="V600" i="1" s="1"/>
  <c r="S592" i="1"/>
  <c r="V592" i="1" s="1"/>
  <c r="S584" i="1"/>
  <c r="V584" i="1" s="1"/>
  <c r="S576" i="1"/>
  <c r="V576" i="1" s="1"/>
  <c r="S568" i="1"/>
  <c r="V568" i="1" s="1"/>
  <c r="S560" i="1"/>
  <c r="V560" i="1" s="1"/>
  <c r="S552" i="1"/>
  <c r="V552" i="1" s="1"/>
  <c r="S544" i="1"/>
  <c r="V544" i="1" s="1"/>
  <c r="S536" i="1"/>
  <c r="V536" i="1" s="1"/>
  <c r="S528" i="1"/>
  <c r="V528" i="1" s="1"/>
  <c r="S520" i="1"/>
  <c r="V520" i="1" s="1"/>
  <c r="S512" i="1"/>
  <c r="V512" i="1" s="1"/>
  <c r="S504" i="1"/>
  <c r="V504" i="1" s="1"/>
  <c r="S496" i="1"/>
  <c r="V496" i="1" s="1"/>
  <c r="S488" i="1"/>
  <c r="V488" i="1" s="1"/>
  <c r="S480" i="1"/>
  <c r="V480" i="1" s="1"/>
  <c r="S472" i="1"/>
  <c r="V472" i="1" s="1"/>
  <c r="S464" i="1"/>
  <c r="V464" i="1" s="1"/>
  <c r="S456" i="1"/>
  <c r="V456" i="1" s="1"/>
  <c r="S448" i="1"/>
  <c r="V448" i="1" s="1"/>
  <c r="S440" i="1"/>
  <c r="V440" i="1" s="1"/>
  <c r="S432" i="1"/>
  <c r="V432" i="1" s="1"/>
  <c r="S424" i="1"/>
  <c r="V424" i="1" s="1"/>
  <c r="S416" i="1"/>
  <c r="V416" i="1" s="1"/>
  <c r="S408" i="1"/>
  <c r="V408" i="1" s="1"/>
  <c r="S400" i="1"/>
  <c r="V400" i="1" s="1"/>
  <c r="S392" i="1"/>
  <c r="V392" i="1" s="1"/>
  <c r="S384" i="1"/>
  <c r="V384" i="1" s="1"/>
  <c r="S376" i="1"/>
  <c r="V376" i="1" s="1"/>
  <c r="S368" i="1"/>
  <c r="V368" i="1" s="1"/>
  <c r="S360" i="1"/>
  <c r="V360" i="1" s="1"/>
  <c r="S352" i="1"/>
  <c r="V352" i="1" s="1"/>
  <c r="S344" i="1"/>
  <c r="V344" i="1" s="1"/>
  <c r="S336" i="1"/>
  <c r="V336" i="1" s="1"/>
  <c r="S328" i="1"/>
  <c r="V328" i="1" s="1"/>
  <c r="S320" i="1"/>
  <c r="V320" i="1" s="1"/>
  <c r="S312" i="1"/>
  <c r="V312" i="1" s="1"/>
  <c r="S304" i="1"/>
  <c r="V304" i="1" s="1"/>
  <c r="S232" i="1"/>
  <c r="V232" i="1" s="1"/>
  <c r="S799" i="1"/>
  <c r="V799" i="1" s="1"/>
  <c r="S791" i="1"/>
  <c r="V791" i="1" s="1"/>
  <c r="S783" i="1"/>
  <c r="V783" i="1" s="1"/>
  <c r="S775" i="1"/>
  <c r="V775" i="1" s="1"/>
  <c r="S767" i="1"/>
  <c r="V767" i="1" s="1"/>
  <c r="S759" i="1"/>
  <c r="V759" i="1" s="1"/>
  <c r="S751" i="1"/>
  <c r="V751" i="1" s="1"/>
  <c r="S743" i="1"/>
  <c r="V743" i="1" s="1"/>
  <c r="S735" i="1"/>
  <c r="V735" i="1" s="1"/>
  <c r="S727" i="1"/>
  <c r="V727" i="1" s="1"/>
  <c r="S719" i="1"/>
  <c r="V719" i="1" s="1"/>
  <c r="S711" i="1"/>
  <c r="V711" i="1" s="1"/>
  <c r="S703" i="1"/>
  <c r="V703" i="1" s="1"/>
  <c r="S695" i="1"/>
  <c r="V695" i="1" s="1"/>
  <c r="S687" i="1"/>
  <c r="V687" i="1" s="1"/>
  <c r="S679" i="1"/>
  <c r="V679" i="1" s="1"/>
  <c r="S671" i="1"/>
  <c r="V671" i="1" s="1"/>
  <c r="S663" i="1"/>
  <c r="V663" i="1" s="1"/>
  <c r="S655" i="1"/>
  <c r="V655" i="1" s="1"/>
  <c r="S647" i="1"/>
  <c r="V647" i="1" s="1"/>
  <c r="S639" i="1"/>
  <c r="V639" i="1" s="1"/>
  <c r="S631" i="1"/>
  <c r="V631" i="1" s="1"/>
  <c r="S623" i="1"/>
  <c r="V623" i="1" s="1"/>
  <c r="S615" i="1"/>
  <c r="V615" i="1" s="1"/>
  <c r="S607" i="1"/>
  <c r="V607" i="1" s="1"/>
  <c r="S599" i="1"/>
  <c r="V599" i="1" s="1"/>
  <c r="S591" i="1"/>
  <c r="V591" i="1" s="1"/>
  <c r="S583" i="1"/>
  <c r="V583" i="1" s="1"/>
  <c r="S575" i="1"/>
  <c r="V575" i="1" s="1"/>
  <c r="S567" i="1"/>
  <c r="V567" i="1" s="1"/>
  <c r="S559" i="1"/>
  <c r="V559" i="1" s="1"/>
  <c r="S551" i="1"/>
  <c r="V551" i="1" s="1"/>
  <c r="S543" i="1"/>
  <c r="V543" i="1" s="1"/>
  <c r="S535" i="1"/>
  <c r="V535" i="1" s="1"/>
  <c r="S527" i="1"/>
  <c r="V527" i="1" s="1"/>
  <c r="S519" i="1"/>
  <c r="V519" i="1" s="1"/>
  <c r="S511" i="1"/>
  <c r="V511" i="1" s="1"/>
  <c r="S503" i="1"/>
  <c r="V503" i="1" s="1"/>
  <c r="S495" i="1"/>
  <c r="V495" i="1" s="1"/>
  <c r="S487" i="1"/>
  <c r="V487" i="1" s="1"/>
  <c r="S479" i="1"/>
  <c r="V479" i="1" s="1"/>
  <c r="S471" i="1"/>
  <c r="V471" i="1" s="1"/>
  <c r="S463" i="1"/>
  <c r="V463" i="1" s="1"/>
  <c r="S455" i="1"/>
  <c r="V455" i="1" s="1"/>
  <c r="S447" i="1"/>
  <c r="V447" i="1" s="1"/>
  <c r="S439" i="1"/>
  <c r="V439" i="1" s="1"/>
  <c r="S431" i="1"/>
  <c r="V431" i="1" s="1"/>
  <c r="S423" i="1"/>
  <c r="V423" i="1" s="1"/>
  <c r="S415" i="1"/>
  <c r="V415" i="1" s="1"/>
  <c r="S407" i="1"/>
  <c r="V407" i="1" s="1"/>
  <c r="S399" i="1"/>
  <c r="V399" i="1" s="1"/>
  <c r="S391" i="1"/>
  <c r="V391" i="1" s="1"/>
  <c r="S383" i="1"/>
  <c r="V383" i="1" s="1"/>
  <c r="S375" i="1"/>
  <c r="V375" i="1" s="1"/>
  <c r="S367" i="1"/>
  <c r="V367" i="1" s="1"/>
  <c r="S359" i="1"/>
  <c r="V359" i="1" s="1"/>
  <c r="S351" i="1"/>
  <c r="V351" i="1" s="1"/>
  <c r="S343" i="1"/>
  <c r="V343" i="1" s="1"/>
  <c r="S335" i="1"/>
  <c r="V335" i="1" s="1"/>
  <c r="S327" i="1"/>
  <c r="V327" i="1" s="1"/>
  <c r="S319" i="1"/>
  <c r="V319" i="1" s="1"/>
  <c r="S311" i="1"/>
  <c r="V311" i="1" s="1"/>
  <c r="S303" i="1"/>
  <c r="V303" i="1" s="1"/>
  <c r="S295" i="1"/>
  <c r="V295" i="1" s="1"/>
  <c r="S287" i="1"/>
  <c r="V287" i="1" s="1"/>
  <c r="S279" i="1"/>
  <c r="V279" i="1" s="1"/>
  <c r="S271" i="1"/>
  <c r="V271" i="1" s="1"/>
  <c r="S263" i="1"/>
  <c r="V263" i="1" s="1"/>
  <c r="S255" i="1"/>
  <c r="V255" i="1" s="1"/>
  <c r="S247" i="1"/>
  <c r="V247" i="1" s="1"/>
  <c r="S239" i="1"/>
  <c r="V239" i="1" s="1"/>
  <c r="S231" i="1"/>
  <c r="V231" i="1" s="1"/>
  <c r="S223" i="1"/>
  <c r="V223" i="1" s="1"/>
  <c r="S215" i="1"/>
  <c r="V215" i="1" s="1"/>
  <c r="S207" i="1"/>
  <c r="V207" i="1" s="1"/>
  <c r="S199" i="1"/>
  <c r="V199" i="1" s="1"/>
  <c r="S191" i="1"/>
  <c r="V191" i="1" s="1"/>
  <c r="S183" i="1"/>
  <c r="V183" i="1" s="1"/>
  <c r="S175" i="1"/>
  <c r="V175" i="1" s="1"/>
  <c r="S167" i="1"/>
  <c r="V167" i="1" s="1"/>
  <c r="S159" i="1"/>
  <c r="V159" i="1" s="1"/>
  <c r="S151" i="1"/>
  <c r="V151" i="1" s="1"/>
  <c r="S143" i="1"/>
  <c r="V143" i="1" s="1"/>
  <c r="S135" i="1"/>
  <c r="V135" i="1" s="1"/>
  <c r="S127" i="1"/>
  <c r="V127" i="1" s="1"/>
  <c r="S119" i="1"/>
  <c r="V119" i="1" s="1"/>
  <c r="S111" i="1"/>
  <c r="V111" i="1" s="1"/>
  <c r="S103" i="1"/>
  <c r="V103" i="1" s="1"/>
  <c r="S95" i="1"/>
  <c r="V95" i="1" s="1"/>
  <c r="S358" i="1"/>
  <c r="V358" i="1" s="1"/>
  <c r="S350" i="1"/>
  <c r="V350" i="1" s="1"/>
  <c r="S342" i="1"/>
  <c r="V342" i="1" s="1"/>
  <c r="S166" i="1"/>
  <c r="V166" i="1" s="1"/>
  <c r="S1701" i="1"/>
  <c r="V1701" i="1" s="1"/>
  <c r="S1693" i="1"/>
  <c r="V1693" i="1" s="1"/>
  <c r="S1685" i="1"/>
  <c r="V1685" i="1" s="1"/>
  <c r="S1677" i="1"/>
  <c r="V1677" i="1" s="1"/>
  <c r="S1669" i="1"/>
  <c r="V1669" i="1" s="1"/>
  <c r="S1661" i="1"/>
  <c r="V1661" i="1" s="1"/>
  <c r="S1653" i="1"/>
  <c r="V1653" i="1" s="1"/>
  <c r="S1645" i="1"/>
  <c r="V1645" i="1" s="1"/>
  <c r="S1637" i="1"/>
  <c r="V1637" i="1" s="1"/>
  <c r="S1629" i="1"/>
  <c r="V1629" i="1" s="1"/>
  <c r="S1621" i="1"/>
  <c r="V1621" i="1" s="1"/>
  <c r="S1613" i="1"/>
  <c r="V1613" i="1" s="1"/>
  <c r="S1605" i="1"/>
  <c r="V1605" i="1" s="1"/>
  <c r="S1597" i="1"/>
  <c r="V1597" i="1" s="1"/>
  <c r="S1589" i="1"/>
  <c r="V1589" i="1" s="1"/>
  <c r="S1581" i="1"/>
  <c r="V1581" i="1" s="1"/>
  <c r="S1573" i="1"/>
  <c r="V1573" i="1" s="1"/>
  <c r="S1565" i="1"/>
  <c r="V1565" i="1" s="1"/>
  <c r="S1557" i="1"/>
  <c r="V1557" i="1" s="1"/>
  <c r="S1549" i="1"/>
  <c r="V1549" i="1" s="1"/>
  <c r="S1541" i="1"/>
  <c r="V1541" i="1" s="1"/>
  <c r="S1533" i="1"/>
  <c r="V1533" i="1" s="1"/>
  <c r="S1525" i="1"/>
  <c r="V1525" i="1" s="1"/>
  <c r="S1517" i="1"/>
  <c r="V1517" i="1" s="1"/>
  <c r="S1509" i="1"/>
  <c r="V1509" i="1" s="1"/>
  <c r="S1501" i="1"/>
  <c r="V1501" i="1" s="1"/>
  <c r="S1493" i="1"/>
  <c r="V1493" i="1" s="1"/>
  <c r="S1485" i="1"/>
  <c r="V1485" i="1" s="1"/>
  <c r="S1477" i="1"/>
  <c r="V1477" i="1" s="1"/>
  <c r="S1469" i="1"/>
  <c r="V1469" i="1" s="1"/>
  <c r="S1461" i="1"/>
  <c r="V1461" i="1" s="1"/>
  <c r="S1453" i="1"/>
  <c r="V1453" i="1" s="1"/>
  <c r="S1445" i="1"/>
  <c r="V1445" i="1" s="1"/>
  <c r="S1437" i="1"/>
  <c r="V1437" i="1" s="1"/>
  <c r="S1429" i="1"/>
  <c r="V1429" i="1" s="1"/>
  <c r="S1421" i="1"/>
  <c r="V1421" i="1" s="1"/>
  <c r="S1413" i="1"/>
  <c r="V1413" i="1" s="1"/>
  <c r="S1405" i="1"/>
  <c r="V1405" i="1" s="1"/>
  <c r="S1397" i="1"/>
  <c r="V1397" i="1" s="1"/>
  <c r="S1389" i="1"/>
  <c r="V1389" i="1" s="1"/>
  <c r="S1381" i="1"/>
  <c r="V1381" i="1" s="1"/>
  <c r="S1373" i="1"/>
  <c r="V1373" i="1" s="1"/>
  <c r="S1365" i="1"/>
  <c r="V1365" i="1" s="1"/>
  <c r="S1357" i="1"/>
  <c r="V1357" i="1" s="1"/>
  <c r="S1349" i="1"/>
  <c r="V1349" i="1" s="1"/>
  <c r="S1341" i="1"/>
  <c r="V1341" i="1" s="1"/>
  <c r="S1333" i="1"/>
  <c r="V1333" i="1" s="1"/>
  <c r="S1325" i="1"/>
  <c r="V1325" i="1" s="1"/>
  <c r="S1317" i="1"/>
  <c r="V1317" i="1" s="1"/>
  <c r="S1309" i="1"/>
  <c r="V1309" i="1" s="1"/>
  <c r="S1301" i="1"/>
  <c r="V1301" i="1" s="1"/>
  <c r="S1293" i="1"/>
  <c r="V1293" i="1" s="1"/>
  <c r="S1285" i="1"/>
  <c r="V1285" i="1" s="1"/>
  <c r="S1277" i="1"/>
  <c r="V1277" i="1" s="1"/>
  <c r="S1269" i="1"/>
  <c r="V1269" i="1" s="1"/>
  <c r="S1261" i="1"/>
  <c r="V1261" i="1" s="1"/>
  <c r="S1253" i="1"/>
  <c r="V1253" i="1" s="1"/>
  <c r="S1245" i="1"/>
  <c r="V1245" i="1" s="1"/>
  <c r="S1237" i="1"/>
  <c r="V1237" i="1" s="1"/>
  <c r="S1229" i="1"/>
  <c r="V1229" i="1" s="1"/>
  <c r="S1221" i="1"/>
  <c r="V1221" i="1" s="1"/>
  <c r="S1213" i="1"/>
  <c r="V1213" i="1" s="1"/>
  <c r="S1205" i="1"/>
  <c r="V1205" i="1" s="1"/>
  <c r="S1197" i="1"/>
  <c r="V1197" i="1" s="1"/>
  <c r="S1189" i="1"/>
  <c r="V1189" i="1" s="1"/>
  <c r="S1181" i="1"/>
  <c r="V1181" i="1" s="1"/>
  <c r="S1173" i="1"/>
  <c r="V1173" i="1" s="1"/>
  <c r="S1165" i="1"/>
  <c r="V1165" i="1" s="1"/>
  <c r="S1157" i="1"/>
  <c r="V1157" i="1" s="1"/>
  <c r="S1149" i="1"/>
  <c r="V1149" i="1" s="1"/>
  <c r="S1141" i="1"/>
  <c r="V1141" i="1" s="1"/>
  <c r="S1133" i="1"/>
  <c r="V1133" i="1" s="1"/>
  <c r="S1125" i="1"/>
  <c r="V1125" i="1" s="1"/>
  <c r="S1117" i="1"/>
  <c r="V1117" i="1" s="1"/>
  <c r="S1109" i="1"/>
  <c r="V1109" i="1" s="1"/>
  <c r="S1101" i="1"/>
  <c r="V1101" i="1" s="1"/>
  <c r="S1093" i="1"/>
  <c r="V1093" i="1" s="1"/>
  <c r="S1085" i="1"/>
  <c r="V1085" i="1" s="1"/>
  <c r="S1077" i="1"/>
  <c r="V1077" i="1" s="1"/>
  <c r="S1069" i="1"/>
  <c r="V1069" i="1" s="1"/>
  <c r="S1061" i="1"/>
  <c r="V1061" i="1" s="1"/>
  <c r="S1053" i="1"/>
  <c r="V1053" i="1" s="1"/>
  <c r="S1045" i="1"/>
  <c r="V1045" i="1" s="1"/>
  <c r="S1037" i="1"/>
  <c r="V1037" i="1" s="1"/>
  <c r="S1029" i="1"/>
  <c r="V1029" i="1" s="1"/>
  <c r="S1021" i="1"/>
  <c r="V1021" i="1" s="1"/>
  <c r="S1005" i="1"/>
  <c r="V1005" i="1" s="1"/>
  <c r="S997" i="1"/>
  <c r="V997" i="1" s="1"/>
  <c r="S989" i="1"/>
  <c r="V989" i="1" s="1"/>
  <c r="S981" i="1"/>
  <c r="V981" i="1" s="1"/>
  <c r="S973" i="1"/>
  <c r="V973" i="1" s="1"/>
  <c r="S965" i="1"/>
  <c r="V965" i="1" s="1"/>
  <c r="S957" i="1"/>
  <c r="V957" i="1" s="1"/>
  <c r="S949" i="1"/>
  <c r="V949" i="1" s="1"/>
  <c r="S941" i="1"/>
  <c r="V941" i="1" s="1"/>
  <c r="S933" i="1"/>
  <c r="V933" i="1" s="1"/>
  <c r="S925" i="1"/>
  <c r="V925" i="1" s="1"/>
  <c r="S917" i="1"/>
  <c r="V917" i="1" s="1"/>
  <c r="S909" i="1"/>
  <c r="V909" i="1" s="1"/>
  <c r="S901" i="1"/>
  <c r="V901" i="1" s="1"/>
  <c r="S893" i="1"/>
  <c r="V893" i="1" s="1"/>
  <c r="S853" i="1"/>
  <c r="V853" i="1" s="1"/>
  <c r="S789" i="1"/>
  <c r="V789" i="1" s="1"/>
  <c r="S765" i="1"/>
  <c r="V765" i="1" s="1"/>
  <c r="S741" i="1"/>
  <c r="V741" i="1" s="1"/>
  <c r="S717" i="1"/>
  <c r="V717" i="1" s="1"/>
  <c r="S693" i="1"/>
  <c r="V693" i="1" s="1"/>
  <c r="S189" i="1"/>
  <c r="V189" i="1" s="1"/>
  <c r="S877" i="1"/>
  <c r="V877" i="1" s="1"/>
  <c r="S869" i="1"/>
  <c r="V869" i="1" s="1"/>
  <c r="S861" i="1"/>
  <c r="V861" i="1" s="1"/>
  <c r="S845" i="1"/>
  <c r="V845" i="1" s="1"/>
  <c r="S837" i="1"/>
  <c r="V837" i="1" s="1"/>
  <c r="S829" i="1"/>
  <c r="V829" i="1" s="1"/>
  <c r="S821" i="1"/>
  <c r="V821" i="1" s="1"/>
  <c r="S813" i="1"/>
  <c r="V813" i="1" s="1"/>
  <c r="S805" i="1"/>
  <c r="V805" i="1" s="1"/>
  <c r="S797" i="1"/>
  <c r="V797" i="1" s="1"/>
  <c r="S781" i="1"/>
  <c r="V781" i="1" s="1"/>
  <c r="S773" i="1"/>
  <c r="V773" i="1" s="1"/>
  <c r="S757" i="1"/>
  <c r="V757" i="1" s="1"/>
  <c r="S749" i="1"/>
  <c r="V749" i="1" s="1"/>
  <c r="S733" i="1"/>
  <c r="V733" i="1" s="1"/>
  <c r="S725" i="1"/>
  <c r="V725" i="1" s="1"/>
  <c r="S709" i="1"/>
  <c r="V709" i="1" s="1"/>
  <c r="S701" i="1"/>
  <c r="V701" i="1" s="1"/>
  <c r="S685" i="1"/>
  <c r="V685" i="1" s="1"/>
  <c r="S677" i="1"/>
  <c r="V677" i="1" s="1"/>
  <c r="S669" i="1"/>
  <c r="V669" i="1" s="1"/>
  <c r="S661" i="1"/>
  <c r="V661" i="1" s="1"/>
  <c r="S653" i="1"/>
  <c r="V653" i="1" s="1"/>
  <c r="S645" i="1"/>
  <c r="V645" i="1" s="1"/>
  <c r="S637" i="1"/>
  <c r="V637" i="1" s="1"/>
  <c r="S629" i="1"/>
  <c r="V629" i="1" s="1"/>
  <c r="S621" i="1"/>
  <c r="V621" i="1" s="1"/>
  <c r="S613" i="1"/>
  <c r="V613" i="1" s="1"/>
  <c r="S605" i="1"/>
  <c r="V605" i="1" s="1"/>
  <c r="S597" i="1"/>
  <c r="V597" i="1" s="1"/>
  <c r="S589" i="1"/>
  <c r="V589" i="1" s="1"/>
  <c r="S581" i="1"/>
  <c r="V581" i="1" s="1"/>
  <c r="S573" i="1"/>
  <c r="V573" i="1" s="1"/>
  <c r="S565" i="1"/>
  <c r="V565" i="1" s="1"/>
  <c r="S557" i="1"/>
  <c r="V557" i="1" s="1"/>
  <c r="S549" i="1"/>
  <c r="V549" i="1" s="1"/>
  <c r="S541" i="1"/>
  <c r="V541" i="1" s="1"/>
  <c r="S533" i="1"/>
  <c r="V533" i="1" s="1"/>
  <c r="S525" i="1"/>
  <c r="V525" i="1" s="1"/>
  <c r="S517" i="1"/>
  <c r="V517" i="1" s="1"/>
  <c r="S509" i="1"/>
  <c r="V509" i="1" s="1"/>
  <c r="S501" i="1"/>
  <c r="V501" i="1" s="1"/>
  <c r="S493" i="1"/>
  <c r="V493" i="1" s="1"/>
  <c r="S485" i="1"/>
  <c r="V485" i="1" s="1"/>
  <c r="S477" i="1"/>
  <c r="V477" i="1" s="1"/>
  <c r="S469" i="1"/>
  <c r="V469" i="1" s="1"/>
  <c r="S461" i="1"/>
  <c r="V461" i="1" s="1"/>
  <c r="S453" i="1"/>
  <c r="V453" i="1" s="1"/>
  <c r="S437" i="1"/>
  <c r="V437" i="1" s="1"/>
  <c r="S429" i="1"/>
  <c r="V429" i="1" s="1"/>
  <c r="S421" i="1"/>
  <c r="V421" i="1" s="1"/>
  <c r="S413" i="1"/>
  <c r="V413" i="1" s="1"/>
  <c r="S405" i="1"/>
  <c r="V405" i="1" s="1"/>
  <c r="S397" i="1"/>
  <c r="V397" i="1" s="1"/>
  <c r="S389" i="1"/>
  <c r="V389" i="1" s="1"/>
  <c r="S381" i="1"/>
  <c r="V381" i="1" s="1"/>
  <c r="S373" i="1"/>
  <c r="V373" i="1" s="1"/>
  <c r="S365" i="1"/>
  <c r="V365" i="1" s="1"/>
  <c r="S357" i="1"/>
  <c r="V357" i="1" s="1"/>
  <c r="S349" i="1"/>
  <c r="V349" i="1" s="1"/>
  <c r="S341" i="1"/>
  <c r="V341" i="1" s="1"/>
  <c r="S333" i="1"/>
  <c r="V333" i="1" s="1"/>
  <c r="S325" i="1"/>
  <c r="V325" i="1" s="1"/>
  <c r="S317" i="1"/>
  <c r="V317" i="1" s="1"/>
  <c r="S301" i="1"/>
  <c r="V301" i="1" s="1"/>
  <c r="S293" i="1"/>
  <c r="V293" i="1" s="1"/>
  <c r="S285" i="1"/>
  <c r="V285" i="1" s="1"/>
  <c r="S277" i="1"/>
  <c r="V277" i="1" s="1"/>
  <c r="S269" i="1"/>
  <c r="V269" i="1" s="1"/>
  <c r="S261" i="1"/>
  <c r="V261" i="1" s="1"/>
  <c r="S253" i="1"/>
  <c r="V253" i="1" s="1"/>
  <c r="S245" i="1"/>
  <c r="V245" i="1" s="1"/>
  <c r="S237" i="1"/>
  <c r="V237" i="1" s="1"/>
  <c r="S229" i="1"/>
  <c r="V229" i="1" s="1"/>
  <c r="S221" i="1"/>
  <c r="V221" i="1" s="1"/>
  <c r="S213" i="1"/>
  <c r="V213" i="1" s="1"/>
  <c r="S205" i="1"/>
  <c r="V205" i="1" s="1"/>
  <c r="S197" i="1"/>
  <c r="V197" i="1" s="1"/>
  <c r="S181" i="1"/>
  <c r="V181" i="1" s="1"/>
  <c r="S173" i="1"/>
  <c r="V173" i="1" s="1"/>
  <c r="S165" i="1"/>
  <c r="V165" i="1" s="1"/>
  <c r="S157" i="1"/>
  <c r="V157" i="1" s="1"/>
  <c r="S149" i="1"/>
  <c r="V149" i="1" s="1"/>
  <c r="S141" i="1"/>
  <c r="V141" i="1" s="1"/>
  <c r="S133" i="1"/>
  <c r="V133" i="1" s="1"/>
  <c r="S125" i="1"/>
  <c r="V125" i="1" s="1"/>
  <c r="S117" i="1"/>
  <c r="V117" i="1" s="1"/>
  <c r="S109" i="1"/>
  <c r="V109" i="1" s="1"/>
  <c r="S101" i="1"/>
  <c r="V101" i="1" s="1"/>
  <c r="S93" i="1"/>
  <c r="V93" i="1" s="1"/>
  <c r="S85" i="1"/>
  <c r="V85" i="1" s="1"/>
  <c r="S77" i="1"/>
  <c r="V77" i="1" s="1"/>
  <c r="S69" i="1"/>
  <c r="V69" i="1" s="1"/>
  <c r="S61" i="1"/>
  <c r="V61" i="1" s="1"/>
  <c r="S53" i="1"/>
  <c r="V53" i="1" s="1"/>
  <c r="S45" i="1"/>
  <c r="V45" i="1" s="1"/>
  <c r="S37" i="1"/>
  <c r="V37" i="1" s="1"/>
  <c r="S29" i="1"/>
  <c r="V29" i="1" s="1"/>
  <c r="S21" i="1"/>
  <c r="V21" i="1" s="1"/>
  <c r="S13" i="1"/>
  <c r="V13" i="1" s="1"/>
  <c r="S5" i="1"/>
  <c r="V5" i="1" s="1"/>
  <c r="S292" i="1"/>
  <c r="V292" i="1" s="1"/>
  <c r="S284" i="1"/>
  <c r="V284" i="1" s="1"/>
  <c r="S276" i="1"/>
  <c r="V276" i="1" s="1"/>
  <c r="S268" i="1"/>
  <c r="V268" i="1" s="1"/>
  <c r="S260" i="1"/>
  <c r="V260" i="1" s="1"/>
  <c r="S252" i="1"/>
  <c r="V252" i="1" s="1"/>
  <c r="S244" i="1"/>
  <c r="V244" i="1" s="1"/>
  <c r="S236" i="1"/>
  <c r="V236" i="1" s="1"/>
  <c r="S228" i="1"/>
  <c r="V228" i="1" s="1"/>
  <c r="S220" i="1"/>
  <c r="V220" i="1" s="1"/>
  <c r="S212" i="1"/>
  <c r="V212" i="1" s="1"/>
  <c r="S204" i="1"/>
  <c r="V204" i="1" s="1"/>
  <c r="S196" i="1"/>
  <c r="V196" i="1" s="1"/>
  <c r="S188" i="1"/>
  <c r="V188" i="1" s="1"/>
  <c r="S180" i="1"/>
  <c r="V180" i="1" s="1"/>
  <c r="S172" i="1"/>
  <c r="V172" i="1" s="1"/>
  <c r="S164" i="1"/>
  <c r="V164" i="1" s="1"/>
  <c r="S156" i="1"/>
  <c r="V156" i="1" s="1"/>
  <c r="S148" i="1"/>
  <c r="V148" i="1" s="1"/>
  <c r="S140" i="1"/>
  <c r="V140" i="1" s="1"/>
  <c r="S132" i="1"/>
  <c r="V132" i="1" s="1"/>
  <c r="S124" i="1"/>
  <c r="V124" i="1" s="1"/>
  <c r="S116" i="1"/>
  <c r="V116" i="1" s="1"/>
  <c r="S275" i="1"/>
  <c r="V275" i="1" s="1"/>
  <c r="S267" i="1"/>
  <c r="V267" i="1" s="1"/>
  <c r="S259" i="1"/>
  <c r="V259" i="1" s="1"/>
  <c r="S243" i="1"/>
  <c r="V243" i="1" s="1"/>
  <c r="S235" i="1"/>
  <c r="V235" i="1" s="1"/>
  <c r="S227" i="1"/>
  <c r="V227" i="1" s="1"/>
  <c r="S219" i="1"/>
  <c r="V219" i="1" s="1"/>
  <c r="S211" i="1"/>
  <c r="V211" i="1" s="1"/>
  <c r="S203" i="1"/>
  <c r="V203" i="1" s="1"/>
  <c r="S195" i="1"/>
  <c r="V195" i="1" s="1"/>
  <c r="S187" i="1"/>
  <c r="V187" i="1" s="1"/>
  <c r="S179" i="1"/>
  <c r="V179" i="1" s="1"/>
  <c r="S171" i="1"/>
  <c r="V171" i="1" s="1"/>
  <c r="S163" i="1"/>
  <c r="V163" i="1" s="1"/>
  <c r="S155" i="1"/>
  <c r="V155" i="1" s="1"/>
  <c r="S147" i="1"/>
  <c r="V147" i="1" s="1"/>
  <c r="S139" i="1"/>
  <c r="V139" i="1" s="1"/>
  <c r="S131" i="1"/>
  <c r="V131" i="1" s="1"/>
  <c r="S115" i="1"/>
  <c r="V115" i="1" s="1"/>
  <c r="S107" i="1"/>
  <c r="V107" i="1" s="1"/>
  <c r="S91" i="1"/>
  <c r="V91" i="1" s="1"/>
  <c r="S67" i="1"/>
  <c r="V67" i="1" s="1"/>
  <c r="S290" i="1"/>
  <c r="V290" i="1" s="1"/>
  <c r="S282" i="1"/>
  <c r="V282" i="1" s="1"/>
  <c r="S266" i="1"/>
  <c r="V266" i="1" s="1"/>
  <c r="S258" i="1"/>
  <c r="V258" i="1" s="1"/>
  <c r="S250" i="1"/>
  <c r="V250" i="1" s="1"/>
  <c r="S242" i="1"/>
  <c r="V242" i="1" s="1"/>
  <c r="S234" i="1"/>
  <c r="V234" i="1" s="1"/>
  <c r="S226" i="1"/>
  <c r="V226" i="1" s="1"/>
  <c r="S218" i="1"/>
  <c r="V218" i="1" s="1"/>
  <c r="S210" i="1"/>
  <c r="V210" i="1" s="1"/>
  <c r="S202" i="1"/>
  <c r="V202" i="1" s="1"/>
  <c r="S194" i="1"/>
  <c r="V194" i="1" s="1"/>
  <c r="S186" i="1"/>
  <c r="V186" i="1" s="1"/>
  <c r="S178" i="1"/>
  <c r="V178" i="1" s="1"/>
  <c r="S170" i="1"/>
  <c r="V170" i="1" s="1"/>
  <c r="S162" i="1"/>
  <c r="V162" i="1" s="1"/>
  <c r="S154" i="1"/>
  <c r="V154" i="1" s="1"/>
  <c r="S138" i="1"/>
  <c r="V138" i="1" s="1"/>
  <c r="S130" i="1"/>
  <c r="V130" i="1" s="1"/>
  <c r="S122" i="1"/>
  <c r="V122" i="1" s="1"/>
  <c r="S114" i="1"/>
  <c r="V114" i="1" s="1"/>
  <c r="S106" i="1"/>
  <c r="V106" i="1" s="1"/>
  <c r="S98" i="1"/>
  <c r="V98" i="1" s="1"/>
  <c r="S90" i="1"/>
  <c r="V90" i="1" s="1"/>
  <c r="S82" i="1"/>
  <c r="V82" i="1" s="1"/>
  <c r="S74" i="1"/>
  <c r="V74" i="1" s="1"/>
  <c r="S66" i="1"/>
  <c r="V66" i="1" s="1"/>
  <c r="S58" i="1"/>
  <c r="V58" i="1" s="1"/>
  <c r="S50" i="1"/>
  <c r="V50" i="1" s="1"/>
  <c r="S42" i="1"/>
  <c r="V42" i="1" s="1"/>
  <c r="S34" i="1"/>
  <c r="V34" i="1" s="1"/>
  <c r="S26" i="1"/>
  <c r="V26" i="1" s="1"/>
  <c r="S18" i="1"/>
  <c r="V18" i="1" s="1"/>
  <c r="S10" i="1"/>
  <c r="V10" i="1" s="1"/>
  <c r="S881" i="1"/>
  <c r="V881" i="1" s="1"/>
  <c r="S873" i="1"/>
  <c r="V873" i="1" s="1"/>
  <c r="S857" i="1"/>
  <c r="V857" i="1" s="1"/>
  <c r="S849" i="1"/>
  <c r="V849" i="1" s="1"/>
  <c r="S841" i="1"/>
  <c r="V841" i="1" s="1"/>
  <c r="S833" i="1"/>
  <c r="V833" i="1" s="1"/>
  <c r="S825" i="1"/>
  <c r="V825" i="1" s="1"/>
  <c r="S809" i="1"/>
  <c r="V809" i="1" s="1"/>
  <c r="S801" i="1"/>
  <c r="V801" i="1" s="1"/>
  <c r="S793" i="1"/>
  <c r="V793" i="1" s="1"/>
  <c r="S785" i="1"/>
  <c r="V785" i="1" s="1"/>
  <c r="S777" i="1"/>
  <c r="V777" i="1" s="1"/>
  <c r="S769" i="1"/>
  <c r="V769" i="1" s="1"/>
  <c r="S761" i="1"/>
  <c r="V761" i="1" s="1"/>
  <c r="S753" i="1"/>
  <c r="V753" i="1" s="1"/>
  <c r="S745" i="1"/>
  <c r="V745" i="1" s="1"/>
  <c r="S737" i="1"/>
  <c r="V737" i="1" s="1"/>
  <c r="S729" i="1"/>
  <c r="V729" i="1" s="1"/>
  <c r="S721" i="1"/>
  <c r="V721" i="1" s="1"/>
  <c r="S713" i="1"/>
  <c r="V713" i="1" s="1"/>
  <c r="S705" i="1"/>
  <c r="V705" i="1" s="1"/>
  <c r="S697" i="1"/>
  <c r="V697" i="1" s="1"/>
  <c r="S689" i="1"/>
  <c r="V689" i="1" s="1"/>
  <c r="S681" i="1"/>
  <c r="V681" i="1" s="1"/>
  <c r="S673" i="1"/>
  <c r="V673" i="1" s="1"/>
  <c r="S665" i="1"/>
  <c r="V665" i="1" s="1"/>
  <c r="S649" i="1"/>
  <c r="V649" i="1" s="1"/>
  <c r="S641" i="1"/>
  <c r="V641" i="1" s="1"/>
  <c r="S625" i="1"/>
  <c r="V625" i="1" s="1"/>
  <c r="S617" i="1"/>
  <c r="V617" i="1" s="1"/>
  <c r="S601" i="1"/>
  <c r="V601" i="1" s="1"/>
  <c r="S593" i="1"/>
  <c r="V593" i="1" s="1"/>
  <c r="S585" i="1"/>
  <c r="V585" i="1" s="1"/>
  <c r="S577" i="1"/>
  <c r="V577" i="1" s="1"/>
  <c r="S569" i="1"/>
  <c r="V569" i="1" s="1"/>
  <c r="S561" i="1"/>
  <c r="V561" i="1" s="1"/>
  <c r="S553" i="1"/>
  <c r="V553" i="1" s="1"/>
  <c r="S545" i="1"/>
  <c r="V545" i="1" s="1"/>
  <c r="S537" i="1"/>
  <c r="V537" i="1" s="1"/>
  <c r="S521" i="1"/>
  <c r="V521" i="1" s="1"/>
  <c r="S505" i="1"/>
  <c r="V505" i="1" s="1"/>
  <c r="S497" i="1"/>
  <c r="V497" i="1" s="1"/>
  <c r="S489" i="1"/>
  <c r="V489" i="1" s="1"/>
  <c r="S481" i="1"/>
  <c r="V481" i="1" s="1"/>
  <c r="S473" i="1"/>
  <c r="V473" i="1" s="1"/>
  <c r="S465" i="1"/>
  <c r="V465" i="1" s="1"/>
  <c r="S457" i="1"/>
  <c r="V457" i="1" s="1"/>
  <c r="S449" i="1"/>
  <c r="V449" i="1" s="1"/>
  <c r="S441" i="1"/>
  <c r="V441" i="1" s="1"/>
  <c r="S433" i="1"/>
  <c r="V433" i="1" s="1"/>
  <c r="S425" i="1"/>
  <c r="V425" i="1" s="1"/>
  <c r="S417" i="1"/>
  <c r="V417" i="1" s="1"/>
  <c r="S409" i="1"/>
  <c r="V409" i="1" s="1"/>
  <c r="S401" i="1"/>
  <c r="V401" i="1" s="1"/>
  <c r="S393" i="1"/>
  <c r="V393" i="1" s="1"/>
  <c r="S385" i="1"/>
  <c r="V385" i="1" s="1"/>
  <c r="S369" i="1"/>
  <c r="V369" i="1" s="1"/>
  <c r="S361" i="1"/>
  <c r="V361" i="1" s="1"/>
  <c r="S353" i="1"/>
  <c r="V353" i="1" s="1"/>
  <c r="S345" i="1"/>
  <c r="V345" i="1" s="1"/>
  <c r="S337" i="1"/>
  <c r="V337" i="1" s="1"/>
  <c r="S329" i="1"/>
  <c r="V329" i="1" s="1"/>
  <c r="S321" i="1"/>
  <c r="V321" i="1" s="1"/>
  <c r="S313" i="1"/>
  <c r="V313" i="1" s="1"/>
  <c r="S305" i="1"/>
  <c r="V305" i="1" s="1"/>
  <c r="S297" i="1"/>
  <c r="V297" i="1" s="1"/>
  <c r="S281" i="1"/>
  <c r="V281" i="1" s="1"/>
  <c r="S273" i="1"/>
  <c r="V273" i="1" s="1"/>
  <c r="S265" i="1"/>
  <c r="V265" i="1" s="1"/>
  <c r="S257" i="1"/>
  <c r="V257" i="1" s="1"/>
  <c r="S249" i="1"/>
  <c r="V249" i="1" s="1"/>
  <c r="S241" i="1"/>
  <c r="V241" i="1" s="1"/>
  <c r="S233" i="1"/>
  <c r="V233" i="1" s="1"/>
  <c r="S225" i="1"/>
  <c r="V225" i="1" s="1"/>
  <c r="S217" i="1"/>
  <c r="V217" i="1" s="1"/>
  <c r="S201" i="1"/>
  <c r="V201" i="1" s="1"/>
  <c r="S193" i="1"/>
  <c r="V193" i="1" s="1"/>
  <c r="S185" i="1"/>
  <c r="V185" i="1" s="1"/>
  <c r="S177" i="1"/>
  <c r="V177" i="1" s="1"/>
  <c r="S169" i="1"/>
  <c r="V169" i="1" s="1"/>
  <c r="S161" i="1"/>
  <c r="V161" i="1" s="1"/>
  <c r="S153" i="1"/>
  <c r="V153" i="1" s="1"/>
  <c r="S145" i="1"/>
  <c r="V145" i="1" s="1"/>
  <c r="S137" i="1"/>
  <c r="V137" i="1" s="1"/>
  <c r="S129" i="1"/>
  <c r="V129" i="1" s="1"/>
  <c r="S121" i="1"/>
  <c r="V121" i="1" s="1"/>
  <c r="S113" i="1"/>
  <c r="V113" i="1" s="1"/>
  <c r="S105" i="1"/>
  <c r="V105" i="1" s="1"/>
  <c r="S97" i="1"/>
  <c r="V97" i="1" s="1"/>
  <c r="S89" i="1"/>
  <c r="V89" i="1" s="1"/>
  <c r="S73" i="1"/>
  <c r="V73" i="1" s="1"/>
  <c r="S65" i="1"/>
  <c r="V65" i="1" s="1"/>
  <c r="S57" i="1"/>
  <c r="V57" i="1" s="1"/>
  <c r="S49" i="1"/>
  <c r="V49" i="1" s="1"/>
  <c r="S41" i="1"/>
  <c r="V41" i="1" s="1"/>
  <c r="S33" i="1"/>
  <c r="V33" i="1" s="1"/>
  <c r="S25" i="1"/>
  <c r="V25" i="1" s="1"/>
  <c r="S17" i="1"/>
  <c r="V17" i="1" s="1"/>
  <c r="S9" i="1"/>
  <c r="V9" i="1" s="1"/>
  <c r="S296" i="1"/>
  <c r="V296" i="1" s="1"/>
  <c r="S288" i="1"/>
  <c r="V288" i="1" s="1"/>
  <c r="S280" i="1"/>
  <c r="V280" i="1" s="1"/>
  <c r="S272" i="1"/>
  <c r="V272" i="1" s="1"/>
  <c r="S264" i="1"/>
  <c r="V264" i="1" s="1"/>
  <c r="S256" i="1"/>
  <c r="V256" i="1" s="1"/>
  <c r="S248" i="1"/>
  <c r="V248" i="1" s="1"/>
  <c r="S240" i="1"/>
  <c r="V240" i="1" s="1"/>
  <c r="S224" i="1"/>
  <c r="V224" i="1" s="1"/>
  <c r="S216" i="1"/>
  <c r="V216" i="1" s="1"/>
  <c r="S208" i="1"/>
  <c r="V208" i="1" s="1"/>
  <c r="S200" i="1"/>
  <c r="V200" i="1" s="1"/>
  <c r="S192" i="1"/>
  <c r="V192" i="1" s="1"/>
  <c r="S184" i="1"/>
  <c r="V184" i="1" s="1"/>
  <c r="S176" i="1"/>
  <c r="V176" i="1" s="1"/>
  <c r="S168" i="1"/>
  <c r="V168" i="1" s="1"/>
  <c r="S160" i="1"/>
  <c r="V160" i="1" s="1"/>
  <c r="S152" i="1"/>
  <c r="V152" i="1" s="1"/>
  <c r="S144" i="1"/>
  <c r="V144" i="1" s="1"/>
  <c r="S136" i="1"/>
  <c r="V136" i="1" s="1"/>
  <c r="S128" i="1"/>
  <c r="V128" i="1" s="1"/>
  <c r="S120" i="1"/>
  <c r="V120" i="1" s="1"/>
  <c r="S72" i="1"/>
  <c r="V72" i="1" s="1"/>
  <c r="S334" i="1"/>
  <c r="V334" i="1" s="1"/>
  <c r="S326" i="1"/>
  <c r="V326" i="1" s="1"/>
  <c r="S318" i="1"/>
  <c r="V318" i="1" s="1"/>
  <c r="S310" i="1"/>
  <c r="V310" i="1" s="1"/>
  <c r="S302" i="1"/>
  <c r="V302" i="1" s="1"/>
  <c r="S294" i="1"/>
  <c r="V294" i="1" s="1"/>
  <c r="S286" i="1"/>
  <c r="V286" i="1" s="1"/>
  <c r="S278" i="1"/>
  <c r="V278" i="1" s="1"/>
  <c r="S270" i="1"/>
  <c r="V270" i="1" s="1"/>
  <c r="S262" i="1"/>
  <c r="V262" i="1" s="1"/>
  <c r="S254" i="1"/>
  <c r="V254" i="1" s="1"/>
  <c r="S246" i="1"/>
  <c r="V246" i="1" s="1"/>
  <c r="S238" i="1"/>
  <c r="V238" i="1" s="1"/>
  <c r="S230" i="1"/>
  <c r="V230" i="1" s="1"/>
  <c r="S222" i="1"/>
  <c r="V222" i="1" s="1"/>
  <c r="S214" i="1"/>
  <c r="V214" i="1" s="1"/>
  <c r="S206" i="1"/>
  <c r="V206" i="1" s="1"/>
  <c r="S198" i="1"/>
  <c r="V198" i="1" s="1"/>
  <c r="S190" i="1"/>
  <c r="V190" i="1" s="1"/>
  <c r="S182" i="1"/>
  <c r="V182" i="1" s="1"/>
  <c r="S174" i="1"/>
  <c r="V174" i="1" s="1"/>
  <c r="S158" i="1"/>
  <c r="V158" i="1" s="1"/>
  <c r="S150" i="1"/>
  <c r="V150" i="1" s="1"/>
  <c r="S142" i="1"/>
  <c r="V142" i="1" s="1"/>
  <c r="S134" i="1"/>
  <c r="V134" i="1" s="1"/>
  <c r="S126" i="1"/>
  <c r="V126" i="1" s="1"/>
  <c r="S118" i="1"/>
  <c r="V118" i="1" s="1"/>
  <c r="S110" i="1"/>
  <c r="V110" i="1" s="1"/>
  <c r="S102" i="1"/>
  <c r="V102" i="1" s="1"/>
  <c r="S94" i="1"/>
  <c r="V94" i="1" s="1"/>
  <c r="S86" i="1"/>
  <c r="V86" i="1" s="1"/>
  <c r="S78" i="1"/>
  <c r="V78" i="1" s="1"/>
  <c r="S70" i="1"/>
  <c r="V70" i="1" s="1"/>
  <c r="S62" i="1"/>
  <c r="V62" i="1" s="1"/>
  <c r="S54" i="1"/>
  <c r="V54" i="1" s="1"/>
  <c r="S46" i="1"/>
  <c r="V46" i="1" s="1"/>
  <c r="S38" i="1"/>
  <c r="V38" i="1" s="1"/>
  <c r="S30" i="1"/>
  <c r="V30" i="1" s="1"/>
  <c r="S22" i="1"/>
  <c r="V22" i="1" s="1"/>
  <c r="S14" i="1"/>
  <c r="V14" i="1" s="1"/>
  <c r="S6" i="1"/>
  <c r="V6" i="1" s="1"/>
  <c r="S112" i="1"/>
  <c r="V112" i="1" s="1"/>
  <c r="S96" i="1"/>
  <c r="V96" i="1" s="1"/>
  <c r="S88" i="1"/>
  <c r="V88" i="1" s="1"/>
  <c r="S80" i="1"/>
  <c r="V80" i="1" s="1"/>
  <c r="S64" i="1"/>
  <c r="V64" i="1" s="1"/>
  <c r="S56" i="1"/>
  <c r="V56" i="1" s="1"/>
  <c r="S48" i="1"/>
  <c r="V48" i="1" s="1"/>
  <c r="S40" i="1"/>
  <c r="V40" i="1" s="1"/>
  <c r="S32" i="1"/>
  <c r="V32" i="1" s="1"/>
  <c r="S24" i="1"/>
  <c r="V24" i="1" s="1"/>
  <c r="S16" i="1"/>
  <c r="V16" i="1" s="1"/>
  <c r="S8" i="1"/>
  <c r="V8" i="1" s="1"/>
  <c r="S87" i="1"/>
  <c r="V87" i="1" s="1"/>
  <c r="S79" i="1"/>
  <c r="V79" i="1" s="1"/>
  <c r="S71" i="1"/>
  <c r="V71" i="1" s="1"/>
  <c r="S63" i="1"/>
  <c r="V63" i="1" s="1"/>
  <c r="S55" i="1"/>
  <c r="V55" i="1" s="1"/>
  <c r="S47" i="1"/>
  <c r="V47" i="1" s="1"/>
  <c r="S39" i="1"/>
  <c r="V39" i="1" s="1"/>
  <c r="S31" i="1"/>
  <c r="V31" i="1" s="1"/>
  <c r="S23" i="1"/>
  <c r="V23" i="1" s="1"/>
  <c r="S15" i="1"/>
  <c r="V15" i="1" s="1"/>
  <c r="S7" i="1"/>
  <c r="V7" i="1" s="1"/>
  <c r="S108" i="1"/>
  <c r="V108" i="1" s="1"/>
  <c r="S100" i="1"/>
  <c r="V100" i="1" s="1"/>
  <c r="S92" i="1"/>
  <c r="V92" i="1" s="1"/>
  <c r="S84" i="1"/>
  <c r="V84" i="1" s="1"/>
  <c r="S76" i="1"/>
  <c r="V76" i="1" s="1"/>
  <c r="S68" i="1"/>
  <c r="V68" i="1" s="1"/>
  <c r="S60" i="1"/>
  <c r="V60" i="1" s="1"/>
  <c r="S52" i="1"/>
  <c r="V52" i="1" s="1"/>
  <c r="S44" i="1"/>
  <c r="V44" i="1" s="1"/>
  <c r="S36" i="1"/>
  <c r="V36" i="1" s="1"/>
  <c r="S28" i="1"/>
  <c r="V28" i="1" s="1"/>
  <c r="S20" i="1"/>
  <c r="V20" i="1" s="1"/>
  <c r="S12" i="1"/>
  <c r="V12" i="1" s="1"/>
  <c r="S4" i="1"/>
  <c r="V4" i="1" s="1"/>
  <c r="S99" i="1"/>
  <c r="V99" i="1" s="1"/>
  <c r="S83" i="1"/>
  <c r="V83" i="1" s="1"/>
  <c r="S75" i="1"/>
  <c r="V75" i="1" s="1"/>
  <c r="S59" i="1"/>
  <c r="V59" i="1" s="1"/>
  <c r="S43" i="1"/>
  <c r="V43" i="1" s="1"/>
  <c r="S35" i="1"/>
  <c r="V35" i="1" s="1"/>
  <c r="S27" i="1"/>
  <c r="V27" i="1" s="1"/>
  <c r="S19" i="1"/>
  <c r="V19" i="1" s="1"/>
  <c r="S11" i="1"/>
  <c r="V11" i="1" s="1"/>
  <c r="U253" i="24"/>
  <c r="M253" i="24"/>
  <c r="L253" i="24"/>
  <c r="N253" i="24" s="1"/>
  <c r="O253" i="24" s="1"/>
  <c r="U252" i="24" l="1"/>
  <c r="L252" i="24"/>
  <c r="M252" i="24" s="1"/>
  <c r="N252" i="24" s="1"/>
  <c r="O252" i="24" s="1"/>
  <c r="U251" i="24" l="1"/>
  <c r="M251" i="24"/>
  <c r="L251" i="24"/>
  <c r="N251" i="24" s="1"/>
  <c r="O251" i="24" s="1"/>
  <c r="U250" i="24" l="1"/>
  <c r="L250" i="24"/>
  <c r="M250" i="24" l="1"/>
  <c r="N250" i="24" s="1"/>
  <c r="O250" i="24" s="1"/>
  <c r="U249" i="24"/>
  <c r="M249" i="24"/>
  <c r="L249" i="24"/>
  <c r="N249" i="24" s="1"/>
  <c r="O249" i="24" s="1"/>
  <c r="U248" i="24" l="1"/>
  <c r="L248" i="24"/>
  <c r="M248" i="24" s="1"/>
  <c r="N248" i="24" s="1"/>
  <c r="O248" i="24" s="1"/>
  <c r="U247" i="24" l="1"/>
  <c r="M247" i="24"/>
  <c r="L247" i="24"/>
  <c r="N247" i="24" s="1"/>
  <c r="O247" i="24" s="1"/>
  <c r="AZ38" i="36" l="1"/>
  <c r="AY38" i="36"/>
  <c r="AX38" i="36"/>
  <c r="AW38" i="36"/>
  <c r="AV38" i="36"/>
  <c r="AU38" i="36"/>
  <c r="AT38" i="36"/>
  <c r="AS38" i="36"/>
  <c r="AR38" i="36"/>
  <c r="M305" i="36" l="1"/>
  <c r="AE369" i="36"/>
  <c r="AD369" i="36"/>
  <c r="AC369" i="36"/>
  <c r="AB369" i="36"/>
  <c r="AA369" i="36"/>
  <c r="Z369" i="36"/>
  <c r="Y369" i="36"/>
  <c r="X369" i="36"/>
  <c r="W369" i="36"/>
  <c r="U369" i="36"/>
  <c r="T369" i="36"/>
  <c r="S369" i="36"/>
  <c r="R369" i="36"/>
  <c r="Q369" i="36"/>
  <c r="P369" i="36"/>
  <c r="O369" i="36"/>
  <c r="N369" i="36"/>
  <c r="M369" i="36"/>
  <c r="AE368" i="36"/>
  <c r="AD368" i="36"/>
  <c r="AC368" i="36"/>
  <c r="AB368" i="36"/>
  <c r="AA368" i="36"/>
  <c r="Z368" i="36"/>
  <c r="Y368" i="36"/>
  <c r="X368" i="36"/>
  <c r="W368" i="36"/>
  <c r="U368" i="36"/>
  <c r="T368" i="36"/>
  <c r="S368" i="36"/>
  <c r="R368" i="36"/>
  <c r="Q368" i="36"/>
  <c r="P368" i="36"/>
  <c r="O368" i="36"/>
  <c r="N368" i="36"/>
  <c r="M368" i="36"/>
  <c r="AE367" i="36"/>
  <c r="AD367" i="36"/>
  <c r="AC367" i="36"/>
  <c r="AB367" i="36"/>
  <c r="AA367" i="36"/>
  <c r="Z367" i="36"/>
  <c r="Y367" i="36"/>
  <c r="X367" i="36"/>
  <c r="W367" i="36"/>
  <c r="U367" i="36"/>
  <c r="T367" i="36"/>
  <c r="S367" i="36"/>
  <c r="R367" i="36"/>
  <c r="Q367" i="36"/>
  <c r="P367" i="36"/>
  <c r="O367" i="36"/>
  <c r="N367" i="36"/>
  <c r="M367" i="36"/>
  <c r="AE366" i="36"/>
  <c r="AD366" i="36"/>
  <c r="AC366" i="36"/>
  <c r="AB366" i="36"/>
  <c r="AA366" i="36"/>
  <c r="Z366" i="36"/>
  <c r="Y366" i="36"/>
  <c r="X366" i="36"/>
  <c r="W366" i="36"/>
  <c r="U366" i="36"/>
  <c r="T366" i="36"/>
  <c r="S366" i="36"/>
  <c r="R366" i="36"/>
  <c r="Q366" i="36"/>
  <c r="P366" i="36"/>
  <c r="O366" i="36"/>
  <c r="N366" i="36"/>
  <c r="M366" i="36"/>
  <c r="AE365" i="36"/>
  <c r="AD365" i="36"/>
  <c r="AC365" i="36"/>
  <c r="AB365" i="36"/>
  <c r="AA365" i="36"/>
  <c r="Z365" i="36"/>
  <c r="Y365" i="36"/>
  <c r="X365" i="36"/>
  <c r="W365" i="36"/>
  <c r="U365" i="36"/>
  <c r="T365" i="36"/>
  <c r="S365" i="36"/>
  <c r="R365" i="36"/>
  <c r="Q365" i="36"/>
  <c r="P365" i="36"/>
  <c r="O365" i="36"/>
  <c r="N365" i="36"/>
  <c r="M365" i="36"/>
  <c r="AE364" i="36"/>
  <c r="AD364" i="36"/>
  <c r="AC364" i="36"/>
  <c r="AB364" i="36"/>
  <c r="AA364" i="36"/>
  <c r="Z364" i="36"/>
  <c r="Y364" i="36"/>
  <c r="X364" i="36"/>
  <c r="W364" i="36"/>
  <c r="U364" i="36"/>
  <c r="T364" i="36"/>
  <c r="S364" i="36"/>
  <c r="R364" i="36"/>
  <c r="Q364" i="36"/>
  <c r="P364" i="36"/>
  <c r="O364" i="36"/>
  <c r="N364" i="36"/>
  <c r="M364" i="36"/>
  <c r="AE363" i="36"/>
  <c r="AD363" i="36"/>
  <c r="AC363" i="36"/>
  <c r="AB363" i="36"/>
  <c r="AA363" i="36"/>
  <c r="Z363" i="36"/>
  <c r="Y363" i="36"/>
  <c r="X363" i="36"/>
  <c r="W363" i="36"/>
  <c r="U363" i="36"/>
  <c r="T363" i="36"/>
  <c r="S363" i="36"/>
  <c r="R363" i="36"/>
  <c r="Q363" i="36"/>
  <c r="P363" i="36"/>
  <c r="O363" i="36"/>
  <c r="N363" i="36"/>
  <c r="M363" i="36"/>
  <c r="AE362" i="36"/>
  <c r="AD362" i="36"/>
  <c r="AC362" i="36"/>
  <c r="AB362" i="36"/>
  <c r="AA362" i="36"/>
  <c r="Z362" i="36"/>
  <c r="Y362" i="36"/>
  <c r="X362" i="36"/>
  <c r="W362" i="36"/>
  <c r="U362" i="36"/>
  <c r="T362" i="36"/>
  <c r="S362" i="36"/>
  <c r="R362" i="36"/>
  <c r="Q362" i="36"/>
  <c r="P362" i="36"/>
  <c r="O362" i="36"/>
  <c r="N362" i="36"/>
  <c r="M362" i="36"/>
  <c r="AE361" i="36"/>
  <c r="AD361" i="36"/>
  <c r="AC361" i="36"/>
  <c r="AB361" i="36"/>
  <c r="AA361" i="36"/>
  <c r="Z361" i="36"/>
  <c r="Y361" i="36"/>
  <c r="X361" i="36"/>
  <c r="W361" i="36"/>
  <c r="U361" i="36"/>
  <c r="T361" i="36"/>
  <c r="S361" i="36"/>
  <c r="R361" i="36"/>
  <c r="Q361" i="36"/>
  <c r="P361" i="36"/>
  <c r="O361" i="36"/>
  <c r="N361" i="36"/>
  <c r="M361" i="36"/>
  <c r="AE360" i="36"/>
  <c r="AD360" i="36"/>
  <c r="AC360" i="36"/>
  <c r="AB360" i="36"/>
  <c r="AA360" i="36"/>
  <c r="Z360" i="36"/>
  <c r="Y360" i="36"/>
  <c r="X360" i="36"/>
  <c r="W360" i="36"/>
  <c r="U360" i="36"/>
  <c r="T360" i="36"/>
  <c r="S360" i="36"/>
  <c r="R360" i="36"/>
  <c r="Q360" i="36"/>
  <c r="P360" i="36"/>
  <c r="O360" i="36"/>
  <c r="N360" i="36"/>
  <c r="M360" i="36"/>
  <c r="AE359" i="36"/>
  <c r="AD359" i="36"/>
  <c r="AC359" i="36"/>
  <c r="AB359" i="36"/>
  <c r="AA359" i="36"/>
  <c r="Z359" i="36"/>
  <c r="Y359" i="36"/>
  <c r="X359" i="36"/>
  <c r="W359" i="36"/>
  <c r="U359" i="36"/>
  <c r="T359" i="36"/>
  <c r="S359" i="36"/>
  <c r="R359" i="36"/>
  <c r="Q359" i="36"/>
  <c r="P359" i="36"/>
  <c r="O359" i="36"/>
  <c r="N359" i="36"/>
  <c r="M359" i="36"/>
  <c r="AE358" i="36"/>
  <c r="AD358" i="36"/>
  <c r="AC358" i="36"/>
  <c r="AB358" i="36"/>
  <c r="AA358" i="36"/>
  <c r="Z358" i="36"/>
  <c r="Y358" i="36"/>
  <c r="X358" i="36"/>
  <c r="W358" i="36"/>
  <c r="U358" i="36"/>
  <c r="T358" i="36"/>
  <c r="S358" i="36"/>
  <c r="R358" i="36"/>
  <c r="Q358" i="36"/>
  <c r="P358" i="36"/>
  <c r="O358" i="36"/>
  <c r="N358" i="36"/>
  <c r="M358" i="36"/>
  <c r="AE357" i="36"/>
  <c r="AD357" i="36"/>
  <c r="AC357" i="36"/>
  <c r="AB357" i="36"/>
  <c r="AA357" i="36"/>
  <c r="Z357" i="36"/>
  <c r="Y357" i="36"/>
  <c r="X357" i="36"/>
  <c r="W357" i="36"/>
  <c r="U357" i="36"/>
  <c r="T357" i="36"/>
  <c r="S357" i="36"/>
  <c r="R357" i="36"/>
  <c r="Q357" i="36"/>
  <c r="P357" i="36"/>
  <c r="O357" i="36"/>
  <c r="N357" i="36"/>
  <c r="M357" i="36"/>
  <c r="AE356" i="36"/>
  <c r="AD356" i="36"/>
  <c r="AC356" i="36"/>
  <c r="AB356" i="36"/>
  <c r="AA356" i="36"/>
  <c r="Z356" i="36"/>
  <c r="Y356" i="36"/>
  <c r="X356" i="36"/>
  <c r="W356" i="36"/>
  <c r="U356" i="36"/>
  <c r="T356" i="36"/>
  <c r="S356" i="36"/>
  <c r="R356" i="36"/>
  <c r="Q356" i="36"/>
  <c r="P356" i="36"/>
  <c r="O356" i="36"/>
  <c r="N356" i="36"/>
  <c r="M356" i="36"/>
  <c r="AE355" i="36"/>
  <c r="AD355" i="36"/>
  <c r="AC355" i="36"/>
  <c r="AB355" i="36"/>
  <c r="AA355" i="36"/>
  <c r="Z355" i="36"/>
  <c r="Y355" i="36"/>
  <c r="X355" i="36"/>
  <c r="W355" i="36"/>
  <c r="U355" i="36"/>
  <c r="T355" i="36"/>
  <c r="S355" i="36"/>
  <c r="R355" i="36"/>
  <c r="Q355" i="36"/>
  <c r="P355" i="36"/>
  <c r="O355" i="36"/>
  <c r="N355" i="36"/>
  <c r="M355" i="36"/>
  <c r="AE354" i="36"/>
  <c r="AD354" i="36"/>
  <c r="AC354" i="36"/>
  <c r="AB354" i="36"/>
  <c r="AA354" i="36"/>
  <c r="Z354" i="36"/>
  <c r="Y354" i="36"/>
  <c r="X354" i="36"/>
  <c r="W354" i="36"/>
  <c r="U354" i="36"/>
  <c r="T354" i="36"/>
  <c r="S354" i="36"/>
  <c r="R354" i="36"/>
  <c r="Q354" i="36"/>
  <c r="P354" i="36"/>
  <c r="O354" i="36"/>
  <c r="N354" i="36"/>
  <c r="M354" i="36"/>
  <c r="AE353" i="36"/>
  <c r="AD353" i="36"/>
  <c r="AC353" i="36"/>
  <c r="AB353" i="36"/>
  <c r="AA353" i="36"/>
  <c r="Z353" i="36"/>
  <c r="Y353" i="36"/>
  <c r="X353" i="36"/>
  <c r="W353" i="36"/>
  <c r="U353" i="36"/>
  <c r="T353" i="36"/>
  <c r="S353" i="36"/>
  <c r="R353" i="36"/>
  <c r="Q353" i="36"/>
  <c r="P353" i="36"/>
  <c r="O353" i="36"/>
  <c r="N353" i="36"/>
  <c r="M353" i="36"/>
  <c r="AE352" i="36"/>
  <c r="AD352" i="36"/>
  <c r="AC352" i="36"/>
  <c r="AB352" i="36"/>
  <c r="AA352" i="36"/>
  <c r="Z352" i="36"/>
  <c r="Y352" i="36"/>
  <c r="X352" i="36"/>
  <c r="W352" i="36"/>
  <c r="U352" i="36"/>
  <c r="T352" i="36"/>
  <c r="S352" i="36"/>
  <c r="R352" i="36"/>
  <c r="Q352" i="36"/>
  <c r="P352" i="36"/>
  <c r="O352" i="36"/>
  <c r="N352" i="36"/>
  <c r="M352" i="36"/>
  <c r="AE351" i="36"/>
  <c r="AD351" i="36"/>
  <c r="AC351" i="36"/>
  <c r="AB351" i="36"/>
  <c r="AA351" i="36"/>
  <c r="Z351" i="36"/>
  <c r="Y351" i="36"/>
  <c r="X351" i="36"/>
  <c r="W351" i="36"/>
  <c r="U351" i="36"/>
  <c r="T351" i="36"/>
  <c r="S351" i="36"/>
  <c r="R351" i="36"/>
  <c r="Q351" i="36"/>
  <c r="P351" i="36"/>
  <c r="O351" i="36"/>
  <c r="N351" i="36"/>
  <c r="M351" i="36"/>
  <c r="AE350" i="36"/>
  <c r="AD350" i="36"/>
  <c r="AC350" i="36"/>
  <c r="AB350" i="36"/>
  <c r="AA350" i="36"/>
  <c r="Z350" i="36"/>
  <c r="Y350" i="36"/>
  <c r="X350" i="36"/>
  <c r="W350" i="36"/>
  <c r="U350" i="36"/>
  <c r="T350" i="36"/>
  <c r="S350" i="36"/>
  <c r="R350" i="36"/>
  <c r="Q350" i="36"/>
  <c r="P350" i="36"/>
  <c r="O350" i="36"/>
  <c r="N350" i="36"/>
  <c r="M350" i="36"/>
  <c r="AE349" i="36"/>
  <c r="AD349" i="36"/>
  <c r="AC349" i="36"/>
  <c r="AB349" i="36"/>
  <c r="AA349" i="36"/>
  <c r="Z349" i="36"/>
  <c r="Y349" i="36"/>
  <c r="X349" i="36"/>
  <c r="W349" i="36"/>
  <c r="U349" i="36"/>
  <c r="T349" i="36"/>
  <c r="S349" i="36"/>
  <c r="R349" i="36"/>
  <c r="Q349" i="36"/>
  <c r="P349" i="36"/>
  <c r="O349" i="36"/>
  <c r="N349" i="36"/>
  <c r="M349" i="36"/>
  <c r="AE348" i="36"/>
  <c r="AD348" i="36"/>
  <c r="AC348" i="36"/>
  <c r="AB348" i="36"/>
  <c r="AA348" i="36"/>
  <c r="Z348" i="36"/>
  <c r="Y348" i="36"/>
  <c r="X348" i="36"/>
  <c r="W348" i="36"/>
  <c r="U348" i="36"/>
  <c r="T348" i="36"/>
  <c r="S348" i="36"/>
  <c r="R348" i="36"/>
  <c r="Q348" i="36"/>
  <c r="P348" i="36"/>
  <c r="O348" i="36"/>
  <c r="N348" i="36"/>
  <c r="M348" i="36"/>
  <c r="AE347" i="36"/>
  <c r="AD347" i="36"/>
  <c r="AC347" i="36"/>
  <c r="AB347" i="36"/>
  <c r="AA347" i="36"/>
  <c r="Z347" i="36"/>
  <c r="Y347" i="36"/>
  <c r="X347" i="36"/>
  <c r="W347" i="36"/>
  <c r="U347" i="36"/>
  <c r="T347" i="36"/>
  <c r="S347" i="36"/>
  <c r="R347" i="36"/>
  <c r="Q347" i="36"/>
  <c r="P347" i="36"/>
  <c r="O347" i="36"/>
  <c r="N347" i="36"/>
  <c r="M347" i="36"/>
  <c r="AE346" i="36"/>
  <c r="AD346" i="36"/>
  <c r="AC346" i="36"/>
  <c r="AB346" i="36"/>
  <c r="AA346" i="36"/>
  <c r="Z346" i="36"/>
  <c r="Y346" i="36"/>
  <c r="X346" i="36"/>
  <c r="W346" i="36"/>
  <c r="U346" i="36"/>
  <c r="T346" i="36"/>
  <c r="S346" i="36"/>
  <c r="R346" i="36"/>
  <c r="Q346" i="36"/>
  <c r="P346" i="36"/>
  <c r="O346" i="36"/>
  <c r="N346" i="36"/>
  <c r="M346" i="36"/>
  <c r="AE345" i="36"/>
  <c r="AD345" i="36"/>
  <c r="AC345" i="36"/>
  <c r="AB345" i="36"/>
  <c r="AA345" i="36"/>
  <c r="Z345" i="36"/>
  <c r="Y345" i="36"/>
  <c r="X345" i="36"/>
  <c r="W345" i="36"/>
  <c r="U345" i="36"/>
  <c r="T345" i="36"/>
  <c r="S345" i="36"/>
  <c r="R345" i="36"/>
  <c r="Q345" i="36"/>
  <c r="P345" i="36"/>
  <c r="O345" i="36"/>
  <c r="N345" i="36"/>
  <c r="M345" i="36"/>
  <c r="AE344" i="36"/>
  <c r="AD344" i="36"/>
  <c r="AC344" i="36"/>
  <c r="AB344" i="36"/>
  <c r="AA344" i="36"/>
  <c r="Z344" i="36"/>
  <c r="Y344" i="36"/>
  <c r="X344" i="36"/>
  <c r="W344" i="36"/>
  <c r="U344" i="36"/>
  <c r="T344" i="36"/>
  <c r="S344" i="36"/>
  <c r="R344" i="36"/>
  <c r="Q344" i="36"/>
  <c r="P344" i="36"/>
  <c r="O344" i="36"/>
  <c r="N344" i="36"/>
  <c r="M344" i="36"/>
  <c r="AE343" i="36"/>
  <c r="AD343" i="36"/>
  <c r="AC343" i="36"/>
  <c r="AB343" i="36"/>
  <c r="AA343" i="36"/>
  <c r="Z343" i="36"/>
  <c r="Y343" i="36"/>
  <c r="X343" i="36"/>
  <c r="W343" i="36"/>
  <c r="U343" i="36"/>
  <c r="T343" i="36"/>
  <c r="S343" i="36"/>
  <c r="R343" i="36"/>
  <c r="Q343" i="36"/>
  <c r="P343" i="36"/>
  <c r="O343" i="36"/>
  <c r="N343" i="36"/>
  <c r="M343" i="36"/>
  <c r="AE342" i="36"/>
  <c r="AD342" i="36"/>
  <c r="AC342" i="36"/>
  <c r="AB342" i="36"/>
  <c r="AA342" i="36"/>
  <c r="Z342" i="36"/>
  <c r="Y342" i="36"/>
  <c r="X342" i="36"/>
  <c r="W342" i="36"/>
  <c r="U342" i="36"/>
  <c r="T342" i="36"/>
  <c r="S342" i="36"/>
  <c r="R342" i="36"/>
  <c r="Q342" i="36"/>
  <c r="P342" i="36"/>
  <c r="O342" i="36"/>
  <c r="N342" i="36"/>
  <c r="M342" i="36"/>
  <c r="AE341" i="36"/>
  <c r="AD341" i="36"/>
  <c r="AC341" i="36"/>
  <c r="AB341" i="36"/>
  <c r="AA341" i="36"/>
  <c r="Z341" i="36"/>
  <c r="Y341" i="36"/>
  <c r="X341" i="36"/>
  <c r="W341" i="36"/>
  <c r="U341" i="36"/>
  <c r="T341" i="36"/>
  <c r="S341" i="36"/>
  <c r="R341" i="36"/>
  <c r="Q341" i="36"/>
  <c r="P341" i="36"/>
  <c r="O341" i="36"/>
  <c r="N341" i="36"/>
  <c r="M341" i="36"/>
  <c r="AE340" i="36"/>
  <c r="AD340" i="36"/>
  <c r="AC340" i="36"/>
  <c r="AB340" i="36"/>
  <c r="AA340" i="36"/>
  <c r="Z340" i="36"/>
  <c r="Y340" i="36"/>
  <c r="X340" i="36"/>
  <c r="W340" i="36"/>
  <c r="U340" i="36"/>
  <c r="T340" i="36"/>
  <c r="S340" i="36"/>
  <c r="R340" i="36"/>
  <c r="Q340" i="36"/>
  <c r="P340" i="36"/>
  <c r="O340" i="36"/>
  <c r="N340" i="36"/>
  <c r="M340" i="36"/>
  <c r="AE339" i="36"/>
  <c r="AD339" i="36"/>
  <c r="AC339" i="36"/>
  <c r="AB339" i="36"/>
  <c r="AA339" i="36"/>
  <c r="Z339" i="36"/>
  <c r="Y339" i="36"/>
  <c r="X339" i="36"/>
  <c r="W339" i="36"/>
  <c r="U339" i="36"/>
  <c r="T339" i="36"/>
  <c r="S339" i="36"/>
  <c r="R339" i="36"/>
  <c r="Q339" i="36"/>
  <c r="P339" i="36"/>
  <c r="O339" i="36"/>
  <c r="N339" i="36"/>
  <c r="M339" i="36"/>
  <c r="AE338" i="36"/>
  <c r="AD338" i="36"/>
  <c r="AC338" i="36"/>
  <c r="AB338" i="36"/>
  <c r="AA338" i="36"/>
  <c r="Z338" i="36"/>
  <c r="Y338" i="36"/>
  <c r="X338" i="36"/>
  <c r="W338" i="36"/>
  <c r="U338" i="36"/>
  <c r="T338" i="36"/>
  <c r="S338" i="36"/>
  <c r="R338" i="36"/>
  <c r="Q338" i="36"/>
  <c r="P338" i="36"/>
  <c r="O338" i="36"/>
  <c r="N338" i="36"/>
  <c r="M338" i="36"/>
  <c r="AE337" i="36"/>
  <c r="AD337" i="36"/>
  <c r="AC337" i="36"/>
  <c r="AB337" i="36"/>
  <c r="AA337" i="36"/>
  <c r="Z337" i="36"/>
  <c r="Y337" i="36"/>
  <c r="X337" i="36"/>
  <c r="W337" i="36"/>
  <c r="U337" i="36"/>
  <c r="T337" i="36"/>
  <c r="S337" i="36"/>
  <c r="R337" i="36"/>
  <c r="Q337" i="36"/>
  <c r="P337" i="36"/>
  <c r="O337" i="36"/>
  <c r="N337" i="36"/>
  <c r="M337" i="36"/>
  <c r="AE336" i="36"/>
  <c r="AD336" i="36"/>
  <c r="AC336" i="36"/>
  <c r="AB336" i="36"/>
  <c r="AA336" i="36"/>
  <c r="Z336" i="36"/>
  <c r="Y336" i="36"/>
  <c r="X336" i="36"/>
  <c r="W336" i="36"/>
  <c r="U336" i="36"/>
  <c r="T336" i="36"/>
  <c r="S336" i="36"/>
  <c r="R336" i="36"/>
  <c r="Q336" i="36"/>
  <c r="P336" i="36"/>
  <c r="O336" i="36"/>
  <c r="N336" i="36"/>
  <c r="M336" i="36"/>
  <c r="AE335" i="36"/>
  <c r="AD335" i="36"/>
  <c r="AC335" i="36"/>
  <c r="AB335" i="36"/>
  <c r="AA335" i="36"/>
  <c r="Z335" i="36"/>
  <c r="Y335" i="36"/>
  <c r="X335" i="36"/>
  <c r="W335" i="36"/>
  <c r="U335" i="36"/>
  <c r="T335" i="36"/>
  <c r="S335" i="36"/>
  <c r="R335" i="36"/>
  <c r="Q335" i="36"/>
  <c r="P335" i="36"/>
  <c r="O335" i="36"/>
  <c r="N335" i="36"/>
  <c r="M335" i="36"/>
  <c r="AE334" i="36"/>
  <c r="AD334" i="36"/>
  <c r="AC334" i="36"/>
  <c r="AB334" i="36"/>
  <c r="AA334" i="36"/>
  <c r="Z334" i="36"/>
  <c r="Y334" i="36"/>
  <c r="X334" i="36"/>
  <c r="W334" i="36"/>
  <c r="U334" i="36"/>
  <c r="T334" i="36"/>
  <c r="S334" i="36"/>
  <c r="R334" i="36"/>
  <c r="Q334" i="36"/>
  <c r="P334" i="36"/>
  <c r="O334" i="36"/>
  <c r="N334" i="36"/>
  <c r="M334" i="36"/>
  <c r="AE333" i="36"/>
  <c r="AD333" i="36"/>
  <c r="AC333" i="36"/>
  <c r="AB333" i="36"/>
  <c r="AA333" i="36"/>
  <c r="Z333" i="36"/>
  <c r="Y333" i="36"/>
  <c r="X333" i="36"/>
  <c r="W333" i="36"/>
  <c r="U333" i="36"/>
  <c r="T333" i="36"/>
  <c r="S333" i="36"/>
  <c r="R333" i="36"/>
  <c r="Q333" i="36"/>
  <c r="P333" i="36"/>
  <c r="O333" i="36"/>
  <c r="N333" i="36"/>
  <c r="M333" i="36"/>
  <c r="AE332" i="36"/>
  <c r="AD332" i="36"/>
  <c r="AC332" i="36"/>
  <c r="AB332" i="36"/>
  <c r="AA332" i="36"/>
  <c r="Z332" i="36"/>
  <c r="Y332" i="36"/>
  <c r="X332" i="36"/>
  <c r="W332" i="36"/>
  <c r="U332" i="36"/>
  <c r="T332" i="36"/>
  <c r="S332" i="36"/>
  <c r="R332" i="36"/>
  <c r="Q332" i="36"/>
  <c r="P332" i="36"/>
  <c r="O332" i="36"/>
  <c r="N332" i="36"/>
  <c r="M332" i="36"/>
  <c r="AE331" i="36"/>
  <c r="AD331" i="36"/>
  <c r="AC331" i="36"/>
  <c r="AB331" i="36"/>
  <c r="AA331" i="36"/>
  <c r="Z331" i="36"/>
  <c r="Y331" i="36"/>
  <c r="X331" i="36"/>
  <c r="W331" i="36"/>
  <c r="U331" i="36"/>
  <c r="T331" i="36"/>
  <c r="S331" i="36"/>
  <c r="R331" i="36"/>
  <c r="Q331" i="36"/>
  <c r="P331" i="36"/>
  <c r="O331" i="36"/>
  <c r="N331" i="36"/>
  <c r="M331" i="36"/>
  <c r="AE330" i="36"/>
  <c r="AD330" i="36"/>
  <c r="AC330" i="36"/>
  <c r="AB330" i="36"/>
  <c r="AA330" i="36"/>
  <c r="Z330" i="36"/>
  <c r="Y330" i="36"/>
  <c r="X330" i="36"/>
  <c r="W330" i="36"/>
  <c r="U330" i="36"/>
  <c r="T330" i="36"/>
  <c r="S330" i="36"/>
  <c r="R330" i="36"/>
  <c r="Q330" i="36"/>
  <c r="P330" i="36"/>
  <c r="O330" i="36"/>
  <c r="N330" i="36"/>
  <c r="M330" i="36"/>
  <c r="AE329" i="36"/>
  <c r="AD329" i="36"/>
  <c r="AC329" i="36"/>
  <c r="AB329" i="36"/>
  <c r="AA329" i="36"/>
  <c r="Z329" i="36"/>
  <c r="Y329" i="36"/>
  <c r="X329" i="36"/>
  <c r="W329" i="36"/>
  <c r="U329" i="36"/>
  <c r="T329" i="36"/>
  <c r="S329" i="36"/>
  <c r="R329" i="36"/>
  <c r="Q329" i="36"/>
  <c r="P329" i="36"/>
  <c r="O329" i="36"/>
  <c r="N329" i="36"/>
  <c r="M329" i="36"/>
  <c r="AE328" i="36"/>
  <c r="AD328" i="36"/>
  <c r="AC328" i="36"/>
  <c r="AB328" i="36"/>
  <c r="AA328" i="36"/>
  <c r="Z328" i="36"/>
  <c r="Y328" i="36"/>
  <c r="X328" i="36"/>
  <c r="W328" i="36"/>
  <c r="U328" i="36"/>
  <c r="T328" i="36"/>
  <c r="S328" i="36"/>
  <c r="R328" i="36"/>
  <c r="Q328" i="36"/>
  <c r="P328" i="36"/>
  <c r="O328" i="36"/>
  <c r="N328" i="36"/>
  <c r="M328" i="36"/>
  <c r="AE327" i="36"/>
  <c r="AD327" i="36"/>
  <c r="AC327" i="36"/>
  <c r="AB327" i="36"/>
  <c r="AA327" i="36"/>
  <c r="Z327" i="36"/>
  <c r="Y327" i="36"/>
  <c r="X327" i="36"/>
  <c r="W327" i="36"/>
  <c r="U327" i="36"/>
  <c r="T327" i="36"/>
  <c r="S327" i="36"/>
  <c r="R327" i="36"/>
  <c r="Q327" i="36"/>
  <c r="P327" i="36"/>
  <c r="O327" i="36"/>
  <c r="N327" i="36"/>
  <c r="M327" i="36"/>
  <c r="AE326" i="36"/>
  <c r="AD326" i="36"/>
  <c r="AC326" i="36"/>
  <c r="AB326" i="36"/>
  <c r="AA326" i="36"/>
  <c r="Z326" i="36"/>
  <c r="Y326" i="36"/>
  <c r="X326" i="36"/>
  <c r="W326" i="36"/>
  <c r="U326" i="36"/>
  <c r="T326" i="36"/>
  <c r="S326" i="36"/>
  <c r="R326" i="36"/>
  <c r="Q326" i="36"/>
  <c r="P326" i="36"/>
  <c r="O326" i="36"/>
  <c r="N326" i="36"/>
  <c r="M326" i="36"/>
  <c r="AE325" i="36"/>
  <c r="AD325" i="36"/>
  <c r="AC325" i="36"/>
  <c r="AB325" i="36"/>
  <c r="AA325" i="36"/>
  <c r="Z325" i="36"/>
  <c r="Y325" i="36"/>
  <c r="X325" i="36"/>
  <c r="W325" i="36"/>
  <c r="U325" i="36"/>
  <c r="T325" i="36"/>
  <c r="S325" i="36"/>
  <c r="R325" i="36"/>
  <c r="Q325" i="36"/>
  <c r="P325" i="36"/>
  <c r="O325" i="36"/>
  <c r="N325" i="36"/>
  <c r="M325" i="36"/>
  <c r="AE324" i="36"/>
  <c r="AD324" i="36"/>
  <c r="AC324" i="36"/>
  <c r="AB324" i="36"/>
  <c r="AA324" i="36"/>
  <c r="Z324" i="36"/>
  <c r="Y324" i="36"/>
  <c r="X324" i="36"/>
  <c r="W324" i="36"/>
  <c r="U324" i="36"/>
  <c r="T324" i="36"/>
  <c r="S324" i="36"/>
  <c r="R324" i="36"/>
  <c r="Q324" i="36"/>
  <c r="P324" i="36"/>
  <c r="O324" i="36"/>
  <c r="N324" i="36"/>
  <c r="M324" i="36"/>
  <c r="AE323" i="36"/>
  <c r="AD323" i="36"/>
  <c r="AC323" i="36"/>
  <c r="AB323" i="36"/>
  <c r="AA323" i="36"/>
  <c r="Z323" i="36"/>
  <c r="Y323" i="36"/>
  <c r="X323" i="36"/>
  <c r="W323" i="36"/>
  <c r="U323" i="36"/>
  <c r="T323" i="36"/>
  <c r="S323" i="36"/>
  <c r="R323" i="36"/>
  <c r="Q323" i="36"/>
  <c r="P323" i="36"/>
  <c r="O323" i="36"/>
  <c r="N323" i="36"/>
  <c r="M323" i="36"/>
  <c r="AE322" i="36"/>
  <c r="AD322" i="36"/>
  <c r="AC322" i="36"/>
  <c r="AB322" i="36"/>
  <c r="AA322" i="36"/>
  <c r="Z322" i="36"/>
  <c r="Y322" i="36"/>
  <c r="X322" i="36"/>
  <c r="W322" i="36"/>
  <c r="U322" i="36"/>
  <c r="T322" i="36"/>
  <c r="S322" i="36"/>
  <c r="R322" i="36"/>
  <c r="Q322" i="36"/>
  <c r="P322" i="36"/>
  <c r="O322" i="36"/>
  <c r="N322" i="36"/>
  <c r="M322" i="36"/>
  <c r="AE321" i="36"/>
  <c r="AD321" i="36"/>
  <c r="AC321" i="36"/>
  <c r="AB321" i="36"/>
  <c r="AA321" i="36"/>
  <c r="Z321" i="36"/>
  <c r="Y321" i="36"/>
  <c r="X321" i="36"/>
  <c r="W321" i="36"/>
  <c r="U321" i="36"/>
  <c r="T321" i="36"/>
  <c r="S321" i="36"/>
  <c r="R321" i="36"/>
  <c r="Q321" i="36"/>
  <c r="P321" i="36"/>
  <c r="O321" i="36"/>
  <c r="N321" i="36"/>
  <c r="M321" i="36"/>
  <c r="AE320" i="36"/>
  <c r="AD320" i="36"/>
  <c r="AC320" i="36"/>
  <c r="AB320" i="36"/>
  <c r="AA320" i="36"/>
  <c r="Z320" i="36"/>
  <c r="Y320" i="36"/>
  <c r="X320" i="36"/>
  <c r="W320" i="36"/>
  <c r="U320" i="36"/>
  <c r="T320" i="36"/>
  <c r="S320" i="36"/>
  <c r="R320" i="36"/>
  <c r="Q320" i="36"/>
  <c r="P320" i="36"/>
  <c r="O320" i="36"/>
  <c r="N320" i="36"/>
  <c r="M320" i="36"/>
  <c r="AE319" i="36"/>
  <c r="AD319" i="36"/>
  <c r="AC319" i="36"/>
  <c r="AB319" i="36"/>
  <c r="AA319" i="36"/>
  <c r="Z319" i="36"/>
  <c r="Y319" i="36"/>
  <c r="X319" i="36"/>
  <c r="W319" i="36"/>
  <c r="U319" i="36"/>
  <c r="T319" i="36"/>
  <c r="S319" i="36"/>
  <c r="R319" i="36"/>
  <c r="Q319" i="36"/>
  <c r="P319" i="36"/>
  <c r="O319" i="36"/>
  <c r="N319" i="36"/>
  <c r="M319" i="36"/>
  <c r="AE318" i="36"/>
  <c r="AD318" i="36"/>
  <c r="AC318" i="36"/>
  <c r="AB318" i="36"/>
  <c r="AA318" i="36"/>
  <c r="Z318" i="36"/>
  <c r="Y318" i="36"/>
  <c r="X318" i="36"/>
  <c r="W318" i="36"/>
  <c r="U318" i="36"/>
  <c r="T318" i="36"/>
  <c r="S318" i="36"/>
  <c r="R318" i="36"/>
  <c r="Q318" i="36"/>
  <c r="P318" i="36"/>
  <c r="O318" i="36"/>
  <c r="N318" i="36"/>
  <c r="M318" i="36"/>
  <c r="AE317" i="36"/>
  <c r="AD317" i="36"/>
  <c r="AC317" i="36"/>
  <c r="AB317" i="36"/>
  <c r="AA317" i="36"/>
  <c r="Z317" i="36"/>
  <c r="Y317" i="36"/>
  <c r="X317" i="36"/>
  <c r="W317" i="36"/>
  <c r="U317" i="36"/>
  <c r="T317" i="36"/>
  <c r="S317" i="36"/>
  <c r="R317" i="36"/>
  <c r="Q317" i="36"/>
  <c r="P317" i="36"/>
  <c r="O317" i="36"/>
  <c r="N317" i="36"/>
  <c r="M317" i="36"/>
  <c r="AE316" i="36"/>
  <c r="AD316" i="36"/>
  <c r="AC316" i="36"/>
  <c r="AB316" i="36"/>
  <c r="AA316" i="36"/>
  <c r="Z316" i="36"/>
  <c r="Y316" i="36"/>
  <c r="X316" i="36"/>
  <c r="W316" i="36"/>
  <c r="U316" i="36"/>
  <c r="T316" i="36"/>
  <c r="S316" i="36"/>
  <c r="R316" i="36"/>
  <c r="Q316" i="36"/>
  <c r="P316" i="36"/>
  <c r="O316" i="36"/>
  <c r="N316" i="36"/>
  <c r="M316" i="36"/>
  <c r="AE315" i="36"/>
  <c r="AD315" i="36"/>
  <c r="AC315" i="36"/>
  <c r="AB315" i="36"/>
  <c r="AA315" i="36"/>
  <c r="Z315" i="36"/>
  <c r="Y315" i="36"/>
  <c r="X315" i="36"/>
  <c r="W315" i="36"/>
  <c r="U315" i="36"/>
  <c r="T315" i="36"/>
  <c r="S315" i="36"/>
  <c r="R315" i="36"/>
  <c r="Q315" i="36"/>
  <c r="P315" i="36"/>
  <c r="O315" i="36"/>
  <c r="N315" i="36"/>
  <c r="M315" i="36"/>
  <c r="AE314" i="36"/>
  <c r="AD314" i="36"/>
  <c r="AC314" i="36"/>
  <c r="AB314" i="36"/>
  <c r="AA314" i="36"/>
  <c r="Z314" i="36"/>
  <c r="Y314" i="36"/>
  <c r="X314" i="36"/>
  <c r="W314" i="36"/>
  <c r="U314" i="36"/>
  <c r="T314" i="36"/>
  <c r="S314" i="36"/>
  <c r="R314" i="36"/>
  <c r="Q314" i="36"/>
  <c r="P314" i="36"/>
  <c r="O314" i="36"/>
  <c r="N314" i="36"/>
  <c r="M314" i="36"/>
  <c r="AE313" i="36"/>
  <c r="AD313" i="36"/>
  <c r="AC313" i="36"/>
  <c r="AB313" i="36"/>
  <c r="AA313" i="36"/>
  <c r="Z313" i="36"/>
  <c r="Y313" i="36"/>
  <c r="X313" i="36"/>
  <c r="W313" i="36"/>
  <c r="U313" i="36"/>
  <c r="T313" i="36"/>
  <c r="S313" i="36"/>
  <c r="R313" i="36"/>
  <c r="Q313" i="36"/>
  <c r="P313" i="36"/>
  <c r="O313" i="36"/>
  <c r="N313" i="36"/>
  <c r="M313" i="36"/>
  <c r="AE312" i="36"/>
  <c r="AD312" i="36"/>
  <c r="AC312" i="36"/>
  <c r="AB312" i="36"/>
  <c r="AA312" i="36"/>
  <c r="Z312" i="36"/>
  <c r="Y312" i="36"/>
  <c r="X312" i="36"/>
  <c r="W312" i="36"/>
  <c r="U312" i="36"/>
  <c r="T312" i="36"/>
  <c r="S312" i="36"/>
  <c r="R312" i="36"/>
  <c r="Q312" i="36"/>
  <c r="P312" i="36"/>
  <c r="O312" i="36"/>
  <c r="N312" i="36"/>
  <c r="M312" i="36"/>
  <c r="AE311" i="36"/>
  <c r="AD311" i="36"/>
  <c r="AC311" i="36"/>
  <c r="AB311" i="36"/>
  <c r="AA311" i="36"/>
  <c r="Z311" i="36"/>
  <c r="Y311" i="36"/>
  <c r="X311" i="36"/>
  <c r="W311" i="36"/>
  <c r="U311" i="36"/>
  <c r="T311" i="36"/>
  <c r="S311" i="36"/>
  <c r="R311" i="36"/>
  <c r="Q311" i="36"/>
  <c r="P311" i="36"/>
  <c r="O311" i="36"/>
  <c r="N311" i="36"/>
  <c r="M311" i="36"/>
  <c r="AE310" i="36"/>
  <c r="AD310" i="36"/>
  <c r="AC310" i="36"/>
  <c r="AB310" i="36"/>
  <c r="AA310" i="36"/>
  <c r="Z310" i="36"/>
  <c r="Y310" i="36"/>
  <c r="X310" i="36"/>
  <c r="W310" i="36"/>
  <c r="U310" i="36"/>
  <c r="T310" i="36"/>
  <c r="S310" i="36"/>
  <c r="R310" i="36"/>
  <c r="Q310" i="36"/>
  <c r="P310" i="36"/>
  <c r="O310" i="36"/>
  <c r="N310" i="36"/>
  <c r="M310" i="36"/>
  <c r="AE309" i="36"/>
  <c r="AD309" i="36"/>
  <c r="AC309" i="36"/>
  <c r="AB309" i="36"/>
  <c r="AA309" i="36"/>
  <c r="Z309" i="36"/>
  <c r="Y309" i="36"/>
  <c r="X309" i="36"/>
  <c r="W309" i="36"/>
  <c r="U309" i="36"/>
  <c r="T309" i="36"/>
  <c r="S309" i="36"/>
  <c r="R309" i="36"/>
  <c r="Q309" i="36"/>
  <c r="P309" i="36"/>
  <c r="O309" i="36"/>
  <c r="N309" i="36"/>
  <c r="M309" i="36"/>
  <c r="AE308" i="36"/>
  <c r="AD308" i="36"/>
  <c r="AC308" i="36"/>
  <c r="AB308" i="36"/>
  <c r="AA308" i="36"/>
  <c r="Z308" i="36"/>
  <c r="Y308" i="36"/>
  <c r="X308" i="36"/>
  <c r="W308" i="36"/>
  <c r="U308" i="36"/>
  <c r="T308" i="36"/>
  <c r="S308" i="36"/>
  <c r="R308" i="36"/>
  <c r="Q308" i="36"/>
  <c r="P308" i="36"/>
  <c r="O308" i="36"/>
  <c r="N308" i="36"/>
  <c r="M308" i="36"/>
  <c r="AE307" i="36"/>
  <c r="AD307" i="36"/>
  <c r="AC307" i="36"/>
  <c r="AB307" i="36"/>
  <c r="AA307" i="36"/>
  <c r="Z307" i="36"/>
  <c r="Y307" i="36"/>
  <c r="X307" i="36"/>
  <c r="W307" i="36"/>
  <c r="U307" i="36"/>
  <c r="T307" i="36"/>
  <c r="S307" i="36"/>
  <c r="R307" i="36"/>
  <c r="Q307" i="36"/>
  <c r="P307" i="36"/>
  <c r="O307" i="36"/>
  <c r="N307" i="36"/>
  <c r="M307" i="36"/>
  <c r="AE306" i="36"/>
  <c r="AD306" i="36"/>
  <c r="AC306" i="36"/>
  <c r="AB306" i="36"/>
  <c r="AA306" i="36"/>
  <c r="Z306" i="36"/>
  <c r="Y306" i="36"/>
  <c r="X306" i="36"/>
  <c r="W306" i="36"/>
  <c r="U306" i="36"/>
  <c r="T306" i="36"/>
  <c r="S306" i="36"/>
  <c r="R306" i="36"/>
  <c r="Q306" i="36"/>
  <c r="P306" i="36"/>
  <c r="O306" i="36"/>
  <c r="N306" i="36"/>
  <c r="M306" i="36"/>
  <c r="AE305" i="36"/>
  <c r="AD305" i="36"/>
  <c r="AC305" i="36"/>
  <c r="AB305" i="36"/>
  <c r="AA305" i="36"/>
  <c r="Z305" i="36"/>
  <c r="Y305" i="36"/>
  <c r="X305" i="36"/>
  <c r="W305" i="36"/>
  <c r="U305" i="36"/>
  <c r="T305" i="36"/>
  <c r="S305" i="36"/>
  <c r="R305" i="36"/>
  <c r="Q305" i="36"/>
  <c r="P305" i="36"/>
  <c r="O305" i="36"/>
  <c r="N305" i="36"/>
  <c r="U246" i="24" l="1"/>
  <c r="M246" i="24"/>
  <c r="N246" i="24" s="1"/>
  <c r="O246" i="24" s="1"/>
  <c r="L246" i="24"/>
  <c r="U245" i="24" l="1"/>
  <c r="L245" i="24"/>
  <c r="M245" i="24" s="1"/>
  <c r="N245" i="24" s="1"/>
  <c r="O245" i="24" s="1"/>
  <c r="U244" i="24" l="1"/>
  <c r="L244" i="24"/>
  <c r="M244" i="24" l="1"/>
  <c r="N244" i="24" s="1"/>
  <c r="O244" i="24" s="1"/>
  <c r="U243" i="24" l="1"/>
  <c r="M243" i="24"/>
  <c r="N243" i="24" s="1"/>
  <c r="O243" i="24" s="1"/>
  <c r="L243" i="24"/>
  <c r="L242" i="24" l="1"/>
  <c r="D4" i="19" l="1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C4" i="19"/>
  <c r="L241" i="24" l="1"/>
  <c r="L240" i="24" l="1"/>
  <c r="L239" i="24" l="1"/>
  <c r="L238" i="24" l="1"/>
  <c r="L237" i="24" l="1"/>
  <c r="L236" i="24" l="1"/>
  <c r="L235" i="24" l="1"/>
  <c r="L234" i="24" l="1"/>
  <c r="L233" i="24" l="1"/>
  <c r="L232" i="24" l="1"/>
  <c r="L231" i="24" l="1"/>
  <c r="L230" i="24" l="1"/>
  <c r="L229" i="24" l="1"/>
  <c r="L228" i="24" l="1"/>
  <c r="M11" i="15" l="1"/>
  <c r="M16" i="15" s="1"/>
  <c r="M26" i="15" s="1"/>
  <c r="M33" i="15" s="1"/>
  <c r="L227" i="24"/>
  <c r="L226" i="24" l="1"/>
  <c r="L225" i="24" l="1"/>
  <c r="L224" i="24" l="1"/>
  <c r="L223" i="24" l="1"/>
  <c r="L222" i="24" l="1"/>
  <c r="L221" i="24" l="1"/>
  <c r="L220" i="24" l="1"/>
  <c r="L219" i="24" l="1"/>
  <c r="L218" i="24" l="1"/>
  <c r="L217" i="24" l="1"/>
  <c r="N9" i="37" l="1"/>
  <c r="L216" i="24" l="1"/>
  <c r="L215" i="24" l="1"/>
  <c r="L214" i="24" l="1"/>
  <c r="L213" i="24" l="1"/>
  <c r="L212" i="24" l="1"/>
  <c r="L211" i="24" l="1"/>
  <c r="L210" i="24" l="1"/>
  <c r="L209" i="24" l="1"/>
  <c r="L208" i="24" l="1"/>
  <c r="L207" i="24" l="1"/>
  <c r="L206" i="24" l="1"/>
  <c r="L205" i="24" l="1"/>
  <c r="L204" i="24" l="1"/>
  <c r="L203" i="24" l="1"/>
  <c r="L202" i="24" l="1"/>
  <c r="L201" i="24" l="1"/>
  <c r="L200" i="24" l="1"/>
  <c r="L199" i="24" l="1"/>
  <c r="L198" i="24" l="1"/>
  <c r="L197" i="24" l="1"/>
  <c r="L196" i="24" l="1"/>
  <c r="L195" i="24" l="1"/>
  <c r="L194" i="24" l="1"/>
  <c r="L193" i="24" l="1"/>
  <c r="L192" i="24" l="1"/>
  <c r="L191" i="24" l="1"/>
  <c r="L190" i="24" l="1"/>
  <c r="L189" i="24" l="1"/>
  <c r="L188" i="24" l="1"/>
  <c r="L187" i="24" l="1"/>
  <c r="L186" i="24" l="1"/>
  <c r="L185" i="24" l="1"/>
  <c r="L184" i="24" l="1"/>
  <c r="B6" i="42" l="1"/>
  <c r="L183" i="24"/>
  <c r="L182" i="24" l="1"/>
  <c r="L181" i="24" l="1"/>
  <c r="V2" i="30" l="1"/>
  <c r="L180" i="24"/>
  <c r="L179" i="24" l="1"/>
  <c r="L178" i="24" l="1"/>
  <c r="L177" i="24" l="1"/>
  <c r="L176" i="24" l="1"/>
  <c r="L175" i="24" l="1"/>
  <c r="L174" i="24" l="1"/>
  <c r="L173" i="24" l="1"/>
  <c r="L172" i="24" l="1"/>
  <c r="L171" i="24" l="1"/>
  <c r="L170" i="24" l="1"/>
  <c r="L169" i="24" l="1"/>
  <c r="L168" i="24" l="1"/>
  <c r="L167" i="24" l="1"/>
  <c r="L166" i="24" l="1"/>
  <c r="L165" i="24" l="1"/>
  <c r="L164" i="24" l="1"/>
  <c r="L163" i="24" l="1"/>
  <c r="L162" i="24" l="1"/>
  <c r="L161" i="24" l="1"/>
  <c r="L160" i="24" l="1"/>
  <c r="L159" i="24" l="1"/>
  <c r="L158" i="24" l="1"/>
  <c r="BJ23" i="19" l="1"/>
  <c r="BI23" i="19"/>
  <c r="BH23" i="19"/>
  <c r="BG23" i="19"/>
  <c r="BF23" i="19"/>
  <c r="BE23" i="19"/>
  <c r="BD23" i="19"/>
  <c r="BC23" i="19"/>
  <c r="BB23" i="19"/>
  <c r="BA23" i="19"/>
  <c r="AZ23" i="19"/>
  <c r="AY23" i="19"/>
  <c r="AX23" i="19"/>
  <c r="AW23" i="19"/>
  <c r="AV23" i="19"/>
  <c r="AU23" i="19"/>
  <c r="AT23" i="19"/>
  <c r="AS23" i="19"/>
  <c r="AR23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V23" i="19"/>
  <c r="U23" i="19"/>
  <c r="T23" i="19"/>
  <c r="S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BJ26" i="19"/>
  <c r="BI26" i="19"/>
  <c r="BH26" i="19"/>
  <c r="BG26" i="19"/>
  <c r="BF26" i="19"/>
  <c r="BE26" i="19"/>
  <c r="BD26" i="19"/>
  <c r="BC26" i="19"/>
  <c r="BB26" i="19"/>
  <c r="BA26" i="19"/>
  <c r="AZ26" i="19"/>
  <c r="AY26" i="19"/>
  <c r="AX26" i="19"/>
  <c r="AW26" i="19"/>
  <c r="AV26" i="19"/>
  <c r="AU26" i="19"/>
  <c r="AT26" i="19"/>
  <c r="AS26" i="19"/>
  <c r="AR26" i="19"/>
  <c r="AQ26" i="19"/>
  <c r="AP26" i="19"/>
  <c r="AO26" i="19"/>
  <c r="AN26" i="19"/>
  <c r="AM26" i="19"/>
  <c r="AL26" i="19"/>
  <c r="AK26" i="19"/>
  <c r="AJ26" i="19"/>
  <c r="AI26" i="19"/>
  <c r="AH26" i="19"/>
  <c r="AG26" i="19"/>
  <c r="AF26" i="19"/>
  <c r="AE26" i="19"/>
  <c r="AD26" i="19"/>
  <c r="AC26" i="19"/>
  <c r="AB26" i="19"/>
  <c r="AA26" i="19"/>
  <c r="Z26" i="19"/>
  <c r="Y26" i="19"/>
  <c r="X26" i="19"/>
  <c r="W26" i="19"/>
  <c r="V26" i="19"/>
  <c r="U26" i="19"/>
  <c r="T26" i="19"/>
  <c r="S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L157" i="24"/>
  <c r="B23" i="19" l="1"/>
  <c r="L156" i="24" l="1"/>
  <c r="L155" i="24" l="1"/>
  <c r="L154" i="24" l="1"/>
  <c r="L153" i="24" l="1"/>
  <c r="L152" i="24" l="1"/>
  <c r="L151" i="24" l="1"/>
  <c r="L150" i="24" l="1"/>
  <c r="L149" i="24" l="1"/>
  <c r="L148" i="24" l="1"/>
  <c r="L147" i="24" l="1"/>
  <c r="L146" i="24" l="1"/>
  <c r="L145" i="24" l="1"/>
  <c r="L144" i="24" l="1"/>
  <c r="L143" i="24" l="1"/>
  <c r="L142" i="24" l="1"/>
  <c r="L141" i="24" l="1"/>
  <c r="L140" i="24" l="1"/>
  <c r="L139" i="24" l="1"/>
  <c r="L138" i="24" l="1"/>
  <c r="L137" i="24" l="1"/>
  <c r="L136" i="24" l="1"/>
  <c r="L135" i="24" l="1"/>
  <c r="L134" i="24" l="1"/>
  <c r="L133" i="24" l="1"/>
  <c r="L132" i="24" l="1"/>
  <c r="L131" i="24" l="1"/>
  <c r="L130" i="24" l="1"/>
  <c r="L129" i="24" l="1"/>
  <c r="L128" i="24" l="1"/>
  <c r="L127" i="24" l="1"/>
  <c r="L126" i="24" l="1"/>
  <c r="L125" i="24" l="1"/>
  <c r="L124" i="24" l="1"/>
  <c r="L123" i="24" l="1"/>
  <c r="L122" i="24" l="1"/>
  <c r="L121" i="24" l="1"/>
  <c r="L120" i="24" l="1"/>
  <c r="L119" i="24" l="1"/>
  <c r="L118" i="24" l="1"/>
  <c r="L117" i="24" l="1"/>
  <c r="L116" i="24" l="1"/>
  <c r="L115" i="24" l="1"/>
  <c r="L114" i="24" l="1"/>
  <c r="L113" i="24" l="1"/>
  <c r="L112" i="24" l="1"/>
  <c r="L111" i="24" l="1"/>
  <c r="L110" i="24" l="1"/>
  <c r="L109" i="24" l="1"/>
  <c r="L108" i="24" l="1"/>
  <c r="L107" i="24" l="1"/>
  <c r="L106" i="24" l="1"/>
  <c r="L105" i="24" l="1"/>
  <c r="L104" i="24" l="1"/>
  <c r="L103" i="24" l="1"/>
  <c r="L102" i="24" l="1"/>
  <c r="L101" i="24" l="1"/>
  <c r="L100" i="24" l="1"/>
  <c r="L99" i="24" l="1"/>
  <c r="L98" i="24" l="1"/>
  <c r="L97" i="24" l="1"/>
  <c r="L96" i="24" l="1"/>
  <c r="L95" i="24" l="1"/>
  <c r="L94" i="24" l="1"/>
  <c r="L93" i="24" l="1"/>
  <c r="L92" i="24" l="1"/>
  <c r="L91" i="24" l="1"/>
  <c r="U20" i="30" l="1"/>
  <c r="U29" i="30"/>
  <c r="U28" i="30"/>
  <c r="U27" i="30"/>
  <c r="U26" i="30"/>
  <c r="U25" i="30"/>
  <c r="U23" i="30"/>
  <c r="L90" i="24"/>
  <c r="L89" i="24" l="1"/>
  <c r="L88" i="24" l="1"/>
  <c r="L87" i="24" l="1"/>
  <c r="L86" i="24" l="1"/>
  <c r="L85" i="24" l="1"/>
  <c r="L84" i="24" l="1"/>
  <c r="L83" i="24" l="1"/>
  <c r="L82" i="24" l="1"/>
  <c r="L81" i="24" l="1"/>
  <c r="L80" i="24" l="1"/>
  <c r="L79" i="24" l="1"/>
  <c r="L78" i="24" l="1"/>
  <c r="L77" i="24" l="1"/>
  <c r="L76" i="24" l="1"/>
  <c r="L75" i="24" l="1"/>
  <c r="L74" i="24" l="1"/>
  <c r="L73" i="24" l="1"/>
  <c r="L72" i="24" l="1"/>
  <c r="L71" i="24" l="1"/>
  <c r="L70" i="24" l="1"/>
  <c r="L69" i="24" l="1"/>
  <c r="L68" i="24" l="1"/>
  <c r="L67" i="24" l="1"/>
  <c r="L66" i="24" l="1"/>
  <c r="U24" i="30" l="1"/>
  <c r="U22" i="30"/>
  <c r="U21" i="30"/>
  <c r="U19" i="30"/>
  <c r="U18" i="30"/>
  <c r="U17" i="30"/>
  <c r="U16" i="30"/>
  <c r="U15" i="30"/>
  <c r="U14" i="30"/>
  <c r="U13" i="30"/>
  <c r="U12" i="30"/>
  <c r="U11" i="30"/>
  <c r="U10" i="30"/>
  <c r="U9" i="30"/>
  <c r="U8" i="30"/>
  <c r="U7" i="30"/>
  <c r="U6" i="30"/>
  <c r="U5" i="30"/>
  <c r="U4" i="30"/>
  <c r="U3" i="30"/>
  <c r="U2" i="30"/>
  <c r="L65" i="24"/>
  <c r="L64" i="24" l="1"/>
  <c r="L63" i="24" l="1"/>
  <c r="L62" i="24" l="1"/>
  <c r="L61" i="24" l="1"/>
  <c r="L60" i="24" l="1"/>
  <c r="L59" i="24" l="1"/>
  <c r="L58" i="24" l="1"/>
  <c r="L57" i="24" l="1"/>
  <c r="L56" i="24" l="1"/>
  <c r="L55" i="24" l="1"/>
  <c r="L54" i="24" l="1"/>
  <c r="L53" i="24" l="1"/>
  <c r="L52" i="24" l="1"/>
  <c r="L51" i="24" l="1"/>
  <c r="L50" i="24" l="1"/>
  <c r="L49" i="24" l="1"/>
  <c r="L48" i="24" l="1"/>
  <c r="L47" i="24" l="1"/>
  <c r="L46" i="24" l="1"/>
  <c r="Z4" i="16" l="1"/>
  <c r="D101" i="22" l="1"/>
  <c r="L45" i="24" l="1"/>
  <c r="L44" i="24" l="1"/>
  <c r="L43" i="24" l="1"/>
  <c r="L42" i="24" l="1"/>
  <c r="L41" i="24" l="1"/>
  <c r="L40" i="24" l="1"/>
  <c r="L39" i="24" l="1"/>
  <c r="L38" i="24" l="1"/>
  <c r="L37" i="24" l="1"/>
  <c r="L36" i="24" l="1"/>
  <c r="L35" i="24" l="1"/>
  <c r="L34" i="24" l="1"/>
  <c r="L33" i="24" l="1"/>
  <c r="L32" i="24" l="1"/>
  <c r="L31" i="24" l="1"/>
  <c r="L30" i="24" l="1"/>
  <c r="L29" i="24" l="1"/>
  <c r="L28" i="24" l="1"/>
  <c r="L27" i="24" l="1"/>
  <c r="L26" i="24" l="1"/>
  <c r="L25" i="24" l="1"/>
  <c r="L24" i="24" l="1"/>
  <c r="L23" i="24" l="1"/>
  <c r="L22" i="24" l="1"/>
  <c r="L21" i="24" l="1"/>
  <c r="L20" i="24" l="1"/>
  <c r="L19" i="24" l="1"/>
  <c r="L18" i="24" l="1"/>
  <c r="L17" i="24" l="1"/>
  <c r="L16" i="24" l="1"/>
  <c r="L15" i="24" l="1"/>
  <c r="L14" i="24" l="1"/>
  <c r="L13" i="24" l="1"/>
  <c r="L12" i="24" l="1"/>
  <c r="L11" i="24" l="1"/>
  <c r="L10" i="24" l="1"/>
  <c r="L9" i="24" l="1"/>
  <c r="L8" i="24" l="1"/>
  <c r="L7" i="24" l="1"/>
  <c r="L6" i="24" l="1"/>
  <c r="B5" i="42"/>
  <c r="M242" i="24" l="1"/>
  <c r="N242" i="24" s="1"/>
  <c r="M241" i="24"/>
  <c r="N241" i="24" s="1"/>
  <c r="M240" i="24"/>
  <c r="N240" i="24" s="1"/>
  <c r="M239" i="24"/>
  <c r="N239" i="24" s="1"/>
  <c r="M238" i="24"/>
  <c r="N238" i="24" s="1"/>
  <c r="M237" i="24"/>
  <c r="N237" i="24" s="1"/>
  <c r="M236" i="24"/>
  <c r="N236" i="24" s="1"/>
  <c r="M235" i="24"/>
  <c r="N235" i="24" s="1"/>
  <c r="M234" i="24"/>
  <c r="N234" i="24" s="1"/>
  <c r="M233" i="24"/>
  <c r="N233" i="24" s="1"/>
  <c r="M232" i="24"/>
  <c r="N232" i="24" s="1"/>
  <c r="M231" i="24"/>
  <c r="N231" i="24" s="1"/>
  <c r="M230" i="24"/>
  <c r="N230" i="24" s="1"/>
  <c r="M229" i="24"/>
  <c r="N229" i="24" s="1"/>
  <c r="M228" i="24"/>
  <c r="N228" i="24" s="1"/>
  <c r="M227" i="24"/>
  <c r="N227" i="24" s="1"/>
  <c r="M226" i="24"/>
  <c r="N226" i="24" s="1"/>
  <c r="M225" i="24"/>
  <c r="N225" i="24" s="1"/>
  <c r="M224" i="24"/>
  <c r="N224" i="24" s="1"/>
  <c r="M223" i="24"/>
  <c r="N223" i="24" s="1"/>
  <c r="M222" i="24"/>
  <c r="N222" i="24" s="1"/>
  <c r="M221" i="24"/>
  <c r="N221" i="24" s="1"/>
  <c r="M220" i="24"/>
  <c r="N220" i="24" s="1"/>
  <c r="M217" i="24"/>
  <c r="N217" i="24" s="1"/>
  <c r="M219" i="24"/>
  <c r="N219" i="24" s="1"/>
  <c r="M218" i="24"/>
  <c r="N218" i="24" s="1"/>
  <c r="M215" i="24"/>
  <c r="N215" i="24" s="1"/>
  <c r="M216" i="24"/>
  <c r="N216" i="24" s="1"/>
  <c r="M213" i="24"/>
  <c r="N213" i="24" s="1"/>
  <c r="M214" i="24"/>
  <c r="N214" i="24" s="1"/>
  <c r="M212" i="24"/>
  <c r="N212" i="24" s="1"/>
  <c r="M210" i="24"/>
  <c r="N210" i="24" s="1"/>
  <c r="M211" i="24"/>
  <c r="N211" i="24" s="1"/>
  <c r="M209" i="24"/>
  <c r="N209" i="24" s="1"/>
  <c r="M168" i="24"/>
  <c r="N168" i="24" s="1"/>
  <c r="M208" i="24"/>
  <c r="N208" i="24" s="1"/>
  <c r="M206" i="24"/>
  <c r="N206" i="24" s="1"/>
  <c r="M207" i="24"/>
  <c r="N207" i="24" s="1"/>
  <c r="M204" i="24"/>
  <c r="N204" i="24" s="1"/>
  <c r="M205" i="24"/>
  <c r="N205" i="24" s="1"/>
  <c r="M203" i="24"/>
  <c r="N203" i="24" s="1"/>
  <c r="M202" i="24"/>
  <c r="N202" i="24" s="1"/>
  <c r="M201" i="24"/>
  <c r="N201" i="24" s="1"/>
  <c r="M200" i="24"/>
  <c r="N200" i="24" s="1"/>
  <c r="M199" i="24"/>
  <c r="N199" i="24" s="1"/>
  <c r="M198" i="24"/>
  <c r="N198" i="24" s="1"/>
  <c r="M196" i="24"/>
  <c r="N196" i="24" s="1"/>
  <c r="M197" i="24"/>
  <c r="N197" i="24" s="1"/>
  <c r="M195" i="24"/>
  <c r="N195" i="24" s="1"/>
  <c r="M194" i="24"/>
  <c r="N194" i="24" s="1"/>
  <c r="M192" i="24"/>
  <c r="N192" i="24" s="1"/>
  <c r="M193" i="24"/>
  <c r="N193" i="24" s="1"/>
  <c r="M191" i="24"/>
  <c r="N191" i="24" s="1"/>
  <c r="M189" i="24"/>
  <c r="N189" i="24" s="1"/>
  <c r="M190" i="24"/>
  <c r="N190" i="24" s="1"/>
  <c r="M188" i="24"/>
  <c r="N188" i="24" s="1"/>
  <c r="M187" i="24"/>
  <c r="N187" i="24" s="1"/>
  <c r="M186" i="24"/>
  <c r="N186" i="24" s="1"/>
  <c r="M185" i="24"/>
  <c r="N185" i="24" s="1"/>
  <c r="M184" i="24"/>
  <c r="N184" i="24" s="1"/>
  <c r="M183" i="24"/>
  <c r="N183" i="24" s="1"/>
  <c r="M182" i="24"/>
  <c r="N182" i="24" s="1"/>
  <c r="M181" i="24"/>
  <c r="N181" i="24" s="1"/>
  <c r="M180" i="24"/>
  <c r="N180" i="24" s="1"/>
  <c r="M179" i="24"/>
  <c r="N179" i="24" s="1"/>
  <c r="M178" i="24"/>
  <c r="N178" i="24" s="1"/>
  <c r="M177" i="24"/>
  <c r="N177" i="24" s="1"/>
  <c r="M176" i="24"/>
  <c r="N176" i="24" s="1"/>
  <c r="M174" i="24"/>
  <c r="N174" i="24" s="1"/>
  <c r="M175" i="24"/>
  <c r="N175" i="24" s="1"/>
  <c r="M173" i="24"/>
  <c r="N173" i="24" s="1"/>
  <c r="M172" i="24"/>
  <c r="N172" i="24" s="1"/>
  <c r="M170" i="24"/>
  <c r="N170" i="24" s="1"/>
  <c r="M171" i="24"/>
  <c r="N171" i="24" s="1"/>
  <c r="M169" i="24"/>
  <c r="N169" i="24" s="1"/>
  <c r="M167" i="24"/>
  <c r="N167" i="24" s="1"/>
  <c r="M166" i="24"/>
  <c r="N166" i="24" s="1"/>
  <c r="M165" i="24"/>
  <c r="N165" i="24" s="1"/>
  <c r="M164" i="24"/>
  <c r="N164" i="24" s="1"/>
  <c r="M163" i="24"/>
  <c r="N163" i="24" s="1"/>
  <c r="M162" i="24"/>
  <c r="N162" i="24" s="1"/>
  <c r="M161" i="24"/>
  <c r="N161" i="24" s="1"/>
  <c r="M160" i="24"/>
  <c r="N160" i="24" s="1"/>
  <c r="M159" i="24"/>
  <c r="N159" i="24" s="1"/>
  <c r="M158" i="24"/>
  <c r="N158" i="24" s="1"/>
  <c r="M157" i="24"/>
  <c r="N157" i="24" s="1"/>
  <c r="M156" i="24"/>
  <c r="N156" i="24" s="1"/>
  <c r="M155" i="24"/>
  <c r="N155" i="24" s="1"/>
  <c r="M154" i="24"/>
  <c r="N154" i="24" s="1"/>
  <c r="M153" i="24"/>
  <c r="N153" i="24" s="1"/>
  <c r="M152" i="24"/>
  <c r="N152" i="24" s="1"/>
  <c r="M151" i="24"/>
  <c r="N151" i="24" s="1"/>
  <c r="M150" i="24"/>
  <c r="N150" i="24" s="1"/>
  <c r="M149" i="24"/>
  <c r="N149" i="24" s="1"/>
  <c r="M148" i="24"/>
  <c r="N148" i="24" s="1"/>
  <c r="M147" i="24"/>
  <c r="N147" i="24" s="1"/>
  <c r="M146" i="24"/>
  <c r="N146" i="24" s="1"/>
  <c r="M145" i="24"/>
  <c r="N145" i="24" s="1"/>
  <c r="M144" i="24"/>
  <c r="N144" i="24" s="1"/>
  <c r="M143" i="24"/>
  <c r="N143" i="24" s="1"/>
  <c r="M142" i="24"/>
  <c r="N142" i="24" s="1"/>
  <c r="M141" i="24"/>
  <c r="N141" i="24" s="1"/>
  <c r="M140" i="24"/>
  <c r="N140" i="24" s="1"/>
  <c r="M139" i="24"/>
  <c r="N139" i="24" s="1"/>
  <c r="M138" i="24"/>
  <c r="N138" i="24" s="1"/>
  <c r="M137" i="24"/>
  <c r="N137" i="24" s="1"/>
  <c r="M136" i="24"/>
  <c r="N136" i="24" s="1"/>
  <c r="M135" i="24"/>
  <c r="N135" i="24" s="1"/>
  <c r="M134" i="24"/>
  <c r="N134" i="24" s="1"/>
  <c r="M133" i="24"/>
  <c r="N133" i="24" s="1"/>
  <c r="M132" i="24"/>
  <c r="N132" i="24" s="1"/>
  <c r="M131" i="24"/>
  <c r="N131" i="24" s="1"/>
  <c r="M130" i="24"/>
  <c r="N130" i="24" s="1"/>
  <c r="M128" i="24"/>
  <c r="N128" i="24" s="1"/>
  <c r="M129" i="24"/>
  <c r="N129" i="24" s="1"/>
  <c r="M127" i="24"/>
  <c r="N127" i="24" s="1"/>
  <c r="M126" i="24"/>
  <c r="N126" i="24" s="1"/>
  <c r="M125" i="24"/>
  <c r="N125" i="24" s="1"/>
  <c r="M124" i="24"/>
  <c r="N124" i="24" s="1"/>
  <c r="M123" i="24"/>
  <c r="N123" i="24" s="1"/>
  <c r="M122" i="24"/>
  <c r="N122" i="24" s="1"/>
  <c r="M121" i="24"/>
  <c r="N121" i="24" s="1"/>
  <c r="M120" i="24"/>
  <c r="N120" i="24" s="1"/>
  <c r="M119" i="24"/>
  <c r="N119" i="24" s="1"/>
  <c r="M118" i="24"/>
  <c r="N118" i="24" s="1"/>
  <c r="M117" i="24"/>
  <c r="N117" i="24" s="1"/>
  <c r="M116" i="24"/>
  <c r="N116" i="24" s="1"/>
  <c r="M115" i="24"/>
  <c r="N115" i="24" s="1"/>
  <c r="M114" i="24"/>
  <c r="N114" i="24" s="1"/>
  <c r="M113" i="24"/>
  <c r="N113" i="24" s="1"/>
  <c r="M112" i="24"/>
  <c r="N112" i="24" s="1"/>
  <c r="M111" i="24"/>
  <c r="N111" i="24" s="1"/>
  <c r="M108" i="24"/>
  <c r="N108" i="24" s="1"/>
  <c r="M110" i="24"/>
  <c r="N110" i="24" s="1"/>
  <c r="M109" i="24"/>
  <c r="N109" i="24" s="1"/>
  <c r="M107" i="24"/>
  <c r="N107" i="24" s="1"/>
  <c r="M106" i="24"/>
  <c r="N106" i="24" s="1"/>
  <c r="M105" i="24"/>
  <c r="N105" i="24" s="1"/>
  <c r="M104" i="24"/>
  <c r="N104" i="24" s="1"/>
  <c r="M103" i="24"/>
  <c r="N103" i="24" s="1"/>
  <c r="M102" i="24"/>
  <c r="N102" i="24" s="1"/>
  <c r="M101" i="24"/>
  <c r="N101" i="24" s="1"/>
  <c r="M100" i="24"/>
  <c r="N100" i="24" s="1"/>
  <c r="M99" i="24"/>
  <c r="N99" i="24" s="1"/>
  <c r="M98" i="24"/>
  <c r="N98" i="24" s="1"/>
  <c r="M97" i="24"/>
  <c r="N97" i="24" s="1"/>
  <c r="M96" i="24"/>
  <c r="N96" i="24" s="1"/>
  <c r="M95" i="24"/>
  <c r="N95" i="24" s="1"/>
  <c r="M94" i="24"/>
  <c r="N94" i="24" s="1"/>
  <c r="M93" i="24"/>
  <c r="N93" i="24" s="1"/>
  <c r="M92" i="24"/>
  <c r="N92" i="24" s="1"/>
  <c r="M91" i="24"/>
  <c r="N91" i="24" s="1"/>
  <c r="M90" i="24"/>
  <c r="N90" i="24" s="1"/>
  <c r="M89" i="24"/>
  <c r="N89" i="24" s="1"/>
  <c r="M88" i="24"/>
  <c r="N88" i="24" s="1"/>
  <c r="M87" i="24"/>
  <c r="N87" i="24" s="1"/>
  <c r="M85" i="24"/>
  <c r="N85" i="24" s="1"/>
  <c r="M86" i="24"/>
  <c r="N86" i="24" s="1"/>
  <c r="M84" i="24"/>
  <c r="N84" i="24" s="1"/>
  <c r="M83" i="24"/>
  <c r="N83" i="24" s="1"/>
  <c r="M82" i="24"/>
  <c r="N82" i="24" s="1"/>
  <c r="M81" i="24"/>
  <c r="N81" i="24" s="1"/>
  <c r="M80" i="24"/>
  <c r="N80" i="24" s="1"/>
  <c r="M79" i="24"/>
  <c r="N79" i="24" s="1"/>
  <c r="M74" i="24"/>
  <c r="N74" i="24" s="1"/>
  <c r="M78" i="24"/>
  <c r="N78" i="24" s="1"/>
  <c r="M77" i="24"/>
  <c r="N77" i="24" s="1"/>
  <c r="M76" i="24"/>
  <c r="N76" i="24" s="1"/>
  <c r="M75" i="24"/>
  <c r="N75" i="24" s="1"/>
  <c r="M73" i="24"/>
  <c r="N73" i="24" s="1"/>
  <c r="M72" i="24"/>
  <c r="N72" i="24" s="1"/>
  <c r="M71" i="24"/>
  <c r="N71" i="24" s="1"/>
  <c r="M70" i="24"/>
  <c r="N70" i="24" s="1"/>
  <c r="M69" i="24"/>
  <c r="N69" i="24" s="1"/>
  <c r="M68" i="24"/>
  <c r="N68" i="24" s="1"/>
  <c r="M67" i="24"/>
  <c r="N67" i="24" s="1"/>
  <c r="M66" i="24"/>
  <c r="N66" i="24" s="1"/>
  <c r="M64" i="24"/>
  <c r="N64" i="24" s="1"/>
  <c r="M65" i="24"/>
  <c r="N65" i="24" s="1"/>
  <c r="M63" i="24"/>
  <c r="N63" i="24" s="1"/>
  <c r="M62" i="24"/>
  <c r="N62" i="24" s="1"/>
  <c r="M61" i="24"/>
  <c r="N61" i="24" s="1"/>
  <c r="M60" i="24"/>
  <c r="N60" i="24" s="1"/>
  <c r="M59" i="24"/>
  <c r="N59" i="24" s="1"/>
  <c r="M58" i="24"/>
  <c r="N58" i="24" s="1"/>
  <c r="M57" i="24"/>
  <c r="N57" i="24" s="1"/>
  <c r="M56" i="24"/>
  <c r="N56" i="24" s="1"/>
  <c r="M55" i="24"/>
  <c r="N55" i="24" s="1"/>
  <c r="M54" i="24"/>
  <c r="N54" i="24" s="1"/>
  <c r="M53" i="24"/>
  <c r="N53" i="24" s="1"/>
  <c r="M52" i="24"/>
  <c r="N52" i="24" s="1"/>
  <c r="M51" i="24"/>
  <c r="N51" i="24" s="1"/>
  <c r="M50" i="24"/>
  <c r="N50" i="24" s="1"/>
  <c r="M48" i="24"/>
  <c r="N48" i="24" s="1"/>
  <c r="M49" i="24"/>
  <c r="N49" i="24" s="1"/>
  <c r="M47" i="24"/>
  <c r="N47" i="24" s="1"/>
  <c r="M46" i="24"/>
  <c r="N46" i="24" s="1"/>
  <c r="M6" i="24"/>
  <c r="N6" i="24" s="1"/>
  <c r="M45" i="24"/>
  <c r="N45" i="24" s="1"/>
  <c r="M44" i="24"/>
  <c r="N44" i="24" s="1"/>
  <c r="M43" i="24"/>
  <c r="N43" i="24" s="1"/>
  <c r="M42" i="24"/>
  <c r="N42" i="24" s="1"/>
  <c r="M41" i="24"/>
  <c r="N41" i="24" s="1"/>
  <c r="M40" i="24"/>
  <c r="N40" i="24" s="1"/>
  <c r="M39" i="24"/>
  <c r="N39" i="24" s="1"/>
  <c r="M38" i="24"/>
  <c r="N38" i="24" s="1"/>
  <c r="M11" i="24"/>
  <c r="N11" i="24" s="1"/>
  <c r="M37" i="24"/>
  <c r="N37" i="24" s="1"/>
  <c r="M36" i="24"/>
  <c r="N36" i="24" s="1"/>
  <c r="M35" i="24"/>
  <c r="N35" i="24" s="1"/>
  <c r="M34" i="24"/>
  <c r="N34" i="24" s="1"/>
  <c r="M33" i="24"/>
  <c r="N33" i="24" s="1"/>
  <c r="M32" i="24"/>
  <c r="N32" i="24" s="1"/>
  <c r="M31" i="24"/>
  <c r="N31" i="24" s="1"/>
  <c r="M30" i="24"/>
  <c r="N30" i="24" s="1"/>
  <c r="M29" i="24"/>
  <c r="N29" i="24" s="1"/>
  <c r="M28" i="24"/>
  <c r="N28" i="24" s="1"/>
  <c r="M27" i="24"/>
  <c r="N27" i="24" s="1"/>
  <c r="M26" i="24"/>
  <c r="N26" i="24" s="1"/>
  <c r="M25" i="24"/>
  <c r="N25" i="24" s="1"/>
  <c r="M24" i="24"/>
  <c r="N24" i="24" s="1"/>
  <c r="M23" i="24"/>
  <c r="N23" i="24" s="1"/>
  <c r="M22" i="24"/>
  <c r="N22" i="24" s="1"/>
  <c r="M21" i="24"/>
  <c r="N21" i="24" s="1"/>
  <c r="M20" i="24"/>
  <c r="N20" i="24" s="1"/>
  <c r="M19" i="24"/>
  <c r="N19" i="24" s="1"/>
  <c r="M18" i="24"/>
  <c r="N18" i="24" s="1"/>
  <c r="M17" i="24"/>
  <c r="N17" i="24" s="1"/>
  <c r="M16" i="24"/>
  <c r="N16" i="24" s="1"/>
  <c r="M15" i="24"/>
  <c r="N15" i="24" s="1"/>
  <c r="M14" i="24"/>
  <c r="N14" i="24" s="1"/>
  <c r="M13" i="24"/>
  <c r="N13" i="24" s="1"/>
  <c r="M12" i="24"/>
  <c r="N12" i="24" s="1"/>
  <c r="M9" i="24"/>
  <c r="N9" i="24" s="1"/>
  <c r="M10" i="24"/>
  <c r="N10" i="24" s="1"/>
  <c r="M7" i="24"/>
  <c r="N7" i="24" s="1"/>
  <c r="M8" i="24"/>
  <c r="N8" i="24" s="1"/>
  <c r="BV1" i="18"/>
  <c r="BU1" i="18"/>
  <c r="BT1" i="18"/>
  <c r="BS1" i="18"/>
  <c r="BR1" i="18"/>
  <c r="BQ1" i="18"/>
  <c r="BP1" i="18"/>
  <c r="BO1" i="18"/>
  <c r="BN1" i="18"/>
  <c r="BM1" i="18"/>
  <c r="BL1" i="18"/>
  <c r="BK1" i="18"/>
  <c r="BJ1" i="18"/>
  <c r="BI1" i="18"/>
  <c r="BH1" i="18"/>
  <c r="BG1" i="18"/>
  <c r="BF1" i="18"/>
  <c r="BE1" i="18"/>
  <c r="BD1" i="18"/>
  <c r="BC1" i="18"/>
  <c r="BB1" i="18"/>
  <c r="BA1" i="18"/>
  <c r="AZ1" i="18"/>
  <c r="AY1" i="18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S2" i="26" l="1"/>
  <c r="Q2" i="17"/>
  <c r="P2" i="17"/>
  <c r="O2" i="17"/>
  <c r="N10" i="37" l="1"/>
  <c r="D100" i="22" l="1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D52" i="22"/>
  <c r="D51" i="22"/>
  <c r="D50" i="22"/>
  <c r="D49" i="22"/>
  <c r="D48" i="22"/>
  <c r="D47" i="22"/>
  <c r="D46" i="22"/>
  <c r="D45" i="22"/>
  <c r="D44" i="22"/>
  <c r="D43" i="22"/>
  <c r="D42" i="22"/>
  <c r="D41" i="22"/>
  <c r="D40" i="22"/>
  <c r="D39" i="22"/>
  <c r="D38" i="22"/>
  <c r="D37" i="22"/>
  <c r="D36" i="22"/>
  <c r="D35" i="22"/>
  <c r="D34" i="22"/>
  <c r="D33" i="22"/>
  <c r="D32" i="22"/>
  <c r="D31" i="22"/>
  <c r="D30" i="22"/>
  <c r="D29" i="22"/>
  <c r="D28" i="22"/>
  <c r="D27" i="22"/>
  <c r="D26" i="22"/>
  <c r="D25" i="22"/>
  <c r="D24" i="22"/>
  <c r="D23" i="22"/>
  <c r="D22" i="22"/>
  <c r="D21" i="22"/>
  <c r="D20" i="22"/>
  <c r="D19" i="22"/>
  <c r="D18" i="22"/>
  <c r="D17" i="22"/>
  <c r="D16" i="22"/>
  <c r="D15" i="22"/>
  <c r="D14" i="22"/>
  <c r="D13" i="22"/>
  <c r="D12" i="22"/>
  <c r="D11" i="22"/>
  <c r="D10" i="22"/>
  <c r="D9" i="22"/>
  <c r="D8" i="22"/>
  <c r="D7" i="22"/>
  <c r="D6" i="22"/>
  <c r="D5" i="22"/>
  <c r="D4" i="22"/>
  <c r="D3" i="22"/>
  <c r="AE304" i="36" l="1"/>
  <c r="AD304" i="36"/>
  <c r="AC304" i="36"/>
  <c r="AB304" i="36"/>
  <c r="AA304" i="36"/>
  <c r="Z304" i="36"/>
  <c r="Y304" i="36"/>
  <c r="X304" i="36"/>
  <c r="W304" i="36"/>
  <c r="U304" i="36"/>
  <c r="T304" i="36"/>
  <c r="S304" i="36"/>
  <c r="R304" i="36"/>
  <c r="Q304" i="36"/>
  <c r="P304" i="36"/>
  <c r="O304" i="36"/>
  <c r="N304" i="36"/>
  <c r="M304" i="36"/>
  <c r="AE303" i="36"/>
  <c r="AD303" i="36"/>
  <c r="AC303" i="36"/>
  <c r="AB303" i="36"/>
  <c r="AA303" i="36"/>
  <c r="Z303" i="36"/>
  <c r="Y303" i="36"/>
  <c r="X303" i="36"/>
  <c r="W303" i="36"/>
  <c r="U303" i="36"/>
  <c r="T303" i="36"/>
  <c r="S303" i="36"/>
  <c r="R303" i="36"/>
  <c r="Q303" i="36"/>
  <c r="P303" i="36"/>
  <c r="O303" i="36"/>
  <c r="N303" i="36"/>
  <c r="M303" i="36"/>
  <c r="AE302" i="36"/>
  <c r="AD302" i="36"/>
  <c r="AC302" i="36"/>
  <c r="AB302" i="36"/>
  <c r="AA302" i="36"/>
  <c r="Z302" i="36"/>
  <c r="Y302" i="36"/>
  <c r="X302" i="36"/>
  <c r="W302" i="36"/>
  <c r="U302" i="36"/>
  <c r="T302" i="36"/>
  <c r="S302" i="36"/>
  <c r="R302" i="36"/>
  <c r="Q302" i="36"/>
  <c r="P302" i="36"/>
  <c r="O302" i="36"/>
  <c r="N302" i="36"/>
  <c r="M302" i="36"/>
  <c r="AE301" i="36"/>
  <c r="AD301" i="36"/>
  <c r="AC301" i="36"/>
  <c r="AB301" i="36"/>
  <c r="AA301" i="36"/>
  <c r="Z301" i="36"/>
  <c r="Y301" i="36"/>
  <c r="X301" i="36"/>
  <c r="W301" i="36"/>
  <c r="U301" i="36"/>
  <c r="T301" i="36"/>
  <c r="S301" i="36"/>
  <c r="R301" i="36"/>
  <c r="Q301" i="36"/>
  <c r="P301" i="36"/>
  <c r="O301" i="36"/>
  <c r="N301" i="36"/>
  <c r="M301" i="36"/>
  <c r="AE300" i="36"/>
  <c r="AD300" i="36"/>
  <c r="AC300" i="36"/>
  <c r="AB300" i="36"/>
  <c r="AA300" i="36"/>
  <c r="Z300" i="36"/>
  <c r="Y300" i="36"/>
  <c r="X300" i="36"/>
  <c r="W300" i="36"/>
  <c r="U300" i="36"/>
  <c r="T300" i="36"/>
  <c r="S300" i="36"/>
  <c r="R300" i="36"/>
  <c r="Q300" i="36"/>
  <c r="P300" i="36"/>
  <c r="O300" i="36"/>
  <c r="N300" i="36"/>
  <c r="M300" i="36"/>
  <c r="AE299" i="36"/>
  <c r="AD299" i="36"/>
  <c r="AC299" i="36"/>
  <c r="AB299" i="36"/>
  <c r="AA299" i="36"/>
  <c r="Z299" i="36"/>
  <c r="Y299" i="36"/>
  <c r="X299" i="36"/>
  <c r="W299" i="36"/>
  <c r="U299" i="36"/>
  <c r="T299" i="36"/>
  <c r="S299" i="36"/>
  <c r="R299" i="36"/>
  <c r="Q299" i="36"/>
  <c r="P299" i="36"/>
  <c r="O299" i="36"/>
  <c r="N299" i="36"/>
  <c r="M299" i="36"/>
  <c r="AE298" i="36"/>
  <c r="AD298" i="36"/>
  <c r="AC298" i="36"/>
  <c r="AB298" i="36"/>
  <c r="AA298" i="36"/>
  <c r="Z298" i="36"/>
  <c r="Y298" i="36"/>
  <c r="X298" i="36"/>
  <c r="W298" i="36"/>
  <c r="U298" i="36"/>
  <c r="T298" i="36"/>
  <c r="S298" i="36"/>
  <c r="R298" i="36"/>
  <c r="Q298" i="36"/>
  <c r="P298" i="36"/>
  <c r="O298" i="36"/>
  <c r="N298" i="36"/>
  <c r="M298" i="36"/>
  <c r="AE297" i="36"/>
  <c r="AD297" i="36"/>
  <c r="AC297" i="36"/>
  <c r="AB297" i="36"/>
  <c r="AA297" i="36"/>
  <c r="Z297" i="36"/>
  <c r="Y297" i="36"/>
  <c r="X297" i="36"/>
  <c r="W297" i="36"/>
  <c r="U297" i="36"/>
  <c r="T297" i="36"/>
  <c r="S297" i="36"/>
  <c r="R297" i="36"/>
  <c r="Q297" i="36"/>
  <c r="P297" i="36"/>
  <c r="O297" i="36"/>
  <c r="N297" i="36"/>
  <c r="M297" i="36"/>
  <c r="AE296" i="36"/>
  <c r="AD296" i="36"/>
  <c r="AC296" i="36"/>
  <c r="AB296" i="36"/>
  <c r="AA296" i="36"/>
  <c r="Z296" i="36"/>
  <c r="Y296" i="36"/>
  <c r="X296" i="36"/>
  <c r="W296" i="36"/>
  <c r="U296" i="36"/>
  <c r="T296" i="36"/>
  <c r="S296" i="36"/>
  <c r="R296" i="36"/>
  <c r="Q296" i="36"/>
  <c r="P296" i="36"/>
  <c r="O296" i="36"/>
  <c r="N296" i="36"/>
  <c r="M296" i="36"/>
  <c r="AE295" i="36"/>
  <c r="AD295" i="36"/>
  <c r="AC295" i="36"/>
  <c r="AB295" i="36"/>
  <c r="AA295" i="36"/>
  <c r="Z295" i="36"/>
  <c r="Y295" i="36"/>
  <c r="X295" i="36"/>
  <c r="W295" i="36"/>
  <c r="U295" i="36"/>
  <c r="T295" i="36"/>
  <c r="S295" i="36"/>
  <c r="R295" i="36"/>
  <c r="Q295" i="36"/>
  <c r="P295" i="36"/>
  <c r="O295" i="36"/>
  <c r="N295" i="36"/>
  <c r="M295" i="36"/>
  <c r="AE294" i="36"/>
  <c r="AD294" i="36"/>
  <c r="AC294" i="36"/>
  <c r="AB294" i="36"/>
  <c r="AA294" i="36"/>
  <c r="Z294" i="36"/>
  <c r="Y294" i="36"/>
  <c r="X294" i="36"/>
  <c r="W294" i="36"/>
  <c r="U294" i="36"/>
  <c r="T294" i="36"/>
  <c r="S294" i="36"/>
  <c r="R294" i="36"/>
  <c r="Q294" i="36"/>
  <c r="P294" i="36"/>
  <c r="O294" i="36"/>
  <c r="N294" i="36"/>
  <c r="M294" i="36"/>
  <c r="AE293" i="36"/>
  <c r="AD293" i="36"/>
  <c r="AC293" i="36"/>
  <c r="AB293" i="36"/>
  <c r="AA293" i="36"/>
  <c r="Z293" i="36"/>
  <c r="Y293" i="36"/>
  <c r="X293" i="36"/>
  <c r="W293" i="36"/>
  <c r="U293" i="36"/>
  <c r="T293" i="36"/>
  <c r="S293" i="36"/>
  <c r="R293" i="36"/>
  <c r="Q293" i="36"/>
  <c r="P293" i="36"/>
  <c r="O293" i="36"/>
  <c r="N293" i="36"/>
  <c r="M293" i="36"/>
  <c r="AE292" i="36"/>
  <c r="AD292" i="36"/>
  <c r="AC292" i="36"/>
  <c r="AB292" i="36"/>
  <c r="AA292" i="36"/>
  <c r="Z292" i="36"/>
  <c r="Y292" i="36"/>
  <c r="X292" i="36"/>
  <c r="W292" i="36"/>
  <c r="U292" i="36"/>
  <c r="T292" i="36"/>
  <c r="S292" i="36"/>
  <c r="R292" i="36"/>
  <c r="Q292" i="36"/>
  <c r="P292" i="36"/>
  <c r="O292" i="36"/>
  <c r="N292" i="36"/>
  <c r="M292" i="36"/>
  <c r="AE291" i="36"/>
  <c r="AD291" i="36"/>
  <c r="AC291" i="36"/>
  <c r="AB291" i="36"/>
  <c r="AA291" i="36"/>
  <c r="Z291" i="36"/>
  <c r="Y291" i="36"/>
  <c r="X291" i="36"/>
  <c r="W291" i="36"/>
  <c r="U291" i="36"/>
  <c r="T291" i="36"/>
  <c r="S291" i="36"/>
  <c r="R291" i="36"/>
  <c r="Q291" i="36"/>
  <c r="P291" i="36"/>
  <c r="O291" i="36"/>
  <c r="N291" i="36"/>
  <c r="M291" i="36"/>
  <c r="AE290" i="36"/>
  <c r="AD290" i="36"/>
  <c r="AC290" i="36"/>
  <c r="AB290" i="36"/>
  <c r="AA290" i="36"/>
  <c r="Z290" i="36"/>
  <c r="Y290" i="36"/>
  <c r="X290" i="36"/>
  <c r="W290" i="36"/>
  <c r="U290" i="36"/>
  <c r="T290" i="36"/>
  <c r="S290" i="36"/>
  <c r="R290" i="36"/>
  <c r="Q290" i="36"/>
  <c r="P290" i="36"/>
  <c r="O290" i="36"/>
  <c r="N290" i="36"/>
  <c r="M290" i="36"/>
  <c r="AE289" i="36"/>
  <c r="AD289" i="36"/>
  <c r="AC289" i="36"/>
  <c r="AB289" i="36"/>
  <c r="AA289" i="36"/>
  <c r="Z289" i="36"/>
  <c r="Y289" i="36"/>
  <c r="X289" i="36"/>
  <c r="W289" i="36"/>
  <c r="U289" i="36"/>
  <c r="T289" i="36"/>
  <c r="S289" i="36"/>
  <c r="R289" i="36"/>
  <c r="Q289" i="36"/>
  <c r="P289" i="36"/>
  <c r="O289" i="36"/>
  <c r="N289" i="36"/>
  <c r="M289" i="36"/>
  <c r="AE288" i="36"/>
  <c r="AD288" i="36"/>
  <c r="AC288" i="36"/>
  <c r="AB288" i="36"/>
  <c r="AA288" i="36"/>
  <c r="Z288" i="36"/>
  <c r="Y288" i="36"/>
  <c r="X288" i="36"/>
  <c r="W288" i="36"/>
  <c r="U288" i="36"/>
  <c r="T288" i="36"/>
  <c r="S288" i="36"/>
  <c r="R288" i="36"/>
  <c r="Q288" i="36"/>
  <c r="P288" i="36"/>
  <c r="O288" i="36"/>
  <c r="N288" i="36"/>
  <c r="M288" i="36"/>
  <c r="AE287" i="36"/>
  <c r="AD287" i="36"/>
  <c r="AC287" i="36"/>
  <c r="AB287" i="36"/>
  <c r="AA287" i="36"/>
  <c r="Z287" i="36"/>
  <c r="Y287" i="36"/>
  <c r="X287" i="36"/>
  <c r="W287" i="36"/>
  <c r="U287" i="36"/>
  <c r="T287" i="36"/>
  <c r="S287" i="36"/>
  <c r="R287" i="36"/>
  <c r="Q287" i="36"/>
  <c r="P287" i="36"/>
  <c r="O287" i="36"/>
  <c r="N287" i="36"/>
  <c r="M287" i="36"/>
  <c r="AE286" i="36"/>
  <c r="AD286" i="36"/>
  <c r="AC286" i="36"/>
  <c r="AB286" i="36"/>
  <c r="AA286" i="36"/>
  <c r="Z286" i="36"/>
  <c r="Y286" i="36"/>
  <c r="X286" i="36"/>
  <c r="W286" i="36"/>
  <c r="U286" i="36"/>
  <c r="T286" i="36"/>
  <c r="S286" i="36"/>
  <c r="R286" i="36"/>
  <c r="Q286" i="36"/>
  <c r="P286" i="36"/>
  <c r="O286" i="36"/>
  <c r="N286" i="36"/>
  <c r="M286" i="36"/>
  <c r="AE285" i="36"/>
  <c r="AD285" i="36"/>
  <c r="AC285" i="36"/>
  <c r="AB285" i="36"/>
  <c r="AA285" i="36"/>
  <c r="Z285" i="36"/>
  <c r="Y285" i="36"/>
  <c r="X285" i="36"/>
  <c r="W285" i="36"/>
  <c r="U285" i="36"/>
  <c r="T285" i="36"/>
  <c r="S285" i="36"/>
  <c r="R285" i="36"/>
  <c r="Q285" i="36"/>
  <c r="P285" i="36"/>
  <c r="O285" i="36"/>
  <c r="N285" i="36"/>
  <c r="M285" i="36"/>
  <c r="AE284" i="36"/>
  <c r="AD284" i="36"/>
  <c r="AC284" i="36"/>
  <c r="AB284" i="36"/>
  <c r="AA284" i="36"/>
  <c r="Z284" i="36"/>
  <c r="Y284" i="36"/>
  <c r="X284" i="36"/>
  <c r="W284" i="36"/>
  <c r="U284" i="36"/>
  <c r="T284" i="36"/>
  <c r="S284" i="36"/>
  <c r="R284" i="36"/>
  <c r="Q284" i="36"/>
  <c r="P284" i="36"/>
  <c r="O284" i="36"/>
  <c r="N284" i="36"/>
  <c r="M284" i="36"/>
  <c r="AE283" i="36"/>
  <c r="AD283" i="36"/>
  <c r="AC283" i="36"/>
  <c r="AB283" i="36"/>
  <c r="AA283" i="36"/>
  <c r="Z283" i="36"/>
  <c r="Y283" i="36"/>
  <c r="X283" i="36"/>
  <c r="W283" i="36"/>
  <c r="U283" i="36"/>
  <c r="T283" i="36"/>
  <c r="S283" i="36"/>
  <c r="R283" i="36"/>
  <c r="Q283" i="36"/>
  <c r="P283" i="36"/>
  <c r="O283" i="36"/>
  <c r="N283" i="36"/>
  <c r="M283" i="36"/>
  <c r="AE282" i="36"/>
  <c r="AD282" i="36"/>
  <c r="AC282" i="36"/>
  <c r="AB282" i="36"/>
  <c r="AA282" i="36"/>
  <c r="Z282" i="36"/>
  <c r="Y282" i="36"/>
  <c r="X282" i="36"/>
  <c r="W282" i="36"/>
  <c r="U282" i="36"/>
  <c r="T282" i="36"/>
  <c r="S282" i="36"/>
  <c r="R282" i="36"/>
  <c r="Q282" i="36"/>
  <c r="P282" i="36"/>
  <c r="O282" i="36"/>
  <c r="N282" i="36"/>
  <c r="M282" i="36"/>
  <c r="AE281" i="36"/>
  <c r="AD281" i="36"/>
  <c r="AC281" i="36"/>
  <c r="AB281" i="36"/>
  <c r="AA281" i="36"/>
  <c r="Z281" i="36"/>
  <c r="Y281" i="36"/>
  <c r="X281" i="36"/>
  <c r="W281" i="36"/>
  <c r="U281" i="36"/>
  <c r="T281" i="36"/>
  <c r="S281" i="36"/>
  <c r="R281" i="36"/>
  <c r="Q281" i="36"/>
  <c r="P281" i="36"/>
  <c r="O281" i="36"/>
  <c r="N281" i="36"/>
  <c r="M281" i="36"/>
  <c r="AE280" i="36"/>
  <c r="AD280" i="36"/>
  <c r="AC280" i="36"/>
  <c r="AB280" i="36"/>
  <c r="AA280" i="36"/>
  <c r="Z280" i="36"/>
  <c r="Y280" i="36"/>
  <c r="X280" i="36"/>
  <c r="W280" i="36"/>
  <c r="U280" i="36"/>
  <c r="T280" i="36"/>
  <c r="S280" i="36"/>
  <c r="R280" i="36"/>
  <c r="Q280" i="36"/>
  <c r="P280" i="36"/>
  <c r="O280" i="36"/>
  <c r="N280" i="36"/>
  <c r="M280" i="36"/>
  <c r="AE279" i="36"/>
  <c r="AD279" i="36"/>
  <c r="AC279" i="36"/>
  <c r="AB279" i="36"/>
  <c r="AA279" i="36"/>
  <c r="Z279" i="36"/>
  <c r="Y279" i="36"/>
  <c r="X279" i="36"/>
  <c r="W279" i="36"/>
  <c r="U279" i="36"/>
  <c r="T279" i="36"/>
  <c r="S279" i="36"/>
  <c r="R279" i="36"/>
  <c r="Q279" i="36"/>
  <c r="P279" i="36"/>
  <c r="O279" i="36"/>
  <c r="N279" i="36"/>
  <c r="M279" i="36"/>
  <c r="AE278" i="36"/>
  <c r="AD278" i="36"/>
  <c r="AC278" i="36"/>
  <c r="AB278" i="36"/>
  <c r="AA278" i="36"/>
  <c r="Z278" i="36"/>
  <c r="Y278" i="36"/>
  <c r="X278" i="36"/>
  <c r="W278" i="36"/>
  <c r="U278" i="36"/>
  <c r="T278" i="36"/>
  <c r="S278" i="36"/>
  <c r="R278" i="36"/>
  <c r="Q278" i="36"/>
  <c r="P278" i="36"/>
  <c r="O278" i="36"/>
  <c r="N278" i="36"/>
  <c r="M278" i="36"/>
  <c r="AE277" i="36"/>
  <c r="AD277" i="36"/>
  <c r="AC277" i="36"/>
  <c r="AB277" i="36"/>
  <c r="AA277" i="36"/>
  <c r="Z277" i="36"/>
  <c r="Y277" i="36"/>
  <c r="X277" i="36"/>
  <c r="W277" i="36"/>
  <c r="U277" i="36"/>
  <c r="T277" i="36"/>
  <c r="S277" i="36"/>
  <c r="R277" i="36"/>
  <c r="Q277" i="36"/>
  <c r="P277" i="36"/>
  <c r="O277" i="36"/>
  <c r="N277" i="36"/>
  <c r="M277" i="36"/>
  <c r="AE276" i="36"/>
  <c r="AD276" i="36"/>
  <c r="AC276" i="36"/>
  <c r="AB276" i="36"/>
  <c r="AA276" i="36"/>
  <c r="Z276" i="36"/>
  <c r="Y276" i="36"/>
  <c r="X276" i="36"/>
  <c r="W276" i="36"/>
  <c r="U276" i="36"/>
  <c r="T276" i="36"/>
  <c r="S276" i="36"/>
  <c r="R276" i="36"/>
  <c r="Q276" i="36"/>
  <c r="P276" i="36"/>
  <c r="O276" i="36"/>
  <c r="N276" i="36"/>
  <c r="M276" i="36"/>
  <c r="AE275" i="36"/>
  <c r="AD275" i="36"/>
  <c r="AC275" i="36"/>
  <c r="AB275" i="36"/>
  <c r="AA275" i="36"/>
  <c r="Z275" i="36"/>
  <c r="Y275" i="36"/>
  <c r="X275" i="36"/>
  <c r="W275" i="36"/>
  <c r="U275" i="36"/>
  <c r="T275" i="36"/>
  <c r="S275" i="36"/>
  <c r="R275" i="36"/>
  <c r="Q275" i="36"/>
  <c r="P275" i="36"/>
  <c r="O275" i="36"/>
  <c r="N275" i="36"/>
  <c r="M275" i="36"/>
  <c r="AE274" i="36"/>
  <c r="AD274" i="36"/>
  <c r="AC274" i="36"/>
  <c r="AB274" i="36"/>
  <c r="AA274" i="36"/>
  <c r="Z274" i="36"/>
  <c r="Y274" i="36"/>
  <c r="X274" i="36"/>
  <c r="W274" i="36"/>
  <c r="U274" i="36"/>
  <c r="T274" i="36"/>
  <c r="S274" i="36"/>
  <c r="R274" i="36"/>
  <c r="Q274" i="36"/>
  <c r="P274" i="36"/>
  <c r="O274" i="36"/>
  <c r="N274" i="36"/>
  <c r="M274" i="36"/>
  <c r="AE273" i="36"/>
  <c r="AD273" i="36"/>
  <c r="AC273" i="36"/>
  <c r="AB273" i="36"/>
  <c r="AA273" i="36"/>
  <c r="Z273" i="36"/>
  <c r="Y273" i="36"/>
  <c r="X273" i="36"/>
  <c r="W273" i="36"/>
  <c r="U273" i="36"/>
  <c r="T273" i="36"/>
  <c r="S273" i="36"/>
  <c r="R273" i="36"/>
  <c r="Q273" i="36"/>
  <c r="P273" i="36"/>
  <c r="O273" i="36"/>
  <c r="N273" i="36"/>
  <c r="M273" i="36"/>
  <c r="AE272" i="36"/>
  <c r="AD272" i="36"/>
  <c r="AC272" i="36"/>
  <c r="AB272" i="36"/>
  <c r="AA272" i="36"/>
  <c r="Z272" i="36"/>
  <c r="Y272" i="36"/>
  <c r="X272" i="36"/>
  <c r="W272" i="36"/>
  <c r="U272" i="36"/>
  <c r="T272" i="36"/>
  <c r="S272" i="36"/>
  <c r="R272" i="36"/>
  <c r="Q272" i="36"/>
  <c r="P272" i="36"/>
  <c r="O272" i="36"/>
  <c r="N272" i="36"/>
  <c r="M272" i="36"/>
  <c r="AE271" i="36"/>
  <c r="AD271" i="36"/>
  <c r="AC271" i="36"/>
  <c r="AB271" i="36"/>
  <c r="AA271" i="36"/>
  <c r="Z271" i="36"/>
  <c r="Y271" i="36"/>
  <c r="X271" i="36"/>
  <c r="W271" i="36"/>
  <c r="U271" i="36"/>
  <c r="T271" i="36"/>
  <c r="S271" i="36"/>
  <c r="R271" i="36"/>
  <c r="Q271" i="36"/>
  <c r="P271" i="36"/>
  <c r="O271" i="36"/>
  <c r="N271" i="36"/>
  <c r="M271" i="36"/>
  <c r="AE270" i="36"/>
  <c r="AD270" i="36"/>
  <c r="AC270" i="36"/>
  <c r="AB270" i="36"/>
  <c r="AA270" i="36"/>
  <c r="Z270" i="36"/>
  <c r="Y270" i="36"/>
  <c r="X270" i="36"/>
  <c r="W270" i="36"/>
  <c r="U270" i="36"/>
  <c r="T270" i="36"/>
  <c r="S270" i="36"/>
  <c r="R270" i="36"/>
  <c r="Q270" i="36"/>
  <c r="P270" i="36"/>
  <c r="O270" i="36"/>
  <c r="N270" i="36"/>
  <c r="M270" i="36"/>
  <c r="AE269" i="36"/>
  <c r="AD269" i="36"/>
  <c r="AC269" i="36"/>
  <c r="AB269" i="36"/>
  <c r="AA269" i="36"/>
  <c r="Z269" i="36"/>
  <c r="Y269" i="36"/>
  <c r="X269" i="36"/>
  <c r="W269" i="36"/>
  <c r="U269" i="36"/>
  <c r="T269" i="36"/>
  <c r="S269" i="36"/>
  <c r="R269" i="36"/>
  <c r="Q269" i="36"/>
  <c r="P269" i="36"/>
  <c r="O269" i="36"/>
  <c r="N269" i="36"/>
  <c r="M269" i="36"/>
  <c r="AE268" i="36"/>
  <c r="AD268" i="36"/>
  <c r="AC268" i="36"/>
  <c r="AB268" i="36"/>
  <c r="AA268" i="36"/>
  <c r="Z268" i="36"/>
  <c r="Y268" i="36"/>
  <c r="X268" i="36"/>
  <c r="W268" i="36"/>
  <c r="U268" i="36"/>
  <c r="T268" i="36"/>
  <c r="S268" i="36"/>
  <c r="R268" i="36"/>
  <c r="Q268" i="36"/>
  <c r="P268" i="36"/>
  <c r="O268" i="36"/>
  <c r="N268" i="36"/>
  <c r="M268" i="36"/>
  <c r="AE267" i="36"/>
  <c r="AD267" i="36"/>
  <c r="AC267" i="36"/>
  <c r="AB267" i="36"/>
  <c r="AA267" i="36"/>
  <c r="Z267" i="36"/>
  <c r="Y267" i="36"/>
  <c r="X267" i="36"/>
  <c r="W267" i="36"/>
  <c r="U267" i="36"/>
  <c r="T267" i="36"/>
  <c r="S267" i="36"/>
  <c r="R267" i="36"/>
  <c r="Q267" i="36"/>
  <c r="P267" i="36"/>
  <c r="O267" i="36"/>
  <c r="N267" i="36"/>
  <c r="M267" i="36"/>
  <c r="AE266" i="36"/>
  <c r="AD266" i="36"/>
  <c r="AC266" i="36"/>
  <c r="AB266" i="36"/>
  <c r="AA266" i="36"/>
  <c r="Z266" i="36"/>
  <c r="Y266" i="36"/>
  <c r="X266" i="36"/>
  <c r="W266" i="36"/>
  <c r="U266" i="36"/>
  <c r="T266" i="36"/>
  <c r="S266" i="36"/>
  <c r="R266" i="36"/>
  <c r="Q266" i="36"/>
  <c r="P266" i="36"/>
  <c r="O266" i="36"/>
  <c r="N266" i="36"/>
  <c r="M266" i="36"/>
  <c r="AE265" i="36"/>
  <c r="AD265" i="36"/>
  <c r="AC265" i="36"/>
  <c r="AB265" i="36"/>
  <c r="AA265" i="36"/>
  <c r="Z265" i="36"/>
  <c r="Y265" i="36"/>
  <c r="X265" i="36"/>
  <c r="W265" i="36"/>
  <c r="U265" i="36"/>
  <c r="T265" i="36"/>
  <c r="S265" i="36"/>
  <c r="R265" i="36"/>
  <c r="Q265" i="36"/>
  <c r="P265" i="36"/>
  <c r="O265" i="36"/>
  <c r="N265" i="36"/>
  <c r="M265" i="36"/>
  <c r="AE264" i="36"/>
  <c r="AD264" i="36"/>
  <c r="AC264" i="36"/>
  <c r="AB264" i="36"/>
  <c r="AA264" i="36"/>
  <c r="Z264" i="36"/>
  <c r="Y264" i="36"/>
  <c r="X264" i="36"/>
  <c r="W264" i="36"/>
  <c r="U264" i="36"/>
  <c r="T264" i="36"/>
  <c r="S264" i="36"/>
  <c r="R264" i="36"/>
  <c r="Q264" i="36"/>
  <c r="P264" i="36"/>
  <c r="O264" i="36"/>
  <c r="N264" i="36"/>
  <c r="M264" i="36"/>
  <c r="C99" i="17" l="1"/>
  <c r="M6" i="37" l="1"/>
  <c r="C5" i="17" l="1"/>
  <c r="C15" i="17"/>
  <c r="P5" i="18" l="1"/>
  <c r="CE3" i="11" l="1"/>
  <c r="CE4" i="11"/>
  <c r="CD4" i="11"/>
  <c r="CC4" i="11"/>
  <c r="GS4" i="11" s="1"/>
  <c r="CB4" i="11"/>
  <c r="CA4" i="11"/>
  <c r="BZ4" i="11"/>
  <c r="BY4" i="11"/>
  <c r="BX4" i="11"/>
  <c r="BW4" i="11"/>
  <c r="BV4" i="11"/>
  <c r="BU4" i="11"/>
  <c r="BT4" i="11"/>
  <c r="BT2" i="11" s="1"/>
  <c r="BS4" i="11"/>
  <c r="BR4" i="11"/>
  <c r="BQ4" i="11"/>
  <c r="BP4" i="11"/>
  <c r="BO4" i="11"/>
  <c r="BN4" i="11"/>
  <c r="BM4" i="11"/>
  <c r="BL4" i="11"/>
  <c r="BK4" i="11"/>
  <c r="BJ4" i="11"/>
  <c r="BI4" i="11"/>
  <c r="BH4" i="11"/>
  <c r="BH2" i="11" s="1"/>
  <c r="BG4" i="11"/>
  <c r="BF4" i="11"/>
  <c r="BE4" i="11"/>
  <c r="BD4" i="11"/>
  <c r="BC4" i="11"/>
  <c r="BB4" i="11"/>
  <c r="BA4" i="11"/>
  <c r="AZ4" i="11"/>
  <c r="AY4" i="11"/>
  <c r="AX4" i="11"/>
  <c r="AW4" i="11"/>
  <c r="AV4" i="11"/>
  <c r="AV2" i="11" s="1"/>
  <c r="AU4" i="11"/>
  <c r="AT4" i="11"/>
  <c r="AS4" i="11"/>
  <c r="AR4" i="11"/>
  <c r="AQ4" i="11"/>
  <c r="AP4" i="11"/>
  <c r="AO4" i="11"/>
  <c r="AN4" i="11"/>
  <c r="AM4" i="11"/>
  <c r="AL4" i="11"/>
  <c r="AK4" i="11"/>
  <c r="AJ4" i="11"/>
  <c r="AI4" i="11"/>
  <c r="AH4" i="11"/>
  <c r="AG4" i="11"/>
  <c r="AF4" i="11"/>
  <c r="AE4" i="11"/>
  <c r="AD4" i="11"/>
  <c r="AC4" i="11"/>
  <c r="AB4" i="11"/>
  <c r="AA4" i="11"/>
  <c r="Z4" i="11"/>
  <c r="Y4" i="11"/>
  <c r="X4" i="11"/>
  <c r="ED4" i="11" l="1"/>
  <c r="GL4" i="11"/>
  <c r="CI4" i="11"/>
  <c r="EQ4" i="11"/>
  <c r="CQ4" i="11"/>
  <c r="EY4" i="11"/>
  <c r="CY4" i="11"/>
  <c r="FG4" i="11"/>
  <c r="DG4" i="11"/>
  <c r="FO4" i="11"/>
  <c r="DO4" i="11"/>
  <c r="FW4" i="11"/>
  <c r="DW4" i="11"/>
  <c r="GE4" i="11"/>
  <c r="EE4" i="11"/>
  <c r="GM4" i="11"/>
  <c r="EM4" i="11"/>
  <c r="GU4" i="11"/>
  <c r="CH4" i="11"/>
  <c r="EP4" i="11"/>
  <c r="CJ4" i="11"/>
  <c r="ER4" i="11"/>
  <c r="CZ4" i="11"/>
  <c r="FH4" i="11"/>
  <c r="DH4" i="11"/>
  <c r="FP4" i="11"/>
  <c r="DP4" i="11"/>
  <c r="DP2" i="11" s="1"/>
  <c r="FX4" i="11"/>
  <c r="FX2" i="11" s="1"/>
  <c r="DX4" i="11"/>
  <c r="GF4" i="11"/>
  <c r="EF4" i="11"/>
  <c r="GN4" i="11"/>
  <c r="EK4" i="11"/>
  <c r="CX4" i="11"/>
  <c r="FF4" i="11"/>
  <c r="CR4" i="11"/>
  <c r="CR2" i="11" s="1"/>
  <c r="AJ2" i="11"/>
  <c r="EZ4" i="11"/>
  <c r="EZ2" i="11" s="1"/>
  <c r="CK4" i="11"/>
  <c r="ES4" i="11"/>
  <c r="CS4" i="11"/>
  <c r="FA4" i="11"/>
  <c r="DA4" i="11"/>
  <c r="FI4" i="11"/>
  <c r="DI4" i="11"/>
  <c r="FQ4" i="11"/>
  <c r="DQ4" i="11"/>
  <c r="FY4" i="11"/>
  <c r="DY4" i="11"/>
  <c r="GG4" i="11"/>
  <c r="EG4" i="11"/>
  <c r="GO4" i="11"/>
  <c r="CP4" i="11"/>
  <c r="EX4" i="11"/>
  <c r="EL4" i="11"/>
  <c r="GT4" i="11"/>
  <c r="CL4" i="11"/>
  <c r="ET4" i="11"/>
  <c r="CT4" i="11"/>
  <c r="FB4" i="11"/>
  <c r="DB4" i="11"/>
  <c r="FJ4" i="11"/>
  <c r="DJ4" i="11"/>
  <c r="FR4" i="11"/>
  <c r="DR4" i="11"/>
  <c r="FZ4" i="11"/>
  <c r="DZ4" i="11"/>
  <c r="GH4" i="11"/>
  <c r="EH4" i="11"/>
  <c r="GP4" i="11"/>
  <c r="DF4" i="11"/>
  <c r="FN4" i="11"/>
  <c r="CM4" i="11"/>
  <c r="EU4" i="11"/>
  <c r="CU4" i="11"/>
  <c r="FC4" i="11"/>
  <c r="DC4" i="11"/>
  <c r="FK4" i="11"/>
  <c r="DK4" i="11"/>
  <c r="FS4" i="11"/>
  <c r="DS4" i="11"/>
  <c r="GA4" i="11"/>
  <c r="EA4" i="11"/>
  <c r="GI4" i="11"/>
  <c r="EI4" i="11"/>
  <c r="GQ4" i="11"/>
  <c r="DV4" i="11"/>
  <c r="GD4" i="11"/>
  <c r="CF4" i="11"/>
  <c r="CF2" i="11" s="1"/>
  <c r="EN4" i="11"/>
  <c r="EN2" i="11" s="1"/>
  <c r="X2" i="11"/>
  <c r="CN4" i="11"/>
  <c r="EV4" i="11"/>
  <c r="CV4" i="11"/>
  <c r="FD4" i="11"/>
  <c r="DD4" i="11"/>
  <c r="DD2" i="11" s="1"/>
  <c r="FL4" i="11"/>
  <c r="FL2" i="11" s="1"/>
  <c r="DL4" i="11"/>
  <c r="FT4" i="11"/>
  <c r="DT4" i="11"/>
  <c r="GB4" i="11"/>
  <c r="EB4" i="11"/>
  <c r="EB2" i="11" s="1"/>
  <c r="GJ4" i="11"/>
  <c r="GJ2" i="11" s="1"/>
  <c r="EJ4" i="11"/>
  <c r="GR4" i="11"/>
  <c r="EM3" i="11"/>
  <c r="GU3" i="11"/>
  <c r="DN4" i="11"/>
  <c r="FV4" i="11"/>
  <c r="CG4" i="11"/>
  <c r="EO4" i="11"/>
  <c r="CO4" i="11"/>
  <c r="EW4" i="11"/>
  <c r="CW4" i="11"/>
  <c r="FE4" i="11"/>
  <c r="DE4" i="11"/>
  <c r="FM4" i="11"/>
  <c r="DM4" i="11"/>
  <c r="FU4" i="11"/>
  <c r="DU4" i="11"/>
  <c r="GC4" i="11"/>
  <c r="EC4" i="11"/>
  <c r="GK4" i="11"/>
  <c r="D2" i="17" l="1"/>
  <c r="Y3" i="11" l="1"/>
  <c r="D37" i="17"/>
  <c r="CG3" i="11" l="1"/>
  <c r="EO3" i="11"/>
  <c r="Y17" i="36"/>
  <c r="AE263" i="36" l="1"/>
  <c r="AD263" i="36"/>
  <c r="AC263" i="36"/>
  <c r="AB263" i="36"/>
  <c r="AA263" i="36"/>
  <c r="Z263" i="36"/>
  <c r="Y263" i="36"/>
  <c r="X263" i="36"/>
  <c r="W263" i="36"/>
  <c r="U263" i="36"/>
  <c r="T263" i="36"/>
  <c r="S263" i="36"/>
  <c r="R263" i="36"/>
  <c r="Q263" i="36"/>
  <c r="P263" i="36"/>
  <c r="O263" i="36"/>
  <c r="N263" i="36"/>
  <c r="M263" i="36"/>
  <c r="AE262" i="36"/>
  <c r="AD262" i="36"/>
  <c r="AC262" i="36"/>
  <c r="AB262" i="36"/>
  <c r="AA262" i="36"/>
  <c r="Z262" i="36"/>
  <c r="Y262" i="36"/>
  <c r="X262" i="36"/>
  <c r="W262" i="36"/>
  <c r="U262" i="36"/>
  <c r="T262" i="36"/>
  <c r="S262" i="36"/>
  <c r="R262" i="36"/>
  <c r="Q262" i="36"/>
  <c r="P262" i="36"/>
  <c r="O262" i="36"/>
  <c r="N262" i="36"/>
  <c r="M262" i="36"/>
  <c r="AE261" i="36"/>
  <c r="AD261" i="36"/>
  <c r="AC261" i="36"/>
  <c r="AB261" i="36"/>
  <c r="AA261" i="36"/>
  <c r="Z261" i="36"/>
  <c r="Y261" i="36"/>
  <c r="X261" i="36"/>
  <c r="W261" i="36"/>
  <c r="U261" i="36"/>
  <c r="T261" i="36"/>
  <c r="S261" i="36"/>
  <c r="R261" i="36"/>
  <c r="Q261" i="36"/>
  <c r="P261" i="36"/>
  <c r="O261" i="36"/>
  <c r="N261" i="36"/>
  <c r="M261" i="36"/>
  <c r="AE260" i="36"/>
  <c r="AD260" i="36"/>
  <c r="AC260" i="36"/>
  <c r="AB260" i="36"/>
  <c r="AA260" i="36"/>
  <c r="Z260" i="36"/>
  <c r="Y260" i="36"/>
  <c r="X260" i="36"/>
  <c r="W260" i="36"/>
  <c r="U260" i="36"/>
  <c r="T260" i="36"/>
  <c r="S260" i="36"/>
  <c r="R260" i="36"/>
  <c r="Q260" i="36"/>
  <c r="P260" i="36"/>
  <c r="O260" i="36"/>
  <c r="N260" i="36"/>
  <c r="M260" i="36"/>
  <c r="AE259" i="36"/>
  <c r="AD259" i="36"/>
  <c r="AC259" i="36"/>
  <c r="AB259" i="36"/>
  <c r="AA259" i="36"/>
  <c r="Z259" i="36"/>
  <c r="Y259" i="36"/>
  <c r="X259" i="36"/>
  <c r="W259" i="36"/>
  <c r="U259" i="36"/>
  <c r="T259" i="36"/>
  <c r="S259" i="36"/>
  <c r="R259" i="36"/>
  <c r="Q259" i="36"/>
  <c r="P259" i="36"/>
  <c r="O259" i="36"/>
  <c r="N259" i="36"/>
  <c r="M259" i="36"/>
  <c r="AE258" i="36"/>
  <c r="AD258" i="36"/>
  <c r="AC258" i="36"/>
  <c r="AB258" i="36"/>
  <c r="AA258" i="36"/>
  <c r="Z258" i="36"/>
  <c r="Y258" i="36"/>
  <c r="X258" i="36"/>
  <c r="W258" i="36"/>
  <c r="U258" i="36"/>
  <c r="T258" i="36"/>
  <c r="S258" i="36"/>
  <c r="R258" i="36"/>
  <c r="Q258" i="36"/>
  <c r="P258" i="36"/>
  <c r="O258" i="36"/>
  <c r="N258" i="36"/>
  <c r="M258" i="36"/>
  <c r="AE257" i="36"/>
  <c r="AD257" i="36"/>
  <c r="AC257" i="36"/>
  <c r="AB257" i="36"/>
  <c r="AA257" i="36"/>
  <c r="Z257" i="36"/>
  <c r="Y257" i="36"/>
  <c r="X257" i="36"/>
  <c r="W257" i="36"/>
  <c r="U257" i="36"/>
  <c r="T257" i="36"/>
  <c r="S257" i="36"/>
  <c r="R257" i="36"/>
  <c r="Q257" i="36"/>
  <c r="P257" i="36"/>
  <c r="O257" i="36"/>
  <c r="N257" i="36"/>
  <c r="M257" i="36"/>
  <c r="AE256" i="36"/>
  <c r="AD256" i="36"/>
  <c r="AC256" i="36"/>
  <c r="AB256" i="36"/>
  <c r="AA256" i="36"/>
  <c r="Z256" i="36"/>
  <c r="Y256" i="36"/>
  <c r="X256" i="36"/>
  <c r="W256" i="36"/>
  <c r="U256" i="36"/>
  <c r="T256" i="36"/>
  <c r="S256" i="36"/>
  <c r="R256" i="36"/>
  <c r="Q256" i="36"/>
  <c r="P256" i="36"/>
  <c r="O256" i="36"/>
  <c r="N256" i="36"/>
  <c r="M256" i="36"/>
  <c r="AE255" i="36"/>
  <c r="AD255" i="36"/>
  <c r="AC255" i="36"/>
  <c r="AB255" i="36"/>
  <c r="AA255" i="36"/>
  <c r="Z255" i="36"/>
  <c r="Y255" i="36"/>
  <c r="X255" i="36"/>
  <c r="W255" i="36"/>
  <c r="U255" i="36"/>
  <c r="T255" i="36"/>
  <c r="S255" i="36"/>
  <c r="R255" i="36"/>
  <c r="Q255" i="36"/>
  <c r="P255" i="36"/>
  <c r="O255" i="36"/>
  <c r="N255" i="36"/>
  <c r="M255" i="36"/>
  <c r="AE254" i="36"/>
  <c r="AD254" i="36"/>
  <c r="AC254" i="36"/>
  <c r="AB254" i="36"/>
  <c r="AA254" i="36"/>
  <c r="Z254" i="36"/>
  <c r="Y254" i="36"/>
  <c r="X254" i="36"/>
  <c r="W254" i="36"/>
  <c r="U254" i="36"/>
  <c r="T254" i="36"/>
  <c r="S254" i="36"/>
  <c r="R254" i="36"/>
  <c r="Q254" i="36"/>
  <c r="P254" i="36"/>
  <c r="O254" i="36"/>
  <c r="N254" i="36"/>
  <c r="M254" i="36"/>
  <c r="AE253" i="36"/>
  <c r="AD253" i="36"/>
  <c r="AC253" i="36"/>
  <c r="AB253" i="36"/>
  <c r="AA253" i="36"/>
  <c r="Z253" i="36"/>
  <c r="Y253" i="36"/>
  <c r="X253" i="36"/>
  <c r="W253" i="36"/>
  <c r="U253" i="36"/>
  <c r="T253" i="36"/>
  <c r="S253" i="36"/>
  <c r="R253" i="36"/>
  <c r="Q253" i="36"/>
  <c r="P253" i="36"/>
  <c r="O253" i="36"/>
  <c r="N253" i="36"/>
  <c r="M253" i="36"/>
  <c r="AE252" i="36"/>
  <c r="AD252" i="36"/>
  <c r="AC252" i="36"/>
  <c r="AB252" i="36"/>
  <c r="AA252" i="36"/>
  <c r="Z252" i="36"/>
  <c r="Y252" i="36"/>
  <c r="X252" i="36"/>
  <c r="W252" i="36"/>
  <c r="U252" i="36"/>
  <c r="T252" i="36"/>
  <c r="S252" i="36"/>
  <c r="R252" i="36"/>
  <c r="Q252" i="36"/>
  <c r="P252" i="36"/>
  <c r="O252" i="36"/>
  <c r="N252" i="36"/>
  <c r="M252" i="36"/>
  <c r="U251" i="36" l="1"/>
  <c r="T251" i="36"/>
  <c r="S251" i="36"/>
  <c r="R251" i="36"/>
  <c r="Q251" i="36"/>
  <c r="P251" i="36"/>
  <c r="O251" i="36"/>
  <c r="N251" i="36"/>
  <c r="M251" i="36"/>
  <c r="U250" i="36"/>
  <c r="T250" i="36"/>
  <c r="S250" i="36"/>
  <c r="R250" i="36"/>
  <c r="Q250" i="36"/>
  <c r="P250" i="36"/>
  <c r="O250" i="36"/>
  <c r="N250" i="36"/>
  <c r="M250" i="36"/>
  <c r="U249" i="36"/>
  <c r="T249" i="36"/>
  <c r="S249" i="36"/>
  <c r="R249" i="36"/>
  <c r="Q249" i="36"/>
  <c r="P249" i="36"/>
  <c r="O249" i="36"/>
  <c r="N249" i="36"/>
  <c r="M249" i="36"/>
  <c r="U248" i="36"/>
  <c r="T248" i="36"/>
  <c r="S248" i="36"/>
  <c r="R248" i="36"/>
  <c r="Q248" i="36"/>
  <c r="P248" i="36"/>
  <c r="O248" i="36"/>
  <c r="N248" i="36"/>
  <c r="M248" i="36"/>
  <c r="U247" i="36"/>
  <c r="T247" i="36"/>
  <c r="S247" i="36"/>
  <c r="R247" i="36"/>
  <c r="Q247" i="36"/>
  <c r="P247" i="36"/>
  <c r="O247" i="36"/>
  <c r="N247" i="36"/>
  <c r="M247" i="36"/>
  <c r="U246" i="36"/>
  <c r="T246" i="36"/>
  <c r="S246" i="36"/>
  <c r="R246" i="36"/>
  <c r="Q246" i="36"/>
  <c r="P246" i="36"/>
  <c r="O246" i="36"/>
  <c r="N246" i="36"/>
  <c r="M246" i="36"/>
  <c r="U245" i="36"/>
  <c r="T245" i="36"/>
  <c r="S245" i="36"/>
  <c r="R245" i="36"/>
  <c r="Q245" i="36"/>
  <c r="P245" i="36"/>
  <c r="O245" i="36"/>
  <c r="N245" i="36"/>
  <c r="M245" i="36"/>
  <c r="U244" i="36"/>
  <c r="T244" i="36"/>
  <c r="S244" i="36"/>
  <c r="R244" i="36"/>
  <c r="Q244" i="36"/>
  <c r="P244" i="36"/>
  <c r="O244" i="36"/>
  <c r="N244" i="36"/>
  <c r="M244" i="36"/>
  <c r="U243" i="36"/>
  <c r="T243" i="36"/>
  <c r="S243" i="36"/>
  <c r="R243" i="36"/>
  <c r="Q243" i="36"/>
  <c r="P243" i="36"/>
  <c r="O243" i="36"/>
  <c r="N243" i="36"/>
  <c r="M243" i="36"/>
  <c r="U242" i="36"/>
  <c r="T242" i="36"/>
  <c r="S242" i="36"/>
  <c r="R242" i="36"/>
  <c r="Q242" i="36"/>
  <c r="P242" i="36"/>
  <c r="O242" i="36"/>
  <c r="N242" i="36"/>
  <c r="M242" i="36"/>
  <c r="U241" i="36"/>
  <c r="T241" i="36"/>
  <c r="S241" i="36"/>
  <c r="R241" i="36"/>
  <c r="Q241" i="36"/>
  <c r="P241" i="36"/>
  <c r="O241" i="36"/>
  <c r="N241" i="36"/>
  <c r="M241" i="36"/>
  <c r="U240" i="36"/>
  <c r="T240" i="36"/>
  <c r="S240" i="36"/>
  <c r="R240" i="36"/>
  <c r="Q240" i="36"/>
  <c r="P240" i="36"/>
  <c r="O240" i="36"/>
  <c r="N240" i="36"/>
  <c r="M240" i="36"/>
  <c r="U239" i="36"/>
  <c r="T239" i="36"/>
  <c r="S239" i="36"/>
  <c r="R239" i="36"/>
  <c r="Q239" i="36"/>
  <c r="P239" i="36"/>
  <c r="O239" i="36"/>
  <c r="N239" i="36"/>
  <c r="M239" i="36"/>
  <c r="U238" i="36"/>
  <c r="T238" i="36"/>
  <c r="S238" i="36"/>
  <c r="R238" i="36"/>
  <c r="Q238" i="36"/>
  <c r="P238" i="36"/>
  <c r="O238" i="36"/>
  <c r="N238" i="36"/>
  <c r="M238" i="36"/>
  <c r="U237" i="36"/>
  <c r="T237" i="36"/>
  <c r="S237" i="36"/>
  <c r="R237" i="36"/>
  <c r="Q237" i="36"/>
  <c r="P237" i="36"/>
  <c r="O237" i="36"/>
  <c r="N237" i="36"/>
  <c r="M237" i="36"/>
  <c r="U236" i="36"/>
  <c r="T236" i="36"/>
  <c r="S236" i="36"/>
  <c r="R236" i="36"/>
  <c r="Q236" i="36"/>
  <c r="P236" i="36"/>
  <c r="O236" i="36"/>
  <c r="N236" i="36"/>
  <c r="M236" i="36"/>
  <c r="U235" i="36"/>
  <c r="T235" i="36"/>
  <c r="S235" i="36"/>
  <c r="R235" i="36"/>
  <c r="Q235" i="36"/>
  <c r="P235" i="36"/>
  <c r="O235" i="36"/>
  <c r="N235" i="36"/>
  <c r="M235" i="36"/>
  <c r="U234" i="36"/>
  <c r="T234" i="36"/>
  <c r="S234" i="36"/>
  <c r="R234" i="36"/>
  <c r="Q234" i="36"/>
  <c r="P234" i="36"/>
  <c r="O234" i="36"/>
  <c r="N234" i="36"/>
  <c r="M234" i="36"/>
  <c r="U233" i="36"/>
  <c r="T233" i="36"/>
  <c r="S233" i="36"/>
  <c r="R233" i="36"/>
  <c r="Q233" i="36"/>
  <c r="P233" i="36"/>
  <c r="O233" i="36"/>
  <c r="N233" i="36"/>
  <c r="M233" i="36"/>
  <c r="U232" i="36"/>
  <c r="T232" i="36"/>
  <c r="S232" i="36"/>
  <c r="R232" i="36"/>
  <c r="Q232" i="36"/>
  <c r="P232" i="36"/>
  <c r="O232" i="36"/>
  <c r="N232" i="36"/>
  <c r="M232" i="36"/>
  <c r="U231" i="36"/>
  <c r="T231" i="36"/>
  <c r="S231" i="36"/>
  <c r="R231" i="36"/>
  <c r="Q231" i="36"/>
  <c r="P231" i="36"/>
  <c r="O231" i="36"/>
  <c r="N231" i="36"/>
  <c r="M231" i="36"/>
  <c r="U230" i="36"/>
  <c r="T230" i="36"/>
  <c r="S230" i="36"/>
  <c r="R230" i="36"/>
  <c r="Q230" i="36"/>
  <c r="P230" i="36"/>
  <c r="O230" i="36"/>
  <c r="N230" i="36"/>
  <c r="M230" i="36"/>
  <c r="U229" i="36"/>
  <c r="T229" i="36"/>
  <c r="S229" i="36"/>
  <c r="R229" i="36"/>
  <c r="Q229" i="36"/>
  <c r="P229" i="36"/>
  <c r="O229" i="36"/>
  <c r="N229" i="36"/>
  <c r="M229" i="36"/>
  <c r="U228" i="36"/>
  <c r="T228" i="36"/>
  <c r="S228" i="36"/>
  <c r="R228" i="36"/>
  <c r="Q228" i="36"/>
  <c r="P228" i="36"/>
  <c r="O228" i="36"/>
  <c r="N228" i="36"/>
  <c r="M228" i="36"/>
  <c r="U227" i="36"/>
  <c r="T227" i="36"/>
  <c r="S227" i="36"/>
  <c r="R227" i="36"/>
  <c r="Q227" i="36"/>
  <c r="P227" i="36"/>
  <c r="O227" i="36"/>
  <c r="N227" i="36"/>
  <c r="M227" i="36"/>
  <c r="U226" i="36"/>
  <c r="T226" i="36"/>
  <c r="S226" i="36"/>
  <c r="R226" i="36"/>
  <c r="Q226" i="36"/>
  <c r="P226" i="36"/>
  <c r="O226" i="36"/>
  <c r="N226" i="36"/>
  <c r="M226" i="36"/>
  <c r="U225" i="36"/>
  <c r="T225" i="36"/>
  <c r="S225" i="36"/>
  <c r="R225" i="36"/>
  <c r="Q225" i="36"/>
  <c r="P225" i="36"/>
  <c r="O225" i="36"/>
  <c r="N225" i="36"/>
  <c r="M225" i="36"/>
  <c r="U224" i="36"/>
  <c r="T224" i="36"/>
  <c r="S224" i="36"/>
  <c r="R224" i="36"/>
  <c r="Q224" i="36"/>
  <c r="P224" i="36"/>
  <c r="O224" i="36"/>
  <c r="N224" i="36"/>
  <c r="M224" i="36"/>
  <c r="U223" i="36"/>
  <c r="T223" i="36"/>
  <c r="S223" i="36"/>
  <c r="R223" i="36"/>
  <c r="Q223" i="36"/>
  <c r="P223" i="36"/>
  <c r="O223" i="36"/>
  <c r="N223" i="36"/>
  <c r="M223" i="36"/>
  <c r="U222" i="36"/>
  <c r="T222" i="36"/>
  <c r="S222" i="36"/>
  <c r="R222" i="36"/>
  <c r="Q222" i="36"/>
  <c r="P222" i="36"/>
  <c r="O222" i="36"/>
  <c r="N222" i="36"/>
  <c r="M222" i="36"/>
  <c r="U221" i="36"/>
  <c r="T221" i="36"/>
  <c r="S221" i="36"/>
  <c r="R221" i="36"/>
  <c r="Q221" i="36"/>
  <c r="P221" i="36"/>
  <c r="O221" i="36"/>
  <c r="N221" i="36"/>
  <c r="M221" i="36"/>
  <c r="U220" i="36"/>
  <c r="T220" i="36"/>
  <c r="S220" i="36"/>
  <c r="R220" i="36"/>
  <c r="Q220" i="36"/>
  <c r="P220" i="36"/>
  <c r="O220" i="36"/>
  <c r="N220" i="36"/>
  <c r="M220" i="36"/>
  <c r="U219" i="36"/>
  <c r="T219" i="36"/>
  <c r="S219" i="36"/>
  <c r="R219" i="36"/>
  <c r="Q219" i="36"/>
  <c r="P219" i="36"/>
  <c r="O219" i="36"/>
  <c r="N219" i="36"/>
  <c r="M219" i="36"/>
  <c r="U218" i="36"/>
  <c r="T218" i="36"/>
  <c r="S218" i="36"/>
  <c r="R218" i="36"/>
  <c r="Q218" i="36"/>
  <c r="P218" i="36"/>
  <c r="O218" i="36"/>
  <c r="N218" i="36"/>
  <c r="M218" i="36"/>
  <c r="U217" i="36"/>
  <c r="T217" i="36"/>
  <c r="S217" i="36"/>
  <c r="R217" i="36"/>
  <c r="Q217" i="36"/>
  <c r="P217" i="36"/>
  <c r="O217" i="36"/>
  <c r="N217" i="36"/>
  <c r="M217" i="36"/>
  <c r="U216" i="36"/>
  <c r="T216" i="36"/>
  <c r="S216" i="36"/>
  <c r="R216" i="36"/>
  <c r="Q216" i="36"/>
  <c r="P216" i="36"/>
  <c r="O216" i="36"/>
  <c r="N216" i="36"/>
  <c r="M216" i="36"/>
  <c r="U215" i="36"/>
  <c r="T215" i="36"/>
  <c r="S215" i="36"/>
  <c r="R215" i="36"/>
  <c r="Q215" i="36"/>
  <c r="P215" i="36"/>
  <c r="O215" i="36"/>
  <c r="N215" i="36"/>
  <c r="M215" i="36"/>
  <c r="U214" i="36"/>
  <c r="T214" i="36"/>
  <c r="S214" i="36"/>
  <c r="R214" i="36"/>
  <c r="Q214" i="36"/>
  <c r="P214" i="36"/>
  <c r="O214" i="36"/>
  <c r="N214" i="36"/>
  <c r="M214" i="36"/>
  <c r="U213" i="36"/>
  <c r="T213" i="36"/>
  <c r="S213" i="36"/>
  <c r="R213" i="36"/>
  <c r="Q213" i="36"/>
  <c r="P213" i="36"/>
  <c r="O213" i="36"/>
  <c r="N213" i="36"/>
  <c r="M213" i="36"/>
  <c r="U212" i="36"/>
  <c r="T212" i="36"/>
  <c r="S212" i="36"/>
  <c r="R212" i="36"/>
  <c r="Q212" i="36"/>
  <c r="P212" i="36"/>
  <c r="O212" i="36"/>
  <c r="N212" i="36"/>
  <c r="M212" i="36"/>
  <c r="U211" i="36"/>
  <c r="T211" i="36"/>
  <c r="S211" i="36"/>
  <c r="R211" i="36"/>
  <c r="Q211" i="36"/>
  <c r="P211" i="36"/>
  <c r="O211" i="36"/>
  <c r="N211" i="36"/>
  <c r="M211" i="36"/>
  <c r="U210" i="36"/>
  <c r="T210" i="36"/>
  <c r="S210" i="36"/>
  <c r="R210" i="36"/>
  <c r="Q210" i="36"/>
  <c r="P210" i="36"/>
  <c r="O210" i="36"/>
  <c r="N210" i="36"/>
  <c r="M210" i="36"/>
  <c r="U209" i="36"/>
  <c r="T209" i="36"/>
  <c r="S209" i="36"/>
  <c r="R209" i="36"/>
  <c r="Q209" i="36"/>
  <c r="P209" i="36"/>
  <c r="O209" i="36"/>
  <c r="N209" i="36"/>
  <c r="M209" i="36"/>
  <c r="U208" i="36"/>
  <c r="T208" i="36"/>
  <c r="S208" i="36"/>
  <c r="R208" i="36"/>
  <c r="Q208" i="36"/>
  <c r="P208" i="36"/>
  <c r="O208" i="36"/>
  <c r="N208" i="36"/>
  <c r="M208" i="36"/>
  <c r="U207" i="36"/>
  <c r="T207" i="36"/>
  <c r="S207" i="36"/>
  <c r="R207" i="36"/>
  <c r="Q207" i="36"/>
  <c r="P207" i="36"/>
  <c r="O207" i="36"/>
  <c r="N207" i="36"/>
  <c r="M207" i="36"/>
  <c r="U206" i="36"/>
  <c r="T206" i="36"/>
  <c r="S206" i="36"/>
  <c r="R206" i="36"/>
  <c r="Q206" i="36"/>
  <c r="P206" i="36"/>
  <c r="O206" i="36"/>
  <c r="N206" i="36"/>
  <c r="M206" i="36"/>
  <c r="U205" i="36"/>
  <c r="T205" i="36"/>
  <c r="S205" i="36"/>
  <c r="R205" i="36"/>
  <c r="Q205" i="36"/>
  <c r="P205" i="36"/>
  <c r="O205" i="36"/>
  <c r="N205" i="36"/>
  <c r="M205" i="36"/>
  <c r="U204" i="36"/>
  <c r="T204" i="36"/>
  <c r="S204" i="36"/>
  <c r="R204" i="36"/>
  <c r="Q204" i="36"/>
  <c r="P204" i="36"/>
  <c r="O204" i="36"/>
  <c r="N204" i="36"/>
  <c r="M204" i="36"/>
  <c r="U203" i="36"/>
  <c r="T203" i="36"/>
  <c r="S203" i="36"/>
  <c r="R203" i="36"/>
  <c r="Q203" i="36"/>
  <c r="P203" i="36"/>
  <c r="O203" i="36"/>
  <c r="N203" i="36"/>
  <c r="M203" i="36"/>
  <c r="U202" i="36"/>
  <c r="T202" i="36"/>
  <c r="S202" i="36"/>
  <c r="R202" i="36"/>
  <c r="Q202" i="36"/>
  <c r="P202" i="36"/>
  <c r="O202" i="36"/>
  <c r="N202" i="36"/>
  <c r="M202" i="36"/>
  <c r="U201" i="36"/>
  <c r="T201" i="36"/>
  <c r="S201" i="36"/>
  <c r="R201" i="36"/>
  <c r="Q201" i="36"/>
  <c r="P201" i="36"/>
  <c r="O201" i="36"/>
  <c r="N201" i="36"/>
  <c r="M201" i="36"/>
  <c r="U200" i="36"/>
  <c r="T200" i="36"/>
  <c r="S200" i="36"/>
  <c r="R200" i="36"/>
  <c r="Q200" i="36"/>
  <c r="P200" i="36"/>
  <c r="O200" i="36"/>
  <c r="N200" i="36"/>
  <c r="M200" i="36"/>
  <c r="U199" i="36"/>
  <c r="T199" i="36"/>
  <c r="S199" i="36"/>
  <c r="R199" i="36"/>
  <c r="Q199" i="36"/>
  <c r="P199" i="36"/>
  <c r="O199" i="36"/>
  <c r="N199" i="36"/>
  <c r="M199" i="36"/>
  <c r="U198" i="36"/>
  <c r="T198" i="36"/>
  <c r="S198" i="36"/>
  <c r="R198" i="36"/>
  <c r="Q198" i="36"/>
  <c r="P198" i="36"/>
  <c r="O198" i="36"/>
  <c r="N198" i="36"/>
  <c r="M198" i="36"/>
  <c r="U197" i="36"/>
  <c r="T197" i="36"/>
  <c r="S197" i="36"/>
  <c r="R197" i="36"/>
  <c r="Q197" i="36"/>
  <c r="P197" i="36"/>
  <c r="O197" i="36"/>
  <c r="N197" i="36"/>
  <c r="M197" i="36"/>
  <c r="U196" i="36"/>
  <c r="T196" i="36"/>
  <c r="S196" i="36"/>
  <c r="R196" i="36"/>
  <c r="Q196" i="36"/>
  <c r="P196" i="36"/>
  <c r="O196" i="36"/>
  <c r="N196" i="36"/>
  <c r="M196" i="36"/>
  <c r="U195" i="36"/>
  <c r="T195" i="36"/>
  <c r="S195" i="36"/>
  <c r="R195" i="36"/>
  <c r="Q195" i="36"/>
  <c r="P195" i="36"/>
  <c r="O195" i="36"/>
  <c r="N195" i="36"/>
  <c r="M195" i="36"/>
  <c r="U194" i="36"/>
  <c r="T194" i="36"/>
  <c r="S194" i="36"/>
  <c r="R194" i="36"/>
  <c r="Q194" i="36"/>
  <c r="P194" i="36"/>
  <c r="O194" i="36"/>
  <c r="N194" i="36"/>
  <c r="M194" i="36"/>
  <c r="U193" i="36"/>
  <c r="T193" i="36"/>
  <c r="S193" i="36"/>
  <c r="R193" i="36"/>
  <c r="Q193" i="36"/>
  <c r="P193" i="36"/>
  <c r="O193" i="36"/>
  <c r="N193" i="36"/>
  <c r="M193" i="36"/>
  <c r="U192" i="36"/>
  <c r="T192" i="36"/>
  <c r="S192" i="36"/>
  <c r="R192" i="36"/>
  <c r="Q192" i="36"/>
  <c r="P192" i="36"/>
  <c r="O192" i="36"/>
  <c r="N192" i="36"/>
  <c r="M192" i="36"/>
  <c r="U191" i="36"/>
  <c r="T191" i="36"/>
  <c r="S191" i="36"/>
  <c r="R191" i="36"/>
  <c r="Q191" i="36"/>
  <c r="P191" i="36"/>
  <c r="O191" i="36"/>
  <c r="N191" i="36"/>
  <c r="M191" i="36"/>
  <c r="U190" i="36"/>
  <c r="T190" i="36"/>
  <c r="S190" i="36"/>
  <c r="R190" i="36"/>
  <c r="Q190" i="36"/>
  <c r="P190" i="36"/>
  <c r="O190" i="36"/>
  <c r="N190" i="36"/>
  <c r="M190" i="36"/>
  <c r="U189" i="36"/>
  <c r="T189" i="36"/>
  <c r="S189" i="36"/>
  <c r="R189" i="36"/>
  <c r="Q189" i="36"/>
  <c r="P189" i="36"/>
  <c r="O189" i="36"/>
  <c r="N189" i="36"/>
  <c r="M189" i="36"/>
  <c r="U188" i="36"/>
  <c r="T188" i="36"/>
  <c r="S188" i="36"/>
  <c r="R188" i="36"/>
  <c r="Q188" i="36"/>
  <c r="P188" i="36"/>
  <c r="O188" i="36"/>
  <c r="N188" i="36"/>
  <c r="M188" i="36"/>
  <c r="U187" i="36"/>
  <c r="T187" i="36"/>
  <c r="S187" i="36"/>
  <c r="R187" i="36"/>
  <c r="Q187" i="36"/>
  <c r="P187" i="36"/>
  <c r="O187" i="36"/>
  <c r="N187" i="36"/>
  <c r="M187" i="36"/>
  <c r="U186" i="36"/>
  <c r="T186" i="36"/>
  <c r="S186" i="36"/>
  <c r="R186" i="36"/>
  <c r="Q186" i="36"/>
  <c r="P186" i="36"/>
  <c r="O186" i="36"/>
  <c r="N186" i="36"/>
  <c r="M186" i="36"/>
  <c r="U185" i="36"/>
  <c r="T185" i="36"/>
  <c r="S185" i="36"/>
  <c r="R185" i="36"/>
  <c r="Q185" i="36"/>
  <c r="P185" i="36"/>
  <c r="O185" i="36"/>
  <c r="N185" i="36"/>
  <c r="M185" i="36"/>
  <c r="U184" i="36"/>
  <c r="T184" i="36"/>
  <c r="S184" i="36"/>
  <c r="R184" i="36"/>
  <c r="Q184" i="36"/>
  <c r="P184" i="36"/>
  <c r="O184" i="36"/>
  <c r="N184" i="36"/>
  <c r="M184" i="36"/>
  <c r="U183" i="36"/>
  <c r="T183" i="36"/>
  <c r="S183" i="36"/>
  <c r="R183" i="36"/>
  <c r="Q183" i="36"/>
  <c r="P183" i="36"/>
  <c r="O183" i="36"/>
  <c r="N183" i="36"/>
  <c r="M183" i="36"/>
  <c r="U182" i="36"/>
  <c r="T182" i="36"/>
  <c r="S182" i="36"/>
  <c r="R182" i="36"/>
  <c r="Q182" i="36"/>
  <c r="P182" i="36"/>
  <c r="O182" i="36"/>
  <c r="N182" i="36"/>
  <c r="M182" i="36"/>
  <c r="U181" i="36"/>
  <c r="T181" i="36"/>
  <c r="S181" i="36"/>
  <c r="R181" i="36"/>
  <c r="Q181" i="36"/>
  <c r="P181" i="36"/>
  <c r="O181" i="36"/>
  <c r="N181" i="36"/>
  <c r="M181" i="36"/>
  <c r="U180" i="36"/>
  <c r="T180" i="36"/>
  <c r="S180" i="36"/>
  <c r="R180" i="36"/>
  <c r="Q180" i="36"/>
  <c r="P180" i="36"/>
  <c r="O180" i="36"/>
  <c r="N180" i="36"/>
  <c r="M180" i="36"/>
  <c r="U179" i="36"/>
  <c r="T179" i="36"/>
  <c r="S179" i="36"/>
  <c r="R179" i="36"/>
  <c r="Q179" i="36"/>
  <c r="P179" i="36"/>
  <c r="O179" i="36"/>
  <c r="N179" i="36"/>
  <c r="M179" i="36"/>
  <c r="U178" i="36"/>
  <c r="T178" i="36"/>
  <c r="S178" i="36"/>
  <c r="R178" i="36"/>
  <c r="Q178" i="36"/>
  <c r="P178" i="36"/>
  <c r="O178" i="36"/>
  <c r="N178" i="36"/>
  <c r="M178" i="36"/>
  <c r="U177" i="36"/>
  <c r="T177" i="36"/>
  <c r="S177" i="36"/>
  <c r="R177" i="36"/>
  <c r="Q177" i="36"/>
  <c r="P177" i="36"/>
  <c r="O177" i="36"/>
  <c r="N177" i="36"/>
  <c r="M177" i="36"/>
  <c r="U176" i="36"/>
  <c r="T176" i="36"/>
  <c r="S176" i="36"/>
  <c r="R176" i="36"/>
  <c r="Q176" i="36"/>
  <c r="P176" i="36"/>
  <c r="O176" i="36"/>
  <c r="N176" i="36"/>
  <c r="M176" i="36"/>
  <c r="U175" i="36"/>
  <c r="T175" i="36"/>
  <c r="S175" i="36"/>
  <c r="R175" i="36"/>
  <c r="Q175" i="36"/>
  <c r="P175" i="36"/>
  <c r="O175" i="36"/>
  <c r="N175" i="36"/>
  <c r="M175" i="36"/>
  <c r="U174" i="36"/>
  <c r="T174" i="36"/>
  <c r="S174" i="36"/>
  <c r="R174" i="36"/>
  <c r="Q174" i="36"/>
  <c r="P174" i="36"/>
  <c r="O174" i="36"/>
  <c r="N174" i="36"/>
  <c r="M174" i="36"/>
  <c r="U173" i="36"/>
  <c r="T173" i="36"/>
  <c r="S173" i="36"/>
  <c r="R173" i="36"/>
  <c r="Q173" i="36"/>
  <c r="P173" i="36"/>
  <c r="O173" i="36"/>
  <c r="N173" i="36"/>
  <c r="M173" i="36"/>
  <c r="U172" i="36"/>
  <c r="T172" i="36"/>
  <c r="S172" i="36"/>
  <c r="R172" i="36"/>
  <c r="Q172" i="36"/>
  <c r="P172" i="36"/>
  <c r="O172" i="36"/>
  <c r="N172" i="36"/>
  <c r="M172" i="36"/>
  <c r="U171" i="36"/>
  <c r="T171" i="36"/>
  <c r="S171" i="36"/>
  <c r="R171" i="36"/>
  <c r="Q171" i="36"/>
  <c r="P171" i="36"/>
  <c r="O171" i="36"/>
  <c r="N171" i="36"/>
  <c r="M171" i="36"/>
  <c r="U170" i="36"/>
  <c r="T170" i="36"/>
  <c r="S170" i="36"/>
  <c r="R170" i="36"/>
  <c r="Q170" i="36"/>
  <c r="P170" i="36"/>
  <c r="O170" i="36"/>
  <c r="N170" i="36"/>
  <c r="M170" i="36"/>
  <c r="U169" i="36"/>
  <c r="T169" i="36"/>
  <c r="S169" i="36"/>
  <c r="R169" i="36"/>
  <c r="Q169" i="36"/>
  <c r="P169" i="36"/>
  <c r="O169" i="36"/>
  <c r="N169" i="36"/>
  <c r="M169" i="36"/>
  <c r="U168" i="36"/>
  <c r="T168" i="36"/>
  <c r="S168" i="36"/>
  <c r="R168" i="36"/>
  <c r="Q168" i="36"/>
  <c r="P168" i="36"/>
  <c r="O168" i="36"/>
  <c r="N168" i="36"/>
  <c r="M168" i="36"/>
  <c r="U167" i="36"/>
  <c r="T167" i="36"/>
  <c r="S167" i="36"/>
  <c r="R167" i="36"/>
  <c r="Q167" i="36"/>
  <c r="P167" i="36"/>
  <c r="O167" i="36"/>
  <c r="N167" i="36"/>
  <c r="M167" i="36"/>
  <c r="U166" i="36"/>
  <c r="T166" i="36"/>
  <c r="S166" i="36"/>
  <c r="R166" i="36"/>
  <c r="Q166" i="36"/>
  <c r="P166" i="36"/>
  <c r="O166" i="36"/>
  <c r="N166" i="36"/>
  <c r="M166" i="36"/>
  <c r="U165" i="36"/>
  <c r="T165" i="36"/>
  <c r="S165" i="36"/>
  <c r="R165" i="36"/>
  <c r="Q165" i="36"/>
  <c r="P165" i="36"/>
  <c r="O165" i="36"/>
  <c r="N165" i="36"/>
  <c r="M165" i="36"/>
  <c r="U164" i="36"/>
  <c r="T164" i="36"/>
  <c r="S164" i="36"/>
  <c r="R164" i="36"/>
  <c r="Q164" i="36"/>
  <c r="P164" i="36"/>
  <c r="O164" i="36"/>
  <c r="N164" i="36"/>
  <c r="M164" i="36"/>
  <c r="U163" i="36"/>
  <c r="T163" i="36"/>
  <c r="S163" i="36"/>
  <c r="R163" i="36"/>
  <c r="Q163" i="36"/>
  <c r="P163" i="36"/>
  <c r="O163" i="36"/>
  <c r="N163" i="36"/>
  <c r="M163" i="36"/>
  <c r="U162" i="36"/>
  <c r="T162" i="36"/>
  <c r="S162" i="36"/>
  <c r="R162" i="36"/>
  <c r="Q162" i="36"/>
  <c r="P162" i="36"/>
  <c r="O162" i="36"/>
  <c r="N162" i="36"/>
  <c r="M162" i="36"/>
  <c r="U161" i="36"/>
  <c r="T161" i="36"/>
  <c r="S161" i="36"/>
  <c r="R161" i="36"/>
  <c r="Q161" i="36"/>
  <c r="P161" i="36"/>
  <c r="O161" i="36"/>
  <c r="N161" i="36"/>
  <c r="M161" i="36"/>
  <c r="U160" i="36"/>
  <c r="T160" i="36"/>
  <c r="S160" i="36"/>
  <c r="R160" i="36"/>
  <c r="Q160" i="36"/>
  <c r="P160" i="36"/>
  <c r="O160" i="36"/>
  <c r="N160" i="36"/>
  <c r="M160" i="36"/>
  <c r="U159" i="36"/>
  <c r="T159" i="36"/>
  <c r="S159" i="36"/>
  <c r="R159" i="36"/>
  <c r="Q159" i="36"/>
  <c r="P159" i="36"/>
  <c r="O159" i="36"/>
  <c r="N159" i="36"/>
  <c r="M159" i="36"/>
  <c r="U158" i="36"/>
  <c r="T158" i="36"/>
  <c r="S158" i="36"/>
  <c r="R158" i="36"/>
  <c r="Q158" i="36"/>
  <c r="P158" i="36"/>
  <c r="O158" i="36"/>
  <c r="N158" i="36"/>
  <c r="M158" i="36"/>
  <c r="U157" i="36"/>
  <c r="T157" i="36"/>
  <c r="S157" i="36"/>
  <c r="R157" i="36"/>
  <c r="Q157" i="36"/>
  <c r="P157" i="36"/>
  <c r="O157" i="36"/>
  <c r="N157" i="36"/>
  <c r="M157" i="36"/>
  <c r="U156" i="36"/>
  <c r="T156" i="36"/>
  <c r="S156" i="36"/>
  <c r="R156" i="36"/>
  <c r="Q156" i="36"/>
  <c r="P156" i="36"/>
  <c r="O156" i="36"/>
  <c r="N156" i="36"/>
  <c r="M156" i="36"/>
  <c r="U155" i="36"/>
  <c r="T155" i="36"/>
  <c r="S155" i="36"/>
  <c r="R155" i="36"/>
  <c r="Q155" i="36"/>
  <c r="P155" i="36"/>
  <c r="O155" i="36"/>
  <c r="N155" i="36"/>
  <c r="M155" i="36"/>
  <c r="U154" i="36"/>
  <c r="T154" i="36"/>
  <c r="S154" i="36"/>
  <c r="R154" i="36"/>
  <c r="Q154" i="36"/>
  <c r="P154" i="36"/>
  <c r="O154" i="36"/>
  <c r="N154" i="36"/>
  <c r="M154" i="36"/>
  <c r="U153" i="36"/>
  <c r="T153" i="36"/>
  <c r="S153" i="36"/>
  <c r="R153" i="36"/>
  <c r="Q153" i="36"/>
  <c r="P153" i="36"/>
  <c r="O153" i="36"/>
  <c r="N153" i="36"/>
  <c r="M153" i="36"/>
  <c r="U152" i="36"/>
  <c r="T152" i="36"/>
  <c r="S152" i="36"/>
  <c r="R152" i="36"/>
  <c r="Q152" i="36"/>
  <c r="P152" i="36"/>
  <c r="O152" i="36"/>
  <c r="N152" i="36"/>
  <c r="M152" i="36"/>
  <c r="U151" i="36"/>
  <c r="T151" i="36"/>
  <c r="S151" i="36"/>
  <c r="R151" i="36"/>
  <c r="Q151" i="36"/>
  <c r="P151" i="36"/>
  <c r="O151" i="36"/>
  <c r="N151" i="36"/>
  <c r="M151" i="36"/>
  <c r="U150" i="36"/>
  <c r="T150" i="36"/>
  <c r="S150" i="36"/>
  <c r="R150" i="36"/>
  <c r="Q150" i="36"/>
  <c r="P150" i="36"/>
  <c r="O150" i="36"/>
  <c r="N150" i="36"/>
  <c r="M150" i="36"/>
  <c r="U149" i="36"/>
  <c r="T149" i="36"/>
  <c r="S149" i="36"/>
  <c r="R149" i="36"/>
  <c r="Q149" i="36"/>
  <c r="P149" i="36"/>
  <c r="O149" i="36"/>
  <c r="N149" i="36"/>
  <c r="M149" i="36"/>
  <c r="U148" i="36"/>
  <c r="T148" i="36"/>
  <c r="S148" i="36"/>
  <c r="R148" i="36"/>
  <c r="Q148" i="36"/>
  <c r="P148" i="36"/>
  <c r="O148" i="36"/>
  <c r="N148" i="36"/>
  <c r="M148" i="36"/>
  <c r="U147" i="36"/>
  <c r="T147" i="36"/>
  <c r="S147" i="36"/>
  <c r="R147" i="36"/>
  <c r="Q147" i="36"/>
  <c r="P147" i="36"/>
  <c r="O147" i="36"/>
  <c r="N147" i="36"/>
  <c r="M147" i="36"/>
  <c r="U146" i="36"/>
  <c r="T146" i="36"/>
  <c r="S146" i="36"/>
  <c r="R146" i="36"/>
  <c r="Q146" i="36"/>
  <c r="P146" i="36"/>
  <c r="O146" i="36"/>
  <c r="N146" i="36"/>
  <c r="M146" i="36"/>
  <c r="U145" i="36"/>
  <c r="T145" i="36"/>
  <c r="S145" i="36"/>
  <c r="R145" i="36"/>
  <c r="Q145" i="36"/>
  <c r="P145" i="36"/>
  <c r="O145" i="36"/>
  <c r="N145" i="36"/>
  <c r="M145" i="36"/>
  <c r="U144" i="36"/>
  <c r="T144" i="36"/>
  <c r="S144" i="36"/>
  <c r="R144" i="36"/>
  <c r="Q144" i="36"/>
  <c r="P144" i="36"/>
  <c r="O144" i="36"/>
  <c r="N144" i="36"/>
  <c r="M144" i="36"/>
  <c r="U143" i="36"/>
  <c r="T143" i="36"/>
  <c r="S143" i="36"/>
  <c r="R143" i="36"/>
  <c r="Q143" i="36"/>
  <c r="P143" i="36"/>
  <c r="O143" i="36"/>
  <c r="N143" i="36"/>
  <c r="M143" i="36"/>
  <c r="U142" i="36"/>
  <c r="T142" i="36"/>
  <c r="S142" i="36"/>
  <c r="R142" i="36"/>
  <c r="Q142" i="36"/>
  <c r="P142" i="36"/>
  <c r="O142" i="36"/>
  <c r="N142" i="36"/>
  <c r="M142" i="36"/>
  <c r="U141" i="36"/>
  <c r="T141" i="36"/>
  <c r="S141" i="36"/>
  <c r="R141" i="36"/>
  <c r="Q141" i="36"/>
  <c r="P141" i="36"/>
  <c r="O141" i="36"/>
  <c r="N141" i="36"/>
  <c r="M141" i="36"/>
  <c r="U140" i="36"/>
  <c r="T140" i="36"/>
  <c r="S140" i="36"/>
  <c r="R140" i="36"/>
  <c r="Q140" i="36"/>
  <c r="P140" i="36"/>
  <c r="O140" i="36"/>
  <c r="N140" i="36"/>
  <c r="M140" i="36"/>
  <c r="U139" i="36"/>
  <c r="T139" i="36"/>
  <c r="S139" i="36"/>
  <c r="R139" i="36"/>
  <c r="Q139" i="36"/>
  <c r="P139" i="36"/>
  <c r="O139" i="36"/>
  <c r="N139" i="36"/>
  <c r="M139" i="36"/>
  <c r="U138" i="36"/>
  <c r="T138" i="36"/>
  <c r="S138" i="36"/>
  <c r="R138" i="36"/>
  <c r="Q138" i="36"/>
  <c r="P138" i="36"/>
  <c r="O138" i="36"/>
  <c r="N138" i="36"/>
  <c r="M138" i="36"/>
  <c r="U137" i="36"/>
  <c r="T137" i="36"/>
  <c r="S137" i="36"/>
  <c r="R137" i="36"/>
  <c r="Q137" i="36"/>
  <c r="P137" i="36"/>
  <c r="O137" i="36"/>
  <c r="N137" i="36"/>
  <c r="M137" i="36"/>
  <c r="U136" i="36"/>
  <c r="T136" i="36"/>
  <c r="S136" i="36"/>
  <c r="R136" i="36"/>
  <c r="Q136" i="36"/>
  <c r="P136" i="36"/>
  <c r="O136" i="36"/>
  <c r="N136" i="36"/>
  <c r="M136" i="36"/>
  <c r="U135" i="36"/>
  <c r="T135" i="36"/>
  <c r="S135" i="36"/>
  <c r="R135" i="36"/>
  <c r="Q135" i="36"/>
  <c r="P135" i="36"/>
  <c r="O135" i="36"/>
  <c r="N135" i="36"/>
  <c r="M135" i="36"/>
  <c r="U134" i="36"/>
  <c r="T134" i="36"/>
  <c r="S134" i="36"/>
  <c r="R134" i="36"/>
  <c r="Q134" i="36"/>
  <c r="P134" i="36"/>
  <c r="O134" i="36"/>
  <c r="N134" i="36"/>
  <c r="M134" i="36"/>
  <c r="U133" i="36"/>
  <c r="T133" i="36"/>
  <c r="S133" i="36"/>
  <c r="R133" i="36"/>
  <c r="Q133" i="36"/>
  <c r="P133" i="36"/>
  <c r="O133" i="36"/>
  <c r="N133" i="36"/>
  <c r="M133" i="36"/>
  <c r="U132" i="36"/>
  <c r="T132" i="36"/>
  <c r="S132" i="36"/>
  <c r="R132" i="36"/>
  <c r="Q132" i="36"/>
  <c r="P132" i="36"/>
  <c r="O132" i="36"/>
  <c r="N132" i="36"/>
  <c r="M132" i="36"/>
  <c r="U131" i="36"/>
  <c r="T131" i="36"/>
  <c r="S131" i="36"/>
  <c r="R131" i="36"/>
  <c r="Q131" i="36"/>
  <c r="P131" i="36"/>
  <c r="O131" i="36"/>
  <c r="N131" i="36"/>
  <c r="M131" i="36"/>
  <c r="U130" i="36"/>
  <c r="T130" i="36"/>
  <c r="S130" i="36"/>
  <c r="R130" i="36"/>
  <c r="Q130" i="36"/>
  <c r="P130" i="36"/>
  <c r="O130" i="36"/>
  <c r="N130" i="36"/>
  <c r="M130" i="36"/>
  <c r="U129" i="36"/>
  <c r="T129" i="36"/>
  <c r="S129" i="36"/>
  <c r="R129" i="36"/>
  <c r="Q129" i="36"/>
  <c r="P129" i="36"/>
  <c r="O129" i="36"/>
  <c r="N129" i="36"/>
  <c r="M129" i="36"/>
  <c r="U128" i="36"/>
  <c r="T128" i="36"/>
  <c r="S128" i="36"/>
  <c r="R128" i="36"/>
  <c r="Q128" i="36"/>
  <c r="P128" i="36"/>
  <c r="O128" i="36"/>
  <c r="N128" i="36"/>
  <c r="M128" i="36"/>
  <c r="U127" i="36"/>
  <c r="T127" i="36"/>
  <c r="S127" i="36"/>
  <c r="R127" i="36"/>
  <c r="Q127" i="36"/>
  <c r="P127" i="36"/>
  <c r="O127" i="36"/>
  <c r="N127" i="36"/>
  <c r="M127" i="36"/>
  <c r="U126" i="36"/>
  <c r="T126" i="36"/>
  <c r="S126" i="36"/>
  <c r="R126" i="36"/>
  <c r="Q126" i="36"/>
  <c r="P126" i="36"/>
  <c r="O126" i="36"/>
  <c r="N126" i="36"/>
  <c r="M126" i="36"/>
  <c r="U125" i="36"/>
  <c r="T125" i="36"/>
  <c r="S125" i="36"/>
  <c r="R125" i="36"/>
  <c r="Q125" i="36"/>
  <c r="P125" i="36"/>
  <c r="O125" i="36"/>
  <c r="N125" i="36"/>
  <c r="M125" i="36"/>
  <c r="U124" i="36"/>
  <c r="T124" i="36"/>
  <c r="S124" i="36"/>
  <c r="R124" i="36"/>
  <c r="Q124" i="36"/>
  <c r="P124" i="36"/>
  <c r="O124" i="36"/>
  <c r="N124" i="36"/>
  <c r="M124" i="36"/>
  <c r="U123" i="36"/>
  <c r="T123" i="36"/>
  <c r="S123" i="36"/>
  <c r="R123" i="36"/>
  <c r="Q123" i="36"/>
  <c r="P123" i="36"/>
  <c r="O123" i="36"/>
  <c r="N123" i="36"/>
  <c r="M123" i="36"/>
  <c r="U122" i="36"/>
  <c r="T122" i="36"/>
  <c r="S122" i="36"/>
  <c r="R122" i="36"/>
  <c r="Q122" i="36"/>
  <c r="P122" i="36"/>
  <c r="O122" i="36"/>
  <c r="N122" i="36"/>
  <c r="M122" i="36"/>
  <c r="U121" i="36"/>
  <c r="T121" i="36"/>
  <c r="S121" i="36"/>
  <c r="R121" i="36"/>
  <c r="Q121" i="36"/>
  <c r="P121" i="36"/>
  <c r="O121" i="36"/>
  <c r="N121" i="36"/>
  <c r="M121" i="36"/>
  <c r="U120" i="36"/>
  <c r="T120" i="36"/>
  <c r="S120" i="36"/>
  <c r="R120" i="36"/>
  <c r="Q120" i="36"/>
  <c r="P120" i="36"/>
  <c r="O120" i="36"/>
  <c r="N120" i="36"/>
  <c r="M120" i="36"/>
  <c r="U119" i="36"/>
  <c r="T119" i="36"/>
  <c r="S119" i="36"/>
  <c r="R119" i="36"/>
  <c r="Q119" i="36"/>
  <c r="P119" i="36"/>
  <c r="O119" i="36"/>
  <c r="N119" i="36"/>
  <c r="M119" i="36"/>
  <c r="U118" i="36"/>
  <c r="T118" i="36"/>
  <c r="S118" i="36"/>
  <c r="R118" i="36"/>
  <c r="Q118" i="36"/>
  <c r="P118" i="36"/>
  <c r="O118" i="36"/>
  <c r="N118" i="36"/>
  <c r="M118" i="36"/>
  <c r="U117" i="36"/>
  <c r="T117" i="36"/>
  <c r="S117" i="36"/>
  <c r="R117" i="36"/>
  <c r="Q117" i="36"/>
  <c r="P117" i="36"/>
  <c r="O117" i="36"/>
  <c r="N117" i="36"/>
  <c r="M117" i="36"/>
  <c r="U116" i="36"/>
  <c r="T116" i="36"/>
  <c r="S116" i="36"/>
  <c r="R116" i="36"/>
  <c r="Q116" i="36"/>
  <c r="P116" i="36"/>
  <c r="O116" i="36"/>
  <c r="N116" i="36"/>
  <c r="M116" i="36"/>
  <c r="U115" i="36"/>
  <c r="T115" i="36"/>
  <c r="S115" i="36"/>
  <c r="R115" i="36"/>
  <c r="Q115" i="36"/>
  <c r="P115" i="36"/>
  <c r="O115" i="36"/>
  <c r="N115" i="36"/>
  <c r="M115" i="36"/>
  <c r="U114" i="36"/>
  <c r="T114" i="36"/>
  <c r="S114" i="36"/>
  <c r="R114" i="36"/>
  <c r="Q114" i="36"/>
  <c r="P114" i="36"/>
  <c r="O114" i="36"/>
  <c r="N114" i="36"/>
  <c r="M114" i="36"/>
  <c r="U113" i="36"/>
  <c r="T113" i="36"/>
  <c r="S113" i="36"/>
  <c r="R113" i="36"/>
  <c r="Q113" i="36"/>
  <c r="P113" i="36"/>
  <c r="O113" i="36"/>
  <c r="N113" i="36"/>
  <c r="M113" i="36"/>
  <c r="U112" i="36"/>
  <c r="T112" i="36"/>
  <c r="S112" i="36"/>
  <c r="R112" i="36"/>
  <c r="Q112" i="36"/>
  <c r="P112" i="36"/>
  <c r="O112" i="36"/>
  <c r="N112" i="36"/>
  <c r="M112" i="36"/>
  <c r="U111" i="36"/>
  <c r="T111" i="36"/>
  <c r="S111" i="36"/>
  <c r="R111" i="36"/>
  <c r="Q111" i="36"/>
  <c r="P111" i="36"/>
  <c r="O111" i="36"/>
  <c r="N111" i="36"/>
  <c r="M111" i="36"/>
  <c r="U110" i="36"/>
  <c r="T110" i="36"/>
  <c r="S110" i="36"/>
  <c r="R110" i="36"/>
  <c r="Q110" i="36"/>
  <c r="P110" i="36"/>
  <c r="O110" i="36"/>
  <c r="N110" i="36"/>
  <c r="M110" i="36"/>
  <c r="U109" i="36"/>
  <c r="T109" i="36"/>
  <c r="S109" i="36"/>
  <c r="R109" i="36"/>
  <c r="Q109" i="36"/>
  <c r="P109" i="36"/>
  <c r="O109" i="36"/>
  <c r="N109" i="36"/>
  <c r="M109" i="36"/>
  <c r="U108" i="36"/>
  <c r="T108" i="36"/>
  <c r="S108" i="36"/>
  <c r="R108" i="36"/>
  <c r="Q108" i="36"/>
  <c r="P108" i="36"/>
  <c r="O108" i="36"/>
  <c r="N108" i="36"/>
  <c r="M108" i="36"/>
  <c r="U107" i="36"/>
  <c r="T107" i="36"/>
  <c r="S107" i="36"/>
  <c r="R107" i="36"/>
  <c r="Q107" i="36"/>
  <c r="P107" i="36"/>
  <c r="O107" i="36"/>
  <c r="N107" i="36"/>
  <c r="M107" i="36"/>
  <c r="U106" i="36"/>
  <c r="T106" i="36"/>
  <c r="S106" i="36"/>
  <c r="R106" i="36"/>
  <c r="Q106" i="36"/>
  <c r="P106" i="36"/>
  <c r="O106" i="36"/>
  <c r="N106" i="36"/>
  <c r="M106" i="36"/>
  <c r="U105" i="36"/>
  <c r="T105" i="36"/>
  <c r="S105" i="36"/>
  <c r="R105" i="36"/>
  <c r="Q105" i="36"/>
  <c r="P105" i="36"/>
  <c r="O105" i="36"/>
  <c r="N105" i="36"/>
  <c r="M105" i="36"/>
  <c r="U104" i="36"/>
  <c r="T104" i="36"/>
  <c r="S104" i="36"/>
  <c r="R104" i="36"/>
  <c r="Q104" i="36"/>
  <c r="P104" i="36"/>
  <c r="O104" i="36"/>
  <c r="N104" i="36"/>
  <c r="M104" i="36"/>
  <c r="U103" i="36"/>
  <c r="T103" i="36"/>
  <c r="S103" i="36"/>
  <c r="R103" i="36"/>
  <c r="Q103" i="36"/>
  <c r="P103" i="36"/>
  <c r="O103" i="36"/>
  <c r="N103" i="36"/>
  <c r="M103" i="36"/>
  <c r="U102" i="36"/>
  <c r="T102" i="36"/>
  <c r="S102" i="36"/>
  <c r="R102" i="36"/>
  <c r="Q102" i="36"/>
  <c r="P102" i="36"/>
  <c r="O102" i="36"/>
  <c r="N102" i="36"/>
  <c r="M102" i="36"/>
  <c r="U101" i="36"/>
  <c r="T101" i="36"/>
  <c r="S101" i="36"/>
  <c r="R101" i="36"/>
  <c r="Q101" i="36"/>
  <c r="P101" i="36"/>
  <c r="O101" i="36"/>
  <c r="N101" i="36"/>
  <c r="M101" i="36"/>
  <c r="U100" i="36"/>
  <c r="T100" i="36"/>
  <c r="S100" i="36"/>
  <c r="R100" i="36"/>
  <c r="Q100" i="36"/>
  <c r="P100" i="36"/>
  <c r="O100" i="36"/>
  <c r="N100" i="36"/>
  <c r="M100" i="36"/>
  <c r="U99" i="36"/>
  <c r="T99" i="36"/>
  <c r="S99" i="36"/>
  <c r="R99" i="36"/>
  <c r="Q99" i="36"/>
  <c r="P99" i="36"/>
  <c r="O99" i="36"/>
  <c r="N99" i="36"/>
  <c r="M99" i="36"/>
  <c r="U98" i="36"/>
  <c r="T98" i="36"/>
  <c r="S98" i="36"/>
  <c r="R98" i="36"/>
  <c r="Q98" i="36"/>
  <c r="P98" i="36"/>
  <c r="O98" i="36"/>
  <c r="N98" i="36"/>
  <c r="M98" i="36"/>
  <c r="U97" i="36"/>
  <c r="T97" i="36"/>
  <c r="S97" i="36"/>
  <c r="R97" i="36"/>
  <c r="Q97" i="36"/>
  <c r="P97" i="36"/>
  <c r="O97" i="36"/>
  <c r="N97" i="36"/>
  <c r="M97" i="36"/>
  <c r="U96" i="36"/>
  <c r="T96" i="36"/>
  <c r="S96" i="36"/>
  <c r="R96" i="36"/>
  <c r="Q96" i="36"/>
  <c r="P96" i="36"/>
  <c r="O96" i="36"/>
  <c r="N96" i="36"/>
  <c r="M96" i="36"/>
  <c r="U95" i="36"/>
  <c r="T95" i="36"/>
  <c r="S95" i="36"/>
  <c r="R95" i="36"/>
  <c r="Q95" i="36"/>
  <c r="P95" i="36"/>
  <c r="O95" i="36"/>
  <c r="N95" i="36"/>
  <c r="M95" i="36"/>
  <c r="U94" i="36"/>
  <c r="T94" i="36"/>
  <c r="S94" i="36"/>
  <c r="R94" i="36"/>
  <c r="Q94" i="36"/>
  <c r="P94" i="36"/>
  <c r="O94" i="36"/>
  <c r="N94" i="36"/>
  <c r="M94" i="36"/>
  <c r="U93" i="36"/>
  <c r="T93" i="36"/>
  <c r="S93" i="36"/>
  <c r="R93" i="36"/>
  <c r="Q93" i="36"/>
  <c r="P93" i="36"/>
  <c r="O93" i="36"/>
  <c r="N93" i="36"/>
  <c r="M93" i="36"/>
  <c r="U92" i="36"/>
  <c r="T92" i="36"/>
  <c r="S92" i="36"/>
  <c r="R92" i="36"/>
  <c r="Q92" i="36"/>
  <c r="P92" i="36"/>
  <c r="O92" i="36"/>
  <c r="N92" i="36"/>
  <c r="M92" i="36"/>
  <c r="U91" i="36"/>
  <c r="T91" i="36"/>
  <c r="S91" i="36"/>
  <c r="R91" i="36"/>
  <c r="Q91" i="36"/>
  <c r="P91" i="36"/>
  <c r="O91" i="36"/>
  <c r="N91" i="36"/>
  <c r="M91" i="36"/>
  <c r="U90" i="36"/>
  <c r="T90" i="36"/>
  <c r="S90" i="36"/>
  <c r="R90" i="36"/>
  <c r="Q90" i="36"/>
  <c r="P90" i="36"/>
  <c r="O90" i="36"/>
  <c r="N90" i="36"/>
  <c r="M90" i="36"/>
  <c r="U89" i="36"/>
  <c r="T89" i="36"/>
  <c r="S89" i="36"/>
  <c r="R89" i="36"/>
  <c r="Q89" i="36"/>
  <c r="P89" i="36"/>
  <c r="O89" i="36"/>
  <c r="N89" i="36"/>
  <c r="M89" i="36"/>
  <c r="U88" i="36"/>
  <c r="T88" i="36"/>
  <c r="S88" i="36"/>
  <c r="R88" i="36"/>
  <c r="Q88" i="36"/>
  <c r="P88" i="36"/>
  <c r="O88" i="36"/>
  <c r="N88" i="36"/>
  <c r="M88" i="36"/>
  <c r="U87" i="36"/>
  <c r="T87" i="36"/>
  <c r="S87" i="36"/>
  <c r="R87" i="36"/>
  <c r="Q87" i="36"/>
  <c r="P87" i="36"/>
  <c r="O87" i="36"/>
  <c r="N87" i="36"/>
  <c r="M87" i="36"/>
  <c r="U86" i="36"/>
  <c r="T86" i="36"/>
  <c r="S86" i="36"/>
  <c r="R86" i="36"/>
  <c r="Q86" i="36"/>
  <c r="P86" i="36"/>
  <c r="O86" i="36"/>
  <c r="N86" i="36"/>
  <c r="M86" i="36"/>
  <c r="U85" i="36"/>
  <c r="T85" i="36"/>
  <c r="S85" i="36"/>
  <c r="R85" i="36"/>
  <c r="Q85" i="36"/>
  <c r="P85" i="36"/>
  <c r="O85" i="36"/>
  <c r="N85" i="36"/>
  <c r="M85" i="36"/>
  <c r="U84" i="36"/>
  <c r="T84" i="36"/>
  <c r="S84" i="36"/>
  <c r="R84" i="36"/>
  <c r="Q84" i="36"/>
  <c r="P84" i="36"/>
  <c r="O84" i="36"/>
  <c r="N84" i="36"/>
  <c r="M84" i="36"/>
  <c r="U83" i="36"/>
  <c r="T83" i="36"/>
  <c r="S83" i="36"/>
  <c r="R83" i="36"/>
  <c r="Q83" i="36"/>
  <c r="P83" i="36"/>
  <c r="O83" i="36"/>
  <c r="N83" i="36"/>
  <c r="M83" i="36"/>
  <c r="U82" i="36"/>
  <c r="T82" i="36"/>
  <c r="S82" i="36"/>
  <c r="R82" i="36"/>
  <c r="Q82" i="36"/>
  <c r="P82" i="36"/>
  <c r="O82" i="36"/>
  <c r="N82" i="36"/>
  <c r="M82" i="36"/>
  <c r="U81" i="36"/>
  <c r="T81" i="36"/>
  <c r="S81" i="36"/>
  <c r="R81" i="36"/>
  <c r="Q81" i="36"/>
  <c r="P81" i="36"/>
  <c r="O81" i="36"/>
  <c r="N81" i="36"/>
  <c r="M81" i="36"/>
  <c r="U80" i="36"/>
  <c r="T80" i="36"/>
  <c r="S80" i="36"/>
  <c r="R80" i="36"/>
  <c r="Q80" i="36"/>
  <c r="P80" i="36"/>
  <c r="O80" i="36"/>
  <c r="N80" i="36"/>
  <c r="M80" i="36"/>
  <c r="U79" i="36"/>
  <c r="T79" i="36"/>
  <c r="S79" i="36"/>
  <c r="R79" i="36"/>
  <c r="Q79" i="36"/>
  <c r="P79" i="36"/>
  <c r="O79" i="36"/>
  <c r="N79" i="36"/>
  <c r="M79" i="36"/>
  <c r="U78" i="36"/>
  <c r="T78" i="36"/>
  <c r="S78" i="36"/>
  <c r="R78" i="36"/>
  <c r="Q78" i="36"/>
  <c r="P78" i="36"/>
  <c r="O78" i="36"/>
  <c r="N78" i="36"/>
  <c r="M78" i="36"/>
  <c r="U77" i="36"/>
  <c r="T77" i="36"/>
  <c r="S77" i="36"/>
  <c r="R77" i="36"/>
  <c r="Q77" i="36"/>
  <c r="P77" i="36"/>
  <c r="O77" i="36"/>
  <c r="N77" i="36"/>
  <c r="M77" i="36"/>
  <c r="U76" i="36"/>
  <c r="T76" i="36"/>
  <c r="S76" i="36"/>
  <c r="R76" i="36"/>
  <c r="Q76" i="36"/>
  <c r="P76" i="36"/>
  <c r="O76" i="36"/>
  <c r="N76" i="36"/>
  <c r="M76" i="36"/>
  <c r="U75" i="36"/>
  <c r="T75" i="36"/>
  <c r="S75" i="36"/>
  <c r="R75" i="36"/>
  <c r="Q75" i="36"/>
  <c r="P75" i="36"/>
  <c r="O75" i="36"/>
  <c r="N75" i="36"/>
  <c r="M75" i="36"/>
  <c r="U74" i="36"/>
  <c r="T74" i="36"/>
  <c r="S74" i="36"/>
  <c r="R74" i="36"/>
  <c r="Q74" i="36"/>
  <c r="P74" i="36"/>
  <c r="O74" i="36"/>
  <c r="N74" i="36"/>
  <c r="M74" i="36"/>
  <c r="U73" i="36"/>
  <c r="T73" i="36"/>
  <c r="S73" i="36"/>
  <c r="R73" i="36"/>
  <c r="Q73" i="36"/>
  <c r="P73" i="36"/>
  <c r="O73" i="36"/>
  <c r="N73" i="36"/>
  <c r="M73" i="36"/>
  <c r="U72" i="36"/>
  <c r="T72" i="36"/>
  <c r="S72" i="36"/>
  <c r="R72" i="36"/>
  <c r="Q72" i="36"/>
  <c r="P72" i="36"/>
  <c r="O72" i="36"/>
  <c r="N72" i="36"/>
  <c r="M72" i="36"/>
  <c r="U71" i="36"/>
  <c r="T71" i="36"/>
  <c r="S71" i="36"/>
  <c r="R71" i="36"/>
  <c r="Q71" i="36"/>
  <c r="P71" i="36"/>
  <c r="O71" i="36"/>
  <c r="N71" i="36"/>
  <c r="M71" i="36"/>
  <c r="U70" i="36"/>
  <c r="T70" i="36"/>
  <c r="S70" i="36"/>
  <c r="R70" i="36"/>
  <c r="Q70" i="36"/>
  <c r="P70" i="36"/>
  <c r="O70" i="36"/>
  <c r="N70" i="36"/>
  <c r="M70" i="36"/>
  <c r="U69" i="36"/>
  <c r="T69" i="36"/>
  <c r="S69" i="36"/>
  <c r="R69" i="36"/>
  <c r="Q69" i="36"/>
  <c r="P69" i="36"/>
  <c r="O69" i="36"/>
  <c r="N69" i="36"/>
  <c r="M69" i="36"/>
  <c r="U68" i="36"/>
  <c r="T68" i="36"/>
  <c r="S68" i="36"/>
  <c r="R68" i="36"/>
  <c r="Q68" i="36"/>
  <c r="P68" i="36"/>
  <c r="O68" i="36"/>
  <c r="N68" i="36"/>
  <c r="M68" i="36"/>
  <c r="U67" i="36"/>
  <c r="T67" i="36"/>
  <c r="S67" i="36"/>
  <c r="R67" i="36"/>
  <c r="Q67" i="36"/>
  <c r="P67" i="36"/>
  <c r="O67" i="36"/>
  <c r="N67" i="36"/>
  <c r="M67" i="36"/>
  <c r="U66" i="36"/>
  <c r="T66" i="36"/>
  <c r="S66" i="36"/>
  <c r="R66" i="36"/>
  <c r="Q66" i="36"/>
  <c r="P66" i="36"/>
  <c r="O66" i="36"/>
  <c r="N66" i="36"/>
  <c r="M66" i="36"/>
  <c r="U65" i="36"/>
  <c r="T65" i="36"/>
  <c r="S65" i="36"/>
  <c r="R65" i="36"/>
  <c r="Q65" i="36"/>
  <c r="P65" i="36"/>
  <c r="O65" i="36"/>
  <c r="N65" i="36"/>
  <c r="M65" i="36"/>
  <c r="U64" i="36"/>
  <c r="T64" i="36"/>
  <c r="S64" i="36"/>
  <c r="R64" i="36"/>
  <c r="Q64" i="36"/>
  <c r="P64" i="36"/>
  <c r="O64" i="36"/>
  <c r="N64" i="36"/>
  <c r="M64" i="36"/>
  <c r="U63" i="36"/>
  <c r="T63" i="36"/>
  <c r="S63" i="36"/>
  <c r="R63" i="36"/>
  <c r="Q63" i="36"/>
  <c r="P63" i="36"/>
  <c r="O63" i="36"/>
  <c r="N63" i="36"/>
  <c r="M63" i="36"/>
  <c r="U62" i="36"/>
  <c r="T62" i="36"/>
  <c r="S62" i="36"/>
  <c r="R62" i="36"/>
  <c r="Q62" i="36"/>
  <c r="P62" i="36"/>
  <c r="O62" i="36"/>
  <c r="N62" i="36"/>
  <c r="M62" i="36"/>
  <c r="U61" i="36"/>
  <c r="T61" i="36"/>
  <c r="S61" i="36"/>
  <c r="R61" i="36"/>
  <c r="Q61" i="36"/>
  <c r="P61" i="36"/>
  <c r="O61" i="36"/>
  <c r="N61" i="36"/>
  <c r="M61" i="36"/>
  <c r="U60" i="36"/>
  <c r="T60" i="36"/>
  <c r="S60" i="36"/>
  <c r="R60" i="36"/>
  <c r="Q60" i="36"/>
  <c r="P60" i="36"/>
  <c r="O60" i="36"/>
  <c r="N60" i="36"/>
  <c r="M60" i="36"/>
  <c r="U59" i="36"/>
  <c r="T59" i="36"/>
  <c r="S59" i="36"/>
  <c r="R59" i="36"/>
  <c r="Q59" i="36"/>
  <c r="P59" i="36"/>
  <c r="O59" i="36"/>
  <c r="N59" i="36"/>
  <c r="M59" i="36"/>
  <c r="U58" i="36"/>
  <c r="T58" i="36"/>
  <c r="S58" i="36"/>
  <c r="R58" i="36"/>
  <c r="Q58" i="36"/>
  <c r="P58" i="36"/>
  <c r="O58" i="36"/>
  <c r="N58" i="36"/>
  <c r="M58" i="36"/>
  <c r="U57" i="36"/>
  <c r="T57" i="36"/>
  <c r="S57" i="36"/>
  <c r="R57" i="36"/>
  <c r="Q57" i="36"/>
  <c r="P57" i="36"/>
  <c r="O57" i="36"/>
  <c r="N57" i="36"/>
  <c r="M57" i="36"/>
  <c r="U56" i="36"/>
  <c r="T56" i="36"/>
  <c r="S56" i="36"/>
  <c r="R56" i="36"/>
  <c r="Q56" i="36"/>
  <c r="P56" i="36"/>
  <c r="O56" i="36"/>
  <c r="N56" i="36"/>
  <c r="M56" i="36"/>
  <c r="U55" i="36"/>
  <c r="T55" i="36"/>
  <c r="S55" i="36"/>
  <c r="R55" i="36"/>
  <c r="Q55" i="36"/>
  <c r="P55" i="36"/>
  <c r="O55" i="36"/>
  <c r="N55" i="36"/>
  <c r="M55" i="36"/>
  <c r="U54" i="36"/>
  <c r="T54" i="36"/>
  <c r="S54" i="36"/>
  <c r="R54" i="36"/>
  <c r="Q54" i="36"/>
  <c r="P54" i="36"/>
  <c r="O54" i="36"/>
  <c r="N54" i="36"/>
  <c r="M54" i="36"/>
  <c r="U53" i="36"/>
  <c r="T53" i="36"/>
  <c r="S53" i="36"/>
  <c r="R53" i="36"/>
  <c r="Q53" i="36"/>
  <c r="P53" i="36"/>
  <c r="O53" i="36"/>
  <c r="N53" i="36"/>
  <c r="M53" i="36"/>
  <c r="U52" i="36"/>
  <c r="T52" i="36"/>
  <c r="S52" i="36"/>
  <c r="R52" i="36"/>
  <c r="Q52" i="36"/>
  <c r="P52" i="36"/>
  <c r="O52" i="36"/>
  <c r="N52" i="36"/>
  <c r="M52" i="36"/>
  <c r="U51" i="36"/>
  <c r="T51" i="36"/>
  <c r="S51" i="36"/>
  <c r="R51" i="36"/>
  <c r="Q51" i="36"/>
  <c r="P51" i="36"/>
  <c r="O51" i="36"/>
  <c r="N51" i="36"/>
  <c r="M51" i="36"/>
  <c r="U50" i="36"/>
  <c r="T50" i="36"/>
  <c r="S50" i="36"/>
  <c r="R50" i="36"/>
  <c r="Q50" i="36"/>
  <c r="P50" i="36"/>
  <c r="O50" i="36"/>
  <c r="N50" i="36"/>
  <c r="M50" i="36"/>
  <c r="U49" i="36"/>
  <c r="T49" i="36"/>
  <c r="S49" i="36"/>
  <c r="R49" i="36"/>
  <c r="Q49" i="36"/>
  <c r="P49" i="36"/>
  <c r="O49" i="36"/>
  <c r="N49" i="36"/>
  <c r="M49" i="36"/>
  <c r="U48" i="36"/>
  <c r="T48" i="36"/>
  <c r="S48" i="36"/>
  <c r="R48" i="36"/>
  <c r="Q48" i="36"/>
  <c r="P48" i="36"/>
  <c r="O48" i="36"/>
  <c r="N48" i="36"/>
  <c r="M48" i="36"/>
  <c r="U47" i="36"/>
  <c r="T47" i="36"/>
  <c r="S47" i="36"/>
  <c r="R47" i="36"/>
  <c r="Q47" i="36"/>
  <c r="P47" i="36"/>
  <c r="O47" i="36"/>
  <c r="N47" i="36"/>
  <c r="M47" i="36"/>
  <c r="U46" i="36"/>
  <c r="T46" i="36"/>
  <c r="S46" i="36"/>
  <c r="R46" i="36"/>
  <c r="Q46" i="36"/>
  <c r="P46" i="36"/>
  <c r="O46" i="36"/>
  <c r="N46" i="36"/>
  <c r="M46" i="36"/>
  <c r="U45" i="36"/>
  <c r="T45" i="36"/>
  <c r="S45" i="36"/>
  <c r="R45" i="36"/>
  <c r="Q45" i="36"/>
  <c r="P45" i="36"/>
  <c r="O45" i="36"/>
  <c r="N45" i="36"/>
  <c r="M45" i="36"/>
  <c r="U44" i="36"/>
  <c r="T44" i="36"/>
  <c r="S44" i="36"/>
  <c r="R44" i="36"/>
  <c r="Q44" i="36"/>
  <c r="P44" i="36"/>
  <c r="O44" i="36"/>
  <c r="N44" i="36"/>
  <c r="M44" i="36"/>
  <c r="U43" i="36"/>
  <c r="T43" i="36"/>
  <c r="S43" i="36"/>
  <c r="R43" i="36"/>
  <c r="Q43" i="36"/>
  <c r="P43" i="36"/>
  <c r="O43" i="36"/>
  <c r="N43" i="36"/>
  <c r="M43" i="36"/>
  <c r="U42" i="36"/>
  <c r="T42" i="36"/>
  <c r="S42" i="36"/>
  <c r="R42" i="36"/>
  <c r="Q42" i="36"/>
  <c r="P42" i="36"/>
  <c r="O42" i="36"/>
  <c r="N42" i="36"/>
  <c r="M42" i="36"/>
  <c r="U41" i="36"/>
  <c r="T41" i="36"/>
  <c r="S41" i="36"/>
  <c r="R41" i="36"/>
  <c r="Q41" i="36"/>
  <c r="P41" i="36"/>
  <c r="O41" i="36"/>
  <c r="N41" i="36"/>
  <c r="M41" i="36"/>
  <c r="U40" i="36"/>
  <c r="T40" i="36"/>
  <c r="S40" i="36"/>
  <c r="R40" i="36"/>
  <c r="Q40" i="36"/>
  <c r="P40" i="36"/>
  <c r="O40" i="36"/>
  <c r="N40" i="36"/>
  <c r="M40" i="36"/>
  <c r="U39" i="36"/>
  <c r="T39" i="36"/>
  <c r="S39" i="36"/>
  <c r="R39" i="36"/>
  <c r="Q39" i="36"/>
  <c r="P39" i="36"/>
  <c r="O39" i="36"/>
  <c r="N39" i="36"/>
  <c r="M39" i="36"/>
  <c r="U38" i="36"/>
  <c r="T38" i="36"/>
  <c r="S38" i="36"/>
  <c r="R38" i="36"/>
  <c r="Q38" i="36"/>
  <c r="P38" i="36"/>
  <c r="O38" i="36"/>
  <c r="N38" i="36"/>
  <c r="M38" i="36"/>
  <c r="U37" i="36"/>
  <c r="T37" i="36"/>
  <c r="S37" i="36"/>
  <c r="R37" i="36"/>
  <c r="Q37" i="36"/>
  <c r="P37" i="36"/>
  <c r="O37" i="36"/>
  <c r="N37" i="36"/>
  <c r="M37" i="36"/>
  <c r="U36" i="36"/>
  <c r="T36" i="36"/>
  <c r="S36" i="36"/>
  <c r="R36" i="36"/>
  <c r="Q36" i="36"/>
  <c r="P36" i="36"/>
  <c r="O36" i="36"/>
  <c r="N36" i="36"/>
  <c r="M36" i="36"/>
  <c r="U35" i="36"/>
  <c r="T35" i="36"/>
  <c r="S35" i="36"/>
  <c r="R35" i="36"/>
  <c r="Q35" i="36"/>
  <c r="P35" i="36"/>
  <c r="O35" i="36"/>
  <c r="N35" i="36"/>
  <c r="M35" i="36"/>
  <c r="U34" i="36"/>
  <c r="T34" i="36"/>
  <c r="S34" i="36"/>
  <c r="R34" i="36"/>
  <c r="Q34" i="36"/>
  <c r="P34" i="36"/>
  <c r="O34" i="36"/>
  <c r="N34" i="36"/>
  <c r="M34" i="36"/>
  <c r="U33" i="36"/>
  <c r="T33" i="36"/>
  <c r="S33" i="36"/>
  <c r="R33" i="36"/>
  <c r="Q33" i="36"/>
  <c r="P33" i="36"/>
  <c r="O33" i="36"/>
  <c r="N33" i="36"/>
  <c r="M33" i="36"/>
  <c r="U32" i="36"/>
  <c r="T32" i="36"/>
  <c r="S32" i="36"/>
  <c r="R32" i="36"/>
  <c r="Q32" i="36"/>
  <c r="P32" i="36"/>
  <c r="O32" i="36"/>
  <c r="N32" i="36"/>
  <c r="M32" i="36"/>
  <c r="U31" i="36"/>
  <c r="T31" i="36"/>
  <c r="S31" i="36"/>
  <c r="R31" i="36"/>
  <c r="Q31" i="36"/>
  <c r="P31" i="36"/>
  <c r="O31" i="36"/>
  <c r="N31" i="36"/>
  <c r="M31" i="36"/>
  <c r="U30" i="36"/>
  <c r="T30" i="36"/>
  <c r="S30" i="36"/>
  <c r="R30" i="36"/>
  <c r="Q30" i="36"/>
  <c r="P30" i="36"/>
  <c r="O30" i="36"/>
  <c r="N30" i="36"/>
  <c r="M30" i="36"/>
  <c r="U29" i="36"/>
  <c r="T29" i="36"/>
  <c r="S29" i="36"/>
  <c r="R29" i="36"/>
  <c r="Q29" i="36"/>
  <c r="P29" i="36"/>
  <c r="O29" i="36"/>
  <c r="N29" i="36"/>
  <c r="M29" i="36"/>
  <c r="U28" i="36"/>
  <c r="T28" i="36"/>
  <c r="S28" i="36"/>
  <c r="R28" i="36"/>
  <c r="Q28" i="36"/>
  <c r="P28" i="36"/>
  <c r="O28" i="36"/>
  <c r="N28" i="36"/>
  <c r="M28" i="36"/>
  <c r="U27" i="36"/>
  <c r="T27" i="36"/>
  <c r="S27" i="36"/>
  <c r="R27" i="36"/>
  <c r="Q27" i="36"/>
  <c r="P27" i="36"/>
  <c r="O27" i="36"/>
  <c r="N27" i="36"/>
  <c r="M27" i="36"/>
  <c r="U26" i="36"/>
  <c r="T26" i="36"/>
  <c r="S26" i="36"/>
  <c r="R26" i="36"/>
  <c r="Q26" i="36"/>
  <c r="P26" i="36"/>
  <c r="O26" i="36"/>
  <c r="N26" i="36"/>
  <c r="M26" i="36"/>
  <c r="U25" i="36"/>
  <c r="T25" i="36"/>
  <c r="S25" i="36"/>
  <c r="R25" i="36"/>
  <c r="Q25" i="36"/>
  <c r="P25" i="36"/>
  <c r="O25" i="36"/>
  <c r="N25" i="36"/>
  <c r="M25" i="36"/>
  <c r="U24" i="36"/>
  <c r="T24" i="36"/>
  <c r="S24" i="36"/>
  <c r="R24" i="36"/>
  <c r="Q24" i="36"/>
  <c r="P24" i="36"/>
  <c r="O24" i="36"/>
  <c r="N24" i="36"/>
  <c r="M24" i="36"/>
  <c r="U23" i="36"/>
  <c r="T23" i="36"/>
  <c r="S23" i="36"/>
  <c r="R23" i="36"/>
  <c r="Q23" i="36"/>
  <c r="P23" i="36"/>
  <c r="O23" i="36"/>
  <c r="N23" i="36"/>
  <c r="M23" i="36"/>
  <c r="U22" i="36"/>
  <c r="T22" i="36"/>
  <c r="S22" i="36"/>
  <c r="R22" i="36"/>
  <c r="Q22" i="36"/>
  <c r="P22" i="36"/>
  <c r="O22" i="36"/>
  <c r="N22" i="36"/>
  <c r="M22" i="36"/>
  <c r="U21" i="36"/>
  <c r="T21" i="36"/>
  <c r="S21" i="36"/>
  <c r="R21" i="36"/>
  <c r="Q21" i="36"/>
  <c r="P21" i="36"/>
  <c r="O21" i="36"/>
  <c r="N21" i="36"/>
  <c r="M21" i="36"/>
  <c r="U20" i="36"/>
  <c r="T20" i="36"/>
  <c r="S20" i="36"/>
  <c r="R20" i="36"/>
  <c r="Q20" i="36"/>
  <c r="P20" i="36"/>
  <c r="O20" i="36"/>
  <c r="N20" i="36"/>
  <c r="M20" i="36"/>
  <c r="U19" i="36"/>
  <c r="T19" i="36"/>
  <c r="S19" i="36"/>
  <c r="R19" i="36"/>
  <c r="Q19" i="36"/>
  <c r="P19" i="36"/>
  <c r="O19" i="36"/>
  <c r="N19" i="36"/>
  <c r="M19" i="36"/>
  <c r="U18" i="36"/>
  <c r="T18" i="36"/>
  <c r="S18" i="36"/>
  <c r="R18" i="36"/>
  <c r="Q18" i="36"/>
  <c r="P18" i="36"/>
  <c r="O18" i="36"/>
  <c r="N18" i="36"/>
  <c r="M18" i="36"/>
  <c r="U17" i="36"/>
  <c r="T17" i="36"/>
  <c r="S17" i="36"/>
  <c r="R17" i="36"/>
  <c r="Q17" i="36"/>
  <c r="P17" i="36"/>
  <c r="O17" i="36"/>
  <c r="N17" i="36"/>
  <c r="M17" i="36"/>
  <c r="U16" i="36"/>
  <c r="T16" i="36"/>
  <c r="S16" i="36"/>
  <c r="R16" i="36"/>
  <c r="Q16" i="36"/>
  <c r="P16" i="36"/>
  <c r="O16" i="36"/>
  <c r="N16" i="36"/>
  <c r="M16" i="36"/>
  <c r="U15" i="36"/>
  <c r="T15" i="36"/>
  <c r="S15" i="36"/>
  <c r="R15" i="36"/>
  <c r="Q15" i="36"/>
  <c r="P15" i="36"/>
  <c r="O15" i="36"/>
  <c r="N15" i="36"/>
  <c r="M15" i="36"/>
  <c r="U14" i="36"/>
  <c r="T14" i="36"/>
  <c r="S14" i="36"/>
  <c r="R14" i="36"/>
  <c r="Q14" i="36"/>
  <c r="P14" i="36"/>
  <c r="O14" i="36"/>
  <c r="N14" i="36"/>
  <c r="M14" i="36"/>
  <c r="U13" i="36"/>
  <c r="T13" i="36"/>
  <c r="S13" i="36"/>
  <c r="R13" i="36"/>
  <c r="Q13" i="36"/>
  <c r="P13" i="36"/>
  <c r="O13" i="36"/>
  <c r="N13" i="36"/>
  <c r="M13" i="36"/>
  <c r="U12" i="36"/>
  <c r="T12" i="36"/>
  <c r="S12" i="36"/>
  <c r="R12" i="36"/>
  <c r="Q12" i="36"/>
  <c r="P12" i="36"/>
  <c r="O12" i="36"/>
  <c r="N12" i="36"/>
  <c r="M12" i="36"/>
  <c r="U11" i="36"/>
  <c r="T11" i="36"/>
  <c r="S11" i="36"/>
  <c r="R11" i="36"/>
  <c r="Q11" i="36"/>
  <c r="P11" i="36"/>
  <c r="O11" i="36"/>
  <c r="N11" i="36"/>
  <c r="M11" i="36"/>
  <c r="U10" i="36"/>
  <c r="T10" i="36"/>
  <c r="S10" i="36"/>
  <c r="R10" i="36"/>
  <c r="Q10" i="36"/>
  <c r="P10" i="36"/>
  <c r="O10" i="36"/>
  <c r="N10" i="36"/>
  <c r="M10" i="36"/>
  <c r="AZ36" i="36" l="1"/>
  <c r="AY36" i="36"/>
  <c r="AX36" i="36"/>
  <c r="AE251" i="36"/>
  <c r="AD251" i="36"/>
  <c r="AC251" i="36"/>
  <c r="AE250" i="36"/>
  <c r="AD250" i="36"/>
  <c r="AC250" i="36"/>
  <c r="AE249" i="36"/>
  <c r="AD249" i="36"/>
  <c r="AC249" i="36"/>
  <c r="AE248" i="36"/>
  <c r="AD248" i="36"/>
  <c r="AC248" i="36"/>
  <c r="AE247" i="36"/>
  <c r="AD247" i="36"/>
  <c r="AC247" i="36"/>
  <c r="AE246" i="36"/>
  <c r="AD246" i="36"/>
  <c r="AC246" i="36"/>
  <c r="AE245" i="36"/>
  <c r="AD245" i="36"/>
  <c r="AC245" i="36"/>
  <c r="AE244" i="36"/>
  <c r="AD244" i="36"/>
  <c r="AC244" i="36"/>
  <c r="AE243" i="36"/>
  <c r="AD243" i="36"/>
  <c r="AC243" i="36"/>
  <c r="AE242" i="36"/>
  <c r="AD242" i="36"/>
  <c r="AC242" i="36"/>
  <c r="AE241" i="36"/>
  <c r="AD241" i="36"/>
  <c r="AC241" i="36"/>
  <c r="AE240" i="36"/>
  <c r="AD240" i="36"/>
  <c r="AC240" i="36"/>
  <c r="AE239" i="36"/>
  <c r="AD239" i="36"/>
  <c r="AC239" i="36"/>
  <c r="AE238" i="36"/>
  <c r="AD238" i="36"/>
  <c r="AC238" i="36"/>
  <c r="AE237" i="36"/>
  <c r="AD237" i="36"/>
  <c r="AC237" i="36"/>
  <c r="AE236" i="36"/>
  <c r="AD236" i="36"/>
  <c r="AC236" i="36"/>
  <c r="AE235" i="36"/>
  <c r="AD235" i="36"/>
  <c r="AC235" i="36"/>
  <c r="AE234" i="36"/>
  <c r="AD234" i="36"/>
  <c r="AC234" i="36"/>
  <c r="AE233" i="36"/>
  <c r="AD233" i="36"/>
  <c r="AC233" i="36"/>
  <c r="AE232" i="36"/>
  <c r="AD232" i="36"/>
  <c r="AC232" i="36"/>
  <c r="AE231" i="36"/>
  <c r="AD231" i="36"/>
  <c r="AC231" i="36"/>
  <c r="AE230" i="36"/>
  <c r="AD230" i="36"/>
  <c r="AC230" i="36"/>
  <c r="AE229" i="36"/>
  <c r="AD229" i="36"/>
  <c r="AC229" i="36"/>
  <c r="AE228" i="36"/>
  <c r="AD228" i="36"/>
  <c r="AC228" i="36"/>
  <c r="AE227" i="36"/>
  <c r="AD227" i="36"/>
  <c r="AC227" i="36"/>
  <c r="AE226" i="36"/>
  <c r="AD226" i="36"/>
  <c r="AC226" i="36"/>
  <c r="AE225" i="36"/>
  <c r="AD225" i="36"/>
  <c r="AC225" i="36"/>
  <c r="AE224" i="36"/>
  <c r="AD224" i="36"/>
  <c r="AC224" i="36"/>
  <c r="AE223" i="36"/>
  <c r="AD223" i="36"/>
  <c r="AC223" i="36"/>
  <c r="AE222" i="36"/>
  <c r="AD222" i="36"/>
  <c r="AC222" i="36"/>
  <c r="AE221" i="36"/>
  <c r="AD221" i="36"/>
  <c r="AC221" i="36"/>
  <c r="AE220" i="36"/>
  <c r="AD220" i="36"/>
  <c r="AC220" i="36"/>
  <c r="AE219" i="36"/>
  <c r="AD219" i="36"/>
  <c r="AC219" i="36"/>
  <c r="AE218" i="36"/>
  <c r="AD218" i="36"/>
  <c r="AC218" i="36"/>
  <c r="AE217" i="36"/>
  <c r="AD217" i="36"/>
  <c r="AC217" i="36"/>
  <c r="AE216" i="36"/>
  <c r="AD216" i="36"/>
  <c r="AC216" i="36"/>
  <c r="AE215" i="36"/>
  <c r="AD215" i="36"/>
  <c r="AC215" i="36"/>
  <c r="AE214" i="36"/>
  <c r="AD214" i="36"/>
  <c r="AC214" i="36"/>
  <c r="AE213" i="36"/>
  <c r="AD213" i="36"/>
  <c r="AC213" i="36"/>
  <c r="AE212" i="36"/>
  <c r="AD212" i="36"/>
  <c r="AC212" i="36"/>
  <c r="AE211" i="36"/>
  <c r="AD211" i="36"/>
  <c r="AC211" i="36"/>
  <c r="AE210" i="36"/>
  <c r="AD210" i="36"/>
  <c r="AC210" i="36"/>
  <c r="AE209" i="36"/>
  <c r="AD209" i="36"/>
  <c r="AC209" i="36"/>
  <c r="AE208" i="36"/>
  <c r="AD208" i="36"/>
  <c r="AC208" i="36"/>
  <c r="AE207" i="36"/>
  <c r="AD207" i="36"/>
  <c r="AC207" i="36"/>
  <c r="AE206" i="36"/>
  <c r="AD206" i="36"/>
  <c r="AC206" i="36"/>
  <c r="AE205" i="36"/>
  <c r="AD205" i="36"/>
  <c r="AC205" i="36"/>
  <c r="AE204" i="36"/>
  <c r="AD204" i="36"/>
  <c r="AC204" i="36"/>
  <c r="AE203" i="36"/>
  <c r="AD203" i="36"/>
  <c r="AC203" i="36"/>
  <c r="AE202" i="36"/>
  <c r="AD202" i="36"/>
  <c r="AC202" i="36"/>
  <c r="AE201" i="36"/>
  <c r="AD201" i="36"/>
  <c r="AC201" i="36"/>
  <c r="AE200" i="36"/>
  <c r="AD200" i="36"/>
  <c r="AC200" i="36"/>
  <c r="AE199" i="36"/>
  <c r="AD199" i="36"/>
  <c r="AC199" i="36"/>
  <c r="AE198" i="36"/>
  <c r="AD198" i="36"/>
  <c r="AC198" i="36"/>
  <c r="AE197" i="36"/>
  <c r="AD197" i="36"/>
  <c r="AC197" i="36"/>
  <c r="AE196" i="36"/>
  <c r="AD196" i="36"/>
  <c r="AC196" i="36"/>
  <c r="AE195" i="36"/>
  <c r="AD195" i="36"/>
  <c r="AC195" i="36"/>
  <c r="AE194" i="36"/>
  <c r="AD194" i="36"/>
  <c r="AC194" i="36"/>
  <c r="AE193" i="36"/>
  <c r="AD193" i="36"/>
  <c r="AC193" i="36"/>
  <c r="AE192" i="36"/>
  <c r="AD192" i="36"/>
  <c r="AC192" i="36"/>
  <c r="AE191" i="36"/>
  <c r="AD191" i="36"/>
  <c r="AC191" i="36"/>
  <c r="AE190" i="36"/>
  <c r="AD190" i="36"/>
  <c r="AC190" i="36"/>
  <c r="AE189" i="36"/>
  <c r="AD189" i="36"/>
  <c r="AC189" i="36"/>
  <c r="AE188" i="36"/>
  <c r="AD188" i="36"/>
  <c r="AC188" i="36"/>
  <c r="AE187" i="36"/>
  <c r="AD187" i="36"/>
  <c r="AC187" i="36"/>
  <c r="AE186" i="36"/>
  <c r="AD186" i="36"/>
  <c r="AC186" i="36"/>
  <c r="AE185" i="36"/>
  <c r="AD185" i="36"/>
  <c r="AC185" i="36"/>
  <c r="AE184" i="36"/>
  <c r="AD184" i="36"/>
  <c r="AC184" i="36"/>
  <c r="AE183" i="36"/>
  <c r="AD183" i="36"/>
  <c r="AC183" i="36"/>
  <c r="AE182" i="36"/>
  <c r="AD182" i="36"/>
  <c r="AC182" i="36"/>
  <c r="AE181" i="36"/>
  <c r="AD181" i="36"/>
  <c r="AC181" i="36"/>
  <c r="AE180" i="36"/>
  <c r="AD180" i="36"/>
  <c r="AC180" i="36"/>
  <c r="AE179" i="36"/>
  <c r="AD179" i="36"/>
  <c r="AC179" i="36"/>
  <c r="AE178" i="36"/>
  <c r="AD178" i="36"/>
  <c r="AC178" i="36"/>
  <c r="AE177" i="36"/>
  <c r="AD177" i="36"/>
  <c r="AC177" i="36"/>
  <c r="AE176" i="36"/>
  <c r="AD176" i="36"/>
  <c r="AC176" i="36"/>
  <c r="AE175" i="36"/>
  <c r="AD175" i="36"/>
  <c r="AC175" i="36"/>
  <c r="AE174" i="36"/>
  <c r="AD174" i="36"/>
  <c r="AC174" i="36"/>
  <c r="AE173" i="36"/>
  <c r="AD173" i="36"/>
  <c r="AC173" i="36"/>
  <c r="AE172" i="36"/>
  <c r="AD172" i="36"/>
  <c r="AC172" i="36"/>
  <c r="AE171" i="36"/>
  <c r="AD171" i="36"/>
  <c r="AC171" i="36"/>
  <c r="AE170" i="36"/>
  <c r="AD170" i="36"/>
  <c r="AC170" i="36"/>
  <c r="AE169" i="36"/>
  <c r="AD169" i="36"/>
  <c r="AC169" i="36"/>
  <c r="AE168" i="36"/>
  <c r="AD168" i="36"/>
  <c r="AC168" i="36"/>
  <c r="AE167" i="36"/>
  <c r="AD167" i="36"/>
  <c r="AC167" i="36"/>
  <c r="AE166" i="36"/>
  <c r="AD166" i="36"/>
  <c r="AC166" i="36"/>
  <c r="AE165" i="36"/>
  <c r="AD165" i="36"/>
  <c r="AC165" i="36"/>
  <c r="AE164" i="36"/>
  <c r="AD164" i="36"/>
  <c r="AC164" i="36"/>
  <c r="AE163" i="36"/>
  <c r="AD163" i="36"/>
  <c r="AC163" i="36"/>
  <c r="AE162" i="36"/>
  <c r="AD162" i="36"/>
  <c r="AC162" i="36"/>
  <c r="AE161" i="36"/>
  <c r="AD161" i="36"/>
  <c r="AC161" i="36"/>
  <c r="AE160" i="36"/>
  <c r="AD160" i="36"/>
  <c r="AC160" i="36"/>
  <c r="AE159" i="36"/>
  <c r="AD159" i="36"/>
  <c r="AC159" i="36"/>
  <c r="AE158" i="36"/>
  <c r="AD158" i="36"/>
  <c r="AC158" i="36"/>
  <c r="AE157" i="36"/>
  <c r="AD157" i="36"/>
  <c r="AC157" i="36"/>
  <c r="AE156" i="36"/>
  <c r="AD156" i="36"/>
  <c r="AC156" i="36"/>
  <c r="AE155" i="36"/>
  <c r="AD155" i="36"/>
  <c r="AC155" i="36"/>
  <c r="AE154" i="36"/>
  <c r="AD154" i="36"/>
  <c r="AC154" i="36"/>
  <c r="AE153" i="36"/>
  <c r="AD153" i="36"/>
  <c r="AC153" i="36"/>
  <c r="AE152" i="36"/>
  <c r="AD152" i="36"/>
  <c r="AC152" i="36"/>
  <c r="AE151" i="36"/>
  <c r="AD151" i="36"/>
  <c r="AC151" i="36"/>
  <c r="AE150" i="36"/>
  <c r="AD150" i="36"/>
  <c r="AC150" i="36"/>
  <c r="AE149" i="36"/>
  <c r="AD149" i="36"/>
  <c r="AC149" i="36"/>
  <c r="AE148" i="36"/>
  <c r="AD148" i="36"/>
  <c r="AC148" i="36"/>
  <c r="AE147" i="36"/>
  <c r="AD147" i="36"/>
  <c r="AC147" i="36"/>
  <c r="AE146" i="36"/>
  <c r="AD146" i="36"/>
  <c r="AC146" i="36"/>
  <c r="AE145" i="36"/>
  <c r="AD145" i="36"/>
  <c r="AC145" i="36"/>
  <c r="AE144" i="36"/>
  <c r="AD144" i="36"/>
  <c r="AC144" i="36"/>
  <c r="AE143" i="36"/>
  <c r="AD143" i="36"/>
  <c r="AC143" i="36"/>
  <c r="AE142" i="36"/>
  <c r="AD142" i="36"/>
  <c r="AC142" i="36"/>
  <c r="AE141" i="36"/>
  <c r="AD141" i="36"/>
  <c r="AC141" i="36"/>
  <c r="AE140" i="36"/>
  <c r="AD140" i="36"/>
  <c r="AC140" i="36"/>
  <c r="AE139" i="36"/>
  <c r="AD139" i="36"/>
  <c r="AC139" i="36"/>
  <c r="AE138" i="36"/>
  <c r="AD138" i="36"/>
  <c r="AC138" i="36"/>
  <c r="AE137" i="36"/>
  <c r="AD137" i="36"/>
  <c r="AC137" i="36"/>
  <c r="AE136" i="36"/>
  <c r="AD136" i="36"/>
  <c r="AC136" i="36"/>
  <c r="AE135" i="36"/>
  <c r="AD135" i="36"/>
  <c r="AC135" i="36"/>
  <c r="AE134" i="36"/>
  <c r="AD134" i="36"/>
  <c r="AC134" i="36"/>
  <c r="AE133" i="36"/>
  <c r="AD133" i="36"/>
  <c r="AC133" i="36"/>
  <c r="AE132" i="36"/>
  <c r="AD132" i="36"/>
  <c r="AC132" i="36"/>
  <c r="AE131" i="36"/>
  <c r="AD131" i="36"/>
  <c r="AC131" i="36"/>
  <c r="AE130" i="36"/>
  <c r="AD130" i="36"/>
  <c r="AC130" i="36"/>
  <c r="AE129" i="36"/>
  <c r="AD129" i="36"/>
  <c r="AC129" i="36"/>
  <c r="AE128" i="36"/>
  <c r="AD128" i="36"/>
  <c r="AC128" i="36"/>
  <c r="AE127" i="36"/>
  <c r="AD127" i="36"/>
  <c r="AC127" i="36"/>
  <c r="AE126" i="36"/>
  <c r="AD126" i="36"/>
  <c r="AC126" i="36"/>
  <c r="AE125" i="36"/>
  <c r="AD125" i="36"/>
  <c r="AC125" i="36"/>
  <c r="AE124" i="36"/>
  <c r="AD124" i="36"/>
  <c r="AC124" i="36"/>
  <c r="AE123" i="36"/>
  <c r="AD123" i="36"/>
  <c r="AC123" i="36"/>
  <c r="AE122" i="36"/>
  <c r="AD122" i="36"/>
  <c r="AC122" i="36"/>
  <c r="AE121" i="36"/>
  <c r="AD121" i="36"/>
  <c r="AC121" i="36"/>
  <c r="AE120" i="36"/>
  <c r="AD120" i="36"/>
  <c r="AC120" i="36"/>
  <c r="AE119" i="36"/>
  <c r="AD119" i="36"/>
  <c r="AC119" i="36"/>
  <c r="AE118" i="36"/>
  <c r="AD118" i="36"/>
  <c r="AC118" i="36"/>
  <c r="AE117" i="36"/>
  <c r="AD117" i="36"/>
  <c r="AC117" i="36"/>
  <c r="AE116" i="36"/>
  <c r="AD116" i="36"/>
  <c r="AC116" i="36"/>
  <c r="AE115" i="36"/>
  <c r="AD115" i="36"/>
  <c r="AC115" i="36"/>
  <c r="AE114" i="36"/>
  <c r="AD114" i="36"/>
  <c r="AC114" i="36"/>
  <c r="AE113" i="36"/>
  <c r="AD113" i="36"/>
  <c r="AC113" i="36"/>
  <c r="AE112" i="36"/>
  <c r="AD112" i="36"/>
  <c r="AC112" i="36"/>
  <c r="AE111" i="36"/>
  <c r="AD111" i="36"/>
  <c r="AC111" i="36"/>
  <c r="AE110" i="36"/>
  <c r="AD110" i="36"/>
  <c r="AC110" i="36"/>
  <c r="AE109" i="36"/>
  <c r="AD109" i="36"/>
  <c r="AC109" i="36"/>
  <c r="AE108" i="36"/>
  <c r="AD108" i="36"/>
  <c r="AC108" i="36"/>
  <c r="AE107" i="36"/>
  <c r="AD107" i="36"/>
  <c r="AC107" i="36"/>
  <c r="AE106" i="36"/>
  <c r="AD106" i="36"/>
  <c r="AC106" i="36"/>
  <c r="AE105" i="36"/>
  <c r="AD105" i="36"/>
  <c r="AC105" i="36"/>
  <c r="AE104" i="36"/>
  <c r="AD104" i="36"/>
  <c r="AC104" i="36"/>
  <c r="AE103" i="36"/>
  <c r="AD103" i="36"/>
  <c r="AC103" i="36"/>
  <c r="AE102" i="36"/>
  <c r="AD102" i="36"/>
  <c r="AC102" i="36"/>
  <c r="AE101" i="36"/>
  <c r="AD101" i="36"/>
  <c r="AC101" i="36"/>
  <c r="AE100" i="36"/>
  <c r="AD100" i="36"/>
  <c r="AC100" i="36"/>
  <c r="AE99" i="36"/>
  <c r="AD99" i="36"/>
  <c r="AC99" i="36"/>
  <c r="AE98" i="36"/>
  <c r="AD98" i="36"/>
  <c r="AC98" i="36"/>
  <c r="AE97" i="36"/>
  <c r="AD97" i="36"/>
  <c r="AC97" i="36"/>
  <c r="AE96" i="36"/>
  <c r="AD96" i="36"/>
  <c r="AC96" i="36"/>
  <c r="AE95" i="36"/>
  <c r="AD95" i="36"/>
  <c r="AC95" i="36"/>
  <c r="AE94" i="36"/>
  <c r="AD94" i="36"/>
  <c r="AC94" i="36"/>
  <c r="AE93" i="36"/>
  <c r="AD93" i="36"/>
  <c r="AC93" i="36"/>
  <c r="AE92" i="36"/>
  <c r="AD92" i="36"/>
  <c r="AC92" i="36"/>
  <c r="AE91" i="36"/>
  <c r="AD91" i="36"/>
  <c r="AC91" i="36"/>
  <c r="AE90" i="36"/>
  <c r="AD90" i="36"/>
  <c r="AC90" i="36"/>
  <c r="AE89" i="36"/>
  <c r="AD89" i="36"/>
  <c r="AC89" i="36"/>
  <c r="AE88" i="36"/>
  <c r="AD88" i="36"/>
  <c r="AC88" i="36"/>
  <c r="AE87" i="36"/>
  <c r="AD87" i="36"/>
  <c r="AC87" i="36"/>
  <c r="AE86" i="36"/>
  <c r="AD86" i="36"/>
  <c r="AC86" i="36"/>
  <c r="AE85" i="36"/>
  <c r="AD85" i="36"/>
  <c r="AC85" i="36"/>
  <c r="AE84" i="36"/>
  <c r="AD84" i="36"/>
  <c r="AC84" i="36"/>
  <c r="AE83" i="36"/>
  <c r="AD83" i="36"/>
  <c r="AC83" i="36"/>
  <c r="AE82" i="36"/>
  <c r="AD82" i="36"/>
  <c r="AC82" i="36"/>
  <c r="AE81" i="36"/>
  <c r="AD81" i="36"/>
  <c r="AC81" i="36"/>
  <c r="AE80" i="36"/>
  <c r="AD80" i="36"/>
  <c r="AC80" i="36"/>
  <c r="AE79" i="36"/>
  <c r="AD79" i="36"/>
  <c r="AC79" i="36"/>
  <c r="AE78" i="36"/>
  <c r="AD78" i="36"/>
  <c r="AC78" i="36"/>
  <c r="AE77" i="36"/>
  <c r="AD77" i="36"/>
  <c r="AC77" i="36"/>
  <c r="AE76" i="36"/>
  <c r="AD76" i="36"/>
  <c r="AC76" i="36"/>
  <c r="AE75" i="36"/>
  <c r="AD75" i="36"/>
  <c r="AC75" i="36"/>
  <c r="AE74" i="36"/>
  <c r="AD74" i="36"/>
  <c r="AC74" i="36"/>
  <c r="AE73" i="36"/>
  <c r="AD73" i="36"/>
  <c r="AC73" i="36"/>
  <c r="AE72" i="36"/>
  <c r="AD72" i="36"/>
  <c r="AC72" i="36"/>
  <c r="AE71" i="36"/>
  <c r="AD71" i="36"/>
  <c r="AC71" i="36"/>
  <c r="AE70" i="36"/>
  <c r="AD70" i="36"/>
  <c r="AC70" i="36"/>
  <c r="AE69" i="36"/>
  <c r="AD69" i="36"/>
  <c r="AC69" i="36"/>
  <c r="AE68" i="36"/>
  <c r="AD68" i="36"/>
  <c r="AC68" i="36"/>
  <c r="AE67" i="36"/>
  <c r="AD67" i="36"/>
  <c r="AC67" i="36"/>
  <c r="AE66" i="36"/>
  <c r="AD66" i="36"/>
  <c r="AC66" i="36"/>
  <c r="AE65" i="36"/>
  <c r="AD65" i="36"/>
  <c r="AC65" i="36"/>
  <c r="AE64" i="36"/>
  <c r="AD64" i="36"/>
  <c r="AC64" i="36"/>
  <c r="AE63" i="36"/>
  <c r="AD63" i="36"/>
  <c r="AC63" i="36"/>
  <c r="AE62" i="36"/>
  <c r="AD62" i="36"/>
  <c r="AC62" i="36"/>
  <c r="AE61" i="36"/>
  <c r="AD61" i="36"/>
  <c r="AC61" i="36"/>
  <c r="AE60" i="36"/>
  <c r="AD60" i="36"/>
  <c r="AC60" i="36"/>
  <c r="AE59" i="36"/>
  <c r="AD59" i="36"/>
  <c r="AC59" i="36"/>
  <c r="AE58" i="36"/>
  <c r="AD58" i="36"/>
  <c r="AC58" i="36"/>
  <c r="AE57" i="36"/>
  <c r="AD57" i="36"/>
  <c r="AC57" i="36"/>
  <c r="AE56" i="36"/>
  <c r="AD56" i="36"/>
  <c r="AC56" i="36"/>
  <c r="AE55" i="36"/>
  <c r="AD55" i="36"/>
  <c r="AC55" i="36"/>
  <c r="AE54" i="36"/>
  <c r="AD54" i="36"/>
  <c r="AC54" i="36"/>
  <c r="AE53" i="36"/>
  <c r="AD53" i="36"/>
  <c r="AC53" i="36"/>
  <c r="AE52" i="36"/>
  <c r="AD52" i="36"/>
  <c r="AC52" i="36"/>
  <c r="AE51" i="36"/>
  <c r="AD51" i="36"/>
  <c r="AC51" i="36"/>
  <c r="AE50" i="36"/>
  <c r="AD50" i="36"/>
  <c r="AC50" i="36"/>
  <c r="AE49" i="36"/>
  <c r="AD49" i="36"/>
  <c r="AC49" i="36"/>
  <c r="AE48" i="36"/>
  <c r="AD48" i="36"/>
  <c r="AC48" i="36"/>
  <c r="AE47" i="36"/>
  <c r="AD47" i="36"/>
  <c r="AC47" i="36"/>
  <c r="AE46" i="36"/>
  <c r="AD46" i="36"/>
  <c r="AC46" i="36"/>
  <c r="AE45" i="36"/>
  <c r="AD45" i="36"/>
  <c r="AC45" i="36"/>
  <c r="AE44" i="36"/>
  <c r="AD44" i="36"/>
  <c r="AC44" i="36"/>
  <c r="AE43" i="36"/>
  <c r="AD43" i="36"/>
  <c r="AC43" i="36"/>
  <c r="AE42" i="36"/>
  <c r="AD42" i="36"/>
  <c r="AC42" i="36"/>
  <c r="AE41" i="36"/>
  <c r="AD41" i="36"/>
  <c r="AC41" i="36"/>
  <c r="AE40" i="36"/>
  <c r="AD40" i="36"/>
  <c r="AC40" i="36"/>
  <c r="AE39" i="36"/>
  <c r="AD39" i="36"/>
  <c r="AC39" i="36"/>
  <c r="AE38" i="36"/>
  <c r="AD38" i="36"/>
  <c r="AC38" i="36"/>
  <c r="AE37" i="36"/>
  <c r="AD37" i="36"/>
  <c r="AC37" i="36"/>
  <c r="AE36" i="36"/>
  <c r="AD36" i="36"/>
  <c r="AC36" i="36"/>
  <c r="AE35" i="36"/>
  <c r="AD35" i="36"/>
  <c r="AC35" i="36"/>
  <c r="AE34" i="36"/>
  <c r="AD34" i="36"/>
  <c r="AC34" i="36"/>
  <c r="AE33" i="36"/>
  <c r="AD33" i="36"/>
  <c r="AC33" i="36"/>
  <c r="AE32" i="36"/>
  <c r="AD32" i="36"/>
  <c r="AC32" i="36"/>
  <c r="AE31" i="36"/>
  <c r="AD31" i="36"/>
  <c r="AC31" i="36"/>
  <c r="AE30" i="36"/>
  <c r="AD30" i="36"/>
  <c r="AC30" i="36"/>
  <c r="AE29" i="36"/>
  <c r="AD29" i="36"/>
  <c r="AC29" i="36"/>
  <c r="AE28" i="36"/>
  <c r="AD28" i="36"/>
  <c r="AC28" i="36"/>
  <c r="AE27" i="36"/>
  <c r="AD27" i="36"/>
  <c r="AC27" i="36"/>
  <c r="AE26" i="36"/>
  <c r="AD26" i="36"/>
  <c r="AC26" i="36"/>
  <c r="AE25" i="36"/>
  <c r="AD25" i="36"/>
  <c r="AC25" i="36"/>
  <c r="AE24" i="36"/>
  <c r="AD24" i="36"/>
  <c r="AC24" i="36"/>
  <c r="AE23" i="36"/>
  <c r="AD23" i="36"/>
  <c r="AC23" i="36"/>
  <c r="AE22" i="36"/>
  <c r="AD22" i="36"/>
  <c r="AC22" i="36"/>
  <c r="AE21" i="36"/>
  <c r="AD21" i="36"/>
  <c r="AC21" i="36"/>
  <c r="AE20" i="36"/>
  <c r="AD20" i="36"/>
  <c r="AC20" i="36"/>
  <c r="AE19" i="36"/>
  <c r="AD19" i="36"/>
  <c r="AC19" i="36"/>
  <c r="AE18" i="36"/>
  <c r="AD18" i="36"/>
  <c r="AC18" i="36"/>
  <c r="AE17" i="36"/>
  <c r="AD17" i="36"/>
  <c r="AC17" i="36"/>
  <c r="AE16" i="36"/>
  <c r="AD16" i="36"/>
  <c r="AC16" i="36"/>
  <c r="AE15" i="36"/>
  <c r="AD15" i="36"/>
  <c r="AC15" i="36"/>
  <c r="AE14" i="36"/>
  <c r="AD14" i="36"/>
  <c r="AC14" i="36"/>
  <c r="AE13" i="36"/>
  <c r="AD13" i="36"/>
  <c r="AC13" i="36"/>
  <c r="AE12" i="36"/>
  <c r="AD12" i="36"/>
  <c r="AC12" i="36"/>
  <c r="AE11" i="36"/>
  <c r="AD11" i="36"/>
  <c r="AC11" i="36"/>
  <c r="AE10" i="36"/>
  <c r="AD10" i="36"/>
  <c r="AC10" i="36"/>
  <c r="AE9" i="36"/>
  <c r="AD9" i="36"/>
  <c r="AC9" i="36"/>
  <c r="U9" i="36"/>
  <c r="T9" i="36"/>
  <c r="S9" i="36"/>
  <c r="AB6" i="16"/>
  <c r="AB5" i="16"/>
  <c r="V6" i="16"/>
  <c r="U6" i="16"/>
  <c r="T6" i="16"/>
  <c r="BJ33" i="16"/>
  <c r="BI33" i="16"/>
  <c r="BH33" i="16"/>
  <c r="BG33" i="16"/>
  <c r="BG66" i="16" s="1"/>
  <c r="BF33" i="16"/>
  <c r="BE33" i="16"/>
  <c r="BD33" i="16"/>
  <c r="BC33" i="16"/>
  <c r="BB33" i="16"/>
  <c r="BA33" i="16"/>
  <c r="AZ33" i="16"/>
  <c r="AY33" i="16"/>
  <c r="AY66" i="16" s="1"/>
  <c r="AX33" i="16"/>
  <c r="AW33" i="16"/>
  <c r="AV33" i="16"/>
  <c r="AU33" i="16"/>
  <c r="AT33" i="16"/>
  <c r="AS33" i="16"/>
  <c r="AR33" i="16"/>
  <c r="AQ33" i="16"/>
  <c r="AQ66" i="16" s="1"/>
  <c r="AP33" i="16"/>
  <c r="AO33" i="16"/>
  <c r="AN33" i="16"/>
  <c r="AM33" i="16"/>
  <c r="AL33" i="16"/>
  <c r="AK33" i="16"/>
  <c r="AJ33" i="16"/>
  <c r="AI33" i="16"/>
  <c r="AI66" i="16" s="1"/>
  <c r="AH33" i="16"/>
  <c r="AG33" i="16"/>
  <c r="AF33" i="16"/>
  <c r="AE33" i="16"/>
  <c r="AD33" i="16"/>
  <c r="AC33" i="16"/>
  <c r="AB33" i="16"/>
  <c r="AA33" i="16"/>
  <c r="AA66" i="16" s="1"/>
  <c r="Z33" i="16"/>
  <c r="Y33" i="16"/>
  <c r="X33" i="16"/>
  <c r="W33" i="16"/>
  <c r="V33" i="16"/>
  <c r="U33" i="16"/>
  <c r="T33" i="16"/>
  <c r="S33" i="16"/>
  <c r="R33" i="16"/>
  <c r="Q33" i="16"/>
  <c r="P33" i="16"/>
  <c r="O33" i="16"/>
  <c r="N33" i="16"/>
  <c r="M33" i="16"/>
  <c r="L33" i="16"/>
  <c r="K33" i="16"/>
  <c r="J33" i="16"/>
  <c r="I33" i="16"/>
  <c r="H33" i="16"/>
  <c r="G33" i="16"/>
  <c r="F33" i="16"/>
  <c r="E33" i="16"/>
  <c r="D33" i="16"/>
  <c r="BJ32" i="16"/>
  <c r="BJ65" i="16" s="1"/>
  <c r="BI32" i="16"/>
  <c r="BH32" i="16"/>
  <c r="BG32" i="16"/>
  <c r="BF32" i="16"/>
  <c r="BE32" i="16"/>
  <c r="BD32" i="16"/>
  <c r="BC32" i="16"/>
  <c r="BB32" i="16"/>
  <c r="BB65" i="16" s="1"/>
  <c r="BA32" i="16"/>
  <c r="AZ32" i="16"/>
  <c r="AY32" i="16"/>
  <c r="AX32" i="16"/>
  <c r="AW32" i="16"/>
  <c r="AV32" i="16"/>
  <c r="AU32" i="16"/>
  <c r="AT32" i="16"/>
  <c r="AT65" i="16" s="1"/>
  <c r="AS32" i="16"/>
  <c r="AR32" i="16"/>
  <c r="AQ32" i="16"/>
  <c r="AP32" i="16"/>
  <c r="AP65" i="16" s="1"/>
  <c r="AO32" i="16"/>
  <c r="AN32" i="16"/>
  <c r="AM32" i="16"/>
  <c r="AL32" i="16"/>
  <c r="AL65" i="16" s="1"/>
  <c r="AK32" i="16"/>
  <c r="AJ32" i="16"/>
  <c r="AI32" i="16"/>
  <c r="AH32" i="16"/>
  <c r="AG32" i="16"/>
  <c r="AF32" i="16"/>
  <c r="AE32" i="16"/>
  <c r="AD32" i="16"/>
  <c r="AD65" i="16" s="1"/>
  <c r="AC32" i="16"/>
  <c r="AB32" i="16"/>
  <c r="AA32" i="16"/>
  <c r="Z32" i="16"/>
  <c r="Y32" i="16"/>
  <c r="X32" i="16"/>
  <c r="W32" i="16"/>
  <c r="V32" i="16"/>
  <c r="V65" i="16" s="1"/>
  <c r="U32" i="16"/>
  <c r="T32" i="16"/>
  <c r="S32" i="16"/>
  <c r="R32" i="16"/>
  <c r="Q32" i="16"/>
  <c r="P32" i="16"/>
  <c r="O32" i="16"/>
  <c r="N32" i="16"/>
  <c r="M32" i="16"/>
  <c r="L32" i="16"/>
  <c r="K32" i="16"/>
  <c r="J32" i="16"/>
  <c r="I32" i="16"/>
  <c r="H32" i="16"/>
  <c r="G32" i="16"/>
  <c r="F32" i="16"/>
  <c r="E32" i="16"/>
  <c r="D32" i="16"/>
  <c r="BJ31" i="16"/>
  <c r="BI31" i="16"/>
  <c r="BH31" i="16"/>
  <c r="BG31" i="16"/>
  <c r="BF31" i="16"/>
  <c r="BE31" i="16"/>
  <c r="BE64" i="16" s="1"/>
  <c r="BD31" i="16"/>
  <c r="BC31" i="16"/>
  <c r="BB31" i="16"/>
  <c r="BA31" i="16"/>
  <c r="AZ31" i="16"/>
  <c r="AY31" i="16"/>
  <c r="AX31" i="16"/>
  <c r="AW31" i="16"/>
  <c r="AW64" i="16" s="1"/>
  <c r="AV31" i="16"/>
  <c r="AU31" i="16"/>
  <c r="AT31" i="16"/>
  <c r="AS31" i="16"/>
  <c r="AR31" i="16"/>
  <c r="AQ31" i="16"/>
  <c r="AP31" i="16"/>
  <c r="AO31" i="16"/>
  <c r="AO64" i="16" s="1"/>
  <c r="AN31" i="16"/>
  <c r="AM31" i="16"/>
  <c r="AL31" i="16"/>
  <c r="AK31" i="16"/>
  <c r="AK64" i="16" s="1"/>
  <c r="AJ31" i="16"/>
  <c r="AI31" i="16"/>
  <c r="AH31" i="16"/>
  <c r="AG31" i="16"/>
  <c r="AG64" i="16" s="1"/>
  <c r="AF31" i="16"/>
  <c r="AE31" i="16"/>
  <c r="AD31" i="16"/>
  <c r="AC31" i="16"/>
  <c r="AB31" i="16"/>
  <c r="AA31" i="16"/>
  <c r="Z31" i="16"/>
  <c r="Y31" i="16"/>
  <c r="Y64" i="16" s="1"/>
  <c r="X31" i="16"/>
  <c r="W31" i="16"/>
  <c r="V31" i="16"/>
  <c r="U31" i="16"/>
  <c r="T31" i="16"/>
  <c r="S31" i="16"/>
  <c r="R31" i="16"/>
  <c r="Q31" i="16"/>
  <c r="Q64" i="16" s="1"/>
  <c r="P31" i="16"/>
  <c r="O31" i="16"/>
  <c r="N31" i="16"/>
  <c r="M31" i="16"/>
  <c r="L31" i="16"/>
  <c r="K31" i="16"/>
  <c r="J31" i="16"/>
  <c r="I31" i="16"/>
  <c r="H31" i="16"/>
  <c r="G31" i="16"/>
  <c r="F31" i="16"/>
  <c r="E31" i="16"/>
  <c r="D31" i="16"/>
  <c r="BJ30" i="16"/>
  <c r="BI30" i="16"/>
  <c r="BH30" i="16"/>
  <c r="BG30" i="16"/>
  <c r="BF30" i="16"/>
  <c r="BE30" i="16"/>
  <c r="BD30" i="16"/>
  <c r="BC30" i="16"/>
  <c r="BB30" i="16"/>
  <c r="BA30" i="16"/>
  <c r="AZ30" i="16"/>
  <c r="AZ63" i="16" s="1"/>
  <c r="AY30" i="16"/>
  <c r="AX30" i="16"/>
  <c r="AW30" i="16"/>
  <c r="AV30" i="16"/>
  <c r="AU30" i="16"/>
  <c r="AT30" i="16"/>
  <c r="AS30" i="16"/>
  <c r="AR30" i="16"/>
  <c r="AR63" i="16" s="1"/>
  <c r="AQ30" i="16"/>
  <c r="AP30" i="16"/>
  <c r="AO30" i="16"/>
  <c r="AN30" i="16"/>
  <c r="AM30" i="16"/>
  <c r="AL30" i="16"/>
  <c r="AK30" i="16"/>
  <c r="AJ30" i="16"/>
  <c r="AJ63" i="16" s="1"/>
  <c r="AI30" i="16"/>
  <c r="AH30" i="16"/>
  <c r="AG30" i="16"/>
  <c r="AF30" i="16"/>
  <c r="AF63" i="16" s="1"/>
  <c r="AE30" i="16"/>
  <c r="AD30" i="16"/>
  <c r="AC30" i="16"/>
  <c r="AB30" i="16"/>
  <c r="AB63" i="16" s="1"/>
  <c r="AA30" i="16"/>
  <c r="Z30" i="16"/>
  <c r="Y30" i="16"/>
  <c r="X30" i="16"/>
  <c r="W30" i="16"/>
  <c r="V30" i="16"/>
  <c r="U30" i="16"/>
  <c r="T30" i="16"/>
  <c r="T63" i="16" s="1"/>
  <c r="S30" i="16"/>
  <c r="R30" i="16"/>
  <c r="Q30" i="16"/>
  <c r="P30" i="16"/>
  <c r="O30" i="16"/>
  <c r="N30" i="16"/>
  <c r="M30" i="16"/>
  <c r="L30" i="16"/>
  <c r="L63" i="16" s="1"/>
  <c r="K30" i="16"/>
  <c r="J30" i="16"/>
  <c r="I30" i="16"/>
  <c r="H30" i="16"/>
  <c r="G30" i="16"/>
  <c r="F30" i="16"/>
  <c r="E30" i="16"/>
  <c r="D30" i="16"/>
  <c r="BJ27" i="16"/>
  <c r="BI27" i="16"/>
  <c r="BH27" i="16"/>
  <c r="BG27" i="16"/>
  <c r="BF27" i="16"/>
  <c r="BE27" i="16"/>
  <c r="BD27" i="16"/>
  <c r="BC27" i="16"/>
  <c r="BB27" i="16"/>
  <c r="BA27" i="16"/>
  <c r="AZ27" i="16"/>
  <c r="AY27" i="16"/>
  <c r="AX27" i="16"/>
  <c r="AW27" i="16"/>
  <c r="AV27" i="16"/>
  <c r="AU27" i="16"/>
  <c r="AT27" i="16"/>
  <c r="AS27" i="16"/>
  <c r="AR27" i="16"/>
  <c r="AQ27" i="16"/>
  <c r="AP27" i="16"/>
  <c r="AO27" i="16"/>
  <c r="AN27" i="16"/>
  <c r="AM27" i="16"/>
  <c r="AL27" i="16"/>
  <c r="AK27" i="16"/>
  <c r="AJ27" i="16"/>
  <c r="AI27" i="16"/>
  <c r="AH27" i="16"/>
  <c r="AG27" i="16"/>
  <c r="AF27" i="16"/>
  <c r="AE27" i="16"/>
  <c r="AD27" i="16"/>
  <c r="AC27" i="16"/>
  <c r="AB27" i="16"/>
  <c r="AA27" i="16"/>
  <c r="Z27" i="16"/>
  <c r="Y27" i="16"/>
  <c r="X27" i="16"/>
  <c r="W27" i="16"/>
  <c r="V27" i="16"/>
  <c r="U27" i="16"/>
  <c r="T27" i="16"/>
  <c r="S27" i="16"/>
  <c r="R27" i="16"/>
  <c r="Q27" i="16"/>
  <c r="P27" i="16"/>
  <c r="O27" i="16"/>
  <c r="N27" i="16"/>
  <c r="M27" i="16"/>
  <c r="L27" i="16"/>
  <c r="K27" i="16"/>
  <c r="J27" i="16"/>
  <c r="I27" i="16"/>
  <c r="H27" i="16"/>
  <c r="G27" i="16"/>
  <c r="F27" i="16"/>
  <c r="E27" i="16"/>
  <c r="D27" i="16"/>
  <c r="BJ26" i="16"/>
  <c r="BI26" i="16"/>
  <c r="BH26" i="16"/>
  <c r="BG26" i="16"/>
  <c r="BF26" i="16"/>
  <c r="BE26" i="16"/>
  <c r="BD26" i="16"/>
  <c r="BC26" i="16"/>
  <c r="BB26" i="16"/>
  <c r="BA26" i="16"/>
  <c r="AZ26" i="16"/>
  <c r="AY26" i="16"/>
  <c r="AX26" i="16"/>
  <c r="AW26" i="16"/>
  <c r="AV26" i="16"/>
  <c r="AU26" i="16"/>
  <c r="AT26" i="16"/>
  <c r="AS26" i="16"/>
  <c r="AR26" i="16"/>
  <c r="AQ26" i="16"/>
  <c r="AP26" i="16"/>
  <c r="AO26" i="16"/>
  <c r="AN26" i="16"/>
  <c r="AM26" i="16"/>
  <c r="AL26" i="16"/>
  <c r="AK26" i="16"/>
  <c r="AJ26" i="16"/>
  <c r="AI26" i="16"/>
  <c r="AH26" i="16"/>
  <c r="AG26" i="16"/>
  <c r="AF26" i="16"/>
  <c r="AE26" i="16"/>
  <c r="AD26" i="16"/>
  <c r="AC26" i="16"/>
  <c r="AB26" i="16"/>
  <c r="AA26" i="16"/>
  <c r="Z26" i="16"/>
  <c r="Y26" i="16"/>
  <c r="X26" i="16"/>
  <c r="W26" i="16"/>
  <c r="V26" i="16"/>
  <c r="U26" i="16"/>
  <c r="T26" i="16"/>
  <c r="S26" i="16"/>
  <c r="R26" i="16"/>
  <c r="Q26" i="16"/>
  <c r="P26" i="16"/>
  <c r="O26" i="16"/>
  <c r="N26" i="16"/>
  <c r="M26" i="16"/>
  <c r="L26" i="16"/>
  <c r="K26" i="16"/>
  <c r="J26" i="16"/>
  <c r="I26" i="16"/>
  <c r="H26" i="16"/>
  <c r="G26" i="16"/>
  <c r="F26" i="16"/>
  <c r="E26" i="16"/>
  <c r="D26" i="16"/>
  <c r="BJ25" i="16"/>
  <c r="BI25" i="16"/>
  <c r="BH25" i="16"/>
  <c r="BG25" i="16"/>
  <c r="BF25" i="16"/>
  <c r="BE25" i="16"/>
  <c r="BD25" i="16"/>
  <c r="BC25" i="16"/>
  <c r="BB25" i="16"/>
  <c r="BA25" i="16"/>
  <c r="AZ25" i="16"/>
  <c r="AY25" i="16"/>
  <c r="AX25" i="16"/>
  <c r="AW25" i="16"/>
  <c r="AV25" i="16"/>
  <c r="AU25" i="16"/>
  <c r="AT25" i="16"/>
  <c r="AS25" i="16"/>
  <c r="AR25" i="16"/>
  <c r="AQ25" i="16"/>
  <c r="AP25" i="16"/>
  <c r="AO25" i="16"/>
  <c r="AN25" i="16"/>
  <c r="AM25" i="16"/>
  <c r="AL25" i="16"/>
  <c r="AK25" i="16"/>
  <c r="AJ25" i="16"/>
  <c r="AI25" i="16"/>
  <c r="AH25" i="16"/>
  <c r="AG25" i="16"/>
  <c r="AF25" i="16"/>
  <c r="AE25" i="16"/>
  <c r="AD25" i="16"/>
  <c r="AC25" i="16"/>
  <c r="AB25" i="16"/>
  <c r="AA25" i="16"/>
  <c r="Z25" i="16"/>
  <c r="Y25" i="16"/>
  <c r="X25" i="16"/>
  <c r="W25" i="16"/>
  <c r="V25" i="16"/>
  <c r="U25" i="16"/>
  <c r="T25" i="16"/>
  <c r="S25" i="16"/>
  <c r="R25" i="16"/>
  <c r="Q25" i="16"/>
  <c r="P25" i="16"/>
  <c r="O25" i="16"/>
  <c r="N25" i="16"/>
  <c r="M25" i="16"/>
  <c r="L25" i="16"/>
  <c r="K25" i="16"/>
  <c r="J25" i="16"/>
  <c r="I25" i="16"/>
  <c r="H25" i="16"/>
  <c r="G25" i="16"/>
  <c r="F25" i="16"/>
  <c r="E25" i="16"/>
  <c r="D25" i="16"/>
  <c r="BJ24" i="16"/>
  <c r="BI24" i="16"/>
  <c r="BH24" i="16"/>
  <c r="BG24" i="16"/>
  <c r="BF24" i="16"/>
  <c r="BE24" i="16"/>
  <c r="BD24" i="16"/>
  <c r="BC24" i="16"/>
  <c r="BB24" i="16"/>
  <c r="BA24" i="16"/>
  <c r="AZ24" i="16"/>
  <c r="AY24" i="16"/>
  <c r="AX24" i="16"/>
  <c r="AW24" i="16"/>
  <c r="AV24" i="16"/>
  <c r="AU24" i="16"/>
  <c r="AT24" i="16"/>
  <c r="DD89" i="16" s="1"/>
  <c r="AS24" i="16"/>
  <c r="AR24" i="16"/>
  <c r="AQ24" i="16"/>
  <c r="AP24" i="16"/>
  <c r="AO24" i="16"/>
  <c r="AN24" i="16"/>
  <c r="AM24" i="16"/>
  <c r="AL24" i="16"/>
  <c r="AK24" i="16"/>
  <c r="AJ24" i="16"/>
  <c r="AI24" i="16"/>
  <c r="AH24" i="16"/>
  <c r="AG24" i="16"/>
  <c r="AF24" i="16"/>
  <c r="AE24" i="16"/>
  <c r="AD24" i="16"/>
  <c r="AC24" i="16"/>
  <c r="AB24" i="16"/>
  <c r="AA24" i="16"/>
  <c r="Z24" i="16"/>
  <c r="Y24" i="16"/>
  <c r="X24" i="16"/>
  <c r="W24" i="16"/>
  <c r="V24" i="16"/>
  <c r="U24" i="16"/>
  <c r="T24" i="16"/>
  <c r="S24" i="16"/>
  <c r="R24" i="16"/>
  <c r="Q24" i="16"/>
  <c r="P24" i="16"/>
  <c r="O24" i="16"/>
  <c r="N24" i="16"/>
  <c r="BX89" i="16" s="1"/>
  <c r="M24" i="16"/>
  <c r="L24" i="16"/>
  <c r="K24" i="16"/>
  <c r="J24" i="16"/>
  <c r="I24" i="16"/>
  <c r="H24" i="16"/>
  <c r="G24" i="16"/>
  <c r="F24" i="16"/>
  <c r="E24" i="16"/>
  <c r="D24" i="16"/>
  <c r="BJ23" i="16"/>
  <c r="BI23" i="16"/>
  <c r="BH23" i="16"/>
  <c r="BG23" i="16"/>
  <c r="BF23" i="16"/>
  <c r="BE23" i="16"/>
  <c r="BD23" i="16"/>
  <c r="BC23" i="16"/>
  <c r="BB23" i="16"/>
  <c r="BA23" i="16"/>
  <c r="AZ23" i="16"/>
  <c r="AY23" i="16"/>
  <c r="AX23" i="16"/>
  <c r="AW23" i="16"/>
  <c r="AV23" i="16"/>
  <c r="AU23" i="16"/>
  <c r="AT23" i="16"/>
  <c r="AS23" i="16"/>
  <c r="AR23" i="16"/>
  <c r="AQ23" i="16"/>
  <c r="AP23" i="16"/>
  <c r="AO23" i="16"/>
  <c r="AN23" i="16"/>
  <c r="AM23" i="16"/>
  <c r="AL23" i="16"/>
  <c r="AK23" i="16"/>
  <c r="AJ23" i="16"/>
  <c r="AI23" i="16"/>
  <c r="AH23" i="16"/>
  <c r="AG23" i="16"/>
  <c r="AF23" i="16"/>
  <c r="AE23" i="16"/>
  <c r="AD23" i="16"/>
  <c r="AC23" i="16"/>
  <c r="AB23" i="16"/>
  <c r="AA23" i="16"/>
  <c r="Z23" i="16"/>
  <c r="Y23" i="16"/>
  <c r="X23" i="16"/>
  <c r="W23" i="16"/>
  <c r="V23" i="16"/>
  <c r="U23" i="16"/>
  <c r="T23" i="16"/>
  <c r="S23" i="16"/>
  <c r="R23" i="16"/>
  <c r="Q23" i="16"/>
  <c r="P23" i="16"/>
  <c r="O23" i="16"/>
  <c r="N23" i="16"/>
  <c r="M23" i="16"/>
  <c r="L23" i="16"/>
  <c r="K23" i="16"/>
  <c r="J23" i="16"/>
  <c r="I23" i="16"/>
  <c r="H23" i="16"/>
  <c r="G23" i="16"/>
  <c r="F23" i="16"/>
  <c r="E23" i="16"/>
  <c r="D23" i="16"/>
  <c r="BJ22" i="16"/>
  <c r="BI22" i="16"/>
  <c r="BH22" i="16"/>
  <c r="BG22" i="16"/>
  <c r="BF22" i="16"/>
  <c r="BE22" i="16"/>
  <c r="BD22" i="16"/>
  <c r="BC22" i="16"/>
  <c r="BB22" i="16"/>
  <c r="BA22" i="16"/>
  <c r="AZ22" i="16"/>
  <c r="AY22" i="16"/>
  <c r="AX22" i="16"/>
  <c r="AW22" i="16"/>
  <c r="AV22" i="16"/>
  <c r="AU22" i="16"/>
  <c r="AT22" i="16"/>
  <c r="AS22" i="16"/>
  <c r="AR22" i="16"/>
  <c r="AQ22" i="16"/>
  <c r="AP22" i="16"/>
  <c r="AO22" i="16"/>
  <c r="AN22" i="16"/>
  <c r="AM22" i="16"/>
  <c r="AL22" i="16"/>
  <c r="AK22" i="16"/>
  <c r="AJ22" i="16"/>
  <c r="AI22" i="16"/>
  <c r="AH22" i="16"/>
  <c r="AG22" i="16"/>
  <c r="AF22" i="16"/>
  <c r="AE22" i="16"/>
  <c r="AD22" i="16"/>
  <c r="AC22" i="16"/>
  <c r="AB22" i="16"/>
  <c r="AA22" i="16"/>
  <c r="Z22" i="16"/>
  <c r="Y22" i="16"/>
  <c r="X22" i="16"/>
  <c r="W22" i="16"/>
  <c r="V22" i="16"/>
  <c r="U22" i="16"/>
  <c r="T22" i="16"/>
  <c r="S22" i="16"/>
  <c r="R22" i="16"/>
  <c r="Q22" i="16"/>
  <c r="P22" i="16"/>
  <c r="O22" i="16"/>
  <c r="N22" i="16"/>
  <c r="M22" i="16"/>
  <c r="L22" i="16"/>
  <c r="K22" i="16"/>
  <c r="J22" i="16"/>
  <c r="I22" i="16"/>
  <c r="H22" i="16"/>
  <c r="G22" i="16"/>
  <c r="F22" i="16"/>
  <c r="E22" i="16"/>
  <c r="D22" i="16"/>
  <c r="BJ21" i="16"/>
  <c r="BI21" i="16"/>
  <c r="BH21" i="16"/>
  <c r="BG21" i="16"/>
  <c r="BF21" i="16"/>
  <c r="BE21" i="16"/>
  <c r="BD21" i="16"/>
  <c r="BC21" i="16"/>
  <c r="BB21" i="16"/>
  <c r="BA21" i="16"/>
  <c r="AZ21" i="16"/>
  <c r="AY21" i="16"/>
  <c r="AX21" i="16"/>
  <c r="AW21" i="16"/>
  <c r="AV21" i="16"/>
  <c r="AU21" i="16"/>
  <c r="AT21" i="16"/>
  <c r="AS21" i="16"/>
  <c r="AR21" i="16"/>
  <c r="AQ21" i="16"/>
  <c r="AP21" i="16"/>
  <c r="AO21" i="16"/>
  <c r="AN21" i="16"/>
  <c r="AM21" i="16"/>
  <c r="AL21" i="16"/>
  <c r="AK21" i="16"/>
  <c r="AJ21" i="16"/>
  <c r="AI21" i="16"/>
  <c r="AH21" i="16"/>
  <c r="AG21" i="16"/>
  <c r="AF21" i="16"/>
  <c r="AE21" i="16"/>
  <c r="AD21" i="16"/>
  <c r="AC21" i="16"/>
  <c r="AB21" i="16"/>
  <c r="AA21" i="16"/>
  <c r="Z21" i="16"/>
  <c r="Y21" i="16"/>
  <c r="X21" i="16"/>
  <c r="W21" i="16"/>
  <c r="V21" i="16"/>
  <c r="U21" i="16"/>
  <c r="T21" i="16"/>
  <c r="S21" i="16"/>
  <c r="R21" i="16"/>
  <c r="Q21" i="16"/>
  <c r="P21" i="16"/>
  <c r="O21" i="16"/>
  <c r="N21" i="16"/>
  <c r="M21" i="16"/>
  <c r="L21" i="16"/>
  <c r="K21" i="16"/>
  <c r="J21" i="16"/>
  <c r="I21" i="16"/>
  <c r="H21" i="16"/>
  <c r="G21" i="16"/>
  <c r="F21" i="16"/>
  <c r="E21" i="16"/>
  <c r="D21" i="16"/>
  <c r="BJ20" i="16"/>
  <c r="BI20" i="16"/>
  <c r="BH20" i="16"/>
  <c r="BG20" i="16"/>
  <c r="BF20" i="16"/>
  <c r="BE20" i="16"/>
  <c r="BD20" i="16"/>
  <c r="BC20" i="16"/>
  <c r="BB20" i="16"/>
  <c r="BA20" i="16"/>
  <c r="AZ20" i="16"/>
  <c r="AY20" i="16"/>
  <c r="AX20" i="16"/>
  <c r="AW20" i="16"/>
  <c r="AV20" i="16"/>
  <c r="AU20" i="16"/>
  <c r="AT20" i="16"/>
  <c r="AS20" i="16"/>
  <c r="AR20" i="16"/>
  <c r="AQ20" i="16"/>
  <c r="AP20" i="16"/>
  <c r="AO20" i="16"/>
  <c r="AN20" i="16"/>
  <c r="AM20" i="16"/>
  <c r="AL20" i="16"/>
  <c r="AK20" i="16"/>
  <c r="AJ20" i="16"/>
  <c r="AI20" i="16"/>
  <c r="AH20" i="16"/>
  <c r="AG20" i="16"/>
  <c r="AF20" i="16"/>
  <c r="AE20" i="16"/>
  <c r="AD20" i="16"/>
  <c r="AC20" i="16"/>
  <c r="AB20" i="16"/>
  <c r="AA20" i="16"/>
  <c r="Z20" i="16"/>
  <c r="Y20" i="16"/>
  <c r="X20" i="16"/>
  <c r="W20" i="16"/>
  <c r="V20" i="16"/>
  <c r="U20" i="16"/>
  <c r="T20" i="16"/>
  <c r="S20" i="16"/>
  <c r="R20" i="16"/>
  <c r="Q20" i="16"/>
  <c r="P20" i="16"/>
  <c r="O20" i="16"/>
  <c r="N20" i="16"/>
  <c r="M20" i="16"/>
  <c r="L20" i="16"/>
  <c r="K20" i="16"/>
  <c r="J20" i="16"/>
  <c r="I20" i="16"/>
  <c r="H20" i="16"/>
  <c r="G20" i="16"/>
  <c r="F20" i="16"/>
  <c r="E20" i="16"/>
  <c r="D20" i="16"/>
  <c r="BJ17" i="16"/>
  <c r="BI17" i="16"/>
  <c r="BH17" i="16"/>
  <c r="BG17" i="16"/>
  <c r="BF17" i="16"/>
  <c r="BE17" i="16"/>
  <c r="BD17" i="16"/>
  <c r="BC17" i="16"/>
  <c r="BB17" i="16"/>
  <c r="BA17" i="16"/>
  <c r="AZ17" i="16"/>
  <c r="AY17" i="16"/>
  <c r="AX17" i="16"/>
  <c r="AW17" i="16"/>
  <c r="AV17" i="16"/>
  <c r="AU17" i="16"/>
  <c r="AT17" i="16"/>
  <c r="AS17" i="16"/>
  <c r="AR17" i="16"/>
  <c r="AQ17" i="16"/>
  <c r="AP17" i="16"/>
  <c r="AO17" i="16"/>
  <c r="AN17" i="16"/>
  <c r="AM17" i="16"/>
  <c r="AL17" i="16"/>
  <c r="AK17" i="16"/>
  <c r="AJ17" i="16"/>
  <c r="AI17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F17" i="16"/>
  <c r="E17" i="16"/>
  <c r="D17" i="16"/>
  <c r="BJ16" i="16"/>
  <c r="BI16" i="16"/>
  <c r="BH16" i="16"/>
  <c r="BG16" i="16"/>
  <c r="BF16" i="16"/>
  <c r="BE16" i="16"/>
  <c r="BD16" i="16"/>
  <c r="BC16" i="16"/>
  <c r="BB16" i="16"/>
  <c r="BA16" i="16"/>
  <c r="AZ16" i="16"/>
  <c r="AY16" i="16"/>
  <c r="AX16" i="16"/>
  <c r="AW16" i="16"/>
  <c r="AV16" i="16"/>
  <c r="AU16" i="16"/>
  <c r="AT16" i="16"/>
  <c r="AS16" i="16"/>
  <c r="AR16" i="16"/>
  <c r="AQ16" i="16"/>
  <c r="AP16" i="16"/>
  <c r="AO16" i="16"/>
  <c r="AN16" i="16"/>
  <c r="AM16" i="16"/>
  <c r="AL16" i="16"/>
  <c r="AK16" i="16"/>
  <c r="AJ16" i="16"/>
  <c r="AI16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F16" i="16"/>
  <c r="E16" i="16"/>
  <c r="D16" i="16"/>
  <c r="BJ15" i="16"/>
  <c r="BI15" i="16"/>
  <c r="BH15" i="16"/>
  <c r="BG15" i="16"/>
  <c r="BF15" i="16"/>
  <c r="BE15" i="16"/>
  <c r="BD15" i="16"/>
  <c r="BC15" i="16"/>
  <c r="BB15" i="16"/>
  <c r="BA15" i="16"/>
  <c r="AZ15" i="16"/>
  <c r="AY15" i="16"/>
  <c r="AX15" i="16"/>
  <c r="AW15" i="16"/>
  <c r="AV15" i="16"/>
  <c r="AU15" i="16"/>
  <c r="AT15" i="16"/>
  <c r="AS15" i="16"/>
  <c r="AR15" i="16"/>
  <c r="AQ15" i="16"/>
  <c r="AP15" i="16"/>
  <c r="AO15" i="16"/>
  <c r="AN15" i="16"/>
  <c r="AM15" i="16"/>
  <c r="AL15" i="16"/>
  <c r="AK15" i="16"/>
  <c r="AJ15" i="16"/>
  <c r="AI15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F15" i="16"/>
  <c r="E15" i="16"/>
  <c r="D15" i="16"/>
  <c r="BJ9" i="16"/>
  <c r="BI9" i="16"/>
  <c r="BH9" i="16"/>
  <c r="BG9" i="16"/>
  <c r="BF9" i="16"/>
  <c r="BE9" i="16"/>
  <c r="BD9" i="16"/>
  <c r="BC9" i="16"/>
  <c r="BB9" i="16"/>
  <c r="BA9" i="16"/>
  <c r="AZ9" i="16"/>
  <c r="AY9" i="16"/>
  <c r="AX9" i="16"/>
  <c r="AW9" i="16"/>
  <c r="AV9" i="16"/>
  <c r="AU9" i="16"/>
  <c r="AT9" i="16"/>
  <c r="AS9" i="16"/>
  <c r="AR9" i="16"/>
  <c r="AQ9" i="16"/>
  <c r="AP9" i="16"/>
  <c r="AO9" i="16"/>
  <c r="AN9" i="16"/>
  <c r="AM9" i="16"/>
  <c r="AL9" i="16"/>
  <c r="AK9" i="16"/>
  <c r="AJ9" i="16"/>
  <c r="AI9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F9" i="16"/>
  <c r="E9" i="16"/>
  <c r="D9" i="16"/>
  <c r="BJ139" i="17"/>
  <c r="BI139" i="17"/>
  <c r="BH139" i="17"/>
  <c r="BG139" i="17"/>
  <c r="BF139" i="17"/>
  <c r="BE139" i="17"/>
  <c r="BD139" i="17"/>
  <c r="BC139" i="17"/>
  <c r="BB139" i="17"/>
  <c r="BA139" i="17"/>
  <c r="AZ139" i="17"/>
  <c r="AY139" i="17"/>
  <c r="AX139" i="17"/>
  <c r="AW139" i="17"/>
  <c r="AV139" i="17"/>
  <c r="AU139" i="17"/>
  <c r="AT139" i="17"/>
  <c r="AS139" i="17"/>
  <c r="AR139" i="17"/>
  <c r="AQ139" i="17"/>
  <c r="AP139" i="17"/>
  <c r="AO139" i="17"/>
  <c r="AN139" i="17"/>
  <c r="AM139" i="17"/>
  <c r="AL139" i="17"/>
  <c r="AK139" i="17"/>
  <c r="AJ139" i="17"/>
  <c r="AI139" i="17"/>
  <c r="AH139" i="17"/>
  <c r="AG139" i="17"/>
  <c r="AF139" i="17"/>
  <c r="AE139" i="17"/>
  <c r="AD139" i="17"/>
  <c r="AC139" i="17"/>
  <c r="AB139" i="17"/>
  <c r="AA139" i="17"/>
  <c r="Z139" i="17"/>
  <c r="Y139" i="17"/>
  <c r="X139" i="17"/>
  <c r="W139" i="17"/>
  <c r="V139" i="17"/>
  <c r="U139" i="17"/>
  <c r="T139" i="17"/>
  <c r="S139" i="17"/>
  <c r="R139" i="17"/>
  <c r="Q139" i="17"/>
  <c r="P139" i="17"/>
  <c r="O139" i="17"/>
  <c r="N139" i="17"/>
  <c r="M139" i="17"/>
  <c r="L139" i="17"/>
  <c r="K139" i="17"/>
  <c r="J139" i="17"/>
  <c r="I139" i="17"/>
  <c r="H139" i="17"/>
  <c r="G139" i="17"/>
  <c r="F139" i="17"/>
  <c r="E139" i="17"/>
  <c r="D139" i="17"/>
  <c r="BJ130" i="17"/>
  <c r="BI130" i="17"/>
  <c r="BH130" i="17"/>
  <c r="BG130" i="17"/>
  <c r="BF130" i="17"/>
  <c r="BE130" i="17"/>
  <c r="BD130" i="17"/>
  <c r="BC130" i="17"/>
  <c r="BB130" i="17"/>
  <c r="BA130" i="17"/>
  <c r="AZ130" i="17"/>
  <c r="AY130" i="17"/>
  <c r="AX130" i="17"/>
  <c r="AW130" i="17"/>
  <c r="AV130" i="17"/>
  <c r="AU130" i="17"/>
  <c r="AT130" i="17"/>
  <c r="AS130" i="17"/>
  <c r="AR130" i="17"/>
  <c r="AQ130" i="17"/>
  <c r="AP130" i="17"/>
  <c r="AO130" i="17"/>
  <c r="AN130" i="17"/>
  <c r="AM130" i="17"/>
  <c r="AL130" i="17"/>
  <c r="AK130" i="17"/>
  <c r="AJ130" i="17"/>
  <c r="AI130" i="17"/>
  <c r="AH130" i="17"/>
  <c r="AG130" i="17"/>
  <c r="AF130" i="17"/>
  <c r="AE130" i="17"/>
  <c r="AD130" i="17"/>
  <c r="AC130" i="17"/>
  <c r="AB130" i="17"/>
  <c r="AA130" i="17"/>
  <c r="Z130" i="17"/>
  <c r="Y130" i="17"/>
  <c r="X130" i="17"/>
  <c r="W130" i="17"/>
  <c r="V130" i="17"/>
  <c r="U130" i="17"/>
  <c r="T130" i="17"/>
  <c r="S130" i="17"/>
  <c r="R130" i="17"/>
  <c r="Q130" i="17"/>
  <c r="P130" i="17"/>
  <c r="O130" i="17"/>
  <c r="N130" i="17"/>
  <c r="M130" i="17"/>
  <c r="L130" i="17"/>
  <c r="K130" i="17"/>
  <c r="J130" i="17"/>
  <c r="I130" i="17"/>
  <c r="H130" i="17"/>
  <c r="G130" i="17"/>
  <c r="F130" i="17"/>
  <c r="E130" i="17"/>
  <c r="D130" i="17"/>
  <c r="BJ121" i="17"/>
  <c r="BI121" i="17"/>
  <c r="BH121" i="17"/>
  <c r="BG121" i="17"/>
  <c r="BF121" i="17"/>
  <c r="BE121" i="17"/>
  <c r="BD121" i="17"/>
  <c r="BC121" i="17"/>
  <c r="BB121" i="17"/>
  <c r="BA121" i="17"/>
  <c r="AZ121" i="17"/>
  <c r="AY121" i="17"/>
  <c r="AX121" i="17"/>
  <c r="AW121" i="17"/>
  <c r="AV121" i="17"/>
  <c r="AU121" i="17"/>
  <c r="AT121" i="17"/>
  <c r="AS121" i="17"/>
  <c r="AR121" i="17"/>
  <c r="AQ121" i="17"/>
  <c r="AP121" i="17"/>
  <c r="AO121" i="17"/>
  <c r="AN121" i="17"/>
  <c r="AM121" i="17"/>
  <c r="AL121" i="17"/>
  <c r="AK121" i="17"/>
  <c r="AJ121" i="17"/>
  <c r="AI121" i="17"/>
  <c r="AH121" i="17"/>
  <c r="AG121" i="17"/>
  <c r="AF121" i="17"/>
  <c r="AE121" i="17"/>
  <c r="AD121" i="17"/>
  <c r="AC121" i="17"/>
  <c r="AB121" i="17"/>
  <c r="AA121" i="17"/>
  <c r="Z121" i="17"/>
  <c r="Y121" i="17"/>
  <c r="X121" i="17"/>
  <c r="W121" i="17"/>
  <c r="V121" i="17"/>
  <c r="U121" i="17"/>
  <c r="T121" i="17"/>
  <c r="S121" i="17"/>
  <c r="R121" i="17"/>
  <c r="Q121" i="17"/>
  <c r="P121" i="17"/>
  <c r="O121" i="17"/>
  <c r="N121" i="17"/>
  <c r="M121" i="17"/>
  <c r="L121" i="17"/>
  <c r="K121" i="17"/>
  <c r="J121" i="17"/>
  <c r="I121" i="17"/>
  <c r="H121" i="17"/>
  <c r="G121" i="17"/>
  <c r="F121" i="17"/>
  <c r="E121" i="17"/>
  <c r="D121" i="17"/>
  <c r="BJ106" i="17"/>
  <c r="BI106" i="17"/>
  <c r="BI112" i="17" s="1"/>
  <c r="BH106" i="17"/>
  <c r="BH112" i="17" s="1"/>
  <c r="BG106" i="17"/>
  <c r="BG112" i="17" s="1"/>
  <c r="BF106" i="17"/>
  <c r="BF112" i="17" s="1"/>
  <c r="BE106" i="17"/>
  <c r="BE112" i="17" s="1"/>
  <c r="BD106" i="17"/>
  <c r="BD112" i="17" s="1"/>
  <c r="BC106" i="17"/>
  <c r="BC112" i="17" s="1"/>
  <c r="BB106" i="17"/>
  <c r="BB112" i="17" s="1"/>
  <c r="BA106" i="17"/>
  <c r="BA112" i="17" s="1"/>
  <c r="AZ106" i="17"/>
  <c r="AZ112" i="17" s="1"/>
  <c r="AY106" i="17"/>
  <c r="AY112" i="17" s="1"/>
  <c r="AX106" i="17"/>
  <c r="AX112" i="17" s="1"/>
  <c r="AW106" i="17"/>
  <c r="AW112" i="17" s="1"/>
  <c r="AV106" i="17"/>
  <c r="AV112" i="17" s="1"/>
  <c r="AU106" i="17"/>
  <c r="AU112" i="17" s="1"/>
  <c r="AT106" i="17"/>
  <c r="AT112" i="17" s="1"/>
  <c r="AS106" i="17"/>
  <c r="AS112" i="17" s="1"/>
  <c r="AR106" i="17"/>
  <c r="AR112" i="17" s="1"/>
  <c r="AQ106" i="17"/>
  <c r="AQ112" i="17" s="1"/>
  <c r="AP106" i="17"/>
  <c r="AP112" i="17" s="1"/>
  <c r="AO106" i="17"/>
  <c r="AO112" i="17" s="1"/>
  <c r="AN106" i="17"/>
  <c r="AN112" i="17" s="1"/>
  <c r="AM106" i="17"/>
  <c r="AM112" i="17" s="1"/>
  <c r="AL106" i="17"/>
  <c r="AL112" i="17" s="1"/>
  <c r="AK106" i="17"/>
  <c r="AK112" i="17" s="1"/>
  <c r="AJ106" i="17"/>
  <c r="AJ112" i="17" s="1"/>
  <c r="AI106" i="17"/>
  <c r="AI112" i="17" s="1"/>
  <c r="AH106" i="17"/>
  <c r="AH112" i="17" s="1"/>
  <c r="AG106" i="17"/>
  <c r="AG112" i="17" s="1"/>
  <c r="AF106" i="17"/>
  <c r="AF112" i="17" s="1"/>
  <c r="AE106" i="17"/>
  <c r="AE112" i="17" s="1"/>
  <c r="AD106" i="17"/>
  <c r="AD112" i="17" s="1"/>
  <c r="AC106" i="17"/>
  <c r="AC112" i="17" s="1"/>
  <c r="AB106" i="17"/>
  <c r="AB112" i="17" s="1"/>
  <c r="AA106" i="17"/>
  <c r="AA112" i="17" s="1"/>
  <c r="Z106" i="17"/>
  <c r="Z112" i="17" s="1"/>
  <c r="Y106" i="17"/>
  <c r="Y112" i="17" s="1"/>
  <c r="X106" i="17"/>
  <c r="X112" i="17" s="1"/>
  <c r="W106" i="17"/>
  <c r="W112" i="17" s="1"/>
  <c r="V106" i="17"/>
  <c r="V112" i="17" s="1"/>
  <c r="U106" i="17"/>
  <c r="U112" i="17" s="1"/>
  <c r="T106" i="17"/>
  <c r="T112" i="17" s="1"/>
  <c r="S106" i="17"/>
  <c r="S112" i="17" s="1"/>
  <c r="R106" i="17"/>
  <c r="R112" i="17" s="1"/>
  <c r="Q106" i="17"/>
  <c r="Q112" i="17" s="1"/>
  <c r="P106" i="17"/>
  <c r="P112" i="17" s="1"/>
  <c r="O106" i="17"/>
  <c r="O112" i="17" s="1"/>
  <c r="N106" i="17"/>
  <c r="N112" i="17" s="1"/>
  <c r="M106" i="17"/>
  <c r="M112" i="17" s="1"/>
  <c r="L106" i="17"/>
  <c r="L112" i="17" s="1"/>
  <c r="K106" i="17"/>
  <c r="K112" i="17" s="1"/>
  <c r="J106" i="17"/>
  <c r="J112" i="17" s="1"/>
  <c r="I106" i="17"/>
  <c r="I112" i="17" s="1"/>
  <c r="H106" i="17"/>
  <c r="H112" i="17" s="1"/>
  <c r="G106" i="17"/>
  <c r="G112" i="17" s="1"/>
  <c r="F106" i="17"/>
  <c r="F112" i="17" s="1"/>
  <c r="E106" i="17"/>
  <c r="E112" i="17" s="1"/>
  <c r="D106" i="17"/>
  <c r="D112" i="17" s="1"/>
  <c r="BJ81" i="17"/>
  <c r="BI81" i="17"/>
  <c r="BH81" i="17"/>
  <c r="BG81" i="17"/>
  <c r="BF81" i="17"/>
  <c r="BE81" i="17"/>
  <c r="BD81" i="17"/>
  <c r="BC81" i="17"/>
  <c r="BB81" i="17"/>
  <c r="BA81" i="17"/>
  <c r="AZ81" i="17"/>
  <c r="AY81" i="17"/>
  <c r="AX81" i="17"/>
  <c r="AW81" i="17"/>
  <c r="AV81" i="17"/>
  <c r="AU81" i="17"/>
  <c r="AT81" i="17"/>
  <c r="AS81" i="17"/>
  <c r="AR81" i="17"/>
  <c r="AQ81" i="17"/>
  <c r="AP81" i="17"/>
  <c r="AO81" i="17"/>
  <c r="AN81" i="17"/>
  <c r="AM81" i="17"/>
  <c r="AL81" i="17"/>
  <c r="AK81" i="17"/>
  <c r="AJ81" i="17"/>
  <c r="AI81" i="17"/>
  <c r="AH81" i="17"/>
  <c r="AG81" i="17"/>
  <c r="AF81" i="17"/>
  <c r="AE81" i="17"/>
  <c r="AD81" i="17"/>
  <c r="AC81" i="17"/>
  <c r="AB81" i="17"/>
  <c r="AA81" i="17"/>
  <c r="Z81" i="17"/>
  <c r="Y81" i="17"/>
  <c r="X81" i="17"/>
  <c r="W81" i="17"/>
  <c r="V81" i="17"/>
  <c r="U81" i="17"/>
  <c r="T81" i="17"/>
  <c r="S81" i="17"/>
  <c r="R81" i="17"/>
  <c r="Q81" i="17"/>
  <c r="P81" i="17"/>
  <c r="O81" i="17"/>
  <c r="N81" i="17"/>
  <c r="M81" i="17"/>
  <c r="L81" i="17"/>
  <c r="K81" i="17"/>
  <c r="J81" i="17"/>
  <c r="I81" i="17"/>
  <c r="H81" i="17"/>
  <c r="G81" i="17"/>
  <c r="F81" i="17"/>
  <c r="E81" i="17"/>
  <c r="D81" i="17"/>
  <c r="BJ37" i="17"/>
  <c r="BJ36" i="17"/>
  <c r="D36" i="17"/>
  <c r="BJ33" i="17"/>
  <c r="BI33" i="17"/>
  <c r="BH33" i="17"/>
  <c r="BG33" i="17"/>
  <c r="BF33" i="17"/>
  <c r="BE33" i="17"/>
  <c r="BD33" i="17"/>
  <c r="BC33" i="17"/>
  <c r="BB33" i="17"/>
  <c r="BA33" i="17"/>
  <c r="AZ33" i="17"/>
  <c r="AY33" i="17"/>
  <c r="AX33" i="17"/>
  <c r="AW33" i="17"/>
  <c r="AV33" i="17"/>
  <c r="AU33" i="17"/>
  <c r="AT33" i="17"/>
  <c r="AS33" i="17"/>
  <c r="AR33" i="17"/>
  <c r="AQ33" i="17"/>
  <c r="AP33" i="17"/>
  <c r="AO33" i="17"/>
  <c r="AN33" i="17"/>
  <c r="AM33" i="17"/>
  <c r="AL33" i="17"/>
  <c r="AK33" i="17"/>
  <c r="AJ33" i="17"/>
  <c r="AI33" i="17"/>
  <c r="AH33" i="17"/>
  <c r="AG33" i="17"/>
  <c r="AF33" i="17"/>
  <c r="AE33" i="17"/>
  <c r="AD33" i="17"/>
  <c r="AC33" i="17"/>
  <c r="AB33" i="17"/>
  <c r="AA33" i="17"/>
  <c r="Z33" i="17"/>
  <c r="Y33" i="17"/>
  <c r="X33" i="17"/>
  <c r="W33" i="17"/>
  <c r="V33" i="17"/>
  <c r="U33" i="17"/>
  <c r="T33" i="17"/>
  <c r="S33" i="17"/>
  <c r="R33" i="17"/>
  <c r="Q33" i="17"/>
  <c r="P33" i="17"/>
  <c r="O33" i="17"/>
  <c r="N33" i="17"/>
  <c r="M33" i="17"/>
  <c r="L33" i="17"/>
  <c r="K33" i="17"/>
  <c r="J33" i="17"/>
  <c r="I33" i="17"/>
  <c r="H33" i="17"/>
  <c r="G33" i="17"/>
  <c r="F33" i="17"/>
  <c r="E33" i="17"/>
  <c r="D33" i="17"/>
  <c r="BJ32" i="17"/>
  <c r="BI32" i="17"/>
  <c r="BH32" i="17"/>
  <c r="BG32" i="17"/>
  <c r="BF32" i="17"/>
  <c r="BE32" i="17"/>
  <c r="BD32" i="17"/>
  <c r="BC32" i="17"/>
  <c r="BB32" i="17"/>
  <c r="BA32" i="17"/>
  <c r="AZ32" i="17"/>
  <c r="AY32" i="17"/>
  <c r="AX32" i="17"/>
  <c r="AW32" i="17"/>
  <c r="AV32" i="17"/>
  <c r="AU32" i="17"/>
  <c r="AT32" i="17"/>
  <c r="AS32" i="17"/>
  <c r="AR32" i="17"/>
  <c r="AQ32" i="17"/>
  <c r="AP32" i="17"/>
  <c r="AO32" i="17"/>
  <c r="AN32" i="17"/>
  <c r="AM32" i="17"/>
  <c r="AL32" i="17"/>
  <c r="AK32" i="17"/>
  <c r="AJ32" i="17"/>
  <c r="AI32" i="17"/>
  <c r="AH32" i="17"/>
  <c r="AG32" i="17"/>
  <c r="AF32" i="17"/>
  <c r="AE32" i="17"/>
  <c r="AD32" i="17"/>
  <c r="AC32" i="17"/>
  <c r="AB32" i="17"/>
  <c r="AA32" i="17"/>
  <c r="Z32" i="17"/>
  <c r="Y32" i="17"/>
  <c r="X32" i="17"/>
  <c r="W32" i="17"/>
  <c r="V32" i="17"/>
  <c r="U32" i="17"/>
  <c r="T32" i="17"/>
  <c r="S32" i="17"/>
  <c r="R32" i="17"/>
  <c r="Q32" i="17"/>
  <c r="P32" i="17"/>
  <c r="O32" i="17"/>
  <c r="N32" i="17"/>
  <c r="M32" i="17"/>
  <c r="L32" i="17"/>
  <c r="K32" i="17"/>
  <c r="J32" i="17"/>
  <c r="I32" i="17"/>
  <c r="H32" i="17"/>
  <c r="G32" i="17"/>
  <c r="F32" i="17"/>
  <c r="E32" i="17"/>
  <c r="D32" i="17"/>
  <c r="BJ31" i="17"/>
  <c r="BI31" i="17"/>
  <c r="BH31" i="17"/>
  <c r="BG31" i="17"/>
  <c r="BF31" i="17"/>
  <c r="BE31" i="17"/>
  <c r="BD31" i="17"/>
  <c r="BC31" i="17"/>
  <c r="BB31" i="17"/>
  <c r="BA31" i="17"/>
  <c r="AZ31" i="17"/>
  <c r="AY31" i="17"/>
  <c r="AX31" i="17"/>
  <c r="AW31" i="17"/>
  <c r="AV31" i="17"/>
  <c r="AU31" i="17"/>
  <c r="AT31" i="17"/>
  <c r="AS31" i="17"/>
  <c r="AR31" i="17"/>
  <c r="AQ31" i="17"/>
  <c r="AP31" i="17"/>
  <c r="AO31" i="17"/>
  <c r="AN31" i="17"/>
  <c r="AM31" i="17"/>
  <c r="AL31" i="17"/>
  <c r="AK31" i="17"/>
  <c r="AJ31" i="17"/>
  <c r="AI31" i="17"/>
  <c r="AH31" i="17"/>
  <c r="AG31" i="17"/>
  <c r="AF31" i="17"/>
  <c r="AE31" i="17"/>
  <c r="AD31" i="17"/>
  <c r="AC31" i="17"/>
  <c r="AB31" i="17"/>
  <c r="AA31" i="17"/>
  <c r="Z31" i="17"/>
  <c r="Y31" i="17"/>
  <c r="X31" i="17"/>
  <c r="W31" i="17"/>
  <c r="V31" i="17"/>
  <c r="U31" i="17"/>
  <c r="T31" i="17"/>
  <c r="S31" i="17"/>
  <c r="R31" i="17"/>
  <c r="Q31" i="17"/>
  <c r="P31" i="17"/>
  <c r="O31" i="17"/>
  <c r="N31" i="17"/>
  <c r="M31" i="17"/>
  <c r="L31" i="17"/>
  <c r="K31" i="17"/>
  <c r="J31" i="17"/>
  <c r="I31" i="17"/>
  <c r="H31" i="17"/>
  <c r="G31" i="17"/>
  <c r="F31" i="17"/>
  <c r="E31" i="17"/>
  <c r="D31" i="17"/>
  <c r="BJ30" i="17"/>
  <c r="BI30" i="17"/>
  <c r="BH30" i="17"/>
  <c r="BG30" i="17"/>
  <c r="BF30" i="17"/>
  <c r="BE30" i="17"/>
  <c r="BD30" i="17"/>
  <c r="BC30" i="17"/>
  <c r="BB30" i="17"/>
  <c r="BA30" i="17"/>
  <c r="AZ30" i="17"/>
  <c r="AY30" i="17"/>
  <c r="AX30" i="17"/>
  <c r="AW30" i="17"/>
  <c r="AV30" i="17"/>
  <c r="AU30" i="17"/>
  <c r="AT30" i="17"/>
  <c r="AS30" i="17"/>
  <c r="AR30" i="17"/>
  <c r="AQ30" i="17"/>
  <c r="AP30" i="17"/>
  <c r="AO30" i="17"/>
  <c r="AN30" i="17"/>
  <c r="AM30" i="17"/>
  <c r="AL30" i="17"/>
  <c r="AK30" i="17"/>
  <c r="AJ30" i="17"/>
  <c r="AI30" i="17"/>
  <c r="AH30" i="17"/>
  <c r="AG30" i="17"/>
  <c r="AF30" i="17"/>
  <c r="AE30" i="17"/>
  <c r="AD30" i="17"/>
  <c r="AC30" i="17"/>
  <c r="AB30" i="17"/>
  <c r="AA30" i="17"/>
  <c r="Z30" i="17"/>
  <c r="Y30" i="17"/>
  <c r="X30" i="17"/>
  <c r="W30" i="17"/>
  <c r="V30" i="17"/>
  <c r="U30" i="17"/>
  <c r="T30" i="17"/>
  <c r="S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BJ28" i="17"/>
  <c r="BI28" i="17"/>
  <c r="BH28" i="17"/>
  <c r="BG28" i="17"/>
  <c r="BF28" i="17"/>
  <c r="BE28" i="17"/>
  <c r="BD28" i="17"/>
  <c r="BC28" i="17"/>
  <c r="BB28" i="17"/>
  <c r="BA28" i="17"/>
  <c r="AZ28" i="17"/>
  <c r="AY28" i="17"/>
  <c r="AX28" i="17"/>
  <c r="AW28" i="17"/>
  <c r="AV28" i="17"/>
  <c r="AU28" i="17"/>
  <c r="AT28" i="17"/>
  <c r="AS28" i="17"/>
  <c r="AR28" i="17"/>
  <c r="AQ28" i="17"/>
  <c r="AP28" i="17"/>
  <c r="AO28" i="17"/>
  <c r="AN28" i="17"/>
  <c r="AM28" i="17"/>
  <c r="AL28" i="17"/>
  <c r="AK28" i="17"/>
  <c r="AJ28" i="17"/>
  <c r="AI28" i="17"/>
  <c r="AH28" i="17"/>
  <c r="AG28" i="17"/>
  <c r="AF28" i="17"/>
  <c r="AE28" i="17"/>
  <c r="AD28" i="17"/>
  <c r="AC28" i="17"/>
  <c r="AB28" i="17"/>
  <c r="AA28" i="17"/>
  <c r="Z28" i="17"/>
  <c r="Y28" i="17"/>
  <c r="X28" i="17"/>
  <c r="W28" i="17"/>
  <c r="V28" i="17"/>
  <c r="U28" i="17"/>
  <c r="T28" i="17"/>
  <c r="S28" i="17"/>
  <c r="R28" i="17"/>
  <c r="Q28" i="17"/>
  <c r="P28" i="17"/>
  <c r="O28" i="17"/>
  <c r="N28" i="17"/>
  <c r="M28" i="17"/>
  <c r="L28" i="17"/>
  <c r="K28" i="17"/>
  <c r="J28" i="17"/>
  <c r="I28" i="17"/>
  <c r="H28" i="17"/>
  <c r="G28" i="17"/>
  <c r="F28" i="17"/>
  <c r="E28" i="17"/>
  <c r="D28" i="17"/>
  <c r="BJ27" i="17"/>
  <c r="BI27" i="17"/>
  <c r="BH27" i="17"/>
  <c r="BG27" i="17"/>
  <c r="BF27" i="17"/>
  <c r="BE27" i="17"/>
  <c r="BD27" i="17"/>
  <c r="BC27" i="17"/>
  <c r="BB27" i="17"/>
  <c r="BA27" i="17"/>
  <c r="AZ27" i="17"/>
  <c r="AY27" i="17"/>
  <c r="AX27" i="17"/>
  <c r="AW27" i="17"/>
  <c r="AV27" i="17"/>
  <c r="AU27" i="17"/>
  <c r="AT27" i="17"/>
  <c r="AS27" i="17"/>
  <c r="AR27" i="17"/>
  <c r="AQ27" i="17"/>
  <c r="AP27" i="17"/>
  <c r="AO27" i="17"/>
  <c r="AN27" i="17"/>
  <c r="AM27" i="17"/>
  <c r="AL27" i="17"/>
  <c r="AK27" i="17"/>
  <c r="AJ27" i="17"/>
  <c r="AI27" i="17"/>
  <c r="AH27" i="17"/>
  <c r="AG27" i="17"/>
  <c r="AF27" i="17"/>
  <c r="AE27" i="17"/>
  <c r="AD27" i="17"/>
  <c r="AC27" i="17"/>
  <c r="AB27" i="17"/>
  <c r="AA27" i="17"/>
  <c r="Z27" i="17"/>
  <c r="Y27" i="17"/>
  <c r="X27" i="17"/>
  <c r="W27" i="17"/>
  <c r="V27" i="17"/>
  <c r="U27" i="17"/>
  <c r="T27" i="17"/>
  <c r="S27" i="17"/>
  <c r="R27" i="17"/>
  <c r="Q27" i="17"/>
  <c r="P27" i="17"/>
  <c r="O27" i="17"/>
  <c r="N27" i="17"/>
  <c r="M27" i="17"/>
  <c r="L27" i="17"/>
  <c r="K27" i="17"/>
  <c r="J27" i="17"/>
  <c r="I27" i="17"/>
  <c r="H27" i="17"/>
  <c r="G27" i="17"/>
  <c r="F27" i="17"/>
  <c r="E27" i="17"/>
  <c r="D27" i="17"/>
  <c r="BJ26" i="17"/>
  <c r="BI26" i="17"/>
  <c r="BH26" i="17"/>
  <c r="BG26" i="17"/>
  <c r="BF26" i="17"/>
  <c r="BE26" i="17"/>
  <c r="BD26" i="17"/>
  <c r="BC26" i="17"/>
  <c r="BB26" i="17"/>
  <c r="BA26" i="17"/>
  <c r="AZ26" i="17"/>
  <c r="AY26" i="17"/>
  <c r="AX26" i="17"/>
  <c r="AW26" i="17"/>
  <c r="AV26" i="17"/>
  <c r="AU26" i="17"/>
  <c r="AT26" i="17"/>
  <c r="AS26" i="17"/>
  <c r="AR26" i="17"/>
  <c r="AQ26" i="17"/>
  <c r="AP26" i="17"/>
  <c r="AO26" i="17"/>
  <c r="AN26" i="17"/>
  <c r="AM26" i="17"/>
  <c r="AL26" i="17"/>
  <c r="AK26" i="17"/>
  <c r="AJ26" i="17"/>
  <c r="AI26" i="17"/>
  <c r="AH26" i="17"/>
  <c r="AG26" i="17"/>
  <c r="AF26" i="17"/>
  <c r="AE26" i="17"/>
  <c r="AD26" i="17"/>
  <c r="AC26" i="17"/>
  <c r="AB26" i="17"/>
  <c r="AA26" i="17"/>
  <c r="Z26" i="17"/>
  <c r="Y26" i="17"/>
  <c r="X26" i="17"/>
  <c r="W26" i="17"/>
  <c r="V26" i="17"/>
  <c r="U26" i="17"/>
  <c r="T26" i="17"/>
  <c r="S26" i="17"/>
  <c r="R26" i="17"/>
  <c r="Q26" i="17"/>
  <c r="P26" i="17"/>
  <c r="O26" i="17"/>
  <c r="N26" i="17"/>
  <c r="M26" i="17"/>
  <c r="L26" i="17"/>
  <c r="K26" i="17"/>
  <c r="J26" i="17"/>
  <c r="I26" i="17"/>
  <c r="H26" i="17"/>
  <c r="G26" i="17"/>
  <c r="F26" i="17"/>
  <c r="E26" i="17"/>
  <c r="D26" i="17"/>
  <c r="BJ25" i="17"/>
  <c r="BI25" i="17"/>
  <c r="BH25" i="17"/>
  <c r="BG25" i="17"/>
  <c r="BF25" i="17"/>
  <c r="BE25" i="17"/>
  <c r="BD25" i="17"/>
  <c r="BC25" i="17"/>
  <c r="BB25" i="17"/>
  <c r="BA25" i="17"/>
  <c r="AZ25" i="17"/>
  <c r="AY25" i="17"/>
  <c r="AX25" i="17"/>
  <c r="AW25" i="17"/>
  <c r="AV25" i="17"/>
  <c r="AU25" i="17"/>
  <c r="AT25" i="17"/>
  <c r="AS25" i="17"/>
  <c r="AR25" i="17"/>
  <c r="AQ25" i="17"/>
  <c r="AP25" i="17"/>
  <c r="AO25" i="17"/>
  <c r="AN25" i="17"/>
  <c r="AM25" i="17"/>
  <c r="AL25" i="17"/>
  <c r="AK25" i="17"/>
  <c r="AJ25" i="17"/>
  <c r="AI25" i="17"/>
  <c r="AH25" i="17"/>
  <c r="AG25" i="17"/>
  <c r="AF25" i="17"/>
  <c r="AE25" i="17"/>
  <c r="AD25" i="17"/>
  <c r="AC25" i="17"/>
  <c r="AB25" i="17"/>
  <c r="AA25" i="17"/>
  <c r="Z25" i="17"/>
  <c r="Y25" i="17"/>
  <c r="X25" i="17"/>
  <c r="W25" i="17"/>
  <c r="V25" i="17"/>
  <c r="U25" i="17"/>
  <c r="T25" i="17"/>
  <c r="S25" i="17"/>
  <c r="R25" i="17"/>
  <c r="Q25" i="17"/>
  <c r="P25" i="17"/>
  <c r="O25" i="17"/>
  <c r="N25" i="17"/>
  <c r="M25" i="17"/>
  <c r="L25" i="17"/>
  <c r="K25" i="17"/>
  <c r="J25" i="17"/>
  <c r="I25" i="17"/>
  <c r="H25" i="17"/>
  <c r="G25" i="17"/>
  <c r="F25" i="17"/>
  <c r="E25" i="17"/>
  <c r="D25" i="17"/>
  <c r="BJ23" i="17"/>
  <c r="BI23" i="17"/>
  <c r="BH23" i="17"/>
  <c r="BG23" i="17"/>
  <c r="BF23" i="17"/>
  <c r="BE23" i="17"/>
  <c r="BD23" i="17"/>
  <c r="BC23" i="17"/>
  <c r="BB23" i="17"/>
  <c r="BA23" i="17"/>
  <c r="AZ23" i="17"/>
  <c r="AY23" i="17"/>
  <c r="AX23" i="17"/>
  <c r="AW23" i="17"/>
  <c r="AV23" i="17"/>
  <c r="AU23" i="17"/>
  <c r="AT23" i="17"/>
  <c r="AS23" i="17"/>
  <c r="AR23" i="17"/>
  <c r="AQ23" i="17"/>
  <c r="AP23" i="17"/>
  <c r="AO23" i="17"/>
  <c r="AN23" i="17"/>
  <c r="AM23" i="17"/>
  <c r="AL23" i="17"/>
  <c r="AK23" i="17"/>
  <c r="AJ23" i="17"/>
  <c r="AI23" i="17"/>
  <c r="AH23" i="17"/>
  <c r="AG23" i="17"/>
  <c r="AF23" i="17"/>
  <c r="AE23" i="17"/>
  <c r="AD23" i="17"/>
  <c r="AC23" i="17"/>
  <c r="AB23" i="17"/>
  <c r="AA23" i="17"/>
  <c r="Z23" i="17"/>
  <c r="Y23" i="17"/>
  <c r="X23" i="17"/>
  <c r="W23" i="17"/>
  <c r="V23" i="17"/>
  <c r="U23" i="17"/>
  <c r="T23" i="17"/>
  <c r="S23" i="17"/>
  <c r="R23" i="17"/>
  <c r="Q23" i="17"/>
  <c r="P23" i="17"/>
  <c r="O23" i="17"/>
  <c r="N23" i="17"/>
  <c r="M23" i="17"/>
  <c r="L23" i="17"/>
  <c r="K23" i="17"/>
  <c r="J23" i="17"/>
  <c r="I23" i="17"/>
  <c r="H23" i="17"/>
  <c r="G23" i="17"/>
  <c r="F23" i="17"/>
  <c r="E23" i="17"/>
  <c r="D23" i="17"/>
  <c r="BJ22" i="17"/>
  <c r="BI22" i="17"/>
  <c r="BH22" i="17"/>
  <c r="BG22" i="17"/>
  <c r="BF22" i="17"/>
  <c r="BE22" i="17"/>
  <c r="BD22" i="17"/>
  <c r="BC22" i="17"/>
  <c r="BB22" i="17"/>
  <c r="BA22" i="17"/>
  <c r="AZ22" i="17"/>
  <c r="AY22" i="17"/>
  <c r="AX22" i="17"/>
  <c r="AW22" i="17"/>
  <c r="AV22" i="17"/>
  <c r="AU22" i="17"/>
  <c r="AT22" i="17"/>
  <c r="AS22" i="17"/>
  <c r="AR22" i="17"/>
  <c r="AQ22" i="17"/>
  <c r="AP22" i="17"/>
  <c r="AO22" i="17"/>
  <c r="AN22" i="17"/>
  <c r="AM22" i="17"/>
  <c r="AL22" i="17"/>
  <c r="AK22" i="17"/>
  <c r="AJ22" i="17"/>
  <c r="AI22" i="17"/>
  <c r="AH22" i="17"/>
  <c r="AG22" i="17"/>
  <c r="AF22" i="17"/>
  <c r="AE22" i="17"/>
  <c r="AD22" i="17"/>
  <c r="AC22" i="17"/>
  <c r="AB22" i="17"/>
  <c r="AA22" i="17"/>
  <c r="Z22" i="17"/>
  <c r="Y22" i="17"/>
  <c r="X22" i="17"/>
  <c r="W22" i="17"/>
  <c r="V22" i="17"/>
  <c r="U22" i="17"/>
  <c r="T22" i="17"/>
  <c r="S22" i="17"/>
  <c r="R22" i="17"/>
  <c r="Q22" i="17"/>
  <c r="P22" i="17"/>
  <c r="O22" i="17"/>
  <c r="N22" i="17"/>
  <c r="M22" i="17"/>
  <c r="L22" i="17"/>
  <c r="K22" i="17"/>
  <c r="J22" i="17"/>
  <c r="I22" i="17"/>
  <c r="H22" i="17"/>
  <c r="G22" i="17"/>
  <c r="F22" i="17"/>
  <c r="E22" i="17"/>
  <c r="D22" i="17"/>
  <c r="BJ21" i="17"/>
  <c r="BI21" i="17"/>
  <c r="BH21" i="17"/>
  <c r="BG21" i="17"/>
  <c r="BF21" i="17"/>
  <c r="BE21" i="17"/>
  <c r="BD21" i="17"/>
  <c r="BC21" i="17"/>
  <c r="BB21" i="17"/>
  <c r="BA21" i="17"/>
  <c r="AZ21" i="17"/>
  <c r="AY21" i="17"/>
  <c r="AX21" i="17"/>
  <c r="AW21" i="17"/>
  <c r="AV21" i="17"/>
  <c r="AU21" i="17"/>
  <c r="AT21" i="17"/>
  <c r="AS21" i="17"/>
  <c r="AR21" i="17"/>
  <c r="AQ21" i="17"/>
  <c r="AP21" i="17"/>
  <c r="AO21" i="17"/>
  <c r="AN21" i="17"/>
  <c r="AM21" i="17"/>
  <c r="AL21" i="17"/>
  <c r="AK21" i="17"/>
  <c r="AJ21" i="17"/>
  <c r="AI21" i="17"/>
  <c r="AH21" i="17"/>
  <c r="AG21" i="17"/>
  <c r="AF21" i="17"/>
  <c r="AE21" i="17"/>
  <c r="AD21" i="17"/>
  <c r="AC21" i="17"/>
  <c r="AB21" i="17"/>
  <c r="AA21" i="17"/>
  <c r="Z21" i="17"/>
  <c r="Y21" i="17"/>
  <c r="X21" i="17"/>
  <c r="W21" i="17"/>
  <c r="V21" i="17"/>
  <c r="U21" i="17"/>
  <c r="T21" i="17"/>
  <c r="S21" i="17"/>
  <c r="R21" i="17"/>
  <c r="Q21" i="17"/>
  <c r="P21" i="17"/>
  <c r="O21" i="17"/>
  <c r="N21" i="17"/>
  <c r="M21" i="17"/>
  <c r="L21" i="17"/>
  <c r="K21" i="17"/>
  <c r="J21" i="17"/>
  <c r="I21" i="17"/>
  <c r="H21" i="17"/>
  <c r="G21" i="17"/>
  <c r="F21" i="17"/>
  <c r="E21" i="17"/>
  <c r="D21" i="17"/>
  <c r="BJ20" i="17"/>
  <c r="BI20" i="17"/>
  <c r="BH20" i="17"/>
  <c r="BG20" i="17"/>
  <c r="BF20" i="17"/>
  <c r="BE20" i="17"/>
  <c r="BD20" i="17"/>
  <c r="BC20" i="17"/>
  <c r="BB20" i="17"/>
  <c r="BA20" i="17"/>
  <c r="AZ20" i="17"/>
  <c r="AY20" i="17"/>
  <c r="AX20" i="17"/>
  <c r="AW20" i="17"/>
  <c r="AV20" i="17"/>
  <c r="AU20" i="17"/>
  <c r="AT20" i="17"/>
  <c r="AS20" i="17"/>
  <c r="AR20" i="17"/>
  <c r="AQ20" i="17"/>
  <c r="AP20" i="17"/>
  <c r="AO20" i="17"/>
  <c r="AN20" i="17"/>
  <c r="AM20" i="17"/>
  <c r="AL20" i="17"/>
  <c r="AK20" i="17"/>
  <c r="AJ20" i="17"/>
  <c r="AI20" i="17"/>
  <c r="AH20" i="17"/>
  <c r="AG20" i="17"/>
  <c r="AF20" i="17"/>
  <c r="AE20" i="17"/>
  <c r="AD20" i="17"/>
  <c r="AC20" i="17"/>
  <c r="AB20" i="17"/>
  <c r="AA20" i="17"/>
  <c r="Z20" i="17"/>
  <c r="Y20" i="17"/>
  <c r="X20" i="17"/>
  <c r="W20" i="17"/>
  <c r="V20" i="17"/>
  <c r="U20" i="17"/>
  <c r="T20" i="17"/>
  <c r="S20" i="17"/>
  <c r="R20" i="17"/>
  <c r="Q20" i="17"/>
  <c r="P20" i="17"/>
  <c r="O20" i="17"/>
  <c r="N20" i="17"/>
  <c r="M20" i="17"/>
  <c r="L20" i="17"/>
  <c r="K20" i="17"/>
  <c r="J20" i="17"/>
  <c r="I20" i="17"/>
  <c r="H20" i="17"/>
  <c r="G20" i="17"/>
  <c r="F20" i="17"/>
  <c r="E20" i="17"/>
  <c r="D20" i="17"/>
  <c r="BJ18" i="17"/>
  <c r="BI18" i="17"/>
  <c r="BH18" i="17"/>
  <c r="BG18" i="17"/>
  <c r="BF18" i="17"/>
  <c r="BE18" i="17"/>
  <c r="BD18" i="17"/>
  <c r="BC18" i="17"/>
  <c r="BB18" i="17"/>
  <c r="BA18" i="17"/>
  <c r="AZ18" i="17"/>
  <c r="AY18" i="17"/>
  <c r="AX18" i="17"/>
  <c r="AW18" i="17"/>
  <c r="AV18" i="17"/>
  <c r="AU18" i="17"/>
  <c r="AT18" i="17"/>
  <c r="AS18" i="17"/>
  <c r="AR18" i="17"/>
  <c r="AQ18" i="17"/>
  <c r="AP18" i="17"/>
  <c r="AO18" i="17"/>
  <c r="AN18" i="17"/>
  <c r="AM18" i="17"/>
  <c r="AL18" i="17"/>
  <c r="AK18" i="17"/>
  <c r="AJ18" i="17"/>
  <c r="AI18" i="17"/>
  <c r="AH18" i="17"/>
  <c r="AG18" i="17"/>
  <c r="AF18" i="17"/>
  <c r="AE18" i="17"/>
  <c r="AD18" i="17"/>
  <c r="AC18" i="17"/>
  <c r="AB18" i="17"/>
  <c r="AA18" i="17"/>
  <c r="Z18" i="17"/>
  <c r="Y18" i="17"/>
  <c r="X18" i="17"/>
  <c r="W18" i="17"/>
  <c r="V18" i="17"/>
  <c r="U18" i="17"/>
  <c r="T18" i="17"/>
  <c r="S18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BJ17" i="17"/>
  <c r="BI17" i="17"/>
  <c r="BH17" i="17"/>
  <c r="BG17" i="17"/>
  <c r="BF17" i="17"/>
  <c r="BE17" i="17"/>
  <c r="BD17" i="17"/>
  <c r="BC17" i="17"/>
  <c r="BB17" i="17"/>
  <c r="BA17" i="17"/>
  <c r="AZ17" i="17"/>
  <c r="AY17" i="17"/>
  <c r="AX17" i="17"/>
  <c r="AW17" i="17"/>
  <c r="AV17" i="17"/>
  <c r="AU17" i="17"/>
  <c r="AT17" i="17"/>
  <c r="AS17" i="17"/>
  <c r="AR17" i="17"/>
  <c r="AQ17" i="17"/>
  <c r="AP17" i="17"/>
  <c r="AO17" i="17"/>
  <c r="AN17" i="17"/>
  <c r="AM17" i="17"/>
  <c r="AL17" i="17"/>
  <c r="AK17" i="17"/>
  <c r="AJ17" i="17"/>
  <c r="AI17" i="17"/>
  <c r="AH17" i="17"/>
  <c r="AG17" i="17"/>
  <c r="AF17" i="17"/>
  <c r="AE17" i="17"/>
  <c r="AD17" i="17"/>
  <c r="AC17" i="17"/>
  <c r="AB17" i="17"/>
  <c r="AA17" i="17"/>
  <c r="Z17" i="17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BJ16" i="17"/>
  <c r="BI16" i="17"/>
  <c r="BH16" i="17"/>
  <c r="BG16" i="17"/>
  <c r="BF16" i="17"/>
  <c r="BE16" i="17"/>
  <c r="BD16" i="17"/>
  <c r="BC16" i="17"/>
  <c r="BB16" i="17"/>
  <c r="BA16" i="17"/>
  <c r="AZ16" i="17"/>
  <c r="AY16" i="17"/>
  <c r="AX16" i="17"/>
  <c r="AW16" i="17"/>
  <c r="AV16" i="17"/>
  <c r="AU16" i="17"/>
  <c r="AT16" i="17"/>
  <c r="AS16" i="17"/>
  <c r="AR16" i="17"/>
  <c r="AQ16" i="17"/>
  <c r="AP16" i="17"/>
  <c r="AO16" i="17"/>
  <c r="AN16" i="17"/>
  <c r="AM16" i="17"/>
  <c r="AL16" i="17"/>
  <c r="AK16" i="17"/>
  <c r="AJ16" i="17"/>
  <c r="AI16" i="17"/>
  <c r="AH16" i="17"/>
  <c r="AG16" i="17"/>
  <c r="AF16" i="17"/>
  <c r="AE16" i="17"/>
  <c r="AD16" i="17"/>
  <c r="AC16" i="17"/>
  <c r="AB16" i="17"/>
  <c r="AA16" i="17"/>
  <c r="Z16" i="17"/>
  <c r="Y16" i="17"/>
  <c r="X16" i="17"/>
  <c r="W16" i="17"/>
  <c r="V16" i="17"/>
  <c r="U16" i="17"/>
  <c r="T16" i="17"/>
  <c r="S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BJ15" i="17"/>
  <c r="BI15" i="17"/>
  <c r="BH15" i="17"/>
  <c r="BG15" i="17"/>
  <c r="BF15" i="17"/>
  <c r="BE15" i="17"/>
  <c r="BD15" i="17"/>
  <c r="BC15" i="17"/>
  <c r="BB15" i="17"/>
  <c r="BA15" i="17"/>
  <c r="AZ15" i="17"/>
  <c r="AY15" i="17"/>
  <c r="AX15" i="17"/>
  <c r="AW15" i="17"/>
  <c r="AV15" i="17"/>
  <c r="AU15" i="17"/>
  <c r="AT15" i="17"/>
  <c r="AS15" i="17"/>
  <c r="AR15" i="17"/>
  <c r="AQ15" i="17"/>
  <c r="AP15" i="17"/>
  <c r="AO15" i="17"/>
  <c r="AN15" i="17"/>
  <c r="AM15" i="17"/>
  <c r="AL15" i="17"/>
  <c r="AK15" i="17"/>
  <c r="AJ15" i="17"/>
  <c r="AI15" i="17"/>
  <c r="AH15" i="17"/>
  <c r="AG15" i="17"/>
  <c r="AF15" i="17"/>
  <c r="AE15" i="17"/>
  <c r="AD15" i="17"/>
  <c r="AC15" i="17"/>
  <c r="AB15" i="17"/>
  <c r="AA15" i="17"/>
  <c r="Z15" i="17"/>
  <c r="Y15" i="17"/>
  <c r="X15" i="17"/>
  <c r="W15" i="17"/>
  <c r="V15" i="17"/>
  <c r="U15" i="17"/>
  <c r="T15" i="17"/>
  <c r="S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BJ13" i="17"/>
  <c r="BI13" i="17"/>
  <c r="BH13" i="17"/>
  <c r="BG13" i="17"/>
  <c r="BF13" i="17"/>
  <c r="BE13" i="17"/>
  <c r="BD13" i="17"/>
  <c r="BC13" i="17"/>
  <c r="BB13" i="17"/>
  <c r="BA13" i="17"/>
  <c r="AZ13" i="17"/>
  <c r="AY13" i="17"/>
  <c r="AX13" i="17"/>
  <c r="AW13" i="17"/>
  <c r="AV13" i="17"/>
  <c r="AU13" i="17"/>
  <c r="AT13" i="17"/>
  <c r="AS13" i="17"/>
  <c r="AR13" i="17"/>
  <c r="AQ13" i="17"/>
  <c r="AP13" i="17"/>
  <c r="AO13" i="17"/>
  <c r="AN13" i="17"/>
  <c r="AM13" i="17"/>
  <c r="AL13" i="17"/>
  <c r="AK13" i="17"/>
  <c r="AJ13" i="17"/>
  <c r="AI13" i="17"/>
  <c r="AH13" i="17"/>
  <c r="AG13" i="17"/>
  <c r="AF13" i="17"/>
  <c r="AE13" i="17"/>
  <c r="AD13" i="17"/>
  <c r="AC13" i="17"/>
  <c r="AB13" i="17"/>
  <c r="AA13" i="17"/>
  <c r="Z13" i="17"/>
  <c r="Y13" i="17"/>
  <c r="X13" i="17"/>
  <c r="W13" i="17"/>
  <c r="V13" i="17"/>
  <c r="U13" i="17"/>
  <c r="T13" i="17"/>
  <c r="S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BJ12" i="17"/>
  <c r="BI12" i="17"/>
  <c r="BH12" i="17"/>
  <c r="BG12" i="17"/>
  <c r="BF12" i="17"/>
  <c r="BE12" i="17"/>
  <c r="BD12" i="17"/>
  <c r="BC12" i="17"/>
  <c r="BB12" i="17"/>
  <c r="BA12" i="17"/>
  <c r="AZ12" i="17"/>
  <c r="AY12" i="17"/>
  <c r="AX12" i="17"/>
  <c r="AW12" i="17"/>
  <c r="AV12" i="17"/>
  <c r="AU12" i="17"/>
  <c r="AT12" i="17"/>
  <c r="AS12" i="17"/>
  <c r="AR12" i="17"/>
  <c r="AQ12" i="17"/>
  <c r="AP12" i="17"/>
  <c r="AO12" i="17"/>
  <c r="AN12" i="17"/>
  <c r="AM12" i="17"/>
  <c r="AL12" i="17"/>
  <c r="AK12" i="17"/>
  <c r="AJ12" i="17"/>
  <c r="AI12" i="17"/>
  <c r="AH12" i="17"/>
  <c r="AG12" i="17"/>
  <c r="AF12" i="17"/>
  <c r="AE12" i="17"/>
  <c r="AD12" i="17"/>
  <c r="AC12" i="17"/>
  <c r="AB12" i="17"/>
  <c r="AA12" i="17"/>
  <c r="Z12" i="17"/>
  <c r="Y12" i="17"/>
  <c r="X12" i="17"/>
  <c r="W12" i="17"/>
  <c r="V12" i="17"/>
  <c r="U12" i="17"/>
  <c r="T12" i="17"/>
  <c r="S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BJ11" i="17"/>
  <c r="BI11" i="17"/>
  <c r="BH11" i="17"/>
  <c r="BG11" i="17"/>
  <c r="BF11" i="17"/>
  <c r="BE11" i="17"/>
  <c r="BD11" i="17"/>
  <c r="BC11" i="17"/>
  <c r="BB11" i="17"/>
  <c r="BA11" i="17"/>
  <c r="AZ11" i="17"/>
  <c r="AY11" i="17"/>
  <c r="AX11" i="17"/>
  <c r="AW11" i="17"/>
  <c r="AV11" i="17"/>
  <c r="AU11" i="17"/>
  <c r="AT11" i="17"/>
  <c r="AS11" i="17"/>
  <c r="AR11" i="17"/>
  <c r="AQ11" i="17"/>
  <c r="AP11" i="17"/>
  <c r="AO11" i="17"/>
  <c r="AN11" i="17"/>
  <c r="AM11" i="17"/>
  <c r="AL11" i="17"/>
  <c r="AK11" i="17"/>
  <c r="AJ11" i="17"/>
  <c r="AI11" i="17"/>
  <c r="AH11" i="17"/>
  <c r="AG11" i="17"/>
  <c r="AF11" i="17"/>
  <c r="AE11" i="17"/>
  <c r="AD11" i="17"/>
  <c r="AC11" i="17"/>
  <c r="AB11" i="17"/>
  <c r="AA11" i="17"/>
  <c r="Z11" i="17"/>
  <c r="Y11" i="17"/>
  <c r="X11" i="17"/>
  <c r="W11" i="17"/>
  <c r="V11" i="17"/>
  <c r="U11" i="17"/>
  <c r="T11" i="17"/>
  <c r="S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BJ10" i="17"/>
  <c r="BI10" i="17"/>
  <c r="BH10" i="17"/>
  <c r="BG10" i="17"/>
  <c r="BF10" i="17"/>
  <c r="BE10" i="17"/>
  <c r="BD10" i="17"/>
  <c r="BC10" i="17"/>
  <c r="BB10" i="17"/>
  <c r="BA10" i="17"/>
  <c r="AZ10" i="17"/>
  <c r="AY10" i="17"/>
  <c r="AX10" i="17"/>
  <c r="AW10" i="17"/>
  <c r="AV10" i="17"/>
  <c r="AU10" i="17"/>
  <c r="AT10" i="17"/>
  <c r="AS10" i="17"/>
  <c r="AR10" i="17"/>
  <c r="AQ10" i="17"/>
  <c r="AP10" i="17"/>
  <c r="AO10" i="17"/>
  <c r="AN10" i="17"/>
  <c r="AM10" i="17"/>
  <c r="AL10" i="17"/>
  <c r="AK10" i="17"/>
  <c r="AJ10" i="17"/>
  <c r="AI10" i="17"/>
  <c r="AH10" i="17"/>
  <c r="AG10" i="17"/>
  <c r="AF10" i="17"/>
  <c r="AE10" i="17"/>
  <c r="AD10" i="17"/>
  <c r="AC10" i="17"/>
  <c r="AB10" i="17"/>
  <c r="AA10" i="17"/>
  <c r="Z10" i="17"/>
  <c r="Y10" i="17"/>
  <c r="X10" i="17"/>
  <c r="W10" i="17"/>
  <c r="V10" i="17"/>
  <c r="U10" i="17"/>
  <c r="T10" i="17"/>
  <c r="S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BJ8" i="17"/>
  <c r="BI8" i="17"/>
  <c r="BH8" i="17"/>
  <c r="BG8" i="17"/>
  <c r="BF8" i="17"/>
  <c r="BE8" i="17"/>
  <c r="BD8" i="17"/>
  <c r="BC8" i="17"/>
  <c r="BB8" i="17"/>
  <c r="BA8" i="17"/>
  <c r="AZ8" i="17"/>
  <c r="AY8" i="17"/>
  <c r="AX8" i="17"/>
  <c r="AW8" i="17"/>
  <c r="AV8" i="17"/>
  <c r="AU8" i="17"/>
  <c r="AT8" i="17"/>
  <c r="AS8" i="17"/>
  <c r="AR8" i="17"/>
  <c r="AQ8" i="17"/>
  <c r="AP8" i="17"/>
  <c r="AO8" i="17"/>
  <c r="AN8" i="17"/>
  <c r="AM8" i="17"/>
  <c r="AL8" i="17"/>
  <c r="AK8" i="17"/>
  <c r="AJ8" i="17"/>
  <c r="AI8" i="17"/>
  <c r="AH8" i="17"/>
  <c r="AG8" i="17"/>
  <c r="AF8" i="17"/>
  <c r="AE8" i="17"/>
  <c r="AD8" i="17"/>
  <c r="AC8" i="17"/>
  <c r="AB8" i="17"/>
  <c r="AA8" i="17"/>
  <c r="Z8" i="17"/>
  <c r="Y8" i="17"/>
  <c r="X8" i="17"/>
  <c r="W8" i="17"/>
  <c r="V8" i="17"/>
  <c r="U8" i="17"/>
  <c r="T8" i="17"/>
  <c r="S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BJ7" i="17"/>
  <c r="BI7" i="17"/>
  <c r="BH7" i="17"/>
  <c r="BG7" i="17"/>
  <c r="BF7" i="17"/>
  <c r="BE7" i="17"/>
  <c r="BD7" i="17"/>
  <c r="BC7" i="17"/>
  <c r="BB7" i="17"/>
  <c r="BA7" i="17"/>
  <c r="AZ7" i="17"/>
  <c r="AY7" i="17"/>
  <c r="AX7" i="17"/>
  <c r="AW7" i="17"/>
  <c r="AV7" i="17"/>
  <c r="AU7" i="17"/>
  <c r="AT7" i="17"/>
  <c r="AS7" i="17"/>
  <c r="AR7" i="17"/>
  <c r="AQ7" i="17"/>
  <c r="AP7" i="17"/>
  <c r="AO7" i="17"/>
  <c r="AN7" i="17"/>
  <c r="AM7" i="17"/>
  <c r="AL7" i="17"/>
  <c r="AK7" i="17"/>
  <c r="AJ7" i="17"/>
  <c r="AI7" i="17"/>
  <c r="AH7" i="17"/>
  <c r="AG7" i="17"/>
  <c r="AF7" i="17"/>
  <c r="AE7" i="17"/>
  <c r="AD7" i="17"/>
  <c r="AC7" i="17"/>
  <c r="AB7" i="17"/>
  <c r="AA7" i="17"/>
  <c r="Z7" i="17"/>
  <c r="Y7" i="17"/>
  <c r="X7" i="17"/>
  <c r="W7" i="17"/>
  <c r="V7" i="17"/>
  <c r="U7" i="17"/>
  <c r="T7" i="17"/>
  <c r="S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BJ6" i="17"/>
  <c r="BI6" i="17"/>
  <c r="BH6" i="17"/>
  <c r="BG6" i="17"/>
  <c r="BF6" i="17"/>
  <c r="BE6" i="17"/>
  <c r="BD6" i="17"/>
  <c r="BC6" i="17"/>
  <c r="BB6" i="17"/>
  <c r="BA6" i="17"/>
  <c r="AZ6" i="17"/>
  <c r="AY6" i="17"/>
  <c r="AX6" i="17"/>
  <c r="AW6" i="17"/>
  <c r="AV6" i="17"/>
  <c r="AU6" i="17"/>
  <c r="AT6" i="17"/>
  <c r="AS6" i="17"/>
  <c r="AR6" i="17"/>
  <c r="AQ6" i="17"/>
  <c r="AP6" i="17"/>
  <c r="AO6" i="17"/>
  <c r="AN6" i="17"/>
  <c r="AM6" i="17"/>
  <c r="AL6" i="17"/>
  <c r="AK6" i="17"/>
  <c r="AJ6" i="17"/>
  <c r="AI6" i="17"/>
  <c r="AH6" i="17"/>
  <c r="AG6" i="17"/>
  <c r="AF6" i="17"/>
  <c r="AE6" i="17"/>
  <c r="AD6" i="17"/>
  <c r="AC6" i="17"/>
  <c r="AB6" i="17"/>
  <c r="AA6" i="17"/>
  <c r="Z6" i="17"/>
  <c r="Y6" i="17"/>
  <c r="X6" i="17"/>
  <c r="W6" i="17"/>
  <c r="V6" i="17"/>
  <c r="U6" i="17"/>
  <c r="T6" i="17"/>
  <c r="S6" i="17"/>
  <c r="R6" i="17"/>
  <c r="Q6" i="17"/>
  <c r="P6" i="17"/>
  <c r="O6" i="17"/>
  <c r="N6" i="17"/>
  <c r="M6" i="17"/>
  <c r="L6" i="17"/>
  <c r="K6" i="17"/>
  <c r="J6" i="17"/>
  <c r="I6" i="17"/>
  <c r="H6" i="17"/>
  <c r="G6" i="17"/>
  <c r="F6" i="17"/>
  <c r="E6" i="17"/>
  <c r="D6" i="17"/>
  <c r="BJ5" i="17"/>
  <c r="BI5" i="17"/>
  <c r="BH5" i="17"/>
  <c r="BG5" i="17"/>
  <c r="BF5" i="17"/>
  <c r="BE5" i="17"/>
  <c r="BD5" i="17"/>
  <c r="BC5" i="17"/>
  <c r="BB5" i="17"/>
  <c r="BA5" i="17"/>
  <c r="AZ5" i="17"/>
  <c r="AY5" i="17"/>
  <c r="AX5" i="17"/>
  <c r="AW5" i="17"/>
  <c r="AV5" i="17"/>
  <c r="AU5" i="17"/>
  <c r="AT5" i="17"/>
  <c r="AS5" i="17"/>
  <c r="AR5" i="17"/>
  <c r="AQ5" i="17"/>
  <c r="AP5" i="17"/>
  <c r="AO5" i="17"/>
  <c r="AN5" i="17"/>
  <c r="AM5" i="17"/>
  <c r="AL5" i="17"/>
  <c r="AK5" i="17"/>
  <c r="AJ5" i="17"/>
  <c r="AI5" i="17"/>
  <c r="AH5" i="17"/>
  <c r="AG5" i="17"/>
  <c r="AF5" i="17"/>
  <c r="AE5" i="17"/>
  <c r="AD5" i="17"/>
  <c r="AC5" i="17"/>
  <c r="AB5" i="17"/>
  <c r="AA5" i="17"/>
  <c r="Z5" i="17"/>
  <c r="Y5" i="17"/>
  <c r="X5" i="17"/>
  <c r="W5" i="17"/>
  <c r="V5" i="17"/>
  <c r="U5" i="17"/>
  <c r="T5" i="17"/>
  <c r="S5" i="17"/>
  <c r="R5" i="17"/>
  <c r="Q5" i="17"/>
  <c r="P5" i="17"/>
  <c r="O5" i="17"/>
  <c r="N5" i="17"/>
  <c r="M5" i="17"/>
  <c r="L5" i="17"/>
  <c r="K5" i="17"/>
  <c r="J5" i="17"/>
  <c r="I5" i="17"/>
  <c r="H5" i="17"/>
  <c r="G5" i="17"/>
  <c r="F5" i="17"/>
  <c r="E5" i="17"/>
  <c r="D5" i="17"/>
  <c r="AZ11" i="36" l="1"/>
  <c r="AY11" i="36"/>
  <c r="AX11" i="36"/>
  <c r="AZ12" i="36"/>
  <c r="AY12" i="36"/>
  <c r="AX12" i="36"/>
  <c r="AZ13" i="36"/>
  <c r="AY13" i="36"/>
  <c r="AX13" i="36"/>
  <c r="S4" i="36"/>
  <c r="U4" i="36"/>
  <c r="AL29" i="17"/>
  <c r="AV24" i="17"/>
  <c r="E29" i="17"/>
  <c r="M29" i="17"/>
  <c r="U29" i="17"/>
  <c r="J29" i="17"/>
  <c r="R29" i="17"/>
  <c r="Z29" i="17"/>
  <c r="AH29" i="17"/>
  <c r="AP29" i="17"/>
  <c r="AX29" i="17"/>
  <c r="BH29" i="17"/>
  <c r="BI29" i="17"/>
  <c r="E4" i="17"/>
  <c r="BF19" i="17"/>
  <c r="AF24" i="17"/>
  <c r="BI24" i="17"/>
  <c r="BJ9" i="17"/>
  <c r="AF29" i="17"/>
  <c r="AZ4" i="17"/>
  <c r="BH4" i="17"/>
  <c r="AO4" i="17"/>
  <c r="AV29" i="17"/>
  <c r="E24" i="17"/>
  <c r="AS24" i="17"/>
  <c r="BA24" i="17"/>
  <c r="T29" i="17"/>
  <c r="AR29" i="17"/>
  <c r="AZ29" i="17"/>
  <c r="K9" i="17"/>
  <c r="S9" i="17"/>
  <c r="AA9" i="17"/>
  <c r="AI9" i="17"/>
  <c r="AQ9" i="17"/>
  <c r="AY9" i="17"/>
  <c r="BG9" i="17"/>
  <c r="G14" i="17"/>
  <c r="O14" i="17"/>
  <c r="AA24" i="17"/>
  <c r="AI24" i="17"/>
  <c r="AQ24" i="17"/>
  <c r="AY24" i="17"/>
  <c r="BG24" i="17"/>
  <c r="BI14" i="17"/>
  <c r="J24" i="17"/>
  <c r="R24" i="17"/>
  <c r="Z24" i="17"/>
  <c r="AH24" i="17"/>
  <c r="AP24" i="17"/>
  <c r="AX24" i="17"/>
  <c r="BF24" i="17"/>
  <c r="I4" i="17"/>
  <c r="Y4" i="17"/>
  <c r="BE4" i="17"/>
  <c r="Q4" i="17"/>
  <c r="AG4" i="17"/>
  <c r="AW4" i="17"/>
  <c r="M24" i="17"/>
  <c r="U24" i="17"/>
  <c r="AC24" i="17"/>
  <c r="AK24" i="17"/>
  <c r="K4" i="17"/>
  <c r="AI4" i="17"/>
  <c r="AD9" i="17"/>
  <c r="AK29" i="17"/>
  <c r="AU19" i="17"/>
  <c r="BC19" i="17"/>
  <c r="H24" i="17"/>
  <c r="P24" i="17"/>
  <c r="X24" i="17"/>
  <c r="BD24" i="17"/>
  <c r="W14" i="17"/>
  <c r="AE14" i="17"/>
  <c r="AM14" i="17"/>
  <c r="AU14" i="17"/>
  <c r="BC14" i="17"/>
  <c r="BI9" i="17"/>
  <c r="I19" i="17"/>
  <c r="Q19" i="17"/>
  <c r="Y19" i="17"/>
  <c r="AO19" i="17"/>
  <c r="AW19" i="17"/>
  <c r="AU24" i="17"/>
  <c r="BC24" i="17"/>
  <c r="AB24" i="17"/>
  <c r="AR24" i="17"/>
  <c r="I24" i="17"/>
  <c r="AW24" i="17"/>
  <c r="AC29" i="17"/>
  <c r="AS29" i="17"/>
  <c r="BA29" i="17"/>
  <c r="AX19" i="17"/>
  <c r="F4" i="17"/>
  <c r="N4" i="17"/>
  <c r="V4" i="17"/>
  <c r="AD4" i="17"/>
  <c r="AL4" i="17"/>
  <c r="AA14" i="17"/>
  <c r="BF14" i="17"/>
  <c r="D19" i="17"/>
  <c r="L19" i="17"/>
  <c r="T19" i="17"/>
  <c r="AB19" i="17"/>
  <c r="AJ19" i="17"/>
  <c r="AR19" i="17"/>
  <c r="AZ19" i="17"/>
  <c r="BH19" i="17"/>
  <c r="BE14" i="17"/>
  <c r="AV4" i="17"/>
  <c r="BI4" i="17"/>
  <c r="AU4" i="17"/>
  <c r="BB29" i="17"/>
  <c r="BJ29" i="17"/>
  <c r="J4" i="17"/>
  <c r="BB9" i="17"/>
  <c r="D29" i="17"/>
  <c r="L29" i="17"/>
  <c r="AB29" i="17"/>
  <c r="AJ29" i="17"/>
  <c r="AX9" i="17"/>
  <c r="U4" i="17"/>
  <c r="AC4" i="17"/>
  <c r="AK4" i="17"/>
  <c r="AS4" i="17"/>
  <c r="BA4" i="17"/>
  <c r="H19" i="17"/>
  <c r="P19" i="17"/>
  <c r="X19" i="17"/>
  <c r="AF19" i="17"/>
  <c r="AN19" i="17"/>
  <c r="AV19" i="17"/>
  <c r="M4" i="17"/>
  <c r="AT4" i="17"/>
  <c r="BB4" i="17"/>
  <c r="BJ4" i="17"/>
  <c r="AN4" i="17"/>
  <c r="AV9" i="17"/>
  <c r="AL19" i="17"/>
  <c r="BG19" i="17"/>
  <c r="G4" i="17"/>
  <c r="W4" i="17"/>
  <c r="J14" i="17"/>
  <c r="R14" i="17"/>
  <c r="Z14" i="17"/>
  <c r="AH14" i="17"/>
  <c r="AP14" i="17"/>
  <c r="AX14" i="17"/>
  <c r="I29" i="17"/>
  <c r="Q29" i="17"/>
  <c r="Y29" i="17"/>
  <c r="AG29" i="17"/>
  <c r="AO29" i="17"/>
  <c r="AW29" i="17"/>
  <c r="BE29" i="17"/>
  <c r="P29" i="17"/>
  <c r="AN29" i="17"/>
  <c r="BD29" i="17"/>
  <c r="R4" i="17"/>
  <c r="Z4" i="17"/>
  <c r="AH4" i="17"/>
  <c r="AP4" i="17"/>
  <c r="AX4" i="17"/>
  <c r="BF4" i="17"/>
  <c r="P14" i="17"/>
  <c r="AN14" i="17"/>
  <c r="AV14" i="17"/>
  <c r="BD14" i="17"/>
  <c r="AC19" i="17"/>
  <c r="R19" i="17"/>
  <c r="J9" i="17"/>
  <c r="R9" i="17"/>
  <c r="Z9" i="17"/>
  <c r="AH9" i="17"/>
  <c r="AP9" i="17"/>
  <c r="BF9" i="17"/>
  <c r="I14" i="17"/>
  <c r="Y14" i="17"/>
  <c r="AG14" i="17"/>
  <c r="AO14" i="17"/>
  <c r="AW14" i="17"/>
  <c r="F19" i="17"/>
  <c r="N19" i="17"/>
  <c r="V19" i="17"/>
  <c r="AD19" i="17"/>
  <c r="AT19" i="17"/>
  <c r="BB19" i="17"/>
  <c r="BJ19" i="17"/>
  <c r="D24" i="17"/>
  <c r="L24" i="17"/>
  <c r="T24" i="17"/>
  <c r="AJ24" i="17"/>
  <c r="AZ24" i="17"/>
  <c r="BH24" i="17"/>
  <c r="Q24" i="17"/>
  <c r="F29" i="17"/>
  <c r="N29" i="17"/>
  <c r="V29" i="17"/>
  <c r="AD29" i="17"/>
  <c r="AT29" i="17"/>
  <c r="BD19" i="17"/>
  <c r="F24" i="17"/>
  <c r="N24" i="17"/>
  <c r="V24" i="17"/>
  <c r="AD24" i="17"/>
  <c r="AL24" i="17"/>
  <c r="AT24" i="17"/>
  <c r="BB24" i="17"/>
  <c r="BJ24" i="17"/>
  <c r="X29" i="17"/>
  <c r="AM4" i="17"/>
  <c r="BC4" i="17"/>
  <c r="N9" i="17"/>
  <c r="AL9" i="17"/>
  <c r="U14" i="17"/>
  <c r="AS14" i="17"/>
  <c r="AN24" i="17"/>
  <c r="BF29" i="17"/>
  <c r="G9" i="17"/>
  <c r="O9" i="17"/>
  <c r="W9" i="17"/>
  <c r="AE9" i="17"/>
  <c r="AM9" i="17"/>
  <c r="AU9" i="17"/>
  <c r="BC9" i="17"/>
  <c r="K19" i="17"/>
  <c r="AI19" i="17"/>
  <c r="AQ19" i="17"/>
  <c r="AY19" i="17"/>
  <c r="Y24" i="17"/>
  <c r="K29" i="17"/>
  <c r="S29" i="17"/>
  <c r="AA29" i="17"/>
  <c r="AI29" i="17"/>
  <c r="AQ29" i="17"/>
  <c r="AY29" i="17"/>
  <c r="BG29" i="17"/>
  <c r="F14" i="17"/>
  <c r="N14" i="17"/>
  <c r="V14" i="17"/>
  <c r="AD14" i="17"/>
  <c r="AL14" i="17"/>
  <c r="AT14" i="17"/>
  <c r="BB14" i="17"/>
  <c r="BJ14" i="17"/>
  <c r="AH19" i="17"/>
  <c r="AG24" i="17"/>
  <c r="AO24" i="17"/>
  <c r="BE24" i="17"/>
  <c r="BD4" i="17"/>
  <c r="E14" i="17"/>
  <c r="M14" i="17"/>
  <c r="AC14" i="17"/>
  <c r="AK14" i="17"/>
  <c r="BA14" i="17"/>
  <c r="J19" i="17"/>
  <c r="Z19" i="17"/>
  <c r="AP19" i="17"/>
  <c r="K24" i="17"/>
  <c r="S24" i="17"/>
  <c r="D4" i="17"/>
  <c r="L4" i="17"/>
  <c r="T4" i="17"/>
  <c r="AB4" i="17"/>
  <c r="AJ4" i="17"/>
  <c r="AR4" i="17"/>
  <c r="K14" i="17"/>
  <c r="S14" i="17"/>
  <c r="AI14" i="17"/>
  <c r="AQ14" i="17"/>
  <c r="AY14" i="17"/>
  <c r="BG14" i="17"/>
  <c r="G19" i="17"/>
  <c r="O19" i="17"/>
  <c r="W19" i="17"/>
  <c r="AE19" i="17"/>
  <c r="AM19" i="17"/>
  <c r="G24" i="17"/>
  <c r="O24" i="17"/>
  <c r="W24" i="17"/>
  <c r="AE24" i="17"/>
  <c r="AM24" i="17"/>
  <c r="G29" i="17"/>
  <c r="O29" i="17"/>
  <c r="W29" i="17"/>
  <c r="AE29" i="17"/>
  <c r="AM29" i="17"/>
  <c r="AU29" i="17"/>
  <c r="BC29" i="17"/>
  <c r="AJ9" i="17"/>
  <c r="S19" i="17"/>
  <c r="AA19" i="17"/>
  <c r="H29" i="17"/>
  <c r="AQ4" i="17"/>
  <c r="AY4" i="17"/>
  <c r="BG4" i="17"/>
  <c r="H14" i="17"/>
  <c r="X14" i="17"/>
  <c r="AF14" i="17"/>
  <c r="AK19" i="17"/>
  <c r="AS19" i="17"/>
  <c r="BA19" i="17"/>
  <c r="BI19" i="17"/>
  <c r="H9" i="17"/>
  <c r="P9" i="17"/>
  <c r="X9" i="17"/>
  <c r="AF9" i="17"/>
  <c r="AN9" i="17"/>
  <c r="BD9" i="17"/>
  <c r="O4" i="17"/>
  <c r="AE4" i="17"/>
  <c r="AZ14" i="17"/>
  <c r="BH14" i="17"/>
  <c r="Q14" i="17"/>
  <c r="AG19" i="17"/>
  <c r="BE19" i="17"/>
  <c r="D9" i="17"/>
  <c r="L9" i="17"/>
  <c r="T9" i="17"/>
  <c r="AB9" i="17"/>
  <c r="AR9" i="17"/>
  <c r="AZ9" i="17"/>
  <c r="BH9" i="17"/>
  <c r="AW9" i="17"/>
  <c r="BE9" i="17"/>
  <c r="F9" i="17"/>
  <c r="V9" i="17"/>
  <c r="AT9" i="17"/>
  <c r="T3" i="36"/>
  <c r="AY39" i="36" s="1"/>
  <c r="AC4" i="36"/>
  <c r="AE3" i="36"/>
  <c r="AD3" i="36"/>
  <c r="T2" i="36"/>
  <c r="AD2" i="36"/>
  <c r="U3" i="36"/>
  <c r="AZ39" i="36" s="1"/>
  <c r="AC3" i="36"/>
  <c r="S2" i="36"/>
  <c r="AD4" i="36"/>
  <c r="U2" i="36"/>
  <c r="AC2" i="36"/>
  <c r="AE4" i="36"/>
  <c r="S3" i="36"/>
  <c r="AX39" i="36" s="1"/>
  <c r="AE2" i="36"/>
  <c r="T4" i="36"/>
  <c r="S4" i="17"/>
  <c r="AA4" i="17"/>
  <c r="I9" i="17"/>
  <c r="Q9" i="17"/>
  <c r="Y9" i="17"/>
  <c r="AG9" i="17"/>
  <c r="AO9" i="17"/>
  <c r="D14" i="17"/>
  <c r="L14" i="17"/>
  <c r="T14" i="17"/>
  <c r="AB14" i="17"/>
  <c r="AJ14" i="17"/>
  <c r="AR14" i="17"/>
  <c r="E19" i="17"/>
  <c r="M19" i="17"/>
  <c r="U19" i="17"/>
  <c r="E9" i="17"/>
  <c r="M9" i="17"/>
  <c r="U9" i="17"/>
  <c r="AC9" i="17"/>
  <c r="AK9" i="17"/>
  <c r="AS9" i="17"/>
  <c r="BA9" i="17"/>
  <c r="BN89" i="16"/>
  <c r="D89" i="16"/>
  <c r="BV89" i="16"/>
  <c r="L89" i="16"/>
  <c r="CD89" i="16"/>
  <c r="T89" i="16"/>
  <c r="CL89" i="16"/>
  <c r="AB89" i="16"/>
  <c r="CT89" i="16"/>
  <c r="AJ89" i="16"/>
  <c r="DB89" i="16"/>
  <c r="AR89" i="16"/>
  <c r="DJ89" i="16"/>
  <c r="AZ89" i="16"/>
  <c r="DR89" i="16"/>
  <c r="BH89" i="16"/>
  <c r="BO90" i="16"/>
  <c r="BO63" i="16"/>
  <c r="E90" i="16"/>
  <c r="E63" i="16"/>
  <c r="BW90" i="16"/>
  <c r="BW63" i="16"/>
  <c r="M90" i="16"/>
  <c r="M63" i="16"/>
  <c r="CE90" i="16"/>
  <c r="CE63" i="16"/>
  <c r="U90" i="16"/>
  <c r="U63" i="16"/>
  <c r="CM90" i="16"/>
  <c r="CM63" i="16"/>
  <c r="AC63" i="16"/>
  <c r="AC90" i="16"/>
  <c r="CU63" i="16"/>
  <c r="CU90" i="16"/>
  <c r="AK63" i="16"/>
  <c r="AK90" i="16"/>
  <c r="DC90" i="16"/>
  <c r="DC63" i="16"/>
  <c r="AS90" i="16"/>
  <c r="AS63" i="16"/>
  <c r="DK90" i="16"/>
  <c r="DK63" i="16"/>
  <c r="BA90" i="16"/>
  <c r="BA63" i="16"/>
  <c r="DS90" i="16"/>
  <c r="DS63" i="16"/>
  <c r="BI90" i="16"/>
  <c r="BI63" i="16"/>
  <c r="BT91" i="16"/>
  <c r="BT64" i="16"/>
  <c r="J64" i="16"/>
  <c r="CB91" i="16"/>
  <c r="CB64" i="16"/>
  <c r="R64" i="16"/>
  <c r="CJ91" i="16"/>
  <c r="CJ64" i="16"/>
  <c r="Z64" i="16"/>
  <c r="CR91" i="16"/>
  <c r="CR64" i="16"/>
  <c r="AH64" i="16"/>
  <c r="CZ91" i="16"/>
  <c r="CZ64" i="16"/>
  <c r="AP64" i="16"/>
  <c r="DH91" i="16"/>
  <c r="DH64" i="16"/>
  <c r="AX64" i="16"/>
  <c r="DP64" i="16"/>
  <c r="DP91" i="16"/>
  <c r="BF64" i="16"/>
  <c r="BQ92" i="16"/>
  <c r="BQ65" i="16"/>
  <c r="G65" i="16"/>
  <c r="BY65" i="16"/>
  <c r="BY92" i="16"/>
  <c r="O65" i="16"/>
  <c r="CG92" i="16"/>
  <c r="CG65" i="16"/>
  <c r="W65" i="16"/>
  <c r="CO92" i="16"/>
  <c r="CO65" i="16"/>
  <c r="AE65" i="16"/>
  <c r="CW92" i="16"/>
  <c r="CW65" i="16"/>
  <c r="AM65" i="16"/>
  <c r="DE92" i="16"/>
  <c r="DE65" i="16"/>
  <c r="AU65" i="16"/>
  <c r="DM92" i="16"/>
  <c r="DM65" i="16"/>
  <c r="BC65" i="16"/>
  <c r="BN93" i="16"/>
  <c r="BN66" i="16"/>
  <c r="D66" i="16"/>
  <c r="BV93" i="16"/>
  <c r="BV66" i="16"/>
  <c r="L66" i="16"/>
  <c r="CD93" i="16"/>
  <c r="CD66" i="16"/>
  <c r="T66" i="16"/>
  <c r="CL93" i="16"/>
  <c r="CL66" i="16"/>
  <c r="AB66" i="16"/>
  <c r="CT93" i="16"/>
  <c r="CT66" i="16"/>
  <c r="AJ66" i="16"/>
  <c r="DB93" i="16"/>
  <c r="DB66" i="16"/>
  <c r="AR66" i="16"/>
  <c r="DJ93" i="16"/>
  <c r="DJ66" i="16"/>
  <c r="AZ66" i="16"/>
  <c r="DR66" i="16"/>
  <c r="DR93" i="16"/>
  <c r="BH66" i="16"/>
  <c r="H4" i="17"/>
  <c r="P4" i="17"/>
  <c r="X4" i="17"/>
  <c r="AF4" i="17"/>
  <c r="BO89" i="16"/>
  <c r="E89" i="16"/>
  <c r="BW89" i="16"/>
  <c r="M89" i="16"/>
  <c r="CE89" i="16"/>
  <c r="U89" i="16"/>
  <c r="CM89" i="16"/>
  <c r="AC89" i="16"/>
  <c r="CU89" i="16"/>
  <c r="AK89" i="16"/>
  <c r="DC89" i="16"/>
  <c r="AS89" i="16"/>
  <c r="DK89" i="16"/>
  <c r="BA89" i="16"/>
  <c r="DS89" i="16"/>
  <c r="BI89" i="16"/>
  <c r="BQ89" i="16"/>
  <c r="G89" i="16"/>
  <c r="BY89" i="16"/>
  <c r="O89" i="16"/>
  <c r="CG89" i="16"/>
  <c r="W89" i="16"/>
  <c r="CO89" i="16"/>
  <c r="AE89" i="16"/>
  <c r="CW89" i="16"/>
  <c r="AM89" i="16"/>
  <c r="DE89" i="16"/>
  <c r="AU89" i="16"/>
  <c r="DM89" i="16"/>
  <c r="BC89" i="16"/>
  <c r="BP90" i="16"/>
  <c r="BP63" i="16"/>
  <c r="F90" i="16"/>
  <c r="F63" i="16"/>
  <c r="BX90" i="16"/>
  <c r="BX63" i="16"/>
  <c r="N90" i="16"/>
  <c r="N63" i="16"/>
  <c r="CF90" i="16"/>
  <c r="CF63" i="16"/>
  <c r="V90" i="16"/>
  <c r="V63" i="16"/>
  <c r="CN90" i="16"/>
  <c r="CN63" i="16"/>
  <c r="AD90" i="16"/>
  <c r="AD63" i="16"/>
  <c r="CV90" i="16"/>
  <c r="CV63" i="16"/>
  <c r="AL90" i="16"/>
  <c r="AL63" i="16"/>
  <c r="DD90" i="16"/>
  <c r="DD63" i="16"/>
  <c r="AT90" i="16"/>
  <c r="AT63" i="16"/>
  <c r="DL90" i="16"/>
  <c r="DL63" i="16"/>
  <c r="BB90" i="16"/>
  <c r="DT90" i="16"/>
  <c r="DT63" i="16"/>
  <c r="BJ90" i="16"/>
  <c r="BJ63" i="16"/>
  <c r="BU91" i="16"/>
  <c r="BU64" i="16"/>
  <c r="K64" i="16"/>
  <c r="CC91" i="16"/>
  <c r="CC64" i="16"/>
  <c r="S64" i="16"/>
  <c r="CK91" i="16"/>
  <c r="CK64" i="16"/>
  <c r="AA64" i="16"/>
  <c r="CS91" i="16"/>
  <c r="CS64" i="16"/>
  <c r="AI64" i="16"/>
  <c r="DA91" i="16"/>
  <c r="DA64" i="16"/>
  <c r="AQ64" i="16"/>
  <c r="DI91" i="16"/>
  <c r="DI64" i="16"/>
  <c r="AY64" i="16"/>
  <c r="DQ91" i="16"/>
  <c r="DQ64" i="16"/>
  <c r="BR92" i="16"/>
  <c r="BR65" i="16"/>
  <c r="H65" i="16"/>
  <c r="BZ92" i="16"/>
  <c r="BZ65" i="16"/>
  <c r="P65" i="16"/>
  <c r="CH65" i="16"/>
  <c r="CH92" i="16"/>
  <c r="X65" i="16"/>
  <c r="CP92" i="16"/>
  <c r="CP65" i="16"/>
  <c r="AF65" i="16"/>
  <c r="CX92" i="16"/>
  <c r="CX65" i="16"/>
  <c r="AN65" i="16"/>
  <c r="DF92" i="16"/>
  <c r="DF65" i="16"/>
  <c r="AV65" i="16"/>
  <c r="DN92" i="16"/>
  <c r="DN65" i="16"/>
  <c r="BD65" i="16"/>
  <c r="BO93" i="16"/>
  <c r="BO66" i="16"/>
  <c r="BW93" i="16"/>
  <c r="BW66" i="16"/>
  <c r="M66" i="16"/>
  <c r="CE93" i="16"/>
  <c r="CE66" i="16"/>
  <c r="U66" i="16"/>
  <c r="CM93" i="16"/>
  <c r="CM66" i="16"/>
  <c r="AC66" i="16"/>
  <c r="CU93" i="16"/>
  <c r="CU66" i="16"/>
  <c r="AK66" i="16"/>
  <c r="DC93" i="16"/>
  <c r="DC66" i="16"/>
  <c r="AS66" i="16"/>
  <c r="DK66" i="16"/>
  <c r="DK93" i="16"/>
  <c r="BA66" i="16"/>
  <c r="DS93" i="16"/>
  <c r="DS66" i="16"/>
  <c r="BI66" i="16"/>
  <c r="E66" i="16"/>
  <c r="BR89" i="16"/>
  <c r="H89" i="16"/>
  <c r="BZ89" i="16"/>
  <c r="P89" i="16"/>
  <c r="CH89" i="16"/>
  <c r="X89" i="16"/>
  <c r="CP89" i="16"/>
  <c r="AF89" i="16"/>
  <c r="CX89" i="16"/>
  <c r="AN89" i="16"/>
  <c r="DF89" i="16"/>
  <c r="AV89" i="16"/>
  <c r="DN89" i="16"/>
  <c r="BD89" i="16"/>
  <c r="BG64" i="16"/>
  <c r="BS89" i="16"/>
  <c r="I89" i="16"/>
  <c r="CA89" i="16"/>
  <c r="Q89" i="16"/>
  <c r="CI89" i="16"/>
  <c r="Y89" i="16"/>
  <c r="CQ89" i="16"/>
  <c r="AG89" i="16"/>
  <c r="CY89" i="16"/>
  <c r="AO89" i="16"/>
  <c r="DG89" i="16"/>
  <c r="AW89" i="16"/>
  <c r="DO89" i="16"/>
  <c r="BE89" i="16"/>
  <c r="BR90" i="16"/>
  <c r="H90" i="16"/>
  <c r="BR63" i="16"/>
  <c r="H63" i="16"/>
  <c r="BZ90" i="16"/>
  <c r="BZ63" i="16"/>
  <c r="P90" i="16"/>
  <c r="P63" i="16"/>
  <c r="CH90" i="16"/>
  <c r="CH63" i="16"/>
  <c r="X90" i="16"/>
  <c r="X63" i="16"/>
  <c r="CP90" i="16"/>
  <c r="CP63" i="16"/>
  <c r="AF90" i="16"/>
  <c r="CX90" i="16"/>
  <c r="CX63" i="16"/>
  <c r="AN90" i="16"/>
  <c r="AN63" i="16"/>
  <c r="DF90" i="16"/>
  <c r="DF63" i="16"/>
  <c r="AV90" i="16"/>
  <c r="AV63" i="16"/>
  <c r="DN90" i="16"/>
  <c r="DN63" i="16"/>
  <c r="BD90" i="16"/>
  <c r="BD63" i="16"/>
  <c r="BO91" i="16"/>
  <c r="BO64" i="16"/>
  <c r="E64" i="16"/>
  <c r="BW91" i="16"/>
  <c r="BW64" i="16"/>
  <c r="M64" i="16"/>
  <c r="CE91" i="16"/>
  <c r="CE64" i="16"/>
  <c r="U64" i="16"/>
  <c r="CM91" i="16"/>
  <c r="CM64" i="16"/>
  <c r="AC64" i="16"/>
  <c r="CU91" i="16"/>
  <c r="CU64" i="16"/>
  <c r="DC91" i="16"/>
  <c r="DC64" i="16"/>
  <c r="AS64" i="16"/>
  <c r="DK91" i="16"/>
  <c r="DK64" i="16"/>
  <c r="BA64" i="16"/>
  <c r="DS91" i="16"/>
  <c r="DS64" i="16"/>
  <c r="BI64" i="16"/>
  <c r="BT92" i="16"/>
  <c r="BT65" i="16"/>
  <c r="J65" i="16"/>
  <c r="CB92" i="16"/>
  <c r="CB65" i="16"/>
  <c r="R65" i="16"/>
  <c r="CJ92" i="16"/>
  <c r="CJ65" i="16"/>
  <c r="Z65" i="16"/>
  <c r="CR92" i="16"/>
  <c r="CR65" i="16"/>
  <c r="AH65" i="16"/>
  <c r="CZ92" i="16"/>
  <c r="CZ65" i="16"/>
  <c r="DH92" i="16"/>
  <c r="DH65" i="16"/>
  <c r="AX65" i="16"/>
  <c r="DP92" i="16"/>
  <c r="DP65" i="16"/>
  <c r="BF65" i="16"/>
  <c r="BQ93" i="16"/>
  <c r="BQ66" i="16"/>
  <c r="G66" i="16"/>
  <c r="BY93" i="16"/>
  <c r="BY66" i="16"/>
  <c r="O66" i="16"/>
  <c r="CG93" i="16"/>
  <c r="CG66" i="16"/>
  <c r="W66" i="16"/>
  <c r="CO93" i="16"/>
  <c r="CO66" i="16"/>
  <c r="AE66" i="16"/>
  <c r="CW93" i="16"/>
  <c r="CW66" i="16"/>
  <c r="AM66" i="16"/>
  <c r="DE93" i="16"/>
  <c r="DE66" i="16"/>
  <c r="DM93" i="16"/>
  <c r="DM66" i="16"/>
  <c r="BC66" i="16"/>
  <c r="BB63" i="16"/>
  <c r="BS90" i="16"/>
  <c r="BS63" i="16"/>
  <c r="I90" i="16"/>
  <c r="I63" i="16"/>
  <c r="CA90" i="16"/>
  <c r="Q90" i="16"/>
  <c r="CA63" i="16"/>
  <c r="Q63" i="16"/>
  <c r="CI90" i="16"/>
  <c r="CI63" i="16"/>
  <c r="Y90" i="16"/>
  <c r="Y63" i="16"/>
  <c r="CQ90" i="16"/>
  <c r="AG90" i="16"/>
  <c r="CQ63" i="16"/>
  <c r="AG63" i="16"/>
  <c r="CY90" i="16"/>
  <c r="CY63" i="16"/>
  <c r="AO90" i="16"/>
  <c r="AO63" i="16"/>
  <c r="DG90" i="16"/>
  <c r="DG63" i="16"/>
  <c r="AW90" i="16"/>
  <c r="AW63" i="16"/>
  <c r="DO90" i="16"/>
  <c r="DO63" i="16"/>
  <c r="BE90" i="16"/>
  <c r="BE63" i="16"/>
  <c r="BP91" i="16"/>
  <c r="BP64" i="16"/>
  <c r="F64" i="16"/>
  <c r="BX91" i="16"/>
  <c r="BX64" i="16"/>
  <c r="N64" i="16"/>
  <c r="CF91" i="16"/>
  <c r="CF64" i="16"/>
  <c r="V64" i="16"/>
  <c r="CN91" i="16"/>
  <c r="CN64" i="16"/>
  <c r="AD64" i="16"/>
  <c r="CV91" i="16"/>
  <c r="CV64" i="16"/>
  <c r="AL64" i="16"/>
  <c r="DD91" i="16"/>
  <c r="DD64" i="16"/>
  <c r="AT64" i="16"/>
  <c r="DL91" i="16"/>
  <c r="DL64" i="16"/>
  <c r="BB64" i="16"/>
  <c r="DT91" i="16"/>
  <c r="DT64" i="16"/>
  <c r="BJ64" i="16"/>
  <c r="BU92" i="16"/>
  <c r="BU65" i="16"/>
  <c r="K65" i="16"/>
  <c r="CC92" i="16"/>
  <c r="CC65" i="16"/>
  <c r="S65" i="16"/>
  <c r="CK92" i="16"/>
  <c r="CK65" i="16"/>
  <c r="AA65" i="16"/>
  <c r="CS92" i="16"/>
  <c r="CS65" i="16"/>
  <c r="AI65" i="16"/>
  <c r="DA92" i="16"/>
  <c r="DA65" i="16"/>
  <c r="AQ65" i="16"/>
  <c r="DI92" i="16"/>
  <c r="DI65" i="16"/>
  <c r="AY65" i="16"/>
  <c r="DQ92" i="16"/>
  <c r="DQ65" i="16"/>
  <c r="BG65" i="16"/>
  <c r="BR93" i="16"/>
  <c r="BR66" i="16"/>
  <c r="H66" i="16"/>
  <c r="BZ93" i="16"/>
  <c r="BZ66" i="16"/>
  <c r="P66" i="16"/>
  <c r="CH93" i="16"/>
  <c r="CH66" i="16"/>
  <c r="X66" i="16"/>
  <c r="CP93" i="16"/>
  <c r="CP66" i="16"/>
  <c r="AF66" i="16"/>
  <c r="CX93" i="16"/>
  <c r="CX66" i="16"/>
  <c r="AN66" i="16"/>
  <c r="DF93" i="16"/>
  <c r="DF66" i="16"/>
  <c r="AV66" i="16"/>
  <c r="DN93" i="16"/>
  <c r="DN66" i="16"/>
  <c r="BD66" i="16"/>
  <c r="BT90" i="16"/>
  <c r="BT63" i="16"/>
  <c r="J90" i="16"/>
  <c r="J63" i="16"/>
  <c r="CB90" i="16"/>
  <c r="CB63" i="16"/>
  <c r="R90" i="16"/>
  <c r="R63" i="16"/>
  <c r="CJ90" i="16"/>
  <c r="CJ63" i="16"/>
  <c r="Z63" i="16"/>
  <c r="Z90" i="16"/>
  <c r="CR90" i="16"/>
  <c r="CR63" i="16"/>
  <c r="AH90" i="16"/>
  <c r="AH63" i="16"/>
  <c r="CZ90" i="16"/>
  <c r="CZ63" i="16"/>
  <c r="AP90" i="16"/>
  <c r="AP63" i="16"/>
  <c r="DH90" i="16"/>
  <c r="DH63" i="16"/>
  <c r="AX90" i="16"/>
  <c r="AX63" i="16"/>
  <c r="DP90" i="16"/>
  <c r="DP63" i="16"/>
  <c r="BF63" i="16"/>
  <c r="BF90" i="16"/>
  <c r="BQ91" i="16"/>
  <c r="BQ64" i="16"/>
  <c r="G64" i="16"/>
  <c r="BY91" i="16"/>
  <c r="BY64" i="16"/>
  <c r="O64" i="16"/>
  <c r="CG91" i="16"/>
  <c r="CG64" i="16"/>
  <c r="W64" i="16"/>
  <c r="CO91" i="16"/>
  <c r="CO64" i="16"/>
  <c r="AE64" i="16"/>
  <c r="CW91" i="16"/>
  <c r="CW64" i="16"/>
  <c r="AM64" i="16"/>
  <c r="DE91" i="16"/>
  <c r="DE64" i="16"/>
  <c r="AU64" i="16"/>
  <c r="DM91" i="16"/>
  <c r="DM64" i="16"/>
  <c r="BC64" i="16"/>
  <c r="BN92" i="16"/>
  <c r="BN65" i="16"/>
  <c r="D65" i="16"/>
  <c r="BV92" i="16"/>
  <c r="BV65" i="16"/>
  <c r="L65" i="16"/>
  <c r="CD92" i="16"/>
  <c r="CD65" i="16"/>
  <c r="T65" i="16"/>
  <c r="CL92" i="16"/>
  <c r="CL65" i="16"/>
  <c r="AB65" i="16"/>
  <c r="CT92" i="16"/>
  <c r="CT65" i="16"/>
  <c r="AJ65" i="16"/>
  <c r="DB92" i="16"/>
  <c r="DB65" i="16"/>
  <c r="AR65" i="16"/>
  <c r="DJ92" i="16"/>
  <c r="DJ65" i="16"/>
  <c r="AZ65" i="16"/>
  <c r="DR92" i="16"/>
  <c r="DR65" i="16"/>
  <c r="BH65" i="16"/>
  <c r="BS93" i="16"/>
  <c r="BS66" i="16"/>
  <c r="I66" i="16"/>
  <c r="CA93" i="16"/>
  <c r="CA66" i="16"/>
  <c r="Q66" i="16"/>
  <c r="CI93" i="16"/>
  <c r="CI66" i="16"/>
  <c r="Y66" i="16"/>
  <c r="CQ93" i="16"/>
  <c r="CQ66" i="16"/>
  <c r="AG66" i="16"/>
  <c r="CY93" i="16"/>
  <c r="CY66" i="16"/>
  <c r="AO66" i="16"/>
  <c r="DG93" i="16"/>
  <c r="DG66" i="16"/>
  <c r="AW66" i="16"/>
  <c r="DO93" i="16"/>
  <c r="DO66" i="16"/>
  <c r="BE66" i="16"/>
  <c r="AU66" i="16"/>
  <c r="BT89" i="16"/>
  <c r="J89" i="16"/>
  <c r="CB89" i="16"/>
  <c r="R89" i="16"/>
  <c r="CJ89" i="16"/>
  <c r="Z89" i="16"/>
  <c r="CR89" i="16"/>
  <c r="AH89" i="16"/>
  <c r="CZ89" i="16"/>
  <c r="AP89" i="16"/>
  <c r="DH89" i="16"/>
  <c r="AX89" i="16"/>
  <c r="DP89" i="16"/>
  <c r="BF89" i="16"/>
  <c r="BU90" i="16"/>
  <c r="BU63" i="16"/>
  <c r="K90" i="16"/>
  <c r="K63" i="16"/>
  <c r="CC90" i="16"/>
  <c r="CC63" i="16"/>
  <c r="S90" i="16"/>
  <c r="S63" i="16"/>
  <c r="CK90" i="16"/>
  <c r="CK63" i="16"/>
  <c r="AA90" i="16"/>
  <c r="AA63" i="16"/>
  <c r="CS90" i="16"/>
  <c r="CS63" i="16"/>
  <c r="AI90" i="16"/>
  <c r="AI63" i="16"/>
  <c r="DA90" i="16"/>
  <c r="DA63" i="16"/>
  <c r="AQ90" i="16"/>
  <c r="AQ63" i="16"/>
  <c r="DI90" i="16"/>
  <c r="DI63" i="16"/>
  <c r="AY63" i="16"/>
  <c r="DQ90" i="16"/>
  <c r="DQ63" i="16"/>
  <c r="BG90" i="16"/>
  <c r="BG63" i="16"/>
  <c r="BR64" i="16"/>
  <c r="BR91" i="16"/>
  <c r="H64" i="16"/>
  <c r="BZ91" i="16"/>
  <c r="BZ64" i="16"/>
  <c r="P64" i="16"/>
  <c r="CH91" i="16"/>
  <c r="CH64" i="16"/>
  <c r="X64" i="16"/>
  <c r="CP91" i="16"/>
  <c r="CP64" i="16"/>
  <c r="AF64" i="16"/>
  <c r="CX91" i="16"/>
  <c r="CX64" i="16"/>
  <c r="AN64" i="16"/>
  <c r="DF91" i="16"/>
  <c r="DF64" i="16"/>
  <c r="AV64" i="16"/>
  <c r="DN91" i="16"/>
  <c r="DN64" i="16"/>
  <c r="BD64" i="16"/>
  <c r="BO92" i="16"/>
  <c r="BO65" i="16"/>
  <c r="E65" i="16"/>
  <c r="BW92" i="16"/>
  <c r="BW65" i="16"/>
  <c r="M65" i="16"/>
  <c r="CE92" i="16"/>
  <c r="CE65" i="16"/>
  <c r="U65" i="16"/>
  <c r="CM92" i="16"/>
  <c r="CM65" i="16"/>
  <c r="AC65" i="16"/>
  <c r="CU92" i="16"/>
  <c r="CU65" i="16"/>
  <c r="AK65" i="16"/>
  <c r="DC92" i="16"/>
  <c r="DC65" i="16"/>
  <c r="AS65" i="16"/>
  <c r="DK92" i="16"/>
  <c r="DK65" i="16"/>
  <c r="BA65" i="16"/>
  <c r="DS92" i="16"/>
  <c r="DS65" i="16"/>
  <c r="BI65" i="16"/>
  <c r="BT93" i="16"/>
  <c r="BT66" i="16"/>
  <c r="J66" i="16"/>
  <c r="CB93" i="16"/>
  <c r="CB66" i="16"/>
  <c r="R66" i="16"/>
  <c r="CJ93" i="16"/>
  <c r="CJ66" i="16"/>
  <c r="Z66" i="16"/>
  <c r="CR93" i="16"/>
  <c r="CR66" i="16"/>
  <c r="AH66" i="16"/>
  <c r="CZ93" i="16"/>
  <c r="CZ66" i="16"/>
  <c r="AP66" i="16"/>
  <c r="DH93" i="16"/>
  <c r="DH66" i="16"/>
  <c r="AX66" i="16"/>
  <c r="DP93" i="16"/>
  <c r="DP66" i="16"/>
  <c r="BF66" i="16"/>
  <c r="BU89" i="16"/>
  <c r="K89" i="16"/>
  <c r="CC89" i="16"/>
  <c r="S89" i="16"/>
  <c r="CK89" i="16"/>
  <c r="AA89" i="16"/>
  <c r="CS89" i="16"/>
  <c r="AI89" i="16"/>
  <c r="DA89" i="16"/>
  <c r="AQ89" i="16"/>
  <c r="DI89" i="16"/>
  <c r="AY89" i="16"/>
  <c r="DQ89" i="16"/>
  <c r="BG89" i="16"/>
  <c r="BN90" i="16"/>
  <c r="BN63" i="16"/>
  <c r="D90" i="16"/>
  <c r="BV90" i="16"/>
  <c r="BV63" i="16"/>
  <c r="L90" i="16"/>
  <c r="CD90" i="16"/>
  <c r="T90" i="16"/>
  <c r="CD63" i="16"/>
  <c r="CL90" i="16"/>
  <c r="CL63" i="16"/>
  <c r="AB90" i="16"/>
  <c r="CT90" i="16"/>
  <c r="CT63" i="16"/>
  <c r="AJ90" i="16"/>
  <c r="DB90" i="16"/>
  <c r="DB63" i="16"/>
  <c r="AR90" i="16"/>
  <c r="DJ90" i="16"/>
  <c r="AZ90" i="16"/>
  <c r="DJ63" i="16"/>
  <c r="DR90" i="16"/>
  <c r="DR63" i="16"/>
  <c r="BH90" i="16"/>
  <c r="BS91" i="16"/>
  <c r="BS64" i="16"/>
  <c r="CA91" i="16"/>
  <c r="CA64" i="16"/>
  <c r="CI91" i="16"/>
  <c r="CI64" i="16"/>
  <c r="CQ64" i="16"/>
  <c r="CQ91" i="16"/>
  <c r="CY91" i="16"/>
  <c r="CY64" i="16"/>
  <c r="DG91" i="16"/>
  <c r="DG64" i="16"/>
  <c r="DO91" i="16"/>
  <c r="DO64" i="16"/>
  <c r="BP92" i="16"/>
  <c r="BP65" i="16"/>
  <c r="BX92" i="16"/>
  <c r="BX65" i="16"/>
  <c r="CF92" i="16"/>
  <c r="CF65" i="16"/>
  <c r="CN92" i="16"/>
  <c r="CN65" i="16"/>
  <c r="CV92" i="16"/>
  <c r="CV65" i="16"/>
  <c r="DD92" i="16"/>
  <c r="DD65" i="16"/>
  <c r="DL92" i="16"/>
  <c r="DL65" i="16"/>
  <c r="DT65" i="16"/>
  <c r="DT92" i="16"/>
  <c r="BU93" i="16"/>
  <c r="BU66" i="16"/>
  <c r="CC93" i="16"/>
  <c r="CC66" i="16"/>
  <c r="CK93" i="16"/>
  <c r="CK66" i="16"/>
  <c r="CS93" i="16"/>
  <c r="CS66" i="16"/>
  <c r="DA93" i="16"/>
  <c r="DA66" i="16"/>
  <c r="DI93" i="16"/>
  <c r="DI66" i="16"/>
  <c r="DQ93" i="16"/>
  <c r="DQ66" i="16"/>
  <c r="BH63" i="16"/>
  <c r="F65" i="16"/>
  <c r="K66" i="16"/>
  <c r="N89" i="16"/>
  <c r="AT89" i="16"/>
  <c r="BP89" i="16"/>
  <c r="F89" i="16"/>
  <c r="CF89" i="16"/>
  <c r="V89" i="16"/>
  <c r="CN89" i="16"/>
  <c r="AD89" i="16"/>
  <c r="CV89" i="16"/>
  <c r="AL89" i="16"/>
  <c r="DL89" i="16"/>
  <c r="BB89" i="16"/>
  <c r="DT89" i="16"/>
  <c r="BJ89" i="16"/>
  <c r="BQ90" i="16"/>
  <c r="BQ63" i="16"/>
  <c r="G90" i="16"/>
  <c r="G63" i="16"/>
  <c r="BY90" i="16"/>
  <c r="BY63" i="16"/>
  <c r="O90" i="16"/>
  <c r="O63" i="16"/>
  <c r="CG63" i="16"/>
  <c r="CG90" i="16"/>
  <c r="W90" i="16"/>
  <c r="W63" i="16"/>
  <c r="CO90" i="16"/>
  <c r="CO63" i="16"/>
  <c r="AE63" i="16"/>
  <c r="AE90" i="16"/>
  <c r="CW63" i="16"/>
  <c r="CW90" i="16"/>
  <c r="AM90" i="16"/>
  <c r="AM63" i="16"/>
  <c r="DE90" i="16"/>
  <c r="DE63" i="16"/>
  <c r="AU63" i="16"/>
  <c r="AU90" i="16"/>
  <c r="DM90" i="16"/>
  <c r="DM63" i="16"/>
  <c r="BC90" i="16"/>
  <c r="BC63" i="16"/>
  <c r="BN91" i="16"/>
  <c r="BN64" i="16"/>
  <c r="D64" i="16"/>
  <c r="BV91" i="16"/>
  <c r="BV64" i="16"/>
  <c r="L64" i="16"/>
  <c r="CD91" i="16"/>
  <c r="CD64" i="16"/>
  <c r="T64" i="16"/>
  <c r="CL91" i="16"/>
  <c r="CL64" i="16"/>
  <c r="AB64" i="16"/>
  <c r="CT91" i="16"/>
  <c r="CT64" i="16"/>
  <c r="AJ64" i="16"/>
  <c r="DB64" i="16"/>
  <c r="DB91" i="16"/>
  <c r="AR64" i="16"/>
  <c r="DJ91" i="16"/>
  <c r="DJ64" i="16"/>
  <c r="AZ64" i="16"/>
  <c r="DR91" i="16"/>
  <c r="DR64" i="16"/>
  <c r="BH64" i="16"/>
  <c r="BS92" i="16"/>
  <c r="BS65" i="16"/>
  <c r="I65" i="16"/>
  <c r="CA92" i="16"/>
  <c r="CA65" i="16"/>
  <c r="Q65" i="16"/>
  <c r="CI92" i="16"/>
  <c r="CI65" i="16"/>
  <c r="Y65" i="16"/>
  <c r="CQ92" i="16"/>
  <c r="CQ65" i="16"/>
  <c r="AG65" i="16"/>
  <c r="CY92" i="16"/>
  <c r="CY65" i="16"/>
  <c r="AO65" i="16"/>
  <c r="DG92" i="16"/>
  <c r="DG65" i="16"/>
  <c r="AW65" i="16"/>
  <c r="DO92" i="16"/>
  <c r="DO65" i="16"/>
  <c r="BE65" i="16"/>
  <c r="BP93" i="16"/>
  <c r="BP66" i="16"/>
  <c r="F66" i="16"/>
  <c r="BX93" i="16"/>
  <c r="BX66" i="16"/>
  <c r="N66" i="16"/>
  <c r="CF93" i="16"/>
  <c r="CF66" i="16"/>
  <c r="V66" i="16"/>
  <c r="CN93" i="16"/>
  <c r="CN66" i="16"/>
  <c r="AD66" i="16"/>
  <c r="CV93" i="16"/>
  <c r="CV66" i="16"/>
  <c r="AL66" i="16"/>
  <c r="DD93" i="16"/>
  <c r="DD66" i="16"/>
  <c r="AT66" i="16"/>
  <c r="DL93" i="16"/>
  <c r="DL66" i="16"/>
  <c r="BB66" i="16"/>
  <c r="DT93" i="16"/>
  <c r="DT66" i="16"/>
  <c r="BJ66" i="16"/>
  <c r="D63" i="16"/>
  <c r="I64" i="16"/>
  <c r="N65" i="16"/>
  <c r="S66" i="16"/>
  <c r="AY90" i="16"/>
  <c r="BJ112" i="17"/>
  <c r="O5" i="18"/>
  <c r="BV5" i="18"/>
  <c r="ED5" i="18" s="1"/>
  <c r="BU5" i="18"/>
  <c r="EC5" i="18" s="1"/>
  <c r="BT5" i="18"/>
  <c r="EB5" i="18" s="1"/>
  <c r="BS5" i="18"/>
  <c r="EA5" i="18" s="1"/>
  <c r="BR5" i="18"/>
  <c r="DZ5" i="18" s="1"/>
  <c r="BQ5" i="18"/>
  <c r="DY5" i="18" s="1"/>
  <c r="BP5" i="18"/>
  <c r="DX5" i="18" s="1"/>
  <c r="BO5" i="18"/>
  <c r="DW5" i="18" s="1"/>
  <c r="BN5" i="18"/>
  <c r="DV5" i="18" s="1"/>
  <c r="BM5" i="18"/>
  <c r="DU5" i="18" s="1"/>
  <c r="BL5" i="18"/>
  <c r="DT5" i="18" s="1"/>
  <c r="BK5" i="18"/>
  <c r="BJ5" i="18"/>
  <c r="DR5" i="18" s="1"/>
  <c r="BI5" i="18"/>
  <c r="DQ5" i="18" s="1"/>
  <c r="BH5" i="18"/>
  <c r="DP5" i="18" s="1"/>
  <c r="BG5" i="18"/>
  <c r="DO5" i="18" s="1"/>
  <c r="BF5" i="18"/>
  <c r="DN5" i="18" s="1"/>
  <c r="BE5" i="18"/>
  <c r="DM5" i="18" s="1"/>
  <c r="BD5" i="18"/>
  <c r="DL5" i="18" s="1"/>
  <c r="BC5" i="18"/>
  <c r="DK5" i="18" s="1"/>
  <c r="BB5" i="18"/>
  <c r="DJ5" i="18" s="1"/>
  <c r="BA5" i="18"/>
  <c r="DI5" i="18" s="1"/>
  <c r="AZ5" i="18"/>
  <c r="DH5" i="18" s="1"/>
  <c r="AY5" i="18"/>
  <c r="AY4" i="18" s="1"/>
  <c r="AX5" i="18"/>
  <c r="DF5" i="18" s="1"/>
  <c r="AW5" i="18"/>
  <c r="DE5" i="18" s="1"/>
  <c r="AV5" i="18"/>
  <c r="DD5" i="18" s="1"/>
  <c r="AU5" i="18"/>
  <c r="DC5" i="18" s="1"/>
  <c r="AT5" i="18"/>
  <c r="DB5" i="18" s="1"/>
  <c r="AS5" i="18"/>
  <c r="DA5" i="18" s="1"/>
  <c r="AR5" i="18"/>
  <c r="CZ5" i="18" s="1"/>
  <c r="AQ5" i="18"/>
  <c r="CY5" i="18" s="1"/>
  <c r="AP5" i="18"/>
  <c r="CX5" i="18" s="1"/>
  <c r="AO5" i="18"/>
  <c r="CW5" i="18" s="1"/>
  <c r="AN5" i="18"/>
  <c r="CV5" i="18" s="1"/>
  <c r="AM5" i="18"/>
  <c r="AM4" i="18" s="1"/>
  <c r="AL5" i="18"/>
  <c r="AK5" i="18"/>
  <c r="AJ5" i="18"/>
  <c r="AI5" i="18"/>
  <c r="AH5" i="18"/>
  <c r="AG5" i="18"/>
  <c r="AF5" i="18"/>
  <c r="AE5" i="18"/>
  <c r="AD5" i="18"/>
  <c r="AC5" i="18"/>
  <c r="AB5" i="18"/>
  <c r="AA5" i="18"/>
  <c r="AA4" i="18" s="1"/>
  <c r="Z5" i="18"/>
  <c r="Y5" i="18"/>
  <c r="X5" i="18"/>
  <c r="W5" i="18"/>
  <c r="V5" i="18"/>
  <c r="U5" i="18"/>
  <c r="T5" i="18"/>
  <c r="S5" i="18"/>
  <c r="R5" i="18"/>
  <c r="Q5" i="18"/>
  <c r="AM367" i="36" l="1"/>
  <c r="AM359" i="36"/>
  <c r="AM351" i="36"/>
  <c r="AM343" i="36"/>
  <c r="AM335" i="36"/>
  <c r="AM327" i="36"/>
  <c r="AM319" i="36"/>
  <c r="AM311" i="36"/>
  <c r="AM364" i="36"/>
  <c r="AM356" i="36"/>
  <c r="AM348" i="36"/>
  <c r="AM340" i="36"/>
  <c r="AM332" i="36"/>
  <c r="AM324" i="36"/>
  <c r="AM316" i="36"/>
  <c r="AM308" i="36"/>
  <c r="AM369" i="36"/>
  <c r="AM361" i="36"/>
  <c r="AM353" i="36"/>
  <c r="AM345" i="36"/>
  <c r="AM337" i="36"/>
  <c r="AM329" i="36"/>
  <c r="AM321" i="36"/>
  <c r="AM313" i="36"/>
  <c r="AM305" i="36"/>
  <c r="AM366" i="36"/>
  <c r="AM358" i="36"/>
  <c r="AM350" i="36"/>
  <c r="AM342" i="36"/>
  <c r="AM334" i="36"/>
  <c r="AM326" i="36"/>
  <c r="AM318" i="36"/>
  <c r="AM310" i="36"/>
  <c r="AM363" i="36"/>
  <c r="AM355" i="36"/>
  <c r="AM347" i="36"/>
  <c r="AM339" i="36"/>
  <c r="AM354" i="36"/>
  <c r="AM362" i="36"/>
  <c r="AM346" i="36"/>
  <c r="AM322" i="36"/>
  <c r="AM314" i="36"/>
  <c r="AM306" i="36"/>
  <c r="AM330" i="36"/>
  <c r="AM338" i="36"/>
  <c r="AM349" i="36"/>
  <c r="AM307" i="36"/>
  <c r="AM357" i="36"/>
  <c r="AM320" i="36"/>
  <c r="AM341" i="36"/>
  <c r="AM365" i="36"/>
  <c r="AM352" i="36"/>
  <c r="AM309" i="36"/>
  <c r="AM368" i="36"/>
  <c r="AM323" i="36"/>
  <c r="AM312" i="36"/>
  <c r="AM344" i="36"/>
  <c r="AM328" i="36"/>
  <c r="AM331" i="36"/>
  <c r="AM317" i="36"/>
  <c r="AM315" i="36"/>
  <c r="AM336" i="36"/>
  <c r="AM360" i="36"/>
  <c r="AM333" i="36"/>
  <c r="AM325" i="36"/>
  <c r="AN364" i="36"/>
  <c r="AN356" i="36"/>
  <c r="AN348" i="36"/>
  <c r="AN340" i="36"/>
  <c r="AN332" i="36"/>
  <c r="AN324" i="36"/>
  <c r="AN316" i="36"/>
  <c r="AN308" i="36"/>
  <c r="AN369" i="36"/>
  <c r="AN361" i="36"/>
  <c r="AN353" i="36"/>
  <c r="AN345" i="36"/>
  <c r="AN337" i="36"/>
  <c r="AN329" i="36"/>
  <c r="AN321" i="36"/>
  <c r="AN313" i="36"/>
  <c r="AN366" i="36"/>
  <c r="AN358" i="36"/>
  <c r="AN350" i="36"/>
  <c r="AN342" i="36"/>
  <c r="AN334" i="36"/>
  <c r="AN326" i="36"/>
  <c r="AN318" i="36"/>
  <c r="AN310" i="36"/>
  <c r="AN363" i="36"/>
  <c r="AN355" i="36"/>
  <c r="AN347" i="36"/>
  <c r="AN339" i="36"/>
  <c r="AN331" i="36"/>
  <c r="AN323" i="36"/>
  <c r="AN315" i="36"/>
  <c r="AN307" i="36"/>
  <c r="AN368" i="36"/>
  <c r="AN360" i="36"/>
  <c r="AN352" i="36"/>
  <c r="AN344" i="36"/>
  <c r="AN320" i="36"/>
  <c r="AN367" i="36"/>
  <c r="AN343" i="36"/>
  <c r="AN359" i="36"/>
  <c r="AN351" i="36"/>
  <c r="AN327" i="36"/>
  <c r="AN319" i="36"/>
  <c r="AN311" i="36"/>
  <c r="AN335" i="36"/>
  <c r="AN349" i="36"/>
  <c r="AN341" i="36"/>
  <c r="AN312" i="36"/>
  <c r="AN333" i="36"/>
  <c r="AN362" i="36"/>
  <c r="AN309" i="36"/>
  <c r="AN346" i="36"/>
  <c r="AN322" i="36"/>
  <c r="AN354" i="36"/>
  <c r="AN338" i="36"/>
  <c r="AN305" i="36"/>
  <c r="AN317" i="36"/>
  <c r="AN357" i="36"/>
  <c r="AN325" i="36"/>
  <c r="AN328" i="36"/>
  <c r="AN314" i="36"/>
  <c r="AN330" i="36"/>
  <c r="AN306" i="36"/>
  <c r="AN365" i="36"/>
  <c r="AN336" i="36"/>
  <c r="AO369" i="36"/>
  <c r="AO361" i="36"/>
  <c r="AO353" i="36"/>
  <c r="AO345" i="36"/>
  <c r="AO337" i="36"/>
  <c r="AO329" i="36"/>
  <c r="AO321" i="36"/>
  <c r="AO313" i="36"/>
  <c r="AO305" i="36"/>
  <c r="AO366" i="36"/>
  <c r="AO358" i="36"/>
  <c r="AO350" i="36"/>
  <c r="AO342" i="36"/>
  <c r="AO334" i="36"/>
  <c r="AO326" i="36"/>
  <c r="AO318" i="36"/>
  <c r="AO310" i="36"/>
  <c r="AO363" i="36"/>
  <c r="AO355" i="36"/>
  <c r="AO347" i="36"/>
  <c r="AO339" i="36"/>
  <c r="AO331" i="36"/>
  <c r="AO323" i="36"/>
  <c r="AO315" i="36"/>
  <c r="AO307" i="36"/>
  <c r="AO368" i="36"/>
  <c r="AO360" i="36"/>
  <c r="AO352" i="36"/>
  <c r="AO344" i="36"/>
  <c r="AO336" i="36"/>
  <c r="AO328" i="36"/>
  <c r="AO320" i="36"/>
  <c r="AO312" i="36"/>
  <c r="AO365" i="36"/>
  <c r="AO357" i="36"/>
  <c r="AO349" i="36"/>
  <c r="AO341" i="36"/>
  <c r="AO317" i="36"/>
  <c r="AO348" i="36"/>
  <c r="AO364" i="36"/>
  <c r="AO332" i="36"/>
  <c r="AO324" i="36"/>
  <c r="AO356" i="36"/>
  <c r="AO316" i="36"/>
  <c r="AO308" i="36"/>
  <c r="AO340" i="36"/>
  <c r="AO314" i="36"/>
  <c r="AO346" i="36"/>
  <c r="AO330" i="36"/>
  <c r="AO309" i="36"/>
  <c r="AO319" i="36"/>
  <c r="AO335" i="36"/>
  <c r="AO311" i="36"/>
  <c r="AO327" i="36"/>
  <c r="AO325" i="36"/>
  <c r="AO351" i="36"/>
  <c r="AO359" i="36"/>
  <c r="AO306" i="36"/>
  <c r="AO362" i="36"/>
  <c r="AO322" i="36"/>
  <c r="AO354" i="36"/>
  <c r="AO333" i="36"/>
  <c r="AO343" i="36"/>
  <c r="AO367" i="36"/>
  <c r="AO338" i="36"/>
  <c r="BK4" i="18"/>
  <c r="DS5" i="18"/>
  <c r="DS4" i="18" s="1"/>
  <c r="AO301" i="36"/>
  <c r="AO293" i="36"/>
  <c r="AO285" i="36"/>
  <c r="AO277" i="36"/>
  <c r="AO269" i="36"/>
  <c r="AO278" i="36"/>
  <c r="AO298" i="36"/>
  <c r="AO290" i="36"/>
  <c r="AO282" i="36"/>
  <c r="AO274" i="36"/>
  <c r="AO266" i="36"/>
  <c r="AO270" i="36"/>
  <c r="AO294" i="36"/>
  <c r="AO286" i="36"/>
  <c r="AO302" i="36"/>
  <c r="AO287" i="36"/>
  <c r="AO272" i="36"/>
  <c r="AO265" i="36"/>
  <c r="AO297" i="36"/>
  <c r="AO279" i="36"/>
  <c r="AO264" i="36"/>
  <c r="AO300" i="36"/>
  <c r="AO271" i="36"/>
  <c r="AO299" i="36"/>
  <c r="AO292" i="36"/>
  <c r="AO289" i="36"/>
  <c r="AO291" i="36"/>
  <c r="AO284" i="36"/>
  <c r="AO283" i="36"/>
  <c r="AO276" i="36"/>
  <c r="AO304" i="36"/>
  <c r="AO280" i="36"/>
  <c r="AO281" i="36"/>
  <c r="AO275" i="36"/>
  <c r="AO268" i="36"/>
  <c r="AO296" i="36"/>
  <c r="AO267" i="36"/>
  <c r="AO303" i="36"/>
  <c r="AO288" i="36"/>
  <c r="AO273" i="36"/>
  <c r="AO295" i="36"/>
  <c r="AM276" i="36"/>
  <c r="AM299" i="36"/>
  <c r="AM291" i="36"/>
  <c r="AM283" i="36"/>
  <c r="AM275" i="36"/>
  <c r="AM267" i="36"/>
  <c r="AM268" i="36"/>
  <c r="AM304" i="36"/>
  <c r="AM296" i="36"/>
  <c r="AM288" i="36"/>
  <c r="AM280" i="36"/>
  <c r="AM272" i="36"/>
  <c r="AM264" i="36"/>
  <c r="AM292" i="36"/>
  <c r="AM300" i="36"/>
  <c r="AM284" i="36"/>
  <c r="AM274" i="36"/>
  <c r="AM286" i="36"/>
  <c r="AM281" i="36"/>
  <c r="AM295" i="36"/>
  <c r="AM273" i="36"/>
  <c r="AM266" i="36"/>
  <c r="AM278" i="36"/>
  <c r="AM298" i="36"/>
  <c r="AM271" i="36"/>
  <c r="AM265" i="36"/>
  <c r="AM301" i="36"/>
  <c r="AM302" i="36"/>
  <c r="AM293" i="36"/>
  <c r="AM270" i="36"/>
  <c r="AM290" i="36"/>
  <c r="AM287" i="36"/>
  <c r="AM285" i="36"/>
  <c r="AM277" i="36"/>
  <c r="AM289" i="36"/>
  <c r="AM282" i="36"/>
  <c r="AM294" i="36"/>
  <c r="AM303" i="36"/>
  <c r="AM269" i="36"/>
  <c r="AM297" i="36"/>
  <c r="AM279" i="36"/>
  <c r="AN180" i="36"/>
  <c r="AN297" i="36"/>
  <c r="AN281" i="36"/>
  <c r="AN265" i="36"/>
  <c r="AN304" i="36"/>
  <c r="AN296" i="36"/>
  <c r="AN288" i="36"/>
  <c r="AN280" i="36"/>
  <c r="AN272" i="36"/>
  <c r="AN264" i="36"/>
  <c r="AN301" i="36"/>
  <c r="AN293" i="36"/>
  <c r="AN285" i="36"/>
  <c r="AN277" i="36"/>
  <c r="AN269" i="36"/>
  <c r="AN289" i="36"/>
  <c r="AN273" i="36"/>
  <c r="AN270" i="36"/>
  <c r="AN282" i="36"/>
  <c r="AN292" i="36"/>
  <c r="AN291" i="36"/>
  <c r="AN303" i="36"/>
  <c r="AN268" i="36"/>
  <c r="AN294" i="36"/>
  <c r="AN286" i="36"/>
  <c r="AN298" i="36"/>
  <c r="AN267" i="36"/>
  <c r="AN279" i="36"/>
  <c r="AN274" i="36"/>
  <c r="AN284" i="36"/>
  <c r="AN302" i="36"/>
  <c r="AN283" i="36"/>
  <c r="AN295" i="36"/>
  <c r="AN278" i="36"/>
  <c r="AN290" i="36"/>
  <c r="AN271" i="36"/>
  <c r="AN300" i="36"/>
  <c r="AN266" i="36"/>
  <c r="AN299" i="36"/>
  <c r="AN276" i="36"/>
  <c r="AN275" i="36"/>
  <c r="AN287" i="36"/>
  <c r="W34" i="17"/>
  <c r="AH34" i="17"/>
  <c r="AP34" i="17"/>
  <c r="BD34" i="17"/>
  <c r="I34" i="17"/>
  <c r="BJ34" i="17"/>
  <c r="BJ35" i="17" s="1"/>
  <c r="BJ38" i="17" s="1"/>
  <c r="BJ39" i="17" s="1"/>
  <c r="BB34" i="17"/>
  <c r="V34" i="17"/>
  <c r="AV34" i="17"/>
  <c r="R34" i="17"/>
  <c r="F34" i="17"/>
  <c r="AW34" i="17"/>
  <c r="Y34" i="17"/>
  <c r="AN9" i="36"/>
  <c r="AN75" i="36"/>
  <c r="BC34" i="17"/>
  <c r="AX34" i="17"/>
  <c r="BH34" i="17"/>
  <c r="BF34" i="17"/>
  <c r="Z34" i="17"/>
  <c r="AU34" i="17"/>
  <c r="K34" i="17"/>
  <c r="AN34" i="17"/>
  <c r="AL34" i="17"/>
  <c r="AD34" i="17"/>
  <c r="AI34" i="17"/>
  <c r="O4" i="18"/>
  <c r="N34" i="17"/>
  <c r="AT34" i="17"/>
  <c r="U34" i="17"/>
  <c r="AK34" i="17"/>
  <c r="AQ34" i="17"/>
  <c r="BG34" i="17"/>
  <c r="AJ34" i="17"/>
  <c r="BI34" i="17"/>
  <c r="AB34" i="17"/>
  <c r="AE34" i="17"/>
  <c r="AG34" i="17"/>
  <c r="AY34" i="17"/>
  <c r="Q34" i="17"/>
  <c r="AC34" i="17"/>
  <c r="O34" i="17"/>
  <c r="BE34" i="17"/>
  <c r="G34" i="17"/>
  <c r="L34" i="17"/>
  <c r="AZ34" i="17"/>
  <c r="S34" i="17"/>
  <c r="P34" i="17"/>
  <c r="AN205" i="36"/>
  <c r="AN116" i="36"/>
  <c r="AN141" i="36"/>
  <c r="AN114" i="36"/>
  <c r="AN238" i="36"/>
  <c r="AN56" i="36"/>
  <c r="AN199" i="36"/>
  <c r="AN249" i="36"/>
  <c r="AN135" i="36"/>
  <c r="AN153" i="36"/>
  <c r="AN244" i="36"/>
  <c r="AN197" i="36"/>
  <c r="AN133" i="36"/>
  <c r="AN191" i="36"/>
  <c r="AN127" i="36"/>
  <c r="AN236" i="36"/>
  <c r="AN172" i="36"/>
  <c r="AN108" i="36"/>
  <c r="AN233" i="36"/>
  <c r="AN129" i="36"/>
  <c r="AN57" i="36"/>
  <c r="AN214" i="36"/>
  <c r="AN189" i="36"/>
  <c r="AN125" i="36"/>
  <c r="AN247" i="36"/>
  <c r="AN183" i="36"/>
  <c r="AN119" i="36"/>
  <c r="AN228" i="36"/>
  <c r="AN164" i="36"/>
  <c r="AN100" i="36"/>
  <c r="AN225" i="36"/>
  <c r="AN121" i="36"/>
  <c r="AN25" i="36"/>
  <c r="AN158" i="36"/>
  <c r="AN53" i="36"/>
  <c r="AN237" i="36"/>
  <c r="AN181" i="36"/>
  <c r="AN117" i="36"/>
  <c r="AN239" i="36"/>
  <c r="AN175" i="36"/>
  <c r="AN111" i="36"/>
  <c r="AN220" i="36"/>
  <c r="AN156" i="36"/>
  <c r="AN92" i="36"/>
  <c r="AN217" i="36"/>
  <c r="AN113" i="36"/>
  <c r="AN42" i="36"/>
  <c r="AN94" i="36"/>
  <c r="AN245" i="36"/>
  <c r="AN173" i="36"/>
  <c r="AN109" i="36"/>
  <c r="AN231" i="36"/>
  <c r="AN167" i="36"/>
  <c r="AN103" i="36"/>
  <c r="AN212" i="36"/>
  <c r="AN148" i="36"/>
  <c r="AN84" i="36"/>
  <c r="AN209" i="36"/>
  <c r="AN74" i="36"/>
  <c r="AN78" i="36"/>
  <c r="AN229" i="36"/>
  <c r="AN165" i="36"/>
  <c r="AN101" i="36"/>
  <c r="AN223" i="36"/>
  <c r="AN159" i="36"/>
  <c r="AN95" i="36"/>
  <c r="AN204" i="36"/>
  <c r="AN140" i="36"/>
  <c r="AN201" i="36"/>
  <c r="AN44" i="36"/>
  <c r="AN232" i="36"/>
  <c r="AN71" i="36"/>
  <c r="AN221" i="36"/>
  <c r="AN157" i="36"/>
  <c r="AN93" i="36"/>
  <c r="AN215" i="36"/>
  <c r="AN151" i="36"/>
  <c r="AN87" i="36"/>
  <c r="AN196" i="36"/>
  <c r="AN132" i="36"/>
  <c r="AN177" i="36"/>
  <c r="AN90" i="36"/>
  <c r="AN136" i="36"/>
  <c r="AN39" i="36"/>
  <c r="AN213" i="36"/>
  <c r="AN149" i="36"/>
  <c r="AN85" i="36"/>
  <c r="AN207" i="36"/>
  <c r="AN143" i="36"/>
  <c r="AN11" i="36"/>
  <c r="AN188" i="36"/>
  <c r="AN124" i="36"/>
  <c r="AN161" i="36"/>
  <c r="AN162" i="36"/>
  <c r="AN122" i="36"/>
  <c r="AN104" i="36"/>
  <c r="AN123" i="36"/>
  <c r="AN193" i="36"/>
  <c r="AN105" i="36"/>
  <c r="AN49" i="36"/>
  <c r="AN186" i="36"/>
  <c r="AN192" i="36"/>
  <c r="AO152" i="36"/>
  <c r="AO263" i="36"/>
  <c r="AO255" i="36"/>
  <c r="AO260" i="36"/>
  <c r="AO252" i="36"/>
  <c r="AO256" i="36"/>
  <c r="AO254" i="36"/>
  <c r="AO258" i="36"/>
  <c r="AO257" i="36"/>
  <c r="AO253" i="36"/>
  <c r="AO259" i="36"/>
  <c r="AO261" i="36"/>
  <c r="AO262" i="36"/>
  <c r="AM230" i="36"/>
  <c r="AM253" i="36"/>
  <c r="AM258" i="36"/>
  <c r="AM262" i="36"/>
  <c r="AM254" i="36"/>
  <c r="AM261" i="36"/>
  <c r="AM263" i="36"/>
  <c r="AM252" i="36"/>
  <c r="AM255" i="36"/>
  <c r="AM257" i="36"/>
  <c r="AM256" i="36"/>
  <c r="AM259" i="36"/>
  <c r="AM260" i="36"/>
  <c r="AN145" i="36"/>
  <c r="AN210" i="36"/>
  <c r="AN28" i="36"/>
  <c r="AN142" i="36"/>
  <c r="AN24" i="36"/>
  <c r="AN30" i="36"/>
  <c r="AN258" i="36"/>
  <c r="AN263" i="36"/>
  <c r="AN255" i="36"/>
  <c r="AN259" i="36"/>
  <c r="AN254" i="36"/>
  <c r="AN260" i="36"/>
  <c r="AN252" i="36"/>
  <c r="AN253" i="36"/>
  <c r="AN257" i="36"/>
  <c r="AN256" i="36"/>
  <c r="AN261" i="36"/>
  <c r="AN262" i="36"/>
  <c r="DG5" i="18"/>
  <c r="DG4" i="18" s="1"/>
  <c r="CU5" i="18"/>
  <c r="CU4" i="18" s="1"/>
  <c r="AN195" i="36"/>
  <c r="E34" i="17"/>
  <c r="BA34" i="17"/>
  <c r="AO34" i="17"/>
  <c r="J34" i="17"/>
  <c r="AM34" i="17"/>
  <c r="AR34" i="17"/>
  <c r="D34" i="17"/>
  <c r="D35" i="17" s="1"/>
  <c r="D38" i="17" s="1"/>
  <c r="D39" i="17" s="1"/>
  <c r="AS34" i="17"/>
  <c r="BW5" i="18"/>
  <c r="BW4" i="18" s="1"/>
  <c r="AN43" i="36"/>
  <c r="AN179" i="36"/>
  <c r="AN241" i="36"/>
  <c r="AN169" i="36"/>
  <c r="AN97" i="36"/>
  <c r="AN242" i="36"/>
  <c r="AN58" i="36"/>
  <c r="AN222" i="36"/>
  <c r="AN176" i="36"/>
  <c r="AN19" i="36"/>
  <c r="AM192" i="36"/>
  <c r="AM162" i="36"/>
  <c r="AM207" i="36"/>
  <c r="AM228" i="36"/>
  <c r="AN185" i="36"/>
  <c r="AN137" i="36"/>
  <c r="AN89" i="36"/>
  <c r="AN250" i="36"/>
  <c r="AN98" i="36"/>
  <c r="AN34" i="36"/>
  <c r="AN36" i="36"/>
  <c r="AN234" i="36"/>
  <c r="AN150" i="36"/>
  <c r="AN200" i="36"/>
  <c r="AN88" i="36"/>
  <c r="AN37" i="36"/>
  <c r="AN139" i="36"/>
  <c r="AN187" i="36"/>
  <c r="AM232" i="36"/>
  <c r="AM144" i="36"/>
  <c r="AM104" i="36"/>
  <c r="AM242" i="36"/>
  <c r="AM114" i="36"/>
  <c r="AM159" i="36"/>
  <c r="AM132" i="36"/>
  <c r="AM42" i="36"/>
  <c r="AM194" i="36"/>
  <c r="AM154" i="36"/>
  <c r="AM239" i="36"/>
  <c r="AM199" i="36"/>
  <c r="AM111" i="36"/>
  <c r="AN226" i="36"/>
  <c r="AN65" i="36"/>
  <c r="AN18" i="36"/>
  <c r="AN52" i="36"/>
  <c r="AN230" i="36"/>
  <c r="AN110" i="36"/>
  <c r="AN184" i="36"/>
  <c r="AN40" i="36"/>
  <c r="AN163" i="36"/>
  <c r="AN91" i="36"/>
  <c r="AN67" i="36"/>
  <c r="AM176" i="36"/>
  <c r="AM212" i="36"/>
  <c r="AM164" i="36"/>
  <c r="AM112" i="36"/>
  <c r="AM128" i="36"/>
  <c r="AM226" i="36"/>
  <c r="AM98" i="36"/>
  <c r="AM143" i="36"/>
  <c r="AM208" i="36"/>
  <c r="AM168" i="36"/>
  <c r="AM178" i="36"/>
  <c r="AM223" i="36"/>
  <c r="AM95" i="36"/>
  <c r="AN146" i="36"/>
  <c r="AN41" i="36"/>
  <c r="AN82" i="36"/>
  <c r="AN138" i="36"/>
  <c r="AN190" i="36"/>
  <c r="AN62" i="36"/>
  <c r="AN120" i="36"/>
  <c r="AN77" i="36"/>
  <c r="AN63" i="36"/>
  <c r="AN235" i="36"/>
  <c r="AN54" i="36"/>
  <c r="AM218" i="36"/>
  <c r="AM130" i="36"/>
  <c r="AM90" i="36"/>
  <c r="AM175" i="36"/>
  <c r="AM135" i="36"/>
  <c r="AM196" i="36"/>
  <c r="AM148" i="36"/>
  <c r="AM100" i="36"/>
  <c r="AN130" i="36"/>
  <c r="AN33" i="36"/>
  <c r="AN12" i="36"/>
  <c r="AN154" i="36"/>
  <c r="AN166" i="36"/>
  <c r="AM25" i="36"/>
  <c r="AN112" i="36"/>
  <c r="AN21" i="36"/>
  <c r="AN55" i="36"/>
  <c r="AN203" i="36"/>
  <c r="AN38" i="36"/>
  <c r="AN194" i="36"/>
  <c r="AN81" i="36"/>
  <c r="AN17" i="36"/>
  <c r="AN10" i="36"/>
  <c r="AN68" i="36"/>
  <c r="AN202" i="36"/>
  <c r="AN206" i="36"/>
  <c r="AN126" i="36"/>
  <c r="AN248" i="36"/>
  <c r="AN168" i="36"/>
  <c r="AN72" i="36"/>
  <c r="AN45" i="36"/>
  <c r="AN99" i="36"/>
  <c r="AN23" i="36"/>
  <c r="AN251" i="36"/>
  <c r="AN171" i="36"/>
  <c r="AN22" i="36"/>
  <c r="AN178" i="36"/>
  <c r="AN73" i="36"/>
  <c r="AN26" i="36"/>
  <c r="AN66" i="36"/>
  <c r="AN76" i="36"/>
  <c r="AN218" i="36"/>
  <c r="AN198" i="36"/>
  <c r="AN118" i="36"/>
  <c r="AN240" i="36"/>
  <c r="AN152" i="36"/>
  <c r="AN64" i="36"/>
  <c r="AN29" i="36"/>
  <c r="AN35" i="36"/>
  <c r="AN15" i="36"/>
  <c r="AN243" i="36"/>
  <c r="AN147" i="36"/>
  <c r="AN14" i="36"/>
  <c r="AN20" i="36"/>
  <c r="AN106" i="36"/>
  <c r="AN246" i="36"/>
  <c r="AN182" i="36"/>
  <c r="AN102" i="36"/>
  <c r="AN216" i="36"/>
  <c r="AN128" i="36"/>
  <c r="AN48" i="36"/>
  <c r="AN69" i="36"/>
  <c r="AN79" i="36"/>
  <c r="AN131" i="36"/>
  <c r="AN219" i="36"/>
  <c r="AN51" i="36"/>
  <c r="AO122" i="36"/>
  <c r="AO217" i="36"/>
  <c r="AO206" i="36"/>
  <c r="AO229" i="36"/>
  <c r="AO250" i="36"/>
  <c r="AO226" i="36"/>
  <c r="AM184" i="36"/>
  <c r="AO162" i="36"/>
  <c r="AM120" i="36"/>
  <c r="AO98" i="36"/>
  <c r="AM9" i="36"/>
  <c r="AM234" i="36"/>
  <c r="AO212" i="36"/>
  <c r="AM170" i="36"/>
  <c r="AO148" i="36"/>
  <c r="AM106" i="36"/>
  <c r="AO84" i="36"/>
  <c r="AM215" i="36"/>
  <c r="AO193" i="36"/>
  <c r="AM151" i="36"/>
  <c r="AO129" i="36"/>
  <c r="AM87" i="36"/>
  <c r="AO246" i="36"/>
  <c r="AM204" i="36"/>
  <c r="AO182" i="36"/>
  <c r="AM140" i="36"/>
  <c r="AO118" i="36"/>
  <c r="AO10" i="36"/>
  <c r="AO213" i="36"/>
  <c r="AO34" i="36"/>
  <c r="AM84" i="36"/>
  <c r="AO99" i="36"/>
  <c r="AO200" i="36"/>
  <c r="AO89" i="36"/>
  <c r="AO142" i="36"/>
  <c r="AM248" i="36"/>
  <c r="AM224" i="36"/>
  <c r="AO202" i="36"/>
  <c r="AM160" i="36"/>
  <c r="AO138" i="36"/>
  <c r="AM96" i="36"/>
  <c r="AM210" i="36"/>
  <c r="AO188" i="36"/>
  <c r="AM146" i="36"/>
  <c r="AO124" i="36"/>
  <c r="AM14" i="36"/>
  <c r="AO233" i="36"/>
  <c r="AM191" i="36"/>
  <c r="AO169" i="36"/>
  <c r="AM127" i="36"/>
  <c r="AO105" i="36"/>
  <c r="AM244" i="36"/>
  <c r="AO222" i="36"/>
  <c r="AM180" i="36"/>
  <c r="AO158" i="36"/>
  <c r="AM116" i="36"/>
  <c r="AO94" i="36"/>
  <c r="AO181" i="36"/>
  <c r="AM157" i="36"/>
  <c r="AO144" i="36"/>
  <c r="AO153" i="36"/>
  <c r="AM200" i="36"/>
  <c r="AO178" i="36"/>
  <c r="AM136" i="36"/>
  <c r="AO114" i="36"/>
  <c r="AM250" i="36"/>
  <c r="AO228" i="36"/>
  <c r="AM186" i="36"/>
  <c r="AO164" i="36"/>
  <c r="AM122" i="36"/>
  <c r="AO100" i="36"/>
  <c r="AM231" i="36"/>
  <c r="AO209" i="36"/>
  <c r="AM167" i="36"/>
  <c r="AO145" i="36"/>
  <c r="AM103" i="36"/>
  <c r="AM220" i="36"/>
  <c r="AO198" i="36"/>
  <c r="AM156" i="36"/>
  <c r="AO134" i="36"/>
  <c r="AM92" i="36"/>
  <c r="AO251" i="36"/>
  <c r="AO149" i="36"/>
  <c r="AM20" i="36"/>
  <c r="AM185" i="36"/>
  <c r="AN134" i="36"/>
  <c r="AN86" i="36"/>
  <c r="AM78" i="36"/>
  <c r="AN224" i="36"/>
  <c r="AN160" i="36"/>
  <c r="AN96" i="36"/>
  <c r="AN32" i="36"/>
  <c r="AN13" i="36"/>
  <c r="AN59" i="36"/>
  <c r="AN47" i="36"/>
  <c r="AN107" i="36"/>
  <c r="AN227" i="36"/>
  <c r="AN155" i="36"/>
  <c r="AN46" i="36"/>
  <c r="AO186" i="36"/>
  <c r="AO236" i="36"/>
  <c r="AO108" i="36"/>
  <c r="AO66" i="36"/>
  <c r="AO242" i="36"/>
  <c r="AO218" i="36"/>
  <c r="AO154" i="36"/>
  <c r="AO90" i="36"/>
  <c r="AO204" i="36"/>
  <c r="AO140" i="36"/>
  <c r="AO249" i="36"/>
  <c r="AO185" i="36"/>
  <c r="AO121" i="36"/>
  <c r="AO238" i="36"/>
  <c r="AO174" i="36"/>
  <c r="AO110" i="36"/>
  <c r="AO117" i="36"/>
  <c r="AM38" i="36"/>
  <c r="AM240" i="36"/>
  <c r="AM216" i="36"/>
  <c r="AO194" i="36"/>
  <c r="AM152" i="36"/>
  <c r="AO130" i="36"/>
  <c r="AM88" i="36"/>
  <c r="AO244" i="36"/>
  <c r="AM202" i="36"/>
  <c r="AO180" i="36"/>
  <c r="AM138" i="36"/>
  <c r="AO116" i="36"/>
  <c r="AM247" i="36"/>
  <c r="AO225" i="36"/>
  <c r="AM183" i="36"/>
  <c r="AO161" i="36"/>
  <c r="AM119" i="36"/>
  <c r="AO97" i="36"/>
  <c r="AM236" i="36"/>
  <c r="AO214" i="36"/>
  <c r="AM172" i="36"/>
  <c r="AO150" i="36"/>
  <c r="AM108" i="36"/>
  <c r="AO86" i="36"/>
  <c r="AO85" i="36"/>
  <c r="AO62" i="36"/>
  <c r="AN50" i="36"/>
  <c r="AN60" i="36"/>
  <c r="AN170" i="36"/>
  <c r="AO227" i="36"/>
  <c r="AN174" i="36"/>
  <c r="AM121" i="36"/>
  <c r="AN70" i="36"/>
  <c r="AM222" i="36"/>
  <c r="AN208" i="36"/>
  <c r="AN144" i="36"/>
  <c r="AN80" i="36"/>
  <c r="AN16" i="36"/>
  <c r="AN61" i="36"/>
  <c r="AN27" i="36"/>
  <c r="AN31" i="36"/>
  <c r="AN83" i="36"/>
  <c r="AN211" i="36"/>
  <c r="AN115" i="36"/>
  <c r="AO234" i="36"/>
  <c r="AO170" i="36"/>
  <c r="AO106" i="36"/>
  <c r="AO220" i="36"/>
  <c r="AO156" i="36"/>
  <c r="AO92" i="36"/>
  <c r="AO201" i="36"/>
  <c r="AO137" i="36"/>
  <c r="AO190" i="36"/>
  <c r="AO126" i="36"/>
  <c r="AO53" i="36"/>
  <c r="AO199" i="36"/>
  <c r="AO176" i="36"/>
  <c r="AO172" i="36"/>
  <c r="AO210" i="36"/>
  <c r="AO146" i="36"/>
  <c r="AO196" i="36"/>
  <c r="AO132" i="36"/>
  <c r="AO241" i="36"/>
  <c r="AO177" i="36"/>
  <c r="AO113" i="36"/>
  <c r="AO230" i="36"/>
  <c r="AM188" i="36"/>
  <c r="AO166" i="36"/>
  <c r="AM124" i="36"/>
  <c r="AO102" i="36"/>
  <c r="AO245" i="36"/>
  <c r="AO21" i="36"/>
  <c r="AM74" i="36"/>
  <c r="AO163" i="36"/>
  <c r="AM57" i="36"/>
  <c r="AO104" i="36"/>
  <c r="AM243" i="36"/>
  <c r="AM211" i="36"/>
  <c r="AM179" i="36"/>
  <c r="AM147" i="36"/>
  <c r="AM115" i="36"/>
  <c r="AM83" i="36"/>
  <c r="AM51" i="36"/>
  <c r="AM19" i="36"/>
  <c r="AM64" i="36"/>
  <c r="AM32" i="36"/>
  <c r="AM237" i="36"/>
  <c r="AO151" i="36"/>
  <c r="AM109" i="36"/>
  <c r="AO68" i="36"/>
  <c r="AO36" i="36"/>
  <c r="AM60" i="36"/>
  <c r="AO38" i="36"/>
  <c r="AM225" i="36"/>
  <c r="AO203" i="36"/>
  <c r="AM161" i="36"/>
  <c r="AO139" i="36"/>
  <c r="AM97" i="36"/>
  <c r="AO75" i="36"/>
  <c r="AO51" i="36"/>
  <c r="AO19" i="36"/>
  <c r="AM190" i="36"/>
  <c r="AM134" i="36"/>
  <c r="AO72" i="36"/>
  <c r="AO32" i="36"/>
  <c r="AO216" i="36"/>
  <c r="AM94" i="36"/>
  <c r="AO239" i="36"/>
  <c r="AO223" i="36"/>
  <c r="AO207" i="36"/>
  <c r="AO191" i="36"/>
  <c r="AO175" i="36"/>
  <c r="AO159" i="36"/>
  <c r="AO143" i="36"/>
  <c r="AO127" i="36"/>
  <c r="AO111" i="36"/>
  <c r="AO95" i="36"/>
  <c r="AO81" i="36"/>
  <c r="AO73" i="36"/>
  <c r="AO65" i="36"/>
  <c r="AO57" i="36"/>
  <c r="AO49" i="36"/>
  <c r="AO41" i="36"/>
  <c r="AO33" i="36"/>
  <c r="AO25" i="36"/>
  <c r="AO17" i="36"/>
  <c r="AO9" i="36"/>
  <c r="AO15" i="36"/>
  <c r="AO79" i="36"/>
  <c r="AO39" i="36"/>
  <c r="AO31" i="36"/>
  <c r="AO23" i="36"/>
  <c r="AO71" i="36"/>
  <c r="AO63" i="36"/>
  <c r="AO55" i="36"/>
  <c r="AO47" i="36"/>
  <c r="AO237" i="36"/>
  <c r="AO205" i="36"/>
  <c r="AO173" i="36"/>
  <c r="AO141" i="36"/>
  <c r="AO109" i="36"/>
  <c r="AO77" i="36"/>
  <c r="AO45" i="36"/>
  <c r="AO13" i="36"/>
  <c r="AO58" i="36"/>
  <c r="AO26" i="36"/>
  <c r="AO231" i="36"/>
  <c r="AM189" i="36"/>
  <c r="AO103" i="36"/>
  <c r="AM66" i="36"/>
  <c r="AO28" i="36"/>
  <c r="AO78" i="36"/>
  <c r="AM36" i="36"/>
  <c r="AO14" i="36"/>
  <c r="AO243" i="36"/>
  <c r="AM201" i="36"/>
  <c r="AO179" i="36"/>
  <c r="AM137" i="36"/>
  <c r="AO115" i="36"/>
  <c r="AM73" i="36"/>
  <c r="AM49" i="36"/>
  <c r="AM17" i="36"/>
  <c r="AO184" i="36"/>
  <c r="AM118" i="36"/>
  <c r="AM70" i="36"/>
  <c r="AM22" i="36"/>
  <c r="AM214" i="36"/>
  <c r="AM142" i="36"/>
  <c r="AO88" i="36"/>
  <c r="AM235" i="36"/>
  <c r="AM203" i="36"/>
  <c r="AM171" i="36"/>
  <c r="AM139" i="36"/>
  <c r="AM107" i="36"/>
  <c r="AM75" i="36"/>
  <c r="AM43" i="36"/>
  <c r="AM11" i="36"/>
  <c r="AM56" i="36"/>
  <c r="AM24" i="36"/>
  <c r="AO183" i="36"/>
  <c r="AM141" i="36"/>
  <c r="AO60" i="36"/>
  <c r="AM26" i="36"/>
  <c r="AM76" i="36"/>
  <c r="AO54" i="36"/>
  <c r="AM12" i="36"/>
  <c r="AM241" i="36"/>
  <c r="AO219" i="36"/>
  <c r="AM177" i="36"/>
  <c r="AO155" i="36"/>
  <c r="AM113" i="36"/>
  <c r="AO91" i="36"/>
  <c r="AO43" i="36"/>
  <c r="AO11" i="36"/>
  <c r="AM174" i="36"/>
  <c r="AO112" i="36"/>
  <c r="AO64" i="36"/>
  <c r="AO16" i="36"/>
  <c r="AO208" i="36"/>
  <c r="AO136" i="36"/>
  <c r="AM62" i="36"/>
  <c r="AO197" i="36"/>
  <c r="AO165" i="36"/>
  <c r="AO133" i="36"/>
  <c r="AO101" i="36"/>
  <c r="AO69" i="36"/>
  <c r="AO37" i="36"/>
  <c r="AO82" i="36"/>
  <c r="AO50" i="36"/>
  <c r="AO18" i="36"/>
  <c r="AM221" i="36"/>
  <c r="AO135" i="36"/>
  <c r="AM93" i="36"/>
  <c r="AM58" i="36"/>
  <c r="AO20" i="36"/>
  <c r="AM52" i="36"/>
  <c r="AO30" i="36"/>
  <c r="AM217" i="36"/>
  <c r="AO195" i="36"/>
  <c r="AM153" i="36"/>
  <c r="AO131" i="36"/>
  <c r="AM89" i="36"/>
  <c r="AO67" i="36"/>
  <c r="AM41" i="36"/>
  <c r="AO248" i="36"/>
  <c r="AO168" i="36"/>
  <c r="AM102" i="36"/>
  <c r="AM54" i="36"/>
  <c r="AO240" i="36"/>
  <c r="AM206" i="36"/>
  <c r="AO128" i="36"/>
  <c r="AO56" i="36"/>
  <c r="AM227" i="36"/>
  <c r="AM195" i="36"/>
  <c r="AM163" i="36"/>
  <c r="AM131" i="36"/>
  <c r="AM99" i="36"/>
  <c r="AM67" i="36"/>
  <c r="AM35" i="36"/>
  <c r="AM80" i="36"/>
  <c r="AM48" i="36"/>
  <c r="AM16" i="36"/>
  <c r="AO215" i="36"/>
  <c r="AM173" i="36"/>
  <c r="AO87" i="36"/>
  <c r="AO52" i="36"/>
  <c r="AM18" i="36"/>
  <c r="AO70" i="36"/>
  <c r="AM28" i="36"/>
  <c r="AO235" i="36"/>
  <c r="AM193" i="36"/>
  <c r="AO171" i="36"/>
  <c r="AM129" i="36"/>
  <c r="AO107" i="36"/>
  <c r="AM65" i="36"/>
  <c r="AO35" i="36"/>
  <c r="AM246" i="36"/>
  <c r="AM166" i="36"/>
  <c r="AO96" i="36"/>
  <c r="AO48" i="36"/>
  <c r="AO232" i="36"/>
  <c r="AM198" i="36"/>
  <c r="AM126" i="36"/>
  <c r="AM30" i="36"/>
  <c r="AM249" i="36"/>
  <c r="AO221" i="36"/>
  <c r="AO189" i="36"/>
  <c r="AO157" i="36"/>
  <c r="AO125" i="36"/>
  <c r="AO93" i="36"/>
  <c r="AO61" i="36"/>
  <c r="AO29" i="36"/>
  <c r="AO74" i="36"/>
  <c r="AO42" i="36"/>
  <c r="AO167" i="36"/>
  <c r="AM125" i="36"/>
  <c r="AM82" i="36"/>
  <c r="AM50" i="36"/>
  <c r="AO12" i="36"/>
  <c r="AM68" i="36"/>
  <c r="AO46" i="36"/>
  <c r="AM233" i="36"/>
  <c r="AO211" i="36"/>
  <c r="AM169" i="36"/>
  <c r="AO147" i="36"/>
  <c r="AM105" i="36"/>
  <c r="AO83" i="36"/>
  <c r="AM33" i="36"/>
  <c r="AM34" i="36"/>
  <c r="AO160" i="36"/>
  <c r="AM86" i="36"/>
  <c r="AM46" i="36"/>
  <c r="AO192" i="36"/>
  <c r="AO120" i="36"/>
  <c r="AO24" i="36"/>
  <c r="AM251" i="36"/>
  <c r="AM245" i="36"/>
  <c r="AM229" i="36"/>
  <c r="AM213" i="36"/>
  <c r="AM197" i="36"/>
  <c r="AM181" i="36"/>
  <c r="AM165" i="36"/>
  <c r="AM149" i="36"/>
  <c r="AM133" i="36"/>
  <c r="AM117" i="36"/>
  <c r="AM101" i="36"/>
  <c r="AM85" i="36"/>
  <c r="AM79" i="36"/>
  <c r="AM71" i="36"/>
  <c r="AM63" i="36"/>
  <c r="AM55" i="36"/>
  <c r="AM47" i="36"/>
  <c r="AM39" i="36"/>
  <c r="AM31" i="36"/>
  <c r="AM23" i="36"/>
  <c r="AM15" i="36"/>
  <c r="AM61" i="36"/>
  <c r="AM29" i="36"/>
  <c r="AM21" i="36"/>
  <c r="AM69" i="36"/>
  <c r="AM53" i="36"/>
  <c r="AM45" i="36"/>
  <c r="AM37" i="36"/>
  <c r="AM77" i="36"/>
  <c r="AM13" i="36"/>
  <c r="AM219" i="36"/>
  <c r="AM187" i="36"/>
  <c r="AM155" i="36"/>
  <c r="AM123" i="36"/>
  <c r="AM91" i="36"/>
  <c r="AM59" i="36"/>
  <c r="AM27" i="36"/>
  <c r="AM72" i="36"/>
  <c r="AM40" i="36"/>
  <c r="AO247" i="36"/>
  <c r="AM205" i="36"/>
  <c r="AO119" i="36"/>
  <c r="AO76" i="36"/>
  <c r="AO44" i="36"/>
  <c r="AM10" i="36"/>
  <c r="AM44" i="36"/>
  <c r="AO22" i="36"/>
  <c r="AM209" i="36"/>
  <c r="AO187" i="36"/>
  <c r="AM145" i="36"/>
  <c r="AO123" i="36"/>
  <c r="AM81" i="36"/>
  <c r="AO59" i="36"/>
  <c r="AO27" i="36"/>
  <c r="AM158" i="36"/>
  <c r="AM150" i="36"/>
  <c r="AO80" i="36"/>
  <c r="AO40" i="36"/>
  <c r="AO224" i="36"/>
  <c r="AM182" i="36"/>
  <c r="AM110" i="36"/>
  <c r="AM238" i="36"/>
  <c r="AF34" i="17"/>
  <c r="T34" i="17"/>
  <c r="M34" i="17"/>
  <c r="X34" i="17"/>
  <c r="H34" i="17"/>
  <c r="AA34" i="17"/>
  <c r="BJ8" i="16"/>
  <c r="BJ14" i="16" s="1"/>
  <c r="BJ19" i="16" s="1"/>
  <c r="BJ29" i="16" s="1"/>
  <c r="BJ36" i="16" s="1"/>
  <c r="BI8" i="16"/>
  <c r="BI14" i="16" s="1"/>
  <c r="BI19" i="16" s="1"/>
  <c r="BI29" i="16" s="1"/>
  <c r="BI36" i="16" s="1"/>
  <c r="BH8" i="16"/>
  <c r="BH14" i="16" s="1"/>
  <c r="BH19" i="16" s="1"/>
  <c r="BH29" i="16" s="1"/>
  <c r="BH36" i="16" s="1"/>
  <c r="BG8" i="16"/>
  <c r="BG14" i="16" s="1"/>
  <c r="BG19" i="16" s="1"/>
  <c r="BG29" i="16" s="1"/>
  <c r="BG36" i="16" s="1"/>
  <c r="BF8" i="16"/>
  <c r="BF14" i="16" s="1"/>
  <c r="BF19" i="16" s="1"/>
  <c r="BF29" i="16" s="1"/>
  <c r="BF36" i="16" s="1"/>
  <c r="BE8" i="16"/>
  <c r="BE14" i="16" s="1"/>
  <c r="BE19" i="16" s="1"/>
  <c r="BE29" i="16" s="1"/>
  <c r="BE36" i="16" s="1"/>
  <c r="BD8" i="16"/>
  <c r="BD14" i="16" s="1"/>
  <c r="BD19" i="16" s="1"/>
  <c r="BD29" i="16" s="1"/>
  <c r="BD36" i="16" s="1"/>
  <c r="BC8" i="16"/>
  <c r="BC14" i="16" s="1"/>
  <c r="BC19" i="16" s="1"/>
  <c r="BC29" i="16" s="1"/>
  <c r="BC36" i="16" s="1"/>
  <c r="BB8" i="16"/>
  <c r="BB14" i="16" s="1"/>
  <c r="BB19" i="16" s="1"/>
  <c r="BB29" i="16" s="1"/>
  <c r="BB36" i="16" s="1"/>
  <c r="BA8" i="16"/>
  <c r="BA14" i="16" s="1"/>
  <c r="BA19" i="16" s="1"/>
  <c r="BA29" i="16" s="1"/>
  <c r="BA36" i="16" s="1"/>
  <c r="AZ8" i="16"/>
  <c r="AZ14" i="16" s="1"/>
  <c r="AZ19" i="16" s="1"/>
  <c r="AZ29" i="16" s="1"/>
  <c r="AZ36" i="16" s="1"/>
  <c r="AY8" i="16"/>
  <c r="AY14" i="16" s="1"/>
  <c r="AY19" i="16" s="1"/>
  <c r="AY29" i="16" s="1"/>
  <c r="AY36" i="16" s="1"/>
  <c r="AX8" i="16"/>
  <c r="AX14" i="16" s="1"/>
  <c r="AX19" i="16" s="1"/>
  <c r="AX29" i="16" s="1"/>
  <c r="AX36" i="16" s="1"/>
  <c r="AW8" i="16"/>
  <c r="AW14" i="16" s="1"/>
  <c r="AW19" i="16" s="1"/>
  <c r="AW29" i="16" s="1"/>
  <c r="AW36" i="16" s="1"/>
  <c r="AV8" i="16"/>
  <c r="AV14" i="16" s="1"/>
  <c r="AV19" i="16" s="1"/>
  <c r="AV29" i="16" s="1"/>
  <c r="AV36" i="16" s="1"/>
  <c r="AU8" i="16"/>
  <c r="AU14" i="16" s="1"/>
  <c r="AU19" i="16" s="1"/>
  <c r="AU29" i="16" s="1"/>
  <c r="AU36" i="16" s="1"/>
  <c r="AT8" i="16"/>
  <c r="AT14" i="16" s="1"/>
  <c r="AT19" i="16" s="1"/>
  <c r="AT29" i="16" s="1"/>
  <c r="AT36" i="16" s="1"/>
  <c r="AS8" i="16"/>
  <c r="AS14" i="16" s="1"/>
  <c r="AS19" i="16" s="1"/>
  <c r="AS29" i="16" s="1"/>
  <c r="AS36" i="16" s="1"/>
  <c r="AR8" i="16"/>
  <c r="AR14" i="16" s="1"/>
  <c r="AR19" i="16" s="1"/>
  <c r="AR29" i="16" s="1"/>
  <c r="AR36" i="16" s="1"/>
  <c r="AQ8" i="16"/>
  <c r="AQ14" i="16" s="1"/>
  <c r="AQ19" i="16" s="1"/>
  <c r="AQ29" i="16" s="1"/>
  <c r="AQ36" i="16" s="1"/>
  <c r="AP8" i="16"/>
  <c r="AP14" i="16" s="1"/>
  <c r="AP19" i="16" s="1"/>
  <c r="AP29" i="16" s="1"/>
  <c r="AP36" i="16" s="1"/>
  <c r="AO8" i="16"/>
  <c r="AO14" i="16" s="1"/>
  <c r="AO19" i="16" s="1"/>
  <c r="AO29" i="16" s="1"/>
  <c r="AO36" i="16" s="1"/>
  <c r="AN8" i="16"/>
  <c r="AN14" i="16" s="1"/>
  <c r="AN19" i="16" s="1"/>
  <c r="AN29" i="16" s="1"/>
  <c r="AN36" i="16" s="1"/>
  <c r="AM8" i="16"/>
  <c r="AM14" i="16" s="1"/>
  <c r="AM19" i="16" s="1"/>
  <c r="AM29" i="16" s="1"/>
  <c r="AM36" i="16" s="1"/>
  <c r="AL8" i="16"/>
  <c r="AL14" i="16" s="1"/>
  <c r="AL19" i="16" s="1"/>
  <c r="AL29" i="16" s="1"/>
  <c r="AL36" i="16" s="1"/>
  <c r="AK8" i="16"/>
  <c r="AK14" i="16" s="1"/>
  <c r="AK19" i="16" s="1"/>
  <c r="AK29" i="16" s="1"/>
  <c r="AK36" i="16" s="1"/>
  <c r="AJ8" i="16"/>
  <c r="AJ14" i="16" s="1"/>
  <c r="AJ19" i="16" s="1"/>
  <c r="AJ29" i="16" s="1"/>
  <c r="AJ36" i="16" s="1"/>
  <c r="AI8" i="16"/>
  <c r="AI14" i="16" s="1"/>
  <c r="AI19" i="16" s="1"/>
  <c r="AI29" i="16" s="1"/>
  <c r="AI36" i="16" s="1"/>
  <c r="AH8" i="16"/>
  <c r="AH14" i="16" s="1"/>
  <c r="AH19" i="16" s="1"/>
  <c r="AH29" i="16" s="1"/>
  <c r="AH36" i="16" s="1"/>
  <c r="AG8" i="16"/>
  <c r="AG14" i="16" s="1"/>
  <c r="AG19" i="16" s="1"/>
  <c r="AG29" i="16" s="1"/>
  <c r="AG36" i="16" s="1"/>
  <c r="AF8" i="16"/>
  <c r="AF14" i="16" s="1"/>
  <c r="AF19" i="16" s="1"/>
  <c r="AF29" i="16" s="1"/>
  <c r="AF36" i="16" s="1"/>
  <c r="AE8" i="16"/>
  <c r="AE14" i="16" s="1"/>
  <c r="AE19" i="16" s="1"/>
  <c r="AE29" i="16" s="1"/>
  <c r="AE36" i="16" s="1"/>
  <c r="AD8" i="16"/>
  <c r="AD14" i="16" s="1"/>
  <c r="AD19" i="16" s="1"/>
  <c r="AD29" i="16" s="1"/>
  <c r="AD36" i="16" s="1"/>
  <c r="AC8" i="16"/>
  <c r="AC14" i="16" s="1"/>
  <c r="AC19" i="16" s="1"/>
  <c r="AC29" i="16" s="1"/>
  <c r="AC36" i="16" s="1"/>
  <c r="AB8" i="16"/>
  <c r="AB14" i="16" s="1"/>
  <c r="AB19" i="16" s="1"/>
  <c r="AB29" i="16" s="1"/>
  <c r="AB36" i="16" s="1"/>
  <c r="AA8" i="16"/>
  <c r="AA14" i="16" s="1"/>
  <c r="AA19" i="16" s="1"/>
  <c r="AA29" i="16" s="1"/>
  <c r="AA36" i="16" s="1"/>
  <c r="Z8" i="16"/>
  <c r="Z14" i="16" s="1"/>
  <c r="Z19" i="16" s="1"/>
  <c r="Z29" i="16" s="1"/>
  <c r="Z36" i="16" s="1"/>
  <c r="Y8" i="16"/>
  <c r="Y14" i="16" s="1"/>
  <c r="Y19" i="16" s="1"/>
  <c r="Y29" i="16" s="1"/>
  <c r="Y36" i="16" s="1"/>
  <c r="X8" i="16"/>
  <c r="X14" i="16" s="1"/>
  <c r="X19" i="16" s="1"/>
  <c r="X29" i="16" s="1"/>
  <c r="X36" i="16" s="1"/>
  <c r="W8" i="16"/>
  <c r="W14" i="16" s="1"/>
  <c r="W19" i="16" s="1"/>
  <c r="W29" i="16" s="1"/>
  <c r="W36" i="16" s="1"/>
  <c r="V8" i="16"/>
  <c r="V14" i="16" s="1"/>
  <c r="V19" i="16" s="1"/>
  <c r="V29" i="16" s="1"/>
  <c r="V36" i="16" s="1"/>
  <c r="U8" i="16"/>
  <c r="U14" i="16" s="1"/>
  <c r="U19" i="16" s="1"/>
  <c r="U29" i="16" s="1"/>
  <c r="U36" i="16" s="1"/>
  <c r="T8" i="16"/>
  <c r="T14" i="16" s="1"/>
  <c r="T19" i="16" s="1"/>
  <c r="T29" i="16" s="1"/>
  <c r="T36" i="16" s="1"/>
  <c r="S8" i="16"/>
  <c r="S14" i="16" s="1"/>
  <c r="S19" i="16" s="1"/>
  <c r="S29" i="16" s="1"/>
  <c r="S36" i="16" s="1"/>
  <c r="R8" i="16"/>
  <c r="R14" i="16" s="1"/>
  <c r="R19" i="16" s="1"/>
  <c r="R29" i="16" s="1"/>
  <c r="R36" i="16" s="1"/>
  <c r="Q8" i="16"/>
  <c r="Q14" i="16" s="1"/>
  <c r="Q19" i="16" s="1"/>
  <c r="Q29" i="16" s="1"/>
  <c r="Q36" i="16" s="1"/>
  <c r="P8" i="16"/>
  <c r="P14" i="16" s="1"/>
  <c r="P19" i="16" s="1"/>
  <c r="P29" i="16" s="1"/>
  <c r="P36" i="16" s="1"/>
  <c r="O8" i="16"/>
  <c r="O14" i="16" s="1"/>
  <c r="O19" i="16" s="1"/>
  <c r="O29" i="16" s="1"/>
  <c r="O36" i="16" s="1"/>
  <c r="N8" i="16"/>
  <c r="N14" i="16" s="1"/>
  <c r="N19" i="16" s="1"/>
  <c r="N29" i="16" s="1"/>
  <c r="N36" i="16" s="1"/>
  <c r="M8" i="16"/>
  <c r="M14" i="16" s="1"/>
  <c r="M19" i="16" s="1"/>
  <c r="M29" i="16" s="1"/>
  <c r="M36" i="16" s="1"/>
  <c r="L8" i="16"/>
  <c r="L14" i="16" s="1"/>
  <c r="L19" i="16" s="1"/>
  <c r="L29" i="16" s="1"/>
  <c r="L36" i="16" s="1"/>
  <c r="K8" i="16"/>
  <c r="K14" i="16" s="1"/>
  <c r="K19" i="16" s="1"/>
  <c r="K29" i="16" s="1"/>
  <c r="K36" i="16" s="1"/>
  <c r="J8" i="16"/>
  <c r="J14" i="16" s="1"/>
  <c r="J19" i="16" s="1"/>
  <c r="J29" i="16" s="1"/>
  <c r="J36" i="16" s="1"/>
  <c r="I8" i="16"/>
  <c r="I14" i="16" s="1"/>
  <c r="I19" i="16" s="1"/>
  <c r="I29" i="16" s="1"/>
  <c r="I36" i="16" s="1"/>
  <c r="H8" i="16"/>
  <c r="H14" i="16" s="1"/>
  <c r="H19" i="16" s="1"/>
  <c r="H29" i="16" s="1"/>
  <c r="H36" i="16" s="1"/>
  <c r="G8" i="16"/>
  <c r="G14" i="16" s="1"/>
  <c r="G19" i="16" s="1"/>
  <c r="G29" i="16" s="1"/>
  <c r="G36" i="16" s="1"/>
  <c r="F8" i="16"/>
  <c r="F14" i="16" s="1"/>
  <c r="F19" i="16" s="1"/>
  <c r="F29" i="16" s="1"/>
  <c r="F36" i="16" s="1"/>
  <c r="E8" i="16"/>
  <c r="E14" i="16" s="1"/>
  <c r="E19" i="16" s="1"/>
  <c r="E29" i="16" s="1"/>
  <c r="E36" i="16" s="1"/>
  <c r="D8" i="16"/>
  <c r="D14" i="16" s="1"/>
  <c r="D19" i="16" s="1"/>
  <c r="D29" i="16" s="1"/>
  <c r="D36" i="16" s="1"/>
  <c r="AY27" i="36" l="1" a="1"/>
  <c r="AY27" i="36" s="1"/>
  <c r="AX27" i="36" a="1"/>
  <c r="AX27" i="36" s="1"/>
  <c r="AY18" i="36"/>
  <c r="AY59" i="36" s="1"/>
  <c r="AY67" i="36" s="1"/>
  <c r="AX18" i="36"/>
  <c r="AX26" i="36" s="1" a="1"/>
  <c r="AX26" i="36" s="1"/>
  <c r="AZ18" i="36"/>
  <c r="AZ28" i="36" s="1" a="1"/>
  <c r="AZ28" i="36" s="1"/>
  <c r="AO62" i="16"/>
  <c r="AO88" i="16" s="1"/>
  <c r="CY36" i="16"/>
  <c r="CY62" i="16" s="1"/>
  <c r="CY88" i="16" s="1"/>
  <c r="BT36" i="16"/>
  <c r="BT62" i="16" s="1"/>
  <c r="BT88" i="16" s="1"/>
  <c r="J62" i="16"/>
  <c r="J88" i="16" s="1"/>
  <c r="BS36" i="16"/>
  <c r="BS62" i="16" s="1"/>
  <c r="BS88" i="16" s="1"/>
  <c r="I62" i="16"/>
  <c r="I88" i="16" s="1"/>
  <c r="Z62" i="16"/>
  <c r="Z88" i="16" s="1"/>
  <c r="CJ36" i="16"/>
  <c r="CJ62" i="16" s="1"/>
  <c r="CJ88" i="16" s="1"/>
  <c r="BU36" i="16"/>
  <c r="BU62" i="16" s="1"/>
  <c r="BU88" i="16" s="1"/>
  <c r="K62" i="16"/>
  <c r="K88" i="16" s="1"/>
  <c r="CC36" i="16"/>
  <c r="CC62" i="16" s="1"/>
  <c r="CC88" i="16" s="1"/>
  <c r="S62" i="16"/>
  <c r="S88" i="16" s="1"/>
  <c r="CK36" i="16"/>
  <c r="CK62" i="16" s="1"/>
  <c r="CK88" i="16" s="1"/>
  <c r="AA62" i="16"/>
  <c r="AA88" i="16" s="1"/>
  <c r="CS36" i="16"/>
  <c r="CS62" i="16" s="1"/>
  <c r="CS88" i="16" s="1"/>
  <c r="AI62" i="16"/>
  <c r="AI88" i="16" s="1"/>
  <c r="DA36" i="16"/>
  <c r="DA62" i="16" s="1"/>
  <c r="DA88" i="16" s="1"/>
  <c r="AQ62" i="16"/>
  <c r="AQ88" i="16" s="1"/>
  <c r="DI36" i="16"/>
  <c r="DI62" i="16" s="1"/>
  <c r="DI88" i="16" s="1"/>
  <c r="AY62" i="16"/>
  <c r="AY88" i="16" s="1"/>
  <c r="BG62" i="16"/>
  <c r="BG88" i="16" s="1"/>
  <c r="DQ36" i="16"/>
  <c r="DQ62" i="16" s="1"/>
  <c r="DQ88" i="16" s="1"/>
  <c r="CQ36" i="16"/>
  <c r="CQ62" i="16" s="1"/>
  <c r="CQ88" i="16" s="1"/>
  <c r="AG62" i="16"/>
  <c r="AG88" i="16" s="1"/>
  <c r="AH62" i="16"/>
  <c r="AH88" i="16" s="1"/>
  <c r="CR36" i="16"/>
  <c r="CR62" i="16" s="1"/>
  <c r="CR88" i="16" s="1"/>
  <c r="D62" i="16"/>
  <c r="D88" i="16" s="1"/>
  <c r="BN36" i="16"/>
  <c r="BN62" i="16" s="1"/>
  <c r="BN88" i="16" s="1"/>
  <c r="BV36" i="16"/>
  <c r="BV62" i="16" s="1"/>
  <c r="BV88" i="16" s="1"/>
  <c r="L62" i="16"/>
  <c r="L88" i="16" s="1"/>
  <c r="CD36" i="16"/>
  <c r="CD62" i="16" s="1"/>
  <c r="CD88" i="16" s="1"/>
  <c r="T62" i="16"/>
  <c r="T88" i="16" s="1"/>
  <c r="CL36" i="16"/>
  <c r="CL62" i="16" s="1"/>
  <c r="CL88" i="16" s="1"/>
  <c r="AB62" i="16"/>
  <c r="AB88" i="16" s="1"/>
  <c r="CT36" i="16"/>
  <c r="CT62" i="16" s="1"/>
  <c r="CT88" i="16" s="1"/>
  <c r="AJ62" i="16"/>
  <c r="AJ88" i="16" s="1"/>
  <c r="DB36" i="16"/>
  <c r="DB62" i="16" s="1"/>
  <c r="DB88" i="16" s="1"/>
  <c r="AR62" i="16"/>
  <c r="AR88" i="16" s="1"/>
  <c r="DJ36" i="16"/>
  <c r="DJ62" i="16" s="1"/>
  <c r="DJ88" i="16" s="1"/>
  <c r="AZ62" i="16"/>
  <c r="AZ88" i="16" s="1"/>
  <c r="DR36" i="16"/>
  <c r="DR62" i="16" s="1"/>
  <c r="DR88" i="16" s="1"/>
  <c r="BH62" i="16"/>
  <c r="BH88" i="16" s="1"/>
  <c r="Y62" i="16"/>
  <c r="Y88" i="16" s="1"/>
  <c r="CI36" i="16"/>
  <c r="CI62" i="16" s="1"/>
  <c r="CI88" i="16" s="1"/>
  <c r="DH36" i="16"/>
  <c r="DH62" i="16" s="1"/>
  <c r="DH88" i="16" s="1"/>
  <c r="AX62" i="16"/>
  <c r="AX88" i="16" s="1"/>
  <c r="BO36" i="16"/>
  <c r="BO62" i="16" s="1"/>
  <c r="BO88" i="16" s="1"/>
  <c r="E62" i="16"/>
  <c r="E88" i="16" s="1"/>
  <c r="M62" i="16"/>
  <c r="M88" i="16" s="1"/>
  <c r="BW36" i="16"/>
  <c r="BW62" i="16" s="1"/>
  <c r="BW88" i="16" s="1"/>
  <c r="U62" i="16"/>
  <c r="U88" i="16" s="1"/>
  <c r="CE36" i="16"/>
  <c r="CE62" i="16" s="1"/>
  <c r="CE88" i="16" s="1"/>
  <c r="CM36" i="16"/>
  <c r="CM62" i="16" s="1"/>
  <c r="CM88" i="16" s="1"/>
  <c r="AC62" i="16"/>
  <c r="AC88" i="16" s="1"/>
  <c r="CU36" i="16"/>
  <c r="CU62" i="16" s="1"/>
  <c r="CU88" i="16" s="1"/>
  <c r="AK62" i="16"/>
  <c r="AK88" i="16" s="1"/>
  <c r="DC36" i="16"/>
  <c r="DC62" i="16" s="1"/>
  <c r="DC88" i="16" s="1"/>
  <c r="AS62" i="16"/>
  <c r="AS88" i="16" s="1"/>
  <c r="DK36" i="16"/>
  <c r="DK62" i="16" s="1"/>
  <c r="DK88" i="16" s="1"/>
  <c r="BA62" i="16"/>
  <c r="BA88" i="16" s="1"/>
  <c r="DS36" i="16"/>
  <c r="DS62" i="16" s="1"/>
  <c r="DS88" i="16" s="1"/>
  <c r="BI62" i="16"/>
  <c r="BI88" i="16" s="1"/>
  <c r="Q62" i="16"/>
  <c r="Q88" i="16" s="1"/>
  <c r="CA36" i="16"/>
  <c r="CA62" i="16" s="1"/>
  <c r="CA88" i="16" s="1"/>
  <c r="R62" i="16"/>
  <c r="R88" i="16" s="1"/>
  <c r="CB36" i="16"/>
  <c r="CB62" i="16" s="1"/>
  <c r="CB88" i="16" s="1"/>
  <c r="BP36" i="16"/>
  <c r="BP62" i="16" s="1"/>
  <c r="BP88" i="16" s="1"/>
  <c r="F62" i="16"/>
  <c r="F88" i="16" s="1"/>
  <c r="N62" i="16"/>
  <c r="N88" i="16" s="1"/>
  <c r="BX36" i="16"/>
  <c r="BX62" i="16" s="1"/>
  <c r="BX88" i="16" s="1"/>
  <c r="CF36" i="16"/>
  <c r="CF62" i="16" s="1"/>
  <c r="CF88" i="16" s="1"/>
  <c r="V62" i="16"/>
  <c r="V88" i="16" s="1"/>
  <c r="AD62" i="16"/>
  <c r="AD88" i="16" s="1"/>
  <c r="CN36" i="16"/>
  <c r="CN62" i="16" s="1"/>
  <c r="CN88" i="16" s="1"/>
  <c r="CV36" i="16"/>
  <c r="CV62" i="16" s="1"/>
  <c r="CV88" i="16" s="1"/>
  <c r="AL62" i="16"/>
  <c r="AL88" i="16" s="1"/>
  <c r="AT62" i="16"/>
  <c r="AT88" i="16" s="1"/>
  <c r="DD36" i="16"/>
  <c r="DD62" i="16" s="1"/>
  <c r="DD88" i="16" s="1"/>
  <c r="DL36" i="16"/>
  <c r="DL62" i="16" s="1"/>
  <c r="DL88" i="16" s="1"/>
  <c r="BB62" i="16"/>
  <c r="BB88" i="16" s="1"/>
  <c r="DT36" i="16"/>
  <c r="DT62" i="16" s="1"/>
  <c r="DT88" i="16" s="1"/>
  <c r="BJ62" i="16"/>
  <c r="BJ88" i="16" s="1"/>
  <c r="DO36" i="16"/>
  <c r="DO62" i="16" s="1"/>
  <c r="DO88" i="16" s="1"/>
  <c r="BE62" i="16"/>
  <c r="BE88" i="16" s="1"/>
  <c r="AP62" i="16"/>
  <c r="AP88" i="16" s="1"/>
  <c r="CZ36" i="16"/>
  <c r="CZ62" i="16" s="1"/>
  <c r="CZ88" i="16" s="1"/>
  <c r="O62" i="16"/>
  <c r="O88" i="16" s="1"/>
  <c r="BY36" i="16"/>
  <c r="BY62" i="16" s="1"/>
  <c r="BY88" i="16" s="1"/>
  <c r="CW36" i="16"/>
  <c r="CW62" i="16" s="1"/>
  <c r="CW88" i="16" s="1"/>
  <c r="AM62" i="16"/>
  <c r="AM88" i="16" s="1"/>
  <c r="DE36" i="16"/>
  <c r="DE62" i="16" s="1"/>
  <c r="DE88" i="16" s="1"/>
  <c r="AU62" i="16"/>
  <c r="AU88" i="16" s="1"/>
  <c r="DM36" i="16"/>
  <c r="DM62" i="16" s="1"/>
  <c r="DM88" i="16" s="1"/>
  <c r="BC62" i="16"/>
  <c r="BC88" i="16" s="1"/>
  <c r="AW62" i="16"/>
  <c r="AW88" i="16" s="1"/>
  <c r="DG36" i="16"/>
  <c r="DG62" i="16" s="1"/>
  <c r="DG88" i="16" s="1"/>
  <c r="BF62" i="16"/>
  <c r="BF88" i="16" s="1"/>
  <c r="DP36" i="16"/>
  <c r="DP62" i="16" s="1"/>
  <c r="DP88" i="16" s="1"/>
  <c r="BQ36" i="16"/>
  <c r="BQ62" i="16" s="1"/>
  <c r="BQ88" i="16" s="1"/>
  <c r="G62" i="16"/>
  <c r="G88" i="16" s="1"/>
  <c r="W62" i="16"/>
  <c r="W88" i="16" s="1"/>
  <c r="CG36" i="16"/>
  <c r="CG62" i="16" s="1"/>
  <c r="CG88" i="16" s="1"/>
  <c r="CO36" i="16"/>
  <c r="CO62" i="16" s="1"/>
  <c r="CO88" i="16" s="1"/>
  <c r="AE62" i="16"/>
  <c r="AE88" i="16" s="1"/>
  <c r="BR36" i="16"/>
  <c r="BR62" i="16" s="1"/>
  <c r="BR88" i="16" s="1"/>
  <c r="H62" i="16"/>
  <c r="H88" i="16" s="1"/>
  <c r="BZ36" i="16"/>
  <c r="BZ62" i="16" s="1"/>
  <c r="BZ88" i="16" s="1"/>
  <c r="P62" i="16"/>
  <c r="P88" i="16" s="1"/>
  <c r="X62" i="16"/>
  <c r="X88" i="16" s="1"/>
  <c r="CH36" i="16"/>
  <c r="CH62" i="16" s="1"/>
  <c r="CH88" i="16" s="1"/>
  <c r="CP36" i="16"/>
  <c r="CP62" i="16" s="1"/>
  <c r="CP88" i="16" s="1"/>
  <c r="AF62" i="16"/>
  <c r="AF88" i="16" s="1"/>
  <c r="CX36" i="16"/>
  <c r="CX62" i="16" s="1"/>
  <c r="CX88" i="16" s="1"/>
  <c r="AN62" i="16"/>
  <c r="AN88" i="16" s="1"/>
  <c r="DF36" i="16"/>
  <c r="DF62" i="16" s="1"/>
  <c r="DF88" i="16" s="1"/>
  <c r="AV62" i="16"/>
  <c r="AV88" i="16" s="1"/>
  <c r="DN36" i="16"/>
  <c r="DN62" i="16" s="1"/>
  <c r="DN88" i="16" s="1"/>
  <c r="BD62" i="16"/>
  <c r="BD88" i="16" s="1"/>
  <c r="BJ111" i="15"/>
  <c r="D111" i="15"/>
  <c r="Z5" i="15"/>
  <c r="AZ26" i="36" l="1" a="1"/>
  <c r="AZ26" i="36" s="1"/>
  <c r="AX28" i="36" a="1"/>
  <c r="AX28" i="36" s="1"/>
  <c r="AZ27" i="36" a="1"/>
  <c r="AZ27" i="36" s="1"/>
  <c r="AY28" i="36" a="1"/>
  <c r="AY28" i="36" s="1"/>
  <c r="AY26" i="36" a="1"/>
  <c r="AY26" i="36" s="1"/>
  <c r="Z112" i="15"/>
  <c r="Z11" i="15"/>
  <c r="Z16" i="15" s="1"/>
  <c r="Z26" i="15" s="1"/>
  <c r="Z33" i="15" s="1"/>
  <c r="AZ15" i="36"/>
  <c r="AY15" i="36"/>
  <c r="AX15" i="36"/>
  <c r="AX59" i="36"/>
  <c r="AX67" i="36" s="1"/>
  <c r="AY61" i="36"/>
  <c r="AY62" i="36" s="1"/>
  <c r="AX58" i="36"/>
  <c r="AX66" i="36" s="1"/>
  <c r="AY58" i="36"/>
  <c r="AY66" i="36" s="1"/>
  <c r="AY60" i="36"/>
  <c r="AY68" i="36" s="1"/>
  <c r="AX61" i="36"/>
  <c r="AX69" i="36" s="1"/>
  <c r="AX60" i="36"/>
  <c r="AX68" i="36" s="1"/>
  <c r="AZ58" i="36"/>
  <c r="AZ66" i="36" s="1"/>
  <c r="AZ60" i="36"/>
  <c r="AZ68" i="36" s="1"/>
  <c r="AZ59" i="36"/>
  <c r="AZ67" i="36" s="1"/>
  <c r="AZ61" i="36"/>
  <c r="BJ114" i="15"/>
  <c r="BI114" i="15"/>
  <c r="BH114" i="15"/>
  <c r="BG114" i="15"/>
  <c r="BF114" i="15"/>
  <c r="BE114" i="15"/>
  <c r="BD114" i="15"/>
  <c r="BC114" i="15"/>
  <c r="BB114" i="15"/>
  <c r="BA114" i="15"/>
  <c r="AZ114" i="15"/>
  <c r="AY114" i="15"/>
  <c r="BJ113" i="15"/>
  <c r="BI113" i="15"/>
  <c r="BH113" i="15"/>
  <c r="BG113" i="15"/>
  <c r="BF113" i="15"/>
  <c r="BE113" i="15"/>
  <c r="BD113" i="15"/>
  <c r="BC113" i="15"/>
  <c r="BB113" i="15"/>
  <c r="BA113" i="15"/>
  <c r="AZ113" i="15"/>
  <c r="AY113" i="15"/>
  <c r="BJ90" i="15"/>
  <c r="BI90" i="15"/>
  <c r="BH90" i="15"/>
  <c r="BG90" i="15"/>
  <c r="BF90" i="15"/>
  <c r="BE90" i="15"/>
  <c r="BD90" i="15"/>
  <c r="BC90" i="15"/>
  <c r="BB90" i="15"/>
  <c r="BA90" i="15"/>
  <c r="AZ90" i="15"/>
  <c r="AY90" i="15"/>
  <c r="BJ89" i="15"/>
  <c r="BI89" i="15"/>
  <c r="BH89" i="15"/>
  <c r="BG89" i="15"/>
  <c r="BF89" i="15"/>
  <c r="BE89" i="15"/>
  <c r="BD89" i="15"/>
  <c r="BC89" i="15"/>
  <c r="BB89" i="15"/>
  <c r="BA89" i="15"/>
  <c r="AZ89" i="15"/>
  <c r="AY89" i="15"/>
  <c r="BJ88" i="15"/>
  <c r="BI88" i="15"/>
  <c r="BH88" i="15"/>
  <c r="BG88" i="15"/>
  <c r="BF88" i="15"/>
  <c r="BE88" i="15"/>
  <c r="BD88" i="15"/>
  <c r="BC88" i="15"/>
  <c r="BB88" i="15"/>
  <c r="BA88" i="15"/>
  <c r="AZ88" i="15"/>
  <c r="AY88" i="15"/>
  <c r="BJ87" i="15"/>
  <c r="BI87" i="15"/>
  <c r="BH87" i="15"/>
  <c r="BG87" i="15"/>
  <c r="BF87" i="15"/>
  <c r="BE87" i="15"/>
  <c r="BD87" i="15"/>
  <c r="BC87" i="15"/>
  <c r="BB87" i="15"/>
  <c r="BA87" i="15"/>
  <c r="AZ87" i="15"/>
  <c r="AY87" i="15"/>
  <c r="BJ86" i="15"/>
  <c r="BI86" i="15"/>
  <c r="BH86" i="15"/>
  <c r="BG86" i="15"/>
  <c r="BF86" i="15"/>
  <c r="BE86" i="15"/>
  <c r="BD86" i="15"/>
  <c r="BC86" i="15"/>
  <c r="BB86" i="15"/>
  <c r="BA86" i="15"/>
  <c r="AZ86" i="15"/>
  <c r="AY86" i="15"/>
  <c r="BJ5" i="15"/>
  <c r="BI5" i="15"/>
  <c r="BI11" i="15" s="1"/>
  <c r="BI16" i="15" s="1"/>
  <c r="BI26" i="15" s="1"/>
  <c r="BI33" i="15" s="1"/>
  <c r="BH5" i="15"/>
  <c r="BG5" i="15"/>
  <c r="BG11" i="15" s="1"/>
  <c r="BG16" i="15" s="1"/>
  <c r="BG26" i="15" s="1"/>
  <c r="BG33" i="15" s="1"/>
  <c r="BF5" i="15"/>
  <c r="BF11" i="15" s="1"/>
  <c r="BF16" i="15" s="1"/>
  <c r="BF26" i="15" s="1"/>
  <c r="BF33" i="15" s="1"/>
  <c r="BE5" i="15"/>
  <c r="BE11" i="15" s="1"/>
  <c r="BE16" i="15" s="1"/>
  <c r="BE26" i="15" s="1"/>
  <c r="BE33" i="15" s="1"/>
  <c r="BD5" i="15"/>
  <c r="BD11" i="15" s="1"/>
  <c r="BD16" i="15" s="1"/>
  <c r="BD26" i="15" s="1"/>
  <c r="BD33" i="15" s="1"/>
  <c r="BC5" i="15"/>
  <c r="BC11" i="15" s="1"/>
  <c r="BC16" i="15" s="1"/>
  <c r="BC26" i="15" s="1"/>
  <c r="BC33" i="15" s="1"/>
  <c r="BB5" i="15"/>
  <c r="BA5" i="15"/>
  <c r="BA11" i="15" s="1"/>
  <c r="BA16" i="15" s="1"/>
  <c r="BA26" i="15" s="1"/>
  <c r="BA33" i="15" s="1"/>
  <c r="AZ5" i="15"/>
  <c r="AY5" i="15"/>
  <c r="AY11" i="15" s="1"/>
  <c r="AY16" i="15" s="1"/>
  <c r="AY26" i="15" s="1"/>
  <c r="AY33" i="15" s="1"/>
  <c r="AX114" i="15"/>
  <c r="AW114" i="15"/>
  <c r="AV114" i="15"/>
  <c r="AU114" i="15"/>
  <c r="AT114" i="15"/>
  <c r="AS114" i="15"/>
  <c r="AR114" i="15"/>
  <c r="AQ114" i="15"/>
  <c r="AP114" i="15"/>
  <c r="AO114" i="15"/>
  <c r="AN114" i="15"/>
  <c r="AM114" i="15"/>
  <c r="AL114" i="15"/>
  <c r="AK114" i="15"/>
  <c r="AJ114" i="15"/>
  <c r="AI114" i="15"/>
  <c r="AH114" i="15"/>
  <c r="AG114" i="15"/>
  <c r="AF114" i="15"/>
  <c r="AE114" i="15"/>
  <c r="AD114" i="15"/>
  <c r="AC114" i="15"/>
  <c r="AB114" i="15"/>
  <c r="AA114" i="15"/>
  <c r="AX113" i="15"/>
  <c r="AW113" i="15"/>
  <c r="AV113" i="15"/>
  <c r="AU113" i="15"/>
  <c r="AT113" i="15"/>
  <c r="AS113" i="15"/>
  <c r="AR113" i="15"/>
  <c r="AQ113" i="15"/>
  <c r="AP113" i="15"/>
  <c r="AO113" i="15"/>
  <c r="AN113" i="15"/>
  <c r="AM113" i="15"/>
  <c r="AL113" i="15"/>
  <c r="AK113" i="15"/>
  <c r="AJ113" i="15"/>
  <c r="AI113" i="15"/>
  <c r="AH113" i="15"/>
  <c r="AG113" i="15"/>
  <c r="AF113" i="15"/>
  <c r="AE113" i="15"/>
  <c r="AD113" i="15"/>
  <c r="AC113" i="15"/>
  <c r="AB113" i="15"/>
  <c r="AA113" i="15"/>
  <c r="AX90" i="15"/>
  <c r="AW90" i="15"/>
  <c r="AV90" i="15"/>
  <c r="AU90" i="15"/>
  <c r="AT90" i="15"/>
  <c r="AS90" i="15"/>
  <c r="AR90" i="15"/>
  <c r="AQ90" i="15"/>
  <c r="AP90" i="15"/>
  <c r="AO90" i="15"/>
  <c r="AN90" i="15"/>
  <c r="AM90" i="15"/>
  <c r="AL90" i="15"/>
  <c r="AK90" i="15"/>
  <c r="AJ90" i="15"/>
  <c r="AI90" i="15"/>
  <c r="AH90" i="15"/>
  <c r="AG90" i="15"/>
  <c r="AF90" i="15"/>
  <c r="AE90" i="15"/>
  <c r="AD90" i="15"/>
  <c r="AC90" i="15"/>
  <c r="AB90" i="15"/>
  <c r="AA90" i="15"/>
  <c r="AX89" i="15"/>
  <c r="AW89" i="15"/>
  <c r="AV89" i="15"/>
  <c r="AU89" i="15"/>
  <c r="AT89" i="15"/>
  <c r="AS89" i="15"/>
  <c r="AR89" i="15"/>
  <c r="AQ89" i="15"/>
  <c r="AP89" i="15"/>
  <c r="AO89" i="15"/>
  <c r="AN89" i="15"/>
  <c r="AM89" i="15"/>
  <c r="AL89" i="15"/>
  <c r="AK89" i="15"/>
  <c r="AJ89" i="15"/>
  <c r="AI89" i="15"/>
  <c r="AH89" i="15"/>
  <c r="AG89" i="15"/>
  <c r="AF89" i="15"/>
  <c r="AE89" i="15"/>
  <c r="AD89" i="15"/>
  <c r="AC89" i="15"/>
  <c r="AB89" i="15"/>
  <c r="AA89" i="15"/>
  <c r="AX88" i="15"/>
  <c r="AW88" i="15"/>
  <c r="AV88" i="15"/>
  <c r="AU88" i="15"/>
  <c r="AT88" i="15"/>
  <c r="AS88" i="15"/>
  <c r="AR88" i="15"/>
  <c r="AQ88" i="15"/>
  <c r="AP88" i="15"/>
  <c r="AO88" i="15"/>
  <c r="AN88" i="15"/>
  <c r="AM88" i="15"/>
  <c r="AL88" i="15"/>
  <c r="AK88" i="15"/>
  <c r="AJ88" i="15"/>
  <c r="AI88" i="15"/>
  <c r="AH88" i="15"/>
  <c r="AG88" i="15"/>
  <c r="AF88" i="15"/>
  <c r="AE88" i="15"/>
  <c r="AD88" i="15"/>
  <c r="AC88" i="15"/>
  <c r="AB88" i="15"/>
  <c r="AA88" i="15"/>
  <c r="AX87" i="15"/>
  <c r="AW87" i="15"/>
  <c r="AV87" i="15"/>
  <c r="AU87" i="15"/>
  <c r="AT87" i="15"/>
  <c r="AS87" i="15"/>
  <c r="AR87" i="15"/>
  <c r="AQ87" i="15"/>
  <c r="AP87" i="15"/>
  <c r="AO87" i="15"/>
  <c r="AN87" i="15"/>
  <c r="AM87" i="15"/>
  <c r="AL87" i="15"/>
  <c r="AK87" i="15"/>
  <c r="AJ87" i="15"/>
  <c r="AI87" i="15"/>
  <c r="AH87" i="15"/>
  <c r="AG87" i="15"/>
  <c r="AF87" i="15"/>
  <c r="AE87" i="15"/>
  <c r="AD87" i="15"/>
  <c r="AC87" i="15"/>
  <c r="AB87" i="15"/>
  <c r="AA87" i="15"/>
  <c r="AX86" i="15"/>
  <c r="AW86" i="15"/>
  <c r="AV86" i="15"/>
  <c r="AU86" i="15"/>
  <c r="AT86" i="15"/>
  <c r="AS86" i="15"/>
  <c r="AR86" i="15"/>
  <c r="AQ86" i="15"/>
  <c r="AP86" i="15"/>
  <c r="AO86" i="15"/>
  <c r="AN86" i="15"/>
  <c r="AM86" i="15"/>
  <c r="AL86" i="15"/>
  <c r="AK86" i="15"/>
  <c r="AJ86" i="15"/>
  <c r="AI86" i="15"/>
  <c r="AH86" i="15"/>
  <c r="AG86" i="15"/>
  <c r="AF86" i="15"/>
  <c r="AE86" i="15"/>
  <c r="AD86" i="15"/>
  <c r="AC86" i="15"/>
  <c r="AB86" i="15"/>
  <c r="AA86" i="15"/>
  <c r="AX5" i="15"/>
  <c r="AX11" i="15" s="1"/>
  <c r="AX16" i="15" s="1"/>
  <c r="AX26" i="15" s="1"/>
  <c r="AX33" i="15" s="1"/>
  <c r="AW5" i="15"/>
  <c r="AW11" i="15" s="1"/>
  <c r="AW16" i="15" s="1"/>
  <c r="AW26" i="15" s="1"/>
  <c r="AW33" i="15" s="1"/>
  <c r="AV5" i="15"/>
  <c r="AV11" i="15" s="1"/>
  <c r="AV16" i="15" s="1"/>
  <c r="AV26" i="15" s="1"/>
  <c r="AV33" i="15" s="1"/>
  <c r="AU5" i="15"/>
  <c r="AU11" i="15" s="1"/>
  <c r="AU16" i="15" s="1"/>
  <c r="AU26" i="15" s="1"/>
  <c r="AU33" i="15" s="1"/>
  <c r="AT5" i="15"/>
  <c r="AT11" i="15" s="1"/>
  <c r="AT16" i="15" s="1"/>
  <c r="AT26" i="15" s="1"/>
  <c r="AT33" i="15" s="1"/>
  <c r="AS5" i="15"/>
  <c r="AS11" i="15" s="1"/>
  <c r="AS16" i="15" s="1"/>
  <c r="AS26" i="15" s="1"/>
  <c r="AS33" i="15" s="1"/>
  <c r="AR5" i="15"/>
  <c r="AR11" i="15" s="1"/>
  <c r="AR16" i="15" s="1"/>
  <c r="AR26" i="15" s="1"/>
  <c r="AR33" i="15" s="1"/>
  <c r="AQ5" i="15"/>
  <c r="AQ11" i="15" s="1"/>
  <c r="AQ16" i="15" s="1"/>
  <c r="AQ26" i="15" s="1"/>
  <c r="AQ33" i="15" s="1"/>
  <c r="AP5" i="15"/>
  <c r="AP11" i="15" s="1"/>
  <c r="AP16" i="15" s="1"/>
  <c r="AP26" i="15" s="1"/>
  <c r="AP33" i="15" s="1"/>
  <c r="AO5" i="15"/>
  <c r="AO11" i="15" s="1"/>
  <c r="AO16" i="15" s="1"/>
  <c r="AO26" i="15" s="1"/>
  <c r="AO33" i="15" s="1"/>
  <c r="AN5" i="15"/>
  <c r="AN11" i="15" s="1"/>
  <c r="AN16" i="15" s="1"/>
  <c r="AN26" i="15" s="1"/>
  <c r="AN33" i="15" s="1"/>
  <c r="AM5" i="15"/>
  <c r="AM11" i="15" s="1"/>
  <c r="AM16" i="15" s="1"/>
  <c r="AM26" i="15" s="1"/>
  <c r="AM33" i="15" s="1"/>
  <c r="AL5" i="15"/>
  <c r="AL11" i="15" s="1"/>
  <c r="AL16" i="15" s="1"/>
  <c r="AL26" i="15" s="1"/>
  <c r="AL33" i="15" s="1"/>
  <c r="AK5" i="15"/>
  <c r="AJ5" i="15"/>
  <c r="AI5" i="15"/>
  <c r="AH5" i="15"/>
  <c r="AG5" i="15"/>
  <c r="AF5" i="15"/>
  <c r="AE5" i="15"/>
  <c r="AD5" i="15"/>
  <c r="AD11" i="15" s="1"/>
  <c r="AD16" i="15" s="1"/>
  <c r="AD26" i="15" s="1"/>
  <c r="AD33" i="15" s="1"/>
  <c r="AC5" i="15"/>
  <c r="AB5" i="15"/>
  <c r="AA5" i="15"/>
  <c r="BJ3" i="19"/>
  <c r="BJ15" i="19" s="1"/>
  <c r="BI3" i="19"/>
  <c r="BI15" i="19" s="1"/>
  <c r="BH3" i="19"/>
  <c r="BG3" i="19"/>
  <c r="BG15" i="19" s="1"/>
  <c r="BF3" i="19"/>
  <c r="BF15" i="19" s="1"/>
  <c r="BE3" i="19"/>
  <c r="BE15" i="19" s="1"/>
  <c r="BD3" i="19"/>
  <c r="BD15" i="19" s="1"/>
  <c r="BC3" i="19"/>
  <c r="BC15" i="19" s="1"/>
  <c r="BB3" i="19"/>
  <c r="BB15" i="19" s="1"/>
  <c r="BA3" i="19"/>
  <c r="BA15" i="19" s="1"/>
  <c r="AZ3" i="19"/>
  <c r="AY3" i="19"/>
  <c r="AY15" i="19" s="1"/>
  <c r="AX3" i="19"/>
  <c r="AX11" i="19" s="1"/>
  <c r="AW3" i="19"/>
  <c r="AW15" i="19" s="1"/>
  <c r="AV3" i="19"/>
  <c r="AV15" i="19" s="1"/>
  <c r="AU3" i="19"/>
  <c r="AU11" i="19" s="1"/>
  <c r="AT3" i="19"/>
  <c r="AT15" i="19" s="1"/>
  <c r="AS3" i="19"/>
  <c r="AS15" i="19" s="1"/>
  <c r="AR3" i="19"/>
  <c r="AQ3" i="19"/>
  <c r="AQ15" i="19" s="1"/>
  <c r="AP3" i="19"/>
  <c r="AP15" i="19" s="1"/>
  <c r="AO3" i="19"/>
  <c r="AO15" i="19" s="1"/>
  <c r="AN3" i="19"/>
  <c r="AN15" i="19" s="1"/>
  <c r="AM3" i="19"/>
  <c r="AM15" i="19" s="1"/>
  <c r="AL3" i="19"/>
  <c r="AL15" i="19" s="1"/>
  <c r="AK3" i="19"/>
  <c r="AK15" i="19" s="1"/>
  <c r="AJ3" i="19"/>
  <c r="AI3" i="19"/>
  <c r="AI15" i="19" s="1"/>
  <c r="AH3" i="19"/>
  <c r="AH15" i="19" s="1"/>
  <c r="AG3" i="19"/>
  <c r="AG15" i="19" s="1"/>
  <c r="AF3" i="19"/>
  <c r="AF15" i="19" s="1"/>
  <c r="AE3" i="19"/>
  <c r="AE15" i="19" s="1"/>
  <c r="AD3" i="19"/>
  <c r="AD15" i="19" s="1"/>
  <c r="AC3" i="19"/>
  <c r="AC15" i="19" s="1"/>
  <c r="AB3" i="19"/>
  <c r="AA3" i="19"/>
  <c r="AA15" i="19" s="1"/>
  <c r="Z3" i="19"/>
  <c r="Z15" i="19" s="1"/>
  <c r="Y3" i="19"/>
  <c r="Y15" i="19" s="1"/>
  <c r="X3" i="19"/>
  <c r="X15" i="19" s="1"/>
  <c r="W3" i="19"/>
  <c r="W11" i="19" s="1"/>
  <c r="V3" i="19"/>
  <c r="V15" i="19" s="1"/>
  <c r="U3" i="19"/>
  <c r="U15" i="19" s="1"/>
  <c r="T3" i="19"/>
  <c r="S3" i="19"/>
  <c r="S15" i="19" s="1"/>
  <c r="R3" i="19"/>
  <c r="R15" i="19" s="1"/>
  <c r="Q3" i="19"/>
  <c r="Q15" i="19" s="1"/>
  <c r="P3" i="19"/>
  <c r="P15" i="19" s="1"/>
  <c r="O3" i="19"/>
  <c r="O15" i="19" s="1"/>
  <c r="N3" i="19"/>
  <c r="N15" i="19" s="1"/>
  <c r="M3" i="19"/>
  <c r="M15" i="19" s="1"/>
  <c r="L3" i="19"/>
  <c r="K3" i="19"/>
  <c r="K15" i="19" s="1"/>
  <c r="J3" i="19"/>
  <c r="J11" i="19" s="1"/>
  <c r="I3" i="19"/>
  <c r="I15" i="19" s="1"/>
  <c r="H3" i="19"/>
  <c r="H11" i="19" s="1"/>
  <c r="G3" i="19"/>
  <c r="G15" i="19" s="1"/>
  <c r="F3" i="19"/>
  <c r="F15" i="19" s="1"/>
  <c r="E3" i="19"/>
  <c r="E15" i="19" s="1"/>
  <c r="D3" i="19"/>
  <c r="BJ2" i="19"/>
  <c r="D2" i="19"/>
  <c r="DV2" i="17"/>
  <c r="DV37" i="17" s="1"/>
  <c r="BP2" i="17"/>
  <c r="DV3" i="17"/>
  <c r="DU3" i="17"/>
  <c r="DT3" i="17"/>
  <c r="DS3" i="17"/>
  <c r="DR3" i="17"/>
  <c r="DQ3" i="17"/>
  <c r="DP3" i="17"/>
  <c r="DO3" i="17"/>
  <c r="DN3" i="17"/>
  <c r="DM3" i="17"/>
  <c r="DL3" i="17"/>
  <c r="DK3" i="17"/>
  <c r="DJ3" i="17"/>
  <c r="DI3" i="17"/>
  <c r="DH3" i="17"/>
  <c r="DG3" i="17"/>
  <c r="DF3" i="17"/>
  <c r="DE3" i="17"/>
  <c r="DD3" i="17"/>
  <c r="DC3" i="17"/>
  <c r="DB3" i="17"/>
  <c r="DA3" i="17"/>
  <c r="CZ3" i="17"/>
  <c r="CY3" i="17"/>
  <c r="CX3" i="17"/>
  <c r="CW3" i="17"/>
  <c r="CV3" i="17"/>
  <c r="CU3" i="17"/>
  <c r="CT3" i="17"/>
  <c r="CS3" i="17"/>
  <c r="CR3" i="17"/>
  <c r="CQ3" i="17"/>
  <c r="CP3" i="17"/>
  <c r="CO3" i="17"/>
  <c r="CN3" i="17"/>
  <c r="CM3" i="17"/>
  <c r="CL3" i="17"/>
  <c r="CK3" i="17"/>
  <c r="CJ3" i="17"/>
  <c r="CI3" i="17"/>
  <c r="CH3" i="17"/>
  <c r="CG3" i="17"/>
  <c r="CF3" i="17"/>
  <c r="CE3" i="17"/>
  <c r="CD3" i="17"/>
  <c r="CC3" i="17"/>
  <c r="CB3" i="17"/>
  <c r="CA3" i="17"/>
  <c r="BZ3" i="17"/>
  <c r="BY3" i="17"/>
  <c r="BX3" i="17"/>
  <c r="BW3" i="17"/>
  <c r="BV3" i="17"/>
  <c r="BU3" i="17"/>
  <c r="BT3" i="17"/>
  <c r="BS3" i="17"/>
  <c r="BR3" i="17"/>
  <c r="BQ3" i="17"/>
  <c r="BP3" i="17"/>
  <c r="BO3" i="17"/>
  <c r="BI2" i="17"/>
  <c r="BI2" i="19" s="1"/>
  <c r="BH2" i="17"/>
  <c r="BH105" i="17" s="1"/>
  <c r="BG2" i="17"/>
  <c r="BG2" i="19" s="1"/>
  <c r="BF2" i="17"/>
  <c r="BF105" i="17" s="1"/>
  <c r="BE2" i="17"/>
  <c r="BE105" i="17" s="1"/>
  <c r="BD2" i="17"/>
  <c r="BD41" i="17" s="1"/>
  <c r="BC2" i="17"/>
  <c r="BC41" i="17" s="1"/>
  <c r="BB2" i="17"/>
  <c r="DN2" i="17" s="1"/>
  <c r="BA2" i="17"/>
  <c r="BA2" i="19" s="1"/>
  <c r="AZ2" i="17"/>
  <c r="AZ105" i="17" s="1"/>
  <c r="AY2" i="17"/>
  <c r="AY2" i="19" s="1"/>
  <c r="AX2" i="17"/>
  <c r="AX105" i="17" s="1"/>
  <c r="AW2" i="17"/>
  <c r="AW2" i="19" s="1"/>
  <c r="AV2" i="17"/>
  <c r="AU2" i="17"/>
  <c r="AT2" i="17"/>
  <c r="AT2" i="19" s="1"/>
  <c r="AS2" i="17"/>
  <c r="AS2" i="19" s="1"/>
  <c r="AR2" i="17"/>
  <c r="AQ2" i="17"/>
  <c r="AQ2" i="19" s="1"/>
  <c r="AP2" i="17"/>
  <c r="AO2" i="17"/>
  <c r="AN2" i="17"/>
  <c r="AM2" i="17"/>
  <c r="AL2" i="17"/>
  <c r="AL2" i="19" s="1"/>
  <c r="AK2" i="17"/>
  <c r="AK2" i="19" s="1"/>
  <c r="AJ2" i="17"/>
  <c r="AI2" i="17"/>
  <c r="AI2" i="19" s="1"/>
  <c r="AH2" i="17"/>
  <c r="AG2" i="17"/>
  <c r="AF2" i="17"/>
  <c r="AE2" i="17"/>
  <c r="AD2" i="17"/>
  <c r="AC2" i="17"/>
  <c r="AB2" i="17"/>
  <c r="AA2" i="17"/>
  <c r="AA2" i="19" s="1"/>
  <c r="Z2" i="17"/>
  <c r="Y2" i="17"/>
  <c r="Y2" i="19" s="1"/>
  <c r="X2" i="17"/>
  <c r="W2" i="17"/>
  <c r="CI2" i="17" s="1"/>
  <c r="CI37" i="17" s="1"/>
  <c r="V2" i="17"/>
  <c r="V2" i="19" s="1"/>
  <c r="U2" i="17"/>
  <c r="U2" i="19" s="1"/>
  <c r="T2" i="17"/>
  <c r="S2" i="17"/>
  <c r="S2" i="19" s="1"/>
  <c r="R2" i="17"/>
  <c r="N2" i="17"/>
  <c r="M2" i="17"/>
  <c r="L2" i="17"/>
  <c r="K2" i="17"/>
  <c r="K2" i="19" s="1"/>
  <c r="J2" i="17"/>
  <c r="I2" i="17"/>
  <c r="H2" i="17"/>
  <c r="G2" i="17"/>
  <c r="G2" i="19" s="1"/>
  <c r="F2" i="17"/>
  <c r="E2" i="17"/>
  <c r="E2" i="19" s="1"/>
  <c r="BJ105" i="17"/>
  <c r="BJ80" i="17"/>
  <c r="BJ42" i="17"/>
  <c r="BI42" i="17"/>
  <c r="BH42" i="17"/>
  <c r="BG42" i="17"/>
  <c r="BF42" i="17"/>
  <c r="BE42" i="17"/>
  <c r="BD42" i="17"/>
  <c r="BC42" i="17"/>
  <c r="BB42" i="17"/>
  <c r="BA42" i="17"/>
  <c r="AZ42" i="17"/>
  <c r="AY42" i="17"/>
  <c r="BJ41" i="17"/>
  <c r="AX42" i="17"/>
  <c r="AW42" i="17"/>
  <c r="AV42" i="17"/>
  <c r="AU42" i="17"/>
  <c r="AT42" i="17"/>
  <c r="AS42" i="17"/>
  <c r="AR42" i="17"/>
  <c r="AQ42" i="17"/>
  <c r="AP42" i="17"/>
  <c r="AO42" i="17"/>
  <c r="AN42" i="17"/>
  <c r="AM42" i="17"/>
  <c r="AL42" i="17"/>
  <c r="AK42" i="17"/>
  <c r="AJ42" i="17"/>
  <c r="AI42" i="17"/>
  <c r="AH42" i="17"/>
  <c r="AG42" i="17"/>
  <c r="AF42" i="17"/>
  <c r="AE42" i="17"/>
  <c r="AD42" i="17"/>
  <c r="AC42" i="17"/>
  <c r="AB42" i="17"/>
  <c r="AA42" i="17"/>
  <c r="AF112" i="15" l="1"/>
  <c r="AF11" i="15"/>
  <c r="AF16" i="15" s="1"/>
  <c r="AF26" i="15" s="1"/>
  <c r="AF33" i="15" s="1"/>
  <c r="AG112" i="15"/>
  <c r="AG11" i="15"/>
  <c r="AG16" i="15" s="1"/>
  <c r="AG26" i="15" s="1"/>
  <c r="AG33" i="15" s="1"/>
  <c r="AH112" i="15"/>
  <c r="AH11" i="15"/>
  <c r="AH16" i="15" s="1"/>
  <c r="AH26" i="15" s="1"/>
  <c r="AH33" i="15" s="1"/>
  <c r="AB112" i="15"/>
  <c r="AB11" i="15"/>
  <c r="AB16" i="15" s="1"/>
  <c r="AB26" i="15" s="1"/>
  <c r="AB33" i="15" s="1"/>
  <c r="AA112" i="15"/>
  <c r="AA11" i="15"/>
  <c r="AA16" i="15" s="1"/>
  <c r="AA26" i="15" s="1"/>
  <c r="AA33" i="15" s="1"/>
  <c r="AC112" i="15"/>
  <c r="AC11" i="15"/>
  <c r="AC16" i="15" s="1"/>
  <c r="AC26" i="15" s="1"/>
  <c r="AC33" i="15" s="1"/>
  <c r="AK112" i="15"/>
  <c r="AK11" i="15"/>
  <c r="AK16" i="15" s="1"/>
  <c r="AK26" i="15" s="1"/>
  <c r="AK33" i="15" s="1"/>
  <c r="AI112" i="15"/>
  <c r="AI11" i="15"/>
  <c r="AI16" i="15" s="1"/>
  <c r="AI26" i="15" s="1"/>
  <c r="AI33" i="15" s="1"/>
  <c r="AJ112" i="15"/>
  <c r="AJ11" i="15"/>
  <c r="AJ16" i="15" s="1"/>
  <c r="AJ26" i="15" s="1"/>
  <c r="AJ33" i="15" s="1"/>
  <c r="AZ112" i="15"/>
  <c r="AZ11" i="15"/>
  <c r="AZ16" i="15" s="1"/>
  <c r="AZ26" i="15" s="1"/>
  <c r="AZ33" i="15" s="1"/>
  <c r="BB112" i="15"/>
  <c r="BB11" i="15"/>
  <c r="BB16" i="15" s="1"/>
  <c r="BB26" i="15" s="1"/>
  <c r="BB33" i="15" s="1"/>
  <c r="BJ112" i="15"/>
  <c r="BJ11" i="15"/>
  <c r="BJ16" i="15" s="1"/>
  <c r="BJ26" i="15" s="1"/>
  <c r="BJ33" i="15" s="1"/>
  <c r="BH112" i="15"/>
  <c r="BH11" i="15"/>
  <c r="BH16" i="15" s="1"/>
  <c r="BH26" i="15" s="1"/>
  <c r="BH33" i="15" s="1"/>
  <c r="AE112" i="15"/>
  <c r="AE11" i="15"/>
  <c r="AE16" i="15" s="1"/>
  <c r="AE26" i="15" s="1"/>
  <c r="AE33" i="15" s="1"/>
  <c r="BC80" i="17"/>
  <c r="AX41" i="17"/>
  <c r="BC105" i="17"/>
  <c r="AX80" i="17"/>
  <c r="BI41" i="17"/>
  <c r="BI80" i="17"/>
  <c r="BI91" i="17" s="1"/>
  <c r="BB105" i="17"/>
  <c r="DV41" i="17"/>
  <c r="BD80" i="17"/>
  <c r="BD105" i="17"/>
  <c r="BA41" i="17"/>
  <c r="BF80" i="17"/>
  <c r="BF92" i="17" s="1"/>
  <c r="BF41" i="17"/>
  <c r="BB41" i="17"/>
  <c r="BA80" i="17"/>
  <c r="BA90" i="17" s="1"/>
  <c r="AY105" i="17"/>
  <c r="BB80" i="17"/>
  <c r="BB92" i="17" s="1"/>
  <c r="BA105" i="17"/>
  <c r="BI105" i="17"/>
  <c r="BS2" i="17"/>
  <c r="BS37" i="17" s="1"/>
  <c r="DF2" i="17"/>
  <c r="DF37" i="17" s="1"/>
  <c r="BG105" i="17"/>
  <c r="DN37" i="17"/>
  <c r="DN41" i="17"/>
  <c r="AF67" i="17"/>
  <c r="AF57" i="17"/>
  <c r="AF47" i="17"/>
  <c r="AF74" i="17"/>
  <c r="AF64" i="17"/>
  <c r="AF54" i="17"/>
  <c r="AF44" i="17"/>
  <c r="AF70" i="17"/>
  <c r="AF60" i="17"/>
  <c r="AF50" i="17"/>
  <c r="AF66" i="17"/>
  <c r="AF56" i="17"/>
  <c r="AF46" i="17"/>
  <c r="AF72" i="17"/>
  <c r="AF62" i="17"/>
  <c r="AF52" i="17"/>
  <c r="AF69" i="17"/>
  <c r="AF59" i="17"/>
  <c r="AF49" i="17"/>
  <c r="AF71" i="17"/>
  <c r="AF45" i="17"/>
  <c r="AF61" i="17"/>
  <c r="AF55" i="17"/>
  <c r="AF65" i="17"/>
  <c r="AF51" i="17"/>
  <c r="AN67" i="17"/>
  <c r="AN57" i="17"/>
  <c r="AN47" i="17"/>
  <c r="AN74" i="17"/>
  <c r="AN64" i="17"/>
  <c r="AN54" i="17"/>
  <c r="AN44" i="17"/>
  <c r="AN70" i="17"/>
  <c r="AN60" i="17"/>
  <c r="AN50" i="17"/>
  <c r="AN66" i="17"/>
  <c r="AN56" i="17"/>
  <c r="AN46" i="17"/>
  <c r="AN72" i="17"/>
  <c r="AN62" i="17"/>
  <c r="AN52" i="17"/>
  <c r="AN69" i="17"/>
  <c r="AN59" i="17"/>
  <c r="AN49" i="17"/>
  <c r="AN71" i="17"/>
  <c r="AN55" i="17"/>
  <c r="AN65" i="17"/>
  <c r="AN51" i="17"/>
  <c r="AN45" i="17"/>
  <c r="AN61" i="17"/>
  <c r="AV67" i="17"/>
  <c r="AV57" i="17"/>
  <c r="AV47" i="17"/>
  <c r="AV74" i="17"/>
  <c r="AV64" i="17"/>
  <c r="AV54" i="17"/>
  <c r="AV44" i="17"/>
  <c r="AV70" i="17"/>
  <c r="AV60" i="17"/>
  <c r="AV50" i="17"/>
  <c r="AV66" i="17"/>
  <c r="AV56" i="17"/>
  <c r="AV46" i="17"/>
  <c r="AV72" i="17"/>
  <c r="AV62" i="17"/>
  <c r="AV52" i="17"/>
  <c r="AV69" i="17"/>
  <c r="AV59" i="17"/>
  <c r="AV49" i="17"/>
  <c r="AV71" i="17"/>
  <c r="AV65" i="17"/>
  <c r="AV51" i="17"/>
  <c r="AV45" i="17"/>
  <c r="AV61" i="17"/>
  <c r="AV55" i="17"/>
  <c r="BF70" i="17"/>
  <c r="BF60" i="17"/>
  <c r="BF50" i="17"/>
  <c r="BF66" i="17"/>
  <c r="BF56" i="17"/>
  <c r="BF46" i="17"/>
  <c r="BF72" i="17"/>
  <c r="BF62" i="17"/>
  <c r="BF52" i="17"/>
  <c r="BF69" i="17"/>
  <c r="BF59" i="17"/>
  <c r="BF49" i="17"/>
  <c r="BF65" i="17"/>
  <c r="BF55" i="17"/>
  <c r="BF45" i="17"/>
  <c r="BF71" i="17"/>
  <c r="BF61" i="17"/>
  <c r="BF51" i="17"/>
  <c r="BF74" i="17"/>
  <c r="BF67" i="17"/>
  <c r="BF44" i="17"/>
  <c r="BF54" i="17"/>
  <c r="BF47" i="17"/>
  <c r="BF64" i="17"/>
  <c r="BF57" i="17"/>
  <c r="BB91" i="17"/>
  <c r="BB90" i="17"/>
  <c r="BJ92" i="17"/>
  <c r="BJ91" i="17"/>
  <c r="BJ90" i="17"/>
  <c r="DF41" i="17"/>
  <c r="BV2" i="17"/>
  <c r="BV37" i="17" s="1"/>
  <c r="AE3" i="11"/>
  <c r="J37" i="17"/>
  <c r="J36" i="17"/>
  <c r="J35" i="17"/>
  <c r="J111" i="15"/>
  <c r="CD2" i="17"/>
  <c r="CD37" i="17" s="1"/>
  <c r="AM3" i="11"/>
  <c r="R37" i="17"/>
  <c r="R36" i="17"/>
  <c r="R111" i="15"/>
  <c r="R35" i="17"/>
  <c r="CL2" i="17"/>
  <c r="CL37" i="17" s="1"/>
  <c r="AU3" i="11"/>
  <c r="Z37" i="17"/>
  <c r="Z36" i="17"/>
  <c r="Z111" i="15"/>
  <c r="Z35" i="17"/>
  <c r="CT2" i="17"/>
  <c r="CT37" i="17" s="1"/>
  <c r="BC3" i="11"/>
  <c r="AH37" i="17"/>
  <c r="AH36" i="17"/>
  <c r="AH111" i="15"/>
  <c r="AH35" i="17"/>
  <c r="DB2" i="17"/>
  <c r="DB37" i="17" s="1"/>
  <c r="BK3" i="11"/>
  <c r="AP37" i="17"/>
  <c r="AP36" i="17"/>
  <c r="AP111" i="15"/>
  <c r="AP35" i="17"/>
  <c r="DJ2" i="17"/>
  <c r="DJ37" i="17" s="1"/>
  <c r="BS3" i="11"/>
  <c r="AX37" i="17"/>
  <c r="AX36" i="17"/>
  <c r="AX35" i="17"/>
  <c r="AX111" i="15"/>
  <c r="DR2" i="17"/>
  <c r="DR37" i="17" s="1"/>
  <c r="CA3" i="11"/>
  <c r="BF37" i="17"/>
  <c r="BF36" i="17"/>
  <c r="BF111" i="15"/>
  <c r="BF35" i="17"/>
  <c r="BS67" i="17"/>
  <c r="BS57" i="17"/>
  <c r="BS47" i="17"/>
  <c r="BS64" i="17"/>
  <c r="BS70" i="17"/>
  <c r="BS60" i="17"/>
  <c r="BS50" i="17"/>
  <c r="BS66" i="17"/>
  <c r="BS56" i="17"/>
  <c r="BS46" i="17"/>
  <c r="BS72" i="17"/>
  <c r="BS62" i="17"/>
  <c r="BS52" i="17"/>
  <c r="BS69" i="17"/>
  <c r="BS59" i="17"/>
  <c r="BS49" i="17"/>
  <c r="BS65" i="17"/>
  <c r="BS55" i="17"/>
  <c r="BS45" i="17"/>
  <c r="BS25" i="17"/>
  <c r="BS44" i="17"/>
  <c r="BS31" i="17"/>
  <c r="BS21" i="17"/>
  <c r="BS54" i="17"/>
  <c r="BS27" i="17"/>
  <c r="BS17" i="17"/>
  <c r="BS71" i="17"/>
  <c r="BS33" i="17"/>
  <c r="BS23" i="17"/>
  <c r="BS42" i="17"/>
  <c r="BS74" i="17" s="1"/>
  <c r="BS30" i="17"/>
  <c r="BS20" i="17"/>
  <c r="BS26" i="17"/>
  <c r="BS18" i="17"/>
  <c r="BS12" i="17"/>
  <c r="BS8" i="17"/>
  <c r="BS28" i="17"/>
  <c r="BS15" i="17"/>
  <c r="BS5" i="17"/>
  <c r="BS22" i="17"/>
  <c r="BS11" i="17"/>
  <c r="BS51" i="17"/>
  <c r="BS7" i="17"/>
  <c r="BS32" i="17"/>
  <c r="BS13" i="17"/>
  <c r="BS61" i="17"/>
  <c r="BS16" i="17"/>
  <c r="BS6" i="17"/>
  <c r="BS10" i="17"/>
  <c r="CA67" i="17"/>
  <c r="CA57" i="17"/>
  <c r="CA47" i="17"/>
  <c r="CA64" i="17"/>
  <c r="CA70" i="17"/>
  <c r="CA60" i="17"/>
  <c r="CA50" i="17"/>
  <c r="CA66" i="17"/>
  <c r="CA56" i="17"/>
  <c r="CA46" i="17"/>
  <c r="CA72" i="17"/>
  <c r="CA62" i="17"/>
  <c r="CA52" i="17"/>
  <c r="CA69" i="17"/>
  <c r="CA59" i="17"/>
  <c r="CA49" i="17"/>
  <c r="CA65" i="17"/>
  <c r="CA55" i="17"/>
  <c r="CA45" i="17"/>
  <c r="CA54" i="17"/>
  <c r="CA25" i="17"/>
  <c r="CA44" i="17"/>
  <c r="CA31" i="17"/>
  <c r="CA21" i="17"/>
  <c r="CA71" i="17"/>
  <c r="CA27" i="17"/>
  <c r="CA17" i="17"/>
  <c r="CA33" i="17"/>
  <c r="CA23" i="17"/>
  <c r="CA42" i="17"/>
  <c r="CA74" i="17" s="1"/>
  <c r="CA30" i="17"/>
  <c r="CA20" i="17"/>
  <c r="CA61" i="17"/>
  <c r="CA51" i="17"/>
  <c r="CA26" i="17"/>
  <c r="CA16" i="17"/>
  <c r="CA28" i="17"/>
  <c r="CA12" i="17"/>
  <c r="CA22" i="17"/>
  <c r="CA8" i="17"/>
  <c r="CA15" i="17"/>
  <c r="CA5" i="17"/>
  <c r="CA32" i="17"/>
  <c r="CA11" i="17"/>
  <c r="CA7" i="17"/>
  <c r="CA13" i="17"/>
  <c r="CA6" i="17"/>
  <c r="CA18" i="17"/>
  <c r="CA10" i="17"/>
  <c r="CI67" i="17"/>
  <c r="CI57" i="17"/>
  <c r="CI47" i="17"/>
  <c r="CI64" i="17"/>
  <c r="CI70" i="17"/>
  <c r="CI60" i="17"/>
  <c r="CI50" i="17"/>
  <c r="CI66" i="17"/>
  <c r="CI56" i="17"/>
  <c r="CI46" i="17"/>
  <c r="CI72" i="17"/>
  <c r="CI62" i="17"/>
  <c r="CI52" i="17"/>
  <c r="CI69" i="17"/>
  <c r="CI59" i="17"/>
  <c r="CI49" i="17"/>
  <c r="CI65" i="17"/>
  <c r="CI55" i="17"/>
  <c r="CI45" i="17"/>
  <c r="CI25" i="17"/>
  <c r="CI71" i="17"/>
  <c r="CI44" i="17"/>
  <c r="CI36" i="17"/>
  <c r="CI31" i="17"/>
  <c r="CI21" i="17"/>
  <c r="CI27" i="17"/>
  <c r="CI17" i="17"/>
  <c r="CI51" i="17"/>
  <c r="CI33" i="17"/>
  <c r="CI23" i="17"/>
  <c r="CI61" i="17"/>
  <c r="CI42" i="17"/>
  <c r="CI74" i="17" s="1"/>
  <c r="CI30" i="17"/>
  <c r="CI20" i="17"/>
  <c r="CI26" i="17"/>
  <c r="CI16" i="17"/>
  <c r="CI12" i="17"/>
  <c r="CI32" i="17"/>
  <c r="CI8" i="17"/>
  <c r="CI15" i="17"/>
  <c r="CI5" i="17"/>
  <c r="CI54" i="17"/>
  <c r="CI11" i="17"/>
  <c r="CI18" i="17"/>
  <c r="CI7" i="17"/>
  <c r="CI13" i="17"/>
  <c r="CI22" i="17"/>
  <c r="CI6" i="17"/>
  <c r="CI28" i="17"/>
  <c r="CI10" i="17"/>
  <c r="CQ67" i="17"/>
  <c r="CQ57" i="17"/>
  <c r="CQ47" i="17"/>
  <c r="CQ64" i="17"/>
  <c r="CQ70" i="17"/>
  <c r="CQ60" i="17"/>
  <c r="CQ50" i="17"/>
  <c r="CQ66" i="17"/>
  <c r="CQ56" i="17"/>
  <c r="CQ46" i="17"/>
  <c r="CQ72" i="17"/>
  <c r="CQ62" i="17"/>
  <c r="CQ52" i="17"/>
  <c r="CQ69" i="17"/>
  <c r="CQ59" i="17"/>
  <c r="CQ49" i="17"/>
  <c r="CQ65" i="17"/>
  <c r="CQ55" i="17"/>
  <c r="CQ45" i="17"/>
  <c r="CQ71" i="17"/>
  <c r="CQ25" i="17"/>
  <c r="CQ51" i="17"/>
  <c r="CQ44" i="17"/>
  <c r="CQ31" i="17"/>
  <c r="CQ21" i="17"/>
  <c r="CQ27" i="17"/>
  <c r="CQ17" i="17"/>
  <c r="CQ61" i="17"/>
  <c r="CQ33" i="17"/>
  <c r="CQ23" i="17"/>
  <c r="CQ54" i="17"/>
  <c r="CQ42" i="17"/>
  <c r="CQ74" i="17" s="1"/>
  <c r="CQ30" i="17"/>
  <c r="CQ20" i="17"/>
  <c r="CQ26" i="17"/>
  <c r="CQ16" i="17"/>
  <c r="CQ12" i="17"/>
  <c r="CQ8" i="17"/>
  <c r="CQ18" i="17"/>
  <c r="CQ15" i="17"/>
  <c r="CQ5" i="17"/>
  <c r="CQ11" i="17"/>
  <c r="CQ28" i="17"/>
  <c r="CQ7" i="17"/>
  <c r="CQ22" i="17"/>
  <c r="CQ13" i="17"/>
  <c r="CQ32" i="17"/>
  <c r="CQ6" i="17"/>
  <c r="CQ10" i="17"/>
  <c r="CY67" i="17"/>
  <c r="CY57" i="17"/>
  <c r="CY47" i="17"/>
  <c r="CY64" i="17"/>
  <c r="CY70" i="17"/>
  <c r="CY60" i="17"/>
  <c r="CY50" i="17"/>
  <c r="CY66" i="17"/>
  <c r="CY56" i="17"/>
  <c r="CY46" i="17"/>
  <c r="CY72" i="17"/>
  <c r="CY62" i="17"/>
  <c r="CY52" i="17"/>
  <c r="CY69" i="17"/>
  <c r="CY59" i="17"/>
  <c r="CY49" i="17"/>
  <c r="CY65" i="17"/>
  <c r="CY55" i="17"/>
  <c r="CY45" i="17"/>
  <c r="CY25" i="17"/>
  <c r="CY44" i="17"/>
  <c r="CY31" i="17"/>
  <c r="CY21" i="17"/>
  <c r="CY61" i="17"/>
  <c r="CY54" i="17"/>
  <c r="CY27" i="17"/>
  <c r="CY17" i="17"/>
  <c r="CY33" i="17"/>
  <c r="CY23" i="17"/>
  <c r="CY42" i="17"/>
  <c r="CY74" i="17" s="1"/>
  <c r="CY30" i="17"/>
  <c r="CY20" i="17"/>
  <c r="CY26" i="17"/>
  <c r="CY16" i="17"/>
  <c r="CY71" i="17"/>
  <c r="CY18" i="17"/>
  <c r="CY12" i="17"/>
  <c r="CY8" i="17"/>
  <c r="CY51" i="17"/>
  <c r="CY28" i="17"/>
  <c r="CY15" i="17"/>
  <c r="CY5" i="17"/>
  <c r="CY22" i="17"/>
  <c r="CY11" i="17"/>
  <c r="CY7" i="17"/>
  <c r="CY32" i="17"/>
  <c r="CY13" i="17"/>
  <c r="CY6" i="17"/>
  <c r="CY10" i="17"/>
  <c r="DG67" i="17"/>
  <c r="DG57" i="17"/>
  <c r="DG47" i="17"/>
  <c r="DG64" i="17"/>
  <c r="DG70" i="17"/>
  <c r="DG60" i="17"/>
  <c r="DG50" i="17"/>
  <c r="DG66" i="17"/>
  <c r="DG56" i="17"/>
  <c r="DG46" i="17"/>
  <c r="DG72" i="17"/>
  <c r="DG62" i="17"/>
  <c r="DG52" i="17"/>
  <c r="DG69" i="17"/>
  <c r="DG59" i="17"/>
  <c r="DG49" i="17"/>
  <c r="DG65" i="17"/>
  <c r="DG55" i="17"/>
  <c r="DG45" i="17"/>
  <c r="DG54" i="17"/>
  <c r="DG25" i="17"/>
  <c r="DG61" i="17"/>
  <c r="DG44" i="17"/>
  <c r="DG31" i="17"/>
  <c r="DG21" i="17"/>
  <c r="DG27" i="17"/>
  <c r="DG17" i="17"/>
  <c r="DG33" i="17"/>
  <c r="DG23" i="17"/>
  <c r="DG42" i="17"/>
  <c r="DG74" i="17" s="1"/>
  <c r="DG30" i="17"/>
  <c r="DG20" i="17"/>
  <c r="DG51" i="17"/>
  <c r="DG26" i="17"/>
  <c r="DG16" i="17"/>
  <c r="DG28" i="17"/>
  <c r="DG12" i="17"/>
  <c r="DG22" i="17"/>
  <c r="DG8" i="17"/>
  <c r="DG15" i="17"/>
  <c r="DG5" i="17"/>
  <c r="DG32" i="17"/>
  <c r="DG11" i="17"/>
  <c r="DG7" i="17"/>
  <c r="DG13" i="17"/>
  <c r="DG71" i="17"/>
  <c r="DG6" i="17"/>
  <c r="DG10" i="17"/>
  <c r="DG18" i="17"/>
  <c r="DO67" i="17"/>
  <c r="DO57" i="17"/>
  <c r="DO47" i="17"/>
  <c r="DO64" i="17"/>
  <c r="DO70" i="17"/>
  <c r="DO60" i="17"/>
  <c r="DO50" i="17"/>
  <c r="DO66" i="17"/>
  <c r="DO56" i="17"/>
  <c r="DO46" i="17"/>
  <c r="DO72" i="17"/>
  <c r="DO62" i="17"/>
  <c r="DO52" i="17"/>
  <c r="DO69" i="17"/>
  <c r="DO59" i="17"/>
  <c r="DO49" i="17"/>
  <c r="DO65" i="17"/>
  <c r="DO55" i="17"/>
  <c r="DO45" i="17"/>
  <c r="DO61" i="17"/>
  <c r="DO25" i="17"/>
  <c r="DO44" i="17"/>
  <c r="DO31" i="17"/>
  <c r="DO21" i="17"/>
  <c r="DO27" i="17"/>
  <c r="DO17" i="17"/>
  <c r="DO51" i="17"/>
  <c r="DO33" i="17"/>
  <c r="DO23" i="17"/>
  <c r="DO42" i="17"/>
  <c r="DO74" i="17" s="1"/>
  <c r="DO30" i="17"/>
  <c r="DO20" i="17"/>
  <c r="DO71" i="17"/>
  <c r="DO26" i="17"/>
  <c r="DO16" i="17"/>
  <c r="DO12" i="17"/>
  <c r="DO54" i="17"/>
  <c r="DO32" i="17"/>
  <c r="DO8" i="17"/>
  <c r="DO15" i="17"/>
  <c r="DO5" i="17"/>
  <c r="DO11" i="17"/>
  <c r="DO18" i="17"/>
  <c r="DO7" i="17"/>
  <c r="DO13" i="17"/>
  <c r="DO22" i="17"/>
  <c r="DO6" i="17"/>
  <c r="DO10" i="17"/>
  <c r="DO28" i="17"/>
  <c r="J2" i="19"/>
  <c r="R2" i="19"/>
  <c r="Z2" i="19"/>
  <c r="AH2" i="19"/>
  <c r="AP2" i="19"/>
  <c r="AX2" i="19"/>
  <c r="BF2" i="19"/>
  <c r="AN92" i="15"/>
  <c r="AN112" i="15"/>
  <c r="AV92" i="15"/>
  <c r="AV112" i="15"/>
  <c r="BD59" i="15"/>
  <c r="BD112" i="15"/>
  <c r="AO92" i="15"/>
  <c r="AO112" i="15"/>
  <c r="AW92" i="15"/>
  <c r="AW112" i="15"/>
  <c r="BE92" i="15"/>
  <c r="BE112" i="15"/>
  <c r="AH70" i="17"/>
  <c r="AH60" i="17"/>
  <c r="AH50" i="17"/>
  <c r="AH66" i="17"/>
  <c r="AH56" i="17"/>
  <c r="AH46" i="17"/>
  <c r="AH72" i="17"/>
  <c r="AH62" i="17"/>
  <c r="AH52" i="17"/>
  <c r="AH69" i="17"/>
  <c r="AH59" i="17"/>
  <c r="AH49" i="17"/>
  <c r="AH65" i="17"/>
  <c r="AH55" i="17"/>
  <c r="AH45" i="17"/>
  <c r="AH71" i="17"/>
  <c r="AH61" i="17"/>
  <c r="AH51" i="17"/>
  <c r="AH74" i="17"/>
  <c r="AH54" i="17"/>
  <c r="AH47" i="17"/>
  <c r="AH64" i="17"/>
  <c r="AH67" i="17"/>
  <c r="AH57" i="17"/>
  <c r="AH44" i="17"/>
  <c r="AP70" i="17"/>
  <c r="AP60" i="17"/>
  <c r="AP50" i="17"/>
  <c r="AP66" i="17"/>
  <c r="AP56" i="17"/>
  <c r="AP46" i="17"/>
  <c r="AP72" i="17"/>
  <c r="AP62" i="17"/>
  <c r="AP52" i="17"/>
  <c r="AP69" i="17"/>
  <c r="AP59" i="17"/>
  <c r="AP49" i="17"/>
  <c r="AP65" i="17"/>
  <c r="AP55" i="17"/>
  <c r="AP45" i="17"/>
  <c r="AP71" i="17"/>
  <c r="AP61" i="17"/>
  <c r="AP51" i="17"/>
  <c r="AP74" i="17"/>
  <c r="AP47" i="17"/>
  <c r="AP64" i="17"/>
  <c r="AP57" i="17"/>
  <c r="AP67" i="17"/>
  <c r="AP44" i="17"/>
  <c r="AP54" i="17"/>
  <c r="AX70" i="17"/>
  <c r="AX60" i="17"/>
  <c r="AX50" i="17"/>
  <c r="AX66" i="17"/>
  <c r="AX56" i="17"/>
  <c r="AX46" i="17"/>
  <c r="AX72" i="17"/>
  <c r="AX62" i="17"/>
  <c r="AX52" i="17"/>
  <c r="AX69" i="17"/>
  <c r="AX59" i="17"/>
  <c r="AX49" i="17"/>
  <c r="AX65" i="17"/>
  <c r="AX55" i="17"/>
  <c r="AX45" i="17"/>
  <c r="AX71" i="17"/>
  <c r="AX61" i="17"/>
  <c r="AX51" i="17"/>
  <c r="AX74" i="17"/>
  <c r="AX57" i="17"/>
  <c r="AX67" i="17"/>
  <c r="AX44" i="17"/>
  <c r="AX54" i="17"/>
  <c r="AX47" i="17"/>
  <c r="AX64" i="17"/>
  <c r="AZ72" i="17"/>
  <c r="AZ62" i="17"/>
  <c r="AZ52" i="17"/>
  <c r="AZ69" i="17"/>
  <c r="AZ59" i="17"/>
  <c r="AZ49" i="17"/>
  <c r="AZ65" i="17"/>
  <c r="AZ55" i="17"/>
  <c r="AZ45" i="17"/>
  <c r="AZ71" i="17"/>
  <c r="AZ61" i="17"/>
  <c r="AZ51" i="17"/>
  <c r="AZ67" i="17"/>
  <c r="AZ57" i="17"/>
  <c r="AZ47" i="17"/>
  <c r="AZ74" i="17"/>
  <c r="AZ64" i="17"/>
  <c r="AZ54" i="17"/>
  <c r="AZ44" i="17"/>
  <c r="AZ66" i="17"/>
  <c r="AZ50" i="17"/>
  <c r="AZ60" i="17"/>
  <c r="AZ70" i="17"/>
  <c r="AZ46" i="17"/>
  <c r="AZ56" i="17"/>
  <c r="BH72" i="17"/>
  <c r="BH62" i="17"/>
  <c r="BH52" i="17"/>
  <c r="BH69" i="17"/>
  <c r="BH59" i="17"/>
  <c r="BH49" i="17"/>
  <c r="BH65" i="17"/>
  <c r="BH55" i="17"/>
  <c r="BH45" i="17"/>
  <c r="BH71" i="17"/>
  <c r="BH61" i="17"/>
  <c r="BH51" i="17"/>
  <c r="BH67" i="17"/>
  <c r="BH57" i="17"/>
  <c r="BH47" i="17"/>
  <c r="BH74" i="17"/>
  <c r="BH64" i="17"/>
  <c r="BH54" i="17"/>
  <c r="BH44" i="17"/>
  <c r="BH66" i="17"/>
  <c r="BH60" i="17"/>
  <c r="BH70" i="17"/>
  <c r="BH46" i="17"/>
  <c r="BH56" i="17"/>
  <c r="BH50" i="17"/>
  <c r="BD92" i="17"/>
  <c r="BD91" i="17"/>
  <c r="BD90" i="17"/>
  <c r="AG3" i="11"/>
  <c r="L37" i="17"/>
  <c r="L36" i="17"/>
  <c r="L35" i="17"/>
  <c r="L111" i="15"/>
  <c r="CF2" i="17"/>
  <c r="CF37" i="17" s="1"/>
  <c r="AO3" i="11"/>
  <c r="T37" i="17"/>
  <c r="T36" i="17"/>
  <c r="T35" i="17"/>
  <c r="T111" i="15"/>
  <c r="CN2" i="17"/>
  <c r="CN37" i="17" s="1"/>
  <c r="AW3" i="11"/>
  <c r="AB37" i="17"/>
  <c r="AB36" i="17"/>
  <c r="AB111" i="15"/>
  <c r="AB35" i="17"/>
  <c r="CV2" i="17"/>
  <c r="CV37" i="17" s="1"/>
  <c r="BE3" i="11"/>
  <c r="AJ37" i="17"/>
  <c r="AJ36" i="17"/>
  <c r="AJ111" i="15"/>
  <c r="AJ35" i="17"/>
  <c r="DD2" i="17"/>
  <c r="DD37" i="17" s="1"/>
  <c r="BM3" i="11"/>
  <c r="AR37" i="17"/>
  <c r="AR36" i="17"/>
  <c r="AR35" i="17"/>
  <c r="AR111" i="15"/>
  <c r="DL2" i="17"/>
  <c r="DL37" i="17" s="1"/>
  <c r="BU3" i="11"/>
  <c r="AZ37" i="17"/>
  <c r="AZ36" i="17"/>
  <c r="AZ35" i="17"/>
  <c r="AZ111" i="15"/>
  <c r="DT2" i="17"/>
  <c r="DT37" i="17" s="1"/>
  <c r="CC3" i="11"/>
  <c r="BH37" i="17"/>
  <c r="BH36" i="17"/>
  <c r="BH35" i="17"/>
  <c r="BH111" i="15"/>
  <c r="BU70" i="17"/>
  <c r="BU60" i="17"/>
  <c r="BU50" i="17"/>
  <c r="BU66" i="17"/>
  <c r="BU72" i="17"/>
  <c r="BU62" i="17"/>
  <c r="BU52" i="17"/>
  <c r="BU69" i="17"/>
  <c r="BU59" i="17"/>
  <c r="BU49" i="17"/>
  <c r="BU65" i="17"/>
  <c r="BU55" i="17"/>
  <c r="BU45" i="17"/>
  <c r="BU71" i="17"/>
  <c r="BU61" i="17"/>
  <c r="BU51" i="17"/>
  <c r="BU67" i="17"/>
  <c r="BU57" i="17"/>
  <c r="BU47" i="17"/>
  <c r="BU27" i="17"/>
  <c r="BU17" i="17"/>
  <c r="BU54" i="17"/>
  <c r="BU33" i="17"/>
  <c r="BU23" i="17"/>
  <c r="BU46" i="17"/>
  <c r="BU42" i="17"/>
  <c r="BU74" i="17" s="1"/>
  <c r="BU30" i="17"/>
  <c r="BU20" i="17"/>
  <c r="BU26" i="17"/>
  <c r="BU56" i="17"/>
  <c r="BU32" i="17"/>
  <c r="BU22" i="17"/>
  <c r="BU28" i="17"/>
  <c r="BU18" i="17"/>
  <c r="BU15" i="17"/>
  <c r="BU5" i="17"/>
  <c r="BU11" i="17"/>
  <c r="BU21" i="17"/>
  <c r="BU7" i="17"/>
  <c r="BU13" i="17"/>
  <c r="BU64" i="17"/>
  <c r="BU44" i="17"/>
  <c r="BU31" i="17"/>
  <c r="BU10" i="17"/>
  <c r="BU25" i="17"/>
  <c r="BU16" i="17"/>
  <c r="BU6" i="17"/>
  <c r="BU8" i="17"/>
  <c r="BU12" i="17"/>
  <c r="CC70" i="17"/>
  <c r="CC60" i="17"/>
  <c r="CC50" i="17"/>
  <c r="CC66" i="17"/>
  <c r="CC72" i="17"/>
  <c r="CC62" i="17"/>
  <c r="CC52" i="17"/>
  <c r="CC69" i="17"/>
  <c r="CC59" i="17"/>
  <c r="CC49" i="17"/>
  <c r="CC65" i="17"/>
  <c r="CC55" i="17"/>
  <c r="CC45" i="17"/>
  <c r="CC71" i="17"/>
  <c r="CC61" i="17"/>
  <c r="CC51" i="17"/>
  <c r="CC67" i="17"/>
  <c r="CC57" i="17"/>
  <c r="CC47" i="17"/>
  <c r="CC46" i="17"/>
  <c r="CC27" i="17"/>
  <c r="CC17" i="17"/>
  <c r="CC33" i="17"/>
  <c r="CC23" i="17"/>
  <c r="CC56" i="17"/>
  <c r="CC42" i="17"/>
  <c r="CC74" i="17" s="1"/>
  <c r="CC30" i="17"/>
  <c r="CC20" i="17"/>
  <c r="CC26" i="17"/>
  <c r="CC32" i="17"/>
  <c r="CC22" i="17"/>
  <c r="CC28" i="17"/>
  <c r="CC18" i="17"/>
  <c r="CC21" i="17"/>
  <c r="CC15" i="17"/>
  <c r="CC5" i="17"/>
  <c r="CC11" i="17"/>
  <c r="CC44" i="17"/>
  <c r="CC31" i="17"/>
  <c r="CC7" i="17"/>
  <c r="CC64" i="17"/>
  <c r="CC25" i="17"/>
  <c r="CC13" i="17"/>
  <c r="CC54" i="17"/>
  <c r="CC10" i="17"/>
  <c r="CC6" i="17"/>
  <c r="CC16" i="17"/>
  <c r="CC8" i="17"/>
  <c r="CC12" i="17"/>
  <c r="CK70" i="17"/>
  <c r="CK60" i="17"/>
  <c r="CK50" i="17"/>
  <c r="CK66" i="17"/>
  <c r="CK72" i="17"/>
  <c r="CK62" i="17"/>
  <c r="CK52" i="17"/>
  <c r="CK69" i="17"/>
  <c r="CK59" i="17"/>
  <c r="CK49" i="17"/>
  <c r="CK65" i="17"/>
  <c r="CK55" i="17"/>
  <c r="CK45" i="17"/>
  <c r="CK71" i="17"/>
  <c r="CK61" i="17"/>
  <c r="CK51" i="17"/>
  <c r="CK67" i="17"/>
  <c r="CK57" i="17"/>
  <c r="CK47" i="17"/>
  <c r="CK56" i="17"/>
  <c r="CK27" i="17"/>
  <c r="CK17" i="17"/>
  <c r="CK33" i="17"/>
  <c r="CK23" i="17"/>
  <c r="CK42" i="17"/>
  <c r="CK74" i="17" s="1"/>
  <c r="CK30" i="17"/>
  <c r="CK20" i="17"/>
  <c r="CK26" i="17"/>
  <c r="CK32" i="17"/>
  <c r="CK22" i="17"/>
  <c r="CK64" i="17"/>
  <c r="CK54" i="17"/>
  <c r="CK28" i="17"/>
  <c r="CK18" i="17"/>
  <c r="CK44" i="17"/>
  <c r="CK31" i="17"/>
  <c r="CK15" i="17"/>
  <c r="CK5" i="17"/>
  <c r="CK46" i="17"/>
  <c r="CK25" i="17"/>
  <c r="CK11" i="17"/>
  <c r="CK7" i="17"/>
  <c r="CK16" i="17"/>
  <c r="CK13" i="17"/>
  <c r="CK10" i="17"/>
  <c r="CK6" i="17"/>
  <c r="CK8" i="17"/>
  <c r="CK21" i="17"/>
  <c r="CK12" i="17"/>
  <c r="CS70" i="17"/>
  <c r="CS60" i="17"/>
  <c r="CS50" i="17"/>
  <c r="CS66" i="17"/>
  <c r="CS72" i="17"/>
  <c r="CS62" i="17"/>
  <c r="CS52" i="17"/>
  <c r="CS69" i="17"/>
  <c r="CS59" i="17"/>
  <c r="CS49" i="17"/>
  <c r="CS65" i="17"/>
  <c r="CS55" i="17"/>
  <c r="CS45" i="17"/>
  <c r="CS71" i="17"/>
  <c r="CS61" i="17"/>
  <c r="CS51" i="17"/>
  <c r="CS67" i="17"/>
  <c r="CS57" i="17"/>
  <c r="CS47" i="17"/>
  <c r="CS27" i="17"/>
  <c r="CS17" i="17"/>
  <c r="CS33" i="17"/>
  <c r="CS23" i="17"/>
  <c r="CS42" i="17"/>
  <c r="CS74" i="17" s="1"/>
  <c r="CS30" i="17"/>
  <c r="CS20" i="17"/>
  <c r="CS54" i="17"/>
  <c r="CS26" i="17"/>
  <c r="CS64" i="17"/>
  <c r="CS46" i="17"/>
  <c r="CS32" i="17"/>
  <c r="CS22" i="17"/>
  <c r="CS28" i="17"/>
  <c r="CS18" i="17"/>
  <c r="CS16" i="17"/>
  <c r="CS15" i="17"/>
  <c r="CS5" i="17"/>
  <c r="CS11" i="17"/>
  <c r="CS7" i="17"/>
  <c r="CS56" i="17"/>
  <c r="CS13" i="17"/>
  <c r="CS21" i="17"/>
  <c r="CS10" i="17"/>
  <c r="CS6" i="17"/>
  <c r="CS25" i="17"/>
  <c r="CS8" i="17"/>
  <c r="CS31" i="17"/>
  <c r="CS12" i="17"/>
  <c r="CS44" i="17"/>
  <c r="DA70" i="17"/>
  <c r="DA60" i="17"/>
  <c r="DA50" i="17"/>
  <c r="DA66" i="17"/>
  <c r="DA72" i="17"/>
  <c r="DA62" i="17"/>
  <c r="DA52" i="17"/>
  <c r="DA69" i="17"/>
  <c r="DA59" i="17"/>
  <c r="DA49" i="17"/>
  <c r="DA65" i="17"/>
  <c r="DA55" i="17"/>
  <c r="DA45" i="17"/>
  <c r="DA71" i="17"/>
  <c r="DA61" i="17"/>
  <c r="DA51" i="17"/>
  <c r="DA67" i="17"/>
  <c r="DA57" i="17"/>
  <c r="DA47" i="17"/>
  <c r="DA27" i="17"/>
  <c r="DA17" i="17"/>
  <c r="DA54" i="17"/>
  <c r="DA33" i="17"/>
  <c r="DA23" i="17"/>
  <c r="DA46" i="17"/>
  <c r="DA42" i="17"/>
  <c r="DA74" i="17" s="1"/>
  <c r="DA30" i="17"/>
  <c r="DA20" i="17"/>
  <c r="DA64" i="17"/>
  <c r="DA26" i="17"/>
  <c r="DA56" i="17"/>
  <c r="DA32" i="17"/>
  <c r="DA22" i="17"/>
  <c r="DA28" i="17"/>
  <c r="DA18" i="17"/>
  <c r="DA15" i="17"/>
  <c r="DA5" i="17"/>
  <c r="DA11" i="17"/>
  <c r="DA21" i="17"/>
  <c r="DA7" i="17"/>
  <c r="DA13" i="17"/>
  <c r="DA44" i="17"/>
  <c r="DA31" i="17"/>
  <c r="DA10" i="17"/>
  <c r="DA25" i="17"/>
  <c r="DA16" i="17"/>
  <c r="DA6" i="17"/>
  <c r="DA8" i="17"/>
  <c r="DA12" i="17"/>
  <c r="DI70" i="17"/>
  <c r="DI60" i="17"/>
  <c r="DI50" i="17"/>
  <c r="DI66" i="17"/>
  <c r="DI72" i="17"/>
  <c r="DI62" i="17"/>
  <c r="DI52" i="17"/>
  <c r="DI69" i="17"/>
  <c r="DI59" i="17"/>
  <c r="DI49" i="17"/>
  <c r="DI65" i="17"/>
  <c r="DI55" i="17"/>
  <c r="DI45" i="17"/>
  <c r="DI71" i="17"/>
  <c r="DI61" i="17"/>
  <c r="DI51" i="17"/>
  <c r="DI67" i="17"/>
  <c r="DI57" i="17"/>
  <c r="DI47" i="17"/>
  <c r="DI46" i="17"/>
  <c r="DI27" i="17"/>
  <c r="DI17" i="17"/>
  <c r="DI33" i="17"/>
  <c r="DI23" i="17"/>
  <c r="DI64" i="17"/>
  <c r="DI56" i="17"/>
  <c r="DI42" i="17"/>
  <c r="DI74" i="17" s="1"/>
  <c r="DI30" i="17"/>
  <c r="DI20" i="17"/>
  <c r="DI26" i="17"/>
  <c r="DI32" i="17"/>
  <c r="DI22" i="17"/>
  <c r="DI28" i="17"/>
  <c r="DI18" i="17"/>
  <c r="DI21" i="17"/>
  <c r="DI15" i="17"/>
  <c r="DI5" i="17"/>
  <c r="DI11" i="17"/>
  <c r="DI54" i="17"/>
  <c r="DI44" i="17"/>
  <c r="DI31" i="17"/>
  <c r="DI16" i="17"/>
  <c r="DI7" i="17"/>
  <c r="DI25" i="17"/>
  <c r="DI13" i="17"/>
  <c r="DI10" i="17"/>
  <c r="DI6" i="17"/>
  <c r="DI8" i="17"/>
  <c r="DI12" i="17"/>
  <c r="DQ70" i="17"/>
  <c r="DQ60" i="17"/>
  <c r="DQ50" i="17"/>
  <c r="DQ66" i="17"/>
  <c r="DQ72" i="17"/>
  <c r="DQ62" i="17"/>
  <c r="DQ52" i="17"/>
  <c r="DQ69" i="17"/>
  <c r="DQ59" i="17"/>
  <c r="DQ49" i="17"/>
  <c r="DQ65" i="17"/>
  <c r="DQ55" i="17"/>
  <c r="DQ45" i="17"/>
  <c r="DQ71" i="17"/>
  <c r="DQ61" i="17"/>
  <c r="DQ51" i="17"/>
  <c r="DQ67" i="17"/>
  <c r="DQ57" i="17"/>
  <c r="DQ47" i="17"/>
  <c r="DQ56" i="17"/>
  <c r="DQ27" i="17"/>
  <c r="DQ17" i="17"/>
  <c r="DQ64" i="17"/>
  <c r="DQ33" i="17"/>
  <c r="DQ23" i="17"/>
  <c r="DQ42" i="17"/>
  <c r="DQ74" i="17" s="1"/>
  <c r="DQ30" i="17"/>
  <c r="DQ20" i="17"/>
  <c r="DQ26" i="17"/>
  <c r="DQ32" i="17"/>
  <c r="DQ22" i="17"/>
  <c r="DQ54" i="17"/>
  <c r="DQ28" i="17"/>
  <c r="DQ18" i="17"/>
  <c r="DQ44" i="17"/>
  <c r="DQ31" i="17"/>
  <c r="DQ15" i="17"/>
  <c r="DQ5" i="17"/>
  <c r="DQ25" i="17"/>
  <c r="DQ11" i="17"/>
  <c r="DQ7" i="17"/>
  <c r="DQ13" i="17"/>
  <c r="DQ10" i="17"/>
  <c r="DQ6" i="17"/>
  <c r="DQ46" i="17"/>
  <c r="DQ16" i="17"/>
  <c r="DQ8" i="17"/>
  <c r="DQ12" i="17"/>
  <c r="DQ21" i="17"/>
  <c r="BX2" i="17"/>
  <c r="BX37" i="17" s="1"/>
  <c r="L2" i="19"/>
  <c r="T2" i="19"/>
  <c r="AB2" i="19"/>
  <c r="AJ2" i="19"/>
  <c r="AR2" i="19"/>
  <c r="AZ2" i="19"/>
  <c r="BH2" i="19"/>
  <c r="AP92" i="15"/>
  <c r="AP112" i="15"/>
  <c r="AX92" i="15"/>
  <c r="AX112" i="15"/>
  <c r="BF92" i="15"/>
  <c r="BF112" i="15"/>
  <c r="AQ92" i="15"/>
  <c r="AQ112" i="15"/>
  <c r="AY92" i="15"/>
  <c r="AY112" i="15"/>
  <c r="BG92" i="15"/>
  <c r="BG112" i="15"/>
  <c r="AE71" i="17"/>
  <c r="AE61" i="17"/>
  <c r="AE51" i="17"/>
  <c r="AE67" i="17"/>
  <c r="AE57" i="17"/>
  <c r="AE47" i="17"/>
  <c r="AE74" i="17"/>
  <c r="AE64" i="17"/>
  <c r="AE54" i="17"/>
  <c r="AE44" i="17"/>
  <c r="AE70" i="17"/>
  <c r="AE60" i="17"/>
  <c r="AE50" i="17"/>
  <c r="AE66" i="17"/>
  <c r="AE56" i="17"/>
  <c r="AE46" i="17"/>
  <c r="AE72" i="17"/>
  <c r="AE62" i="17"/>
  <c r="AE52" i="17"/>
  <c r="AE45" i="17"/>
  <c r="AE55" i="17"/>
  <c r="AE49" i="17"/>
  <c r="AE69" i="17"/>
  <c r="AE65" i="17"/>
  <c r="AE59" i="17"/>
  <c r="AU71" i="17"/>
  <c r="AU61" i="17"/>
  <c r="AU51" i="17"/>
  <c r="AU67" i="17"/>
  <c r="AU57" i="17"/>
  <c r="AU47" i="17"/>
  <c r="AU74" i="17"/>
  <c r="AU64" i="17"/>
  <c r="AU54" i="17"/>
  <c r="AU44" i="17"/>
  <c r="AU70" i="17"/>
  <c r="AU60" i="17"/>
  <c r="AU50" i="17"/>
  <c r="AU66" i="17"/>
  <c r="AU56" i="17"/>
  <c r="AU46" i="17"/>
  <c r="AU72" i="17"/>
  <c r="AU62" i="17"/>
  <c r="AU52" i="17"/>
  <c r="AU65" i="17"/>
  <c r="AU49" i="17"/>
  <c r="AU59" i="17"/>
  <c r="AU69" i="17"/>
  <c r="AU45" i="17"/>
  <c r="AU55" i="17"/>
  <c r="BE74" i="17"/>
  <c r="BE64" i="17"/>
  <c r="BE54" i="17"/>
  <c r="BE44" i="17"/>
  <c r="BE70" i="17"/>
  <c r="BE60" i="17"/>
  <c r="BE50" i="17"/>
  <c r="BE66" i="17"/>
  <c r="BE56" i="17"/>
  <c r="BE46" i="17"/>
  <c r="BE72" i="17"/>
  <c r="BE62" i="17"/>
  <c r="BE52" i="17"/>
  <c r="BE69" i="17"/>
  <c r="BE59" i="17"/>
  <c r="BE49" i="17"/>
  <c r="BE65" i="17"/>
  <c r="BE55" i="17"/>
  <c r="BE45" i="17"/>
  <c r="BE67" i="17"/>
  <c r="BE51" i="17"/>
  <c r="BE61" i="17"/>
  <c r="BE71" i="17"/>
  <c r="BE47" i="17"/>
  <c r="BE57" i="17"/>
  <c r="BU2" i="17"/>
  <c r="BU37" i="17" s="1"/>
  <c r="AD3" i="11"/>
  <c r="I37" i="17"/>
  <c r="I36" i="17"/>
  <c r="I111" i="15"/>
  <c r="I35" i="17"/>
  <c r="CC2" i="17"/>
  <c r="CC37" i="17" s="1"/>
  <c r="AL3" i="11"/>
  <c r="Q37" i="17"/>
  <c r="Q36" i="17"/>
  <c r="Q111" i="15"/>
  <c r="Q35" i="17"/>
  <c r="CS2" i="17"/>
  <c r="CS37" i="17" s="1"/>
  <c r="BB3" i="11"/>
  <c r="AG37" i="17"/>
  <c r="AG36" i="17"/>
  <c r="AG111" i="15"/>
  <c r="AG35" i="17"/>
  <c r="DQ2" i="17"/>
  <c r="DQ37" i="17" s="1"/>
  <c r="BZ3" i="11"/>
  <c r="BE37" i="17"/>
  <c r="BE36" i="17"/>
  <c r="BE111" i="15"/>
  <c r="BE35" i="17"/>
  <c r="BZ71" i="17"/>
  <c r="BZ61" i="17"/>
  <c r="BZ51" i="17"/>
  <c r="BZ67" i="17"/>
  <c r="BZ64" i="17"/>
  <c r="BZ54" i="17"/>
  <c r="BZ70" i="17"/>
  <c r="BZ60" i="17"/>
  <c r="BZ50" i="17"/>
  <c r="BZ66" i="17"/>
  <c r="BZ56" i="17"/>
  <c r="BZ46" i="17"/>
  <c r="BZ72" i="17"/>
  <c r="BZ62" i="17"/>
  <c r="BZ52" i="17"/>
  <c r="BZ69" i="17"/>
  <c r="BZ59" i="17"/>
  <c r="BZ49" i="17"/>
  <c r="BZ28" i="17"/>
  <c r="BZ18" i="17"/>
  <c r="BZ55" i="17"/>
  <c r="BZ25" i="17"/>
  <c r="BZ47" i="17"/>
  <c r="BZ44" i="17"/>
  <c r="BZ31" i="17"/>
  <c r="BZ21" i="17"/>
  <c r="BZ27" i="17"/>
  <c r="BZ57" i="17"/>
  <c r="BZ33" i="17"/>
  <c r="BZ23" i="17"/>
  <c r="BZ42" i="17"/>
  <c r="BZ74" i="17" s="1"/>
  <c r="BZ30" i="17"/>
  <c r="BZ20" i="17"/>
  <c r="BZ16" i="17"/>
  <c r="BZ6" i="17"/>
  <c r="BZ17" i="17"/>
  <c r="BZ12" i="17"/>
  <c r="BZ65" i="17"/>
  <c r="BZ22" i="17"/>
  <c r="BZ8" i="17"/>
  <c r="BZ15" i="17"/>
  <c r="BZ5" i="17"/>
  <c r="BZ32" i="17"/>
  <c r="BZ11" i="17"/>
  <c r="BZ26" i="17"/>
  <c r="BZ7" i="17"/>
  <c r="BZ10" i="17"/>
  <c r="BZ13" i="17"/>
  <c r="BZ45" i="17"/>
  <c r="CP71" i="17"/>
  <c r="CP61" i="17"/>
  <c r="CP51" i="17"/>
  <c r="CP67" i="17"/>
  <c r="CP64" i="17"/>
  <c r="CP54" i="17"/>
  <c r="CP70" i="17"/>
  <c r="CP60" i="17"/>
  <c r="CP50" i="17"/>
  <c r="CP66" i="17"/>
  <c r="CP56" i="17"/>
  <c r="CP46" i="17"/>
  <c r="CP72" i="17"/>
  <c r="CP62" i="17"/>
  <c r="CP52" i="17"/>
  <c r="CP69" i="17"/>
  <c r="CP59" i="17"/>
  <c r="CP49" i="17"/>
  <c r="CP57" i="17"/>
  <c r="CP28" i="17"/>
  <c r="CP18" i="17"/>
  <c r="CP25" i="17"/>
  <c r="CP44" i="17"/>
  <c r="CP31" i="17"/>
  <c r="CP21" i="17"/>
  <c r="CP45" i="17"/>
  <c r="CP27" i="17"/>
  <c r="CP33" i="17"/>
  <c r="CP23" i="17"/>
  <c r="CP65" i="17"/>
  <c r="CP55" i="17"/>
  <c r="CP42" i="17"/>
  <c r="CP74" i="17" s="1"/>
  <c r="CP30" i="17"/>
  <c r="CP20" i="17"/>
  <c r="CP32" i="17"/>
  <c r="CP6" i="17"/>
  <c r="CP26" i="17"/>
  <c r="CP16" i="17"/>
  <c r="CP12" i="17"/>
  <c r="CP8" i="17"/>
  <c r="CP17" i="17"/>
  <c r="CP15" i="17"/>
  <c r="CP5" i="17"/>
  <c r="CP11" i="17"/>
  <c r="CP47" i="17"/>
  <c r="CP7" i="17"/>
  <c r="CP10" i="17"/>
  <c r="CP22" i="17"/>
  <c r="CP13" i="17"/>
  <c r="DF71" i="17"/>
  <c r="DF61" i="17"/>
  <c r="DF51" i="17"/>
  <c r="DF67" i="17"/>
  <c r="DF64" i="17"/>
  <c r="DF54" i="17"/>
  <c r="DF70" i="17"/>
  <c r="DF60" i="17"/>
  <c r="DF50" i="17"/>
  <c r="DF66" i="17"/>
  <c r="DF56" i="17"/>
  <c r="DF46" i="17"/>
  <c r="DF72" i="17"/>
  <c r="DF62" i="17"/>
  <c r="DF52" i="17"/>
  <c r="DF69" i="17"/>
  <c r="DF59" i="17"/>
  <c r="DF49" i="17"/>
  <c r="DF28" i="17"/>
  <c r="DF18" i="17"/>
  <c r="DF55" i="17"/>
  <c r="DF25" i="17"/>
  <c r="DF47" i="17"/>
  <c r="DF44" i="17"/>
  <c r="DF36" i="17"/>
  <c r="DF31" i="17"/>
  <c r="DF21" i="17"/>
  <c r="DF65" i="17"/>
  <c r="DF27" i="17"/>
  <c r="DF57" i="17"/>
  <c r="DF33" i="17"/>
  <c r="DF23" i="17"/>
  <c r="DF42" i="17"/>
  <c r="DF74" i="17" s="1"/>
  <c r="DF30" i="17"/>
  <c r="DF20" i="17"/>
  <c r="DF6" i="17"/>
  <c r="DF12" i="17"/>
  <c r="DF22" i="17"/>
  <c r="DF8" i="17"/>
  <c r="DF16" i="17"/>
  <c r="DF15" i="17"/>
  <c r="DF5" i="17"/>
  <c r="DF45" i="17"/>
  <c r="DF32" i="17"/>
  <c r="DF11" i="17"/>
  <c r="DF26" i="17"/>
  <c r="DF17" i="17"/>
  <c r="DF7" i="17"/>
  <c r="DF10" i="17"/>
  <c r="DF13" i="17"/>
  <c r="DV71" i="17"/>
  <c r="DV61" i="17"/>
  <c r="DV51" i="17"/>
  <c r="DV67" i="17"/>
  <c r="DV64" i="17"/>
  <c r="DV54" i="17"/>
  <c r="DV70" i="17"/>
  <c r="DV60" i="17"/>
  <c r="DV50" i="17"/>
  <c r="DV66" i="17"/>
  <c r="DV56" i="17"/>
  <c r="DV46" i="17"/>
  <c r="DV72" i="17"/>
  <c r="DV62" i="17"/>
  <c r="DV52" i="17"/>
  <c r="DV69" i="17"/>
  <c r="DV59" i="17"/>
  <c r="DV49" i="17"/>
  <c r="DV57" i="17"/>
  <c r="DV28" i="17"/>
  <c r="DV18" i="17"/>
  <c r="DV65" i="17"/>
  <c r="DV25" i="17"/>
  <c r="DV36" i="17"/>
  <c r="DV31" i="17"/>
  <c r="DV21" i="17"/>
  <c r="DV45" i="17"/>
  <c r="DV44" i="17"/>
  <c r="DV27" i="17"/>
  <c r="DV17" i="17"/>
  <c r="DV33" i="17"/>
  <c r="DV23" i="17"/>
  <c r="DV55" i="17"/>
  <c r="DV42" i="17"/>
  <c r="DV74" i="17" s="1"/>
  <c r="DV30" i="17"/>
  <c r="DV20" i="17"/>
  <c r="DV32" i="17"/>
  <c r="DV6" i="17"/>
  <c r="DV26" i="17"/>
  <c r="DV12" i="17"/>
  <c r="DV8" i="17"/>
  <c r="DV47" i="17"/>
  <c r="DV15" i="17"/>
  <c r="DV5" i="17"/>
  <c r="DV11" i="17"/>
  <c r="DV16" i="17"/>
  <c r="DV7" i="17"/>
  <c r="DV10" i="17"/>
  <c r="DV13" i="17"/>
  <c r="DV22" i="17"/>
  <c r="BE2" i="19"/>
  <c r="AM92" i="15"/>
  <c r="AM112" i="15"/>
  <c r="AW74" i="17"/>
  <c r="AW64" i="17"/>
  <c r="AW54" i="17"/>
  <c r="AW44" i="17"/>
  <c r="AW70" i="17"/>
  <c r="AW60" i="17"/>
  <c r="AW50" i="17"/>
  <c r="AW66" i="17"/>
  <c r="AW56" i="17"/>
  <c r="AW46" i="17"/>
  <c r="AW72" i="17"/>
  <c r="AW62" i="17"/>
  <c r="AW52" i="17"/>
  <c r="AW69" i="17"/>
  <c r="AW59" i="17"/>
  <c r="AW49" i="17"/>
  <c r="AW65" i="17"/>
  <c r="AW55" i="17"/>
  <c r="AW45" i="17"/>
  <c r="AW67" i="17"/>
  <c r="AW57" i="17"/>
  <c r="AW51" i="17"/>
  <c r="AW71" i="17"/>
  <c r="AW61" i="17"/>
  <c r="AW47" i="17"/>
  <c r="BC90" i="17"/>
  <c r="BC91" i="17"/>
  <c r="BC92" i="17"/>
  <c r="CE2" i="17"/>
  <c r="CE37" i="17" s="1"/>
  <c r="AN3" i="11"/>
  <c r="S37" i="17"/>
  <c r="S36" i="17"/>
  <c r="S111" i="15"/>
  <c r="S35" i="17"/>
  <c r="DC2" i="17"/>
  <c r="DC37" i="17" s="1"/>
  <c r="BL3" i="11"/>
  <c r="AQ37" i="17"/>
  <c r="AQ36" i="17"/>
  <c r="AQ111" i="15"/>
  <c r="AQ35" i="17"/>
  <c r="BT64" i="17"/>
  <c r="BT54" i="17"/>
  <c r="BT70" i="17"/>
  <c r="BT66" i="17"/>
  <c r="BT56" i="17"/>
  <c r="BT46" i="17"/>
  <c r="BT72" i="17"/>
  <c r="BT62" i="17"/>
  <c r="BT52" i="17"/>
  <c r="BT69" i="17"/>
  <c r="BT59" i="17"/>
  <c r="BT49" i="17"/>
  <c r="BT65" i="17"/>
  <c r="BT55" i="17"/>
  <c r="BT45" i="17"/>
  <c r="BT71" i="17"/>
  <c r="BT61" i="17"/>
  <c r="BT51" i="17"/>
  <c r="BT60" i="17"/>
  <c r="BT44" i="17"/>
  <c r="BT31" i="17"/>
  <c r="BT21" i="17"/>
  <c r="BT67" i="17"/>
  <c r="BT27" i="17"/>
  <c r="BT17" i="17"/>
  <c r="BT33" i="17"/>
  <c r="BT23" i="17"/>
  <c r="BT47" i="17"/>
  <c r="BT42" i="17"/>
  <c r="BT74" i="17" s="1"/>
  <c r="BT30" i="17"/>
  <c r="BT20" i="17"/>
  <c r="BT26" i="17"/>
  <c r="BT57" i="17"/>
  <c r="BT32" i="17"/>
  <c r="BT22" i="17"/>
  <c r="BT8" i="17"/>
  <c r="BT28" i="17"/>
  <c r="BT15" i="17"/>
  <c r="BT5" i="17"/>
  <c r="BT11" i="17"/>
  <c r="BT7" i="17"/>
  <c r="BT13" i="17"/>
  <c r="BT10" i="17"/>
  <c r="BT50" i="17"/>
  <c r="BT18" i="17"/>
  <c r="BT12" i="17"/>
  <c r="BT16" i="17"/>
  <c r="BT25" i="17"/>
  <c r="BT6" i="17"/>
  <c r="CR64" i="17"/>
  <c r="CR54" i="17"/>
  <c r="CR70" i="17"/>
  <c r="CR60" i="17"/>
  <c r="CR66" i="17"/>
  <c r="CR56" i="17"/>
  <c r="CR46" i="17"/>
  <c r="CR72" i="17"/>
  <c r="CR62" i="17"/>
  <c r="CR52" i="17"/>
  <c r="CR69" i="17"/>
  <c r="CR59" i="17"/>
  <c r="CR49" i="17"/>
  <c r="CR65" i="17"/>
  <c r="CR55" i="17"/>
  <c r="CR45" i="17"/>
  <c r="CR71" i="17"/>
  <c r="CR61" i="17"/>
  <c r="CR51" i="17"/>
  <c r="CR50" i="17"/>
  <c r="CR44" i="17"/>
  <c r="CR31" i="17"/>
  <c r="CR21" i="17"/>
  <c r="CR27" i="17"/>
  <c r="CR17" i="17"/>
  <c r="CR33" i="17"/>
  <c r="CR23" i="17"/>
  <c r="CR42" i="17"/>
  <c r="CR74" i="17" s="1"/>
  <c r="CR30" i="17"/>
  <c r="CR20" i="17"/>
  <c r="CR26" i="17"/>
  <c r="CR16" i="17"/>
  <c r="CR47" i="17"/>
  <c r="CR32" i="17"/>
  <c r="CR22" i="17"/>
  <c r="CR57" i="17"/>
  <c r="CR25" i="17"/>
  <c r="CR8" i="17"/>
  <c r="CR18" i="17"/>
  <c r="CR15" i="17"/>
  <c r="CR5" i="17"/>
  <c r="CR11" i="17"/>
  <c r="CR28" i="17"/>
  <c r="CR7" i="17"/>
  <c r="CR13" i="17"/>
  <c r="CR67" i="17"/>
  <c r="CR10" i="17"/>
  <c r="CR12" i="17"/>
  <c r="CR6" i="17"/>
  <c r="DH64" i="17"/>
  <c r="DH54" i="17"/>
  <c r="DH70" i="17"/>
  <c r="DH60" i="17"/>
  <c r="DH66" i="17"/>
  <c r="DH56" i="17"/>
  <c r="DH46" i="17"/>
  <c r="DH72" i="17"/>
  <c r="DH62" i="17"/>
  <c r="DH52" i="17"/>
  <c r="DH69" i="17"/>
  <c r="DH59" i="17"/>
  <c r="DH49" i="17"/>
  <c r="DH65" i="17"/>
  <c r="DH55" i="17"/>
  <c r="DH45" i="17"/>
  <c r="DH71" i="17"/>
  <c r="DH61" i="17"/>
  <c r="DH51" i="17"/>
  <c r="DH44" i="17"/>
  <c r="DH31" i="17"/>
  <c r="DH21" i="17"/>
  <c r="DH47" i="17"/>
  <c r="DH27" i="17"/>
  <c r="DH17" i="17"/>
  <c r="DH33" i="17"/>
  <c r="DH23" i="17"/>
  <c r="DH57" i="17"/>
  <c r="DH42" i="17"/>
  <c r="DH74" i="17" s="1"/>
  <c r="DH30" i="17"/>
  <c r="DH20" i="17"/>
  <c r="DH67" i="17"/>
  <c r="DH50" i="17"/>
  <c r="DH26" i="17"/>
  <c r="DH16" i="17"/>
  <c r="DH32" i="17"/>
  <c r="DH22" i="17"/>
  <c r="DH8" i="17"/>
  <c r="DH15" i="17"/>
  <c r="DH5" i="17"/>
  <c r="DH11" i="17"/>
  <c r="DH7" i="17"/>
  <c r="DH25" i="17"/>
  <c r="DH13" i="17"/>
  <c r="DH18" i="17"/>
  <c r="DH10" i="17"/>
  <c r="DH28" i="17"/>
  <c r="DH12" i="17"/>
  <c r="DH6" i="17"/>
  <c r="AI66" i="17"/>
  <c r="AI56" i="17"/>
  <c r="AI46" i="17"/>
  <c r="AI72" i="17"/>
  <c r="AI62" i="17"/>
  <c r="AI52" i="17"/>
  <c r="AI69" i="17"/>
  <c r="AI59" i="17"/>
  <c r="AI49" i="17"/>
  <c r="AI65" i="17"/>
  <c r="AI55" i="17"/>
  <c r="AI45" i="17"/>
  <c r="AI71" i="17"/>
  <c r="AI61" i="17"/>
  <c r="AI51" i="17"/>
  <c r="AI67" i="17"/>
  <c r="AI57" i="17"/>
  <c r="AI47" i="17"/>
  <c r="AI70" i="17"/>
  <c r="AI54" i="17"/>
  <c r="AI64" i="17"/>
  <c r="AI50" i="17"/>
  <c r="AI44" i="17"/>
  <c r="AI74" i="17"/>
  <c r="AI60" i="17"/>
  <c r="BE41" i="17"/>
  <c r="CO2" i="17"/>
  <c r="CO37" i="17" s="1"/>
  <c r="AX3" i="11"/>
  <c r="AC36" i="17"/>
  <c r="AC37" i="17"/>
  <c r="AC111" i="15"/>
  <c r="AC35" i="17"/>
  <c r="DM2" i="17"/>
  <c r="DM37" i="17" s="1"/>
  <c r="BV3" i="11"/>
  <c r="BA36" i="17"/>
  <c r="BA37" i="17"/>
  <c r="BA111" i="15"/>
  <c r="BA35" i="17"/>
  <c r="BV66" i="17"/>
  <c r="BV56" i="17"/>
  <c r="BV46" i="17"/>
  <c r="BV72" i="17"/>
  <c r="BV62" i="17"/>
  <c r="BV69" i="17"/>
  <c r="BV59" i="17"/>
  <c r="BV49" i="17"/>
  <c r="BV65" i="17"/>
  <c r="BV55" i="17"/>
  <c r="BV45" i="17"/>
  <c r="BV71" i="17"/>
  <c r="BV61" i="17"/>
  <c r="BV51" i="17"/>
  <c r="BV67" i="17"/>
  <c r="BV57" i="17"/>
  <c r="BV47" i="17"/>
  <c r="BV64" i="17"/>
  <c r="BV54" i="17"/>
  <c r="BV52" i="17"/>
  <c r="BV33" i="17"/>
  <c r="BV23" i="17"/>
  <c r="BV42" i="17"/>
  <c r="BV74" i="17" s="1"/>
  <c r="BV30" i="17"/>
  <c r="BV20" i="17"/>
  <c r="BV70" i="17"/>
  <c r="BV26" i="17"/>
  <c r="BV32" i="17"/>
  <c r="BV22" i="17"/>
  <c r="BV28" i="17"/>
  <c r="BV18" i="17"/>
  <c r="BV50" i="17"/>
  <c r="BV25" i="17"/>
  <c r="BV27" i="17"/>
  <c r="BV11" i="17"/>
  <c r="BV21" i="17"/>
  <c r="BV7" i="17"/>
  <c r="BV60" i="17"/>
  <c r="BV13" i="17"/>
  <c r="BV44" i="17"/>
  <c r="BV31" i="17"/>
  <c r="BV17" i="17"/>
  <c r="BV10" i="17"/>
  <c r="BV16" i="17"/>
  <c r="BV6" i="17"/>
  <c r="BV12" i="17"/>
  <c r="BV15" i="17"/>
  <c r="BV5" i="17"/>
  <c r="BV8" i="17"/>
  <c r="CT66" i="17"/>
  <c r="CT56" i="17"/>
  <c r="CT46" i="17"/>
  <c r="CT72" i="17"/>
  <c r="CT62" i="17"/>
  <c r="CT69" i="17"/>
  <c r="CT59" i="17"/>
  <c r="CT49" i="17"/>
  <c r="CT65" i="17"/>
  <c r="CT55" i="17"/>
  <c r="CT45" i="17"/>
  <c r="CT71" i="17"/>
  <c r="CT61" i="17"/>
  <c r="CT51" i="17"/>
  <c r="CT67" i="17"/>
  <c r="CT57" i="17"/>
  <c r="CT47" i="17"/>
  <c r="CT64" i="17"/>
  <c r="CT54" i="17"/>
  <c r="CT33" i="17"/>
  <c r="CT23" i="17"/>
  <c r="CT42" i="17"/>
  <c r="CT74" i="17" s="1"/>
  <c r="CT30" i="17"/>
  <c r="CT20" i="17"/>
  <c r="CT60" i="17"/>
  <c r="CT52" i="17"/>
  <c r="CT26" i="17"/>
  <c r="CT16" i="17"/>
  <c r="CT32" i="17"/>
  <c r="CT22" i="17"/>
  <c r="CT28" i="17"/>
  <c r="CT18" i="17"/>
  <c r="CT25" i="17"/>
  <c r="CT11" i="17"/>
  <c r="CT7" i="17"/>
  <c r="CT70" i="17"/>
  <c r="CT27" i="17"/>
  <c r="CT17" i="17"/>
  <c r="CT13" i="17"/>
  <c r="CT21" i="17"/>
  <c r="CT10" i="17"/>
  <c r="CT6" i="17"/>
  <c r="CT44" i="17"/>
  <c r="CT31" i="17"/>
  <c r="CT12" i="17"/>
  <c r="CT15" i="17"/>
  <c r="CT5" i="17"/>
  <c r="CT50" i="17"/>
  <c r="CT8" i="17"/>
  <c r="DR66" i="17"/>
  <c r="DR56" i="17"/>
  <c r="DR46" i="17"/>
  <c r="DR72" i="17"/>
  <c r="DR62" i="17"/>
  <c r="DR69" i="17"/>
  <c r="DR59" i="17"/>
  <c r="DR49" i="17"/>
  <c r="DR65" i="17"/>
  <c r="DR55" i="17"/>
  <c r="DR45" i="17"/>
  <c r="DR71" i="17"/>
  <c r="DR61" i="17"/>
  <c r="DR51" i="17"/>
  <c r="DR67" i="17"/>
  <c r="DR57" i="17"/>
  <c r="DR47" i="17"/>
  <c r="DR64" i="17"/>
  <c r="DR54" i="17"/>
  <c r="DR33" i="17"/>
  <c r="DR23" i="17"/>
  <c r="DR50" i="17"/>
  <c r="DR42" i="17"/>
  <c r="DR74" i="17" s="1"/>
  <c r="DR30" i="17"/>
  <c r="DR20" i="17"/>
  <c r="DR26" i="17"/>
  <c r="DR16" i="17"/>
  <c r="DR32" i="17"/>
  <c r="DR22" i="17"/>
  <c r="DR70" i="17"/>
  <c r="DR52" i="17"/>
  <c r="DR28" i="17"/>
  <c r="DR18" i="17"/>
  <c r="DR25" i="17"/>
  <c r="DR60" i="17"/>
  <c r="DR11" i="17"/>
  <c r="DR7" i="17"/>
  <c r="DR17" i="17"/>
  <c r="DR13" i="17"/>
  <c r="DR10" i="17"/>
  <c r="DR27" i="17"/>
  <c r="DR6" i="17"/>
  <c r="DR21" i="17"/>
  <c r="DR12" i="17"/>
  <c r="DR44" i="17"/>
  <c r="DR31" i="17"/>
  <c r="DR15" i="17"/>
  <c r="DR5" i="17"/>
  <c r="DR8" i="17"/>
  <c r="AJ72" i="17"/>
  <c r="AJ62" i="17"/>
  <c r="AJ52" i="17"/>
  <c r="AJ69" i="17"/>
  <c r="AJ59" i="17"/>
  <c r="AJ49" i="17"/>
  <c r="AJ65" i="17"/>
  <c r="AJ55" i="17"/>
  <c r="AJ45" i="17"/>
  <c r="AJ71" i="17"/>
  <c r="AJ61" i="17"/>
  <c r="AJ51" i="17"/>
  <c r="AJ67" i="17"/>
  <c r="AJ57" i="17"/>
  <c r="AJ47" i="17"/>
  <c r="AJ74" i="17"/>
  <c r="AJ64" i="17"/>
  <c r="AJ54" i="17"/>
  <c r="AJ44" i="17"/>
  <c r="AJ66" i="17"/>
  <c r="AJ46" i="17"/>
  <c r="AJ56" i="17"/>
  <c r="AJ50" i="17"/>
  <c r="AJ70" i="17"/>
  <c r="AJ60" i="17"/>
  <c r="BB65" i="17"/>
  <c r="BB55" i="17"/>
  <c r="BB45" i="17"/>
  <c r="BB71" i="17"/>
  <c r="BB61" i="17"/>
  <c r="BB51" i="17"/>
  <c r="BB67" i="17"/>
  <c r="BB57" i="17"/>
  <c r="BB47" i="17"/>
  <c r="BB74" i="17"/>
  <c r="BB64" i="17"/>
  <c r="BB54" i="17"/>
  <c r="BB44" i="17"/>
  <c r="BB70" i="17"/>
  <c r="BB60" i="17"/>
  <c r="BB50" i="17"/>
  <c r="BB66" i="17"/>
  <c r="BB56" i="17"/>
  <c r="BB46" i="17"/>
  <c r="BB69" i="17"/>
  <c r="BB59" i="17"/>
  <c r="BB52" i="17"/>
  <c r="BB72" i="17"/>
  <c r="BB62" i="17"/>
  <c r="BB49" i="17"/>
  <c r="BZ2" i="17"/>
  <c r="BZ37" i="17" s="1"/>
  <c r="AI3" i="11"/>
  <c r="N37" i="17"/>
  <c r="N36" i="17"/>
  <c r="N111" i="15"/>
  <c r="N35" i="17"/>
  <c r="AY3" i="11"/>
  <c r="AD36" i="17"/>
  <c r="AD37" i="17"/>
  <c r="AD35" i="17"/>
  <c r="AD111" i="15"/>
  <c r="BW3" i="11"/>
  <c r="BB36" i="17"/>
  <c r="BB37" i="17"/>
  <c r="BB111" i="15"/>
  <c r="BB35" i="17"/>
  <c r="BW72" i="17"/>
  <c r="BW62" i="17"/>
  <c r="BW52" i="17"/>
  <c r="BW69" i="17"/>
  <c r="BW65" i="17"/>
  <c r="BW55" i="17"/>
  <c r="BW45" i="17"/>
  <c r="BW71" i="17"/>
  <c r="BW61" i="17"/>
  <c r="BW51" i="17"/>
  <c r="BW67" i="17"/>
  <c r="BW57" i="17"/>
  <c r="BW47" i="17"/>
  <c r="BW64" i="17"/>
  <c r="BW54" i="17"/>
  <c r="BW70" i="17"/>
  <c r="BW60" i="17"/>
  <c r="BW50" i="17"/>
  <c r="BW66" i="17"/>
  <c r="BW42" i="17"/>
  <c r="BW74" i="17" s="1"/>
  <c r="BW30" i="17"/>
  <c r="BW20" i="17"/>
  <c r="BW46" i="17"/>
  <c r="BW26" i="17"/>
  <c r="BW32" i="17"/>
  <c r="BW22" i="17"/>
  <c r="BW56" i="17"/>
  <c r="BW28" i="17"/>
  <c r="BW18" i="17"/>
  <c r="BW49" i="17"/>
  <c r="BW25" i="17"/>
  <c r="BW44" i="17"/>
  <c r="BW31" i="17"/>
  <c r="BW21" i="17"/>
  <c r="BW7" i="17"/>
  <c r="BW13" i="17"/>
  <c r="BW17" i="17"/>
  <c r="BW10" i="17"/>
  <c r="BW16" i="17"/>
  <c r="BW6" i="17"/>
  <c r="BW23" i="17"/>
  <c r="BW12" i="17"/>
  <c r="BW59" i="17"/>
  <c r="BW8" i="17"/>
  <c r="BW27" i="17"/>
  <c r="BW11" i="17"/>
  <c r="BW15" i="17"/>
  <c r="BW5" i="17"/>
  <c r="BW33" i="17"/>
  <c r="CM72" i="17"/>
  <c r="CM62" i="17"/>
  <c r="CM52" i="17"/>
  <c r="CM69" i="17"/>
  <c r="CM65" i="17"/>
  <c r="CM55" i="17"/>
  <c r="CM45" i="17"/>
  <c r="CM71" i="17"/>
  <c r="CM61" i="17"/>
  <c r="CM51" i="17"/>
  <c r="CM67" i="17"/>
  <c r="CM57" i="17"/>
  <c r="CM47" i="17"/>
  <c r="CM64" i="17"/>
  <c r="CM54" i="17"/>
  <c r="CM70" i="17"/>
  <c r="CM60" i="17"/>
  <c r="CM50" i="17"/>
  <c r="CM49" i="17"/>
  <c r="CM42" i="17"/>
  <c r="CM74" i="17" s="1"/>
  <c r="CM30" i="17"/>
  <c r="CM20" i="17"/>
  <c r="CM26" i="17"/>
  <c r="CM16" i="17"/>
  <c r="CM59" i="17"/>
  <c r="CM32" i="17"/>
  <c r="CM22" i="17"/>
  <c r="CM28" i="17"/>
  <c r="CM18" i="17"/>
  <c r="CM25" i="17"/>
  <c r="CM46" i="17"/>
  <c r="CM44" i="17"/>
  <c r="CM31" i="17"/>
  <c r="CM21" i="17"/>
  <c r="CM23" i="17"/>
  <c r="CM7" i="17"/>
  <c r="CM13" i="17"/>
  <c r="CM33" i="17"/>
  <c r="CM10" i="17"/>
  <c r="CM27" i="17"/>
  <c r="CM6" i="17"/>
  <c r="CM56" i="17"/>
  <c r="CM17" i="17"/>
  <c r="CM12" i="17"/>
  <c r="CM8" i="17"/>
  <c r="CM66" i="17"/>
  <c r="CM11" i="17"/>
  <c r="CM5" i="17"/>
  <c r="CM15" i="17"/>
  <c r="DC72" i="17"/>
  <c r="DC62" i="17"/>
  <c r="DC52" i="17"/>
  <c r="DC69" i="17"/>
  <c r="DC65" i="17"/>
  <c r="DC55" i="17"/>
  <c r="DC45" i="17"/>
  <c r="DC71" i="17"/>
  <c r="DC61" i="17"/>
  <c r="DC51" i="17"/>
  <c r="DC67" i="17"/>
  <c r="DC57" i="17"/>
  <c r="DC47" i="17"/>
  <c r="DC64" i="17"/>
  <c r="DC54" i="17"/>
  <c r="DC70" i="17"/>
  <c r="DC60" i="17"/>
  <c r="DC50" i="17"/>
  <c r="DC42" i="17"/>
  <c r="DC74" i="17" s="1"/>
  <c r="DC30" i="17"/>
  <c r="DC20" i="17"/>
  <c r="DC46" i="17"/>
  <c r="DC26" i="17"/>
  <c r="DC16" i="17"/>
  <c r="DC32" i="17"/>
  <c r="DC22" i="17"/>
  <c r="DC56" i="17"/>
  <c r="DC28" i="17"/>
  <c r="DC18" i="17"/>
  <c r="DC66" i="17"/>
  <c r="DC49" i="17"/>
  <c r="DC25" i="17"/>
  <c r="DC44" i="17"/>
  <c r="DC31" i="17"/>
  <c r="DC21" i="17"/>
  <c r="DC7" i="17"/>
  <c r="DC13" i="17"/>
  <c r="DC10" i="17"/>
  <c r="DC59" i="17"/>
  <c r="DC6" i="17"/>
  <c r="DC23" i="17"/>
  <c r="DC12" i="17"/>
  <c r="DC8" i="17"/>
  <c r="DC27" i="17"/>
  <c r="DC11" i="17"/>
  <c r="DC5" i="17"/>
  <c r="DC33" i="17"/>
  <c r="DC17" i="17"/>
  <c r="DC15" i="17"/>
  <c r="DK72" i="17"/>
  <c r="DK62" i="17"/>
  <c r="DK52" i="17"/>
  <c r="DK69" i="17"/>
  <c r="DK65" i="17"/>
  <c r="DK55" i="17"/>
  <c r="DK45" i="17"/>
  <c r="DK71" i="17"/>
  <c r="DK61" i="17"/>
  <c r="DK51" i="17"/>
  <c r="DK67" i="17"/>
  <c r="DK57" i="17"/>
  <c r="DK47" i="17"/>
  <c r="DK64" i="17"/>
  <c r="DK54" i="17"/>
  <c r="DK70" i="17"/>
  <c r="DK60" i="17"/>
  <c r="DK50" i="17"/>
  <c r="DK42" i="17"/>
  <c r="DK74" i="17" s="1"/>
  <c r="DK30" i="17"/>
  <c r="DK20" i="17"/>
  <c r="DK56" i="17"/>
  <c r="DK26" i="17"/>
  <c r="DK16" i="17"/>
  <c r="DK49" i="17"/>
  <c r="DK32" i="17"/>
  <c r="DK22" i="17"/>
  <c r="DK66" i="17"/>
  <c r="DK28" i="17"/>
  <c r="DK18" i="17"/>
  <c r="DK59" i="17"/>
  <c r="DK25" i="17"/>
  <c r="DK44" i="17"/>
  <c r="DK31" i="17"/>
  <c r="DK21" i="17"/>
  <c r="DK46" i="17"/>
  <c r="DK7" i="17"/>
  <c r="DK13" i="17"/>
  <c r="DK23" i="17"/>
  <c r="DK10" i="17"/>
  <c r="DK17" i="17"/>
  <c r="DK6" i="17"/>
  <c r="DK33" i="17"/>
  <c r="DK12" i="17"/>
  <c r="DK27" i="17"/>
  <c r="DK8" i="17"/>
  <c r="DK11" i="17"/>
  <c r="DK15" i="17"/>
  <c r="DK5" i="17"/>
  <c r="CP2" i="17"/>
  <c r="CP36" i="17" s="1"/>
  <c r="N2" i="19"/>
  <c r="AD2" i="19"/>
  <c r="BB2" i="19"/>
  <c r="AR92" i="15"/>
  <c r="AR112" i="15"/>
  <c r="AM71" i="17"/>
  <c r="AM61" i="17"/>
  <c r="AM51" i="17"/>
  <c r="AM67" i="17"/>
  <c r="AM57" i="17"/>
  <c r="AM47" i="17"/>
  <c r="AM74" i="17"/>
  <c r="AM64" i="17"/>
  <c r="AM54" i="17"/>
  <c r="AM44" i="17"/>
  <c r="AM70" i="17"/>
  <c r="AM60" i="17"/>
  <c r="AM50" i="17"/>
  <c r="AM66" i="17"/>
  <c r="AM56" i="17"/>
  <c r="AM46" i="17"/>
  <c r="AM72" i="17"/>
  <c r="AM62" i="17"/>
  <c r="AM52" i="17"/>
  <c r="AM55" i="17"/>
  <c r="AM49" i="17"/>
  <c r="AM65" i="17"/>
  <c r="AM69" i="17"/>
  <c r="AM59" i="17"/>
  <c r="AM45" i="17"/>
  <c r="CK2" i="17"/>
  <c r="CK37" i="17" s="1"/>
  <c r="AT3" i="11"/>
  <c r="Y37" i="17"/>
  <c r="Y36" i="17"/>
  <c r="Y35" i="17"/>
  <c r="Y111" i="15"/>
  <c r="DA2" i="17"/>
  <c r="DA37" i="17" s="1"/>
  <c r="BJ3" i="11"/>
  <c r="AO37" i="17"/>
  <c r="AO36" i="17"/>
  <c r="AO111" i="15"/>
  <c r="AO35" i="17"/>
  <c r="DI2" i="17"/>
  <c r="DI37" i="17" s="1"/>
  <c r="BR3" i="11"/>
  <c r="AW37" i="17"/>
  <c r="AW36" i="17"/>
  <c r="AW111" i="15"/>
  <c r="AW35" i="17"/>
  <c r="BR71" i="17"/>
  <c r="BR61" i="17"/>
  <c r="BR51" i="17"/>
  <c r="BR67" i="17"/>
  <c r="BR64" i="17"/>
  <c r="BR54" i="17"/>
  <c r="BR70" i="17"/>
  <c r="BR60" i="17"/>
  <c r="BR50" i="17"/>
  <c r="BR66" i="17"/>
  <c r="BR56" i="17"/>
  <c r="BR46" i="17"/>
  <c r="BR72" i="17"/>
  <c r="BR62" i="17"/>
  <c r="BR52" i="17"/>
  <c r="BR69" i="17"/>
  <c r="BR59" i="17"/>
  <c r="BR49" i="17"/>
  <c r="BR65" i="17"/>
  <c r="BR28" i="17"/>
  <c r="BR18" i="17"/>
  <c r="BR45" i="17"/>
  <c r="BR25" i="17"/>
  <c r="BR44" i="17"/>
  <c r="BR31" i="17"/>
  <c r="BR21" i="17"/>
  <c r="BR55" i="17"/>
  <c r="BR27" i="17"/>
  <c r="BR47" i="17"/>
  <c r="BR33" i="17"/>
  <c r="BR23" i="17"/>
  <c r="BR42" i="17"/>
  <c r="BR74" i="17" s="1"/>
  <c r="BR30" i="17"/>
  <c r="BR20" i="17"/>
  <c r="BR16" i="17"/>
  <c r="BR6" i="17"/>
  <c r="BR57" i="17"/>
  <c r="BR12" i="17"/>
  <c r="BR8" i="17"/>
  <c r="BR15" i="17"/>
  <c r="BR5" i="17"/>
  <c r="BR22" i="17"/>
  <c r="BR17" i="17"/>
  <c r="BR11" i="17"/>
  <c r="BR7" i="17"/>
  <c r="BR26" i="17"/>
  <c r="BR10" i="17"/>
  <c r="BR32" i="17"/>
  <c r="BR13" i="17"/>
  <c r="CH71" i="17"/>
  <c r="CH61" i="17"/>
  <c r="CH51" i="17"/>
  <c r="CH67" i="17"/>
  <c r="CH64" i="17"/>
  <c r="CH54" i="17"/>
  <c r="CH70" i="17"/>
  <c r="CH60" i="17"/>
  <c r="CH50" i="17"/>
  <c r="CH66" i="17"/>
  <c r="CH56" i="17"/>
  <c r="CH46" i="17"/>
  <c r="CH72" i="17"/>
  <c r="CH62" i="17"/>
  <c r="CH52" i="17"/>
  <c r="CH69" i="17"/>
  <c r="CH59" i="17"/>
  <c r="CH49" i="17"/>
  <c r="CH47" i="17"/>
  <c r="CH28" i="17"/>
  <c r="CH18" i="17"/>
  <c r="CH25" i="17"/>
  <c r="CH57" i="17"/>
  <c r="CH44" i="17"/>
  <c r="CH31" i="17"/>
  <c r="CH21" i="17"/>
  <c r="CH27" i="17"/>
  <c r="CH33" i="17"/>
  <c r="CH23" i="17"/>
  <c r="CH45" i="17"/>
  <c r="CH42" i="17"/>
  <c r="CH74" i="17" s="1"/>
  <c r="CH30" i="17"/>
  <c r="CH20" i="17"/>
  <c r="CH55" i="17"/>
  <c r="CH22" i="17"/>
  <c r="CH6" i="17"/>
  <c r="CH65" i="17"/>
  <c r="CH12" i="17"/>
  <c r="CH32" i="17"/>
  <c r="CH8" i="17"/>
  <c r="CH26" i="17"/>
  <c r="CH15" i="17"/>
  <c r="CH5" i="17"/>
  <c r="CH16" i="17"/>
  <c r="CH11" i="17"/>
  <c r="CH7" i="17"/>
  <c r="CH10" i="17"/>
  <c r="CH17" i="17"/>
  <c r="CH13" i="17"/>
  <c r="CX71" i="17"/>
  <c r="CX61" i="17"/>
  <c r="CX51" i="17"/>
  <c r="CX67" i="17"/>
  <c r="CX64" i="17"/>
  <c r="CX54" i="17"/>
  <c r="CX70" i="17"/>
  <c r="CX60" i="17"/>
  <c r="CX50" i="17"/>
  <c r="CX66" i="17"/>
  <c r="CX56" i="17"/>
  <c r="CX46" i="17"/>
  <c r="CX72" i="17"/>
  <c r="CX62" i="17"/>
  <c r="CX52" i="17"/>
  <c r="CX69" i="17"/>
  <c r="CX59" i="17"/>
  <c r="CX49" i="17"/>
  <c r="CX28" i="17"/>
  <c r="CX18" i="17"/>
  <c r="CX45" i="17"/>
  <c r="CX25" i="17"/>
  <c r="CX44" i="17"/>
  <c r="CX31" i="17"/>
  <c r="CX21" i="17"/>
  <c r="CX55" i="17"/>
  <c r="CX27" i="17"/>
  <c r="CX65" i="17"/>
  <c r="CX47" i="17"/>
  <c r="CX33" i="17"/>
  <c r="CX23" i="17"/>
  <c r="CX42" i="17"/>
  <c r="CX74" i="17" s="1"/>
  <c r="CX30" i="17"/>
  <c r="CX20" i="17"/>
  <c r="CX17" i="17"/>
  <c r="CX6" i="17"/>
  <c r="CX12" i="17"/>
  <c r="CX8" i="17"/>
  <c r="CX15" i="17"/>
  <c r="CX5" i="17"/>
  <c r="CX22" i="17"/>
  <c r="CX11" i="17"/>
  <c r="CX7" i="17"/>
  <c r="CX57" i="17"/>
  <c r="CX26" i="17"/>
  <c r="CX10" i="17"/>
  <c r="CX16" i="17"/>
  <c r="CX13" i="17"/>
  <c r="CX32" i="17"/>
  <c r="DN71" i="17"/>
  <c r="DN61" i="17"/>
  <c r="DN51" i="17"/>
  <c r="DN67" i="17"/>
  <c r="DN64" i="17"/>
  <c r="DN54" i="17"/>
  <c r="DN70" i="17"/>
  <c r="DN60" i="17"/>
  <c r="DN50" i="17"/>
  <c r="DN66" i="17"/>
  <c r="DN56" i="17"/>
  <c r="DN46" i="17"/>
  <c r="DN72" i="17"/>
  <c r="DN62" i="17"/>
  <c r="DN52" i="17"/>
  <c r="DN69" i="17"/>
  <c r="DN59" i="17"/>
  <c r="DN49" i="17"/>
  <c r="DN47" i="17"/>
  <c r="DN28" i="17"/>
  <c r="DN18" i="17"/>
  <c r="DN25" i="17"/>
  <c r="DN65" i="17"/>
  <c r="DN57" i="17"/>
  <c r="DN44" i="17"/>
  <c r="DN36" i="17"/>
  <c r="DN31" i="17"/>
  <c r="DN21" i="17"/>
  <c r="DN27" i="17"/>
  <c r="DN17" i="17"/>
  <c r="DN33" i="17"/>
  <c r="DN23" i="17"/>
  <c r="DN45" i="17"/>
  <c r="DN42" i="17"/>
  <c r="DN74" i="17" s="1"/>
  <c r="DN30" i="17"/>
  <c r="DN20" i="17"/>
  <c r="DN22" i="17"/>
  <c r="DN16" i="17"/>
  <c r="DN6" i="17"/>
  <c r="DN12" i="17"/>
  <c r="DN32" i="17"/>
  <c r="DN8" i="17"/>
  <c r="DN26" i="17"/>
  <c r="DN15" i="17"/>
  <c r="DN5" i="17"/>
  <c r="DN11" i="17"/>
  <c r="DN7" i="17"/>
  <c r="DN10" i="17"/>
  <c r="DN55" i="17"/>
  <c r="DN13" i="17"/>
  <c r="I2" i="19"/>
  <c r="AO2" i="19"/>
  <c r="BW2" i="17"/>
  <c r="BW37" i="17" s="1"/>
  <c r="AF3" i="11"/>
  <c r="K37" i="17"/>
  <c r="K36" i="17"/>
  <c r="K111" i="15"/>
  <c r="K35" i="17"/>
  <c r="CU2" i="17"/>
  <c r="CU37" i="17" s="1"/>
  <c r="BD3" i="11"/>
  <c r="AI37" i="17"/>
  <c r="AI36" i="17"/>
  <c r="AI111" i="15"/>
  <c r="AI35" i="17"/>
  <c r="DS2" i="17"/>
  <c r="DS37" i="17" s="1"/>
  <c r="CB3" i="11"/>
  <c r="BG37" i="17"/>
  <c r="BG36" i="17"/>
  <c r="BG111" i="15"/>
  <c r="BG35" i="17"/>
  <c r="CJ64" i="17"/>
  <c r="CJ54" i="17"/>
  <c r="CJ70" i="17"/>
  <c r="CJ66" i="17"/>
  <c r="CJ56" i="17"/>
  <c r="CJ46" i="17"/>
  <c r="CJ72" i="17"/>
  <c r="CJ62" i="17"/>
  <c r="CJ52" i="17"/>
  <c r="CJ69" i="17"/>
  <c r="CJ59" i="17"/>
  <c r="CJ49" i="17"/>
  <c r="CJ65" i="17"/>
  <c r="CJ55" i="17"/>
  <c r="CJ45" i="17"/>
  <c r="CJ71" i="17"/>
  <c r="CJ61" i="17"/>
  <c r="CJ51" i="17"/>
  <c r="CJ44" i="17"/>
  <c r="CJ31" i="17"/>
  <c r="CJ21" i="17"/>
  <c r="CJ57" i="17"/>
  <c r="CJ27" i="17"/>
  <c r="CJ17" i="17"/>
  <c r="CJ50" i="17"/>
  <c r="CJ33" i="17"/>
  <c r="CJ23" i="17"/>
  <c r="CJ42" i="17"/>
  <c r="CJ74" i="17" s="1"/>
  <c r="CJ30" i="17"/>
  <c r="CJ20" i="17"/>
  <c r="CJ60" i="17"/>
  <c r="CJ26" i="17"/>
  <c r="CJ16" i="17"/>
  <c r="CJ32" i="17"/>
  <c r="CJ22" i="17"/>
  <c r="CJ8" i="17"/>
  <c r="CJ15" i="17"/>
  <c r="CJ5" i="17"/>
  <c r="CJ25" i="17"/>
  <c r="CJ11" i="17"/>
  <c r="CJ18" i="17"/>
  <c r="CJ7" i="17"/>
  <c r="CJ13" i="17"/>
  <c r="CJ28" i="17"/>
  <c r="CJ10" i="17"/>
  <c r="CJ12" i="17"/>
  <c r="CJ6" i="17"/>
  <c r="CJ47" i="17"/>
  <c r="CJ67" i="17"/>
  <c r="CZ64" i="17"/>
  <c r="CZ54" i="17"/>
  <c r="CZ70" i="17"/>
  <c r="CZ60" i="17"/>
  <c r="CZ66" i="17"/>
  <c r="CZ56" i="17"/>
  <c r="CZ46" i="17"/>
  <c r="CZ72" i="17"/>
  <c r="CZ62" i="17"/>
  <c r="CZ52" i="17"/>
  <c r="CZ69" i="17"/>
  <c r="CZ59" i="17"/>
  <c r="CZ49" i="17"/>
  <c r="CZ65" i="17"/>
  <c r="CZ55" i="17"/>
  <c r="CZ45" i="17"/>
  <c r="CZ71" i="17"/>
  <c r="CZ61" i="17"/>
  <c r="CZ51" i="17"/>
  <c r="CZ44" i="17"/>
  <c r="CZ31" i="17"/>
  <c r="CZ21" i="17"/>
  <c r="CZ27" i="17"/>
  <c r="CZ17" i="17"/>
  <c r="CZ33" i="17"/>
  <c r="CZ23" i="17"/>
  <c r="CZ47" i="17"/>
  <c r="CZ42" i="17"/>
  <c r="CZ74" i="17" s="1"/>
  <c r="CZ30" i="17"/>
  <c r="CZ20" i="17"/>
  <c r="CZ26" i="17"/>
  <c r="CZ16" i="17"/>
  <c r="CZ67" i="17"/>
  <c r="CZ57" i="17"/>
  <c r="CZ32" i="17"/>
  <c r="CZ22" i="17"/>
  <c r="CZ8" i="17"/>
  <c r="CZ28" i="17"/>
  <c r="CZ15" i="17"/>
  <c r="CZ5" i="17"/>
  <c r="CZ11" i="17"/>
  <c r="CZ7" i="17"/>
  <c r="CZ13" i="17"/>
  <c r="CZ50" i="17"/>
  <c r="CZ10" i="17"/>
  <c r="CZ18" i="17"/>
  <c r="CZ12" i="17"/>
  <c r="CZ6" i="17"/>
  <c r="CZ25" i="17"/>
  <c r="AA66" i="17"/>
  <c r="AA56" i="17"/>
  <c r="AA46" i="17"/>
  <c r="AA72" i="17"/>
  <c r="AA62" i="17"/>
  <c r="AA52" i="17"/>
  <c r="AA69" i="17"/>
  <c r="AA59" i="17"/>
  <c r="AA49" i="17"/>
  <c r="AA65" i="17"/>
  <c r="AA55" i="17"/>
  <c r="AA45" i="17"/>
  <c r="AA71" i="17"/>
  <c r="AA61" i="17"/>
  <c r="AA51" i="17"/>
  <c r="AA67" i="17"/>
  <c r="AA57" i="17"/>
  <c r="AA47" i="17"/>
  <c r="AA70" i="17"/>
  <c r="AA74" i="17"/>
  <c r="AA44" i="17"/>
  <c r="AA60" i="17"/>
  <c r="AA54" i="17"/>
  <c r="AA64" i="17"/>
  <c r="AA50" i="17"/>
  <c r="AX92" i="17"/>
  <c r="AX91" i="17"/>
  <c r="AX90" i="17"/>
  <c r="BI69" i="17"/>
  <c r="BI59" i="17"/>
  <c r="BI49" i="17"/>
  <c r="BI65" i="17"/>
  <c r="BI55" i="17"/>
  <c r="BI45" i="17"/>
  <c r="BI71" i="17"/>
  <c r="BI61" i="17"/>
  <c r="BI51" i="17"/>
  <c r="BI67" i="17"/>
  <c r="BI57" i="17"/>
  <c r="BI47" i="17"/>
  <c r="BI74" i="17"/>
  <c r="BI64" i="17"/>
  <c r="BI54" i="17"/>
  <c r="BI44" i="17"/>
  <c r="BI70" i="17"/>
  <c r="BI60" i="17"/>
  <c r="BI50" i="17"/>
  <c r="BI72" i="17"/>
  <c r="BI66" i="17"/>
  <c r="BI52" i="17"/>
  <c r="BI46" i="17"/>
  <c r="BI62" i="17"/>
  <c r="BI56" i="17"/>
  <c r="CG2" i="17"/>
  <c r="CG37" i="17" s="1"/>
  <c r="AP3" i="11"/>
  <c r="U37" i="17"/>
  <c r="U36" i="17"/>
  <c r="U35" i="17"/>
  <c r="U111" i="15"/>
  <c r="DE2" i="17"/>
  <c r="DE37" i="17" s="1"/>
  <c r="BN3" i="11"/>
  <c r="AS36" i="17"/>
  <c r="AS37" i="17"/>
  <c r="AS111" i="15"/>
  <c r="AS35" i="17"/>
  <c r="CD66" i="17"/>
  <c r="CD56" i="17"/>
  <c r="CD46" i="17"/>
  <c r="CD72" i="17"/>
  <c r="CD62" i="17"/>
  <c r="CD69" i="17"/>
  <c r="CD59" i="17"/>
  <c r="CD49" i="17"/>
  <c r="CD65" i="17"/>
  <c r="CD55" i="17"/>
  <c r="CD45" i="17"/>
  <c r="CD71" i="17"/>
  <c r="CD61" i="17"/>
  <c r="CD51" i="17"/>
  <c r="CD67" i="17"/>
  <c r="CD57" i="17"/>
  <c r="CD47" i="17"/>
  <c r="CD64" i="17"/>
  <c r="CD54" i="17"/>
  <c r="CD33" i="17"/>
  <c r="CD23" i="17"/>
  <c r="CD70" i="17"/>
  <c r="CD42" i="17"/>
  <c r="CD74" i="17" s="1"/>
  <c r="CD30" i="17"/>
  <c r="CD20" i="17"/>
  <c r="CD26" i="17"/>
  <c r="CD50" i="17"/>
  <c r="CD32" i="17"/>
  <c r="CD22" i="17"/>
  <c r="CD28" i="17"/>
  <c r="CD18" i="17"/>
  <c r="CD60" i="17"/>
  <c r="CD25" i="17"/>
  <c r="CD17" i="17"/>
  <c r="CD11" i="17"/>
  <c r="CD44" i="17"/>
  <c r="CD31" i="17"/>
  <c r="CD7" i="17"/>
  <c r="CD13" i="17"/>
  <c r="CD10" i="17"/>
  <c r="CD6" i="17"/>
  <c r="CD12" i="17"/>
  <c r="CD52" i="17"/>
  <c r="CD21" i="17"/>
  <c r="CD15" i="17"/>
  <c r="CD5" i="17"/>
  <c r="CD16" i="17"/>
  <c r="CD8" i="17"/>
  <c r="CD27" i="17"/>
  <c r="DJ66" i="17"/>
  <c r="DJ56" i="17"/>
  <c r="DJ46" i="17"/>
  <c r="DJ72" i="17"/>
  <c r="DJ62" i="17"/>
  <c r="DJ69" i="17"/>
  <c r="DJ59" i="17"/>
  <c r="DJ49" i="17"/>
  <c r="DJ65" i="17"/>
  <c r="DJ55" i="17"/>
  <c r="DJ45" i="17"/>
  <c r="DJ71" i="17"/>
  <c r="DJ61" i="17"/>
  <c r="DJ51" i="17"/>
  <c r="DJ67" i="17"/>
  <c r="DJ57" i="17"/>
  <c r="DJ47" i="17"/>
  <c r="DJ64" i="17"/>
  <c r="DJ54" i="17"/>
  <c r="DJ60" i="17"/>
  <c r="DJ33" i="17"/>
  <c r="DJ23" i="17"/>
  <c r="DJ42" i="17"/>
  <c r="DJ74" i="17" s="1"/>
  <c r="DJ30" i="17"/>
  <c r="DJ20" i="17"/>
  <c r="DJ26" i="17"/>
  <c r="DJ16" i="17"/>
  <c r="DJ50" i="17"/>
  <c r="DJ32" i="17"/>
  <c r="DJ22" i="17"/>
  <c r="DJ28" i="17"/>
  <c r="DJ18" i="17"/>
  <c r="DJ70" i="17"/>
  <c r="DJ25" i="17"/>
  <c r="DJ11" i="17"/>
  <c r="DJ44" i="17"/>
  <c r="DJ31" i="17"/>
  <c r="DJ7" i="17"/>
  <c r="DJ13" i="17"/>
  <c r="DJ10" i="17"/>
  <c r="DJ17" i="17"/>
  <c r="DJ6" i="17"/>
  <c r="DJ52" i="17"/>
  <c r="DJ12" i="17"/>
  <c r="DJ21" i="17"/>
  <c r="DJ15" i="17"/>
  <c r="DJ5" i="17"/>
  <c r="DJ8" i="17"/>
  <c r="DJ27" i="17"/>
  <c r="AC2" i="19"/>
  <c r="AR72" i="17"/>
  <c r="AR62" i="17"/>
  <c r="AR52" i="17"/>
  <c r="AR69" i="17"/>
  <c r="AR59" i="17"/>
  <c r="AR49" i="17"/>
  <c r="AR65" i="17"/>
  <c r="AR55" i="17"/>
  <c r="AR45" i="17"/>
  <c r="AR71" i="17"/>
  <c r="AR61" i="17"/>
  <c r="AR51" i="17"/>
  <c r="AR67" i="17"/>
  <c r="AR57" i="17"/>
  <c r="AR47" i="17"/>
  <c r="AR74" i="17"/>
  <c r="AR64" i="17"/>
  <c r="AR54" i="17"/>
  <c r="AR44" i="17"/>
  <c r="AR66" i="17"/>
  <c r="AR56" i="17"/>
  <c r="AR50" i="17"/>
  <c r="AR70" i="17"/>
  <c r="AR60" i="17"/>
  <c r="AR46" i="17"/>
  <c r="BR2" i="17"/>
  <c r="BR37" i="17" s="1"/>
  <c r="AA3" i="11"/>
  <c r="F37" i="17"/>
  <c r="F36" i="17"/>
  <c r="F111" i="15"/>
  <c r="F35" i="17"/>
  <c r="CH2" i="17"/>
  <c r="CH37" i="17" s="1"/>
  <c r="AQ3" i="11"/>
  <c r="V37" i="17"/>
  <c r="V36" i="17"/>
  <c r="V111" i="15"/>
  <c r="V35" i="17"/>
  <c r="BO3" i="11"/>
  <c r="AT36" i="17"/>
  <c r="AT37" i="17"/>
  <c r="AT111" i="15"/>
  <c r="AT35" i="17"/>
  <c r="BO15" i="17"/>
  <c r="BO5" i="17"/>
  <c r="CU72" i="17"/>
  <c r="CU62" i="17"/>
  <c r="CU52" i="17"/>
  <c r="CU69" i="17"/>
  <c r="CU65" i="17"/>
  <c r="CU55" i="17"/>
  <c r="CU45" i="17"/>
  <c r="CU71" i="17"/>
  <c r="CU61" i="17"/>
  <c r="CU51" i="17"/>
  <c r="CU67" i="17"/>
  <c r="CU57" i="17"/>
  <c r="CU47" i="17"/>
  <c r="CU64" i="17"/>
  <c r="CU54" i="17"/>
  <c r="CU70" i="17"/>
  <c r="CU60" i="17"/>
  <c r="CU50" i="17"/>
  <c r="CU59" i="17"/>
  <c r="CU42" i="17"/>
  <c r="CU74" i="17" s="1"/>
  <c r="CU30" i="17"/>
  <c r="CU20" i="17"/>
  <c r="CU26" i="17"/>
  <c r="CU16" i="17"/>
  <c r="CU32" i="17"/>
  <c r="CU22" i="17"/>
  <c r="CU46" i="17"/>
  <c r="CU28" i="17"/>
  <c r="CU18" i="17"/>
  <c r="CU25" i="17"/>
  <c r="CU66" i="17"/>
  <c r="CU56" i="17"/>
  <c r="CU44" i="17"/>
  <c r="CU31" i="17"/>
  <c r="CU21" i="17"/>
  <c r="CU33" i="17"/>
  <c r="CU7" i="17"/>
  <c r="CU49" i="17"/>
  <c r="CU27" i="17"/>
  <c r="CU17" i="17"/>
  <c r="CU13" i="17"/>
  <c r="CU10" i="17"/>
  <c r="CU6" i="17"/>
  <c r="CU12" i="17"/>
  <c r="CU8" i="17"/>
  <c r="CU11" i="17"/>
  <c r="CU5" i="17"/>
  <c r="CU23" i="17"/>
  <c r="CU15" i="17"/>
  <c r="DS72" i="17"/>
  <c r="DS62" i="17"/>
  <c r="DS52" i="17"/>
  <c r="DS69" i="17"/>
  <c r="DS65" i="17"/>
  <c r="DS55" i="17"/>
  <c r="DS45" i="17"/>
  <c r="DS71" i="17"/>
  <c r="DS61" i="17"/>
  <c r="DS51" i="17"/>
  <c r="DS67" i="17"/>
  <c r="DS57" i="17"/>
  <c r="DS47" i="17"/>
  <c r="DS64" i="17"/>
  <c r="DS54" i="17"/>
  <c r="DS70" i="17"/>
  <c r="DS60" i="17"/>
  <c r="DS50" i="17"/>
  <c r="DS49" i="17"/>
  <c r="DS42" i="17"/>
  <c r="DS74" i="17" s="1"/>
  <c r="DS30" i="17"/>
  <c r="DS20" i="17"/>
  <c r="DS26" i="17"/>
  <c r="DS16" i="17"/>
  <c r="DS66" i="17"/>
  <c r="DS59" i="17"/>
  <c r="DS32" i="17"/>
  <c r="DS22" i="17"/>
  <c r="DS28" i="17"/>
  <c r="DS18" i="17"/>
  <c r="DS25" i="17"/>
  <c r="DS46" i="17"/>
  <c r="DS44" i="17"/>
  <c r="DS31" i="17"/>
  <c r="DS21" i="17"/>
  <c r="DS23" i="17"/>
  <c r="DS7" i="17"/>
  <c r="DS17" i="17"/>
  <c r="DS13" i="17"/>
  <c r="DS56" i="17"/>
  <c r="DS33" i="17"/>
  <c r="DS10" i="17"/>
  <c r="DS27" i="17"/>
  <c r="DS6" i="17"/>
  <c r="DS12" i="17"/>
  <c r="DS8" i="17"/>
  <c r="DS11" i="17"/>
  <c r="DS15" i="17"/>
  <c r="DS5" i="17"/>
  <c r="BG41" i="17"/>
  <c r="AZ3" i="11"/>
  <c r="AE36" i="17"/>
  <c r="AE37" i="17"/>
  <c r="AE35" i="17"/>
  <c r="AE111" i="15"/>
  <c r="DO2" i="17"/>
  <c r="DO37" i="17" s="1"/>
  <c r="BX3" i="11"/>
  <c r="BC36" i="17"/>
  <c r="BC37" i="17"/>
  <c r="BC35" i="17"/>
  <c r="BC111" i="15"/>
  <c r="CF69" i="17"/>
  <c r="CF59" i="17"/>
  <c r="CF49" i="17"/>
  <c r="CF65" i="17"/>
  <c r="CF71" i="17"/>
  <c r="CF61" i="17"/>
  <c r="CF51" i="17"/>
  <c r="CF67" i="17"/>
  <c r="CF57" i="17"/>
  <c r="CF47" i="17"/>
  <c r="CF64" i="17"/>
  <c r="CF54" i="17"/>
  <c r="CF70" i="17"/>
  <c r="CF60" i="17"/>
  <c r="CF50" i="17"/>
  <c r="CF66" i="17"/>
  <c r="CF56" i="17"/>
  <c r="CF46" i="17"/>
  <c r="CF55" i="17"/>
  <c r="CF26" i="17"/>
  <c r="CF16" i="17"/>
  <c r="CF32" i="17"/>
  <c r="CF22" i="17"/>
  <c r="CF72" i="17"/>
  <c r="CF28" i="17"/>
  <c r="CF18" i="17"/>
  <c r="CF25" i="17"/>
  <c r="CF44" i="17"/>
  <c r="CF36" i="17"/>
  <c r="CF31" i="17"/>
  <c r="CF21" i="17"/>
  <c r="CF62" i="17"/>
  <c r="CF52" i="17"/>
  <c r="CF27" i="17"/>
  <c r="CF17" i="17"/>
  <c r="CF42" i="17"/>
  <c r="CF74" i="17" s="1"/>
  <c r="CF30" i="17"/>
  <c r="CF13" i="17"/>
  <c r="CF23" i="17"/>
  <c r="CF10" i="17"/>
  <c r="CF6" i="17"/>
  <c r="CF33" i="17"/>
  <c r="CF12" i="17"/>
  <c r="CF8" i="17"/>
  <c r="CF45" i="17"/>
  <c r="CF15" i="17"/>
  <c r="CF5" i="17"/>
  <c r="CF7" i="17"/>
  <c r="CF20" i="17"/>
  <c r="CF11" i="17"/>
  <c r="DL69" i="17"/>
  <c r="DL59" i="17"/>
  <c r="DL49" i="17"/>
  <c r="DL65" i="17"/>
  <c r="DL71" i="17"/>
  <c r="DL61" i="17"/>
  <c r="DL51" i="17"/>
  <c r="DL67" i="17"/>
  <c r="DL57" i="17"/>
  <c r="DL47" i="17"/>
  <c r="DL64" i="17"/>
  <c r="DL54" i="17"/>
  <c r="DL70" i="17"/>
  <c r="DL60" i="17"/>
  <c r="DL50" i="17"/>
  <c r="DL66" i="17"/>
  <c r="DL56" i="17"/>
  <c r="DL46" i="17"/>
  <c r="DL55" i="17"/>
  <c r="DL26" i="17"/>
  <c r="DL16" i="17"/>
  <c r="DL62" i="17"/>
  <c r="DL32" i="17"/>
  <c r="DL22" i="17"/>
  <c r="DL28" i="17"/>
  <c r="DL18" i="17"/>
  <c r="DL25" i="17"/>
  <c r="DL44" i="17"/>
  <c r="DL36" i="17"/>
  <c r="DL31" i="17"/>
  <c r="DL21" i="17"/>
  <c r="DL52" i="17"/>
  <c r="DL27" i="17"/>
  <c r="DL17" i="17"/>
  <c r="DL42" i="17"/>
  <c r="DL74" i="17" s="1"/>
  <c r="DL30" i="17"/>
  <c r="DL13" i="17"/>
  <c r="DL23" i="17"/>
  <c r="DL10" i="17"/>
  <c r="DL6" i="17"/>
  <c r="DL45" i="17"/>
  <c r="DL33" i="17"/>
  <c r="DL12" i="17"/>
  <c r="DL8" i="17"/>
  <c r="DL72" i="17"/>
  <c r="DL15" i="17"/>
  <c r="DL5" i="17"/>
  <c r="DL7" i="17"/>
  <c r="DL20" i="17"/>
  <c r="DL11" i="17"/>
  <c r="AE2" i="19"/>
  <c r="BC2" i="19"/>
  <c r="AS92" i="15"/>
  <c r="AS112" i="15"/>
  <c r="BA92" i="15"/>
  <c r="BA112" i="15"/>
  <c r="BI92" i="15"/>
  <c r="BI112" i="15"/>
  <c r="Q2" i="19"/>
  <c r="AG2" i="19"/>
  <c r="AU92" i="15"/>
  <c r="AU112" i="15"/>
  <c r="BC92" i="15"/>
  <c r="BC112" i="15"/>
  <c r="AG74" i="17"/>
  <c r="AG64" i="17"/>
  <c r="AG54" i="17"/>
  <c r="AG44" i="17"/>
  <c r="AG70" i="17"/>
  <c r="AG60" i="17"/>
  <c r="AG50" i="17"/>
  <c r="AG66" i="17"/>
  <c r="AG56" i="17"/>
  <c r="AG46" i="17"/>
  <c r="AG72" i="17"/>
  <c r="AG62" i="17"/>
  <c r="AG52" i="17"/>
  <c r="AG69" i="17"/>
  <c r="AG59" i="17"/>
  <c r="AG49" i="17"/>
  <c r="AG65" i="17"/>
  <c r="AG55" i="17"/>
  <c r="AG45" i="17"/>
  <c r="AG67" i="17"/>
  <c r="AG61" i="17"/>
  <c r="AG47" i="17"/>
  <c r="AG57" i="17"/>
  <c r="AG71" i="17"/>
  <c r="AG51" i="17"/>
  <c r="AO74" i="17"/>
  <c r="AO64" i="17"/>
  <c r="AO54" i="17"/>
  <c r="AO44" i="17"/>
  <c r="AO70" i="17"/>
  <c r="AO60" i="17"/>
  <c r="AO50" i="17"/>
  <c r="AO66" i="17"/>
  <c r="AO56" i="17"/>
  <c r="AO46" i="17"/>
  <c r="AO72" i="17"/>
  <c r="AO62" i="17"/>
  <c r="AO52" i="17"/>
  <c r="AO69" i="17"/>
  <c r="AO59" i="17"/>
  <c r="AO49" i="17"/>
  <c r="AO65" i="17"/>
  <c r="AO55" i="17"/>
  <c r="AO45" i="17"/>
  <c r="AO67" i="17"/>
  <c r="AO47" i="17"/>
  <c r="AO57" i="17"/>
  <c r="AO51" i="17"/>
  <c r="AO71" i="17"/>
  <c r="AO61" i="17"/>
  <c r="AY66" i="17"/>
  <c r="AY56" i="17"/>
  <c r="AY46" i="17"/>
  <c r="AY72" i="17"/>
  <c r="AY62" i="17"/>
  <c r="AY52" i="17"/>
  <c r="AY69" i="17"/>
  <c r="AY59" i="17"/>
  <c r="AY49" i="17"/>
  <c r="AY65" i="17"/>
  <c r="AY55" i="17"/>
  <c r="AY45" i="17"/>
  <c r="AY71" i="17"/>
  <c r="AY61" i="17"/>
  <c r="AY51" i="17"/>
  <c r="AY67" i="17"/>
  <c r="AY57" i="17"/>
  <c r="AY47" i="17"/>
  <c r="AY70" i="17"/>
  <c r="AY50" i="17"/>
  <c r="AY44" i="17"/>
  <c r="AY60" i="17"/>
  <c r="AY54" i="17"/>
  <c r="AY74" i="17"/>
  <c r="AY64" i="17"/>
  <c r="BG66" i="17"/>
  <c r="BG56" i="17"/>
  <c r="BG46" i="17"/>
  <c r="BG72" i="17"/>
  <c r="BG62" i="17"/>
  <c r="BG52" i="17"/>
  <c r="BG69" i="17"/>
  <c r="BG59" i="17"/>
  <c r="BG49" i="17"/>
  <c r="BG65" i="17"/>
  <c r="BG55" i="17"/>
  <c r="BG45" i="17"/>
  <c r="BG71" i="17"/>
  <c r="BG61" i="17"/>
  <c r="BG51" i="17"/>
  <c r="BG67" i="17"/>
  <c r="BG57" i="17"/>
  <c r="BG47" i="17"/>
  <c r="BG70" i="17"/>
  <c r="BG44" i="17"/>
  <c r="BG60" i="17"/>
  <c r="BG54" i="17"/>
  <c r="BG74" i="17"/>
  <c r="BG64" i="17"/>
  <c r="BG50" i="17"/>
  <c r="CM2" i="17"/>
  <c r="CM37" i="17" s="1"/>
  <c r="AV3" i="11"/>
  <c r="AA37" i="17"/>
  <c r="AA36" i="17"/>
  <c r="AA111" i="15"/>
  <c r="AA35" i="17"/>
  <c r="DK2" i="17"/>
  <c r="DK37" i="17" s="1"/>
  <c r="BT3" i="11"/>
  <c r="AY37" i="17"/>
  <c r="AY36" i="17"/>
  <c r="AY35" i="17"/>
  <c r="AY111" i="15"/>
  <c r="CB64" i="17"/>
  <c r="CB54" i="17"/>
  <c r="CB70" i="17"/>
  <c r="CB66" i="17"/>
  <c r="CB56" i="17"/>
  <c r="CB46" i="17"/>
  <c r="CB72" i="17"/>
  <c r="CB62" i="17"/>
  <c r="CB52" i="17"/>
  <c r="CB69" i="17"/>
  <c r="CB59" i="17"/>
  <c r="CB49" i="17"/>
  <c r="CB65" i="17"/>
  <c r="CB55" i="17"/>
  <c r="CB45" i="17"/>
  <c r="CB71" i="17"/>
  <c r="CB61" i="17"/>
  <c r="CB51" i="17"/>
  <c r="CB67" i="17"/>
  <c r="CB44" i="17"/>
  <c r="CB31" i="17"/>
  <c r="CB21" i="17"/>
  <c r="CB47" i="17"/>
  <c r="CB27" i="17"/>
  <c r="CB17" i="17"/>
  <c r="CB33" i="17"/>
  <c r="CB23" i="17"/>
  <c r="CB57" i="17"/>
  <c r="CB42" i="17"/>
  <c r="CB74" i="17" s="1"/>
  <c r="CB30" i="17"/>
  <c r="CB20" i="17"/>
  <c r="CB50" i="17"/>
  <c r="CB26" i="17"/>
  <c r="CB16" i="17"/>
  <c r="CB32" i="17"/>
  <c r="CB22" i="17"/>
  <c r="CB8" i="17"/>
  <c r="CB60" i="17"/>
  <c r="CB15" i="17"/>
  <c r="CB5" i="17"/>
  <c r="CB11" i="17"/>
  <c r="CB7" i="17"/>
  <c r="CB25" i="17"/>
  <c r="CB13" i="17"/>
  <c r="CB18" i="17"/>
  <c r="CB10" i="17"/>
  <c r="CB28" i="17"/>
  <c r="CB12" i="17"/>
  <c r="CB6" i="17"/>
  <c r="DP64" i="17"/>
  <c r="DP54" i="17"/>
  <c r="DP70" i="17"/>
  <c r="DP60" i="17"/>
  <c r="DP66" i="17"/>
  <c r="DP56" i="17"/>
  <c r="DP46" i="17"/>
  <c r="DP72" i="17"/>
  <c r="DP62" i="17"/>
  <c r="DP52" i="17"/>
  <c r="DP69" i="17"/>
  <c r="DP59" i="17"/>
  <c r="DP49" i="17"/>
  <c r="DP65" i="17"/>
  <c r="DP55" i="17"/>
  <c r="DP45" i="17"/>
  <c r="DP71" i="17"/>
  <c r="DP61" i="17"/>
  <c r="DP51" i="17"/>
  <c r="DP44" i="17"/>
  <c r="DP31" i="17"/>
  <c r="DP21" i="17"/>
  <c r="DP57" i="17"/>
  <c r="DP27" i="17"/>
  <c r="DP17" i="17"/>
  <c r="DP50" i="17"/>
  <c r="DP33" i="17"/>
  <c r="DP23" i="17"/>
  <c r="DP67" i="17"/>
  <c r="DP42" i="17"/>
  <c r="DP74" i="17" s="1"/>
  <c r="DP30" i="17"/>
  <c r="DP20" i="17"/>
  <c r="DP26" i="17"/>
  <c r="DP16" i="17"/>
  <c r="DP32" i="17"/>
  <c r="DP22" i="17"/>
  <c r="DP8" i="17"/>
  <c r="DP15" i="17"/>
  <c r="DP5" i="17"/>
  <c r="DP25" i="17"/>
  <c r="DP11" i="17"/>
  <c r="DP18" i="17"/>
  <c r="DP7" i="17"/>
  <c r="DP47" i="17"/>
  <c r="DP13" i="17"/>
  <c r="DP28" i="17"/>
  <c r="DP10" i="17"/>
  <c r="DP12" i="17"/>
  <c r="DP6" i="17"/>
  <c r="AQ66" i="17"/>
  <c r="AQ56" i="17"/>
  <c r="AQ46" i="17"/>
  <c r="AQ72" i="17"/>
  <c r="AQ62" i="17"/>
  <c r="AQ52" i="17"/>
  <c r="AQ69" i="17"/>
  <c r="AQ59" i="17"/>
  <c r="AQ49" i="17"/>
  <c r="AQ65" i="17"/>
  <c r="AQ55" i="17"/>
  <c r="AQ45" i="17"/>
  <c r="AQ71" i="17"/>
  <c r="AQ61" i="17"/>
  <c r="AQ51" i="17"/>
  <c r="AQ67" i="17"/>
  <c r="AQ57" i="17"/>
  <c r="AQ47" i="17"/>
  <c r="AQ70" i="17"/>
  <c r="AQ64" i="17"/>
  <c r="AQ50" i="17"/>
  <c r="AQ44" i="17"/>
  <c r="AQ60" i="17"/>
  <c r="AQ74" i="17"/>
  <c r="AQ54" i="17"/>
  <c r="BA69" i="17"/>
  <c r="BA59" i="17"/>
  <c r="BA49" i="17"/>
  <c r="BA65" i="17"/>
  <c r="BA55" i="17"/>
  <c r="BA45" i="17"/>
  <c r="BA71" i="17"/>
  <c r="BA61" i="17"/>
  <c r="BA51" i="17"/>
  <c r="BA67" i="17"/>
  <c r="BA57" i="17"/>
  <c r="BA47" i="17"/>
  <c r="BA74" i="17"/>
  <c r="BA64" i="17"/>
  <c r="BA54" i="17"/>
  <c r="BA44" i="17"/>
  <c r="BA70" i="17"/>
  <c r="BA60" i="17"/>
  <c r="BA50" i="17"/>
  <c r="BA72" i="17"/>
  <c r="BA66" i="17"/>
  <c r="BA52" i="17"/>
  <c r="BA46" i="17"/>
  <c r="BA62" i="17"/>
  <c r="BA56" i="17"/>
  <c r="BE80" i="17"/>
  <c r="BQ2" i="17"/>
  <c r="BQ37" i="17" s="1"/>
  <c r="Z3" i="11"/>
  <c r="E37" i="17"/>
  <c r="E36" i="17"/>
  <c r="E111" i="15"/>
  <c r="E35" i="17"/>
  <c r="BY2" i="17"/>
  <c r="BY37" i="17" s="1"/>
  <c r="AH3" i="11"/>
  <c r="M37" i="17"/>
  <c r="M36" i="17"/>
  <c r="M35" i="17"/>
  <c r="M111" i="15"/>
  <c r="CW2" i="17"/>
  <c r="CW37" i="17" s="1"/>
  <c r="BF3" i="11"/>
  <c r="AK36" i="17"/>
  <c r="AK37" i="17"/>
  <c r="AK111" i="15"/>
  <c r="AK35" i="17"/>
  <c r="DU2" i="17"/>
  <c r="DU37" i="17" s="1"/>
  <c r="CD3" i="11"/>
  <c r="BI36" i="17"/>
  <c r="BI37" i="17"/>
  <c r="BI35" i="17"/>
  <c r="BI111" i="15"/>
  <c r="CL66" i="17"/>
  <c r="CL56" i="17"/>
  <c r="CL46" i="17"/>
  <c r="CL72" i="17"/>
  <c r="CL62" i="17"/>
  <c r="CL69" i="17"/>
  <c r="CL59" i="17"/>
  <c r="CL49" i="17"/>
  <c r="CL65" i="17"/>
  <c r="CL55" i="17"/>
  <c r="CL45" i="17"/>
  <c r="CL71" i="17"/>
  <c r="CL61" i="17"/>
  <c r="CL51" i="17"/>
  <c r="CL67" i="17"/>
  <c r="CL57" i="17"/>
  <c r="CL47" i="17"/>
  <c r="CL64" i="17"/>
  <c r="CL54" i="17"/>
  <c r="CL70" i="17"/>
  <c r="CL33" i="17"/>
  <c r="CL23" i="17"/>
  <c r="CL50" i="17"/>
  <c r="CL42" i="17"/>
  <c r="CL74" i="17" s="1"/>
  <c r="CL30" i="17"/>
  <c r="CL20" i="17"/>
  <c r="CL26" i="17"/>
  <c r="CL16" i="17"/>
  <c r="CL60" i="17"/>
  <c r="CL32" i="17"/>
  <c r="CL22" i="17"/>
  <c r="CL52" i="17"/>
  <c r="CL28" i="17"/>
  <c r="CL18" i="17"/>
  <c r="CL25" i="17"/>
  <c r="CL11" i="17"/>
  <c r="CL7" i="17"/>
  <c r="CL13" i="17"/>
  <c r="CL10" i="17"/>
  <c r="CL27" i="17"/>
  <c r="CL6" i="17"/>
  <c r="CL21" i="17"/>
  <c r="CL17" i="17"/>
  <c r="CL12" i="17"/>
  <c r="CL44" i="17"/>
  <c r="CL31" i="17"/>
  <c r="CL15" i="17"/>
  <c r="CL5" i="17"/>
  <c r="CL8" i="17"/>
  <c r="DB66" i="17"/>
  <c r="DB56" i="17"/>
  <c r="DB46" i="17"/>
  <c r="DB72" i="17"/>
  <c r="DB62" i="17"/>
  <c r="DB69" i="17"/>
  <c r="DB59" i="17"/>
  <c r="DB49" i="17"/>
  <c r="DB65" i="17"/>
  <c r="DB55" i="17"/>
  <c r="DB45" i="17"/>
  <c r="DB71" i="17"/>
  <c r="DB61" i="17"/>
  <c r="DB51" i="17"/>
  <c r="DB67" i="17"/>
  <c r="DB57" i="17"/>
  <c r="DB47" i="17"/>
  <c r="DB64" i="17"/>
  <c r="DB54" i="17"/>
  <c r="DB52" i="17"/>
  <c r="DB33" i="17"/>
  <c r="DB23" i="17"/>
  <c r="DB60" i="17"/>
  <c r="DB42" i="17"/>
  <c r="DB74" i="17" s="1"/>
  <c r="DB30" i="17"/>
  <c r="DB20" i="17"/>
  <c r="DB26" i="17"/>
  <c r="DB16" i="17"/>
  <c r="DB32" i="17"/>
  <c r="DB22" i="17"/>
  <c r="DB28" i="17"/>
  <c r="DB18" i="17"/>
  <c r="DB50" i="17"/>
  <c r="DB25" i="17"/>
  <c r="DB27" i="17"/>
  <c r="DB11" i="17"/>
  <c r="DB70" i="17"/>
  <c r="DB21" i="17"/>
  <c r="DB7" i="17"/>
  <c r="DB13" i="17"/>
  <c r="DB44" i="17"/>
  <c r="DB31" i="17"/>
  <c r="DB10" i="17"/>
  <c r="DB6" i="17"/>
  <c r="DB12" i="17"/>
  <c r="DB17" i="17"/>
  <c r="DB15" i="17"/>
  <c r="DB5" i="17"/>
  <c r="DB8" i="17"/>
  <c r="M2" i="19"/>
  <c r="AB72" i="17"/>
  <c r="AB62" i="17"/>
  <c r="AB52" i="17"/>
  <c r="AB69" i="17"/>
  <c r="AB59" i="17"/>
  <c r="AB49" i="17"/>
  <c r="AB65" i="17"/>
  <c r="AB55" i="17"/>
  <c r="AB45" i="17"/>
  <c r="AB71" i="17"/>
  <c r="AB61" i="17"/>
  <c r="AB51" i="17"/>
  <c r="AB67" i="17"/>
  <c r="AB57" i="17"/>
  <c r="AB47" i="17"/>
  <c r="AB74" i="17"/>
  <c r="AB64" i="17"/>
  <c r="AB54" i="17"/>
  <c r="AB44" i="17"/>
  <c r="AB66" i="17"/>
  <c r="AB60" i="17"/>
  <c r="AB46" i="17"/>
  <c r="AB56" i="17"/>
  <c r="AB70" i="17"/>
  <c r="AB50" i="17"/>
  <c r="BJ65" i="17"/>
  <c r="BJ55" i="17"/>
  <c r="BJ45" i="17"/>
  <c r="BJ71" i="17"/>
  <c r="BJ61" i="17"/>
  <c r="BJ51" i="17"/>
  <c r="BJ67" i="17"/>
  <c r="BJ57" i="17"/>
  <c r="BJ47" i="17"/>
  <c r="BJ74" i="17"/>
  <c r="BJ64" i="17"/>
  <c r="BJ54" i="17"/>
  <c r="BJ44" i="17"/>
  <c r="BJ70" i="17"/>
  <c r="BJ60" i="17"/>
  <c r="BJ50" i="17"/>
  <c r="BJ66" i="17"/>
  <c r="BJ56" i="17"/>
  <c r="BJ46" i="17"/>
  <c r="BJ69" i="17"/>
  <c r="BJ52" i="17"/>
  <c r="BJ62" i="17"/>
  <c r="BJ72" i="17"/>
  <c r="BJ49" i="17"/>
  <c r="BJ59" i="17"/>
  <c r="CX2" i="17"/>
  <c r="CX37" i="17" s="1"/>
  <c r="BG3" i="11"/>
  <c r="AL36" i="17"/>
  <c r="AL37" i="17"/>
  <c r="AL35" i="17"/>
  <c r="AL111" i="15"/>
  <c r="CE72" i="17"/>
  <c r="CE62" i="17"/>
  <c r="CE52" i="17"/>
  <c r="CE69" i="17"/>
  <c r="CE65" i="17"/>
  <c r="CE55" i="17"/>
  <c r="CE45" i="17"/>
  <c r="CE71" i="17"/>
  <c r="CE61" i="17"/>
  <c r="CE51" i="17"/>
  <c r="CE67" i="17"/>
  <c r="CE57" i="17"/>
  <c r="CE47" i="17"/>
  <c r="CE64" i="17"/>
  <c r="CE54" i="17"/>
  <c r="CE70" i="17"/>
  <c r="CE60" i="17"/>
  <c r="CE50" i="17"/>
  <c r="CE42" i="17"/>
  <c r="CE74" i="17" s="1"/>
  <c r="CE30" i="17"/>
  <c r="CE20" i="17"/>
  <c r="CE56" i="17"/>
  <c r="CE26" i="17"/>
  <c r="CE16" i="17"/>
  <c r="CE49" i="17"/>
  <c r="CE32" i="17"/>
  <c r="CE22" i="17"/>
  <c r="CE28" i="17"/>
  <c r="CE18" i="17"/>
  <c r="CE59" i="17"/>
  <c r="CE25" i="17"/>
  <c r="CE44" i="17"/>
  <c r="CE31" i="17"/>
  <c r="CE21" i="17"/>
  <c r="CE66" i="17"/>
  <c r="CE7" i="17"/>
  <c r="CE13" i="17"/>
  <c r="CE46" i="17"/>
  <c r="CE23" i="17"/>
  <c r="CE10" i="17"/>
  <c r="CE6" i="17"/>
  <c r="CE33" i="17"/>
  <c r="CE12" i="17"/>
  <c r="CE27" i="17"/>
  <c r="CE8" i="17"/>
  <c r="CE17" i="17"/>
  <c r="CE11" i="17"/>
  <c r="CE15" i="17"/>
  <c r="CE5" i="17"/>
  <c r="F2" i="19"/>
  <c r="AC69" i="17"/>
  <c r="AC59" i="17"/>
  <c r="AC49" i="17"/>
  <c r="AC65" i="17"/>
  <c r="AC55" i="17"/>
  <c r="AC45" i="17"/>
  <c r="AC71" i="17"/>
  <c r="AC61" i="17"/>
  <c r="AC51" i="17"/>
  <c r="AC67" i="17"/>
  <c r="AC57" i="17"/>
  <c r="AC47" i="17"/>
  <c r="AC74" i="17"/>
  <c r="AC64" i="17"/>
  <c r="AC54" i="17"/>
  <c r="AC44" i="17"/>
  <c r="AC70" i="17"/>
  <c r="AC60" i="17"/>
  <c r="AC50" i="17"/>
  <c r="AC72" i="17"/>
  <c r="AC52" i="17"/>
  <c r="AC46" i="17"/>
  <c r="AC62" i="17"/>
  <c r="AC66" i="17"/>
  <c r="AC56" i="17"/>
  <c r="AK69" i="17"/>
  <c r="AK59" i="17"/>
  <c r="AK49" i="17"/>
  <c r="AK65" i="17"/>
  <c r="AK55" i="17"/>
  <c r="AK45" i="17"/>
  <c r="AK71" i="17"/>
  <c r="AK61" i="17"/>
  <c r="AK51" i="17"/>
  <c r="AK67" i="17"/>
  <c r="AK57" i="17"/>
  <c r="AK47" i="17"/>
  <c r="AK74" i="17"/>
  <c r="AK64" i="17"/>
  <c r="AK54" i="17"/>
  <c r="AK44" i="17"/>
  <c r="AK70" i="17"/>
  <c r="AK60" i="17"/>
  <c r="AK50" i="17"/>
  <c r="AK72" i="17"/>
  <c r="AK46" i="17"/>
  <c r="AK62" i="17"/>
  <c r="AK56" i="17"/>
  <c r="AK66" i="17"/>
  <c r="AK52" i="17"/>
  <c r="AS69" i="17"/>
  <c r="AS59" i="17"/>
  <c r="AS49" i="17"/>
  <c r="AS65" i="17"/>
  <c r="AS55" i="17"/>
  <c r="AS45" i="17"/>
  <c r="AS71" i="17"/>
  <c r="AS61" i="17"/>
  <c r="AS51" i="17"/>
  <c r="AS67" i="17"/>
  <c r="AS57" i="17"/>
  <c r="AS47" i="17"/>
  <c r="AS74" i="17"/>
  <c r="AS64" i="17"/>
  <c r="AS54" i="17"/>
  <c r="AS44" i="17"/>
  <c r="AS70" i="17"/>
  <c r="AS60" i="17"/>
  <c r="AS50" i="17"/>
  <c r="AS72" i="17"/>
  <c r="AS56" i="17"/>
  <c r="AS66" i="17"/>
  <c r="AS52" i="17"/>
  <c r="AS46" i="17"/>
  <c r="AS62" i="17"/>
  <c r="AY41" i="17"/>
  <c r="BC71" i="17"/>
  <c r="BC61" i="17"/>
  <c r="BC51" i="17"/>
  <c r="BC67" i="17"/>
  <c r="BC57" i="17"/>
  <c r="BC47" i="17"/>
  <c r="BC74" i="17"/>
  <c r="BC64" i="17"/>
  <c r="BC54" i="17"/>
  <c r="BC44" i="17"/>
  <c r="BC70" i="17"/>
  <c r="BC60" i="17"/>
  <c r="BC50" i="17"/>
  <c r="BC66" i="17"/>
  <c r="BC56" i="17"/>
  <c r="BC46" i="17"/>
  <c r="BC72" i="17"/>
  <c r="BC62" i="17"/>
  <c r="BC52" i="17"/>
  <c r="BC65" i="17"/>
  <c r="BC59" i="17"/>
  <c r="BC69" i="17"/>
  <c r="BC45" i="17"/>
  <c r="BC55" i="17"/>
  <c r="BC49" i="17"/>
  <c r="AY80" i="17"/>
  <c r="BG80" i="17"/>
  <c r="AB3" i="11"/>
  <c r="G37" i="17"/>
  <c r="G36" i="17"/>
  <c r="G111" i="15"/>
  <c r="G35" i="17"/>
  <c r="CA2" i="17"/>
  <c r="CA37" i="17" s="1"/>
  <c r="AJ3" i="11"/>
  <c r="O37" i="17"/>
  <c r="O36" i="17"/>
  <c r="O111" i="15"/>
  <c r="O35" i="17"/>
  <c r="AR3" i="11"/>
  <c r="W37" i="17"/>
  <c r="W36" i="17"/>
  <c r="W35" i="17"/>
  <c r="W111" i="15"/>
  <c r="BH3" i="11"/>
  <c r="AM36" i="17"/>
  <c r="AM37" i="17"/>
  <c r="AM35" i="17"/>
  <c r="AM111" i="15"/>
  <c r="DG2" i="17"/>
  <c r="DG37" i="17" s="1"/>
  <c r="BP3" i="11"/>
  <c r="AU36" i="17"/>
  <c r="AU37" i="17"/>
  <c r="AU35" i="17"/>
  <c r="AU111" i="15"/>
  <c r="BP69" i="17"/>
  <c r="BP59" i="17"/>
  <c r="BP49" i="17"/>
  <c r="BP65" i="17"/>
  <c r="BP71" i="17"/>
  <c r="BP61" i="17"/>
  <c r="BP51" i="17"/>
  <c r="BP67" i="17"/>
  <c r="BP57" i="17"/>
  <c r="BP47" i="17"/>
  <c r="BP64" i="17"/>
  <c r="BP54" i="17"/>
  <c r="BP70" i="17"/>
  <c r="BP60" i="17"/>
  <c r="BP50" i="17"/>
  <c r="BP66" i="17"/>
  <c r="BP56" i="17"/>
  <c r="BP46" i="17"/>
  <c r="BP26" i="17"/>
  <c r="BP52" i="17"/>
  <c r="BP32" i="17"/>
  <c r="BP22" i="17"/>
  <c r="BP45" i="17"/>
  <c r="BP28" i="17"/>
  <c r="BP18" i="17"/>
  <c r="BP25" i="17"/>
  <c r="BP72" i="17"/>
  <c r="BP55" i="17"/>
  <c r="BP44" i="17"/>
  <c r="BP31" i="17"/>
  <c r="BP21" i="17"/>
  <c r="BP27" i="17"/>
  <c r="BP17" i="17"/>
  <c r="BP13" i="17"/>
  <c r="BP10" i="17"/>
  <c r="BP20" i="17"/>
  <c r="BP16" i="17"/>
  <c r="BP6" i="17"/>
  <c r="BP12" i="17"/>
  <c r="BP42" i="17"/>
  <c r="BP74" i="17" s="1"/>
  <c r="BP30" i="17"/>
  <c r="BP8" i="17"/>
  <c r="BP23" i="17"/>
  <c r="BP15" i="17"/>
  <c r="BP5" i="17"/>
  <c r="BP33" i="17"/>
  <c r="BP7" i="17"/>
  <c r="BP11" i="17"/>
  <c r="BP62" i="17"/>
  <c r="BX69" i="17"/>
  <c r="BX59" i="17"/>
  <c r="BX49" i="17"/>
  <c r="BX65" i="17"/>
  <c r="BX71" i="17"/>
  <c r="BX61" i="17"/>
  <c r="BX51" i="17"/>
  <c r="BX67" i="17"/>
  <c r="BX57" i="17"/>
  <c r="BX47" i="17"/>
  <c r="BX64" i="17"/>
  <c r="BX54" i="17"/>
  <c r="BX70" i="17"/>
  <c r="BX60" i="17"/>
  <c r="BX50" i="17"/>
  <c r="BX66" i="17"/>
  <c r="BX56" i="17"/>
  <c r="BX46" i="17"/>
  <c r="BX45" i="17"/>
  <c r="BX26" i="17"/>
  <c r="BX32" i="17"/>
  <c r="BX22" i="17"/>
  <c r="BX55" i="17"/>
  <c r="BX28" i="17"/>
  <c r="BX18" i="17"/>
  <c r="BX72" i="17"/>
  <c r="BX25" i="17"/>
  <c r="BX44" i="17"/>
  <c r="BX31" i="17"/>
  <c r="BX21" i="17"/>
  <c r="BX27" i="17"/>
  <c r="BX17" i="17"/>
  <c r="BX52" i="17"/>
  <c r="BX20" i="17"/>
  <c r="BX13" i="17"/>
  <c r="BX10" i="17"/>
  <c r="BX42" i="17"/>
  <c r="BX74" i="17" s="1"/>
  <c r="BX30" i="17"/>
  <c r="BX16" i="17"/>
  <c r="BX6" i="17"/>
  <c r="BX23" i="17"/>
  <c r="BX12" i="17"/>
  <c r="BX8" i="17"/>
  <c r="BX62" i="17"/>
  <c r="BX33" i="17"/>
  <c r="BX15" i="17"/>
  <c r="BX5" i="17"/>
  <c r="BX7" i="17"/>
  <c r="BX11" i="17"/>
  <c r="CN69" i="17"/>
  <c r="CN59" i="17"/>
  <c r="CN49" i="17"/>
  <c r="CN65" i="17"/>
  <c r="CN71" i="17"/>
  <c r="CN61" i="17"/>
  <c r="CN51" i="17"/>
  <c r="CN67" i="17"/>
  <c r="CN57" i="17"/>
  <c r="CN47" i="17"/>
  <c r="CN64" i="17"/>
  <c r="CN54" i="17"/>
  <c r="CN70" i="17"/>
  <c r="CN60" i="17"/>
  <c r="CN50" i="17"/>
  <c r="CN66" i="17"/>
  <c r="CN56" i="17"/>
  <c r="CN46" i="17"/>
  <c r="CN26" i="17"/>
  <c r="CN16" i="17"/>
  <c r="CN72" i="17"/>
  <c r="CN32" i="17"/>
  <c r="CN22" i="17"/>
  <c r="CN28" i="17"/>
  <c r="CN18" i="17"/>
  <c r="CN52" i="17"/>
  <c r="CN25" i="17"/>
  <c r="CN62" i="17"/>
  <c r="CN45" i="17"/>
  <c r="CN44" i="17"/>
  <c r="CN31" i="17"/>
  <c r="CN21" i="17"/>
  <c r="CN27" i="17"/>
  <c r="CN17" i="17"/>
  <c r="CN13" i="17"/>
  <c r="CN33" i="17"/>
  <c r="CN10" i="17"/>
  <c r="CN6" i="17"/>
  <c r="CN12" i="17"/>
  <c r="CN20" i="17"/>
  <c r="CN8" i="17"/>
  <c r="CN15" i="17"/>
  <c r="CN5" i="17"/>
  <c r="CN55" i="17"/>
  <c r="CN23" i="17"/>
  <c r="CN7" i="17"/>
  <c r="CN42" i="17"/>
  <c r="CN74" i="17" s="1"/>
  <c r="CN30" i="17"/>
  <c r="CN11" i="17"/>
  <c r="CV69" i="17"/>
  <c r="CV59" i="17"/>
  <c r="CV49" i="17"/>
  <c r="CV65" i="17"/>
  <c r="CV71" i="17"/>
  <c r="CV61" i="17"/>
  <c r="CV51" i="17"/>
  <c r="CV67" i="17"/>
  <c r="CV57" i="17"/>
  <c r="CV47" i="17"/>
  <c r="CV64" i="17"/>
  <c r="CV54" i="17"/>
  <c r="CV70" i="17"/>
  <c r="CV60" i="17"/>
  <c r="CV50" i="17"/>
  <c r="CV66" i="17"/>
  <c r="CV56" i="17"/>
  <c r="CV46" i="17"/>
  <c r="CV72" i="17"/>
  <c r="CV26" i="17"/>
  <c r="CV16" i="17"/>
  <c r="CV52" i="17"/>
  <c r="CV32" i="17"/>
  <c r="CV22" i="17"/>
  <c r="CV45" i="17"/>
  <c r="CV28" i="17"/>
  <c r="CV18" i="17"/>
  <c r="CV62" i="17"/>
  <c r="CV25" i="17"/>
  <c r="CV55" i="17"/>
  <c r="CV44" i="17"/>
  <c r="CV36" i="17"/>
  <c r="CV31" i="17"/>
  <c r="CV21" i="17"/>
  <c r="CV27" i="17"/>
  <c r="CV17" i="17"/>
  <c r="CV13" i="17"/>
  <c r="CV10" i="17"/>
  <c r="CV20" i="17"/>
  <c r="CV6" i="17"/>
  <c r="CV12" i="17"/>
  <c r="CV42" i="17"/>
  <c r="CV74" i="17" s="1"/>
  <c r="CV30" i="17"/>
  <c r="CV8" i="17"/>
  <c r="CV23" i="17"/>
  <c r="CV15" i="17"/>
  <c r="CV5" i="17"/>
  <c r="CV33" i="17"/>
  <c r="CV7" i="17"/>
  <c r="CV11" i="17"/>
  <c r="DD69" i="17"/>
  <c r="DD59" i="17"/>
  <c r="DD49" i="17"/>
  <c r="DD65" i="17"/>
  <c r="DD71" i="17"/>
  <c r="DD61" i="17"/>
  <c r="DD51" i="17"/>
  <c r="DD67" i="17"/>
  <c r="DD57" i="17"/>
  <c r="DD47" i="17"/>
  <c r="DD64" i="17"/>
  <c r="DD54" i="17"/>
  <c r="DD70" i="17"/>
  <c r="DD60" i="17"/>
  <c r="DD50" i="17"/>
  <c r="DD66" i="17"/>
  <c r="DD56" i="17"/>
  <c r="DD46" i="17"/>
  <c r="DD45" i="17"/>
  <c r="DD26" i="17"/>
  <c r="DD16" i="17"/>
  <c r="DD32" i="17"/>
  <c r="DD22" i="17"/>
  <c r="DD62" i="17"/>
  <c r="DD55" i="17"/>
  <c r="DD28" i="17"/>
  <c r="DD18" i="17"/>
  <c r="DD25" i="17"/>
  <c r="DD44" i="17"/>
  <c r="DD31" i="17"/>
  <c r="DD21" i="17"/>
  <c r="DD27" i="17"/>
  <c r="DD17" i="17"/>
  <c r="DD20" i="17"/>
  <c r="DD13" i="17"/>
  <c r="DD10" i="17"/>
  <c r="DD42" i="17"/>
  <c r="DD74" i="17" s="1"/>
  <c r="DD30" i="17"/>
  <c r="DD6" i="17"/>
  <c r="DD23" i="17"/>
  <c r="DD12" i="17"/>
  <c r="DD8" i="17"/>
  <c r="DD33" i="17"/>
  <c r="DD15" i="17"/>
  <c r="DD5" i="17"/>
  <c r="DD7" i="17"/>
  <c r="DD52" i="17"/>
  <c r="DD11" i="17"/>
  <c r="DD72" i="17"/>
  <c r="DT69" i="17"/>
  <c r="DT59" i="17"/>
  <c r="DT49" i="17"/>
  <c r="DT65" i="17"/>
  <c r="DT71" i="17"/>
  <c r="DT61" i="17"/>
  <c r="DT51" i="17"/>
  <c r="DT67" i="17"/>
  <c r="DT57" i="17"/>
  <c r="DT47" i="17"/>
  <c r="DT64" i="17"/>
  <c r="DT54" i="17"/>
  <c r="DT70" i="17"/>
  <c r="DT60" i="17"/>
  <c r="DT50" i="17"/>
  <c r="DT66" i="17"/>
  <c r="DT56" i="17"/>
  <c r="DT46" i="17"/>
  <c r="DT62" i="17"/>
  <c r="DT26" i="17"/>
  <c r="DT16" i="17"/>
  <c r="DT32" i="17"/>
  <c r="DT22" i="17"/>
  <c r="DT28" i="17"/>
  <c r="DT18" i="17"/>
  <c r="DT52" i="17"/>
  <c r="DT25" i="17"/>
  <c r="DT45" i="17"/>
  <c r="DT44" i="17"/>
  <c r="DT31" i="17"/>
  <c r="DT21" i="17"/>
  <c r="DT72" i="17"/>
  <c r="DT27" i="17"/>
  <c r="DT17" i="17"/>
  <c r="DT13" i="17"/>
  <c r="DT33" i="17"/>
  <c r="DT10" i="17"/>
  <c r="DT6" i="17"/>
  <c r="DT12" i="17"/>
  <c r="DT20" i="17"/>
  <c r="DT8" i="17"/>
  <c r="DT55" i="17"/>
  <c r="DT15" i="17"/>
  <c r="DT5" i="17"/>
  <c r="DT23" i="17"/>
  <c r="DT7" i="17"/>
  <c r="DT11" i="17"/>
  <c r="DT30" i="17"/>
  <c r="DT42" i="17"/>
  <c r="DT74" i="17" s="1"/>
  <c r="CQ2" i="17"/>
  <c r="O2" i="19"/>
  <c r="W2" i="19"/>
  <c r="AM2" i="19"/>
  <c r="AU2" i="19"/>
  <c r="AD65" i="17"/>
  <c r="AD55" i="17"/>
  <c r="AD45" i="17"/>
  <c r="AD71" i="17"/>
  <c r="AD61" i="17"/>
  <c r="AD51" i="17"/>
  <c r="AD67" i="17"/>
  <c r="AD57" i="17"/>
  <c r="AD47" i="17"/>
  <c r="AD74" i="17"/>
  <c r="AD64" i="17"/>
  <c r="AD54" i="17"/>
  <c r="AD44" i="17"/>
  <c r="AD70" i="17"/>
  <c r="AD60" i="17"/>
  <c r="AD50" i="17"/>
  <c r="AD66" i="17"/>
  <c r="AD56" i="17"/>
  <c r="AD46" i="17"/>
  <c r="AD69" i="17"/>
  <c r="AD52" i="17"/>
  <c r="AD62" i="17"/>
  <c r="AD49" i="17"/>
  <c r="AD72" i="17"/>
  <c r="AD59" i="17"/>
  <c r="AL65" i="17"/>
  <c r="AL55" i="17"/>
  <c r="AL45" i="17"/>
  <c r="AL71" i="17"/>
  <c r="AL61" i="17"/>
  <c r="AL51" i="17"/>
  <c r="AL67" i="17"/>
  <c r="AL57" i="17"/>
  <c r="AL47" i="17"/>
  <c r="AL74" i="17"/>
  <c r="AL64" i="17"/>
  <c r="AL54" i="17"/>
  <c r="AL44" i="17"/>
  <c r="AL70" i="17"/>
  <c r="AL60" i="17"/>
  <c r="AL50" i="17"/>
  <c r="AL66" i="17"/>
  <c r="AL56" i="17"/>
  <c r="AL46" i="17"/>
  <c r="AL69" i="17"/>
  <c r="AL62" i="17"/>
  <c r="AL49" i="17"/>
  <c r="AL59" i="17"/>
  <c r="AL72" i="17"/>
  <c r="AL52" i="17"/>
  <c r="AT65" i="17"/>
  <c r="AT55" i="17"/>
  <c r="AT45" i="17"/>
  <c r="AT71" i="17"/>
  <c r="AT61" i="17"/>
  <c r="AT51" i="17"/>
  <c r="AT67" i="17"/>
  <c r="AT57" i="17"/>
  <c r="AT47" i="17"/>
  <c r="AT74" i="17"/>
  <c r="AT64" i="17"/>
  <c r="AT54" i="17"/>
  <c r="AT44" i="17"/>
  <c r="AT70" i="17"/>
  <c r="AT60" i="17"/>
  <c r="AT50" i="17"/>
  <c r="AT66" i="17"/>
  <c r="AT56" i="17"/>
  <c r="AT46" i="17"/>
  <c r="AT69" i="17"/>
  <c r="AT49" i="17"/>
  <c r="AT59" i="17"/>
  <c r="AT52" i="17"/>
  <c r="AT72" i="17"/>
  <c r="AT62" i="17"/>
  <c r="AZ41" i="17"/>
  <c r="BH41" i="17"/>
  <c r="BD67" i="17"/>
  <c r="BD57" i="17"/>
  <c r="BD47" i="17"/>
  <c r="BD74" i="17"/>
  <c r="BD64" i="17"/>
  <c r="BD54" i="17"/>
  <c r="BD44" i="17"/>
  <c r="BD70" i="17"/>
  <c r="BD60" i="17"/>
  <c r="BD50" i="17"/>
  <c r="BD66" i="17"/>
  <c r="BD56" i="17"/>
  <c r="BD46" i="17"/>
  <c r="BD72" i="17"/>
  <c r="BD62" i="17"/>
  <c r="BD52" i="17"/>
  <c r="BD69" i="17"/>
  <c r="BD59" i="17"/>
  <c r="BD49" i="17"/>
  <c r="BD71" i="17"/>
  <c r="BD65" i="17"/>
  <c r="BD51" i="17"/>
  <c r="BD45" i="17"/>
  <c r="BD61" i="17"/>
  <c r="BD55" i="17"/>
  <c r="AZ80" i="17"/>
  <c r="BH80" i="17"/>
  <c r="BT2" i="17"/>
  <c r="BT37" i="17" s="1"/>
  <c r="AC3" i="11"/>
  <c r="H37" i="17"/>
  <c r="H36" i="17"/>
  <c r="H35" i="17"/>
  <c r="H111" i="15"/>
  <c r="CB2" i="17"/>
  <c r="CB37" i="17" s="1"/>
  <c r="AK3" i="11"/>
  <c r="P37" i="17"/>
  <c r="P36" i="17"/>
  <c r="P35" i="17"/>
  <c r="P111" i="15"/>
  <c r="CJ2" i="17"/>
  <c r="CJ37" i="17" s="1"/>
  <c r="AS3" i="11"/>
  <c r="X37" i="17"/>
  <c r="X36" i="17"/>
  <c r="X111" i="15"/>
  <c r="X35" i="17"/>
  <c r="CR2" i="17"/>
  <c r="CR37" i="17" s="1"/>
  <c r="BA3" i="11"/>
  <c r="AF36" i="17"/>
  <c r="AF37" i="17"/>
  <c r="AF35" i="17"/>
  <c r="AF111" i="15"/>
  <c r="CZ2" i="17"/>
  <c r="CZ37" i="17" s="1"/>
  <c r="BI3" i="11"/>
  <c r="AN36" i="17"/>
  <c r="AN37" i="17"/>
  <c r="AN35" i="17"/>
  <c r="AN111" i="15"/>
  <c r="DH2" i="17"/>
  <c r="DH37" i="17" s="1"/>
  <c r="BQ3" i="11"/>
  <c r="AV36" i="17"/>
  <c r="AV37" i="17"/>
  <c r="AV35" i="17"/>
  <c r="AV111" i="15"/>
  <c r="DP2" i="17"/>
  <c r="DP37" i="17" s="1"/>
  <c r="BY3" i="11"/>
  <c r="BD36" i="17"/>
  <c r="BD37" i="17"/>
  <c r="BD35" i="17"/>
  <c r="BD111" i="15"/>
  <c r="BQ65" i="17"/>
  <c r="BQ55" i="17"/>
  <c r="BQ45" i="17"/>
  <c r="BQ71" i="17"/>
  <c r="BQ61" i="17"/>
  <c r="BQ67" i="17"/>
  <c r="BQ57" i="17"/>
  <c r="BQ47" i="17"/>
  <c r="BQ64" i="17"/>
  <c r="BQ54" i="17"/>
  <c r="BQ70" i="17"/>
  <c r="BQ60" i="17"/>
  <c r="BQ50" i="17"/>
  <c r="BQ66" i="17"/>
  <c r="BQ56" i="17"/>
  <c r="BQ46" i="17"/>
  <c r="BQ72" i="17"/>
  <c r="BQ62" i="17"/>
  <c r="BQ52" i="17"/>
  <c r="BQ51" i="17"/>
  <c r="BQ32" i="17"/>
  <c r="BQ22" i="17"/>
  <c r="BQ28" i="17"/>
  <c r="BQ18" i="17"/>
  <c r="BQ69" i="17"/>
  <c r="BQ25" i="17"/>
  <c r="BQ44" i="17"/>
  <c r="BQ31" i="17"/>
  <c r="BQ21" i="17"/>
  <c r="BQ27" i="17"/>
  <c r="BQ17" i="17"/>
  <c r="BQ49" i="17"/>
  <c r="BQ33" i="17"/>
  <c r="BQ23" i="17"/>
  <c r="BQ26" i="17"/>
  <c r="BQ10" i="17"/>
  <c r="BQ20" i="17"/>
  <c r="BQ16" i="17"/>
  <c r="BQ6" i="17"/>
  <c r="BQ12" i="17"/>
  <c r="BQ42" i="17"/>
  <c r="BQ74" i="17" s="1"/>
  <c r="BQ30" i="17"/>
  <c r="BQ8" i="17"/>
  <c r="BQ15" i="17"/>
  <c r="BQ5" i="17"/>
  <c r="BQ11" i="17"/>
  <c r="BQ13" i="17"/>
  <c r="BQ59" i="17"/>
  <c r="BQ7" i="17"/>
  <c r="BY65" i="17"/>
  <c r="BY55" i="17"/>
  <c r="BY45" i="17"/>
  <c r="BY71" i="17"/>
  <c r="BY61" i="17"/>
  <c r="BY67" i="17"/>
  <c r="BY57" i="17"/>
  <c r="BY47" i="17"/>
  <c r="BY64" i="17"/>
  <c r="BY54" i="17"/>
  <c r="BY70" i="17"/>
  <c r="BY60" i="17"/>
  <c r="BY50" i="17"/>
  <c r="BY66" i="17"/>
  <c r="BY56" i="17"/>
  <c r="BY46" i="17"/>
  <c r="BY72" i="17"/>
  <c r="BY62" i="17"/>
  <c r="BY52" i="17"/>
  <c r="BY32" i="17"/>
  <c r="BY22" i="17"/>
  <c r="BY69" i="17"/>
  <c r="BY28" i="17"/>
  <c r="BY18" i="17"/>
  <c r="BY25" i="17"/>
  <c r="BY49" i="17"/>
  <c r="BY44" i="17"/>
  <c r="BY31" i="17"/>
  <c r="BY21" i="17"/>
  <c r="BY27" i="17"/>
  <c r="BY17" i="17"/>
  <c r="BY59" i="17"/>
  <c r="BY33" i="17"/>
  <c r="BY23" i="17"/>
  <c r="BY10" i="17"/>
  <c r="BY42" i="17"/>
  <c r="BY74" i="17" s="1"/>
  <c r="BY30" i="17"/>
  <c r="BY16" i="17"/>
  <c r="BY6" i="17"/>
  <c r="BY12" i="17"/>
  <c r="BY51" i="17"/>
  <c r="BY8" i="17"/>
  <c r="BY15" i="17"/>
  <c r="BY5" i="17"/>
  <c r="BY11" i="17"/>
  <c r="BY20" i="17"/>
  <c r="BY13" i="17"/>
  <c r="BY26" i="17"/>
  <c r="BY7" i="17"/>
  <c r="CG65" i="17"/>
  <c r="CG55" i="17"/>
  <c r="CG45" i="17"/>
  <c r="CG71" i="17"/>
  <c r="CG61" i="17"/>
  <c r="CG67" i="17"/>
  <c r="CG57" i="17"/>
  <c r="CG47" i="17"/>
  <c r="CG64" i="17"/>
  <c r="CG54" i="17"/>
  <c r="CG70" i="17"/>
  <c r="CG60" i="17"/>
  <c r="CG50" i="17"/>
  <c r="CG66" i="17"/>
  <c r="CG56" i="17"/>
  <c r="CG46" i="17"/>
  <c r="CG72" i="17"/>
  <c r="CG62" i="17"/>
  <c r="CG52" i="17"/>
  <c r="CG69" i="17"/>
  <c r="CG32" i="17"/>
  <c r="CG22" i="17"/>
  <c r="CG49" i="17"/>
  <c r="CG28" i="17"/>
  <c r="CG18" i="17"/>
  <c r="CG25" i="17"/>
  <c r="CG59" i="17"/>
  <c r="CG44" i="17"/>
  <c r="CG31" i="17"/>
  <c r="CG21" i="17"/>
  <c r="CG51" i="17"/>
  <c r="CG27" i="17"/>
  <c r="CG17" i="17"/>
  <c r="CG33" i="17"/>
  <c r="CG23" i="17"/>
  <c r="CG10" i="17"/>
  <c r="CG6" i="17"/>
  <c r="CG12" i="17"/>
  <c r="CG8" i="17"/>
  <c r="CG26" i="17"/>
  <c r="CG15" i="17"/>
  <c r="CG5" i="17"/>
  <c r="CG20" i="17"/>
  <c r="CG16" i="17"/>
  <c r="CG11" i="17"/>
  <c r="CG42" i="17"/>
  <c r="CG74" i="17" s="1"/>
  <c r="CG30" i="17"/>
  <c r="CG13" i="17"/>
  <c r="CG7" i="17"/>
  <c r="CO65" i="17"/>
  <c r="CO55" i="17"/>
  <c r="CO45" i="17"/>
  <c r="CO71" i="17"/>
  <c r="CO61" i="17"/>
  <c r="CO67" i="17"/>
  <c r="CO57" i="17"/>
  <c r="CO47" i="17"/>
  <c r="CO64" i="17"/>
  <c r="CO54" i="17"/>
  <c r="CO70" i="17"/>
  <c r="CO60" i="17"/>
  <c r="CO50" i="17"/>
  <c r="CO66" i="17"/>
  <c r="CO56" i="17"/>
  <c r="CO46" i="17"/>
  <c r="CO72" i="17"/>
  <c r="CO62" i="17"/>
  <c r="CO52" i="17"/>
  <c r="CO32" i="17"/>
  <c r="CO22" i="17"/>
  <c r="CO59" i="17"/>
  <c r="CO28" i="17"/>
  <c r="CO18" i="17"/>
  <c r="CO51" i="17"/>
  <c r="CO25" i="17"/>
  <c r="CO44" i="17"/>
  <c r="CO36" i="17"/>
  <c r="CO31" i="17"/>
  <c r="CO21" i="17"/>
  <c r="CO27" i="17"/>
  <c r="CO17" i="17"/>
  <c r="CO33" i="17"/>
  <c r="CO23" i="17"/>
  <c r="CO10" i="17"/>
  <c r="CO6" i="17"/>
  <c r="CO49" i="17"/>
  <c r="CO26" i="17"/>
  <c r="CO16" i="17"/>
  <c r="CO12" i="17"/>
  <c r="CO20" i="17"/>
  <c r="CO8" i="17"/>
  <c r="CO69" i="17"/>
  <c r="CO15" i="17"/>
  <c r="CO5" i="17"/>
  <c r="CO42" i="17"/>
  <c r="CO74" i="17" s="1"/>
  <c r="CO30" i="17"/>
  <c r="CO11" i="17"/>
  <c r="CO13" i="17"/>
  <c r="CO7" i="17"/>
  <c r="CW65" i="17"/>
  <c r="CW55" i="17"/>
  <c r="CW45" i="17"/>
  <c r="CW71" i="17"/>
  <c r="CW61" i="17"/>
  <c r="CW67" i="17"/>
  <c r="CW57" i="17"/>
  <c r="CW47" i="17"/>
  <c r="CW64" i="17"/>
  <c r="CW54" i="17"/>
  <c r="CW70" i="17"/>
  <c r="CW60" i="17"/>
  <c r="CW50" i="17"/>
  <c r="CW66" i="17"/>
  <c r="CW56" i="17"/>
  <c r="CW46" i="17"/>
  <c r="CW72" i="17"/>
  <c r="CW62" i="17"/>
  <c r="CW52" i="17"/>
  <c r="CW51" i="17"/>
  <c r="CW32" i="17"/>
  <c r="CW22" i="17"/>
  <c r="CW28" i="17"/>
  <c r="CW18" i="17"/>
  <c r="CW25" i="17"/>
  <c r="CW44" i="17"/>
  <c r="CW31" i="17"/>
  <c r="CW21" i="17"/>
  <c r="CW27" i="17"/>
  <c r="CW17" i="17"/>
  <c r="CW49" i="17"/>
  <c r="CW33" i="17"/>
  <c r="CW23" i="17"/>
  <c r="CW26" i="17"/>
  <c r="CW10" i="17"/>
  <c r="CW20" i="17"/>
  <c r="CW6" i="17"/>
  <c r="CW12" i="17"/>
  <c r="CW69" i="17"/>
  <c r="CW42" i="17"/>
  <c r="CW74" i="17" s="1"/>
  <c r="CW30" i="17"/>
  <c r="CW8" i="17"/>
  <c r="CW59" i="17"/>
  <c r="CW15" i="17"/>
  <c r="CW5" i="17"/>
  <c r="CW11" i="17"/>
  <c r="CW16" i="17"/>
  <c r="CW13" i="17"/>
  <c r="CW7" i="17"/>
  <c r="DE65" i="17"/>
  <c r="DE55" i="17"/>
  <c r="DE45" i="17"/>
  <c r="DE71" i="17"/>
  <c r="DE61" i="17"/>
  <c r="DE67" i="17"/>
  <c r="DE57" i="17"/>
  <c r="DE47" i="17"/>
  <c r="DE64" i="17"/>
  <c r="DE54" i="17"/>
  <c r="DE70" i="17"/>
  <c r="DE60" i="17"/>
  <c r="DE50" i="17"/>
  <c r="DE66" i="17"/>
  <c r="DE56" i="17"/>
  <c r="DE46" i="17"/>
  <c r="DE72" i="17"/>
  <c r="DE62" i="17"/>
  <c r="DE52" i="17"/>
  <c r="DE32" i="17"/>
  <c r="DE22" i="17"/>
  <c r="DE28" i="17"/>
  <c r="DE18" i="17"/>
  <c r="DE25" i="17"/>
  <c r="DE49" i="17"/>
  <c r="DE44" i="17"/>
  <c r="DE31" i="17"/>
  <c r="DE21" i="17"/>
  <c r="DE27" i="17"/>
  <c r="DE17" i="17"/>
  <c r="DE69" i="17"/>
  <c r="DE59" i="17"/>
  <c r="DE33" i="17"/>
  <c r="DE23" i="17"/>
  <c r="DE10" i="17"/>
  <c r="DE51" i="17"/>
  <c r="DE42" i="17"/>
  <c r="DE74" i="17" s="1"/>
  <c r="DE30" i="17"/>
  <c r="DE6" i="17"/>
  <c r="DE12" i="17"/>
  <c r="DE8" i="17"/>
  <c r="DE16" i="17"/>
  <c r="DE15" i="17"/>
  <c r="DE5" i="17"/>
  <c r="DE11" i="17"/>
  <c r="DE20" i="17"/>
  <c r="DE13" i="17"/>
  <c r="DE26" i="17"/>
  <c r="DE7" i="17"/>
  <c r="DM65" i="17"/>
  <c r="DM55" i="17"/>
  <c r="DM45" i="17"/>
  <c r="DM71" i="17"/>
  <c r="DM61" i="17"/>
  <c r="DM67" i="17"/>
  <c r="DM57" i="17"/>
  <c r="DM47" i="17"/>
  <c r="DM64" i="17"/>
  <c r="DM54" i="17"/>
  <c r="DM70" i="17"/>
  <c r="DM60" i="17"/>
  <c r="DM50" i="17"/>
  <c r="DM66" i="17"/>
  <c r="DM56" i="17"/>
  <c r="DM46" i="17"/>
  <c r="DM72" i="17"/>
  <c r="DM62" i="17"/>
  <c r="DM52" i="17"/>
  <c r="DM32" i="17"/>
  <c r="DM22" i="17"/>
  <c r="DM49" i="17"/>
  <c r="DM28" i="17"/>
  <c r="DM18" i="17"/>
  <c r="DM25" i="17"/>
  <c r="DM59" i="17"/>
  <c r="DM44" i="17"/>
  <c r="DM31" i="17"/>
  <c r="DM21" i="17"/>
  <c r="DM69" i="17"/>
  <c r="DM51" i="17"/>
  <c r="DM27" i="17"/>
  <c r="DM17" i="17"/>
  <c r="DM33" i="17"/>
  <c r="DM23" i="17"/>
  <c r="DM10" i="17"/>
  <c r="DM16" i="17"/>
  <c r="DM6" i="17"/>
  <c r="DM12" i="17"/>
  <c r="DM8" i="17"/>
  <c r="DM26" i="17"/>
  <c r="DM15" i="17"/>
  <c r="DM5" i="17"/>
  <c r="DM20" i="17"/>
  <c r="DM11" i="17"/>
  <c r="DM42" i="17"/>
  <c r="DM74" i="17" s="1"/>
  <c r="DM30" i="17"/>
  <c r="DM13" i="17"/>
  <c r="DM7" i="17"/>
  <c r="DU65" i="17"/>
  <c r="DU55" i="17"/>
  <c r="DU45" i="17"/>
  <c r="DU71" i="17"/>
  <c r="DU61" i="17"/>
  <c r="DU67" i="17"/>
  <c r="DU57" i="17"/>
  <c r="DU47" i="17"/>
  <c r="DU64" i="17"/>
  <c r="DU54" i="17"/>
  <c r="DU44" i="17"/>
  <c r="DU70" i="17"/>
  <c r="DU60" i="17"/>
  <c r="DU50" i="17"/>
  <c r="DU66" i="17"/>
  <c r="DU56" i="17"/>
  <c r="DU46" i="17"/>
  <c r="DU72" i="17"/>
  <c r="DU62" i="17"/>
  <c r="DU52" i="17"/>
  <c r="DU32" i="17"/>
  <c r="DU22" i="17"/>
  <c r="DU59" i="17"/>
  <c r="DU28" i="17"/>
  <c r="DU18" i="17"/>
  <c r="DU51" i="17"/>
  <c r="DU25" i="17"/>
  <c r="DU69" i="17"/>
  <c r="DU31" i="17"/>
  <c r="DU21" i="17"/>
  <c r="DU27" i="17"/>
  <c r="DU17" i="17"/>
  <c r="DU33" i="17"/>
  <c r="DU23" i="17"/>
  <c r="DU49" i="17"/>
  <c r="DU10" i="17"/>
  <c r="DU6" i="17"/>
  <c r="DU26" i="17"/>
  <c r="DU12" i="17"/>
  <c r="DU20" i="17"/>
  <c r="DU8" i="17"/>
  <c r="DU15" i="17"/>
  <c r="DU5" i="17"/>
  <c r="DU42" i="17"/>
  <c r="DU74" i="17" s="1"/>
  <c r="DU30" i="17"/>
  <c r="DU11" i="17"/>
  <c r="DU13" i="17"/>
  <c r="DU16" i="17"/>
  <c r="DU7" i="17"/>
  <c r="CY2" i="17"/>
  <c r="CY36" i="17" s="1"/>
  <c r="H2" i="19"/>
  <c r="P2" i="19"/>
  <c r="X2" i="19"/>
  <c r="AF2" i="19"/>
  <c r="AN2" i="19"/>
  <c r="AV2" i="19"/>
  <c r="BD2" i="19"/>
  <c r="AD112" i="15"/>
  <c r="AL112" i="15"/>
  <c r="AT92" i="15"/>
  <c r="AT112" i="15"/>
  <c r="AQ11" i="19"/>
  <c r="J15" i="19"/>
  <c r="BP36" i="17"/>
  <c r="BP37" i="17"/>
  <c r="AY69" i="36"/>
  <c r="AX62" i="36"/>
  <c r="AZ69" i="36"/>
  <c r="AZ62" i="36"/>
  <c r="BE59" i="15"/>
  <c r="BD92" i="15"/>
  <c r="BG59" i="15"/>
  <c r="AE92" i="15"/>
  <c r="AF92" i="15"/>
  <c r="AC92" i="15"/>
  <c r="AD92" i="15"/>
  <c r="AG92" i="15"/>
  <c r="AL92" i="15"/>
  <c r="AH92" i="15"/>
  <c r="AA92" i="15"/>
  <c r="AI92" i="15"/>
  <c r="AK92" i="15"/>
  <c r="AB92" i="15"/>
  <c r="AJ92" i="15"/>
  <c r="AZ92" i="15"/>
  <c r="BH92" i="15"/>
  <c r="BB92" i="15"/>
  <c r="BJ92" i="15"/>
  <c r="BJ11" i="19"/>
  <c r="V11" i="19"/>
  <c r="S11" i="19"/>
  <c r="BA11" i="19"/>
  <c r="BD11" i="19"/>
  <c r="AC11" i="19"/>
  <c r="Y11" i="19"/>
  <c r="AH11" i="19"/>
  <c r="AL11" i="19"/>
  <c r="M11" i="19"/>
  <c r="P11" i="19"/>
  <c r="AW11" i="19"/>
  <c r="F11" i="19"/>
  <c r="O11" i="19"/>
  <c r="X11" i="19"/>
  <c r="AG11" i="19"/>
  <c r="AP11" i="19"/>
  <c r="AY11" i="19"/>
  <c r="BI11" i="19"/>
  <c r="H15" i="19"/>
  <c r="Q11" i="19"/>
  <c r="Z11" i="19"/>
  <c r="AI11" i="19"/>
  <c r="AS11" i="19"/>
  <c r="BB11" i="19"/>
  <c r="I11" i="19"/>
  <c r="R11" i="19"/>
  <c r="AA11" i="19"/>
  <c r="AK11" i="19"/>
  <c r="AT11" i="19"/>
  <c r="BC11" i="19"/>
  <c r="AU15" i="19"/>
  <c r="AX15" i="19"/>
  <c r="K11" i="19"/>
  <c r="U11" i="19"/>
  <c r="AD11" i="19"/>
  <c r="AM11" i="19"/>
  <c r="AV11" i="19"/>
  <c r="BE11" i="19"/>
  <c r="W15" i="19"/>
  <c r="D15" i="19"/>
  <c r="D11" i="19"/>
  <c r="L15" i="19"/>
  <c r="L11" i="19"/>
  <c r="T15" i="19"/>
  <c r="T11" i="19"/>
  <c r="AB15" i="19"/>
  <c r="AB11" i="19"/>
  <c r="AJ15" i="19"/>
  <c r="AJ11" i="19"/>
  <c r="AR15" i="19"/>
  <c r="AR11" i="19"/>
  <c r="AZ15" i="19"/>
  <c r="AZ11" i="19"/>
  <c r="BH15" i="19"/>
  <c r="BH11" i="19"/>
  <c r="AE11" i="19"/>
  <c r="AN11" i="19"/>
  <c r="BF11" i="19"/>
  <c r="G11" i="19"/>
  <c r="E11" i="19"/>
  <c r="N11" i="19"/>
  <c r="AF11" i="19"/>
  <c r="AO11" i="19"/>
  <c r="BG11" i="19"/>
  <c r="DO41" i="17"/>
  <c r="CN41" i="17"/>
  <c r="DL41" i="17"/>
  <c r="CV41" i="17"/>
  <c r="DQ41" i="17"/>
  <c r="DC41" i="17"/>
  <c r="AD80" i="17"/>
  <c r="AD105" i="17"/>
  <c r="AD41" i="17"/>
  <c r="AL105" i="17"/>
  <c r="AL80" i="17"/>
  <c r="AL41" i="17"/>
  <c r="AT80" i="17"/>
  <c r="AT105" i="17"/>
  <c r="AT41" i="17"/>
  <c r="AG105" i="17"/>
  <c r="AG80" i="17"/>
  <c r="AG41" i="17"/>
  <c r="AO105" i="17"/>
  <c r="AO80" i="17"/>
  <c r="AO41" i="17"/>
  <c r="AW105" i="17"/>
  <c r="AW80" i="17"/>
  <c r="AW41" i="17"/>
  <c r="AC105" i="17"/>
  <c r="AC80" i="17"/>
  <c r="AC41" i="17"/>
  <c r="AK105" i="17"/>
  <c r="AK80" i="17"/>
  <c r="AK41" i="17"/>
  <c r="AS105" i="17"/>
  <c r="AS80" i="17"/>
  <c r="AS41" i="17"/>
  <c r="AH105" i="17"/>
  <c r="AH80" i="17"/>
  <c r="AH41" i="17"/>
  <c r="AP105" i="17"/>
  <c r="AP80" i="17"/>
  <c r="AP41" i="17"/>
  <c r="AA105" i="17"/>
  <c r="AA80" i="17"/>
  <c r="AA41" i="17"/>
  <c r="AI105" i="17"/>
  <c r="AI80" i="17"/>
  <c r="AI41" i="17"/>
  <c r="AQ105" i="17"/>
  <c r="AQ80" i="17"/>
  <c r="AQ41" i="17"/>
  <c r="AB80" i="17"/>
  <c r="AB105" i="17"/>
  <c r="AB41" i="17"/>
  <c r="AJ105" i="17"/>
  <c r="AJ80" i="17"/>
  <c r="AJ41" i="17"/>
  <c r="AR105" i="17"/>
  <c r="AR80" i="17"/>
  <c r="AR41" i="17"/>
  <c r="AE105" i="17"/>
  <c r="AE80" i="17"/>
  <c r="AE41" i="17"/>
  <c r="AM105" i="17"/>
  <c r="AM80" i="17"/>
  <c r="AM41" i="17"/>
  <c r="AU105" i="17"/>
  <c r="AU80" i="17"/>
  <c r="AU41" i="17"/>
  <c r="AF105" i="17"/>
  <c r="AF80" i="17"/>
  <c r="AF41" i="17"/>
  <c r="AN105" i="17"/>
  <c r="AN80" i="17"/>
  <c r="AN41" i="17"/>
  <c r="AV105" i="17"/>
  <c r="AV80" i="17"/>
  <c r="AV41" i="17"/>
  <c r="DT36" i="17" l="1"/>
  <c r="CS41" i="17"/>
  <c r="DT41" i="17"/>
  <c r="BX36" i="17"/>
  <c r="AW59" i="15"/>
  <c r="AN59" i="15"/>
  <c r="BA59" i="15"/>
  <c r="BA85" i="15" s="1"/>
  <c r="AL59" i="15"/>
  <c r="AL85" i="15" s="1"/>
  <c r="AO59" i="15"/>
  <c r="AF59" i="15"/>
  <c r="AY59" i="15"/>
  <c r="AY85" i="15" s="1"/>
  <c r="BB59" i="15"/>
  <c r="AI59" i="15"/>
  <c r="AT59" i="15"/>
  <c r="AX59" i="15"/>
  <c r="AG59" i="15"/>
  <c r="AR59" i="15"/>
  <c r="AQ59" i="15"/>
  <c r="AC59" i="15"/>
  <c r="AE59" i="15"/>
  <c r="AD59" i="15"/>
  <c r="AD85" i="15" s="1"/>
  <c r="AZ59" i="15"/>
  <c r="AK59" i="15"/>
  <c r="AU59" i="15"/>
  <c r="AJ59" i="15"/>
  <c r="AB59" i="15"/>
  <c r="AA59" i="15"/>
  <c r="AS59" i="15"/>
  <c r="AV59" i="15"/>
  <c r="AM59" i="15"/>
  <c r="BJ5" i="19"/>
  <c r="BD5" i="19"/>
  <c r="AK5" i="19"/>
  <c r="AG5" i="19"/>
  <c r="AA5" i="19"/>
  <c r="AH5" i="19"/>
  <c r="AZ5" i="19"/>
  <c r="AT5" i="19"/>
  <c r="AW5" i="19"/>
  <c r="AN5" i="19"/>
  <c r="AM5" i="19"/>
  <c r="AS5" i="19"/>
  <c r="AV5" i="19"/>
  <c r="AU5" i="19"/>
  <c r="AR5" i="19"/>
  <c r="AX5" i="19"/>
  <c r="AQ5" i="19"/>
  <c r="AO5" i="19"/>
  <c r="AI5" i="19"/>
  <c r="BH5" i="19"/>
  <c r="AE5" i="19"/>
  <c r="AL5" i="19"/>
  <c r="BE5" i="19"/>
  <c r="V5" i="19"/>
  <c r="Z5" i="19"/>
  <c r="O5" i="19"/>
  <c r="U5" i="19"/>
  <c r="R5" i="19"/>
  <c r="Y5" i="19"/>
  <c r="P5" i="19"/>
  <c r="T5" i="19"/>
  <c r="X5" i="19"/>
  <c r="S5" i="19"/>
  <c r="Q5" i="19"/>
  <c r="W5" i="19"/>
  <c r="AB5" i="19"/>
  <c r="BC5" i="19"/>
  <c r="BA5" i="19"/>
  <c r="AJ5" i="19"/>
  <c r="BF5" i="19"/>
  <c r="BI5" i="19"/>
  <c r="AC5" i="19"/>
  <c r="BB5" i="19"/>
  <c r="BG5" i="19"/>
  <c r="BJ6" i="19"/>
  <c r="BJ7" i="19" s="1"/>
  <c r="AL6" i="19"/>
  <c r="AL7" i="19" s="1"/>
  <c r="BE6" i="19"/>
  <c r="BE7" i="19" s="1"/>
  <c r="AF5" i="19"/>
  <c r="BH6" i="19"/>
  <c r="BH7" i="19" s="1"/>
  <c r="BD6" i="19"/>
  <c r="BD7" i="19" s="1"/>
  <c r="AB6" i="19"/>
  <c r="AB7" i="19" s="1"/>
  <c r="AF6" i="19"/>
  <c r="AF7" i="19" s="1"/>
  <c r="AT6" i="19"/>
  <c r="AT7" i="19" s="1"/>
  <c r="AP5" i="19"/>
  <c r="AS6" i="19"/>
  <c r="AS7" i="19" s="1"/>
  <c r="AQ6" i="19"/>
  <c r="AQ7" i="19" s="1"/>
  <c r="AV6" i="19"/>
  <c r="AV7" i="19" s="1"/>
  <c r="AX6" i="19"/>
  <c r="AX7" i="19" s="1"/>
  <c r="AP6" i="19"/>
  <c r="AP7" i="19" s="1"/>
  <c r="AW6" i="19"/>
  <c r="AW7" i="19" s="1"/>
  <c r="AO6" i="19"/>
  <c r="AO7" i="19" s="1"/>
  <c r="AN6" i="19"/>
  <c r="AN7" i="19" s="1"/>
  <c r="AU6" i="19"/>
  <c r="AU7" i="19" s="1"/>
  <c r="AM6" i="19"/>
  <c r="AM7" i="19" s="1"/>
  <c r="AR6" i="19"/>
  <c r="AR7" i="19" s="1"/>
  <c r="AY6" i="19"/>
  <c r="AY7" i="19" s="1"/>
  <c r="AA6" i="19"/>
  <c r="AA7" i="19" s="1"/>
  <c r="BA6" i="19"/>
  <c r="BA7" i="19" s="1"/>
  <c r="BG6" i="19"/>
  <c r="BG7" i="19" s="1"/>
  <c r="AC6" i="19"/>
  <c r="AC7" i="19" s="1"/>
  <c r="AG6" i="19"/>
  <c r="AG7" i="19" s="1"/>
  <c r="AI6" i="19"/>
  <c r="AI7" i="19" s="1"/>
  <c r="V6" i="19"/>
  <c r="V7" i="19" s="1"/>
  <c r="U6" i="19"/>
  <c r="U7" i="19" s="1"/>
  <c r="T6" i="19"/>
  <c r="T7" i="19" s="1"/>
  <c r="S6" i="19"/>
  <c r="S7" i="19" s="1"/>
  <c r="Y6" i="19"/>
  <c r="Y7" i="19" s="1"/>
  <c r="X6" i="19"/>
  <c r="X7" i="19" s="1"/>
  <c r="Z6" i="19"/>
  <c r="Z7" i="19" s="1"/>
  <c r="R6" i="19"/>
  <c r="R7" i="19" s="1"/>
  <c r="Q6" i="19"/>
  <c r="Q7" i="19" s="1"/>
  <c r="P6" i="19"/>
  <c r="P7" i="19" s="1"/>
  <c r="W6" i="19"/>
  <c r="W7" i="19" s="1"/>
  <c r="O6" i="19"/>
  <c r="O7" i="19" s="1"/>
  <c r="BI6" i="19"/>
  <c r="BI7" i="19" s="1"/>
  <c r="AZ6" i="19"/>
  <c r="AZ7" i="19" s="1"/>
  <c r="AK6" i="19"/>
  <c r="AK7" i="19" s="1"/>
  <c r="AD5" i="19"/>
  <c r="AJ6" i="19"/>
  <c r="AJ7" i="19" s="1"/>
  <c r="AY5" i="19"/>
  <c r="BF6" i="19"/>
  <c r="BF7" i="19" s="1"/>
  <c r="BB6" i="19"/>
  <c r="BB7" i="19" s="1"/>
  <c r="AH6" i="19"/>
  <c r="AH7" i="19" s="1"/>
  <c r="AD6" i="19"/>
  <c r="AD7" i="19" s="1"/>
  <c r="BC6" i="19"/>
  <c r="BC7" i="19" s="1"/>
  <c r="AE6" i="19"/>
  <c r="AE7" i="19" s="1"/>
  <c r="DA41" i="17"/>
  <c r="CE36" i="17"/>
  <c r="DU36" i="17"/>
  <c r="DI41" i="17"/>
  <c r="DE36" i="17"/>
  <c r="CO41" i="17"/>
  <c r="CW41" i="17"/>
  <c r="BF91" i="17"/>
  <c r="DS41" i="17"/>
  <c r="BY36" i="17"/>
  <c r="CU41" i="17"/>
  <c r="DM36" i="17"/>
  <c r="CN36" i="17"/>
  <c r="DM41" i="17"/>
  <c r="DD36" i="17"/>
  <c r="BA91" i="17"/>
  <c r="DR41" i="17"/>
  <c r="DD41" i="17"/>
  <c r="BA92" i="17"/>
  <c r="CD36" i="17"/>
  <c r="DR36" i="17"/>
  <c r="DJ41" i="17"/>
  <c r="CW36" i="17"/>
  <c r="BQ36" i="17"/>
  <c r="DB36" i="17"/>
  <c r="CT36" i="17"/>
  <c r="DB41" i="17"/>
  <c r="DS36" i="17"/>
  <c r="DJ36" i="17"/>
  <c r="BI90" i="17"/>
  <c r="DC36" i="17"/>
  <c r="CT41" i="17"/>
  <c r="BF90" i="17"/>
  <c r="BI92" i="17"/>
  <c r="BV36" i="17"/>
  <c r="DK41" i="17"/>
  <c r="DU41" i="17"/>
  <c r="CL36" i="17"/>
  <c r="CU36" i="17"/>
  <c r="BH8" i="19"/>
  <c r="DE41" i="17"/>
  <c r="CX41" i="17"/>
  <c r="DP41" i="17"/>
  <c r="CM41" i="17"/>
  <c r="DH41" i="17"/>
  <c r="CG36" i="17"/>
  <c r="DG41" i="17"/>
  <c r="CZ41" i="17"/>
  <c r="BS36" i="17"/>
  <c r="BF43" i="17"/>
  <c r="BF38" i="17"/>
  <c r="BF39" i="17" s="1"/>
  <c r="Z38" i="17"/>
  <c r="Z39" i="17" s="1"/>
  <c r="CS68" i="17"/>
  <c r="AR38" i="17"/>
  <c r="AR39" i="17" s="1"/>
  <c r="L38" i="17"/>
  <c r="L39" i="17" s="1"/>
  <c r="AP58" i="17"/>
  <c r="AH48" i="17"/>
  <c r="DO19" i="17"/>
  <c r="BC85" i="17" s="1"/>
  <c r="BV9" i="17"/>
  <c r="DJ9" i="17"/>
  <c r="AX83" i="17" s="1"/>
  <c r="CD63" i="17"/>
  <c r="CJ14" i="17"/>
  <c r="DU68" i="17"/>
  <c r="CW53" i="17"/>
  <c r="BQ53" i="17"/>
  <c r="DD14" i="17"/>
  <c r="AR84" i="17" s="1"/>
  <c r="DP53" i="17"/>
  <c r="DL48" i="17"/>
  <c r="CD19" i="17"/>
  <c r="CM43" i="17"/>
  <c r="CT29" i="17"/>
  <c r="AH87" i="17" s="1"/>
  <c r="DU14" i="17"/>
  <c r="BI84" i="17" s="1"/>
  <c r="CW63" i="17"/>
  <c r="CO9" i="17"/>
  <c r="AC83" i="17" s="1"/>
  <c r="CO43" i="17"/>
  <c r="BQ63" i="17"/>
  <c r="DD24" i="17"/>
  <c r="AR86" i="17" s="1"/>
  <c r="DD53" i="17"/>
  <c r="CV14" i="17"/>
  <c r="AJ84" i="17" s="1"/>
  <c r="CE43" i="17"/>
  <c r="DB53" i="17"/>
  <c r="CJ24" i="17"/>
  <c r="DN4" i="17"/>
  <c r="BB82" i="17" s="1"/>
  <c r="BG8" i="19"/>
  <c r="AC38" i="17"/>
  <c r="AC39" i="17" s="1"/>
  <c r="AW8" i="19"/>
  <c r="S38" i="17"/>
  <c r="S39" i="17" s="1"/>
  <c r="AV38" i="17"/>
  <c r="AV39" i="17" s="1"/>
  <c r="P38" i="17"/>
  <c r="P39" i="17" s="1"/>
  <c r="AA38" i="17"/>
  <c r="AA39" i="17" s="1"/>
  <c r="DQ36" i="17"/>
  <c r="CS36" i="17"/>
  <c r="CH36" i="17"/>
  <c r="DV14" i="17"/>
  <c r="BJ84" i="17" s="1"/>
  <c r="CC9" i="17"/>
  <c r="DL53" i="17"/>
  <c r="CF14" i="17"/>
  <c r="DS68" i="17"/>
  <c r="DJ29" i="17"/>
  <c r="AX87" i="17" s="1"/>
  <c r="DJ48" i="17"/>
  <c r="CJ29" i="17"/>
  <c r="DR58" i="17"/>
  <c r="CR68" i="17"/>
  <c r="CC53" i="17"/>
  <c r="CC19" i="17"/>
  <c r="BU24" i="17"/>
  <c r="DD43" i="17"/>
  <c r="CN19" i="17"/>
  <c r="AB85" i="17" s="1"/>
  <c r="BJ48" i="17"/>
  <c r="CL68" i="17"/>
  <c r="E38" i="17"/>
  <c r="E39" i="17" s="1"/>
  <c r="CB24" i="17"/>
  <c r="DJ58" i="17"/>
  <c r="BZ14" i="17"/>
  <c r="CX53" i="17"/>
  <c r="BR4" i="17"/>
  <c r="CR43" i="17"/>
  <c r="DV29" i="17"/>
  <c r="BJ87" i="17" s="1"/>
  <c r="DI58" i="17"/>
  <c r="CU48" i="17"/>
  <c r="CZ9" i="17"/>
  <c r="AN83" i="17" s="1"/>
  <c r="CZ29" i="17"/>
  <c r="AN87" i="17" s="1"/>
  <c r="DH68" i="17"/>
  <c r="CR58" i="17"/>
  <c r="CU19" i="17"/>
  <c r="AI85" i="17" s="1"/>
  <c r="CZ58" i="17"/>
  <c r="BC38" i="17"/>
  <c r="BC39" i="17" s="1"/>
  <c r="I38" i="17"/>
  <c r="I39" i="17" s="1"/>
  <c r="AJ38" i="17"/>
  <c r="AJ39" i="17" s="1"/>
  <c r="CN68" i="17"/>
  <c r="DU43" i="17"/>
  <c r="DN63" i="17"/>
  <c r="CX9" i="17"/>
  <c r="AL83" i="17" s="1"/>
  <c r="CH43" i="17"/>
  <c r="BR29" i="17"/>
  <c r="DF63" i="17"/>
  <c r="CH53" i="17"/>
  <c r="BG58" i="17"/>
  <c r="AD38" i="17"/>
  <c r="AD39" i="17" s="1"/>
  <c r="AW68" i="17"/>
  <c r="DM48" i="17"/>
  <c r="BQ24" i="17"/>
  <c r="DU4" i="17"/>
  <c r="BI82" i="17" s="1"/>
  <c r="DE29" i="17"/>
  <c r="AS87" i="17" s="1"/>
  <c r="DG43" i="17"/>
  <c r="DU48" i="17"/>
  <c r="BS43" i="17"/>
  <c r="CA4" i="17"/>
  <c r="AF38" i="17"/>
  <c r="AF39" i="17" s="1"/>
  <c r="W38" i="17"/>
  <c r="W39" i="17" s="1"/>
  <c r="U38" i="17"/>
  <c r="U39" i="17" s="1"/>
  <c r="AO53" i="17"/>
  <c r="AG43" i="17"/>
  <c r="AT38" i="17"/>
  <c r="AT39" i="17" s="1"/>
  <c r="AR58" i="17"/>
  <c r="BI53" i="17"/>
  <c r="BB68" i="17"/>
  <c r="BB53" i="17"/>
  <c r="AJ58" i="17"/>
  <c r="AI48" i="17"/>
  <c r="BH53" i="17"/>
  <c r="AZ43" i="17"/>
  <c r="AH63" i="17"/>
  <c r="R38" i="17"/>
  <c r="R39" i="17" s="1"/>
  <c r="AF43" i="17"/>
  <c r="DT24" i="17"/>
  <c r="BH86" i="17" s="1"/>
  <c r="DT63" i="17"/>
  <c r="DT48" i="17"/>
  <c r="DD9" i="17"/>
  <c r="AR83" i="17" s="1"/>
  <c r="CV4" i="17"/>
  <c r="AJ82" i="17" s="1"/>
  <c r="CV19" i="17"/>
  <c r="AJ85" i="17" s="1"/>
  <c r="CV43" i="17"/>
  <c r="CN29" i="17"/>
  <c r="AB87" i="17" s="1"/>
  <c r="BX19" i="17"/>
  <c r="BX24" i="17"/>
  <c r="BX63" i="17"/>
  <c r="BX48" i="17"/>
  <c r="BP14" i="17"/>
  <c r="BP19" i="17"/>
  <c r="CE14" i="17"/>
  <c r="CE9" i="17"/>
  <c r="CE48" i="17"/>
  <c r="CL43" i="17"/>
  <c r="CB58" i="17"/>
  <c r="DS9" i="17"/>
  <c r="BG83" i="17" s="1"/>
  <c r="DS48" i="17"/>
  <c r="DN48" i="17"/>
  <c r="CM58" i="17"/>
  <c r="DR43" i="17"/>
  <c r="CT4" i="17"/>
  <c r="AH82" i="17" s="1"/>
  <c r="BV63" i="17"/>
  <c r="DV9" i="17"/>
  <c r="BJ83" i="17" s="1"/>
  <c r="DV68" i="17"/>
  <c r="DF48" i="17"/>
  <c r="CS58" i="17"/>
  <c r="CK29" i="17"/>
  <c r="CK48" i="17"/>
  <c r="CC14" i="17"/>
  <c r="CC29" i="17"/>
  <c r="BU4" i="17"/>
  <c r="CA58" i="17"/>
  <c r="BS53" i="17"/>
  <c r="DE68" i="17"/>
  <c r="CW43" i="17"/>
  <c r="DU24" i="17"/>
  <c r="BI86" i="17" s="1"/>
  <c r="CW24" i="17"/>
  <c r="AK86" i="17" s="1"/>
  <c r="DP63" i="17"/>
  <c r="DL58" i="17"/>
  <c r="DK19" i="17"/>
  <c r="AY85" i="17" s="1"/>
  <c r="DC4" i="17"/>
  <c r="AQ82" i="17" s="1"/>
  <c r="DC9" i="17"/>
  <c r="AQ83" i="17" s="1"/>
  <c r="DC48" i="17"/>
  <c r="DC53" i="17"/>
  <c r="CM4" i="17"/>
  <c r="AA82" i="17" s="1"/>
  <c r="BV19" i="17"/>
  <c r="DI4" i="17"/>
  <c r="AW82" i="17" s="1"/>
  <c r="DI19" i="17"/>
  <c r="AW85" i="17" s="1"/>
  <c r="DA53" i="17"/>
  <c r="DE24" i="17"/>
  <c r="AS86" i="17" s="1"/>
  <c r="CW29" i="17"/>
  <c r="AK87" i="17" s="1"/>
  <c r="CO14" i="17"/>
  <c r="AC84" i="17" s="1"/>
  <c r="DE19" i="17"/>
  <c r="AS85" i="17" s="1"/>
  <c r="BY19" i="17"/>
  <c r="BQ68" i="17"/>
  <c r="BX58" i="17"/>
  <c r="BP9" i="17"/>
  <c r="DU53" i="17"/>
  <c r="DM4" i="17"/>
  <c r="BA82" i="17" s="1"/>
  <c r="CW48" i="17"/>
  <c r="CO24" i="17"/>
  <c r="AC86" i="17" s="1"/>
  <c r="CO53" i="17"/>
  <c r="CG43" i="17"/>
  <c r="CG68" i="17"/>
  <c r="BY29" i="17"/>
  <c r="BY68" i="17"/>
  <c r="DT29" i="17"/>
  <c r="BH87" i="17" s="1"/>
  <c r="DT19" i="17"/>
  <c r="BH85" i="17" s="1"/>
  <c r="DD19" i="17"/>
  <c r="AR85" i="17" s="1"/>
  <c r="DD48" i="17"/>
  <c r="CV24" i="17"/>
  <c r="AJ86" i="17" s="1"/>
  <c r="BP58" i="17"/>
  <c r="CE24" i="17"/>
  <c r="CE53" i="17"/>
  <c r="DB19" i="17"/>
  <c r="AP85" i="17" s="1"/>
  <c r="DB63" i="17"/>
  <c r="DP19" i="17"/>
  <c r="BD85" i="17" s="1"/>
  <c r="CF63" i="17"/>
  <c r="DK68" i="17"/>
  <c r="CM53" i="17"/>
  <c r="BW4" i="17"/>
  <c r="CR14" i="17"/>
  <c r="AF84" i="17" s="1"/>
  <c r="CP29" i="17"/>
  <c r="AD87" i="17" s="1"/>
  <c r="DQ43" i="17"/>
  <c r="DQ29" i="17"/>
  <c r="BE87" i="17" s="1"/>
  <c r="DI24" i="17"/>
  <c r="AW86" i="17" s="1"/>
  <c r="DI14" i="17"/>
  <c r="AW84" i="17" s="1"/>
  <c r="DI29" i="17"/>
  <c r="AW87" i="17" s="1"/>
  <c r="DA24" i="17"/>
  <c r="AO86" i="17" s="1"/>
  <c r="DA4" i="17"/>
  <c r="AO82" i="17" s="1"/>
  <c r="DA63" i="17"/>
  <c r="CC58" i="17"/>
  <c r="CQ19" i="17"/>
  <c r="AE85" i="17" s="1"/>
  <c r="CA24" i="17"/>
  <c r="BS14" i="17"/>
  <c r="CV9" i="17"/>
  <c r="AJ83" i="17" s="1"/>
  <c r="CL24" i="17"/>
  <c r="DP29" i="17"/>
  <c r="BD87" i="17" s="1"/>
  <c r="CX68" i="17"/>
  <c r="CH19" i="17"/>
  <c r="CH48" i="17"/>
  <c r="DC19" i="17"/>
  <c r="AQ85" i="17" s="1"/>
  <c r="BW24" i="17"/>
  <c r="DR53" i="17"/>
  <c r="BZ19" i="17"/>
  <c r="BZ58" i="17"/>
  <c r="DQ48" i="17"/>
  <c r="DG58" i="17"/>
  <c r="CY19" i="17"/>
  <c r="AM85" i="17" s="1"/>
  <c r="BQ48" i="17"/>
  <c r="DM53" i="17"/>
  <c r="CG53" i="17"/>
  <c r="BQ19" i="17"/>
  <c r="CV63" i="17"/>
  <c r="CL63" i="17"/>
  <c r="CZ14" i="17"/>
  <c r="AN84" i="17" s="1"/>
  <c r="DN24" i="17"/>
  <c r="BB86" i="17" s="1"/>
  <c r="DN53" i="17"/>
  <c r="CX43" i="17"/>
  <c r="DV4" i="17"/>
  <c r="BJ82" i="17" s="1"/>
  <c r="DV19" i="17"/>
  <c r="BJ85" i="17" s="1"/>
  <c r="CP9" i="17"/>
  <c r="AD83" i="17" s="1"/>
  <c r="CP43" i="17"/>
  <c r="BZ29" i="17"/>
  <c r="CQ14" i="17"/>
  <c r="AE84" i="17" s="1"/>
  <c r="BS24" i="17"/>
  <c r="CF4" i="17"/>
  <c r="DS29" i="17"/>
  <c r="BG87" i="17" s="1"/>
  <c r="CU53" i="17"/>
  <c r="DJ19" i="17"/>
  <c r="AX85" i="17" s="1"/>
  <c r="CD53" i="17"/>
  <c r="CJ19" i="17"/>
  <c r="BR68" i="17"/>
  <c r="DK14" i="17"/>
  <c r="AY84" i="17" s="1"/>
  <c r="CM48" i="17"/>
  <c r="BZ53" i="17"/>
  <c r="CY43" i="17"/>
  <c r="DP68" i="17"/>
  <c r="CB43" i="17"/>
  <c r="CB48" i="17"/>
  <c r="DL29" i="17"/>
  <c r="AZ87" i="17" s="1"/>
  <c r="DL43" i="17"/>
  <c r="DK58" i="17"/>
  <c r="CT24" i="17"/>
  <c r="AH86" i="17" s="1"/>
  <c r="DH53" i="17"/>
  <c r="CK43" i="17"/>
  <c r="CC4" i="17"/>
  <c r="AL63" i="17"/>
  <c r="AD68" i="17"/>
  <c r="AD53" i="17"/>
  <c r="BC43" i="17"/>
  <c r="AC63" i="17"/>
  <c r="AB63" i="17"/>
  <c r="BA43" i="17"/>
  <c r="AQ53" i="17"/>
  <c r="AQ48" i="17"/>
  <c r="AY48" i="17"/>
  <c r="AG53" i="17"/>
  <c r="AR68" i="17"/>
  <c r="BI63" i="17"/>
  <c r="BB63" i="17"/>
  <c r="AJ68" i="17"/>
  <c r="AI58" i="17"/>
  <c r="AX38" i="17"/>
  <c r="AX39" i="17" s="1"/>
  <c r="BF58" i="17"/>
  <c r="AN63" i="17"/>
  <c r="AF53" i="17"/>
  <c r="AD63" i="17"/>
  <c r="BC48" i="17"/>
  <c r="BC53" i="17"/>
  <c r="BA53" i="17"/>
  <c r="AQ58" i="17"/>
  <c r="AI43" i="17"/>
  <c r="AI68" i="17"/>
  <c r="AX68" i="17"/>
  <c r="BD53" i="17"/>
  <c r="X38" i="17"/>
  <c r="X39" i="17" s="1"/>
  <c r="G38" i="17"/>
  <c r="G39" i="17" s="1"/>
  <c r="BC63" i="17"/>
  <c r="AL38" i="17"/>
  <c r="AL39" i="17" s="1"/>
  <c r="BA63" i="17"/>
  <c r="AQ68" i="17"/>
  <c r="AO48" i="17"/>
  <c r="AM48" i="17"/>
  <c r="AG38" i="17"/>
  <c r="AG39" i="17" s="1"/>
  <c r="AV58" i="17"/>
  <c r="AN48" i="17"/>
  <c r="BD38" i="17"/>
  <c r="BD39" i="17" s="1"/>
  <c r="AM38" i="17"/>
  <c r="AM39" i="17" s="1"/>
  <c r="BJ43" i="17"/>
  <c r="Y38" i="17"/>
  <c r="Y39" i="17" s="1"/>
  <c r="BE63" i="17"/>
  <c r="AZ38" i="17"/>
  <c r="AZ39" i="17" s="1"/>
  <c r="T38" i="17"/>
  <c r="T39" i="17" s="1"/>
  <c r="AK38" i="17"/>
  <c r="AK39" i="17" s="1"/>
  <c r="AY38" i="17"/>
  <c r="AY39" i="17" s="1"/>
  <c r="BG38" i="17"/>
  <c r="BG39" i="17" s="1"/>
  <c r="AO38" i="17"/>
  <c r="AO39" i="17" s="1"/>
  <c r="N38" i="17"/>
  <c r="N39" i="17" s="1"/>
  <c r="BE38" i="17"/>
  <c r="BE39" i="17" s="1"/>
  <c r="AU43" i="17"/>
  <c r="AU38" i="17"/>
  <c r="AU39" i="17" s="1"/>
  <c r="AZ58" i="17"/>
  <c r="AX43" i="17"/>
  <c r="AO43" i="17"/>
  <c r="BI43" i="17"/>
  <c r="BE58" i="17"/>
  <c r="AX48" i="17"/>
  <c r="AR92" i="17"/>
  <c r="AR90" i="17"/>
  <c r="AR91" i="17"/>
  <c r="AG91" i="17"/>
  <c r="AG92" i="17"/>
  <c r="AG90" i="17"/>
  <c r="CQ37" i="17"/>
  <c r="CQ41" i="17"/>
  <c r="BP53" i="17"/>
  <c r="DX3" i="11"/>
  <c r="GF3" i="11"/>
  <c r="EZ3" i="11"/>
  <c r="CR3" i="11"/>
  <c r="AY90" i="17"/>
  <c r="AY91" i="17"/>
  <c r="AY92" i="17"/>
  <c r="DN3" i="11"/>
  <c r="FV3" i="11"/>
  <c r="CB36" i="17"/>
  <c r="CI3" i="11"/>
  <c r="EQ3" i="11"/>
  <c r="AR48" i="17"/>
  <c r="CN3" i="11"/>
  <c r="EV3" i="11"/>
  <c r="CX14" i="17"/>
  <c r="AL84" i="17" s="1"/>
  <c r="CX36" i="17"/>
  <c r="GH3" i="11"/>
  <c r="DZ3" i="11"/>
  <c r="CM36" i="17"/>
  <c r="BV53" i="17"/>
  <c r="CR48" i="17"/>
  <c r="BT14" i="17"/>
  <c r="BT29" i="17"/>
  <c r="AW58" i="17"/>
  <c r="DV43" i="17"/>
  <c r="DF24" i="17"/>
  <c r="AT86" i="17" s="1"/>
  <c r="DF53" i="17"/>
  <c r="CP68" i="17"/>
  <c r="BZ48" i="17"/>
  <c r="CL3" i="11"/>
  <c r="ET3" i="11"/>
  <c r="BE53" i="17"/>
  <c r="CS29" i="17"/>
  <c r="CK19" i="17"/>
  <c r="BH38" i="17"/>
  <c r="BH39" i="17" s="1"/>
  <c r="BH68" i="17"/>
  <c r="DO24" i="17"/>
  <c r="BC86" i="17" s="1"/>
  <c r="CA36" i="17"/>
  <c r="BS19" i="17"/>
  <c r="BQ58" i="17"/>
  <c r="DT58" i="17"/>
  <c r="BP63" i="17"/>
  <c r="BP48" i="17"/>
  <c r="AS48" i="17"/>
  <c r="DB9" i="17"/>
  <c r="AP83" i="17" s="1"/>
  <c r="EB3" i="11"/>
  <c r="GJ3" i="11"/>
  <c r="BG48" i="17"/>
  <c r="DH3" i="11"/>
  <c r="FP3" i="11"/>
  <c r="CU24" i="17"/>
  <c r="AI86" i="17" s="1"/>
  <c r="CU63" i="17"/>
  <c r="DJ4" i="17"/>
  <c r="AX82" i="17" s="1"/>
  <c r="CZ36" i="17"/>
  <c r="CZ48" i="17"/>
  <c r="CJ4" i="17"/>
  <c r="CH29" i="17"/>
  <c r="CH58" i="17"/>
  <c r="BR19" i="17"/>
  <c r="DK29" i="17"/>
  <c r="DC63" i="17"/>
  <c r="CM9" i="17"/>
  <c r="AA83" i="17" s="1"/>
  <c r="CQ3" i="11"/>
  <c r="EY3" i="11"/>
  <c r="DR68" i="17"/>
  <c r="CT19" i="17"/>
  <c r="AH85" i="17" s="1"/>
  <c r="CT48" i="17"/>
  <c r="CV3" i="11"/>
  <c r="FD3" i="11"/>
  <c r="BZ36" i="17"/>
  <c r="BU53" i="17"/>
  <c r="GK3" i="11"/>
  <c r="EC3" i="11"/>
  <c r="CW3" i="11"/>
  <c r="FE3" i="11"/>
  <c r="BH43" i="17"/>
  <c r="AZ68" i="17"/>
  <c r="DO63" i="17"/>
  <c r="DG68" i="17"/>
  <c r="CY29" i="17"/>
  <c r="CY48" i="17"/>
  <c r="CQ9" i="17"/>
  <c r="AE83" i="17" s="1"/>
  <c r="CQ4" i="17"/>
  <c r="AE82" i="17" s="1"/>
  <c r="CQ29" i="17"/>
  <c r="CI24" i="17"/>
  <c r="CI63" i="17"/>
  <c r="CA43" i="17"/>
  <c r="CA68" i="17"/>
  <c r="BS4" i="17"/>
  <c r="BS29" i="17"/>
  <c r="BS48" i="17"/>
  <c r="DS3" i="11"/>
  <c r="GA3" i="11"/>
  <c r="CM3" i="11"/>
  <c r="EU3" i="11"/>
  <c r="BF68" i="17"/>
  <c r="AV48" i="17"/>
  <c r="AF63" i="17"/>
  <c r="DM9" i="17"/>
  <c r="BA83" i="17" s="1"/>
  <c r="DQ3" i="11"/>
  <c r="FY3" i="11"/>
  <c r="DT68" i="17"/>
  <c r="DD63" i="17"/>
  <c r="BX68" i="17"/>
  <c r="BP24" i="17"/>
  <c r="AS58" i="17"/>
  <c r="AK48" i="17"/>
  <c r="DB24" i="17"/>
  <c r="AP86" i="17" s="1"/>
  <c r="EL3" i="11"/>
  <c r="GT3" i="11"/>
  <c r="DP24" i="17"/>
  <c r="BD86" i="17" s="1"/>
  <c r="BG63" i="17"/>
  <c r="AY63" i="17"/>
  <c r="AO63" i="17"/>
  <c r="DL24" i="17"/>
  <c r="AZ86" i="17" s="1"/>
  <c r="DL63" i="17"/>
  <c r="CF29" i="17"/>
  <c r="CU29" i="17"/>
  <c r="FG3" i="11"/>
  <c r="CY3" i="11"/>
  <c r="DJ14" i="17"/>
  <c r="AX84" i="17" s="1"/>
  <c r="CD24" i="17"/>
  <c r="CZ43" i="17"/>
  <c r="CJ9" i="17"/>
  <c r="FT3" i="11"/>
  <c r="DL3" i="11"/>
  <c r="DN14" i="17"/>
  <c r="BB84" i="17" s="1"/>
  <c r="DN19" i="17"/>
  <c r="BB85" i="17" s="1"/>
  <c r="CX24" i="17"/>
  <c r="AL86" i="17" s="1"/>
  <c r="CH9" i="17"/>
  <c r="CH68" i="17"/>
  <c r="BR48" i="17"/>
  <c r="CP37" i="17"/>
  <c r="CP41" i="17"/>
  <c r="BW36" i="17"/>
  <c r="AJ43" i="17"/>
  <c r="CT14" i="17"/>
  <c r="AH84" i="17" s="1"/>
  <c r="CT58" i="17"/>
  <c r="BV4" i="17"/>
  <c r="BV24" i="17"/>
  <c r="DH4" i="17"/>
  <c r="AV82" i="17" s="1"/>
  <c r="DH63" i="17"/>
  <c r="BT36" i="17"/>
  <c r="DV48" i="17"/>
  <c r="CP24" i="17"/>
  <c r="AD86" i="17" s="1"/>
  <c r="CP53" i="17"/>
  <c r="BZ9" i="17"/>
  <c r="BZ43" i="17"/>
  <c r="BZ68" i="17"/>
  <c r="FB3" i="11"/>
  <c r="CT3" i="11"/>
  <c r="DQ58" i="17"/>
  <c r="DA9" i="17"/>
  <c r="AO83" i="17" s="1"/>
  <c r="DA14" i="17"/>
  <c r="AO84" i="17" s="1"/>
  <c r="CK58" i="17"/>
  <c r="BU9" i="17"/>
  <c r="AP63" i="17"/>
  <c r="DG24" i="17"/>
  <c r="AU86" i="17" s="1"/>
  <c r="CY58" i="17"/>
  <c r="BS58" i="17"/>
  <c r="AS90" i="17"/>
  <c r="AS91" i="17"/>
  <c r="AS92" i="17"/>
  <c r="DI3" i="11"/>
  <c r="FQ3" i="11"/>
  <c r="CK3" i="11"/>
  <c r="ES3" i="11"/>
  <c r="BD63" i="17"/>
  <c r="AJ92" i="17"/>
  <c r="AJ91" i="17"/>
  <c r="AJ90" i="17"/>
  <c r="AK92" i="17"/>
  <c r="AK91" i="17"/>
  <c r="AK90" i="17"/>
  <c r="DU19" i="17"/>
  <c r="BI85" i="17" s="1"/>
  <c r="DU63" i="17"/>
  <c r="DM14" i="17"/>
  <c r="BA84" i="17" s="1"/>
  <c r="DM43" i="17"/>
  <c r="DE4" i="17"/>
  <c r="AS82" i="17" s="1"/>
  <c r="CO19" i="17"/>
  <c r="AC85" i="17" s="1"/>
  <c r="CO63" i="17"/>
  <c r="CG4" i="17"/>
  <c r="CG58" i="17"/>
  <c r="BY4" i="17"/>
  <c r="AD58" i="17"/>
  <c r="DD58" i="17"/>
  <c r="CV53" i="17"/>
  <c r="CN9" i="17"/>
  <c r="AB83" i="17" s="1"/>
  <c r="CN43" i="17"/>
  <c r="BX4" i="17"/>
  <c r="BP29" i="17"/>
  <c r="BP68" i="17"/>
  <c r="FH3" i="11"/>
  <c r="CZ3" i="11"/>
  <c r="AS68" i="17"/>
  <c r="AK58" i="17"/>
  <c r="AC48" i="17"/>
  <c r="CE58" i="17"/>
  <c r="CE63" i="17"/>
  <c r="AB48" i="17"/>
  <c r="DB4" i="17"/>
  <c r="AP82" i="17" s="1"/>
  <c r="DB43" i="17"/>
  <c r="DB29" i="17"/>
  <c r="CL53" i="17"/>
  <c r="M38" i="17"/>
  <c r="M39" i="17" s="1"/>
  <c r="AQ43" i="17"/>
  <c r="DP9" i="17"/>
  <c r="BD83" i="17" s="1"/>
  <c r="DP4" i="17"/>
  <c r="BD82" i="17" s="1"/>
  <c r="CB68" i="17"/>
  <c r="CB53" i="17"/>
  <c r="BG68" i="17"/>
  <c r="AY58" i="17"/>
  <c r="AG63" i="17"/>
  <c r="CF43" i="17"/>
  <c r="CF53" i="17"/>
  <c r="GN3" i="11"/>
  <c r="EF3" i="11"/>
  <c r="DS4" i="17"/>
  <c r="BG82" i="17" s="1"/>
  <c r="DS58" i="17"/>
  <c r="CU68" i="17"/>
  <c r="AR43" i="17"/>
  <c r="DJ68" i="17"/>
  <c r="CD9" i="17"/>
  <c r="CD29" i="17"/>
  <c r="CD48" i="17"/>
  <c r="AS38" i="17"/>
  <c r="AS39" i="17" s="1"/>
  <c r="AA48" i="17"/>
  <c r="CZ68" i="17"/>
  <c r="DN29" i="17"/>
  <c r="CX63" i="17"/>
  <c r="BR14" i="17"/>
  <c r="BR36" i="17"/>
  <c r="BR58" i="17"/>
  <c r="AM43" i="17"/>
  <c r="DK4" i="17"/>
  <c r="AY82" i="17" s="1"/>
  <c r="DK36" i="17"/>
  <c r="DC29" i="17"/>
  <c r="DC68" i="17"/>
  <c r="CM24" i="17"/>
  <c r="AA86" i="17" s="1"/>
  <c r="CM19" i="17"/>
  <c r="AA85" i="17" s="1"/>
  <c r="CM63" i="17"/>
  <c r="BW14" i="17"/>
  <c r="BW43" i="17"/>
  <c r="BB38" i="17"/>
  <c r="BB39" i="17" s="1"/>
  <c r="BB48" i="17"/>
  <c r="AJ53" i="17"/>
  <c r="CT68" i="17"/>
  <c r="BV14" i="17"/>
  <c r="BV43" i="17"/>
  <c r="BV29" i="17"/>
  <c r="BV48" i="17"/>
  <c r="BA38" i="17"/>
  <c r="BA39" i="17" s="1"/>
  <c r="DH14" i="17"/>
  <c r="AV84" i="17" s="1"/>
  <c r="DH19" i="17"/>
  <c r="AV85" i="17" s="1"/>
  <c r="CR4" i="17"/>
  <c r="AF82" i="17" s="1"/>
  <c r="CR53" i="17"/>
  <c r="BT9" i="17"/>
  <c r="BT43" i="17"/>
  <c r="BT48" i="17"/>
  <c r="DT3" i="11"/>
  <c r="GB3" i="11"/>
  <c r="AW43" i="17"/>
  <c r="DV58" i="17"/>
  <c r="DF19" i="17"/>
  <c r="AT85" i="17" s="1"/>
  <c r="CP63" i="17"/>
  <c r="BE48" i="17"/>
  <c r="AU53" i="17"/>
  <c r="AE43" i="17"/>
  <c r="DQ53" i="17"/>
  <c r="DQ68" i="17"/>
  <c r="DI48" i="17"/>
  <c r="DA36" i="17"/>
  <c r="DA19" i="17"/>
  <c r="AO85" i="17" s="1"/>
  <c r="CS24" i="17"/>
  <c r="AG86" i="17" s="1"/>
  <c r="CK24" i="17"/>
  <c r="CK53" i="17"/>
  <c r="CK68" i="17"/>
  <c r="CC24" i="17"/>
  <c r="CC48" i="17"/>
  <c r="BU14" i="17"/>
  <c r="BU19" i="17"/>
  <c r="EK3" i="11"/>
  <c r="GS3" i="11"/>
  <c r="DE3" i="11"/>
  <c r="FM3" i="11"/>
  <c r="BH63" i="17"/>
  <c r="AZ53" i="17"/>
  <c r="AX58" i="17"/>
  <c r="AP48" i="17"/>
  <c r="DO4" i="17"/>
  <c r="BC82" i="17" s="1"/>
  <c r="DG53" i="17"/>
  <c r="DG63" i="17"/>
  <c r="CY68" i="17"/>
  <c r="CQ53" i="17"/>
  <c r="CQ36" i="17"/>
  <c r="CQ48" i="17"/>
  <c r="CI9" i="17"/>
  <c r="CI53" i="17"/>
  <c r="CI19" i="17"/>
  <c r="CA53" i="17"/>
  <c r="CA63" i="17"/>
  <c r="BS68" i="17"/>
  <c r="GI3" i="11"/>
  <c r="EA3" i="11"/>
  <c r="AH38" i="17"/>
  <c r="AH39" i="17" s="1"/>
  <c r="CU3" i="11"/>
  <c r="FC3" i="11"/>
  <c r="BF63" i="17"/>
  <c r="AV68" i="17"/>
  <c r="AN58" i="17"/>
  <c r="AF48" i="17"/>
  <c r="BD43" i="17"/>
  <c r="DM19" i="17"/>
  <c r="BA85" i="17" s="1"/>
  <c r="CG19" i="17"/>
  <c r="DE9" i="17"/>
  <c r="AS83" i="17" s="1"/>
  <c r="CW4" i="17"/>
  <c r="AK82" i="17" s="1"/>
  <c r="CG14" i="17"/>
  <c r="CG24" i="17"/>
  <c r="BY14" i="17"/>
  <c r="BY9" i="17"/>
  <c r="BQ4" i="17"/>
  <c r="GG3" i="11"/>
  <c r="DY3" i="11"/>
  <c r="CS3" i="11"/>
  <c r="FA3" i="11"/>
  <c r="BH91" i="17"/>
  <c r="BH90" i="17"/>
  <c r="BH92" i="17"/>
  <c r="BD48" i="17"/>
  <c r="AT58" i="17"/>
  <c r="AL58" i="17"/>
  <c r="DD68" i="17"/>
  <c r="CV29" i="17"/>
  <c r="CV48" i="17"/>
  <c r="BX14" i="17"/>
  <c r="BX29" i="17"/>
  <c r="O38" i="17"/>
  <c r="O39" i="17" s="1"/>
  <c r="BC68" i="17"/>
  <c r="AS43" i="17"/>
  <c r="AK68" i="17"/>
  <c r="AC58" i="17"/>
  <c r="CE19" i="17"/>
  <c r="BJ68" i="17"/>
  <c r="BJ53" i="17"/>
  <c r="AB58" i="17"/>
  <c r="DB14" i="17"/>
  <c r="AP84" i="17" s="1"/>
  <c r="DB48" i="17"/>
  <c r="CL19" i="17"/>
  <c r="CH3" i="11"/>
  <c r="EP3" i="11"/>
  <c r="DP14" i="17"/>
  <c r="BD84" i="17" s="1"/>
  <c r="CB4" i="17"/>
  <c r="CB63" i="17"/>
  <c r="BG53" i="17"/>
  <c r="AY53" i="17"/>
  <c r="AY68" i="17"/>
  <c r="DL19" i="17"/>
  <c r="AZ85" i="17" s="1"/>
  <c r="DL68" i="17"/>
  <c r="CF24" i="17"/>
  <c r="CF48" i="17"/>
  <c r="DS14" i="17"/>
  <c r="BG84" i="17" s="1"/>
  <c r="DS43" i="17"/>
  <c r="CU9" i="17"/>
  <c r="AI83" i="17" s="1"/>
  <c r="CU58" i="17"/>
  <c r="F38" i="17"/>
  <c r="F39" i="17" s="1"/>
  <c r="AR53" i="17"/>
  <c r="CD4" i="17"/>
  <c r="CD58" i="17"/>
  <c r="AA63" i="17"/>
  <c r="AA58" i="17"/>
  <c r="CZ24" i="17"/>
  <c r="AN86" i="17" s="1"/>
  <c r="CZ53" i="17"/>
  <c r="CJ36" i="17"/>
  <c r="CJ48" i="17"/>
  <c r="EJ3" i="11"/>
  <c r="GR3" i="11"/>
  <c r="K38" i="17"/>
  <c r="K39" i="17" s="1"/>
  <c r="CH24" i="17"/>
  <c r="BR9" i="17"/>
  <c r="BR43" i="17"/>
  <c r="AW38" i="17"/>
  <c r="AW39" i="17" s="1"/>
  <c r="DB3" i="11"/>
  <c r="FJ3" i="11"/>
  <c r="AM53" i="17"/>
  <c r="DK9" i="17"/>
  <c r="AY83" i="17" s="1"/>
  <c r="DK43" i="17"/>
  <c r="DK48" i="17"/>
  <c r="CM29" i="17"/>
  <c r="BW9" i="17"/>
  <c r="BW53" i="17"/>
  <c r="FO3" i="11"/>
  <c r="DG3" i="11"/>
  <c r="AJ63" i="17"/>
  <c r="BV58" i="17"/>
  <c r="AI63" i="17"/>
  <c r="DH9" i="17"/>
  <c r="AV83" i="17" s="1"/>
  <c r="DH29" i="17"/>
  <c r="CR63" i="17"/>
  <c r="BT58" i="17"/>
  <c r="AW53" i="17"/>
  <c r="DF4" i="17"/>
  <c r="AT82" i="17" s="1"/>
  <c r="DF29" i="17"/>
  <c r="CP4" i="17"/>
  <c r="AD82" i="17" s="1"/>
  <c r="BZ24" i="17"/>
  <c r="DJ3" i="11"/>
  <c r="FR3" i="11"/>
  <c r="AU63" i="17"/>
  <c r="AE58" i="17"/>
  <c r="AE53" i="17"/>
  <c r="DQ24" i="17"/>
  <c r="BE86" i="17" s="1"/>
  <c r="DQ63" i="17"/>
  <c r="DI36" i="17"/>
  <c r="DI63" i="17"/>
  <c r="DA43" i="17"/>
  <c r="DA29" i="17"/>
  <c r="CS4" i="17"/>
  <c r="AG82" i="17" s="1"/>
  <c r="CS63" i="17"/>
  <c r="CK63" i="17"/>
  <c r="CC36" i="17"/>
  <c r="CC63" i="17"/>
  <c r="BU43" i="17"/>
  <c r="BU36" i="17"/>
  <c r="BU29" i="17"/>
  <c r="AZ63" i="17"/>
  <c r="AH53" i="17"/>
  <c r="DO9" i="17"/>
  <c r="BC83" i="17" s="1"/>
  <c r="DO14" i="17"/>
  <c r="BC84" i="17" s="1"/>
  <c r="CQ43" i="17"/>
  <c r="CQ58" i="17"/>
  <c r="CI4" i="17"/>
  <c r="CI29" i="17"/>
  <c r="AN68" i="17"/>
  <c r="AF58" i="17"/>
  <c r="CY37" i="17"/>
  <c r="CY41" i="17"/>
  <c r="AM90" i="17"/>
  <c r="AM91" i="17"/>
  <c r="AM92" i="17"/>
  <c r="AF92" i="17"/>
  <c r="AF91" i="17"/>
  <c r="AF90" i="17"/>
  <c r="AI91" i="17"/>
  <c r="AI92" i="17"/>
  <c r="AI90" i="17"/>
  <c r="AT92" i="17"/>
  <c r="AT91" i="17"/>
  <c r="AT90" i="17"/>
  <c r="DM58" i="17"/>
  <c r="DE14" i="17"/>
  <c r="AS84" i="17" s="1"/>
  <c r="AE91" i="17"/>
  <c r="AE90" i="17"/>
  <c r="AE92" i="17"/>
  <c r="AH92" i="17"/>
  <c r="AH91" i="17"/>
  <c r="AH90" i="17"/>
  <c r="AO91" i="17"/>
  <c r="AO90" i="17"/>
  <c r="AO92" i="17"/>
  <c r="DU58" i="17"/>
  <c r="DM24" i="17"/>
  <c r="BA86" i="17" s="1"/>
  <c r="DM63" i="17"/>
  <c r="CW14" i="17"/>
  <c r="AK84" i="17" s="1"/>
  <c r="CW19" i="17"/>
  <c r="AK85" i="17" s="1"/>
  <c r="CO29" i="17"/>
  <c r="CG63" i="17"/>
  <c r="BY43" i="17"/>
  <c r="BQ14" i="17"/>
  <c r="BQ9" i="17"/>
  <c r="AZ90" i="17"/>
  <c r="AZ91" i="17"/>
  <c r="AZ92" i="17"/>
  <c r="BD58" i="17"/>
  <c r="AT48" i="17"/>
  <c r="AT43" i="17"/>
  <c r="AL48" i="17"/>
  <c r="AD48" i="17"/>
  <c r="DT9" i="17"/>
  <c r="BH83" i="17" s="1"/>
  <c r="CV58" i="17"/>
  <c r="CN4" i="17"/>
  <c r="AB82" i="17" s="1"/>
  <c r="CN53" i="17"/>
  <c r="BC58" i="17"/>
  <c r="AS53" i="17"/>
  <c r="AK43" i="17"/>
  <c r="AC68" i="17"/>
  <c r="CE29" i="17"/>
  <c r="CE68" i="17"/>
  <c r="DO3" i="11"/>
  <c r="FW3" i="11"/>
  <c r="BJ63" i="17"/>
  <c r="AB68" i="17"/>
  <c r="DB58" i="17"/>
  <c r="CL4" i="17"/>
  <c r="CL29" i="17"/>
  <c r="BA48" i="17"/>
  <c r="AQ63" i="17"/>
  <c r="CB14" i="17"/>
  <c r="CB19" i="17"/>
  <c r="AO58" i="17"/>
  <c r="AG48" i="17"/>
  <c r="CF58" i="17"/>
  <c r="CU14" i="17"/>
  <c r="AI84" i="17" s="1"/>
  <c r="DW3" i="11"/>
  <c r="GE3" i="11"/>
  <c r="AR63" i="17"/>
  <c r="DJ43" i="17"/>
  <c r="CD14" i="17"/>
  <c r="CD68" i="17"/>
  <c r="CX3" i="11"/>
  <c r="FF3" i="11"/>
  <c r="BI48" i="17"/>
  <c r="AA53" i="17"/>
  <c r="AA68" i="17"/>
  <c r="CZ4" i="17"/>
  <c r="AN82" i="17" s="1"/>
  <c r="CZ63" i="17"/>
  <c r="CJ43" i="17"/>
  <c r="CJ58" i="17"/>
  <c r="DN43" i="17"/>
  <c r="DN58" i="17"/>
  <c r="CX19" i="17"/>
  <c r="AL85" i="17" s="1"/>
  <c r="CH63" i="17"/>
  <c r="BR24" i="17"/>
  <c r="AM58" i="17"/>
  <c r="AM63" i="17"/>
  <c r="DK24" i="17"/>
  <c r="AY86" i="17" s="1"/>
  <c r="DC14" i="17"/>
  <c r="AQ84" i="17" s="1"/>
  <c r="CM68" i="17"/>
  <c r="BW48" i="17"/>
  <c r="BW19" i="17"/>
  <c r="BW63" i="17"/>
  <c r="DR24" i="17"/>
  <c r="BF86" i="17" s="1"/>
  <c r="DR63" i="17"/>
  <c r="CT43" i="17"/>
  <c r="BV68" i="17"/>
  <c r="DF3" i="11"/>
  <c r="FN3" i="11"/>
  <c r="AI53" i="17"/>
  <c r="CR9" i="17"/>
  <c r="AF83" i="17" s="1"/>
  <c r="BT68" i="17"/>
  <c r="BT53" i="17"/>
  <c r="AW63" i="17"/>
  <c r="DV24" i="17"/>
  <c r="BJ86" i="17" s="1"/>
  <c r="DF9" i="17"/>
  <c r="AT83" i="17" s="1"/>
  <c r="DF14" i="17"/>
  <c r="AT84" i="17" s="1"/>
  <c r="DF58" i="17"/>
  <c r="CP14" i="17"/>
  <c r="AD84" i="17" s="1"/>
  <c r="CP19" i="17"/>
  <c r="AD85" i="17" s="1"/>
  <c r="BZ63" i="17"/>
  <c r="BE68" i="17"/>
  <c r="AU68" i="17"/>
  <c r="AE63" i="17"/>
  <c r="DQ4" i="17"/>
  <c r="BE82" i="17" s="1"/>
  <c r="DI43" i="17"/>
  <c r="DI68" i="17"/>
  <c r="DA48" i="17"/>
  <c r="CS9" i="17"/>
  <c r="AG83" i="17" s="1"/>
  <c r="CS14" i="17"/>
  <c r="AG84" i="17" s="1"/>
  <c r="CK9" i="17"/>
  <c r="CK4" i="17"/>
  <c r="CC68" i="17"/>
  <c r="BU63" i="17"/>
  <c r="BU48" i="17"/>
  <c r="DM3" i="11"/>
  <c r="FU3" i="11"/>
  <c r="AX63" i="17"/>
  <c r="AP68" i="17"/>
  <c r="AH58" i="17"/>
  <c r="DO29" i="17"/>
  <c r="DO48" i="17"/>
  <c r="DG4" i="17"/>
  <c r="AU82" i="17" s="1"/>
  <c r="CY24" i="17"/>
  <c r="AM86" i="17" s="1"/>
  <c r="CY63" i="17"/>
  <c r="CQ68" i="17"/>
  <c r="CI14" i="17"/>
  <c r="CI48" i="17"/>
  <c r="CA9" i="17"/>
  <c r="CA14" i="17"/>
  <c r="BS63" i="17"/>
  <c r="GQ3" i="11"/>
  <c r="EI3" i="11"/>
  <c r="AP38" i="17"/>
  <c r="AP39" i="17" s="1"/>
  <c r="FK3" i="11"/>
  <c r="DC3" i="11"/>
  <c r="BF53" i="17"/>
  <c r="AV43" i="17"/>
  <c r="AF68" i="17"/>
  <c r="CO68" i="17"/>
  <c r="AP90" i="17"/>
  <c r="AP91" i="17"/>
  <c r="AP92" i="17"/>
  <c r="AW92" i="17"/>
  <c r="AW91" i="17"/>
  <c r="AW90" i="17"/>
  <c r="AD92" i="17"/>
  <c r="AD91" i="17"/>
  <c r="AD90" i="17"/>
  <c r="CW68" i="17"/>
  <c r="AV92" i="17"/>
  <c r="AV91" i="17"/>
  <c r="AV90" i="17"/>
  <c r="AC92" i="17"/>
  <c r="AC91" i="17"/>
  <c r="AC90" i="17"/>
  <c r="CR41" i="17"/>
  <c r="DM29" i="17"/>
  <c r="DE43" i="17"/>
  <c r="DE53" i="17"/>
  <c r="CW58" i="17"/>
  <c r="CO58" i="17"/>
  <c r="BY48" i="17"/>
  <c r="BY53" i="17"/>
  <c r="EG3" i="11"/>
  <c r="GO3" i="11"/>
  <c r="DA3" i="11"/>
  <c r="FI3" i="11"/>
  <c r="BD68" i="17"/>
  <c r="AT68" i="17"/>
  <c r="AT53" i="17"/>
  <c r="AL43" i="17"/>
  <c r="DT4" i="17"/>
  <c r="BH82" i="17" s="1"/>
  <c r="DT43" i="17"/>
  <c r="DD29" i="17"/>
  <c r="CV68" i="17"/>
  <c r="CN14" i="17"/>
  <c r="AB84" i="17" s="1"/>
  <c r="CN24" i="17"/>
  <c r="AB86" i="17" s="1"/>
  <c r="CN63" i="17"/>
  <c r="CN48" i="17"/>
  <c r="BX9" i="17"/>
  <c r="DP3" i="11"/>
  <c r="FX3" i="11"/>
  <c r="CJ3" i="11"/>
  <c r="ER3" i="11"/>
  <c r="AS63" i="17"/>
  <c r="AK53" i="17"/>
  <c r="AC43" i="17"/>
  <c r="AB43" i="17"/>
  <c r="DB68" i="17"/>
  <c r="CL14" i="17"/>
  <c r="CL9" i="17"/>
  <c r="CL48" i="17"/>
  <c r="CP3" i="11"/>
  <c r="EX3" i="11"/>
  <c r="BE92" i="17"/>
  <c r="BE91" i="17"/>
  <c r="BE90" i="17"/>
  <c r="BA58" i="17"/>
  <c r="DP36" i="17"/>
  <c r="DP48" i="17"/>
  <c r="CB9" i="17"/>
  <c r="CB29" i="17"/>
  <c r="BG43" i="17"/>
  <c r="AY43" i="17"/>
  <c r="AO68" i="17"/>
  <c r="AG58" i="17"/>
  <c r="DL4" i="17"/>
  <c r="AZ82" i="17" s="1"/>
  <c r="DL9" i="17"/>
  <c r="AZ83" i="17" s="1"/>
  <c r="CF19" i="17"/>
  <c r="CF68" i="17"/>
  <c r="AE38" i="17"/>
  <c r="AE39" i="17" s="1"/>
  <c r="DS24" i="17"/>
  <c r="BG86" i="17" s="1"/>
  <c r="DS53" i="17"/>
  <c r="CU43" i="17"/>
  <c r="V38" i="17"/>
  <c r="V39" i="17" s="1"/>
  <c r="DJ53" i="17"/>
  <c r="BI58" i="17"/>
  <c r="CJ68" i="17"/>
  <c r="CJ53" i="17"/>
  <c r="AI38" i="17"/>
  <c r="AI39" i="17" s="1"/>
  <c r="DN9" i="17"/>
  <c r="BB83" i="17" s="1"/>
  <c r="DN68" i="17"/>
  <c r="CX29" i="17"/>
  <c r="CX48" i="17"/>
  <c r="CH4" i="17"/>
  <c r="BR53" i="17"/>
  <c r="DR3" i="11"/>
  <c r="FZ3" i="11"/>
  <c r="AM68" i="17"/>
  <c r="DK53" i="17"/>
  <c r="DC43" i="17"/>
  <c r="BW29" i="17"/>
  <c r="DR4" i="17"/>
  <c r="BF82" i="17" s="1"/>
  <c r="DR9" i="17"/>
  <c r="BF83" i="17" s="1"/>
  <c r="DR19" i="17"/>
  <c r="BF85" i="17" s="1"/>
  <c r="CT53" i="17"/>
  <c r="DH36" i="17"/>
  <c r="DH48" i="17"/>
  <c r="CR19" i="17"/>
  <c r="AF85" i="17" s="1"/>
  <c r="BT24" i="17"/>
  <c r="BT63" i="17"/>
  <c r="DV53" i="17"/>
  <c r="DF43" i="17"/>
  <c r="DF68" i="17"/>
  <c r="CP48" i="17"/>
  <c r="EH3" i="11"/>
  <c r="GP3" i="11"/>
  <c r="Q38" i="17"/>
  <c r="Q39" i="17" s="1"/>
  <c r="AU58" i="17"/>
  <c r="AE68" i="17"/>
  <c r="DQ14" i="17"/>
  <c r="BE84" i="17" s="1"/>
  <c r="DI53" i="17"/>
  <c r="DA58" i="17"/>
  <c r="CS53" i="17"/>
  <c r="CK36" i="17"/>
  <c r="CK14" i="17"/>
  <c r="BU58" i="17"/>
  <c r="BH48" i="17"/>
  <c r="AP53" i="17"/>
  <c r="AH68" i="17"/>
  <c r="DO36" i="17"/>
  <c r="DO58" i="17"/>
  <c r="DG9" i="17"/>
  <c r="AU83" i="17" s="1"/>
  <c r="DG14" i="17"/>
  <c r="AU84" i="17" s="1"/>
  <c r="DG19" i="17"/>
  <c r="AU85" i="17" s="1"/>
  <c r="CY4" i="17"/>
  <c r="AM82" i="17" s="1"/>
  <c r="CQ24" i="17"/>
  <c r="AE86" i="17" s="1"/>
  <c r="CI58" i="17"/>
  <c r="CA19" i="17"/>
  <c r="J38" i="17"/>
  <c r="J39" i="17" s="1"/>
  <c r="AV53" i="17"/>
  <c r="AN43" i="17"/>
  <c r="AN92" i="17"/>
  <c r="AN91" i="17"/>
  <c r="AN90" i="17"/>
  <c r="AQ92" i="17"/>
  <c r="AQ91" i="17"/>
  <c r="AQ90" i="17"/>
  <c r="CG9" i="17"/>
  <c r="AL92" i="17"/>
  <c r="AL90" i="17"/>
  <c r="AL91" i="17"/>
  <c r="DU29" i="17"/>
  <c r="CW9" i="17"/>
  <c r="AK83" i="17" s="1"/>
  <c r="CG29" i="17"/>
  <c r="AU90" i="17"/>
  <c r="AU91" i="17"/>
  <c r="AU92" i="17"/>
  <c r="AB91" i="17"/>
  <c r="AB92" i="17"/>
  <c r="AB90" i="17"/>
  <c r="AA91" i="17"/>
  <c r="AA92" i="17"/>
  <c r="AA90" i="17"/>
  <c r="DU9" i="17"/>
  <c r="BI83" i="17" s="1"/>
  <c r="DM68" i="17"/>
  <c r="DE58" i="17"/>
  <c r="DE48" i="17"/>
  <c r="DE63" i="17"/>
  <c r="CO4" i="17"/>
  <c r="AC82" i="17" s="1"/>
  <c r="CO48" i="17"/>
  <c r="CG48" i="17"/>
  <c r="BY58" i="17"/>
  <c r="BY24" i="17"/>
  <c r="BY63" i="17"/>
  <c r="BQ29" i="17"/>
  <c r="BQ43" i="17"/>
  <c r="AN38" i="17"/>
  <c r="AN39" i="17" s="1"/>
  <c r="H38" i="17"/>
  <c r="H39" i="17" s="1"/>
  <c r="AT63" i="17"/>
  <c r="AL68" i="17"/>
  <c r="AL53" i="17"/>
  <c r="AD43" i="17"/>
  <c r="DT14" i="17"/>
  <c r="BH84" i="17" s="1"/>
  <c r="DT53" i="17"/>
  <c r="DD4" i="17"/>
  <c r="AR82" i="17" s="1"/>
  <c r="CN58" i="17"/>
  <c r="BX43" i="17"/>
  <c r="BX53" i="17"/>
  <c r="BP4" i="17"/>
  <c r="BP43" i="17"/>
  <c r="BG90" i="17"/>
  <c r="BG92" i="17"/>
  <c r="BG91" i="17"/>
  <c r="AK63" i="17"/>
  <c r="AC53" i="17"/>
  <c r="CE4" i="17"/>
  <c r="BJ58" i="17"/>
  <c r="AB53" i="17"/>
  <c r="CL58" i="17"/>
  <c r="BI38" i="17"/>
  <c r="BI39" i="17" s="1"/>
  <c r="BA68" i="17"/>
  <c r="DP43" i="17"/>
  <c r="DP58" i="17"/>
  <c r="DD3" i="11"/>
  <c r="FL3" i="11"/>
  <c r="AG68" i="17"/>
  <c r="DL14" i="17"/>
  <c r="AZ84" i="17" s="1"/>
  <c r="CF9" i="17"/>
  <c r="DS19" i="17"/>
  <c r="BG85" i="17" s="1"/>
  <c r="DS63" i="17"/>
  <c r="CU4" i="17"/>
  <c r="AI82" i="17" s="1"/>
  <c r="DJ24" i="17"/>
  <c r="AX86" i="17" s="1"/>
  <c r="DJ63" i="17"/>
  <c r="CD43" i="17"/>
  <c r="DV3" i="11"/>
  <c r="GD3" i="11"/>
  <c r="BI68" i="17"/>
  <c r="AA43" i="17"/>
  <c r="CZ19" i="17"/>
  <c r="AN85" i="17" s="1"/>
  <c r="CJ63" i="17"/>
  <c r="CX4" i="17"/>
  <c r="AL82" i="17" s="1"/>
  <c r="CX58" i="17"/>
  <c r="CH14" i="17"/>
  <c r="BR63" i="17"/>
  <c r="DK63" i="17"/>
  <c r="DC58" i="17"/>
  <c r="DC24" i="17"/>
  <c r="AQ86" i="17" s="1"/>
  <c r="CM14" i="17"/>
  <c r="AA84" i="17" s="1"/>
  <c r="BW58" i="17"/>
  <c r="BW68" i="17"/>
  <c r="EE3" i="11"/>
  <c r="GM3" i="11"/>
  <c r="BB58" i="17"/>
  <c r="BB43" i="17"/>
  <c r="AJ48" i="17"/>
  <c r="DR14" i="17"/>
  <c r="BF84" i="17" s="1"/>
  <c r="DR29" i="17"/>
  <c r="DR48" i="17"/>
  <c r="CT9" i="17"/>
  <c r="AH83" i="17" s="1"/>
  <c r="CT63" i="17"/>
  <c r="ED3" i="11"/>
  <c r="GL3" i="11"/>
  <c r="DH24" i="17"/>
  <c r="AV86" i="17" s="1"/>
  <c r="DH43" i="17"/>
  <c r="DH58" i="17"/>
  <c r="CR24" i="17"/>
  <c r="AF86" i="17" s="1"/>
  <c r="CR29" i="17"/>
  <c r="CR36" i="17"/>
  <c r="BT4" i="17"/>
  <c r="BT19" i="17"/>
  <c r="AQ38" i="17"/>
  <c r="AQ39" i="17" s="1"/>
  <c r="AW48" i="17"/>
  <c r="DV63" i="17"/>
  <c r="CP58" i="17"/>
  <c r="BZ4" i="17"/>
  <c r="BE43" i="17"/>
  <c r="AU48" i="17"/>
  <c r="AE48" i="17"/>
  <c r="DQ9" i="17"/>
  <c r="BE83" i="17" s="1"/>
  <c r="DQ19" i="17"/>
  <c r="BE85" i="17" s="1"/>
  <c r="DI9" i="17"/>
  <c r="AW83" i="17" s="1"/>
  <c r="DA68" i="17"/>
  <c r="CS43" i="17"/>
  <c r="CS19" i="17"/>
  <c r="AG85" i="17" s="1"/>
  <c r="CS48" i="17"/>
  <c r="CC43" i="17"/>
  <c r="BU68" i="17"/>
  <c r="DU3" i="11"/>
  <c r="GC3" i="11"/>
  <c r="AB38" i="17"/>
  <c r="AB39" i="17" s="1"/>
  <c r="CO3" i="11"/>
  <c r="EW3" i="11"/>
  <c r="BH58" i="17"/>
  <c r="AZ48" i="17"/>
  <c r="AX53" i="17"/>
  <c r="AP43" i="17"/>
  <c r="AH43" i="17"/>
  <c r="DO53" i="17"/>
  <c r="DO43" i="17"/>
  <c r="DO68" i="17"/>
  <c r="DG29" i="17"/>
  <c r="DG36" i="17"/>
  <c r="DG48" i="17"/>
  <c r="CY9" i="17"/>
  <c r="AM83" i="17" s="1"/>
  <c r="CY14" i="17"/>
  <c r="AM84" i="17" s="1"/>
  <c r="CY53" i="17"/>
  <c r="CQ63" i="17"/>
  <c r="CI43" i="17"/>
  <c r="CI68" i="17"/>
  <c r="CA29" i="17"/>
  <c r="CA48" i="17"/>
  <c r="BS9" i="17"/>
  <c r="DK3" i="11"/>
  <c r="FS3" i="11"/>
  <c r="BF48" i="17"/>
  <c r="AV63" i="17"/>
  <c r="AN53" i="17"/>
  <c r="AN8" i="19"/>
  <c r="AQ8" i="19"/>
  <c r="AP8" i="19"/>
  <c r="AK8" i="19"/>
  <c r="AO8" i="19"/>
  <c r="BC8" i="19"/>
  <c r="AR8" i="19"/>
  <c r="AU8" i="19"/>
  <c r="AA8" i="19"/>
  <c r="AT8" i="19"/>
  <c r="AV8" i="19"/>
  <c r="AB8" i="19"/>
  <c r="AS8" i="19"/>
  <c r="AE8" i="19"/>
  <c r="AD8" i="19"/>
  <c r="AF8" i="19"/>
  <c r="AI8" i="19"/>
  <c r="AH8" i="19"/>
  <c r="AC8" i="19"/>
  <c r="AG8" i="19"/>
  <c r="AJ8" i="19"/>
  <c r="BJ8" i="19"/>
  <c r="AX8" i="19"/>
  <c r="AM8" i="19"/>
  <c r="AL8" i="19"/>
  <c r="BD8" i="19"/>
  <c r="BF8" i="19"/>
  <c r="BE8" i="19"/>
  <c r="BF59" i="15"/>
  <c r="BC59" i="15"/>
  <c r="BH59" i="15"/>
  <c r="AP59" i="15"/>
  <c r="BJ59" i="15"/>
  <c r="BE85" i="15"/>
  <c r="AH59" i="15"/>
  <c r="BD85" i="15"/>
  <c r="BI59" i="15"/>
  <c r="BG85" i="15"/>
  <c r="BR73" i="17" l="1"/>
  <c r="BR76" i="17" s="1"/>
  <c r="BR77" i="17" s="1"/>
  <c r="CL73" i="17"/>
  <c r="CL76" i="17" s="1"/>
  <c r="CL77" i="17" s="1"/>
  <c r="CE73" i="17"/>
  <c r="CE76" i="17" s="1"/>
  <c r="CE77" i="17" s="1"/>
  <c r="DU73" i="17"/>
  <c r="DU76" i="17" s="1"/>
  <c r="DU77" i="17" s="1"/>
  <c r="BY73" i="17"/>
  <c r="BY76" i="17" s="1"/>
  <c r="BY77" i="17" s="1"/>
  <c r="AM73" i="17"/>
  <c r="AM76" i="17" s="1"/>
  <c r="AM77" i="17" s="1"/>
  <c r="CM73" i="17"/>
  <c r="CM76" i="17" s="1"/>
  <c r="CM77" i="17" s="1"/>
  <c r="DP73" i="17"/>
  <c r="DP76" i="17" s="1"/>
  <c r="DP77" i="17" s="1"/>
  <c r="BW73" i="17"/>
  <c r="BW76" i="17" s="1"/>
  <c r="BW77" i="17" s="1"/>
  <c r="DF73" i="17"/>
  <c r="DF76" i="17" s="1"/>
  <c r="DF77" i="17" s="1"/>
  <c r="CR73" i="17"/>
  <c r="CR76" i="17" s="1"/>
  <c r="CR77" i="17" s="1"/>
  <c r="DO73" i="17"/>
  <c r="DO76" i="17" s="1"/>
  <c r="DO77" i="17" s="1"/>
  <c r="DA73" i="17"/>
  <c r="DA76" i="17" s="1"/>
  <c r="DA77" i="17" s="1"/>
  <c r="AO73" i="17"/>
  <c r="AO76" i="17" s="1"/>
  <c r="AO77" i="17" s="1"/>
  <c r="CP34" i="17"/>
  <c r="AP2" i="18" s="1"/>
  <c r="CF73" i="17"/>
  <c r="CF76" i="17" s="1"/>
  <c r="CF77" i="17" s="1"/>
  <c r="DM73" i="17"/>
  <c r="DM76" i="17" s="1"/>
  <c r="DM77" i="17" s="1"/>
  <c r="BR34" i="17"/>
  <c r="BR35" i="17" s="1"/>
  <c r="BR38" i="17" s="1"/>
  <c r="BR39" i="17" s="1"/>
  <c r="AF73" i="17"/>
  <c r="AF76" i="17" s="1"/>
  <c r="AF77" i="17" s="1"/>
  <c r="BI73" i="17"/>
  <c r="BI76" i="17" s="1"/>
  <c r="BI77" i="17" s="1"/>
  <c r="DD73" i="17"/>
  <c r="DD76" i="17" s="1"/>
  <c r="DD77" i="17" s="1"/>
  <c r="DK73" i="17"/>
  <c r="DK76" i="17" s="1"/>
  <c r="DK77" i="17" s="1"/>
  <c r="DE73" i="17"/>
  <c r="DE76" i="17" s="1"/>
  <c r="DE77" i="17" s="1"/>
  <c r="DN73" i="17"/>
  <c r="DN76" i="17" s="1"/>
  <c r="DN77" i="17" s="1"/>
  <c r="CV73" i="17"/>
  <c r="CV76" i="17" s="1"/>
  <c r="CV77" i="17" s="1"/>
  <c r="AG73" i="17"/>
  <c r="AG76" i="17" s="1"/>
  <c r="AG77" i="17" s="1"/>
  <c r="AI73" i="17"/>
  <c r="AI76" i="17" s="1"/>
  <c r="AI77" i="17" s="1"/>
  <c r="BB73" i="17"/>
  <c r="BB76" i="17" s="1"/>
  <c r="BB77" i="17" s="1"/>
  <c r="AR73" i="17"/>
  <c r="AR76" i="17" s="1"/>
  <c r="AR77" i="17" s="1"/>
  <c r="AQ73" i="17"/>
  <c r="AQ76" i="17" s="1"/>
  <c r="AQ77" i="17" s="1"/>
  <c r="BJ93" i="17"/>
  <c r="BJ94" i="17" s="1"/>
  <c r="DV73" i="17"/>
  <c r="DV76" i="17" s="1"/>
  <c r="DV77" i="17" s="1"/>
  <c r="CX73" i="17"/>
  <c r="CX76" i="17" s="1"/>
  <c r="CX77" i="17" s="1"/>
  <c r="CN73" i="17"/>
  <c r="CN76" i="17" s="1"/>
  <c r="CN77" i="17" s="1"/>
  <c r="DS73" i="17"/>
  <c r="DS76" i="17" s="1"/>
  <c r="DS77" i="17" s="1"/>
  <c r="CG73" i="17"/>
  <c r="CG76" i="17" s="1"/>
  <c r="CG77" i="17" s="1"/>
  <c r="CS73" i="17"/>
  <c r="CS76" i="17" s="1"/>
  <c r="CS77" i="17" s="1"/>
  <c r="DH73" i="17"/>
  <c r="DH76" i="17" s="1"/>
  <c r="DH77" i="17" s="1"/>
  <c r="CB73" i="17"/>
  <c r="CB76" i="17" s="1"/>
  <c r="CB77" i="17" s="1"/>
  <c r="CW34" i="17"/>
  <c r="AW2" i="18" s="1"/>
  <c r="CJ34" i="17"/>
  <c r="CJ35" i="17" s="1"/>
  <c r="CJ38" i="17" s="1"/>
  <c r="CJ39" i="17" s="1"/>
  <c r="BQ73" i="17"/>
  <c r="BQ76" i="17" s="1"/>
  <c r="BQ77" i="17" s="1"/>
  <c r="BZ34" i="17"/>
  <c r="BZ35" i="17" s="1"/>
  <c r="BZ38" i="17" s="1"/>
  <c r="BZ39" i="17" s="1"/>
  <c r="AJ73" i="17"/>
  <c r="AJ76" i="17" s="1"/>
  <c r="AJ77" i="17" s="1"/>
  <c r="AX93" i="17"/>
  <c r="AX94" i="17" s="1"/>
  <c r="BG93" i="17"/>
  <c r="BG94" i="17" s="1"/>
  <c r="AE73" i="17"/>
  <c r="AE76" i="17" s="1"/>
  <c r="AE77" i="17" s="1"/>
  <c r="AD73" i="17"/>
  <c r="AD76" i="17" s="1"/>
  <c r="AD77" i="17" s="1"/>
  <c r="AX73" i="17"/>
  <c r="AX76" i="17" s="1"/>
  <c r="AX77" i="17" s="1"/>
  <c r="AW73" i="17"/>
  <c r="AW76" i="17" s="1"/>
  <c r="AW77" i="17" s="1"/>
  <c r="BD93" i="17"/>
  <c r="BD94" i="17" s="1"/>
  <c r="AL73" i="17"/>
  <c r="AL76" i="17" s="1"/>
  <c r="AL77" i="17" s="1"/>
  <c r="DI73" i="17"/>
  <c r="DI76" i="17" s="1"/>
  <c r="DI77" i="17" s="1"/>
  <c r="BT73" i="17"/>
  <c r="BT76" i="17" s="1"/>
  <c r="BT77" i="17" s="1"/>
  <c r="AB73" i="17"/>
  <c r="AB76" i="17" s="1"/>
  <c r="AB77" i="17" s="1"/>
  <c r="AA87" i="17"/>
  <c r="AA93" i="17" s="1"/>
  <c r="AA94" i="17" s="1"/>
  <c r="CM34" i="17"/>
  <c r="DL73" i="17"/>
  <c r="DL76" i="17" s="1"/>
  <c r="DL77" i="17" s="1"/>
  <c r="CF34" i="17"/>
  <c r="BX73" i="17"/>
  <c r="BX76" i="17" s="1"/>
  <c r="BX77" i="17" s="1"/>
  <c r="BF73" i="17"/>
  <c r="BF76" i="17" s="1"/>
  <c r="BF77" i="17" s="1"/>
  <c r="CA73" i="17"/>
  <c r="CA76" i="17" s="1"/>
  <c r="CA77" i="17" s="1"/>
  <c r="AM87" i="17"/>
  <c r="AM93" i="17" s="1"/>
  <c r="AM94" i="17" s="1"/>
  <c r="CY34" i="17"/>
  <c r="DK34" i="17"/>
  <c r="AY87" i="17"/>
  <c r="AY93" i="17" s="1"/>
  <c r="AY94" i="17" s="1"/>
  <c r="BQ34" i="17"/>
  <c r="DG73" i="17"/>
  <c r="DG76" i="17" s="1"/>
  <c r="DG77" i="17" s="1"/>
  <c r="DR73" i="17"/>
  <c r="DR76" i="17" s="1"/>
  <c r="DR77" i="17" s="1"/>
  <c r="DJ34" i="17"/>
  <c r="BH73" i="17"/>
  <c r="BH76" i="17" s="1"/>
  <c r="BH77" i="17" s="1"/>
  <c r="CP73" i="17"/>
  <c r="CP76" i="17" s="1"/>
  <c r="CP77" i="17" s="1"/>
  <c r="CI34" i="17"/>
  <c r="AJ87" i="17"/>
  <c r="AJ93" i="17" s="1"/>
  <c r="AJ94" i="17" s="1"/>
  <c r="CV34" i="17"/>
  <c r="BF87" i="17"/>
  <c r="BF93" i="17" s="1"/>
  <c r="BF94" i="17" s="1"/>
  <c r="DR34" i="17"/>
  <c r="BE93" i="17"/>
  <c r="BE94" i="17" s="1"/>
  <c r="DB73" i="17"/>
  <c r="DB76" i="17" s="1"/>
  <c r="DB77" i="17" s="1"/>
  <c r="BA87" i="17"/>
  <c r="BA93" i="17" s="1"/>
  <c r="BA94" i="17" s="1"/>
  <c r="DM34" i="17"/>
  <c r="CW73" i="17"/>
  <c r="CW76" i="17" s="1"/>
  <c r="CW77" i="17" s="1"/>
  <c r="BC87" i="17"/>
  <c r="BC93" i="17" s="1"/>
  <c r="BC94" i="17" s="1"/>
  <c r="DO34" i="17"/>
  <c r="CC73" i="17"/>
  <c r="CC76" i="17" s="1"/>
  <c r="CC77" i="17" s="1"/>
  <c r="AA73" i="17"/>
  <c r="AA76" i="17" s="1"/>
  <c r="AA77" i="17" s="1"/>
  <c r="AC87" i="17"/>
  <c r="AC93" i="17" s="1"/>
  <c r="AC94" i="17" s="1"/>
  <c r="CO34" i="17"/>
  <c r="BU34" i="17"/>
  <c r="AO87" i="17"/>
  <c r="AO93" i="17" s="1"/>
  <c r="AO94" i="17" s="1"/>
  <c r="DA34" i="17"/>
  <c r="AY73" i="17"/>
  <c r="AY76" i="17" s="1"/>
  <c r="AY77" i="17" s="1"/>
  <c r="AK73" i="17"/>
  <c r="AK76" i="17" s="1"/>
  <c r="AK77" i="17" s="1"/>
  <c r="CT73" i="17"/>
  <c r="CT76" i="17" s="1"/>
  <c r="CT77" i="17" s="1"/>
  <c r="CD34" i="17"/>
  <c r="AP87" i="17"/>
  <c r="AP93" i="17" s="1"/>
  <c r="AP94" i="17" s="1"/>
  <c r="DB34" i="17"/>
  <c r="AS73" i="17"/>
  <c r="AS76" i="17" s="1"/>
  <c r="AS77" i="17" s="1"/>
  <c r="DV34" i="17"/>
  <c r="DQ34" i="17"/>
  <c r="CN34" i="17"/>
  <c r="AD93" i="17"/>
  <c r="AD94" i="17" s="1"/>
  <c r="AH93" i="17"/>
  <c r="AH94" i="17" s="1"/>
  <c r="BS73" i="17"/>
  <c r="BS76" i="17" s="1"/>
  <c r="BS77" i="17" s="1"/>
  <c r="DQ73" i="17"/>
  <c r="DQ76" i="17" s="1"/>
  <c r="DQ77" i="17" s="1"/>
  <c r="DC73" i="17"/>
  <c r="DC76" i="17" s="1"/>
  <c r="DC77" i="17" s="1"/>
  <c r="DP34" i="17"/>
  <c r="CH73" i="17"/>
  <c r="CH76" i="17" s="1"/>
  <c r="CH77" i="17" s="1"/>
  <c r="DE34" i="17"/>
  <c r="AZ73" i="17"/>
  <c r="AZ76" i="17" s="1"/>
  <c r="AZ77" i="17" s="1"/>
  <c r="DI34" i="17"/>
  <c r="CH34" i="17"/>
  <c r="DL34" i="17"/>
  <c r="BU73" i="17"/>
  <c r="BU76" i="17" s="1"/>
  <c r="BU77" i="17" s="1"/>
  <c r="CJ73" i="17"/>
  <c r="CJ76" i="17" s="1"/>
  <c r="CJ77" i="17" s="1"/>
  <c r="AP73" i="17"/>
  <c r="AP76" i="17" s="1"/>
  <c r="AP77" i="17" s="1"/>
  <c r="AU73" i="17"/>
  <c r="AU76" i="17" s="1"/>
  <c r="AU77" i="17" s="1"/>
  <c r="BC73" i="17"/>
  <c r="BC76" i="17" s="1"/>
  <c r="BC77" i="17" s="1"/>
  <c r="AV73" i="17"/>
  <c r="AV76" i="17" s="1"/>
  <c r="AV77" i="17" s="1"/>
  <c r="CY73" i="17"/>
  <c r="CY76" i="17" s="1"/>
  <c r="CY77" i="17" s="1"/>
  <c r="CK73" i="17"/>
  <c r="CK76" i="17" s="1"/>
  <c r="CK77" i="17" s="1"/>
  <c r="AQ87" i="17"/>
  <c r="AQ93" i="17" s="1"/>
  <c r="AQ94" i="17" s="1"/>
  <c r="DC34" i="17"/>
  <c r="DJ73" i="17"/>
  <c r="DJ76" i="17" s="1"/>
  <c r="DJ77" i="17" s="1"/>
  <c r="AS93" i="17"/>
  <c r="AS94" i="17" s="1"/>
  <c r="DT73" i="17"/>
  <c r="DT76" i="17" s="1"/>
  <c r="DT77" i="17" s="1"/>
  <c r="CQ34" i="17"/>
  <c r="AE87" i="17"/>
  <c r="AE93" i="17" s="1"/>
  <c r="AE94" i="17" s="1"/>
  <c r="AR87" i="17"/>
  <c r="AR93" i="17" s="1"/>
  <c r="AR94" i="17" s="1"/>
  <c r="DD34" i="17"/>
  <c r="CA34" i="17"/>
  <c r="CG34" i="17"/>
  <c r="BW34" i="17"/>
  <c r="CB34" i="17"/>
  <c r="CO73" i="17"/>
  <c r="CO76" i="17" s="1"/>
  <c r="CO77" i="17" s="1"/>
  <c r="CQ73" i="17"/>
  <c r="CQ76" i="17" s="1"/>
  <c r="CQ77" i="17" s="1"/>
  <c r="BE73" i="17"/>
  <c r="BE76" i="17" s="1"/>
  <c r="BE77" i="17" s="1"/>
  <c r="BV73" i="17"/>
  <c r="BV76" i="17" s="1"/>
  <c r="BV77" i="17" s="1"/>
  <c r="CL34" i="17"/>
  <c r="CE34" i="17"/>
  <c r="AZ93" i="17"/>
  <c r="AZ94" i="17" s="1"/>
  <c r="BY34" i="17"/>
  <c r="BB87" i="17"/>
  <c r="BB93" i="17" s="1"/>
  <c r="BB94" i="17" s="1"/>
  <c r="DN34" i="17"/>
  <c r="BP73" i="17"/>
  <c r="BP76" i="17" s="1"/>
  <c r="BP77" i="17" s="1"/>
  <c r="DS34" i="17"/>
  <c r="AF87" i="17"/>
  <c r="AF93" i="17" s="1"/>
  <c r="AF94" i="17" s="1"/>
  <c r="CR34" i="17"/>
  <c r="CI73" i="17"/>
  <c r="CI76" i="17" s="1"/>
  <c r="CI77" i="17" s="1"/>
  <c r="DG34" i="17"/>
  <c r="AU87" i="17"/>
  <c r="AU93" i="17" s="1"/>
  <c r="AU94" i="17" s="1"/>
  <c r="BA73" i="17"/>
  <c r="BA76" i="17" s="1"/>
  <c r="BA77" i="17" s="1"/>
  <c r="AT73" i="17"/>
  <c r="AT76" i="17" s="1"/>
  <c r="AT77" i="17" s="1"/>
  <c r="AW93" i="17"/>
  <c r="AW94" i="17" s="1"/>
  <c r="AC73" i="17"/>
  <c r="AC76" i="17" s="1"/>
  <c r="AC77" i="17" s="1"/>
  <c r="AN73" i="17"/>
  <c r="AN76" i="17" s="1"/>
  <c r="AN77" i="17" s="1"/>
  <c r="AV87" i="17"/>
  <c r="AV93" i="17" s="1"/>
  <c r="AV94" i="17" s="1"/>
  <c r="DH34" i="17"/>
  <c r="BX34" i="17"/>
  <c r="CZ73" i="17"/>
  <c r="CZ76" i="17" s="1"/>
  <c r="CZ77" i="17" s="1"/>
  <c r="CU73" i="17"/>
  <c r="CU76" i="17" s="1"/>
  <c r="CU77" i="17" s="1"/>
  <c r="BP34" i="17"/>
  <c r="CC34" i="17"/>
  <c r="CT34" i="17"/>
  <c r="AI87" i="17"/>
  <c r="AI93" i="17" s="1"/>
  <c r="AI94" i="17" s="1"/>
  <c r="CU34" i="17"/>
  <c r="DT34" i="17"/>
  <c r="BS34" i="17"/>
  <c r="CK34" i="17"/>
  <c r="AG87" i="17"/>
  <c r="AG93" i="17" s="1"/>
  <c r="AG94" i="17" s="1"/>
  <c r="CS34" i="17"/>
  <c r="CZ34" i="17"/>
  <c r="AB93" i="17"/>
  <c r="AB94" i="17" s="1"/>
  <c r="DU34" i="17"/>
  <c r="BI87" i="17"/>
  <c r="BI93" i="17" s="1"/>
  <c r="BI94" i="17" s="1"/>
  <c r="AN93" i="17"/>
  <c r="AN94" i="17" s="1"/>
  <c r="AH73" i="17"/>
  <c r="AH76" i="17" s="1"/>
  <c r="AH77" i="17" s="1"/>
  <c r="AL87" i="17"/>
  <c r="AL93" i="17" s="1"/>
  <c r="AL94" i="17" s="1"/>
  <c r="CX34" i="17"/>
  <c r="BD73" i="17"/>
  <c r="BD76" i="17" s="1"/>
  <c r="BD77" i="17" s="1"/>
  <c r="CD73" i="17"/>
  <c r="CD76" i="17" s="1"/>
  <c r="CD77" i="17" s="1"/>
  <c r="DF34" i="17"/>
  <c r="AT87" i="17"/>
  <c r="AT93" i="17" s="1"/>
  <c r="AT94" i="17" s="1"/>
  <c r="BJ73" i="17"/>
  <c r="BJ76" i="17" s="1"/>
  <c r="BJ77" i="17" s="1"/>
  <c r="BH93" i="17"/>
  <c r="BH94" i="17" s="1"/>
  <c r="BV34" i="17"/>
  <c r="BG73" i="17"/>
  <c r="BG76" i="17" s="1"/>
  <c r="BG77" i="17" s="1"/>
  <c r="AK93" i="17"/>
  <c r="AK94" i="17" s="1"/>
  <c r="BZ73" i="17"/>
  <c r="BZ76" i="17" s="1"/>
  <c r="BZ77" i="17" s="1"/>
  <c r="BT34" i="17"/>
  <c r="BJ9" i="19"/>
  <c r="AY8" i="19"/>
  <c r="AZ8" i="19"/>
  <c r="BB8" i="19"/>
  <c r="BA8" i="19"/>
  <c r="BI8" i="19"/>
  <c r="BE9" i="19" s="1"/>
  <c r="BF85" i="15"/>
  <c r="AF85" i="15"/>
  <c r="AV85" i="15"/>
  <c r="AZ85" i="15"/>
  <c r="AO85" i="15"/>
  <c r="BC85" i="15"/>
  <c r="AK85" i="15"/>
  <c r="AT85" i="15"/>
  <c r="BB85" i="15"/>
  <c r="AG85" i="15"/>
  <c r="BJ85" i="15"/>
  <c r="AR85" i="15"/>
  <c r="AH85" i="15"/>
  <c r="AQ85" i="15"/>
  <c r="AU85" i="15"/>
  <c r="AC85" i="15"/>
  <c r="AI85" i="15"/>
  <c r="BH85" i="15"/>
  <c r="AS85" i="15"/>
  <c r="AW85" i="15"/>
  <c r="AN85" i="15"/>
  <c r="AE85" i="15"/>
  <c r="AM85" i="15"/>
  <c r="AX85" i="15"/>
  <c r="AJ85" i="15"/>
  <c r="BI85" i="15"/>
  <c r="AA85" i="15"/>
  <c r="AP85" i="15"/>
  <c r="AB85" i="15"/>
  <c r="CP35" i="17" l="1"/>
  <c r="CP38" i="17" s="1"/>
  <c r="CP39" i="17" s="1"/>
  <c r="R2" i="18"/>
  <c r="CW35" i="17"/>
  <c r="CW38" i="17" s="1"/>
  <c r="CW39" i="17" s="1"/>
  <c r="Z2" i="18"/>
  <c r="AJ2" i="18"/>
  <c r="AK2" i="18"/>
  <c r="CK35" i="17"/>
  <c r="CK38" i="17" s="1"/>
  <c r="CK39" i="17" s="1"/>
  <c r="BD2" i="18"/>
  <c r="DD35" i="17"/>
  <c r="CC35" i="17"/>
  <c r="CC38" i="17" s="1"/>
  <c r="CC39" i="17" s="1"/>
  <c r="AC2" i="18"/>
  <c r="X2" i="18"/>
  <c r="BX35" i="17"/>
  <c r="BX38" i="17" s="1"/>
  <c r="BX39" i="17" s="1"/>
  <c r="BS2" i="18"/>
  <c r="DS35" i="17"/>
  <c r="W2" i="18"/>
  <c r="BW35" i="17"/>
  <c r="BW38" i="17" s="1"/>
  <c r="BW39" i="17" s="1"/>
  <c r="AH2" i="18"/>
  <c r="CH35" i="17"/>
  <c r="CH38" i="17" s="1"/>
  <c r="CH39" i="17" s="1"/>
  <c r="CV35" i="17"/>
  <c r="AV2" i="18"/>
  <c r="AY2" i="18"/>
  <c r="CY35" i="17"/>
  <c r="P2" i="18"/>
  <c r="BP35" i="17"/>
  <c r="BP38" i="17" s="1"/>
  <c r="BP39" i="17" s="1"/>
  <c r="BU2" i="18"/>
  <c r="DU35" i="17"/>
  <c r="Y2" i="18"/>
  <c r="BY35" i="17"/>
  <c r="BY38" i="17" s="1"/>
  <c r="BY39" i="17" s="1"/>
  <c r="BQ2" i="18"/>
  <c r="DQ35" i="17"/>
  <c r="U2" i="18"/>
  <c r="BU35" i="17"/>
  <c r="BU38" i="17" s="1"/>
  <c r="BU39" i="17" s="1"/>
  <c r="BO2" i="18"/>
  <c r="DO35" i="17"/>
  <c r="Q2" i="18"/>
  <c r="BQ35" i="17"/>
  <c r="BQ38" i="17" s="1"/>
  <c r="BQ39" i="17" s="1"/>
  <c r="DG35" i="17"/>
  <c r="BG2" i="18"/>
  <c r="AG2" i="18"/>
  <c r="CG35" i="17"/>
  <c r="CG38" i="17" s="1"/>
  <c r="CG39" i="17" s="1"/>
  <c r="BV2" i="18"/>
  <c r="DV35" i="17"/>
  <c r="BR2" i="18"/>
  <c r="DR35" i="17"/>
  <c r="AI2" i="18"/>
  <c r="CI35" i="17"/>
  <c r="CI38" i="17" s="1"/>
  <c r="CI39" i="17" s="1"/>
  <c r="S2" i="18"/>
  <c r="BS35" i="17"/>
  <c r="BS38" i="17" s="1"/>
  <c r="BS39" i="17" s="1"/>
  <c r="T2" i="18"/>
  <c r="BT35" i="17"/>
  <c r="BT38" i="17" s="1"/>
  <c r="BT39" i="17" s="1"/>
  <c r="BT2" i="18"/>
  <c r="DT35" i="17"/>
  <c r="AE2" i="18"/>
  <c r="CE35" i="17"/>
  <c r="CE38" i="17" s="1"/>
  <c r="CE39" i="17" s="1"/>
  <c r="CB35" i="17"/>
  <c r="CB38" i="17" s="1"/>
  <c r="CB39" i="17" s="1"/>
  <c r="AB2" i="18"/>
  <c r="DC35" i="17"/>
  <c r="BC2" i="18"/>
  <c r="DE35" i="17"/>
  <c r="BE2" i="18"/>
  <c r="AO2" i="18"/>
  <c r="CO35" i="17"/>
  <c r="CO38" i="17" s="1"/>
  <c r="CO39" i="17" s="1"/>
  <c r="BJ2" i="18"/>
  <c r="DJ35" i="17"/>
  <c r="DI35" i="17"/>
  <c r="BI2" i="18"/>
  <c r="AD2" i="18"/>
  <c r="CD35" i="17"/>
  <c r="CD38" i="17" s="1"/>
  <c r="CD39" i="17" s="1"/>
  <c r="BH2" i="18"/>
  <c r="DH35" i="17"/>
  <c r="AX2" i="18"/>
  <c r="CX35" i="17"/>
  <c r="CZ35" i="17"/>
  <c r="AZ2" i="18"/>
  <c r="CU35" i="17"/>
  <c r="AU2" i="18"/>
  <c r="AR2" i="18"/>
  <c r="CR35" i="17"/>
  <c r="CR38" i="17" s="1"/>
  <c r="CR39" i="17" s="1"/>
  <c r="V2" i="18"/>
  <c r="BV35" i="17"/>
  <c r="BV38" i="17" s="1"/>
  <c r="BV39" i="17" s="1"/>
  <c r="AS2" i="18"/>
  <c r="CS35" i="17"/>
  <c r="CS38" i="17" s="1"/>
  <c r="CS39" i="17" s="1"/>
  <c r="DN35" i="17"/>
  <c r="BN2" i="18"/>
  <c r="CL35" i="17"/>
  <c r="CL38" i="17" s="1"/>
  <c r="CL39" i="17" s="1"/>
  <c r="AL2" i="18"/>
  <c r="AA2" i="18"/>
  <c r="CA35" i="17"/>
  <c r="CA38" i="17" s="1"/>
  <c r="CA39" i="17" s="1"/>
  <c r="AQ2" i="18"/>
  <c r="CQ35" i="17"/>
  <c r="CQ38" i="17" s="1"/>
  <c r="CQ39" i="17" s="1"/>
  <c r="DL35" i="17"/>
  <c r="BL2" i="18"/>
  <c r="BB2" i="18"/>
  <c r="DB35" i="17"/>
  <c r="BM2" i="18"/>
  <c r="DM35" i="17"/>
  <c r="AF2" i="18"/>
  <c r="CF35" i="17"/>
  <c r="CF38" i="17" s="1"/>
  <c r="CF39" i="17" s="1"/>
  <c r="AM2" i="18"/>
  <c r="CM35" i="17"/>
  <c r="CM38" i="17" s="1"/>
  <c r="CM39" i="17" s="1"/>
  <c r="AN2" i="18"/>
  <c r="CN35" i="17"/>
  <c r="CN38" i="17" s="1"/>
  <c r="CN39" i="17" s="1"/>
  <c r="BF2" i="18"/>
  <c r="DF35" i="17"/>
  <c r="AT2" i="18"/>
  <c r="CT35" i="17"/>
  <c r="CT38" i="17" s="1"/>
  <c r="CT39" i="17" s="1"/>
  <c r="BP2" i="18"/>
  <c r="DP35" i="17"/>
  <c r="DA35" i="17"/>
  <c r="BA2" i="18"/>
  <c r="BK2" i="18"/>
  <c r="DK35" i="17"/>
  <c r="AD9" i="19"/>
  <c r="AV9" i="19"/>
  <c r="AH9" i="19"/>
  <c r="AA9" i="19"/>
  <c r="AB9" i="19"/>
  <c r="AI9" i="19"/>
  <c r="AC9" i="19"/>
  <c r="AX9" i="19"/>
  <c r="BF9" i="19"/>
  <c r="BA9" i="19"/>
  <c r="AZ9" i="19"/>
  <c r="AY9" i="19"/>
  <c r="AS9" i="19"/>
  <c r="AU9" i="19"/>
  <c r="AP9" i="19"/>
  <c r="AO9" i="19"/>
  <c r="AM9" i="19"/>
  <c r="AR9" i="19"/>
  <c r="AT9" i="19"/>
  <c r="AW9" i="19"/>
  <c r="AL9" i="19"/>
  <c r="AQ9" i="19"/>
  <c r="AF9" i="19"/>
  <c r="BI9" i="19"/>
  <c r="BG9" i="19"/>
  <c r="BH9" i="19"/>
  <c r="BC9" i="19"/>
  <c r="BB9" i="19"/>
  <c r="AJ9" i="19"/>
  <c r="AK9" i="19"/>
  <c r="AE9" i="19"/>
  <c r="AG9" i="19"/>
  <c r="AN9" i="19"/>
  <c r="BD9" i="19"/>
  <c r="AK12" i="19" l="1"/>
  <c r="AK16" i="19" s="1"/>
  <c r="AK18" i="19" s="1"/>
  <c r="DV38" i="17"/>
  <c r="DV39" i="17" s="1"/>
  <c r="BJ12" i="19"/>
  <c r="DO38" i="17"/>
  <c r="DO39" i="17" s="1"/>
  <c r="BC12" i="19"/>
  <c r="DU38" i="17"/>
  <c r="DU39" i="17" s="1"/>
  <c r="BI12" i="19"/>
  <c r="DK38" i="17"/>
  <c r="DK39" i="17" s="1"/>
  <c r="AY12" i="19"/>
  <c r="DF38" i="17"/>
  <c r="DF39" i="17" s="1"/>
  <c r="AT12" i="19"/>
  <c r="DM38" i="17"/>
  <c r="DM39" i="17" s="1"/>
  <c r="BA12" i="19"/>
  <c r="CX38" i="17"/>
  <c r="CX39" i="17" s="1"/>
  <c r="AL12" i="19"/>
  <c r="DJ38" i="17"/>
  <c r="DJ39" i="17" s="1"/>
  <c r="AX12" i="19"/>
  <c r="DC38" i="17"/>
  <c r="DC39" i="17" s="1"/>
  <c r="AQ12" i="19"/>
  <c r="DI38" i="17"/>
  <c r="DI39" i="17" s="1"/>
  <c r="AW12" i="19"/>
  <c r="DB38" i="17"/>
  <c r="DB39" i="17" s="1"/>
  <c r="AP12" i="19"/>
  <c r="DH38" i="17"/>
  <c r="DH39" i="17" s="1"/>
  <c r="AV12" i="19"/>
  <c r="DQ38" i="17"/>
  <c r="DQ39" i="17" s="1"/>
  <c r="BE12" i="19"/>
  <c r="CY38" i="17"/>
  <c r="CY39" i="17" s="1"/>
  <c r="AM12" i="19"/>
  <c r="DD38" i="17"/>
  <c r="DD39" i="17" s="1"/>
  <c r="AR12" i="19"/>
  <c r="CZ38" i="17"/>
  <c r="CZ39" i="17" s="1"/>
  <c r="AN12" i="19"/>
  <c r="CV38" i="17"/>
  <c r="CV39" i="17" s="1"/>
  <c r="AJ12" i="19"/>
  <c r="DA38" i="17"/>
  <c r="DA39" i="17" s="1"/>
  <c r="AO12" i="19"/>
  <c r="DG38" i="17"/>
  <c r="DG39" i="17" s="1"/>
  <c r="AU12" i="19"/>
  <c r="DT38" i="17"/>
  <c r="DT39" i="17" s="1"/>
  <c r="BH12" i="19"/>
  <c r="DR38" i="17"/>
  <c r="DR39" i="17" s="1"/>
  <c r="BF12" i="19"/>
  <c r="DS38" i="17"/>
  <c r="DS39" i="17" s="1"/>
  <c r="BG12" i="19"/>
  <c r="DP38" i="17"/>
  <c r="DP39" i="17" s="1"/>
  <c r="BD12" i="19"/>
  <c r="DL38" i="17"/>
  <c r="DL39" i="17" s="1"/>
  <c r="AZ12" i="19"/>
  <c r="DN38" i="17"/>
  <c r="DN39" i="17" s="1"/>
  <c r="BB12" i="19"/>
  <c r="CU38" i="17"/>
  <c r="CU39" i="17" s="1"/>
  <c r="AI12" i="19"/>
  <c r="DE38" i="17"/>
  <c r="DE39" i="17" s="1"/>
  <c r="AS12" i="19"/>
  <c r="AZ16" i="19" l="1"/>
  <c r="AZ18" i="19" s="1"/>
  <c r="AZ13" i="19"/>
  <c r="AZ17" i="19" s="1"/>
  <c r="BH16" i="19"/>
  <c r="BH18" i="19" s="1"/>
  <c r="BH13" i="19"/>
  <c r="BH17" i="19" s="1"/>
  <c r="AN16" i="19"/>
  <c r="AN18" i="19" s="1"/>
  <c r="AN13" i="19"/>
  <c r="AN17" i="19" s="1"/>
  <c r="AV16" i="19"/>
  <c r="AV18" i="19" s="1"/>
  <c r="AV13" i="19"/>
  <c r="AV17" i="19" s="1"/>
  <c r="AX16" i="19"/>
  <c r="AX18" i="19" s="1"/>
  <c r="AX13" i="19"/>
  <c r="AX17" i="19" s="1"/>
  <c r="AY16" i="19"/>
  <c r="AY18" i="19" s="1"/>
  <c r="AY13" i="19"/>
  <c r="AY17" i="19" s="1"/>
  <c r="AS16" i="19"/>
  <c r="AS18" i="19" s="1"/>
  <c r="AS13" i="19"/>
  <c r="AS17" i="19" s="1"/>
  <c r="BD16" i="19"/>
  <c r="BD18" i="19" s="1"/>
  <c r="BD13" i="19"/>
  <c r="BD17" i="19" s="1"/>
  <c r="AU16" i="19"/>
  <c r="AU18" i="19" s="1"/>
  <c r="AU13" i="19"/>
  <c r="AU17" i="19" s="1"/>
  <c r="AR13" i="19"/>
  <c r="AR17" i="19" s="1"/>
  <c r="AR16" i="19"/>
  <c r="AR18" i="19" s="1"/>
  <c r="AP16" i="19"/>
  <c r="AP18" i="19" s="1"/>
  <c r="AP13" i="19"/>
  <c r="AP17" i="19" s="1"/>
  <c r="AL16" i="19"/>
  <c r="AL18" i="19" s="1"/>
  <c r="AL13" i="19"/>
  <c r="AL17" i="19" s="1"/>
  <c r="AK13" i="19"/>
  <c r="AK17" i="19" s="1"/>
  <c r="BI16" i="19"/>
  <c r="BI18" i="19" s="1"/>
  <c r="BI13" i="19"/>
  <c r="BI17" i="19" s="1"/>
  <c r="AI16" i="19"/>
  <c r="AI18" i="19" s="1"/>
  <c r="AI13" i="19"/>
  <c r="AI17" i="19" s="1"/>
  <c r="BG16" i="19"/>
  <c r="BG18" i="19" s="1"/>
  <c r="BG13" i="19"/>
  <c r="BG17" i="19" s="1"/>
  <c r="AO16" i="19"/>
  <c r="AO18" i="19" s="1"/>
  <c r="AO13" i="19"/>
  <c r="AO17" i="19" s="1"/>
  <c r="AM16" i="19"/>
  <c r="AM18" i="19" s="1"/>
  <c r="AM13" i="19"/>
  <c r="AM17" i="19" s="1"/>
  <c r="AW16" i="19"/>
  <c r="AW18" i="19" s="1"/>
  <c r="AW13" i="19"/>
  <c r="AW17" i="19" s="1"/>
  <c r="BA13" i="19"/>
  <c r="BA17" i="19" s="1"/>
  <c r="BA16" i="19"/>
  <c r="BA18" i="19" s="1"/>
  <c r="BC16" i="19"/>
  <c r="BC18" i="19" s="1"/>
  <c r="BC13" i="19"/>
  <c r="BC17" i="19" s="1"/>
  <c r="BB16" i="19"/>
  <c r="BB18" i="19" s="1"/>
  <c r="BB13" i="19"/>
  <c r="BB17" i="19" s="1"/>
  <c r="BF16" i="19"/>
  <c r="BF18" i="19" s="1"/>
  <c r="BF13" i="19"/>
  <c r="BF17" i="19" s="1"/>
  <c r="AJ16" i="19"/>
  <c r="AJ18" i="19" s="1"/>
  <c r="AJ13" i="19"/>
  <c r="AJ17" i="19" s="1"/>
  <c r="BE16" i="19"/>
  <c r="BE18" i="19" s="1"/>
  <c r="BE13" i="19"/>
  <c r="BE17" i="19" s="1"/>
  <c r="AQ16" i="19"/>
  <c r="AQ18" i="19" s="1"/>
  <c r="AQ13" i="19"/>
  <c r="AQ17" i="19" s="1"/>
  <c r="AT16" i="19"/>
  <c r="AT18" i="19" s="1"/>
  <c r="AT13" i="19"/>
  <c r="AT17" i="19" s="1"/>
  <c r="BJ13" i="19"/>
  <c r="BJ17" i="19" s="1"/>
  <c r="BJ16" i="19"/>
  <c r="BJ18" i="19" s="1"/>
  <c r="AB251" i="36"/>
  <c r="AA251" i="36"/>
  <c r="Z251" i="36"/>
  <c r="Y251" i="36"/>
  <c r="X251" i="36"/>
  <c r="W251" i="36"/>
  <c r="AB250" i="36"/>
  <c r="AA250" i="36"/>
  <c r="Z250" i="36"/>
  <c r="Y250" i="36"/>
  <c r="X250" i="36"/>
  <c r="W250" i="36"/>
  <c r="AB249" i="36"/>
  <c r="AA249" i="36"/>
  <c r="Z249" i="36"/>
  <c r="Y249" i="36"/>
  <c r="X249" i="36"/>
  <c r="W249" i="36"/>
  <c r="AB248" i="36"/>
  <c r="AA248" i="36"/>
  <c r="Z248" i="36"/>
  <c r="Y248" i="36"/>
  <c r="X248" i="36"/>
  <c r="W248" i="36"/>
  <c r="AB247" i="36"/>
  <c r="AA247" i="36"/>
  <c r="Z247" i="36"/>
  <c r="Y247" i="36"/>
  <c r="X247" i="36"/>
  <c r="W247" i="36"/>
  <c r="AB246" i="36"/>
  <c r="AA246" i="36"/>
  <c r="Z246" i="36"/>
  <c r="Y246" i="36"/>
  <c r="X246" i="36"/>
  <c r="W246" i="36"/>
  <c r="AB245" i="36"/>
  <c r="AA245" i="36"/>
  <c r="Z245" i="36"/>
  <c r="Y245" i="36"/>
  <c r="X245" i="36"/>
  <c r="W245" i="36"/>
  <c r="AB244" i="36"/>
  <c r="AA244" i="36"/>
  <c r="Z244" i="36"/>
  <c r="Y244" i="36"/>
  <c r="X244" i="36"/>
  <c r="W244" i="36"/>
  <c r="AB243" i="36"/>
  <c r="AA243" i="36"/>
  <c r="Z243" i="36"/>
  <c r="Y243" i="36"/>
  <c r="X243" i="36"/>
  <c r="W243" i="36"/>
  <c r="AB242" i="36"/>
  <c r="AA242" i="36"/>
  <c r="Z242" i="36"/>
  <c r="Y242" i="36"/>
  <c r="X242" i="36"/>
  <c r="W242" i="36"/>
  <c r="AB241" i="36"/>
  <c r="AA241" i="36"/>
  <c r="Z241" i="36"/>
  <c r="Y241" i="36"/>
  <c r="X241" i="36"/>
  <c r="W241" i="36"/>
  <c r="AB240" i="36"/>
  <c r="AA240" i="36"/>
  <c r="Z240" i="36"/>
  <c r="Y240" i="36"/>
  <c r="X240" i="36"/>
  <c r="W240" i="36"/>
  <c r="AB239" i="36"/>
  <c r="AA239" i="36"/>
  <c r="Z239" i="36"/>
  <c r="Y239" i="36"/>
  <c r="X239" i="36"/>
  <c r="W239" i="36"/>
  <c r="AB238" i="36"/>
  <c r="AA238" i="36"/>
  <c r="Z238" i="36"/>
  <c r="Y238" i="36"/>
  <c r="X238" i="36"/>
  <c r="W238" i="36"/>
  <c r="AB237" i="36"/>
  <c r="AA237" i="36"/>
  <c r="Z237" i="36"/>
  <c r="Y237" i="36"/>
  <c r="X237" i="36"/>
  <c r="W237" i="36"/>
  <c r="AB236" i="36"/>
  <c r="AA236" i="36"/>
  <c r="Z236" i="36"/>
  <c r="Y236" i="36"/>
  <c r="X236" i="36"/>
  <c r="W236" i="36"/>
  <c r="AB235" i="36"/>
  <c r="AA235" i="36"/>
  <c r="Z235" i="36"/>
  <c r="Y235" i="36"/>
  <c r="X235" i="36"/>
  <c r="W235" i="36"/>
  <c r="AB234" i="36"/>
  <c r="AA234" i="36"/>
  <c r="Z234" i="36"/>
  <c r="Y234" i="36"/>
  <c r="X234" i="36"/>
  <c r="W234" i="36"/>
  <c r="AB233" i="36"/>
  <c r="AA233" i="36"/>
  <c r="Z233" i="36"/>
  <c r="Y233" i="36"/>
  <c r="X233" i="36"/>
  <c r="W233" i="36"/>
  <c r="AB232" i="36"/>
  <c r="AA232" i="36"/>
  <c r="Z232" i="36"/>
  <c r="Y232" i="36"/>
  <c r="X232" i="36"/>
  <c r="W232" i="36"/>
  <c r="AB231" i="36"/>
  <c r="AA231" i="36"/>
  <c r="Z231" i="36"/>
  <c r="Y231" i="36"/>
  <c r="X231" i="36"/>
  <c r="W231" i="36"/>
  <c r="AB230" i="36"/>
  <c r="AA230" i="36"/>
  <c r="Z230" i="36"/>
  <c r="Y230" i="36"/>
  <c r="X230" i="36"/>
  <c r="W230" i="36"/>
  <c r="AB229" i="36"/>
  <c r="AA229" i="36"/>
  <c r="Z229" i="36"/>
  <c r="Y229" i="36"/>
  <c r="X229" i="36"/>
  <c r="W229" i="36"/>
  <c r="AB228" i="36"/>
  <c r="AA228" i="36"/>
  <c r="Z228" i="36"/>
  <c r="Y228" i="36"/>
  <c r="X228" i="36"/>
  <c r="W228" i="36"/>
  <c r="AB227" i="36"/>
  <c r="AA227" i="36"/>
  <c r="Z227" i="36"/>
  <c r="Y227" i="36"/>
  <c r="X227" i="36"/>
  <c r="W227" i="36"/>
  <c r="C30" i="17" l="1"/>
  <c r="C31" i="17"/>
  <c r="C32" i="17"/>
  <c r="C33" i="17"/>
  <c r="BO30" i="17"/>
  <c r="BO31" i="17"/>
  <c r="BO32" i="17"/>
  <c r="BO33" i="17"/>
  <c r="C25" i="17"/>
  <c r="C26" i="17"/>
  <c r="C27" i="17"/>
  <c r="C28" i="17"/>
  <c r="BO25" i="17"/>
  <c r="BO26" i="17"/>
  <c r="BO27" i="17"/>
  <c r="BO28" i="17"/>
  <c r="BO69" i="17"/>
  <c r="BO70" i="17"/>
  <c r="BO71" i="17"/>
  <c r="BO72" i="17"/>
  <c r="BO64" i="17"/>
  <c r="BO65" i="17"/>
  <c r="BO66" i="17"/>
  <c r="BO67" i="17"/>
  <c r="BO59" i="17"/>
  <c r="BO60" i="17"/>
  <c r="BO61" i="17"/>
  <c r="BO62" i="17"/>
  <c r="BO54" i="17"/>
  <c r="BO55" i="17"/>
  <c r="BO56" i="17"/>
  <c r="BO57" i="17"/>
  <c r="BO49" i="17"/>
  <c r="BO50" i="17"/>
  <c r="BO51" i="17"/>
  <c r="BO52" i="17"/>
  <c r="BO44" i="17"/>
  <c r="BO45" i="17"/>
  <c r="BO46" i="17"/>
  <c r="BO47" i="17"/>
  <c r="P2" i="22"/>
  <c r="O10" i="22" s="1"/>
  <c r="P10" i="22" s="1"/>
  <c r="C20" i="17"/>
  <c r="C21" i="17"/>
  <c r="C22" i="17"/>
  <c r="C23" i="17"/>
  <c r="C16" i="17"/>
  <c r="C17" i="17"/>
  <c r="C18" i="17"/>
  <c r="C10" i="17"/>
  <c r="C11" i="17"/>
  <c r="C12" i="17"/>
  <c r="C13" i="17"/>
  <c r="C6" i="17"/>
  <c r="C7" i="17"/>
  <c r="C8" i="17"/>
  <c r="BO20" i="17"/>
  <c r="BO21" i="17"/>
  <c r="BO22" i="17"/>
  <c r="BO23" i="17"/>
  <c r="BO16" i="17"/>
  <c r="BO17" i="17"/>
  <c r="BO18" i="17"/>
  <c r="BO10" i="17"/>
  <c r="BO11" i="17"/>
  <c r="BO12" i="17"/>
  <c r="BO13" i="17"/>
  <c r="BO6" i="17"/>
  <c r="BO7" i="17"/>
  <c r="BO8" i="17"/>
  <c r="N8" i="37"/>
  <c r="N4" i="37"/>
  <c r="B10" i="42"/>
  <c r="B8" i="42"/>
  <c r="W196" i="36"/>
  <c r="X196" i="36"/>
  <c r="Y196" i="36"/>
  <c r="Z196" i="36"/>
  <c r="AA196" i="36"/>
  <c r="AB196" i="36"/>
  <c r="W197" i="36"/>
  <c r="X197" i="36"/>
  <c r="Y197" i="36"/>
  <c r="Z197" i="36"/>
  <c r="AA197" i="36"/>
  <c r="AB197" i="36"/>
  <c r="W198" i="36"/>
  <c r="X198" i="36"/>
  <c r="Y198" i="36"/>
  <c r="Z198" i="36"/>
  <c r="AA198" i="36"/>
  <c r="AB198" i="36"/>
  <c r="W199" i="36"/>
  <c r="X199" i="36"/>
  <c r="Y199" i="36"/>
  <c r="Z199" i="36"/>
  <c r="AA199" i="36"/>
  <c r="AB199" i="36"/>
  <c r="W200" i="36"/>
  <c r="X200" i="36"/>
  <c r="Y200" i="36"/>
  <c r="Z200" i="36"/>
  <c r="AA200" i="36"/>
  <c r="AB200" i="36"/>
  <c r="W201" i="36"/>
  <c r="X201" i="36"/>
  <c r="Y201" i="36"/>
  <c r="Z201" i="36"/>
  <c r="AA201" i="36"/>
  <c r="AB201" i="36"/>
  <c r="W202" i="36"/>
  <c r="X202" i="36"/>
  <c r="Y202" i="36"/>
  <c r="Z202" i="36"/>
  <c r="AA202" i="36"/>
  <c r="AB202" i="36"/>
  <c r="W203" i="36"/>
  <c r="X203" i="36"/>
  <c r="Y203" i="36"/>
  <c r="Z203" i="36"/>
  <c r="AA203" i="36"/>
  <c r="AB203" i="36"/>
  <c r="W204" i="36"/>
  <c r="X204" i="36"/>
  <c r="Y204" i="36"/>
  <c r="Z204" i="36"/>
  <c r="AA204" i="36"/>
  <c r="AB204" i="36"/>
  <c r="W205" i="36"/>
  <c r="X205" i="36"/>
  <c r="Y205" i="36"/>
  <c r="Z205" i="36"/>
  <c r="AA205" i="36"/>
  <c r="AB205" i="36"/>
  <c r="W206" i="36"/>
  <c r="X206" i="36"/>
  <c r="Y206" i="36"/>
  <c r="Z206" i="36"/>
  <c r="AA206" i="36"/>
  <c r="AB206" i="36"/>
  <c r="W207" i="36"/>
  <c r="X207" i="36"/>
  <c r="Y207" i="36"/>
  <c r="Z207" i="36"/>
  <c r="AA207" i="36"/>
  <c r="AB207" i="36"/>
  <c r="W208" i="36"/>
  <c r="X208" i="36"/>
  <c r="Y208" i="36"/>
  <c r="Z208" i="36"/>
  <c r="AA208" i="36"/>
  <c r="AB208" i="36"/>
  <c r="W209" i="36"/>
  <c r="X209" i="36"/>
  <c r="Y209" i="36"/>
  <c r="Z209" i="36"/>
  <c r="AA209" i="36"/>
  <c r="AB209" i="36"/>
  <c r="W210" i="36"/>
  <c r="X210" i="36"/>
  <c r="Y210" i="36"/>
  <c r="Z210" i="36"/>
  <c r="AA210" i="36"/>
  <c r="AB210" i="36"/>
  <c r="W211" i="36"/>
  <c r="X211" i="36"/>
  <c r="Y211" i="36"/>
  <c r="Z211" i="36"/>
  <c r="AA211" i="36"/>
  <c r="AB211" i="36"/>
  <c r="W212" i="36"/>
  <c r="X212" i="36"/>
  <c r="Y212" i="36"/>
  <c r="Z212" i="36"/>
  <c r="AA212" i="36"/>
  <c r="AB212" i="36"/>
  <c r="W213" i="36"/>
  <c r="X213" i="36"/>
  <c r="Y213" i="36"/>
  <c r="Z213" i="36"/>
  <c r="AA213" i="36"/>
  <c r="AB213" i="36"/>
  <c r="W214" i="36"/>
  <c r="X214" i="36"/>
  <c r="Y214" i="36"/>
  <c r="Z214" i="36"/>
  <c r="AA214" i="36"/>
  <c r="AB214" i="36"/>
  <c r="W215" i="36"/>
  <c r="X215" i="36"/>
  <c r="Y215" i="36"/>
  <c r="Z215" i="36"/>
  <c r="AA215" i="36"/>
  <c r="AB215" i="36"/>
  <c r="W216" i="36"/>
  <c r="X216" i="36"/>
  <c r="Y216" i="36"/>
  <c r="Z216" i="36"/>
  <c r="AA216" i="36"/>
  <c r="AB216" i="36"/>
  <c r="W217" i="36"/>
  <c r="X217" i="36"/>
  <c r="Y217" i="36"/>
  <c r="Z217" i="36"/>
  <c r="AA217" i="36"/>
  <c r="AB217" i="36"/>
  <c r="W218" i="36"/>
  <c r="X218" i="36"/>
  <c r="Y218" i="36"/>
  <c r="Z218" i="36"/>
  <c r="AA218" i="36"/>
  <c r="AB218" i="36"/>
  <c r="W219" i="36"/>
  <c r="X219" i="36"/>
  <c r="Y219" i="36"/>
  <c r="Z219" i="36"/>
  <c r="AA219" i="36"/>
  <c r="AB219" i="36"/>
  <c r="W220" i="36"/>
  <c r="X220" i="36"/>
  <c r="Y220" i="36"/>
  <c r="Z220" i="36"/>
  <c r="AA220" i="36"/>
  <c r="AB220" i="36"/>
  <c r="W221" i="36"/>
  <c r="X221" i="36"/>
  <c r="Y221" i="36"/>
  <c r="Z221" i="36"/>
  <c r="AA221" i="36"/>
  <c r="AB221" i="36"/>
  <c r="W222" i="36"/>
  <c r="X222" i="36"/>
  <c r="Y222" i="36"/>
  <c r="Z222" i="36"/>
  <c r="AA222" i="36"/>
  <c r="AB222" i="36"/>
  <c r="W223" i="36"/>
  <c r="X223" i="36"/>
  <c r="Y223" i="36"/>
  <c r="Z223" i="36"/>
  <c r="AA223" i="36"/>
  <c r="AB223" i="36"/>
  <c r="W224" i="36"/>
  <c r="X224" i="36"/>
  <c r="Y224" i="36"/>
  <c r="Z224" i="36"/>
  <c r="AA224" i="36"/>
  <c r="AB224" i="36"/>
  <c r="W225" i="36"/>
  <c r="X225" i="36"/>
  <c r="Y225" i="36"/>
  <c r="Z225" i="36"/>
  <c r="AA225" i="36"/>
  <c r="AB225" i="36"/>
  <c r="W226" i="36"/>
  <c r="X226" i="36"/>
  <c r="Y226" i="36"/>
  <c r="Z226" i="36"/>
  <c r="AA226" i="36"/>
  <c r="AB226" i="36"/>
  <c r="P7" i="22"/>
  <c r="T114" i="15"/>
  <c r="Z114" i="15"/>
  <c r="Y114" i="15"/>
  <c r="X114" i="15"/>
  <c r="W114" i="15"/>
  <c r="V114" i="15"/>
  <c r="U114" i="15"/>
  <c r="S114" i="15"/>
  <c r="O114" i="15"/>
  <c r="P114" i="15"/>
  <c r="Q114" i="15"/>
  <c r="R114" i="15"/>
  <c r="N114" i="15"/>
  <c r="M114" i="15"/>
  <c r="L114" i="15"/>
  <c r="K114" i="15"/>
  <c r="J114" i="15"/>
  <c r="I114" i="15"/>
  <c r="H114" i="15"/>
  <c r="G114" i="15"/>
  <c r="F114" i="15"/>
  <c r="E114" i="15"/>
  <c r="D114" i="15"/>
  <c r="C114" i="15"/>
  <c r="W195" i="36"/>
  <c r="X195" i="36"/>
  <c r="Y195" i="36"/>
  <c r="Z195" i="36"/>
  <c r="AA195" i="36"/>
  <c r="AB195" i="36"/>
  <c r="W193" i="36"/>
  <c r="X193" i="36"/>
  <c r="Y193" i="36"/>
  <c r="Z193" i="36"/>
  <c r="AA193" i="36"/>
  <c r="AB193" i="36"/>
  <c r="W194" i="36"/>
  <c r="X194" i="36"/>
  <c r="Y194" i="36"/>
  <c r="Z194" i="36"/>
  <c r="AA194" i="36"/>
  <c r="AB194" i="36"/>
  <c r="W175" i="36"/>
  <c r="X175" i="36"/>
  <c r="Y175" i="36"/>
  <c r="Z175" i="36"/>
  <c r="AA175" i="36"/>
  <c r="AB175" i="36"/>
  <c r="W176" i="36"/>
  <c r="X176" i="36"/>
  <c r="Y176" i="36"/>
  <c r="Z176" i="36"/>
  <c r="AA176" i="36"/>
  <c r="AB176" i="36"/>
  <c r="W177" i="36"/>
  <c r="X177" i="36"/>
  <c r="Y177" i="36"/>
  <c r="Z177" i="36"/>
  <c r="AA177" i="36"/>
  <c r="AB177" i="36"/>
  <c r="W178" i="36"/>
  <c r="X178" i="36"/>
  <c r="Y178" i="36"/>
  <c r="Z178" i="36"/>
  <c r="AA178" i="36"/>
  <c r="AB178" i="36"/>
  <c r="W179" i="36"/>
  <c r="X179" i="36"/>
  <c r="Y179" i="36"/>
  <c r="Z179" i="36"/>
  <c r="AA179" i="36"/>
  <c r="AB179" i="36"/>
  <c r="W180" i="36"/>
  <c r="X180" i="36"/>
  <c r="Y180" i="36"/>
  <c r="Z180" i="36"/>
  <c r="AA180" i="36"/>
  <c r="AB180" i="36"/>
  <c r="W181" i="36"/>
  <c r="X181" i="36"/>
  <c r="Y181" i="36"/>
  <c r="Z181" i="36"/>
  <c r="AA181" i="36"/>
  <c r="AB181" i="36"/>
  <c r="W182" i="36"/>
  <c r="X182" i="36"/>
  <c r="Y182" i="36"/>
  <c r="Z182" i="36"/>
  <c r="AA182" i="36"/>
  <c r="AB182" i="36"/>
  <c r="W183" i="36"/>
  <c r="X183" i="36"/>
  <c r="Y183" i="36"/>
  <c r="Z183" i="36"/>
  <c r="AA183" i="36"/>
  <c r="AB183" i="36"/>
  <c r="W184" i="36"/>
  <c r="X184" i="36"/>
  <c r="Y184" i="36"/>
  <c r="Z184" i="36"/>
  <c r="AA184" i="36"/>
  <c r="AB184" i="36"/>
  <c r="W185" i="36"/>
  <c r="X185" i="36"/>
  <c r="Y185" i="36"/>
  <c r="Z185" i="36"/>
  <c r="AA185" i="36"/>
  <c r="AB185" i="36"/>
  <c r="W186" i="36"/>
  <c r="X186" i="36"/>
  <c r="Y186" i="36"/>
  <c r="Z186" i="36"/>
  <c r="AA186" i="36"/>
  <c r="AB186" i="36"/>
  <c r="W187" i="36"/>
  <c r="X187" i="36"/>
  <c r="Y187" i="36"/>
  <c r="Z187" i="36"/>
  <c r="AA187" i="36"/>
  <c r="AB187" i="36"/>
  <c r="W188" i="36"/>
  <c r="X188" i="36"/>
  <c r="Y188" i="36"/>
  <c r="Z188" i="36"/>
  <c r="AA188" i="36"/>
  <c r="AB188" i="36"/>
  <c r="W189" i="36"/>
  <c r="X189" i="36"/>
  <c r="Y189" i="36"/>
  <c r="Z189" i="36"/>
  <c r="AA189" i="36"/>
  <c r="AB189" i="36"/>
  <c r="W190" i="36"/>
  <c r="X190" i="36"/>
  <c r="Y190" i="36"/>
  <c r="Z190" i="36"/>
  <c r="AA190" i="36"/>
  <c r="AB190" i="36"/>
  <c r="W191" i="36"/>
  <c r="X191" i="36"/>
  <c r="Y191" i="36"/>
  <c r="Z191" i="36"/>
  <c r="AA191" i="36"/>
  <c r="AB191" i="36"/>
  <c r="W192" i="36"/>
  <c r="X192" i="36"/>
  <c r="Y192" i="36"/>
  <c r="Z192" i="36"/>
  <c r="AA192" i="36"/>
  <c r="AB192" i="36"/>
  <c r="AB174" i="36"/>
  <c r="AA174" i="36"/>
  <c r="Z174" i="36"/>
  <c r="Y174" i="36"/>
  <c r="X174" i="36"/>
  <c r="W174" i="36"/>
  <c r="W171" i="36"/>
  <c r="X171" i="36"/>
  <c r="Y171" i="36"/>
  <c r="Z171" i="36"/>
  <c r="AA171" i="36"/>
  <c r="AB171" i="36"/>
  <c r="W172" i="36"/>
  <c r="X172" i="36"/>
  <c r="Y172" i="36"/>
  <c r="Z172" i="36"/>
  <c r="AA172" i="36"/>
  <c r="AB172" i="36"/>
  <c r="W173" i="36"/>
  <c r="X173" i="36"/>
  <c r="Y173" i="36"/>
  <c r="Z173" i="36"/>
  <c r="AA173" i="36"/>
  <c r="AB173" i="36"/>
  <c r="W165" i="36"/>
  <c r="X165" i="36"/>
  <c r="Y165" i="36"/>
  <c r="Z165" i="36"/>
  <c r="AA165" i="36"/>
  <c r="AB165" i="36"/>
  <c r="W166" i="36"/>
  <c r="X166" i="36"/>
  <c r="Y166" i="36"/>
  <c r="Z166" i="36"/>
  <c r="AA166" i="36"/>
  <c r="AB166" i="36"/>
  <c r="W167" i="36"/>
  <c r="X167" i="36"/>
  <c r="Y167" i="36"/>
  <c r="Z167" i="36"/>
  <c r="AA167" i="36"/>
  <c r="AB167" i="36"/>
  <c r="W168" i="36"/>
  <c r="X168" i="36"/>
  <c r="Y168" i="36"/>
  <c r="Z168" i="36"/>
  <c r="AA168" i="36"/>
  <c r="AB168" i="36"/>
  <c r="W169" i="36"/>
  <c r="X169" i="36"/>
  <c r="Y169" i="36"/>
  <c r="Z169" i="36"/>
  <c r="AA169" i="36"/>
  <c r="AB169" i="36"/>
  <c r="W170" i="36"/>
  <c r="X170" i="36"/>
  <c r="Y170" i="36"/>
  <c r="Z170" i="36"/>
  <c r="AA170" i="36"/>
  <c r="AB170" i="36"/>
  <c r="C113" i="15"/>
  <c r="BO42" i="17"/>
  <c r="BO74" i="17" s="1"/>
  <c r="AB164" i="36"/>
  <c r="AA164" i="36"/>
  <c r="Z164" i="36"/>
  <c r="Y164" i="36"/>
  <c r="X164" i="36"/>
  <c r="W164" i="36"/>
  <c r="AB163" i="36"/>
  <c r="AA163" i="36"/>
  <c r="Z163" i="36"/>
  <c r="Y163" i="36"/>
  <c r="X163" i="36"/>
  <c r="W163" i="36"/>
  <c r="AB162" i="36"/>
  <c r="AA162" i="36"/>
  <c r="Z162" i="36"/>
  <c r="Y162" i="36"/>
  <c r="X162" i="36"/>
  <c r="W162" i="36"/>
  <c r="AB161" i="36"/>
  <c r="AA161" i="36"/>
  <c r="Z161" i="36"/>
  <c r="Y161" i="36"/>
  <c r="X161" i="36"/>
  <c r="W161" i="36"/>
  <c r="AB160" i="36"/>
  <c r="AA160" i="36"/>
  <c r="Z160" i="36"/>
  <c r="Y160" i="36"/>
  <c r="X160" i="36"/>
  <c r="W160" i="36"/>
  <c r="AB159" i="36"/>
  <c r="AA159" i="36"/>
  <c r="Z159" i="36"/>
  <c r="Y159" i="36"/>
  <c r="X159" i="36"/>
  <c r="W159" i="36"/>
  <c r="AB158" i="36"/>
  <c r="AA158" i="36"/>
  <c r="Z158" i="36"/>
  <c r="Y158" i="36"/>
  <c r="X158" i="36"/>
  <c r="W158" i="36"/>
  <c r="AB157" i="36"/>
  <c r="AA157" i="36"/>
  <c r="Z157" i="36"/>
  <c r="Y157" i="36"/>
  <c r="X157" i="36"/>
  <c r="W157" i="36"/>
  <c r="AB156" i="36"/>
  <c r="AA156" i="36"/>
  <c r="Z156" i="36"/>
  <c r="Y156" i="36"/>
  <c r="X156" i="36"/>
  <c r="W156" i="36"/>
  <c r="AB155" i="36"/>
  <c r="AA155" i="36"/>
  <c r="Z155" i="36"/>
  <c r="Y155" i="36"/>
  <c r="X155" i="36"/>
  <c r="W155" i="36"/>
  <c r="AB154" i="36"/>
  <c r="AA154" i="36"/>
  <c r="Z154" i="36"/>
  <c r="Y154" i="36"/>
  <c r="X154" i="36"/>
  <c r="W154" i="36"/>
  <c r="Z113" i="15"/>
  <c r="Y113" i="15"/>
  <c r="X113" i="15"/>
  <c r="W113" i="15"/>
  <c r="V113" i="15"/>
  <c r="U113" i="15"/>
  <c r="T113" i="15"/>
  <c r="S113" i="15"/>
  <c r="O113" i="15"/>
  <c r="P113" i="15"/>
  <c r="Q113" i="15"/>
  <c r="R113" i="15"/>
  <c r="N113" i="15"/>
  <c r="M113" i="15"/>
  <c r="L113" i="15"/>
  <c r="K113" i="15"/>
  <c r="J113" i="15"/>
  <c r="I113" i="15"/>
  <c r="H113" i="15"/>
  <c r="G113" i="15"/>
  <c r="F113" i="15"/>
  <c r="E113" i="15"/>
  <c r="D113" i="15"/>
  <c r="Z105" i="17"/>
  <c r="Z80" i="17"/>
  <c r="CM5" i="18"/>
  <c r="K5" i="15"/>
  <c r="C8" i="16"/>
  <c r="C14" i="16" s="1"/>
  <c r="C19" i="16" s="1"/>
  <c r="C29" i="16" s="1"/>
  <c r="C36" i="16" s="1"/>
  <c r="BM36" i="16" s="1"/>
  <c r="C81" i="17"/>
  <c r="BZ5" i="18"/>
  <c r="F5" i="15"/>
  <c r="F92" i="15" s="1"/>
  <c r="CL5" i="18"/>
  <c r="R5" i="15"/>
  <c r="C3" i="19"/>
  <c r="C139" i="17"/>
  <c r="C130" i="17"/>
  <c r="C121" i="17"/>
  <c r="O5" i="15"/>
  <c r="CA5" i="18"/>
  <c r="CQ5" i="18"/>
  <c r="CH5" i="18"/>
  <c r="N5" i="15"/>
  <c r="CT5" i="18"/>
  <c r="BX5" i="18"/>
  <c r="D5" i="15"/>
  <c r="D112" i="15" s="1"/>
  <c r="CB5" i="18"/>
  <c r="H5" i="15"/>
  <c r="H112" i="15" s="1"/>
  <c r="CF5" i="18"/>
  <c r="L5" i="15"/>
  <c r="CJ5" i="18"/>
  <c r="P5" i="15"/>
  <c r="P11" i="15" s="1"/>
  <c r="P16" i="15" s="1"/>
  <c r="P26" i="15" s="1"/>
  <c r="P33" i="15" s="1"/>
  <c r="CN5" i="18"/>
  <c r="T5" i="15"/>
  <c r="CR5" i="18"/>
  <c r="X5" i="15"/>
  <c r="C5" i="15"/>
  <c r="C11" i="15" s="1"/>
  <c r="C16" i="15" s="1"/>
  <c r="S5" i="15"/>
  <c r="CE5" i="18"/>
  <c r="CD5" i="18"/>
  <c r="J5" i="15"/>
  <c r="CP5" i="18"/>
  <c r="V5" i="15"/>
  <c r="BY5" i="18"/>
  <c r="E5" i="15"/>
  <c r="E11" i="15" s="1"/>
  <c r="CC5" i="18"/>
  <c r="I5" i="15"/>
  <c r="I112" i="15" s="1"/>
  <c r="CG5" i="18"/>
  <c r="M5" i="15"/>
  <c r="CK5" i="18"/>
  <c r="Q5" i="15"/>
  <c r="CO5" i="18"/>
  <c r="U5" i="15"/>
  <c r="CS5" i="18"/>
  <c r="Y5" i="15"/>
  <c r="C106" i="17"/>
  <c r="C112" i="17" s="1"/>
  <c r="G5" i="15"/>
  <c r="G92" i="15" s="1"/>
  <c r="W5" i="15"/>
  <c r="CI5" i="18"/>
  <c r="CI4" i="18" s="1"/>
  <c r="Z92" i="15"/>
  <c r="L105" i="17"/>
  <c r="L80" i="17"/>
  <c r="M80" i="17"/>
  <c r="M105" i="17"/>
  <c r="AB153" i="36"/>
  <c r="AA153" i="36"/>
  <c r="Z153" i="36"/>
  <c r="Y153" i="36"/>
  <c r="X153" i="36"/>
  <c r="W153" i="36"/>
  <c r="AB152" i="36"/>
  <c r="AA152" i="36"/>
  <c r="Z152" i="36"/>
  <c r="Y152" i="36"/>
  <c r="X152" i="36"/>
  <c r="W152" i="36"/>
  <c r="AB151" i="36"/>
  <c r="AA151" i="36"/>
  <c r="Z151" i="36"/>
  <c r="Y151" i="36"/>
  <c r="X151" i="36"/>
  <c r="W151" i="36"/>
  <c r="AB150" i="36"/>
  <c r="AA150" i="36"/>
  <c r="Z150" i="36"/>
  <c r="Y150" i="36"/>
  <c r="X150" i="36"/>
  <c r="W150" i="36"/>
  <c r="AB149" i="36"/>
  <c r="AA149" i="36"/>
  <c r="Z149" i="36"/>
  <c r="Y149" i="36"/>
  <c r="X149" i="36"/>
  <c r="W149" i="36"/>
  <c r="AB148" i="36"/>
  <c r="AA148" i="36"/>
  <c r="Z148" i="36"/>
  <c r="Y148" i="36"/>
  <c r="X148" i="36"/>
  <c r="W148" i="36"/>
  <c r="AB147" i="36"/>
  <c r="AA147" i="36"/>
  <c r="Z147" i="36"/>
  <c r="Y147" i="36"/>
  <c r="X147" i="36"/>
  <c r="W147" i="36"/>
  <c r="AB146" i="36"/>
  <c r="AA146" i="36"/>
  <c r="Z146" i="36"/>
  <c r="Y146" i="36"/>
  <c r="X146" i="36"/>
  <c r="W146" i="36"/>
  <c r="AB145" i="36"/>
  <c r="AA145" i="36"/>
  <c r="Z145" i="36"/>
  <c r="Y145" i="36"/>
  <c r="X145" i="36"/>
  <c r="W145" i="36"/>
  <c r="AB144" i="36"/>
  <c r="AA144" i="36"/>
  <c r="Z144" i="36"/>
  <c r="Y144" i="36"/>
  <c r="X144" i="36"/>
  <c r="W144" i="36"/>
  <c r="AB143" i="36"/>
  <c r="AA143" i="36"/>
  <c r="Z143" i="36"/>
  <c r="Y143" i="36"/>
  <c r="X143" i="36"/>
  <c r="W143" i="36"/>
  <c r="AB142" i="36"/>
  <c r="AA142" i="36"/>
  <c r="Z142" i="36"/>
  <c r="Y142" i="36"/>
  <c r="X142" i="36"/>
  <c r="W142" i="36"/>
  <c r="AB141" i="36"/>
  <c r="AA141" i="36"/>
  <c r="Z141" i="36"/>
  <c r="Y141" i="36"/>
  <c r="X141" i="36"/>
  <c r="W141" i="36"/>
  <c r="AB140" i="36"/>
  <c r="AA140" i="36"/>
  <c r="Z140" i="36"/>
  <c r="Y140" i="36"/>
  <c r="X140" i="36"/>
  <c r="W140" i="36"/>
  <c r="AB139" i="36"/>
  <c r="AA139" i="36"/>
  <c r="Z139" i="36"/>
  <c r="Y139" i="36"/>
  <c r="X139" i="36"/>
  <c r="W139" i="36"/>
  <c r="AB138" i="36"/>
  <c r="AA138" i="36"/>
  <c r="Z138" i="36"/>
  <c r="Y138" i="36"/>
  <c r="X138" i="36"/>
  <c r="W138" i="36"/>
  <c r="AB137" i="36"/>
  <c r="AA137" i="36"/>
  <c r="Z137" i="36"/>
  <c r="Y137" i="36"/>
  <c r="X137" i="36"/>
  <c r="W137" i="36"/>
  <c r="AB136" i="36"/>
  <c r="AA136" i="36"/>
  <c r="Z136" i="36"/>
  <c r="Y136" i="36"/>
  <c r="X136" i="36"/>
  <c r="W136" i="36"/>
  <c r="AB135" i="36"/>
  <c r="AA135" i="36"/>
  <c r="Z135" i="36"/>
  <c r="Y135" i="36"/>
  <c r="X135" i="36"/>
  <c r="W135" i="36"/>
  <c r="AB134" i="36"/>
  <c r="AA134" i="36"/>
  <c r="Z134" i="36"/>
  <c r="Y134" i="36"/>
  <c r="X134" i="36"/>
  <c r="W134" i="36"/>
  <c r="AB133" i="36"/>
  <c r="AA133" i="36"/>
  <c r="Z133" i="36"/>
  <c r="Y133" i="36"/>
  <c r="X133" i="36"/>
  <c r="W133" i="36"/>
  <c r="AB132" i="36"/>
  <c r="AA132" i="36"/>
  <c r="Z132" i="36"/>
  <c r="Y132" i="36"/>
  <c r="X132" i="36"/>
  <c r="W132" i="36"/>
  <c r="AB131" i="36"/>
  <c r="AA131" i="36"/>
  <c r="Z131" i="36"/>
  <c r="Y131" i="36"/>
  <c r="X131" i="36"/>
  <c r="W131" i="36"/>
  <c r="AB130" i="36"/>
  <c r="AA130" i="36"/>
  <c r="Z130" i="36"/>
  <c r="Y130" i="36"/>
  <c r="X130" i="36"/>
  <c r="W130" i="36"/>
  <c r="P31" i="22"/>
  <c r="W120" i="36"/>
  <c r="X120" i="36"/>
  <c r="Y120" i="36"/>
  <c r="Z120" i="36"/>
  <c r="AA120" i="36"/>
  <c r="AB120" i="36"/>
  <c r="W121" i="36"/>
  <c r="X121" i="36"/>
  <c r="Y121" i="36"/>
  <c r="Z121" i="36"/>
  <c r="AA121" i="36"/>
  <c r="AB121" i="36"/>
  <c r="W122" i="36"/>
  <c r="X122" i="36"/>
  <c r="Y122" i="36"/>
  <c r="Z122" i="36"/>
  <c r="AA122" i="36"/>
  <c r="AB122" i="36"/>
  <c r="W123" i="36"/>
  <c r="X123" i="36"/>
  <c r="Y123" i="36"/>
  <c r="Z123" i="36"/>
  <c r="AA123" i="36"/>
  <c r="AB123" i="36"/>
  <c r="W124" i="36"/>
  <c r="X124" i="36"/>
  <c r="Y124" i="36"/>
  <c r="Z124" i="36"/>
  <c r="AA124" i="36"/>
  <c r="AB124" i="36"/>
  <c r="W125" i="36"/>
  <c r="X125" i="36"/>
  <c r="Y125" i="36"/>
  <c r="Z125" i="36"/>
  <c r="AA125" i="36"/>
  <c r="AB125" i="36"/>
  <c r="W126" i="36"/>
  <c r="X126" i="36"/>
  <c r="Y126" i="36"/>
  <c r="Z126" i="36"/>
  <c r="AA126" i="36"/>
  <c r="AB126" i="36"/>
  <c r="W127" i="36"/>
  <c r="X127" i="36"/>
  <c r="Y127" i="36"/>
  <c r="Z127" i="36"/>
  <c r="AA127" i="36"/>
  <c r="AB127" i="36"/>
  <c r="W128" i="36"/>
  <c r="X128" i="36"/>
  <c r="Y128" i="36"/>
  <c r="Z128" i="36"/>
  <c r="AA128" i="36"/>
  <c r="AB128" i="36"/>
  <c r="W129" i="36"/>
  <c r="X129" i="36"/>
  <c r="Y129" i="36"/>
  <c r="Z129" i="36"/>
  <c r="AA129" i="36"/>
  <c r="AB129" i="36"/>
  <c r="W112" i="36"/>
  <c r="X112" i="36"/>
  <c r="Y112" i="36"/>
  <c r="Z112" i="36"/>
  <c r="AA112" i="36"/>
  <c r="AB112" i="36"/>
  <c r="W113" i="36"/>
  <c r="X113" i="36"/>
  <c r="Y113" i="36"/>
  <c r="Z113" i="36"/>
  <c r="AA113" i="36"/>
  <c r="AB113" i="36"/>
  <c r="W114" i="36"/>
  <c r="X114" i="36"/>
  <c r="Y114" i="36"/>
  <c r="Z114" i="36"/>
  <c r="AA114" i="36"/>
  <c r="AB114" i="36"/>
  <c r="W115" i="36"/>
  <c r="X115" i="36"/>
  <c r="Y115" i="36"/>
  <c r="Z115" i="36"/>
  <c r="AA115" i="36"/>
  <c r="AB115" i="36"/>
  <c r="W116" i="36"/>
  <c r="X116" i="36"/>
  <c r="Y116" i="36"/>
  <c r="Z116" i="36"/>
  <c r="AA116" i="36"/>
  <c r="AB116" i="36"/>
  <c r="W117" i="36"/>
  <c r="X117" i="36"/>
  <c r="Y117" i="36"/>
  <c r="Z117" i="36"/>
  <c r="AA117" i="36"/>
  <c r="AB117" i="36"/>
  <c r="W118" i="36"/>
  <c r="X118" i="36"/>
  <c r="Y118" i="36"/>
  <c r="Z118" i="36"/>
  <c r="AA118" i="36"/>
  <c r="AB118" i="36"/>
  <c r="W119" i="36"/>
  <c r="X119" i="36"/>
  <c r="Y119" i="36"/>
  <c r="Z119" i="36"/>
  <c r="AA119" i="36"/>
  <c r="AB119" i="36"/>
  <c r="D88" i="15"/>
  <c r="F89" i="15"/>
  <c r="F88" i="15"/>
  <c r="F4" i="37"/>
  <c r="H4" i="37"/>
  <c r="W107" i="36"/>
  <c r="X107" i="36"/>
  <c r="Y107" i="36"/>
  <c r="Z107" i="36"/>
  <c r="AA107" i="36"/>
  <c r="AB107" i="36"/>
  <c r="W108" i="36"/>
  <c r="X108" i="36"/>
  <c r="Y108" i="36"/>
  <c r="Z108" i="36"/>
  <c r="AA108" i="36"/>
  <c r="AB108" i="36"/>
  <c r="W109" i="36"/>
  <c r="X109" i="36"/>
  <c r="Y109" i="36"/>
  <c r="Z109" i="36"/>
  <c r="AA109" i="36"/>
  <c r="AB109" i="36"/>
  <c r="W110" i="36"/>
  <c r="X110" i="36"/>
  <c r="Y110" i="36"/>
  <c r="Z110" i="36"/>
  <c r="AA110" i="36"/>
  <c r="AB110" i="36"/>
  <c r="W111" i="36"/>
  <c r="X111" i="36"/>
  <c r="Y111" i="36"/>
  <c r="Z111" i="36"/>
  <c r="AA111" i="36"/>
  <c r="AB111" i="36"/>
  <c r="Q2" i="24"/>
  <c r="C2" i="24"/>
  <c r="J4" i="37"/>
  <c r="W106" i="36"/>
  <c r="X106" i="36"/>
  <c r="Y106" i="36"/>
  <c r="Z106" i="36"/>
  <c r="AA106" i="36"/>
  <c r="AB106" i="36"/>
  <c r="Z41" i="17"/>
  <c r="L41" i="17"/>
  <c r="CL41" i="17"/>
  <c r="X41" i="17"/>
  <c r="X105" i="17"/>
  <c r="X80" i="17"/>
  <c r="D105" i="17"/>
  <c r="D80" i="17"/>
  <c r="P41" i="17"/>
  <c r="P105" i="17"/>
  <c r="P80" i="17"/>
  <c r="D41" i="17"/>
  <c r="BX41" i="17"/>
  <c r="BP41" i="17"/>
  <c r="CB41" i="17"/>
  <c r="CJ41" i="17"/>
  <c r="W105" i="36"/>
  <c r="X105" i="36"/>
  <c r="Y105" i="36"/>
  <c r="Z105" i="36"/>
  <c r="AA105" i="36"/>
  <c r="AB105" i="36"/>
  <c r="Z42" i="17"/>
  <c r="Y42" i="17"/>
  <c r="X42" i="17"/>
  <c r="W42" i="17"/>
  <c r="V42" i="17"/>
  <c r="U42" i="17"/>
  <c r="T42" i="17"/>
  <c r="S42" i="17"/>
  <c r="R42" i="17"/>
  <c r="Q42" i="17"/>
  <c r="P42" i="17"/>
  <c r="O42" i="17"/>
  <c r="N42" i="17"/>
  <c r="M42" i="17"/>
  <c r="L42" i="17"/>
  <c r="K42" i="17"/>
  <c r="J42" i="17"/>
  <c r="I42" i="17"/>
  <c r="H42" i="17"/>
  <c r="G42" i="17"/>
  <c r="F42" i="17"/>
  <c r="E42" i="17"/>
  <c r="D42" i="17"/>
  <c r="C42" i="17"/>
  <c r="C64" i="17" s="1"/>
  <c r="D4" i="37"/>
  <c r="L4" i="37"/>
  <c r="P3" i="22"/>
  <c r="X6" i="16"/>
  <c r="C90" i="15"/>
  <c r="Z90" i="15"/>
  <c r="Y90" i="15"/>
  <c r="X90" i="15"/>
  <c r="W90" i="15"/>
  <c r="V90" i="15"/>
  <c r="U90" i="15"/>
  <c r="T90" i="15"/>
  <c r="S90" i="15"/>
  <c r="R90" i="15"/>
  <c r="Q90" i="15"/>
  <c r="P90" i="15"/>
  <c r="O90" i="15"/>
  <c r="N90" i="15"/>
  <c r="M90" i="15"/>
  <c r="L90" i="15"/>
  <c r="K90" i="15"/>
  <c r="J90" i="15"/>
  <c r="I90" i="15"/>
  <c r="H90" i="15"/>
  <c r="G90" i="15"/>
  <c r="F90" i="15"/>
  <c r="E90" i="15"/>
  <c r="D90" i="15"/>
  <c r="Z89" i="15"/>
  <c r="Y89" i="15"/>
  <c r="X89" i="15"/>
  <c r="W89" i="15"/>
  <c r="V89" i="15"/>
  <c r="U89" i="15"/>
  <c r="T89" i="15"/>
  <c r="S89" i="15"/>
  <c r="R89" i="15"/>
  <c r="Q89" i="15"/>
  <c r="P89" i="15"/>
  <c r="O89" i="15"/>
  <c r="N89" i="15"/>
  <c r="M89" i="15"/>
  <c r="L89" i="15"/>
  <c r="K89" i="15"/>
  <c r="J89" i="15"/>
  <c r="I89" i="15"/>
  <c r="H89" i="15"/>
  <c r="G89" i="15"/>
  <c r="E89" i="15"/>
  <c r="D89" i="15"/>
  <c r="C89" i="15"/>
  <c r="Z88" i="15"/>
  <c r="Y88" i="15"/>
  <c r="X88" i="15"/>
  <c r="W88" i="15"/>
  <c r="V88" i="15"/>
  <c r="U88" i="15"/>
  <c r="T88" i="15"/>
  <c r="S88" i="15"/>
  <c r="R88" i="15"/>
  <c r="Q88" i="15"/>
  <c r="P88" i="15"/>
  <c r="O88" i="15"/>
  <c r="N88" i="15"/>
  <c r="M88" i="15"/>
  <c r="L88" i="15"/>
  <c r="K88" i="15"/>
  <c r="J88" i="15"/>
  <c r="I88" i="15"/>
  <c r="H88" i="15"/>
  <c r="G88" i="15"/>
  <c r="E88" i="15"/>
  <c r="C88" i="15"/>
  <c r="Z87" i="15"/>
  <c r="Y87" i="15"/>
  <c r="X87" i="15"/>
  <c r="W87" i="15"/>
  <c r="V87" i="15"/>
  <c r="U87" i="15"/>
  <c r="T87" i="15"/>
  <c r="S87" i="15"/>
  <c r="R87" i="15"/>
  <c r="Q87" i="15"/>
  <c r="P87" i="15"/>
  <c r="O87" i="15"/>
  <c r="N87" i="15"/>
  <c r="M87" i="15"/>
  <c r="L87" i="15"/>
  <c r="K87" i="15"/>
  <c r="J87" i="15"/>
  <c r="I87" i="15"/>
  <c r="H87" i="15"/>
  <c r="G87" i="15"/>
  <c r="F87" i="15"/>
  <c r="E87" i="15"/>
  <c r="D87" i="15"/>
  <c r="C87" i="15"/>
  <c r="S2" i="22"/>
  <c r="AB104" i="36"/>
  <c r="AA104" i="36"/>
  <c r="Z104" i="36"/>
  <c r="Y104" i="36"/>
  <c r="X104" i="36"/>
  <c r="W104" i="36"/>
  <c r="AB103" i="36"/>
  <c r="AA103" i="36"/>
  <c r="Z103" i="36"/>
  <c r="Y103" i="36"/>
  <c r="X103" i="36"/>
  <c r="W103" i="36"/>
  <c r="AB102" i="36"/>
  <c r="AA102" i="36"/>
  <c r="Z102" i="36"/>
  <c r="Y102" i="36"/>
  <c r="X102" i="36"/>
  <c r="W102" i="36"/>
  <c r="AB101" i="36"/>
  <c r="AA101" i="36"/>
  <c r="Z101" i="36"/>
  <c r="Y101" i="36"/>
  <c r="X101" i="36"/>
  <c r="W101" i="36"/>
  <c r="AB100" i="36"/>
  <c r="AA100" i="36"/>
  <c r="Z100" i="36"/>
  <c r="Y100" i="36"/>
  <c r="X100" i="36"/>
  <c r="W100" i="36"/>
  <c r="AB99" i="36"/>
  <c r="AA99" i="36"/>
  <c r="Z99" i="36"/>
  <c r="Y99" i="36"/>
  <c r="X99" i="36"/>
  <c r="W99" i="36"/>
  <c r="AB98" i="36"/>
  <c r="AA98" i="36"/>
  <c r="Z98" i="36"/>
  <c r="Y98" i="36"/>
  <c r="X98" i="36"/>
  <c r="W98" i="36"/>
  <c r="AB97" i="36"/>
  <c r="AA97" i="36"/>
  <c r="Z97" i="36"/>
  <c r="Y97" i="36"/>
  <c r="X97" i="36"/>
  <c r="W97" i="36"/>
  <c r="AB96" i="36"/>
  <c r="AA96" i="36"/>
  <c r="Z96" i="36"/>
  <c r="Y96" i="36"/>
  <c r="X96" i="36"/>
  <c r="W96" i="36"/>
  <c r="AB95" i="36"/>
  <c r="AA95" i="36"/>
  <c r="Z95" i="36"/>
  <c r="Y95" i="36"/>
  <c r="X95" i="36"/>
  <c r="W95" i="36"/>
  <c r="AB94" i="36"/>
  <c r="AA94" i="36"/>
  <c r="Z94" i="36"/>
  <c r="Y94" i="36"/>
  <c r="X94" i="36"/>
  <c r="W94" i="36"/>
  <c r="AB93" i="36"/>
  <c r="AA93" i="36"/>
  <c r="Z93" i="36"/>
  <c r="Y93" i="36"/>
  <c r="X93" i="36"/>
  <c r="W93" i="36"/>
  <c r="AB92" i="36"/>
  <c r="AA92" i="36"/>
  <c r="Z92" i="36"/>
  <c r="Y92" i="36"/>
  <c r="X92" i="36"/>
  <c r="W92" i="36"/>
  <c r="AB91" i="36"/>
  <c r="AA91" i="36"/>
  <c r="Z91" i="36"/>
  <c r="Y91" i="36"/>
  <c r="X91" i="36"/>
  <c r="W91" i="36"/>
  <c r="AB90" i="36"/>
  <c r="AA90" i="36"/>
  <c r="Z90" i="36"/>
  <c r="Y90" i="36"/>
  <c r="X90" i="36"/>
  <c r="W90" i="36"/>
  <c r="AB89" i="36"/>
  <c r="AA89" i="36"/>
  <c r="Z89" i="36"/>
  <c r="Y89" i="36"/>
  <c r="X89" i="36"/>
  <c r="W89" i="36"/>
  <c r="AB88" i="36"/>
  <c r="AA88" i="36"/>
  <c r="Z88" i="36"/>
  <c r="Y88" i="36"/>
  <c r="X88" i="36"/>
  <c r="W88" i="36"/>
  <c r="AB87" i="36"/>
  <c r="AA87" i="36"/>
  <c r="Z87" i="36"/>
  <c r="Y87" i="36"/>
  <c r="X87" i="36"/>
  <c r="W87" i="36"/>
  <c r="AB86" i="36"/>
  <c r="AA86" i="36"/>
  <c r="Z86" i="36"/>
  <c r="Y86" i="36"/>
  <c r="X86" i="36"/>
  <c r="W86" i="36"/>
  <c r="AB85" i="36"/>
  <c r="AA85" i="36"/>
  <c r="Z85" i="36"/>
  <c r="Y85" i="36"/>
  <c r="X85" i="36"/>
  <c r="W85" i="36"/>
  <c r="AB84" i="36"/>
  <c r="AA84" i="36"/>
  <c r="Z84" i="36"/>
  <c r="Y84" i="36"/>
  <c r="X84" i="36"/>
  <c r="W84" i="36"/>
  <c r="AB83" i="36"/>
  <c r="AA83" i="36"/>
  <c r="Z83" i="36"/>
  <c r="Y83" i="36"/>
  <c r="X83" i="36"/>
  <c r="W83" i="36"/>
  <c r="AB82" i="36"/>
  <c r="AA82" i="36"/>
  <c r="Z82" i="36"/>
  <c r="Y82" i="36"/>
  <c r="X82" i="36"/>
  <c r="W82" i="36"/>
  <c r="AB81" i="36"/>
  <c r="AA81" i="36"/>
  <c r="Z81" i="36"/>
  <c r="Y81" i="36"/>
  <c r="X81" i="36"/>
  <c r="W81" i="36"/>
  <c r="AB80" i="36"/>
  <c r="AA80" i="36"/>
  <c r="Z80" i="36"/>
  <c r="Y80" i="36"/>
  <c r="X80" i="36"/>
  <c r="W80" i="36"/>
  <c r="AB79" i="36"/>
  <c r="AA79" i="36"/>
  <c r="Z79" i="36"/>
  <c r="Y79" i="36"/>
  <c r="X79" i="36"/>
  <c r="W79" i="36"/>
  <c r="AB78" i="36"/>
  <c r="AA78" i="36"/>
  <c r="Z78" i="36"/>
  <c r="Y78" i="36"/>
  <c r="X78" i="36"/>
  <c r="W78" i="36"/>
  <c r="AB77" i="36"/>
  <c r="AA77" i="36"/>
  <c r="Z77" i="36"/>
  <c r="Y77" i="36"/>
  <c r="X77" i="36"/>
  <c r="W77" i="36"/>
  <c r="AB76" i="36"/>
  <c r="AA76" i="36"/>
  <c r="Z76" i="36"/>
  <c r="Y76" i="36"/>
  <c r="X76" i="36"/>
  <c r="W76" i="36"/>
  <c r="AB75" i="36"/>
  <c r="AA75" i="36"/>
  <c r="Z75" i="36"/>
  <c r="Y75" i="36"/>
  <c r="X75" i="36"/>
  <c r="W75" i="36"/>
  <c r="AB74" i="36"/>
  <c r="AA74" i="36"/>
  <c r="Z74" i="36"/>
  <c r="Y74" i="36"/>
  <c r="X74" i="36"/>
  <c r="W74" i="36"/>
  <c r="AB73" i="36"/>
  <c r="AA73" i="36"/>
  <c r="Z73" i="36"/>
  <c r="Y73" i="36"/>
  <c r="X73" i="36"/>
  <c r="W73" i="36"/>
  <c r="AB72" i="36"/>
  <c r="AA72" i="36"/>
  <c r="Z72" i="36"/>
  <c r="Y72" i="36"/>
  <c r="X72" i="36"/>
  <c r="W72" i="36"/>
  <c r="AB71" i="36"/>
  <c r="AA71" i="36"/>
  <c r="Z71" i="36"/>
  <c r="Y71" i="36"/>
  <c r="X71" i="36"/>
  <c r="W71" i="36"/>
  <c r="AB70" i="36"/>
  <c r="AA70" i="36"/>
  <c r="Z70" i="36"/>
  <c r="Y70" i="36"/>
  <c r="X70" i="36"/>
  <c r="W70" i="36"/>
  <c r="AB69" i="36"/>
  <c r="AA69" i="36"/>
  <c r="Z69" i="36"/>
  <c r="Y69" i="36"/>
  <c r="X69" i="36"/>
  <c r="W69" i="36"/>
  <c r="AB68" i="36"/>
  <c r="AA68" i="36"/>
  <c r="Z68" i="36"/>
  <c r="Y68" i="36"/>
  <c r="X68" i="36"/>
  <c r="W68" i="36"/>
  <c r="AB67" i="36"/>
  <c r="AA67" i="36"/>
  <c r="Z67" i="36"/>
  <c r="Y67" i="36"/>
  <c r="X67" i="36"/>
  <c r="W67" i="36"/>
  <c r="AB66" i="36"/>
  <c r="AA66" i="36"/>
  <c r="Z66" i="36"/>
  <c r="Y66" i="36"/>
  <c r="X66" i="36"/>
  <c r="W66" i="36"/>
  <c r="AB65" i="36"/>
  <c r="AA65" i="36"/>
  <c r="Z65" i="36"/>
  <c r="Y65" i="36"/>
  <c r="X65" i="36"/>
  <c r="W65" i="36"/>
  <c r="AB64" i="36"/>
  <c r="AA64" i="36"/>
  <c r="Z64" i="36"/>
  <c r="Y64" i="36"/>
  <c r="X64" i="36"/>
  <c r="W64" i="36"/>
  <c r="AB63" i="36"/>
  <c r="AA63" i="36"/>
  <c r="Z63" i="36"/>
  <c r="Y63" i="36"/>
  <c r="X63" i="36"/>
  <c r="W63" i="36"/>
  <c r="AB62" i="36"/>
  <c r="AA62" i="36"/>
  <c r="Z62" i="36"/>
  <c r="Y62" i="36"/>
  <c r="X62" i="36"/>
  <c r="W62" i="36"/>
  <c r="AB61" i="36"/>
  <c r="AA61" i="36"/>
  <c r="Z61" i="36"/>
  <c r="Y61" i="36"/>
  <c r="X61" i="36"/>
  <c r="W61" i="36"/>
  <c r="AB60" i="36"/>
  <c r="AA60" i="36"/>
  <c r="Z60" i="36"/>
  <c r="Y60" i="36"/>
  <c r="X60" i="36"/>
  <c r="W60" i="36"/>
  <c r="AB59" i="36"/>
  <c r="AA59" i="36"/>
  <c r="Z59" i="36"/>
  <c r="Y59" i="36"/>
  <c r="X59" i="36"/>
  <c r="W59" i="36"/>
  <c r="AB58" i="36"/>
  <c r="AA58" i="36"/>
  <c r="Z58" i="36"/>
  <c r="Y58" i="36"/>
  <c r="X58" i="36"/>
  <c r="W58" i="36"/>
  <c r="AB57" i="36"/>
  <c r="AA57" i="36"/>
  <c r="Z57" i="36"/>
  <c r="Y57" i="36"/>
  <c r="X57" i="36"/>
  <c r="W57" i="36"/>
  <c r="AB56" i="36"/>
  <c r="AA56" i="36"/>
  <c r="Z56" i="36"/>
  <c r="Y56" i="36"/>
  <c r="X56" i="36"/>
  <c r="W56" i="36"/>
  <c r="AB55" i="36"/>
  <c r="AA55" i="36"/>
  <c r="Z55" i="36"/>
  <c r="Y55" i="36"/>
  <c r="X55" i="36"/>
  <c r="W55" i="36"/>
  <c r="AB54" i="36"/>
  <c r="AA54" i="36"/>
  <c r="Z54" i="36"/>
  <c r="Y54" i="36"/>
  <c r="X54" i="36"/>
  <c r="W54" i="36"/>
  <c r="AB53" i="36"/>
  <c r="AA53" i="36"/>
  <c r="Z53" i="36"/>
  <c r="Y53" i="36"/>
  <c r="X53" i="36"/>
  <c r="W53" i="36"/>
  <c r="AB52" i="36"/>
  <c r="AA52" i="36"/>
  <c r="Z52" i="36"/>
  <c r="Y52" i="36"/>
  <c r="X52" i="36"/>
  <c r="W52" i="36"/>
  <c r="AB51" i="36"/>
  <c r="AA51" i="36"/>
  <c r="Z51" i="36"/>
  <c r="Y51" i="36"/>
  <c r="X51" i="36"/>
  <c r="W51" i="36"/>
  <c r="AB50" i="36"/>
  <c r="AA50" i="36"/>
  <c r="Z50" i="36"/>
  <c r="Y50" i="36"/>
  <c r="X50" i="36"/>
  <c r="W50" i="36"/>
  <c r="AB49" i="36"/>
  <c r="AA49" i="36"/>
  <c r="Z49" i="36"/>
  <c r="Y49" i="36"/>
  <c r="X49" i="36"/>
  <c r="W49" i="36"/>
  <c r="AB48" i="36"/>
  <c r="AA48" i="36"/>
  <c r="Z48" i="36"/>
  <c r="Y48" i="36"/>
  <c r="X48" i="36"/>
  <c r="W48" i="36"/>
  <c r="AB47" i="36"/>
  <c r="AA47" i="36"/>
  <c r="Z47" i="36"/>
  <c r="Y47" i="36"/>
  <c r="X47" i="36"/>
  <c r="W47" i="36"/>
  <c r="AB46" i="36"/>
  <c r="AA46" i="36"/>
  <c r="Z46" i="36"/>
  <c r="Y46" i="36"/>
  <c r="X46" i="36"/>
  <c r="W46" i="36"/>
  <c r="AB45" i="36"/>
  <c r="AA45" i="36"/>
  <c r="Z45" i="36"/>
  <c r="Y45" i="36"/>
  <c r="X45" i="36"/>
  <c r="W45" i="36"/>
  <c r="AB44" i="36"/>
  <c r="AA44" i="36"/>
  <c r="Z44" i="36"/>
  <c r="Y44" i="36"/>
  <c r="X44" i="36"/>
  <c r="W44" i="36"/>
  <c r="AB43" i="36"/>
  <c r="AA43" i="36"/>
  <c r="Z43" i="36"/>
  <c r="Y43" i="36"/>
  <c r="X43" i="36"/>
  <c r="W43" i="36"/>
  <c r="AB42" i="36"/>
  <c r="AA42" i="36"/>
  <c r="Z42" i="36"/>
  <c r="Y42" i="36"/>
  <c r="X42" i="36"/>
  <c r="W42" i="36"/>
  <c r="AB41" i="36"/>
  <c r="AA41" i="36"/>
  <c r="Z41" i="36"/>
  <c r="Y41" i="36"/>
  <c r="X41" i="36"/>
  <c r="W41" i="36"/>
  <c r="AB40" i="36"/>
  <c r="AA40" i="36"/>
  <c r="Z40" i="36"/>
  <c r="Y40" i="36"/>
  <c r="X40" i="36"/>
  <c r="W40" i="36"/>
  <c r="AB39" i="36"/>
  <c r="AA39" i="36"/>
  <c r="Z39" i="36"/>
  <c r="Y39" i="36"/>
  <c r="X39" i="36"/>
  <c r="W39" i="36"/>
  <c r="AB38" i="36"/>
  <c r="AA38" i="36"/>
  <c r="Z38" i="36"/>
  <c r="Y38" i="36"/>
  <c r="X38" i="36"/>
  <c r="W38" i="36"/>
  <c r="AB37" i="36"/>
  <c r="AA37" i="36"/>
  <c r="Z37" i="36"/>
  <c r="Y37" i="36"/>
  <c r="X37" i="36"/>
  <c r="W37" i="36"/>
  <c r="AB36" i="36"/>
  <c r="AA36" i="36"/>
  <c r="Z36" i="36"/>
  <c r="Y36" i="36"/>
  <c r="X36" i="36"/>
  <c r="W36" i="36"/>
  <c r="AB35" i="36"/>
  <c r="AA35" i="36"/>
  <c r="Z35" i="36"/>
  <c r="Y35" i="36"/>
  <c r="X35" i="36"/>
  <c r="W35" i="36"/>
  <c r="AB34" i="36"/>
  <c r="AA34" i="36"/>
  <c r="Z34" i="36"/>
  <c r="Y34" i="36"/>
  <c r="X34" i="36"/>
  <c r="W34" i="36"/>
  <c r="AB33" i="36"/>
  <c r="AA33" i="36"/>
  <c r="Z33" i="36"/>
  <c r="Y33" i="36"/>
  <c r="X33" i="36"/>
  <c r="W33" i="36"/>
  <c r="AB32" i="36"/>
  <c r="AA32" i="36"/>
  <c r="Z32" i="36"/>
  <c r="Y32" i="36"/>
  <c r="X32" i="36"/>
  <c r="W32" i="36"/>
  <c r="AB31" i="36"/>
  <c r="AA31" i="36"/>
  <c r="Z31" i="36"/>
  <c r="Y31" i="36"/>
  <c r="X31" i="36"/>
  <c r="W31" i="36"/>
  <c r="AB30" i="36"/>
  <c r="AA30" i="36"/>
  <c r="Z30" i="36"/>
  <c r="Y30" i="36"/>
  <c r="X30" i="36"/>
  <c r="W30" i="36"/>
  <c r="AB29" i="36"/>
  <c r="AA29" i="36"/>
  <c r="Z29" i="36"/>
  <c r="Y29" i="36"/>
  <c r="X29" i="36"/>
  <c r="W29" i="36"/>
  <c r="AB28" i="36"/>
  <c r="AA28" i="36"/>
  <c r="Z28" i="36"/>
  <c r="Y28" i="36"/>
  <c r="X28" i="36"/>
  <c r="W28" i="36"/>
  <c r="AB27" i="36"/>
  <c r="AA27" i="36"/>
  <c r="Z27" i="36"/>
  <c r="Y27" i="36"/>
  <c r="X27" i="36"/>
  <c r="W27" i="36"/>
  <c r="AB26" i="36"/>
  <c r="AA26" i="36"/>
  <c r="Z26" i="36"/>
  <c r="Y26" i="36"/>
  <c r="X26" i="36"/>
  <c r="W26" i="36"/>
  <c r="AB25" i="36"/>
  <c r="AA25" i="36"/>
  <c r="Z25" i="36"/>
  <c r="Y25" i="36"/>
  <c r="X25" i="36"/>
  <c r="W25" i="36"/>
  <c r="AB24" i="36"/>
  <c r="AA24" i="36"/>
  <c r="Z24" i="36"/>
  <c r="Y24" i="36"/>
  <c r="X24" i="36"/>
  <c r="W24" i="36"/>
  <c r="AB23" i="36"/>
  <c r="AA23" i="36"/>
  <c r="Z23" i="36"/>
  <c r="Y23" i="36"/>
  <c r="X23" i="36"/>
  <c r="W23" i="36"/>
  <c r="AB22" i="36"/>
  <c r="AA22" i="36"/>
  <c r="Z22" i="36"/>
  <c r="Y22" i="36"/>
  <c r="X22" i="36"/>
  <c r="W22" i="36"/>
  <c r="AB21" i="36"/>
  <c r="AA21" i="36"/>
  <c r="Z21" i="36"/>
  <c r="Y21" i="36"/>
  <c r="X21" i="36"/>
  <c r="W21" i="36"/>
  <c r="AB20" i="36"/>
  <c r="AA20" i="36"/>
  <c r="Z20" i="36"/>
  <c r="Y20" i="36"/>
  <c r="X20" i="36"/>
  <c r="W20" i="36"/>
  <c r="AB19" i="36"/>
  <c r="AA19" i="36"/>
  <c r="Z19" i="36"/>
  <c r="Y19" i="36"/>
  <c r="X19" i="36"/>
  <c r="W19" i="36"/>
  <c r="AB18" i="36"/>
  <c r="AA18" i="36"/>
  <c r="Z18" i="36"/>
  <c r="Y18" i="36"/>
  <c r="X18" i="36"/>
  <c r="W18" i="36"/>
  <c r="AB17" i="36"/>
  <c r="AA17" i="36"/>
  <c r="Z17" i="36"/>
  <c r="X17" i="36"/>
  <c r="W17" i="36"/>
  <c r="AB16" i="36"/>
  <c r="AA16" i="36"/>
  <c r="Z16" i="36"/>
  <c r="Y16" i="36"/>
  <c r="X16" i="36"/>
  <c r="W16" i="36"/>
  <c r="AB15" i="36"/>
  <c r="AA15" i="36"/>
  <c r="Z15" i="36"/>
  <c r="Y15" i="36"/>
  <c r="X15" i="36"/>
  <c r="W15" i="36"/>
  <c r="AB14" i="36"/>
  <c r="AA14" i="36"/>
  <c r="Z14" i="36"/>
  <c r="Y14" i="36"/>
  <c r="X14" i="36"/>
  <c r="W14" i="36"/>
  <c r="AB13" i="36"/>
  <c r="AA13" i="36"/>
  <c r="Z13" i="36"/>
  <c r="Y13" i="36"/>
  <c r="X13" i="36"/>
  <c r="W13" i="36"/>
  <c r="AB12" i="36"/>
  <c r="AA12" i="36"/>
  <c r="Z12" i="36"/>
  <c r="Y12" i="36"/>
  <c r="X12" i="36"/>
  <c r="W12" i="36"/>
  <c r="AB11" i="36"/>
  <c r="AA11" i="36"/>
  <c r="Z11" i="36"/>
  <c r="Y11" i="36"/>
  <c r="X11" i="36"/>
  <c r="W11" i="36"/>
  <c r="AB10" i="36"/>
  <c r="AA10" i="36"/>
  <c r="Z10" i="36"/>
  <c r="Y10" i="36"/>
  <c r="X10" i="36"/>
  <c r="W10" i="36"/>
  <c r="AB9" i="36"/>
  <c r="AA9" i="36"/>
  <c r="Z9" i="36"/>
  <c r="Y9" i="36"/>
  <c r="X9" i="36"/>
  <c r="W9" i="36"/>
  <c r="P9" i="36"/>
  <c r="M9" i="36"/>
  <c r="AW36" i="36"/>
  <c r="AV36" i="36"/>
  <c r="AU36" i="36"/>
  <c r="AT36" i="36"/>
  <c r="AS36" i="36"/>
  <c r="AR36" i="36"/>
  <c r="R9" i="36"/>
  <c r="Q9" i="36"/>
  <c r="O9" i="36"/>
  <c r="N9" i="36"/>
  <c r="C113" i="17"/>
  <c r="C9" i="16"/>
  <c r="C23" i="16"/>
  <c r="C22" i="16"/>
  <c r="C21" i="16"/>
  <c r="B40" i="16"/>
  <c r="B39" i="16"/>
  <c r="B38" i="16"/>
  <c r="C33" i="16"/>
  <c r="BM93" i="16" s="1"/>
  <c r="C32" i="16"/>
  <c r="C65" i="16" s="1"/>
  <c r="C31" i="16"/>
  <c r="C30" i="16"/>
  <c r="C63" i="16" s="1"/>
  <c r="C27" i="16"/>
  <c r="C26" i="16"/>
  <c r="C25" i="16"/>
  <c r="C24" i="16"/>
  <c r="BM89" i="16" s="1"/>
  <c r="C20" i="16"/>
  <c r="C17" i="16"/>
  <c r="C16" i="16"/>
  <c r="C15" i="16"/>
  <c r="Z86" i="15"/>
  <c r="Y86" i="15"/>
  <c r="X86" i="15"/>
  <c r="W86" i="15"/>
  <c r="V86" i="15"/>
  <c r="U86" i="15"/>
  <c r="T86" i="15"/>
  <c r="S86" i="15"/>
  <c r="R86" i="15"/>
  <c r="Q86" i="15"/>
  <c r="P86" i="15"/>
  <c r="O86" i="15"/>
  <c r="N86" i="15"/>
  <c r="M86" i="15"/>
  <c r="L86" i="15"/>
  <c r="K86" i="15"/>
  <c r="J86" i="15"/>
  <c r="I86" i="15"/>
  <c r="H86" i="15"/>
  <c r="G86" i="15"/>
  <c r="F86" i="15"/>
  <c r="E86" i="15"/>
  <c r="D86" i="15"/>
  <c r="C86" i="15"/>
  <c r="B37" i="15"/>
  <c r="B36" i="15"/>
  <c r="B35" i="15"/>
  <c r="B34" i="15"/>
  <c r="C2" i="17"/>
  <c r="C2" i="19" s="1"/>
  <c r="G80" i="17"/>
  <c r="G105" i="17"/>
  <c r="K105" i="17"/>
  <c r="K80" i="17"/>
  <c r="H105" i="17"/>
  <c r="H80" i="17"/>
  <c r="E80" i="17"/>
  <c r="E105" i="17"/>
  <c r="I80" i="17"/>
  <c r="I105" i="17"/>
  <c r="N105" i="17"/>
  <c r="N80" i="17"/>
  <c r="R105" i="17"/>
  <c r="R80" i="17"/>
  <c r="V105" i="17"/>
  <c r="V80" i="17"/>
  <c r="F105" i="17"/>
  <c r="F80" i="17"/>
  <c r="J105" i="17"/>
  <c r="J80" i="17"/>
  <c r="O105" i="17"/>
  <c r="O80" i="17"/>
  <c r="S105" i="17"/>
  <c r="S80" i="17"/>
  <c r="W105" i="17"/>
  <c r="W80" i="17"/>
  <c r="T105" i="17"/>
  <c r="T80" i="17"/>
  <c r="Q105" i="17"/>
  <c r="Q80" i="17"/>
  <c r="U105" i="17"/>
  <c r="U80" i="17"/>
  <c r="Y80" i="17"/>
  <c r="Y105" i="17"/>
  <c r="G41" i="17"/>
  <c r="K41" i="17"/>
  <c r="O41" i="17"/>
  <c r="S41" i="17"/>
  <c r="W41" i="17"/>
  <c r="F41" i="17"/>
  <c r="J41" i="17"/>
  <c r="N41" i="17"/>
  <c r="R41" i="17"/>
  <c r="V41" i="17"/>
  <c r="H41" i="17"/>
  <c r="T41" i="17"/>
  <c r="E41" i="17"/>
  <c r="I41" i="17"/>
  <c r="M41" i="17"/>
  <c r="Q41" i="17"/>
  <c r="U41" i="17"/>
  <c r="Y41" i="17"/>
  <c r="BY41" i="17"/>
  <c r="BT41" i="17"/>
  <c r="CH41" i="17"/>
  <c r="BR41" i="17"/>
  <c r="CA41" i="17"/>
  <c r="CC41" i="17"/>
  <c r="CF41" i="17"/>
  <c r="BV41" i="17"/>
  <c r="CE41" i="17"/>
  <c r="CG41" i="17"/>
  <c r="BQ41" i="17"/>
  <c r="BZ41" i="17"/>
  <c r="CI41" i="17"/>
  <c r="BS41" i="17"/>
  <c r="CK41" i="17"/>
  <c r="BU41" i="17"/>
  <c r="CD41" i="17"/>
  <c r="BW41" i="17"/>
  <c r="N149" i="17"/>
  <c r="N150" i="17" s="1"/>
  <c r="O15" i="26"/>
  <c r="AR43" i="36"/>
  <c r="AX9" i="36" l="1"/>
  <c r="AW9" i="36"/>
  <c r="AV9" i="36"/>
  <c r="AU9" i="36"/>
  <c r="AT9" i="36"/>
  <c r="AS9" i="36"/>
  <c r="AZ9" i="36"/>
  <c r="AR9" i="36"/>
  <c r="AV11" i="36"/>
  <c r="AV12" i="36"/>
  <c r="AY9" i="36"/>
  <c r="AV13" i="36"/>
  <c r="AT5" i="36"/>
  <c r="AZ5" i="36"/>
  <c r="AR5" i="36"/>
  <c r="AY5" i="36"/>
  <c r="AX5" i="36"/>
  <c r="AV5" i="36"/>
  <c r="AW5" i="36"/>
  <c r="AU5" i="36"/>
  <c r="AR12" i="36"/>
  <c r="AR13" i="36"/>
  <c r="AR11" i="36"/>
  <c r="AW10" i="36"/>
  <c r="AV10" i="36"/>
  <c r="AU10" i="36"/>
  <c r="AT10" i="36"/>
  <c r="AS10" i="36"/>
  <c r="AZ10" i="36"/>
  <c r="AR10" i="36"/>
  <c r="AY10" i="36"/>
  <c r="AW11" i="36"/>
  <c r="AX10" i="36"/>
  <c r="AW13" i="36"/>
  <c r="AW12" i="36"/>
  <c r="AY8" i="36"/>
  <c r="AX8" i="36"/>
  <c r="AW8" i="36"/>
  <c r="AV8" i="36"/>
  <c r="AU8" i="36"/>
  <c r="AT8" i="36"/>
  <c r="AS8" i="36"/>
  <c r="AU13" i="36"/>
  <c r="AZ8" i="36"/>
  <c r="AR8" i="36"/>
  <c r="AU12" i="36"/>
  <c r="AU11" i="36"/>
  <c r="AZ7" i="36"/>
  <c r="AY7" i="36"/>
  <c r="AX7" i="36"/>
  <c r="AT7" i="36"/>
  <c r="AW7" i="36"/>
  <c r="AV7" i="36"/>
  <c r="AU7" i="36"/>
  <c r="AR7" i="36"/>
  <c r="AT12" i="36"/>
  <c r="AT11" i="36"/>
  <c r="AT13" i="36"/>
  <c r="AZ6" i="36"/>
  <c r="AR6" i="36"/>
  <c r="AS5" i="36"/>
  <c r="AY6" i="36"/>
  <c r="AU6" i="36"/>
  <c r="AX6" i="36"/>
  <c r="AW6" i="36"/>
  <c r="AV6" i="36"/>
  <c r="AS6" i="36"/>
  <c r="AS7" i="36"/>
  <c r="AT6" i="36"/>
  <c r="AS12" i="36"/>
  <c r="AS11" i="36"/>
  <c r="AS13" i="36"/>
  <c r="O235" i="24"/>
  <c r="O222" i="24"/>
  <c r="O240" i="24"/>
  <c r="O228" i="24"/>
  <c r="O223" i="24"/>
  <c r="O241" i="24"/>
  <c r="O231" i="24"/>
  <c r="O221" i="24"/>
  <c r="O234" i="24"/>
  <c r="O224" i="24"/>
  <c r="O237" i="24"/>
  <c r="O220" i="24"/>
  <c r="O230" i="24"/>
  <c r="O225" i="24"/>
  <c r="O238" i="24"/>
  <c r="O236" i="24"/>
  <c r="O227" i="24"/>
  <c r="O226" i="24"/>
  <c r="O239" i="24"/>
  <c r="O229" i="24"/>
  <c r="O242" i="24"/>
  <c r="O232" i="24"/>
  <c r="O233" i="24"/>
  <c r="U242" i="24"/>
  <c r="U241" i="24"/>
  <c r="U240" i="24"/>
  <c r="U239" i="24"/>
  <c r="U238" i="24"/>
  <c r="U237" i="24"/>
  <c r="U236" i="24"/>
  <c r="U235" i="24"/>
  <c r="U234" i="24"/>
  <c r="U233" i="24"/>
  <c r="U232" i="24"/>
  <c r="U231" i="24"/>
  <c r="U230" i="24"/>
  <c r="U229" i="24"/>
  <c r="U228" i="24"/>
  <c r="U227" i="24"/>
  <c r="U226" i="24"/>
  <c r="U225" i="24"/>
  <c r="U224" i="24"/>
  <c r="U223" i="24"/>
  <c r="U222" i="24"/>
  <c r="U221" i="24"/>
  <c r="U220" i="24"/>
  <c r="O217" i="24"/>
  <c r="O218" i="24"/>
  <c r="O219" i="24"/>
  <c r="U217" i="24"/>
  <c r="U219" i="24"/>
  <c r="U218" i="24"/>
  <c r="O216" i="24"/>
  <c r="O215" i="24"/>
  <c r="U216" i="24"/>
  <c r="U215" i="24"/>
  <c r="O213" i="24"/>
  <c r="O214" i="24"/>
  <c r="U213" i="24"/>
  <c r="U214" i="24"/>
  <c r="U212" i="24"/>
  <c r="U211" i="24"/>
  <c r="U210" i="24"/>
  <c r="U209" i="24"/>
  <c r="O212" i="24"/>
  <c r="O211" i="24"/>
  <c r="O210" i="24"/>
  <c r="O209" i="24"/>
  <c r="Q112" i="15"/>
  <c r="Q11" i="15"/>
  <c r="Q16" i="15" s="1"/>
  <c r="Q26" i="15" s="1"/>
  <c r="Q33" i="15" s="1"/>
  <c r="V112" i="15"/>
  <c r="V11" i="15"/>
  <c r="V16" i="15" s="1"/>
  <c r="V26" i="15" s="1"/>
  <c r="V33" i="15" s="1"/>
  <c r="O112" i="15"/>
  <c r="O11" i="15"/>
  <c r="O16" i="15" s="1"/>
  <c r="O26" i="15" s="1"/>
  <c r="O33" i="15" s="1"/>
  <c r="W112" i="15"/>
  <c r="W11" i="15"/>
  <c r="W16" i="15" s="1"/>
  <c r="W26" i="15" s="1"/>
  <c r="W33" i="15" s="1"/>
  <c r="T112" i="15"/>
  <c r="T11" i="15"/>
  <c r="T16" i="15" s="1"/>
  <c r="T26" i="15" s="1"/>
  <c r="T33" i="15" s="1"/>
  <c r="J92" i="15"/>
  <c r="J11" i="15"/>
  <c r="J16" i="15" s="1"/>
  <c r="J26" i="15" s="1"/>
  <c r="J33" i="15" s="1"/>
  <c r="K92" i="15"/>
  <c r="K11" i="15"/>
  <c r="K16" i="15" s="1"/>
  <c r="K26" i="15" s="1"/>
  <c r="K33" i="15" s="1"/>
  <c r="Y112" i="15"/>
  <c r="Y11" i="15"/>
  <c r="Y16" i="15" s="1"/>
  <c r="Y26" i="15" s="1"/>
  <c r="Y33" i="15" s="1"/>
  <c r="N92" i="15"/>
  <c r="N11" i="15"/>
  <c r="N16" i="15" s="1"/>
  <c r="N26" i="15" s="1"/>
  <c r="N33" i="15" s="1"/>
  <c r="S112" i="15"/>
  <c r="S11" i="15"/>
  <c r="S16" i="15" s="1"/>
  <c r="S26" i="15" s="1"/>
  <c r="S33" i="15" s="1"/>
  <c r="L92" i="15"/>
  <c r="L11" i="15"/>
  <c r="L16" i="15" s="1"/>
  <c r="L26" i="15" s="1"/>
  <c r="L33" i="15" s="1"/>
  <c r="R112" i="15"/>
  <c r="R11" i="15"/>
  <c r="R16" i="15" s="1"/>
  <c r="R26" i="15" s="1"/>
  <c r="R33" i="15" s="1"/>
  <c r="U112" i="15"/>
  <c r="U11" i="15"/>
  <c r="U16" i="15" s="1"/>
  <c r="U26" i="15" s="1"/>
  <c r="U33" i="15" s="1"/>
  <c r="X112" i="15"/>
  <c r="X11" i="15"/>
  <c r="X16" i="15" s="1"/>
  <c r="X26" i="15" s="1"/>
  <c r="X33" i="15" s="1"/>
  <c r="O168" i="24"/>
  <c r="O171" i="24"/>
  <c r="O195" i="24"/>
  <c r="O205" i="24"/>
  <c r="O183" i="24"/>
  <c r="O200" i="24"/>
  <c r="O191" i="24"/>
  <c r="O206" i="24"/>
  <c r="O190" i="24"/>
  <c r="O185" i="24"/>
  <c r="O187" i="24"/>
  <c r="O201" i="24"/>
  <c r="O178" i="24"/>
  <c r="O203" i="24"/>
  <c r="O175" i="24"/>
  <c r="O208" i="24"/>
  <c r="E2" i="24" s="1"/>
  <c r="C4" i="23" s="1"/>
  <c r="O177" i="24"/>
  <c r="O179" i="24"/>
  <c r="O186" i="24"/>
  <c r="O197" i="24"/>
  <c r="O182" i="24"/>
  <c r="O199" i="24"/>
  <c r="O188" i="24"/>
  <c r="O194" i="24"/>
  <c r="O189" i="24"/>
  <c r="O169" i="24"/>
  <c r="O176" i="24"/>
  <c r="O172" i="24"/>
  <c r="O193" i="24"/>
  <c r="O173" i="24"/>
  <c r="O184" i="24"/>
  <c r="O202" i="24"/>
  <c r="O181" i="24"/>
  <c r="O198" i="24"/>
  <c r="O180" i="24"/>
  <c r="O207" i="24"/>
  <c r="O196" i="24"/>
  <c r="O174" i="24"/>
  <c r="O170" i="24"/>
  <c r="O204" i="24"/>
  <c r="O192" i="24"/>
  <c r="U168" i="24"/>
  <c r="U208" i="24"/>
  <c r="U207" i="24"/>
  <c r="U206" i="24"/>
  <c r="U205" i="24"/>
  <c r="U204" i="24"/>
  <c r="U203" i="24"/>
  <c r="U202" i="24"/>
  <c r="U201" i="24"/>
  <c r="U200" i="24"/>
  <c r="U199" i="24"/>
  <c r="U198" i="24"/>
  <c r="U197" i="24"/>
  <c r="U196" i="24"/>
  <c r="U195" i="24"/>
  <c r="U194" i="24"/>
  <c r="U193" i="24"/>
  <c r="U192" i="24"/>
  <c r="U191" i="24"/>
  <c r="U190" i="24"/>
  <c r="U189" i="24"/>
  <c r="U188" i="24"/>
  <c r="U187" i="24"/>
  <c r="U186" i="24"/>
  <c r="U185" i="24"/>
  <c r="U184" i="24"/>
  <c r="U183" i="24"/>
  <c r="U182" i="24"/>
  <c r="U181" i="24"/>
  <c r="U180" i="24"/>
  <c r="U179" i="24"/>
  <c r="U178" i="24"/>
  <c r="U177" i="24"/>
  <c r="U176" i="24"/>
  <c r="U175" i="24"/>
  <c r="U174" i="24"/>
  <c r="U173" i="24"/>
  <c r="U172" i="24"/>
  <c r="U171" i="24"/>
  <c r="U170" i="24"/>
  <c r="U169" i="24"/>
  <c r="O160" i="24"/>
  <c r="O166" i="24"/>
  <c r="O161" i="24"/>
  <c r="O159" i="24"/>
  <c r="O162" i="24"/>
  <c r="O163" i="24"/>
  <c r="O164" i="24"/>
  <c r="O157" i="24"/>
  <c r="O165" i="24"/>
  <c r="O158" i="24"/>
  <c r="O167" i="24"/>
  <c r="U167" i="24"/>
  <c r="U166" i="24"/>
  <c r="U165" i="24"/>
  <c r="U164" i="24"/>
  <c r="U163" i="24"/>
  <c r="U162" i="24"/>
  <c r="U161" i="24"/>
  <c r="U160" i="24"/>
  <c r="U159" i="24"/>
  <c r="U158" i="24"/>
  <c r="U157" i="24"/>
  <c r="C11" i="19"/>
  <c r="O149" i="24"/>
  <c r="O148" i="24"/>
  <c r="O152" i="24"/>
  <c r="O154" i="24"/>
  <c r="O150" i="24"/>
  <c r="O156" i="24"/>
  <c r="O153" i="24"/>
  <c r="O147" i="24"/>
  <c r="O151" i="24"/>
  <c r="O155" i="24"/>
  <c r="U156" i="24"/>
  <c r="U155" i="24"/>
  <c r="U154" i="24"/>
  <c r="U153" i="24"/>
  <c r="U152" i="24"/>
  <c r="U151" i="24"/>
  <c r="U150" i="24"/>
  <c r="U149" i="24"/>
  <c r="U148" i="24"/>
  <c r="U147" i="24"/>
  <c r="O140" i="24"/>
  <c r="O141" i="24"/>
  <c r="O142" i="24"/>
  <c r="O143" i="24"/>
  <c r="O144" i="24"/>
  <c r="O145" i="24"/>
  <c r="O138" i="24"/>
  <c r="O139" i="24"/>
  <c r="O146" i="24"/>
  <c r="U146" i="24"/>
  <c r="U145" i="24"/>
  <c r="U144" i="24"/>
  <c r="U143" i="24"/>
  <c r="U142" i="24"/>
  <c r="U141" i="24"/>
  <c r="U140" i="24"/>
  <c r="U139" i="24"/>
  <c r="U138" i="24"/>
  <c r="O136" i="24"/>
  <c r="O137" i="24"/>
  <c r="U137" i="24"/>
  <c r="U136" i="24"/>
  <c r="M59" i="15"/>
  <c r="M85" i="15" s="1"/>
  <c r="Z59" i="15"/>
  <c r="Z85" i="15" s="1"/>
  <c r="E16" i="15"/>
  <c r="E26" i="15" s="1"/>
  <c r="E33" i="15" s="1"/>
  <c r="E59" i="15" s="1"/>
  <c r="E85" i="15" s="1"/>
  <c r="O134" i="24"/>
  <c r="O135" i="24"/>
  <c r="U135" i="24"/>
  <c r="U134" i="24"/>
  <c r="O126" i="24"/>
  <c r="O123" i="24"/>
  <c r="O127" i="24"/>
  <c r="O120" i="24"/>
  <c r="O124" i="24"/>
  <c r="O129" i="24"/>
  <c r="O132" i="24"/>
  <c r="O125" i="24"/>
  <c r="O133" i="24"/>
  <c r="O131" i="24"/>
  <c r="O121" i="24"/>
  <c r="O122" i="24"/>
  <c r="O130" i="24"/>
  <c r="O128" i="24"/>
  <c r="U133" i="24"/>
  <c r="U132" i="24"/>
  <c r="U131" i="24"/>
  <c r="U130" i="24"/>
  <c r="U129" i="24"/>
  <c r="U128" i="24"/>
  <c r="U127" i="24"/>
  <c r="U126" i="24"/>
  <c r="U125" i="24"/>
  <c r="U124" i="24"/>
  <c r="U123" i="24"/>
  <c r="U122" i="24"/>
  <c r="U121" i="24"/>
  <c r="U120" i="24"/>
  <c r="O113" i="24"/>
  <c r="O119" i="24"/>
  <c r="O116" i="24"/>
  <c r="O112" i="24"/>
  <c r="O114" i="24"/>
  <c r="O115" i="24"/>
  <c r="O117" i="24"/>
  <c r="O118" i="24"/>
  <c r="O111" i="24"/>
  <c r="U119" i="24"/>
  <c r="U118" i="24"/>
  <c r="U117" i="24"/>
  <c r="U116" i="24"/>
  <c r="U115" i="24"/>
  <c r="U114" i="24"/>
  <c r="U113" i="24"/>
  <c r="U112" i="24"/>
  <c r="U111" i="24"/>
  <c r="O108" i="24"/>
  <c r="O109" i="24"/>
  <c r="O110" i="24"/>
  <c r="U108" i="24"/>
  <c r="U110" i="24"/>
  <c r="U109" i="24"/>
  <c r="N5" i="19"/>
  <c r="F5" i="19"/>
  <c r="I5" i="19"/>
  <c r="H5" i="19"/>
  <c r="M5" i="19"/>
  <c r="E5" i="19"/>
  <c r="L5" i="19"/>
  <c r="D5" i="19"/>
  <c r="K5" i="19"/>
  <c r="C5" i="19"/>
  <c r="O103" i="24"/>
  <c r="O106" i="24"/>
  <c r="O107" i="24"/>
  <c r="O104" i="24"/>
  <c r="O105" i="24"/>
  <c r="U107" i="24"/>
  <c r="U106" i="24"/>
  <c r="U105" i="24"/>
  <c r="U104" i="24"/>
  <c r="U103" i="24"/>
  <c r="O91" i="24"/>
  <c r="O99" i="24"/>
  <c r="O101" i="24"/>
  <c r="O88" i="24"/>
  <c r="O90" i="24"/>
  <c r="O92" i="24"/>
  <c r="O94" i="24"/>
  <c r="O96" i="24"/>
  <c r="O98" i="24"/>
  <c r="O100" i="24"/>
  <c r="O102" i="24"/>
  <c r="O87" i="24"/>
  <c r="O93" i="24"/>
  <c r="O97" i="24"/>
  <c r="O89" i="24"/>
  <c r="O95" i="24"/>
  <c r="U102" i="24"/>
  <c r="U101" i="24"/>
  <c r="U100" i="24"/>
  <c r="U99" i="24"/>
  <c r="U98" i="24"/>
  <c r="U97" i="24"/>
  <c r="U96" i="24"/>
  <c r="U95" i="24"/>
  <c r="U94" i="24"/>
  <c r="U93" i="24"/>
  <c r="U92" i="24"/>
  <c r="U91" i="24"/>
  <c r="U90" i="24"/>
  <c r="U89" i="24"/>
  <c r="U88" i="24"/>
  <c r="U87" i="24"/>
  <c r="O83" i="24"/>
  <c r="O84" i="24"/>
  <c r="O86" i="24"/>
  <c r="O85" i="24"/>
  <c r="U86" i="24"/>
  <c r="U85" i="24"/>
  <c r="U84" i="24"/>
  <c r="U83" i="24"/>
  <c r="U82" i="24"/>
  <c r="U81" i="24"/>
  <c r="U80" i="24"/>
  <c r="U79" i="24"/>
  <c r="O82" i="24"/>
  <c r="O81" i="24"/>
  <c r="O80" i="24"/>
  <c r="O79" i="24"/>
  <c r="O74" i="24"/>
  <c r="O75" i="24"/>
  <c r="O77" i="24"/>
  <c r="O76" i="24"/>
  <c r="O78" i="24"/>
  <c r="U74" i="24"/>
  <c r="U78" i="24"/>
  <c r="U77" i="24"/>
  <c r="U76" i="24"/>
  <c r="U75" i="24"/>
  <c r="N6" i="19"/>
  <c r="N7" i="19" s="1"/>
  <c r="F6" i="19"/>
  <c r="F7" i="19" s="1"/>
  <c r="J5" i="19"/>
  <c r="E6" i="19"/>
  <c r="E7" i="19" s="1"/>
  <c r="D6" i="19"/>
  <c r="D7" i="19" s="1"/>
  <c r="K6" i="19"/>
  <c r="K7" i="19" s="1"/>
  <c r="C6" i="19"/>
  <c r="C7" i="19" s="1"/>
  <c r="G5" i="19"/>
  <c r="I6" i="19"/>
  <c r="I7" i="19" s="1"/>
  <c r="J6" i="19"/>
  <c r="J7" i="19" s="1"/>
  <c r="H6" i="19"/>
  <c r="H7" i="19" s="1"/>
  <c r="G6" i="19"/>
  <c r="G7" i="19" s="1"/>
  <c r="M6" i="19"/>
  <c r="M7" i="19" s="1"/>
  <c r="L6" i="19"/>
  <c r="L7" i="19" s="1"/>
  <c r="O72" i="24"/>
  <c r="O73" i="24"/>
  <c r="U73" i="24"/>
  <c r="U72" i="24"/>
  <c r="O68" i="24"/>
  <c r="O69" i="24"/>
  <c r="O70" i="24"/>
  <c r="O71" i="24"/>
  <c r="U71" i="24"/>
  <c r="U70" i="24"/>
  <c r="U69" i="24"/>
  <c r="U68" i="24"/>
  <c r="O66" i="24"/>
  <c r="O67" i="24"/>
  <c r="U67" i="24"/>
  <c r="U66" i="24"/>
  <c r="O62" i="24"/>
  <c r="O64" i="24"/>
  <c r="O63" i="24"/>
  <c r="O65" i="24"/>
  <c r="U65" i="24"/>
  <c r="U64" i="24"/>
  <c r="U63" i="24"/>
  <c r="U62" i="24"/>
  <c r="O59" i="24"/>
  <c r="O60" i="24"/>
  <c r="O61" i="24"/>
  <c r="O58" i="24"/>
  <c r="U61" i="24"/>
  <c r="U60" i="24"/>
  <c r="U59" i="24"/>
  <c r="U58" i="24"/>
  <c r="O56" i="24"/>
  <c r="O57" i="24"/>
  <c r="U57" i="24"/>
  <c r="U56" i="24"/>
  <c r="O54" i="24"/>
  <c r="O55" i="24"/>
  <c r="U55" i="24"/>
  <c r="U54" i="24"/>
  <c r="O51" i="24"/>
  <c r="O53" i="24"/>
  <c r="O52" i="24"/>
  <c r="U53" i="24"/>
  <c r="U52" i="24"/>
  <c r="U51" i="24"/>
  <c r="U50" i="24"/>
  <c r="U49" i="24"/>
  <c r="U48" i="24"/>
  <c r="U47" i="24"/>
  <c r="U46" i="24"/>
  <c r="O46" i="24"/>
  <c r="O49" i="24"/>
  <c r="O48" i="24"/>
  <c r="O50" i="24"/>
  <c r="O47" i="24"/>
  <c r="O45" i="24"/>
  <c r="O44" i="24"/>
  <c r="U45" i="24"/>
  <c r="U44" i="24"/>
  <c r="U43" i="24"/>
  <c r="U42" i="24"/>
  <c r="O42" i="24"/>
  <c r="O43" i="24"/>
  <c r="O40" i="24"/>
  <c r="O41" i="24"/>
  <c r="U41" i="24"/>
  <c r="U40" i="24"/>
  <c r="O38" i="24"/>
  <c r="O39" i="24"/>
  <c r="U39" i="24"/>
  <c r="U38" i="24"/>
  <c r="O15" i="24"/>
  <c r="O33" i="24"/>
  <c r="O20" i="24"/>
  <c r="O22" i="24"/>
  <c r="O26" i="24"/>
  <c r="O34" i="24"/>
  <c r="O12" i="24"/>
  <c r="O23" i="24"/>
  <c r="O18" i="24"/>
  <c r="O28" i="24"/>
  <c r="O30" i="24"/>
  <c r="O31" i="24"/>
  <c r="O36" i="24"/>
  <c r="O19" i="24"/>
  <c r="O16" i="24"/>
  <c r="O13" i="24"/>
  <c r="O21" i="24"/>
  <c r="O32" i="24"/>
  <c r="O29" i="24"/>
  <c r="O35" i="24"/>
  <c r="O37" i="24"/>
  <c r="O14" i="24"/>
  <c r="O24" i="24"/>
  <c r="O27" i="24"/>
  <c r="O17" i="24"/>
  <c r="O25" i="24"/>
  <c r="U37" i="24"/>
  <c r="U36" i="24"/>
  <c r="U35" i="24"/>
  <c r="U34" i="24"/>
  <c r="U33" i="24"/>
  <c r="U32" i="24"/>
  <c r="U31" i="24"/>
  <c r="U30" i="24"/>
  <c r="U29" i="24"/>
  <c r="U28" i="24"/>
  <c r="U27" i="24"/>
  <c r="U26" i="24"/>
  <c r="U25" i="24"/>
  <c r="U24" i="24"/>
  <c r="U23" i="24"/>
  <c r="U22" i="24"/>
  <c r="U21" i="24"/>
  <c r="U20" i="24"/>
  <c r="U19" i="24"/>
  <c r="U18" i="24"/>
  <c r="U17" i="24"/>
  <c r="U16" i="24"/>
  <c r="U15" i="24"/>
  <c r="U14" i="24"/>
  <c r="U13" i="24"/>
  <c r="U12" i="24"/>
  <c r="O11" i="24"/>
  <c r="O6" i="24"/>
  <c r="O10" i="24"/>
  <c r="O8" i="24"/>
  <c r="O7" i="24"/>
  <c r="O9" i="24"/>
  <c r="U11" i="24"/>
  <c r="U10" i="24"/>
  <c r="U9" i="24"/>
  <c r="U8" i="24"/>
  <c r="U7" i="24"/>
  <c r="U6" i="24"/>
  <c r="G11" i="15"/>
  <c r="L112" i="15"/>
  <c r="F11" i="15"/>
  <c r="N112" i="15"/>
  <c r="S92" i="15"/>
  <c r="C105" i="17"/>
  <c r="I11" i="15"/>
  <c r="J112" i="15"/>
  <c r="D11" i="15"/>
  <c r="D92" i="15"/>
  <c r="G112" i="15"/>
  <c r="C15" i="19"/>
  <c r="V92" i="15"/>
  <c r="I92" i="15"/>
  <c r="BO2" i="17"/>
  <c r="BO36" i="17" s="1"/>
  <c r="C41" i="17"/>
  <c r="O92" i="15"/>
  <c r="X92" i="15"/>
  <c r="C32" i="19"/>
  <c r="Y92" i="15"/>
  <c r="F112" i="15"/>
  <c r="R92" i="15"/>
  <c r="T91" i="17"/>
  <c r="T92" i="17"/>
  <c r="T90" i="17"/>
  <c r="T82" i="17"/>
  <c r="T84" i="17"/>
  <c r="T83" i="17"/>
  <c r="T87" i="17"/>
  <c r="T85" i="17"/>
  <c r="T86" i="17"/>
  <c r="K92" i="17"/>
  <c r="K91" i="17"/>
  <c r="K90" i="17"/>
  <c r="K86" i="17"/>
  <c r="K82" i="17"/>
  <c r="K87" i="17"/>
  <c r="K83" i="17"/>
  <c r="K84" i="17"/>
  <c r="K85" i="17"/>
  <c r="C66" i="16"/>
  <c r="W91" i="17"/>
  <c r="W90" i="17"/>
  <c r="W92" i="17"/>
  <c r="W84" i="17"/>
  <c r="W85" i="17"/>
  <c r="W82" i="17"/>
  <c r="W86" i="17"/>
  <c r="W83" i="17"/>
  <c r="W87" i="17"/>
  <c r="F92" i="17"/>
  <c r="F91" i="17"/>
  <c r="F90" i="17"/>
  <c r="F82" i="17"/>
  <c r="F87" i="17"/>
  <c r="F83" i="17"/>
  <c r="F85" i="17"/>
  <c r="F86" i="17"/>
  <c r="F84" i="17"/>
  <c r="U91" i="17"/>
  <c r="U92" i="17"/>
  <c r="U90" i="17"/>
  <c r="U86" i="17"/>
  <c r="U83" i="17"/>
  <c r="U82" i="17"/>
  <c r="U84" i="17"/>
  <c r="U87" i="17"/>
  <c r="U85" i="17"/>
  <c r="S91" i="17"/>
  <c r="S90" i="17"/>
  <c r="S92" i="17"/>
  <c r="S84" i="17"/>
  <c r="S83" i="17"/>
  <c r="S86" i="17"/>
  <c r="S87" i="17"/>
  <c r="S85" i="17"/>
  <c r="S82" i="17"/>
  <c r="V92" i="17"/>
  <c r="V90" i="17"/>
  <c r="V91" i="17"/>
  <c r="V85" i="17"/>
  <c r="V87" i="17"/>
  <c r="V82" i="17"/>
  <c r="V84" i="17"/>
  <c r="V86" i="17"/>
  <c r="V83" i="17"/>
  <c r="C80" i="17"/>
  <c r="J70" i="17"/>
  <c r="J60" i="17"/>
  <c r="J50" i="17"/>
  <c r="J66" i="17"/>
  <c r="J56" i="17"/>
  <c r="J46" i="17"/>
  <c r="J72" i="17"/>
  <c r="J62" i="17"/>
  <c r="J52" i="17"/>
  <c r="J69" i="17"/>
  <c r="J59" i="17"/>
  <c r="J49" i="17"/>
  <c r="J65" i="17"/>
  <c r="J55" i="17"/>
  <c r="J45" i="17"/>
  <c r="J71" i="17"/>
  <c r="J61" i="17"/>
  <c r="J51" i="17"/>
  <c r="J74" i="17"/>
  <c r="J47" i="17"/>
  <c r="J64" i="17"/>
  <c r="J57" i="17"/>
  <c r="J44" i="17"/>
  <c r="J67" i="17"/>
  <c r="J54" i="17"/>
  <c r="R70" i="17"/>
  <c r="R60" i="17"/>
  <c r="R50" i="17"/>
  <c r="R66" i="17"/>
  <c r="R56" i="17"/>
  <c r="R46" i="17"/>
  <c r="R72" i="17"/>
  <c r="R62" i="17"/>
  <c r="R52" i="17"/>
  <c r="R69" i="17"/>
  <c r="R59" i="17"/>
  <c r="R49" i="17"/>
  <c r="R65" i="17"/>
  <c r="R55" i="17"/>
  <c r="R45" i="17"/>
  <c r="R71" i="17"/>
  <c r="R61" i="17"/>
  <c r="R51" i="17"/>
  <c r="R74" i="17"/>
  <c r="R57" i="17"/>
  <c r="R44" i="17"/>
  <c r="R54" i="17"/>
  <c r="R67" i="17"/>
  <c r="R47" i="17"/>
  <c r="R64" i="17"/>
  <c r="Z70" i="17"/>
  <c r="Z60" i="17"/>
  <c r="Z50" i="17"/>
  <c r="Z66" i="17"/>
  <c r="Z56" i="17"/>
  <c r="Z46" i="17"/>
  <c r="Z72" i="17"/>
  <c r="Z62" i="17"/>
  <c r="Z52" i="17"/>
  <c r="Z69" i="17"/>
  <c r="Z59" i="17"/>
  <c r="Z49" i="17"/>
  <c r="Z65" i="17"/>
  <c r="Z55" i="17"/>
  <c r="Z45" i="17"/>
  <c r="Z71" i="17"/>
  <c r="Z61" i="17"/>
  <c r="Z51" i="17"/>
  <c r="Z74" i="17"/>
  <c r="Z44" i="17"/>
  <c r="Z54" i="17"/>
  <c r="Z47" i="17"/>
  <c r="Z67" i="17"/>
  <c r="Z64" i="17"/>
  <c r="Z57" i="17"/>
  <c r="Q90" i="17"/>
  <c r="Q91" i="17"/>
  <c r="Q92" i="17"/>
  <c r="Q87" i="17"/>
  <c r="Q83" i="17"/>
  <c r="Q82" i="17"/>
  <c r="Q85" i="17"/>
  <c r="Q84" i="17"/>
  <c r="Q86" i="17"/>
  <c r="O92" i="17"/>
  <c r="O90" i="17"/>
  <c r="O91" i="17"/>
  <c r="O86" i="17"/>
  <c r="O82" i="17"/>
  <c r="O84" i="17"/>
  <c r="O87" i="17"/>
  <c r="O85" i="17"/>
  <c r="O83" i="17"/>
  <c r="R91" i="17"/>
  <c r="R92" i="17"/>
  <c r="R90" i="17"/>
  <c r="R85" i="17"/>
  <c r="R86" i="17"/>
  <c r="R84" i="17"/>
  <c r="R82" i="17"/>
  <c r="R87" i="17"/>
  <c r="R83" i="17"/>
  <c r="H92" i="17"/>
  <c r="H91" i="17"/>
  <c r="H90" i="17"/>
  <c r="H82" i="17"/>
  <c r="H84" i="17"/>
  <c r="H87" i="17"/>
  <c r="H85" i="17"/>
  <c r="H86" i="17"/>
  <c r="H83" i="17"/>
  <c r="D72" i="17"/>
  <c r="D62" i="17"/>
  <c r="D52" i="17"/>
  <c r="D69" i="17"/>
  <c r="D59" i="17"/>
  <c r="D49" i="17"/>
  <c r="D65" i="17"/>
  <c r="D55" i="17"/>
  <c r="D45" i="17"/>
  <c r="D71" i="17"/>
  <c r="D61" i="17"/>
  <c r="D51" i="17"/>
  <c r="D67" i="17"/>
  <c r="D57" i="17"/>
  <c r="D47" i="17"/>
  <c r="D74" i="17"/>
  <c r="D64" i="17"/>
  <c r="D54" i="17"/>
  <c r="D44" i="17"/>
  <c r="D66" i="17"/>
  <c r="D70" i="17"/>
  <c r="D46" i="17"/>
  <c r="D56" i="17"/>
  <c r="D50" i="17"/>
  <c r="D60" i="17"/>
  <c r="L72" i="17"/>
  <c r="L62" i="17"/>
  <c r="L52" i="17"/>
  <c r="L69" i="17"/>
  <c r="L59" i="17"/>
  <c r="L49" i="17"/>
  <c r="L65" i="17"/>
  <c r="L55" i="17"/>
  <c r="L45" i="17"/>
  <c r="L71" i="17"/>
  <c r="L61" i="17"/>
  <c r="L51" i="17"/>
  <c r="L67" i="17"/>
  <c r="L57" i="17"/>
  <c r="L47" i="17"/>
  <c r="L74" i="17"/>
  <c r="L64" i="17"/>
  <c r="L54" i="17"/>
  <c r="L44" i="17"/>
  <c r="L66" i="17"/>
  <c r="L70" i="17"/>
  <c r="L56" i="17"/>
  <c r="L50" i="17"/>
  <c r="L60" i="17"/>
  <c r="L46" i="17"/>
  <c r="T72" i="17"/>
  <c r="T62" i="17"/>
  <c r="T52" i="17"/>
  <c r="T69" i="17"/>
  <c r="T59" i="17"/>
  <c r="T49" i="17"/>
  <c r="T65" i="17"/>
  <c r="T55" i="17"/>
  <c r="T45" i="17"/>
  <c r="T71" i="17"/>
  <c r="T61" i="17"/>
  <c r="T51" i="17"/>
  <c r="T67" i="17"/>
  <c r="T57" i="17"/>
  <c r="T47" i="17"/>
  <c r="T74" i="17"/>
  <c r="T64" i="17"/>
  <c r="T54" i="17"/>
  <c r="T44" i="17"/>
  <c r="T66" i="17"/>
  <c r="T50" i="17"/>
  <c r="T60" i="17"/>
  <c r="T46" i="17"/>
  <c r="T70" i="17"/>
  <c r="T56" i="17"/>
  <c r="L90" i="17"/>
  <c r="L91" i="17"/>
  <c r="L92" i="17"/>
  <c r="L85" i="17"/>
  <c r="L86" i="17"/>
  <c r="L87" i="17"/>
  <c r="L82" i="17"/>
  <c r="L84" i="17"/>
  <c r="L83" i="17"/>
  <c r="Q92" i="15"/>
  <c r="U92" i="15"/>
  <c r="X3" i="11"/>
  <c r="C37" i="17"/>
  <c r="C36" i="17"/>
  <c r="C111" i="15"/>
  <c r="E69" i="17"/>
  <c r="E59" i="17"/>
  <c r="E49" i="17"/>
  <c r="E65" i="17"/>
  <c r="E55" i="17"/>
  <c r="E45" i="17"/>
  <c r="E71" i="17"/>
  <c r="E61" i="17"/>
  <c r="E51" i="17"/>
  <c r="E67" i="17"/>
  <c r="E57" i="17"/>
  <c r="E47" i="17"/>
  <c r="E74" i="17"/>
  <c r="E64" i="17"/>
  <c r="E54" i="17"/>
  <c r="E44" i="17"/>
  <c r="E70" i="17"/>
  <c r="E60" i="17"/>
  <c r="E50" i="17"/>
  <c r="E72" i="17"/>
  <c r="E46" i="17"/>
  <c r="E62" i="17"/>
  <c r="E56" i="17"/>
  <c r="E66" i="17"/>
  <c r="E52" i="17"/>
  <c r="M69" i="17"/>
  <c r="M59" i="17"/>
  <c r="M49" i="17"/>
  <c r="M65" i="17"/>
  <c r="M55" i="17"/>
  <c r="M45" i="17"/>
  <c r="M71" i="17"/>
  <c r="M61" i="17"/>
  <c r="M51" i="17"/>
  <c r="M67" i="17"/>
  <c r="M57" i="17"/>
  <c r="M47" i="17"/>
  <c r="M74" i="17"/>
  <c r="M64" i="17"/>
  <c r="M54" i="17"/>
  <c r="M44" i="17"/>
  <c r="M70" i="17"/>
  <c r="M60" i="17"/>
  <c r="M50" i="17"/>
  <c r="M72" i="17"/>
  <c r="M56" i="17"/>
  <c r="M52" i="17"/>
  <c r="M66" i="17"/>
  <c r="M46" i="17"/>
  <c r="M62" i="17"/>
  <c r="U69" i="17"/>
  <c r="U59" i="17"/>
  <c r="U49" i="17"/>
  <c r="U65" i="17"/>
  <c r="U55" i="17"/>
  <c r="U45" i="17"/>
  <c r="U71" i="17"/>
  <c r="U61" i="17"/>
  <c r="U51" i="17"/>
  <c r="U67" i="17"/>
  <c r="U57" i="17"/>
  <c r="U47" i="17"/>
  <c r="U74" i="17"/>
  <c r="U64" i="17"/>
  <c r="U54" i="17"/>
  <c r="U44" i="17"/>
  <c r="U70" i="17"/>
  <c r="U60" i="17"/>
  <c r="U50" i="17"/>
  <c r="U72" i="17"/>
  <c r="U52" i="17"/>
  <c r="U46" i="17"/>
  <c r="U66" i="17"/>
  <c r="U62" i="17"/>
  <c r="U56" i="17"/>
  <c r="C112" i="15"/>
  <c r="Z91" i="17"/>
  <c r="Z92" i="17"/>
  <c r="Z90" i="17"/>
  <c r="Z86" i="17"/>
  <c r="Z87" i="17"/>
  <c r="Z85" i="17"/>
  <c r="Z83" i="17"/>
  <c r="Z84" i="17"/>
  <c r="Z82" i="17"/>
  <c r="X92" i="17"/>
  <c r="X91" i="17"/>
  <c r="X90" i="17"/>
  <c r="X85" i="17"/>
  <c r="X86" i="17"/>
  <c r="X84" i="17"/>
  <c r="X87" i="17"/>
  <c r="X83" i="17"/>
  <c r="X82" i="17"/>
  <c r="N65" i="17"/>
  <c r="N55" i="17"/>
  <c r="N45" i="17"/>
  <c r="N71" i="17"/>
  <c r="N61" i="17"/>
  <c r="N51" i="17"/>
  <c r="N67" i="17"/>
  <c r="N57" i="17"/>
  <c r="N47" i="17"/>
  <c r="N74" i="17"/>
  <c r="N64" i="17"/>
  <c r="N54" i="17"/>
  <c r="N44" i="17"/>
  <c r="N70" i="17"/>
  <c r="N60" i="17"/>
  <c r="N50" i="17"/>
  <c r="N66" i="17"/>
  <c r="N56" i="17"/>
  <c r="N46" i="17"/>
  <c r="N69" i="17"/>
  <c r="N72" i="17"/>
  <c r="N49" i="17"/>
  <c r="N59" i="17"/>
  <c r="N52" i="17"/>
  <c r="N62" i="17"/>
  <c r="K66" i="17"/>
  <c r="K56" i="17"/>
  <c r="K46" i="17"/>
  <c r="K72" i="17"/>
  <c r="K62" i="17"/>
  <c r="K52" i="17"/>
  <c r="K69" i="17"/>
  <c r="K59" i="17"/>
  <c r="K49" i="17"/>
  <c r="K65" i="17"/>
  <c r="K55" i="17"/>
  <c r="K45" i="17"/>
  <c r="K71" i="17"/>
  <c r="K61" i="17"/>
  <c r="K51" i="17"/>
  <c r="K67" i="17"/>
  <c r="K57" i="17"/>
  <c r="K47" i="17"/>
  <c r="K70" i="17"/>
  <c r="K64" i="17"/>
  <c r="K74" i="17"/>
  <c r="K50" i="17"/>
  <c r="K44" i="17"/>
  <c r="K60" i="17"/>
  <c r="K54" i="17"/>
  <c r="J91" i="17"/>
  <c r="J90" i="17"/>
  <c r="J92" i="17"/>
  <c r="J83" i="17"/>
  <c r="J85" i="17"/>
  <c r="J86" i="17"/>
  <c r="J84" i="17"/>
  <c r="J87" i="17"/>
  <c r="J82" i="17"/>
  <c r="G71" i="17"/>
  <c r="G61" i="17"/>
  <c r="G51" i="17"/>
  <c r="G67" i="17"/>
  <c r="G57" i="17"/>
  <c r="G47" i="17"/>
  <c r="G74" i="17"/>
  <c r="G64" i="17"/>
  <c r="G54" i="17"/>
  <c r="G44" i="17"/>
  <c r="G70" i="17"/>
  <c r="G60" i="17"/>
  <c r="G50" i="17"/>
  <c r="G66" i="17"/>
  <c r="G56" i="17"/>
  <c r="G46" i="17"/>
  <c r="G72" i="17"/>
  <c r="G62" i="17"/>
  <c r="G52" i="17"/>
  <c r="G69" i="17"/>
  <c r="G55" i="17"/>
  <c r="G49" i="17"/>
  <c r="G65" i="17"/>
  <c r="G59" i="17"/>
  <c r="G45" i="17"/>
  <c r="O71" i="17"/>
  <c r="O61" i="17"/>
  <c r="O51" i="17"/>
  <c r="O67" i="17"/>
  <c r="O57" i="17"/>
  <c r="O47" i="17"/>
  <c r="O74" i="17"/>
  <c r="O64" i="17"/>
  <c r="O54" i="17"/>
  <c r="O44" i="17"/>
  <c r="O70" i="17"/>
  <c r="O60" i="17"/>
  <c r="O50" i="17"/>
  <c r="O66" i="17"/>
  <c r="O56" i="17"/>
  <c r="O46" i="17"/>
  <c r="O72" i="17"/>
  <c r="O62" i="17"/>
  <c r="O52" i="17"/>
  <c r="O49" i="17"/>
  <c r="O65" i="17"/>
  <c r="O59" i="17"/>
  <c r="O45" i="17"/>
  <c r="O69" i="17"/>
  <c r="O55" i="17"/>
  <c r="W71" i="17"/>
  <c r="W61" i="17"/>
  <c r="W51" i="17"/>
  <c r="W67" i="17"/>
  <c r="W57" i="17"/>
  <c r="W47" i="17"/>
  <c r="W74" i="17"/>
  <c r="W64" i="17"/>
  <c r="W54" i="17"/>
  <c r="W44" i="17"/>
  <c r="W70" i="17"/>
  <c r="W60" i="17"/>
  <c r="W50" i="17"/>
  <c r="W66" i="17"/>
  <c r="W56" i="17"/>
  <c r="W46" i="17"/>
  <c r="W72" i="17"/>
  <c r="W62" i="17"/>
  <c r="W52" i="17"/>
  <c r="W59" i="17"/>
  <c r="W45" i="17"/>
  <c r="W55" i="17"/>
  <c r="W69" i="17"/>
  <c r="W49" i="17"/>
  <c r="W65" i="17"/>
  <c r="S66" i="17"/>
  <c r="S56" i="17"/>
  <c r="S46" i="17"/>
  <c r="S72" i="17"/>
  <c r="S62" i="17"/>
  <c r="S52" i="17"/>
  <c r="S69" i="17"/>
  <c r="S59" i="17"/>
  <c r="S49" i="17"/>
  <c r="S65" i="17"/>
  <c r="S55" i="17"/>
  <c r="S45" i="17"/>
  <c r="S71" i="17"/>
  <c r="S61" i="17"/>
  <c r="S51" i="17"/>
  <c r="S67" i="17"/>
  <c r="S57" i="17"/>
  <c r="S47" i="17"/>
  <c r="S70" i="17"/>
  <c r="S74" i="17"/>
  <c r="S50" i="17"/>
  <c r="S44" i="17"/>
  <c r="S60" i="17"/>
  <c r="S54" i="17"/>
  <c r="S64" i="17"/>
  <c r="M91" i="17"/>
  <c r="M90" i="17"/>
  <c r="M92" i="17"/>
  <c r="M85" i="17"/>
  <c r="M87" i="17"/>
  <c r="M83" i="17"/>
  <c r="M82" i="17"/>
  <c r="M84" i="17"/>
  <c r="M86" i="17"/>
  <c r="P92" i="15"/>
  <c r="P112" i="15"/>
  <c r="F65" i="17"/>
  <c r="F55" i="17"/>
  <c r="F45" i="17"/>
  <c r="F71" i="17"/>
  <c r="F61" i="17"/>
  <c r="F51" i="17"/>
  <c r="F67" i="17"/>
  <c r="F57" i="17"/>
  <c r="F47" i="17"/>
  <c r="F74" i="17"/>
  <c r="F64" i="17"/>
  <c r="F54" i="17"/>
  <c r="F44" i="17"/>
  <c r="F70" i="17"/>
  <c r="F60" i="17"/>
  <c r="F50" i="17"/>
  <c r="F66" i="17"/>
  <c r="F56" i="17"/>
  <c r="F46" i="17"/>
  <c r="F69" i="17"/>
  <c r="F62" i="17"/>
  <c r="F72" i="17"/>
  <c r="F49" i="17"/>
  <c r="F59" i="17"/>
  <c r="F52" i="17"/>
  <c r="P90" i="17"/>
  <c r="P92" i="17"/>
  <c r="P91" i="17"/>
  <c r="P86" i="17"/>
  <c r="P84" i="17"/>
  <c r="P82" i="17"/>
  <c r="P85" i="17"/>
  <c r="P87" i="17"/>
  <c r="P83" i="17"/>
  <c r="E91" i="17"/>
  <c r="E90" i="17"/>
  <c r="E92" i="17"/>
  <c r="E85" i="17"/>
  <c r="E86" i="17"/>
  <c r="E83" i="17"/>
  <c r="E82" i="17"/>
  <c r="E87" i="17"/>
  <c r="E84" i="17"/>
  <c r="N91" i="17"/>
  <c r="N90" i="17"/>
  <c r="N92" i="17"/>
  <c r="N85" i="17"/>
  <c r="N87" i="17"/>
  <c r="N84" i="17"/>
  <c r="N82" i="17"/>
  <c r="N86" i="17"/>
  <c r="N83" i="17"/>
  <c r="V65" i="17"/>
  <c r="V55" i="17"/>
  <c r="V45" i="17"/>
  <c r="V71" i="17"/>
  <c r="V61" i="17"/>
  <c r="V51" i="17"/>
  <c r="V67" i="17"/>
  <c r="V57" i="17"/>
  <c r="V47" i="17"/>
  <c r="V74" i="17"/>
  <c r="V64" i="17"/>
  <c r="V54" i="17"/>
  <c r="V44" i="17"/>
  <c r="V70" i="17"/>
  <c r="V60" i="17"/>
  <c r="V50" i="17"/>
  <c r="V66" i="17"/>
  <c r="V56" i="17"/>
  <c r="V46" i="17"/>
  <c r="V69" i="17"/>
  <c r="V72" i="17"/>
  <c r="V59" i="17"/>
  <c r="V52" i="17"/>
  <c r="V62" i="17"/>
  <c r="V49" i="17"/>
  <c r="H67" i="17"/>
  <c r="H57" i="17"/>
  <c r="H47" i="17"/>
  <c r="H74" i="17"/>
  <c r="H64" i="17"/>
  <c r="H54" i="17"/>
  <c r="H44" i="17"/>
  <c r="H70" i="17"/>
  <c r="H60" i="17"/>
  <c r="H50" i="17"/>
  <c r="H66" i="17"/>
  <c r="H56" i="17"/>
  <c r="H46" i="17"/>
  <c r="H72" i="17"/>
  <c r="H62" i="17"/>
  <c r="H52" i="17"/>
  <c r="H69" i="17"/>
  <c r="H59" i="17"/>
  <c r="H49" i="17"/>
  <c r="H71" i="17"/>
  <c r="H55" i="17"/>
  <c r="H65" i="17"/>
  <c r="H51" i="17"/>
  <c r="H45" i="17"/>
  <c r="H61" i="17"/>
  <c r="P67" i="17"/>
  <c r="P57" i="17"/>
  <c r="P47" i="17"/>
  <c r="P74" i="17"/>
  <c r="P64" i="17"/>
  <c r="P54" i="17"/>
  <c r="P44" i="17"/>
  <c r="P70" i="17"/>
  <c r="P60" i="17"/>
  <c r="P50" i="17"/>
  <c r="P66" i="17"/>
  <c r="P56" i="17"/>
  <c r="P46" i="17"/>
  <c r="P72" i="17"/>
  <c r="P62" i="17"/>
  <c r="P52" i="17"/>
  <c r="P69" i="17"/>
  <c r="P59" i="17"/>
  <c r="P49" i="17"/>
  <c r="P71" i="17"/>
  <c r="P65" i="17"/>
  <c r="P51" i="17"/>
  <c r="P45" i="17"/>
  <c r="P61" i="17"/>
  <c r="P55" i="17"/>
  <c r="X67" i="17"/>
  <c r="X57" i="17"/>
  <c r="X47" i="17"/>
  <c r="X74" i="17"/>
  <c r="X64" i="17"/>
  <c r="X54" i="17"/>
  <c r="X44" i="17"/>
  <c r="X70" i="17"/>
  <c r="X60" i="17"/>
  <c r="X50" i="17"/>
  <c r="X66" i="17"/>
  <c r="X56" i="17"/>
  <c r="X46" i="17"/>
  <c r="X72" i="17"/>
  <c r="X62" i="17"/>
  <c r="X52" i="17"/>
  <c r="X69" i="17"/>
  <c r="X59" i="17"/>
  <c r="X49" i="17"/>
  <c r="X71" i="17"/>
  <c r="X51" i="17"/>
  <c r="X45" i="17"/>
  <c r="X61" i="17"/>
  <c r="X55" i="17"/>
  <c r="X65" i="17"/>
  <c r="C74" i="17"/>
  <c r="Y91" i="17"/>
  <c r="Y92" i="17"/>
  <c r="Y90" i="17"/>
  <c r="Y87" i="17"/>
  <c r="Y84" i="17"/>
  <c r="Y83" i="17"/>
  <c r="Y86" i="17"/>
  <c r="Y82" i="17"/>
  <c r="Y85" i="17"/>
  <c r="I91" i="17"/>
  <c r="I92" i="17"/>
  <c r="I90" i="17"/>
  <c r="I82" i="17"/>
  <c r="I86" i="17"/>
  <c r="I87" i="17"/>
  <c r="I84" i="17"/>
  <c r="I83" i="17"/>
  <c r="I85" i="17"/>
  <c r="G90" i="17"/>
  <c r="G91" i="17"/>
  <c r="G92" i="17"/>
  <c r="G84" i="17"/>
  <c r="G86" i="17"/>
  <c r="G82" i="17"/>
  <c r="G87" i="17"/>
  <c r="G83" i="17"/>
  <c r="G85" i="17"/>
  <c r="I74" i="17"/>
  <c r="I64" i="17"/>
  <c r="I54" i="17"/>
  <c r="I44" i="17"/>
  <c r="I70" i="17"/>
  <c r="I60" i="17"/>
  <c r="I50" i="17"/>
  <c r="I66" i="17"/>
  <c r="I56" i="17"/>
  <c r="I46" i="17"/>
  <c r="I72" i="17"/>
  <c r="I62" i="17"/>
  <c r="I52" i="17"/>
  <c r="I69" i="17"/>
  <c r="I59" i="17"/>
  <c r="I49" i="17"/>
  <c r="I65" i="17"/>
  <c r="I55" i="17"/>
  <c r="I45" i="17"/>
  <c r="I67" i="17"/>
  <c r="I71" i="17"/>
  <c r="I47" i="17"/>
  <c r="I57" i="17"/>
  <c r="I51" i="17"/>
  <c r="I61" i="17"/>
  <c r="Q74" i="17"/>
  <c r="Q64" i="17"/>
  <c r="Q54" i="17"/>
  <c r="Q44" i="17"/>
  <c r="Q70" i="17"/>
  <c r="Q60" i="17"/>
  <c r="Q50" i="17"/>
  <c r="Q66" i="17"/>
  <c r="Q56" i="17"/>
  <c r="Q46" i="17"/>
  <c r="Q72" i="17"/>
  <c r="Q62" i="17"/>
  <c r="Q52" i="17"/>
  <c r="Q69" i="17"/>
  <c r="Q59" i="17"/>
  <c r="Q49" i="17"/>
  <c r="Q65" i="17"/>
  <c r="Q55" i="17"/>
  <c r="Q45" i="17"/>
  <c r="Q67" i="17"/>
  <c r="Q71" i="17"/>
  <c r="Q57" i="17"/>
  <c r="Q51" i="17"/>
  <c r="Q61" i="17"/>
  <c r="Q47" i="17"/>
  <c r="Y74" i="17"/>
  <c r="Y64" i="17"/>
  <c r="Y54" i="17"/>
  <c r="Y44" i="17"/>
  <c r="Y70" i="17"/>
  <c r="Y60" i="17"/>
  <c r="Y50" i="17"/>
  <c r="Y66" i="17"/>
  <c r="Y56" i="17"/>
  <c r="Y46" i="17"/>
  <c r="Y72" i="17"/>
  <c r="Y62" i="17"/>
  <c r="Y52" i="17"/>
  <c r="Y69" i="17"/>
  <c r="Y59" i="17"/>
  <c r="Y49" i="17"/>
  <c r="Y65" i="17"/>
  <c r="Y55" i="17"/>
  <c r="Y45" i="17"/>
  <c r="Y67" i="17"/>
  <c r="Y51" i="17"/>
  <c r="Y61" i="17"/>
  <c r="Y47" i="17"/>
  <c r="Y71" i="17"/>
  <c r="Y57" i="17"/>
  <c r="C91" i="17"/>
  <c r="N6" i="37"/>
  <c r="M5" i="37" s="1"/>
  <c r="M4" i="37" s="1"/>
  <c r="C2" i="23"/>
  <c r="BO68" i="17"/>
  <c r="BO48" i="17"/>
  <c r="A14" i="45"/>
  <c r="C16" i="45" s="1"/>
  <c r="D117" i="15" s="1"/>
  <c r="S6" i="26"/>
  <c r="BO58" i="17"/>
  <c r="BO53" i="17"/>
  <c r="D91" i="17"/>
  <c r="D92" i="17"/>
  <c r="D90" i="17"/>
  <c r="D86" i="17"/>
  <c r="D87" i="17"/>
  <c r="D83" i="17"/>
  <c r="D82" i="17"/>
  <c r="D84" i="17"/>
  <c r="D85" i="17"/>
  <c r="BO63" i="17"/>
  <c r="C89" i="16"/>
  <c r="BM63" i="16"/>
  <c r="V16" i="30"/>
  <c r="Q2" i="36"/>
  <c r="AA3" i="36"/>
  <c r="P3" i="36"/>
  <c r="AU39" i="36" s="1"/>
  <c r="X4" i="36"/>
  <c r="R3" i="36"/>
  <c r="S6" i="16" s="1"/>
  <c r="X3" i="36"/>
  <c r="W4" i="36"/>
  <c r="W2" i="36"/>
  <c r="W3" i="36"/>
  <c r="AA4" i="36"/>
  <c r="M4" i="36"/>
  <c r="AA2" i="36"/>
  <c r="O4" i="36"/>
  <c r="R2" i="36"/>
  <c r="Z2" i="36"/>
  <c r="Y3" i="36"/>
  <c r="Y2" i="36"/>
  <c r="Y4" i="36"/>
  <c r="X2" i="36"/>
  <c r="Z3" i="36"/>
  <c r="Z4" i="36"/>
  <c r="N3" i="36"/>
  <c r="AS39" i="36" s="1"/>
  <c r="Q3" i="36"/>
  <c r="R6" i="16" s="1"/>
  <c r="M2" i="36"/>
  <c r="O3" i="36"/>
  <c r="P4" i="36"/>
  <c r="O2" i="36"/>
  <c r="P2" i="36"/>
  <c r="R4" i="36"/>
  <c r="N4" i="36"/>
  <c r="Q4" i="36"/>
  <c r="AB2" i="36"/>
  <c r="AB3" i="36"/>
  <c r="AB4" i="36"/>
  <c r="N2" i="36"/>
  <c r="M3" i="36"/>
  <c r="AR39" i="36" s="1"/>
  <c r="C64" i="16"/>
  <c r="BM91" i="16"/>
  <c r="C92" i="15"/>
  <c r="M92" i="15"/>
  <c r="M112" i="15"/>
  <c r="C115" i="17"/>
  <c r="C52" i="17"/>
  <c r="C62" i="17"/>
  <c r="C72" i="17"/>
  <c r="C51" i="17"/>
  <c r="C61" i="17"/>
  <c r="C71" i="17"/>
  <c r="C50" i="17"/>
  <c r="C60" i="17"/>
  <c r="C70" i="17"/>
  <c r="C49" i="17"/>
  <c r="C59" i="17"/>
  <c r="C69" i="17"/>
  <c r="C47" i="17"/>
  <c r="C57" i="17"/>
  <c r="C67" i="17"/>
  <c r="C46" i="17"/>
  <c r="C56" i="17"/>
  <c r="C66" i="17"/>
  <c r="D99" i="17"/>
  <c r="C45" i="17"/>
  <c r="C55" i="17"/>
  <c r="C65" i="17"/>
  <c r="C44" i="17"/>
  <c r="C54" i="17"/>
  <c r="C26" i="15"/>
  <c r="C33" i="15" s="1"/>
  <c r="C59" i="15" s="1"/>
  <c r="C85" i="15" s="1"/>
  <c r="F148" i="17"/>
  <c r="BM62" i="16"/>
  <c r="BM88" i="16" s="1"/>
  <c r="C62" i="16"/>
  <c r="C88" i="16" s="1"/>
  <c r="BM90" i="16"/>
  <c r="K112" i="15"/>
  <c r="BM92" i="16"/>
  <c r="BM65" i="16"/>
  <c r="T92" i="15"/>
  <c r="C90" i="16"/>
  <c r="BM66" i="16"/>
  <c r="BM64" i="16"/>
  <c r="W92" i="15"/>
  <c r="E92" i="15"/>
  <c r="H92" i="15"/>
  <c r="E112" i="15"/>
  <c r="H11" i="15"/>
  <c r="BO9" i="17"/>
  <c r="E18" i="22"/>
  <c r="E84" i="22"/>
  <c r="E98" i="22"/>
  <c r="E90" i="22"/>
  <c r="E82" i="22"/>
  <c r="E74" i="22"/>
  <c r="E66" i="22"/>
  <c r="E58" i="22"/>
  <c r="BO14" i="17"/>
  <c r="C14" i="17"/>
  <c r="E45" i="22"/>
  <c r="C29" i="17"/>
  <c r="BO4" i="17"/>
  <c r="BO24" i="17"/>
  <c r="BO19" i="17"/>
  <c r="C4" i="17"/>
  <c r="E43" i="22"/>
  <c r="E23" i="22"/>
  <c r="E56" i="22"/>
  <c r="E49" i="22"/>
  <c r="E41" i="22"/>
  <c r="BO29" i="17"/>
  <c r="BO43" i="17"/>
  <c r="C19" i="17"/>
  <c r="C24" i="17"/>
  <c r="E28" i="22"/>
  <c r="R10" i="22"/>
  <c r="E101" i="22"/>
  <c r="E69" i="22"/>
  <c r="E37" i="22"/>
  <c r="E29" i="22"/>
  <c r="Q31" i="22"/>
  <c r="E5" i="22"/>
  <c r="Q10" i="22"/>
  <c r="E17" i="22"/>
  <c r="E12" i="22"/>
  <c r="E20" i="22"/>
  <c r="E8" i="22"/>
  <c r="E36" i="22"/>
  <c r="E68" i="22"/>
  <c r="E97" i="22"/>
  <c r="E42" i="22"/>
  <c r="E7" i="22"/>
  <c r="E25" i="22"/>
  <c r="E3" i="22"/>
  <c r="E40" i="22"/>
  <c r="E44" i="22"/>
  <c r="E76" i="22"/>
  <c r="E81" i="22"/>
  <c r="E26" i="22"/>
  <c r="E73" i="22"/>
  <c r="E15" i="22"/>
  <c r="E33" i="22"/>
  <c r="E11" i="22"/>
  <c r="E60" i="22"/>
  <c r="E100" i="22"/>
  <c r="E13" i="22"/>
  <c r="E10" i="22"/>
  <c r="E99" i="22"/>
  <c r="E91" i="22"/>
  <c r="E75" i="22"/>
  <c r="E67" i="22"/>
  <c r="E59" i="22"/>
  <c r="E31" i="22"/>
  <c r="E14" i="22"/>
  <c r="E16" i="22"/>
  <c r="E61" i="22"/>
  <c r="E65" i="22"/>
  <c r="E92" i="22"/>
  <c r="E34" i="22"/>
  <c r="E39" i="22"/>
  <c r="E32" i="22"/>
  <c r="E21" i="22"/>
  <c r="E77" i="22"/>
  <c r="E85" i="22"/>
  <c r="E89" i="22"/>
  <c r="E50" i="22"/>
  <c r="E88" i="22"/>
  <c r="E80" i="22"/>
  <c r="E72" i="22"/>
  <c r="E64" i="22"/>
  <c r="E55" i="22"/>
  <c r="E47" i="22"/>
  <c r="E19" i="22"/>
  <c r="E48" i="22"/>
  <c r="E93" i="22"/>
  <c r="E51" i="22"/>
  <c r="E52" i="22"/>
  <c r="E4" i="22"/>
  <c r="E95" i="22"/>
  <c r="E87" i="22"/>
  <c r="E79" i="22"/>
  <c r="E71" i="22"/>
  <c r="E63" i="22"/>
  <c r="E54" i="22"/>
  <c r="E9" i="22"/>
  <c r="E83" i="22"/>
  <c r="E96" i="22"/>
  <c r="E27" i="22"/>
  <c r="E35" i="22"/>
  <c r="E24" i="22"/>
  <c r="E57" i="22"/>
  <c r="E94" i="22"/>
  <c r="E86" i="22"/>
  <c r="E78" i="22"/>
  <c r="E70" i="22"/>
  <c r="E62" i="22"/>
  <c r="E53" i="22"/>
  <c r="E46" i="22"/>
  <c r="E38" i="22"/>
  <c r="E30" i="22"/>
  <c r="E22" i="22"/>
  <c r="E6" i="22"/>
  <c r="P4" i="22"/>
  <c r="P6" i="22" s="1"/>
  <c r="O11" i="22" s="1"/>
  <c r="P11" i="22" s="1"/>
  <c r="O30" i="22"/>
  <c r="P30" i="22" s="1"/>
  <c r="C9" i="17"/>
  <c r="AI234" i="36" l="1"/>
  <c r="AI363" i="36"/>
  <c r="AI355" i="36"/>
  <c r="AI347" i="36"/>
  <c r="AI339" i="36"/>
  <c r="AI331" i="36"/>
  <c r="AI323" i="36"/>
  <c r="AI315" i="36"/>
  <c r="AI307" i="36"/>
  <c r="AI368" i="36"/>
  <c r="AI360" i="36"/>
  <c r="AI352" i="36"/>
  <c r="AI344" i="36"/>
  <c r="AI336" i="36"/>
  <c r="AI328" i="36"/>
  <c r="AI320" i="36"/>
  <c r="AI312" i="36"/>
  <c r="AI365" i="36"/>
  <c r="AI357" i="36"/>
  <c r="AI349" i="36"/>
  <c r="AI341" i="36"/>
  <c r="AI333" i="36"/>
  <c r="AI325" i="36"/>
  <c r="AI317" i="36"/>
  <c r="AI309" i="36"/>
  <c r="AI362" i="36"/>
  <c r="AI354" i="36"/>
  <c r="AI346" i="36"/>
  <c r="AI338" i="36"/>
  <c r="AI330" i="36"/>
  <c r="AI322" i="36"/>
  <c r="AI314" i="36"/>
  <c r="AI306" i="36"/>
  <c r="AI367" i="36"/>
  <c r="AI359" i="36"/>
  <c r="AI351" i="36"/>
  <c r="AI343" i="36"/>
  <c r="AI319" i="36"/>
  <c r="AI366" i="36"/>
  <c r="AI358" i="36"/>
  <c r="AI350" i="36"/>
  <c r="AI342" i="36"/>
  <c r="AI334" i="36"/>
  <c r="AI326" i="36"/>
  <c r="AI318" i="36"/>
  <c r="AI310" i="36"/>
  <c r="AI335" i="36"/>
  <c r="AI321" i="36"/>
  <c r="AI340" i="36"/>
  <c r="AI353" i="36"/>
  <c r="AI316" i="36"/>
  <c r="AI327" i="36"/>
  <c r="AI308" i="36"/>
  <c r="AI348" i="36"/>
  <c r="AI364" i="36"/>
  <c r="AI356" i="36"/>
  <c r="AI337" i="36"/>
  <c r="AI311" i="36"/>
  <c r="AI313" i="36"/>
  <c r="AI329" i="36"/>
  <c r="AI332" i="36"/>
  <c r="AI369" i="36"/>
  <c r="AI361" i="36"/>
  <c r="AI305" i="36"/>
  <c r="AI324" i="36"/>
  <c r="AI345" i="36"/>
  <c r="AK365" i="36"/>
  <c r="AK357" i="36"/>
  <c r="AK349" i="36"/>
  <c r="AK341" i="36"/>
  <c r="AK333" i="36"/>
  <c r="AK325" i="36"/>
  <c r="AK317" i="36"/>
  <c r="AK309" i="36"/>
  <c r="AK362" i="36"/>
  <c r="AK354" i="36"/>
  <c r="AK346" i="36"/>
  <c r="AK338" i="36"/>
  <c r="AK330" i="36"/>
  <c r="AK322" i="36"/>
  <c r="AK314" i="36"/>
  <c r="AK367" i="36"/>
  <c r="AK359" i="36"/>
  <c r="AK351" i="36"/>
  <c r="AK343" i="36"/>
  <c r="AK335" i="36"/>
  <c r="AK327" i="36"/>
  <c r="AK319" i="36"/>
  <c r="AK311" i="36"/>
  <c r="AK364" i="36"/>
  <c r="AK356" i="36"/>
  <c r="AK348" i="36"/>
  <c r="AK340" i="36"/>
  <c r="AK332" i="36"/>
  <c r="AK324" i="36"/>
  <c r="AK316" i="36"/>
  <c r="AK308" i="36"/>
  <c r="AK369" i="36"/>
  <c r="AK361" i="36"/>
  <c r="AK353" i="36"/>
  <c r="AK345" i="36"/>
  <c r="AK368" i="36"/>
  <c r="AK360" i="36"/>
  <c r="AK352" i="36"/>
  <c r="AK312" i="36"/>
  <c r="AK344" i="36"/>
  <c r="AK336" i="36"/>
  <c r="AK328" i="36"/>
  <c r="AK320" i="36"/>
  <c r="AK342" i="36"/>
  <c r="AK334" i="36"/>
  <c r="AK331" i="36"/>
  <c r="AK305" i="36"/>
  <c r="AK306" i="36"/>
  <c r="AK337" i="36"/>
  <c r="AK350" i="36"/>
  <c r="AK358" i="36"/>
  <c r="AK313" i="36"/>
  <c r="AK323" i="36"/>
  <c r="AK307" i="36"/>
  <c r="AK355" i="36"/>
  <c r="AK318" i="36"/>
  <c r="AK310" i="36"/>
  <c r="AK366" i="36"/>
  <c r="AK339" i="36"/>
  <c r="AK347" i="36"/>
  <c r="AK326" i="36"/>
  <c r="AK363" i="36"/>
  <c r="AK329" i="36"/>
  <c r="AK315" i="36"/>
  <c r="AK321" i="36"/>
  <c r="AG217" i="36"/>
  <c r="AG369" i="36"/>
  <c r="AG361" i="36"/>
  <c r="AG353" i="36"/>
  <c r="AG345" i="36"/>
  <c r="AG337" i="36"/>
  <c r="AG329" i="36"/>
  <c r="AG321" i="36"/>
  <c r="AG313" i="36"/>
  <c r="AG305" i="36"/>
  <c r="AG366" i="36"/>
  <c r="AG358" i="36"/>
  <c r="AG350" i="36"/>
  <c r="AG342" i="36"/>
  <c r="AG334" i="36"/>
  <c r="AG326" i="36"/>
  <c r="AG318" i="36"/>
  <c r="AG310" i="36"/>
  <c r="AG363" i="36"/>
  <c r="AG355" i="36"/>
  <c r="AG347" i="36"/>
  <c r="AG339" i="36"/>
  <c r="AG331" i="36"/>
  <c r="AG323" i="36"/>
  <c r="AG315" i="36"/>
  <c r="AG307" i="36"/>
  <c r="AG368" i="36"/>
  <c r="AG360" i="36"/>
  <c r="AG352" i="36"/>
  <c r="AG344" i="36"/>
  <c r="AG336" i="36"/>
  <c r="AG328" i="36"/>
  <c r="AG320" i="36"/>
  <c r="AG312" i="36"/>
  <c r="AG365" i="36"/>
  <c r="AG357" i="36"/>
  <c r="AG349" i="36"/>
  <c r="AG341" i="36"/>
  <c r="AG364" i="36"/>
  <c r="AG348" i="36"/>
  <c r="AG340" i="36"/>
  <c r="AG332" i="36"/>
  <c r="AG324" i="36"/>
  <c r="AG356" i="36"/>
  <c r="AG316" i="36"/>
  <c r="AG308" i="36"/>
  <c r="AG311" i="36"/>
  <c r="AG327" i="36"/>
  <c r="AG330" i="36"/>
  <c r="AG325" i="36"/>
  <c r="AG359" i="36"/>
  <c r="AG306" i="36"/>
  <c r="AG322" i="36"/>
  <c r="AG354" i="36"/>
  <c r="AG362" i="36"/>
  <c r="AG338" i="36"/>
  <c r="AG335" i="36"/>
  <c r="AG351" i="36"/>
  <c r="AG343" i="36"/>
  <c r="AG309" i="36"/>
  <c r="AG367" i="36"/>
  <c r="AG319" i="36"/>
  <c r="AG317" i="36"/>
  <c r="AG333" i="36"/>
  <c r="AG314" i="36"/>
  <c r="AG346" i="36"/>
  <c r="AL248" i="36"/>
  <c r="AL362" i="36"/>
  <c r="AL354" i="36"/>
  <c r="AL346" i="36"/>
  <c r="AL338" i="36"/>
  <c r="AL330" i="36"/>
  <c r="AL322" i="36"/>
  <c r="AL314" i="36"/>
  <c r="AL306" i="36"/>
  <c r="AL367" i="36"/>
  <c r="AL359" i="36"/>
  <c r="AL351" i="36"/>
  <c r="AL343" i="36"/>
  <c r="AL335" i="36"/>
  <c r="AL327" i="36"/>
  <c r="AL319" i="36"/>
  <c r="AL311" i="36"/>
  <c r="AL364" i="36"/>
  <c r="AL356" i="36"/>
  <c r="AL348" i="36"/>
  <c r="AL340" i="36"/>
  <c r="AL332" i="36"/>
  <c r="AL324" i="36"/>
  <c r="AL316" i="36"/>
  <c r="AL308" i="36"/>
  <c r="AL369" i="36"/>
  <c r="AL361" i="36"/>
  <c r="AL353" i="36"/>
  <c r="AL345" i="36"/>
  <c r="AL337" i="36"/>
  <c r="AL329" i="36"/>
  <c r="AL321" i="36"/>
  <c r="AL313" i="36"/>
  <c r="AL305" i="36"/>
  <c r="AL366" i="36"/>
  <c r="AL358" i="36"/>
  <c r="AL350" i="36"/>
  <c r="AL342" i="36"/>
  <c r="AL318" i="36"/>
  <c r="AL365" i="36"/>
  <c r="AL357" i="36"/>
  <c r="AL349" i="36"/>
  <c r="AL309" i="36"/>
  <c r="AL341" i="36"/>
  <c r="AL333" i="36"/>
  <c r="AL325" i="36"/>
  <c r="AL317" i="36"/>
  <c r="AL360" i="36"/>
  <c r="AL347" i="36"/>
  <c r="AL336" i="36"/>
  <c r="AL312" i="36"/>
  <c r="AL328" i="36"/>
  <c r="AL331" i="36"/>
  <c r="AL363" i="36"/>
  <c r="AL310" i="36"/>
  <c r="AL352" i="36"/>
  <c r="AL315" i="36"/>
  <c r="AL368" i="36"/>
  <c r="AL355" i="36"/>
  <c r="AL320" i="36"/>
  <c r="AL339" i="36"/>
  <c r="AL307" i="36"/>
  <c r="AL323" i="36"/>
  <c r="AL334" i="36"/>
  <c r="AL344" i="36"/>
  <c r="AL326" i="36"/>
  <c r="AJ66" i="36"/>
  <c r="AJ368" i="36"/>
  <c r="AJ360" i="36"/>
  <c r="AJ352" i="36"/>
  <c r="AJ344" i="36"/>
  <c r="AJ336" i="36"/>
  <c r="AJ328" i="36"/>
  <c r="AJ320" i="36"/>
  <c r="AJ312" i="36"/>
  <c r="AJ365" i="36"/>
  <c r="AJ357" i="36"/>
  <c r="AJ349" i="36"/>
  <c r="AJ341" i="36"/>
  <c r="AJ333" i="36"/>
  <c r="AJ325" i="36"/>
  <c r="AJ317" i="36"/>
  <c r="AJ309" i="36"/>
  <c r="AJ362" i="36"/>
  <c r="AJ354" i="36"/>
  <c r="AJ346" i="36"/>
  <c r="AJ338" i="36"/>
  <c r="AJ330" i="36"/>
  <c r="AJ322" i="36"/>
  <c r="AJ314" i="36"/>
  <c r="AJ306" i="36"/>
  <c r="AJ367" i="36"/>
  <c r="AJ359" i="36"/>
  <c r="AJ351" i="36"/>
  <c r="AJ343" i="36"/>
  <c r="AJ335" i="36"/>
  <c r="AJ327" i="36"/>
  <c r="AJ319" i="36"/>
  <c r="AJ311" i="36"/>
  <c r="AJ364" i="36"/>
  <c r="AJ356" i="36"/>
  <c r="AJ348" i="36"/>
  <c r="AJ340" i="36"/>
  <c r="AJ355" i="36"/>
  <c r="AJ363" i="36"/>
  <c r="AJ347" i="36"/>
  <c r="AJ307" i="36"/>
  <c r="AJ339" i="36"/>
  <c r="AJ331" i="36"/>
  <c r="AJ323" i="36"/>
  <c r="AJ315" i="36"/>
  <c r="AJ353" i="36"/>
  <c r="AJ358" i="36"/>
  <c r="AJ324" i="36"/>
  <c r="AJ342" i="36"/>
  <c r="AJ350" i="36"/>
  <c r="AJ345" i="36"/>
  <c r="AJ361" i="36"/>
  <c r="AJ305" i="36"/>
  <c r="AJ308" i="36"/>
  <c r="AJ321" i="36"/>
  <c r="AJ334" i="36"/>
  <c r="AJ329" i="36"/>
  <c r="AJ369" i="36"/>
  <c r="AJ366" i="36"/>
  <c r="AJ318" i="36"/>
  <c r="AJ316" i="36"/>
  <c r="AJ337" i="36"/>
  <c r="AJ313" i="36"/>
  <c r="AJ310" i="36"/>
  <c r="AJ326" i="36"/>
  <c r="AJ332" i="36"/>
  <c r="AH192" i="36"/>
  <c r="AH366" i="36"/>
  <c r="AH358" i="36"/>
  <c r="AH350" i="36"/>
  <c r="AH342" i="36"/>
  <c r="AH334" i="36"/>
  <c r="AH326" i="36"/>
  <c r="AH318" i="36"/>
  <c r="AH310" i="36"/>
  <c r="AH363" i="36"/>
  <c r="AH355" i="36"/>
  <c r="AH347" i="36"/>
  <c r="AH339" i="36"/>
  <c r="AH331" i="36"/>
  <c r="AH323" i="36"/>
  <c r="AH315" i="36"/>
  <c r="AH368" i="36"/>
  <c r="AH360" i="36"/>
  <c r="AH352" i="36"/>
  <c r="AH344" i="36"/>
  <c r="AH336" i="36"/>
  <c r="AH328" i="36"/>
  <c r="AH320" i="36"/>
  <c r="AH312" i="36"/>
  <c r="AH365" i="36"/>
  <c r="AH357" i="36"/>
  <c r="AH349" i="36"/>
  <c r="AH341" i="36"/>
  <c r="AH333" i="36"/>
  <c r="AH325" i="36"/>
  <c r="AH317" i="36"/>
  <c r="AH309" i="36"/>
  <c r="AH362" i="36"/>
  <c r="AH354" i="36"/>
  <c r="AH346" i="36"/>
  <c r="AH361" i="36"/>
  <c r="AH353" i="36"/>
  <c r="AH345" i="36"/>
  <c r="AH369" i="36"/>
  <c r="AH337" i="36"/>
  <c r="AH329" i="36"/>
  <c r="AH321" i="36"/>
  <c r="AH313" i="36"/>
  <c r="AH305" i="36"/>
  <c r="AH322" i="36"/>
  <c r="AH343" i="36"/>
  <c r="AH367" i="36"/>
  <c r="AH327" i="36"/>
  <c r="AH332" i="36"/>
  <c r="AH351" i="36"/>
  <c r="AH306" i="36"/>
  <c r="AH319" i="36"/>
  <c r="AH307" i="36"/>
  <c r="AH356" i="36"/>
  <c r="AH314" i="36"/>
  <c r="AH335" i="36"/>
  <c r="AH316" i="36"/>
  <c r="AH308" i="36"/>
  <c r="AH348" i="36"/>
  <c r="AH359" i="36"/>
  <c r="AH324" i="36"/>
  <c r="AH311" i="36"/>
  <c r="AH364" i="36"/>
  <c r="AH340" i="36"/>
  <c r="AH330" i="36"/>
  <c r="AH338" i="36"/>
  <c r="M36" i="15"/>
  <c r="M44" i="15"/>
  <c r="M37" i="15"/>
  <c r="M41" i="15" s="1"/>
  <c r="M40" i="15"/>
  <c r="M34" i="15"/>
  <c r="M38" i="15" s="1"/>
  <c r="M35" i="15"/>
  <c r="M39" i="15" s="1"/>
  <c r="M43" i="15"/>
  <c r="K34" i="15"/>
  <c r="S34" i="15"/>
  <c r="AA34" i="15"/>
  <c r="AI34" i="15"/>
  <c r="AQ34" i="15"/>
  <c r="K35" i="15"/>
  <c r="K39" i="15" s="1"/>
  <c r="S35" i="15"/>
  <c r="AA35" i="15"/>
  <c r="AI35" i="15"/>
  <c r="AQ35" i="15"/>
  <c r="K36" i="15"/>
  <c r="K40" i="15" s="1"/>
  <c r="S36" i="15"/>
  <c r="AA36" i="15"/>
  <c r="AI36" i="15"/>
  <c r="AQ36" i="15"/>
  <c r="K37" i="15"/>
  <c r="K41" i="15" s="1"/>
  <c r="S37" i="15"/>
  <c r="AA37" i="15"/>
  <c r="AI37" i="15"/>
  <c r="AQ37" i="15"/>
  <c r="K38" i="15"/>
  <c r="S38" i="15"/>
  <c r="AA38" i="15"/>
  <c r="AI38" i="15"/>
  <c r="AQ38" i="15"/>
  <c r="S39" i="15"/>
  <c r="AA39" i="15"/>
  <c r="AI39" i="15"/>
  <c r="AQ39" i="15"/>
  <c r="S40" i="15"/>
  <c r="AA40" i="15"/>
  <c r="AI40" i="15"/>
  <c r="AQ40" i="15"/>
  <c r="S41" i="15"/>
  <c r="AA41" i="15"/>
  <c r="AI41" i="15"/>
  <c r="AQ41" i="15"/>
  <c r="K42" i="15"/>
  <c r="S42" i="15"/>
  <c r="AA42" i="15"/>
  <c r="AI42" i="15"/>
  <c r="AQ42" i="15"/>
  <c r="S43" i="15"/>
  <c r="AA43" i="15"/>
  <c r="AI43" i="15"/>
  <c r="AQ43" i="15"/>
  <c r="K44" i="15"/>
  <c r="S44" i="15"/>
  <c r="AA44" i="15"/>
  <c r="AI44" i="15"/>
  <c r="AQ44" i="15"/>
  <c r="S45" i="15"/>
  <c r="AA45" i="15"/>
  <c r="AI45" i="15"/>
  <c r="AQ45" i="15"/>
  <c r="K46" i="15"/>
  <c r="S46" i="15"/>
  <c r="AA46" i="15"/>
  <c r="AI46" i="15"/>
  <c r="AQ46" i="15"/>
  <c r="AK43" i="15"/>
  <c r="AK44" i="15"/>
  <c r="AK45" i="15"/>
  <c r="AK46" i="15"/>
  <c r="AV45" i="15"/>
  <c r="L34" i="15"/>
  <c r="L38" i="15" s="1"/>
  <c r="T34" i="15"/>
  <c r="AB34" i="15"/>
  <c r="AJ34" i="15"/>
  <c r="AR34" i="15"/>
  <c r="L35" i="15"/>
  <c r="T35" i="15"/>
  <c r="AB35" i="15"/>
  <c r="AJ35" i="15"/>
  <c r="AR35" i="15"/>
  <c r="L36" i="15"/>
  <c r="L40" i="15" s="1"/>
  <c r="T36" i="15"/>
  <c r="AB36" i="15"/>
  <c r="AJ36" i="15"/>
  <c r="AR36" i="15"/>
  <c r="L37" i="15"/>
  <c r="L41" i="15" s="1"/>
  <c r="T37" i="15"/>
  <c r="AB37" i="15"/>
  <c r="AJ37" i="15"/>
  <c r="AR37" i="15"/>
  <c r="T38" i="15"/>
  <c r="AB38" i="15"/>
  <c r="AJ38" i="15"/>
  <c r="AR38" i="15"/>
  <c r="L39" i="15"/>
  <c r="T39" i="15"/>
  <c r="AB39" i="15"/>
  <c r="AJ39" i="15"/>
  <c r="AR39" i="15"/>
  <c r="T40" i="15"/>
  <c r="AB40" i="15"/>
  <c r="AJ40" i="15"/>
  <c r="AR40" i="15"/>
  <c r="T41" i="15"/>
  <c r="AB41" i="15"/>
  <c r="AJ41" i="15"/>
  <c r="AR41" i="15"/>
  <c r="T42" i="15"/>
  <c r="AB42" i="15"/>
  <c r="AJ42" i="15"/>
  <c r="AR42" i="15"/>
  <c r="L43" i="15"/>
  <c r="T43" i="15"/>
  <c r="AB43" i="15"/>
  <c r="AJ43" i="15"/>
  <c r="AR43" i="15"/>
  <c r="T44" i="15"/>
  <c r="AB44" i="15"/>
  <c r="AJ44" i="15"/>
  <c r="AR44" i="15"/>
  <c r="L45" i="15"/>
  <c r="T45" i="15"/>
  <c r="AB45" i="15"/>
  <c r="AJ45" i="15"/>
  <c r="AR45" i="15"/>
  <c r="T46" i="15"/>
  <c r="AB46" i="15"/>
  <c r="AJ46" i="15"/>
  <c r="AR46" i="15"/>
  <c r="AC39" i="15"/>
  <c r="U41" i="15"/>
  <c r="AS41" i="15"/>
  <c r="AK42" i="15"/>
  <c r="AC43" i="15"/>
  <c r="U44" i="15"/>
  <c r="U45" i="15"/>
  <c r="M46" i="15"/>
  <c r="P46" i="15"/>
  <c r="U34" i="15"/>
  <c r="AC34" i="15"/>
  <c r="AK34" i="15"/>
  <c r="AS34" i="15"/>
  <c r="U35" i="15"/>
  <c r="AC35" i="15"/>
  <c r="AK35" i="15"/>
  <c r="AS35" i="15"/>
  <c r="U36" i="15"/>
  <c r="AC36" i="15"/>
  <c r="AK36" i="15"/>
  <c r="AS36" i="15"/>
  <c r="U37" i="15"/>
  <c r="AC37" i="15"/>
  <c r="AK37" i="15"/>
  <c r="AS37" i="15"/>
  <c r="U38" i="15"/>
  <c r="AC38" i="15"/>
  <c r="AK38" i="15"/>
  <c r="AS38" i="15"/>
  <c r="U39" i="15"/>
  <c r="AK39" i="15"/>
  <c r="AC40" i="15"/>
  <c r="AK40" i="15"/>
  <c r="AS40" i="15"/>
  <c r="AC41" i="15"/>
  <c r="AK41" i="15"/>
  <c r="U42" i="15"/>
  <c r="U43" i="15"/>
  <c r="AS43" i="15"/>
  <c r="AS44" i="15"/>
  <c r="AS45" i="15"/>
  <c r="AN46" i="15"/>
  <c r="N34" i="15"/>
  <c r="V34" i="15"/>
  <c r="AD34" i="15"/>
  <c r="AL34" i="15"/>
  <c r="AT34" i="15"/>
  <c r="N35" i="15"/>
  <c r="V35" i="15"/>
  <c r="AD35" i="15"/>
  <c r="AL35" i="15"/>
  <c r="AT35" i="15"/>
  <c r="N36" i="15"/>
  <c r="V36" i="15"/>
  <c r="AD36" i="15"/>
  <c r="AL36" i="15"/>
  <c r="AT36" i="15"/>
  <c r="N37" i="15"/>
  <c r="V37" i="15"/>
  <c r="AD37" i="15"/>
  <c r="AL37" i="15"/>
  <c r="AT37" i="15"/>
  <c r="N38" i="15"/>
  <c r="V38" i="15"/>
  <c r="AD38" i="15"/>
  <c r="AL38" i="15"/>
  <c r="AT38" i="15"/>
  <c r="N39" i="15"/>
  <c r="V39" i="15"/>
  <c r="AD39" i="15"/>
  <c r="AL39" i="15"/>
  <c r="AT39" i="15"/>
  <c r="N40" i="15"/>
  <c r="V40" i="15"/>
  <c r="AD40" i="15"/>
  <c r="AL40" i="15"/>
  <c r="AT40" i="15"/>
  <c r="N41" i="15"/>
  <c r="V41" i="15"/>
  <c r="AD41" i="15"/>
  <c r="AL41" i="15"/>
  <c r="AT41" i="15"/>
  <c r="N42" i="15"/>
  <c r="V42" i="15"/>
  <c r="AD42" i="15"/>
  <c r="AL42" i="15"/>
  <c r="AT42" i="15"/>
  <c r="N43" i="15"/>
  <c r="V43" i="15"/>
  <c r="AD43" i="15"/>
  <c r="AL43" i="15"/>
  <c r="AT43" i="15"/>
  <c r="N44" i="15"/>
  <c r="V44" i="15"/>
  <c r="AD44" i="15"/>
  <c r="AL44" i="15"/>
  <c r="AT44" i="15"/>
  <c r="N45" i="15"/>
  <c r="V45" i="15"/>
  <c r="AD45" i="15"/>
  <c r="AL45" i="15"/>
  <c r="AT45" i="15"/>
  <c r="N46" i="15"/>
  <c r="V46" i="15"/>
  <c r="AD46" i="15"/>
  <c r="AL46" i="15"/>
  <c r="AT46" i="15"/>
  <c r="AN39" i="15"/>
  <c r="AV40" i="15"/>
  <c r="AF41" i="15"/>
  <c r="P42" i="15"/>
  <c r="AF42" i="15"/>
  <c r="P43" i="15"/>
  <c r="AN43" i="15"/>
  <c r="X44" i="15"/>
  <c r="AV44" i="15"/>
  <c r="AF46" i="15"/>
  <c r="O34" i="15"/>
  <c r="W34" i="15"/>
  <c r="AE34" i="15"/>
  <c r="AM34" i="15"/>
  <c r="AU34" i="15"/>
  <c r="O35" i="15"/>
  <c r="W35" i="15"/>
  <c r="AE35" i="15"/>
  <c r="AM35" i="15"/>
  <c r="AU35" i="15"/>
  <c r="O36" i="15"/>
  <c r="W36" i="15"/>
  <c r="AE36" i="15"/>
  <c r="AM36" i="15"/>
  <c r="AU36" i="15"/>
  <c r="O37" i="15"/>
  <c r="W37" i="15"/>
  <c r="AE37" i="15"/>
  <c r="AM37" i="15"/>
  <c r="AU37" i="15"/>
  <c r="O38" i="15"/>
  <c r="W38" i="15"/>
  <c r="AE38" i="15"/>
  <c r="AM38" i="15"/>
  <c r="AU38" i="15"/>
  <c r="O39" i="15"/>
  <c r="W39" i="15"/>
  <c r="AE39" i="15"/>
  <c r="AM39" i="15"/>
  <c r="AU39" i="15"/>
  <c r="O40" i="15"/>
  <c r="W40" i="15"/>
  <c r="AE40" i="15"/>
  <c r="AM40" i="15"/>
  <c r="AU40" i="15"/>
  <c r="O41" i="15"/>
  <c r="W41" i="15"/>
  <c r="AE41" i="15"/>
  <c r="AM41" i="15"/>
  <c r="AU41" i="15"/>
  <c r="O42" i="15"/>
  <c r="W42" i="15"/>
  <c r="AE42" i="15"/>
  <c r="AM42" i="15"/>
  <c r="AU42" i="15"/>
  <c r="O43" i="15"/>
  <c r="W43" i="15"/>
  <c r="AE43" i="15"/>
  <c r="AM43" i="15"/>
  <c r="AU43" i="15"/>
  <c r="O44" i="15"/>
  <c r="W44" i="15"/>
  <c r="AE44" i="15"/>
  <c r="AM44" i="15"/>
  <c r="AU44" i="15"/>
  <c r="O45" i="15"/>
  <c r="W45" i="15"/>
  <c r="AE45" i="15"/>
  <c r="AM45" i="15"/>
  <c r="AU45" i="15"/>
  <c r="O46" i="15"/>
  <c r="W46" i="15"/>
  <c r="AE46" i="15"/>
  <c r="AM46" i="15"/>
  <c r="AU46" i="15"/>
  <c r="X39" i="15"/>
  <c r="X40" i="15"/>
  <c r="AV41" i="15"/>
  <c r="AN42" i="15"/>
  <c r="X43" i="15"/>
  <c r="AV43" i="15"/>
  <c r="AF44" i="15"/>
  <c r="P45" i="15"/>
  <c r="X46" i="15"/>
  <c r="P34" i="15"/>
  <c r="X34" i="15"/>
  <c r="AF34" i="15"/>
  <c r="AN34" i="15"/>
  <c r="AV34" i="15"/>
  <c r="P35" i="15"/>
  <c r="X35" i="15"/>
  <c r="AF35" i="15"/>
  <c r="AN35" i="15"/>
  <c r="AV35" i="15"/>
  <c r="P36" i="15"/>
  <c r="X36" i="15"/>
  <c r="AF36" i="15"/>
  <c r="AN36" i="15"/>
  <c r="AV36" i="15"/>
  <c r="P37" i="15"/>
  <c r="X37" i="15"/>
  <c r="AF37" i="15"/>
  <c r="AN37" i="15"/>
  <c r="AV37" i="15"/>
  <c r="P38" i="15"/>
  <c r="X38" i="15"/>
  <c r="AF38" i="15"/>
  <c r="AN38" i="15"/>
  <c r="AV38" i="15"/>
  <c r="P39" i="15"/>
  <c r="AF39" i="15"/>
  <c r="AV39" i="15"/>
  <c r="P40" i="15"/>
  <c r="AF40" i="15"/>
  <c r="AN40" i="15"/>
  <c r="P41" i="15"/>
  <c r="X41" i="15"/>
  <c r="AN41" i="15"/>
  <c r="X42" i="15"/>
  <c r="AV42" i="15"/>
  <c r="AF43" i="15"/>
  <c r="P44" i="15"/>
  <c r="AN44" i="15"/>
  <c r="X45" i="15"/>
  <c r="AV46" i="15"/>
  <c r="Q34" i="15"/>
  <c r="Y34" i="15"/>
  <c r="AG34" i="15"/>
  <c r="AO34" i="15"/>
  <c r="AW34" i="15"/>
  <c r="Q35" i="15"/>
  <c r="Y35" i="15"/>
  <c r="AG35" i="15"/>
  <c r="AO35" i="15"/>
  <c r="AW35" i="15"/>
  <c r="Q36" i="15"/>
  <c r="Y36" i="15"/>
  <c r="AG36" i="15"/>
  <c r="AO36" i="15"/>
  <c r="AW36" i="15"/>
  <c r="Q37" i="15"/>
  <c r="Y37" i="15"/>
  <c r="AG37" i="15"/>
  <c r="AO37" i="15"/>
  <c r="AW37" i="15"/>
  <c r="Q38" i="15"/>
  <c r="Y38" i="15"/>
  <c r="AG38" i="15"/>
  <c r="AO38" i="15"/>
  <c r="AW38" i="15"/>
  <c r="Q39" i="15"/>
  <c r="Y39" i="15"/>
  <c r="AG39" i="15"/>
  <c r="AO39" i="15"/>
  <c r="AW39" i="15"/>
  <c r="Q40" i="15"/>
  <c r="Y40" i="15"/>
  <c r="AG40" i="15"/>
  <c r="AO40" i="15"/>
  <c r="AW40" i="15"/>
  <c r="Q41" i="15"/>
  <c r="Y41" i="15"/>
  <c r="AG41" i="15"/>
  <c r="AO41" i="15"/>
  <c r="AW41" i="15"/>
  <c r="Q42" i="15"/>
  <c r="Y42" i="15"/>
  <c r="AG42" i="15"/>
  <c r="AO42" i="15"/>
  <c r="AW42" i="15"/>
  <c r="Q43" i="15"/>
  <c r="Y43" i="15"/>
  <c r="AG43" i="15"/>
  <c r="AO43" i="15"/>
  <c r="AW43" i="15"/>
  <c r="Q44" i="15"/>
  <c r="Y44" i="15"/>
  <c r="AG44" i="15"/>
  <c r="AO44" i="15"/>
  <c r="AW44" i="15"/>
  <c r="Q45" i="15"/>
  <c r="Y45" i="15"/>
  <c r="AG45" i="15"/>
  <c r="AO45" i="15"/>
  <c r="AW45" i="15"/>
  <c r="Q46" i="15"/>
  <c r="Y46" i="15"/>
  <c r="AG46" i="15"/>
  <c r="AO46" i="15"/>
  <c r="AW46" i="15"/>
  <c r="U40" i="15"/>
  <c r="AS42" i="15"/>
  <c r="AC44" i="15"/>
  <c r="AC45" i="15"/>
  <c r="AC46" i="15"/>
  <c r="AN45" i="15"/>
  <c r="R34" i="15"/>
  <c r="Z34" i="15"/>
  <c r="AH34" i="15"/>
  <c r="AP34" i="15"/>
  <c r="AX34" i="15"/>
  <c r="R35" i="15"/>
  <c r="Z35" i="15"/>
  <c r="AH35" i="15"/>
  <c r="AP35" i="15"/>
  <c r="AX35" i="15"/>
  <c r="R36" i="15"/>
  <c r="Z36" i="15"/>
  <c r="AH36" i="15"/>
  <c r="AP36" i="15"/>
  <c r="AX36" i="15"/>
  <c r="R37" i="15"/>
  <c r="Z37" i="15"/>
  <c r="AH37" i="15"/>
  <c r="AP37" i="15"/>
  <c r="AX37" i="15"/>
  <c r="R38" i="15"/>
  <c r="Z38" i="15"/>
  <c r="AH38" i="15"/>
  <c r="AP38" i="15"/>
  <c r="AX38" i="15"/>
  <c r="R39" i="15"/>
  <c r="Z39" i="15"/>
  <c r="AH39" i="15"/>
  <c r="AP39" i="15"/>
  <c r="AX39" i="15"/>
  <c r="R40" i="15"/>
  <c r="Z40" i="15"/>
  <c r="AH40" i="15"/>
  <c r="AP40" i="15"/>
  <c r="AX40" i="15"/>
  <c r="R41" i="15"/>
  <c r="Z41" i="15"/>
  <c r="AH41" i="15"/>
  <c r="AP41" i="15"/>
  <c r="AX41" i="15"/>
  <c r="R42" i="15"/>
  <c r="Z42" i="15"/>
  <c r="AH42" i="15"/>
  <c r="AP42" i="15"/>
  <c r="AX42" i="15"/>
  <c r="R43" i="15"/>
  <c r="Z43" i="15"/>
  <c r="AH43" i="15"/>
  <c r="AP43" i="15"/>
  <c r="AX43" i="15"/>
  <c r="R44" i="15"/>
  <c r="Z44" i="15"/>
  <c r="AH44" i="15"/>
  <c r="AP44" i="15"/>
  <c r="AX44" i="15"/>
  <c r="R45" i="15"/>
  <c r="Z45" i="15"/>
  <c r="AH45" i="15"/>
  <c r="AP45" i="15"/>
  <c r="AX45" i="15"/>
  <c r="R46" i="15"/>
  <c r="Z46" i="15"/>
  <c r="AH46" i="15"/>
  <c r="AP46" i="15"/>
  <c r="AX46" i="15"/>
  <c r="AS39" i="15"/>
  <c r="AC42" i="15"/>
  <c r="M45" i="15"/>
  <c r="U46" i="15"/>
  <c r="AS46" i="15"/>
  <c r="AF45" i="15"/>
  <c r="C20" i="19"/>
  <c r="D20" i="19" s="1"/>
  <c r="E20" i="19" s="1"/>
  <c r="J35" i="15"/>
  <c r="J43" i="15" s="1"/>
  <c r="J36" i="15"/>
  <c r="J40" i="15" s="1"/>
  <c r="J37" i="15"/>
  <c r="J45" i="15" s="1"/>
  <c r="J34" i="15"/>
  <c r="J46" i="15" s="1"/>
  <c r="AY36" i="15"/>
  <c r="AY44" i="15"/>
  <c r="AY45" i="15"/>
  <c r="L47" i="15"/>
  <c r="X47" i="15"/>
  <c r="AJ47" i="15"/>
  <c r="AW47" i="15"/>
  <c r="BH47" i="15"/>
  <c r="AX47" i="15"/>
  <c r="AO47" i="15"/>
  <c r="BH46" i="15"/>
  <c r="BE38" i="15"/>
  <c r="AZ44" i="15"/>
  <c r="AZ45" i="15"/>
  <c r="AY46" i="15"/>
  <c r="M47" i="15"/>
  <c r="Y47" i="15"/>
  <c r="AK47" i="15"/>
  <c r="BA47" i="15"/>
  <c r="AZ39" i="15"/>
  <c r="BA44" i="15"/>
  <c r="BA45" i="15"/>
  <c r="AZ46" i="15"/>
  <c r="P47" i="15"/>
  <c r="AA47" i="15"/>
  <c r="AN47" i="15"/>
  <c r="AY47" i="15"/>
  <c r="Q47" i="15"/>
  <c r="AZ47" i="15"/>
  <c r="U47" i="15"/>
  <c r="BH39" i="15"/>
  <c r="BD44" i="15"/>
  <c r="BD45" i="15"/>
  <c r="BA46" i="15"/>
  <c r="AB47" i="15"/>
  <c r="BE47" i="15"/>
  <c r="BI45" i="15"/>
  <c r="BA42" i="15"/>
  <c r="BE44" i="15"/>
  <c r="BE45" i="15"/>
  <c r="BD46" i="15"/>
  <c r="R47" i="15"/>
  <c r="AF47" i="15"/>
  <c r="AQ47" i="15"/>
  <c r="AI47" i="15"/>
  <c r="BH43" i="15"/>
  <c r="BG44" i="15"/>
  <c r="BG45" i="15"/>
  <c r="BE46" i="15"/>
  <c r="S47" i="15"/>
  <c r="AG47" i="15"/>
  <c r="AR47" i="15"/>
  <c r="BD47" i="15"/>
  <c r="BG47" i="15"/>
  <c r="BI43" i="15"/>
  <c r="BH44" i="15"/>
  <c r="BH45" i="15"/>
  <c r="BG46" i="15"/>
  <c r="T47" i="15"/>
  <c r="AH47" i="15"/>
  <c r="AS47" i="15"/>
  <c r="AV47" i="15"/>
  <c r="BJ46" i="15"/>
  <c r="BF39" i="15"/>
  <c r="AP47" i="15"/>
  <c r="BC41" i="15"/>
  <c r="BC45" i="15"/>
  <c r="BI41" i="15"/>
  <c r="BH36" i="15"/>
  <c r="BE35" i="15"/>
  <c r="BE41" i="15"/>
  <c r="BB43" i="15"/>
  <c r="BG40" i="15"/>
  <c r="BD42" i="15"/>
  <c r="AZ36" i="15"/>
  <c r="AZ42" i="15"/>
  <c r="BJ43" i="15"/>
  <c r="AY40" i="15"/>
  <c r="BD35" i="15"/>
  <c r="BI44" i="15"/>
  <c r="BF36" i="15"/>
  <c r="Z47" i="15"/>
  <c r="BC38" i="15"/>
  <c r="AU47" i="15"/>
  <c r="BI38" i="15"/>
  <c r="BH41" i="15"/>
  <c r="BE43" i="15"/>
  <c r="BB34" i="15"/>
  <c r="BB40" i="15"/>
  <c r="BG37" i="15"/>
  <c r="BD39" i="15"/>
  <c r="BA39" i="15"/>
  <c r="AZ41" i="15"/>
  <c r="BJ34" i="15"/>
  <c r="BJ40" i="15"/>
  <c r="AY37" i="15"/>
  <c r="BJ47" i="15"/>
  <c r="BA43" i="15"/>
  <c r="BG36" i="15"/>
  <c r="O47" i="15"/>
  <c r="BG41" i="15"/>
  <c r="BA35" i="15"/>
  <c r="AD47" i="15"/>
  <c r="BE39" i="15"/>
  <c r="BA40" i="15"/>
  <c r="BC46" i="15"/>
  <c r="BH42" i="15"/>
  <c r="BI34" i="15"/>
  <c r="BD43" i="15"/>
  <c r="BF38" i="15"/>
  <c r="BF44" i="15"/>
  <c r="BC35" i="15"/>
  <c r="AM47" i="15"/>
  <c r="BI35" i="15"/>
  <c r="BH38" i="15"/>
  <c r="BE40" i="15"/>
  <c r="BB42" i="15"/>
  <c r="BJ45" i="15"/>
  <c r="BG34" i="15"/>
  <c r="BD36" i="15"/>
  <c r="BA36" i="15"/>
  <c r="AZ38" i="15"/>
  <c r="BJ42" i="15"/>
  <c r="BI46" i="15"/>
  <c r="AY34" i="15"/>
  <c r="BB47" i="15"/>
  <c r="BI42" i="15"/>
  <c r="AE47" i="15"/>
  <c r="BH35" i="15"/>
  <c r="BE37" i="15"/>
  <c r="BB45" i="15"/>
  <c r="BG42" i="15"/>
  <c r="BD41" i="15"/>
  <c r="BA41" i="15"/>
  <c r="AZ35" i="15"/>
  <c r="BJ39" i="15"/>
  <c r="AY42" i="15"/>
  <c r="AT47" i="15"/>
  <c r="AZ43" i="15"/>
  <c r="AY41" i="15"/>
  <c r="AL47" i="15"/>
  <c r="BI47" i="15"/>
  <c r="BB41" i="15"/>
  <c r="BJ44" i="15"/>
  <c r="BB38" i="15"/>
  <c r="AZ37" i="15"/>
  <c r="BF46" i="15"/>
  <c r="BG35" i="15"/>
  <c r="AZ34" i="15"/>
  <c r="BF35" i="15"/>
  <c r="BF41" i="15"/>
  <c r="BC37" i="15"/>
  <c r="BC43" i="15"/>
  <c r="BI40" i="15"/>
  <c r="BB39" i="15"/>
  <c r="BA34" i="15"/>
  <c r="BC42" i="15"/>
  <c r="BD40" i="15"/>
  <c r="AY38" i="15"/>
  <c r="BG43" i="15"/>
  <c r="BJ38" i="15"/>
  <c r="BF42" i="15"/>
  <c r="BB35" i="15"/>
  <c r="BJ35" i="15"/>
  <c r="BF40" i="15"/>
  <c r="BF43" i="15"/>
  <c r="BC34" i="15"/>
  <c r="BC47" i="15"/>
  <c r="W47" i="15"/>
  <c r="BI37" i="15"/>
  <c r="BH40" i="15"/>
  <c r="BE34" i="15"/>
  <c r="BB36" i="15"/>
  <c r="BB37" i="15"/>
  <c r="BG39" i="15"/>
  <c r="BD38" i="15"/>
  <c r="BA38" i="15"/>
  <c r="BJ36" i="15"/>
  <c r="AY39" i="15"/>
  <c r="BH37" i="15"/>
  <c r="BB46" i="15"/>
  <c r="BJ41" i="15"/>
  <c r="BG38" i="15"/>
  <c r="AY35" i="15"/>
  <c r="BC36" i="15"/>
  <c r="BE36" i="15"/>
  <c r="BA37" i="15"/>
  <c r="N47" i="15"/>
  <c r="BF37" i="15"/>
  <c r="BF45" i="15"/>
  <c r="BC40" i="15"/>
  <c r="BE42" i="15"/>
  <c r="AZ40" i="15"/>
  <c r="V47" i="15"/>
  <c r="BI36" i="15"/>
  <c r="BF34" i="15"/>
  <c r="BF47" i="15"/>
  <c r="BC39" i="15"/>
  <c r="BC44" i="15"/>
  <c r="BI39" i="15"/>
  <c r="AC47" i="15"/>
  <c r="BH34" i="15"/>
  <c r="BD37" i="15"/>
  <c r="BB44" i="15"/>
  <c r="BJ37" i="15"/>
  <c r="BD34" i="15"/>
  <c r="AY43" i="15"/>
  <c r="D16" i="15"/>
  <c r="D26" i="15" s="1"/>
  <c r="D33" i="15" s="1"/>
  <c r="F16" i="15"/>
  <c r="F26" i="15" s="1"/>
  <c r="F33" i="15" s="1"/>
  <c r="G16" i="15"/>
  <c r="G26" i="15" s="1"/>
  <c r="G33" i="15" s="1"/>
  <c r="H16" i="15"/>
  <c r="H26" i="15" s="1"/>
  <c r="H33" i="15" s="1"/>
  <c r="I16" i="15"/>
  <c r="I26" i="15" s="1"/>
  <c r="I33" i="15" s="1"/>
  <c r="S2" i="46"/>
  <c r="S3" i="46"/>
  <c r="S4" i="46"/>
  <c r="B2" i="46"/>
  <c r="A2" i="46"/>
  <c r="H50" i="22"/>
  <c r="H49" i="22"/>
  <c r="V3" i="30"/>
  <c r="V23" i="30" s="1"/>
  <c r="AW39" i="36"/>
  <c r="AL111" i="36"/>
  <c r="R53" i="17"/>
  <c r="AL244" i="36"/>
  <c r="AL151" i="36"/>
  <c r="AH169" i="36"/>
  <c r="AL242" i="36"/>
  <c r="AL169" i="36"/>
  <c r="AL171" i="36"/>
  <c r="J43" i="17"/>
  <c r="O6" i="16"/>
  <c r="AL179" i="36"/>
  <c r="AI177" i="36"/>
  <c r="AL114" i="36"/>
  <c r="AL147" i="36"/>
  <c r="AL198" i="36"/>
  <c r="AL182" i="36"/>
  <c r="AL199" i="36"/>
  <c r="AL206" i="36"/>
  <c r="AL226" i="36"/>
  <c r="AL247" i="36"/>
  <c r="AL231" i="36"/>
  <c r="I68" i="17"/>
  <c r="K43" i="17"/>
  <c r="AL196" i="36"/>
  <c r="AL148" i="36"/>
  <c r="AL214" i="36"/>
  <c r="AL166" i="36"/>
  <c r="AL184" i="36"/>
  <c r="AL222" i="36"/>
  <c r="AL228" i="36"/>
  <c r="AL240" i="36"/>
  <c r="AV39" i="36"/>
  <c r="T43" i="17"/>
  <c r="Z48" i="17"/>
  <c r="AL212" i="36"/>
  <c r="AL116" i="36"/>
  <c r="AL209" i="36"/>
  <c r="AL142" i="36"/>
  <c r="AL174" i="36"/>
  <c r="AL225" i="36"/>
  <c r="AL251" i="36"/>
  <c r="AL227" i="36"/>
  <c r="W53" i="17"/>
  <c r="O43" i="17"/>
  <c r="J53" i="17"/>
  <c r="Y53" i="17"/>
  <c r="Q43" i="17"/>
  <c r="F53" i="17"/>
  <c r="T68" i="17"/>
  <c r="L58" i="17"/>
  <c r="AL178" i="36"/>
  <c r="AL93" i="36"/>
  <c r="AL158" i="36"/>
  <c r="AL202" i="36"/>
  <c r="AL168" i="36"/>
  <c r="AL224" i="36"/>
  <c r="AL241" i="36"/>
  <c r="AL246" i="36"/>
  <c r="AL157" i="36"/>
  <c r="AL13" i="36"/>
  <c r="AL183" i="36"/>
  <c r="AL218" i="36"/>
  <c r="AL155" i="36"/>
  <c r="AL237" i="36"/>
  <c r="AL250" i="36"/>
  <c r="Q68" i="17"/>
  <c r="AI218" i="36"/>
  <c r="AJ59" i="36"/>
  <c r="AH133" i="36"/>
  <c r="AI190" i="36"/>
  <c r="AJ117" i="36"/>
  <c r="AJ149" i="36"/>
  <c r="AI181" i="36"/>
  <c r="AI248" i="36"/>
  <c r="X63" i="17"/>
  <c r="P53" i="17"/>
  <c r="AJ213" i="36"/>
  <c r="AI223" i="36"/>
  <c r="AI158" i="36"/>
  <c r="AI217" i="36"/>
  <c r="AI184" i="36"/>
  <c r="AJ219" i="36"/>
  <c r="AH145" i="36"/>
  <c r="AI145" i="36"/>
  <c r="AI179" i="36"/>
  <c r="AJ96" i="36"/>
  <c r="AH116" i="36"/>
  <c r="AI172" i="36"/>
  <c r="AI245" i="36"/>
  <c r="AH223" i="36"/>
  <c r="AJ189" i="36"/>
  <c r="AG228" i="36"/>
  <c r="AI163" i="36"/>
  <c r="AI241" i="36"/>
  <c r="BO37" i="17"/>
  <c r="BO41" i="17"/>
  <c r="S68" i="17"/>
  <c r="G43" i="17"/>
  <c r="I58" i="17"/>
  <c r="K68" i="17"/>
  <c r="G68" i="17"/>
  <c r="N58" i="17"/>
  <c r="F93" i="17"/>
  <c r="F94" i="17" s="1"/>
  <c r="K53" i="17"/>
  <c r="Y43" i="17"/>
  <c r="F63" i="17"/>
  <c r="Y93" i="17"/>
  <c r="Y94" i="17" s="1"/>
  <c r="O93" i="17"/>
  <c r="O94" i="17" s="1"/>
  <c r="G93" i="17"/>
  <c r="G94" i="17" s="1"/>
  <c r="F68" i="17"/>
  <c r="H63" i="17"/>
  <c r="W48" i="17"/>
  <c r="W63" i="17"/>
  <c r="X58" i="17"/>
  <c r="S43" i="17"/>
  <c r="O63" i="17"/>
  <c r="G53" i="17"/>
  <c r="H43" i="17"/>
  <c r="V48" i="17"/>
  <c r="N93" i="17"/>
  <c r="N94" i="17" s="1"/>
  <c r="E93" i="17"/>
  <c r="E94" i="17" s="1"/>
  <c r="F43" i="17"/>
  <c r="S63" i="17"/>
  <c r="S48" i="17"/>
  <c r="W43" i="17"/>
  <c r="AH105" i="36"/>
  <c r="AH194" i="36"/>
  <c r="AH27" i="36"/>
  <c r="AH88" i="36"/>
  <c r="AJ210" i="36"/>
  <c r="AJ167" i="36"/>
  <c r="AJ132" i="36"/>
  <c r="AJ154" i="36"/>
  <c r="AJ94" i="36"/>
  <c r="AJ67" i="36"/>
  <c r="O53" i="17"/>
  <c r="N48" i="17"/>
  <c r="U58" i="17"/>
  <c r="M48" i="17"/>
  <c r="D48" i="17"/>
  <c r="Z53" i="17"/>
  <c r="S93" i="17"/>
  <c r="S94" i="17" s="1"/>
  <c r="U93" i="17"/>
  <c r="U94" i="17" s="1"/>
  <c r="P48" i="17"/>
  <c r="V58" i="17"/>
  <c r="P93" i="17"/>
  <c r="P94" i="17" s="1"/>
  <c r="W68" i="17"/>
  <c r="O68" i="17"/>
  <c r="J93" i="17"/>
  <c r="J94" i="17" s="1"/>
  <c r="K63" i="17"/>
  <c r="N43" i="17"/>
  <c r="U68" i="17"/>
  <c r="M58" i="17"/>
  <c r="E48" i="17"/>
  <c r="L68" i="17"/>
  <c r="D58" i="17"/>
  <c r="Z43" i="17"/>
  <c r="R43" i="17"/>
  <c r="Y63" i="17"/>
  <c r="AH170" i="36"/>
  <c r="AH29" i="36"/>
  <c r="AH23" i="36"/>
  <c r="AL201" i="36"/>
  <c r="AL167" i="36"/>
  <c r="AL134" i="36"/>
  <c r="AL22" i="36"/>
  <c r="AI204" i="36"/>
  <c r="AJ191" i="36"/>
  <c r="AJ208" i="36"/>
  <c r="AL130" i="36"/>
  <c r="AJ182" i="36"/>
  <c r="AJ200" i="36"/>
  <c r="AJ50" i="36"/>
  <c r="AJ31" i="36"/>
  <c r="AJ87" i="36"/>
  <c r="AJ32" i="36"/>
  <c r="AL233" i="36"/>
  <c r="AL235" i="36"/>
  <c r="AI231" i="36"/>
  <c r="AJ238" i="36"/>
  <c r="Q63" i="17"/>
  <c r="I53" i="17"/>
  <c r="X68" i="17"/>
  <c r="P58" i="17"/>
  <c r="H48" i="17"/>
  <c r="V43" i="17"/>
  <c r="G58" i="17"/>
  <c r="G63" i="17"/>
  <c r="N68" i="17"/>
  <c r="N53" i="17"/>
  <c r="U43" i="17"/>
  <c r="M68" i="17"/>
  <c r="E58" i="17"/>
  <c r="L93" i="17"/>
  <c r="L94" i="17" s="1"/>
  <c r="T53" i="17"/>
  <c r="L43" i="17"/>
  <c r="D68" i="17"/>
  <c r="Q93" i="17"/>
  <c r="Q94" i="17" s="1"/>
  <c r="Z58" i="17"/>
  <c r="R48" i="17"/>
  <c r="J63" i="17"/>
  <c r="X48" i="17"/>
  <c r="Q53" i="17"/>
  <c r="I43" i="17"/>
  <c r="AH42" i="36"/>
  <c r="J16" i="45"/>
  <c r="K117" i="15" s="1"/>
  <c r="K5" i="16" s="1"/>
  <c r="AH210" i="36"/>
  <c r="AH20" i="36"/>
  <c r="AH144" i="36"/>
  <c r="AH217" i="36"/>
  <c r="AH69" i="36"/>
  <c r="AG63" i="36"/>
  <c r="AL207" i="36"/>
  <c r="AJ170" i="36"/>
  <c r="AJ141" i="36"/>
  <c r="AJ101" i="36"/>
  <c r="AJ199" i="36"/>
  <c r="AL180" i="36"/>
  <c r="AL197" i="36"/>
  <c r="AI203" i="36"/>
  <c r="AJ179" i="36"/>
  <c r="AJ196" i="36"/>
  <c r="AI210" i="36"/>
  <c r="AI212" i="36"/>
  <c r="AI209" i="36"/>
  <c r="AJ23" i="36"/>
  <c r="AL245" i="36"/>
  <c r="AI227" i="36"/>
  <c r="AJ239" i="36"/>
  <c r="Y48" i="17"/>
  <c r="I63" i="17"/>
  <c r="P68" i="17"/>
  <c r="H58" i="17"/>
  <c r="V68" i="17"/>
  <c r="V53" i="17"/>
  <c r="F58" i="17"/>
  <c r="O58" i="17"/>
  <c r="N63" i="17"/>
  <c r="U53" i="17"/>
  <c r="M43" i="17"/>
  <c r="E68" i="17"/>
  <c r="T63" i="17"/>
  <c r="L53" i="17"/>
  <c r="D43" i="17"/>
  <c r="Z68" i="17"/>
  <c r="R58" i="17"/>
  <c r="J48" i="17"/>
  <c r="AH86" i="36"/>
  <c r="AH21" i="36"/>
  <c r="AH78" i="36"/>
  <c r="AH186" i="36"/>
  <c r="AH41" i="36"/>
  <c r="AH80" i="36"/>
  <c r="AJ201" i="36"/>
  <c r="Q6" i="16"/>
  <c r="AJ48" i="36"/>
  <c r="AJ102" i="36"/>
  <c r="AJ11" i="36"/>
  <c r="AJ15" i="36"/>
  <c r="AJ49" i="36"/>
  <c r="AJ43" i="36"/>
  <c r="AH61" i="36"/>
  <c r="AH9" i="36"/>
  <c r="AH115" i="36"/>
  <c r="AH222" i="36"/>
  <c r="AJ60" i="36"/>
  <c r="AI215" i="36"/>
  <c r="AJ175" i="36"/>
  <c r="AJ217" i="36"/>
  <c r="AJ223" i="36"/>
  <c r="AJ100" i="36"/>
  <c r="AJ64" i="36"/>
  <c r="AJ95" i="36"/>
  <c r="AJ84" i="36"/>
  <c r="AI247" i="36"/>
  <c r="AJ233" i="36"/>
  <c r="AH166" i="36"/>
  <c r="AH225" i="36"/>
  <c r="AH99" i="36"/>
  <c r="AH215" i="36"/>
  <c r="AH176" i="36"/>
  <c r="AI202" i="36"/>
  <c r="AJ176" i="36"/>
  <c r="AJ131" i="36"/>
  <c r="AJ85" i="36"/>
  <c r="AJ215" i="36"/>
  <c r="AI219" i="36"/>
  <c r="AJ183" i="36"/>
  <c r="AJ204" i="36"/>
  <c r="AJ186" i="36"/>
  <c r="AJ181" i="36"/>
  <c r="Y58" i="17"/>
  <c r="Q48" i="17"/>
  <c r="X43" i="17"/>
  <c r="H68" i="17"/>
  <c r="V63" i="17"/>
  <c r="F48" i="17"/>
  <c r="M93" i="17"/>
  <c r="M94" i="17" s="1"/>
  <c r="W58" i="17"/>
  <c r="G48" i="17"/>
  <c r="K48" i="17"/>
  <c r="X93" i="17"/>
  <c r="X94" i="17" s="1"/>
  <c r="U63" i="17"/>
  <c r="M53" i="17"/>
  <c r="E43" i="17"/>
  <c r="L63" i="17"/>
  <c r="D53" i="17"/>
  <c r="R68" i="17"/>
  <c r="J58" i="17"/>
  <c r="K93" i="17"/>
  <c r="K94" i="17" s="1"/>
  <c r="AH157" i="36"/>
  <c r="AH140" i="36"/>
  <c r="AH85" i="36"/>
  <c r="AH189" i="36"/>
  <c r="AJ192" i="36"/>
  <c r="AJ163" i="36"/>
  <c r="AJ127" i="36"/>
  <c r="AJ45" i="36"/>
  <c r="AJ218" i="36"/>
  <c r="AJ203" i="36"/>
  <c r="AJ168" i="36"/>
  <c r="AJ193" i="36"/>
  <c r="AJ159" i="36"/>
  <c r="Y68" i="17"/>
  <c r="Q58" i="17"/>
  <c r="I48" i="17"/>
  <c r="I93" i="17"/>
  <c r="I94" i="17" s="1"/>
  <c r="X53" i="17"/>
  <c r="P43" i="17"/>
  <c r="O48" i="17"/>
  <c r="K58" i="17"/>
  <c r="Z93" i="17"/>
  <c r="Z94" i="17" s="1"/>
  <c r="M63" i="17"/>
  <c r="E53" i="17"/>
  <c r="D63" i="17"/>
  <c r="H93" i="17"/>
  <c r="H94" i="17" s="1"/>
  <c r="Z63" i="17"/>
  <c r="R63" i="17"/>
  <c r="J68" i="17"/>
  <c r="T93" i="17"/>
  <c r="T94" i="17" s="1"/>
  <c r="E63" i="17"/>
  <c r="T48" i="17"/>
  <c r="R93" i="17"/>
  <c r="R94" i="17" s="1"/>
  <c r="P63" i="17"/>
  <c r="H53" i="17"/>
  <c r="S53" i="17"/>
  <c r="S58" i="17"/>
  <c r="U48" i="17"/>
  <c r="CF3" i="11"/>
  <c r="EN3" i="11"/>
  <c r="T58" i="17"/>
  <c r="L48" i="17"/>
  <c r="C90" i="17"/>
  <c r="C92" i="17"/>
  <c r="H51" i="22" s="1"/>
  <c r="V93" i="17"/>
  <c r="V94" i="17" s="1"/>
  <c r="W93" i="17"/>
  <c r="W94" i="17" s="1"/>
  <c r="AI155" i="36"/>
  <c r="AI272" i="36"/>
  <c r="AI303" i="36"/>
  <c r="AI295" i="36"/>
  <c r="AI287" i="36"/>
  <c r="AI279" i="36"/>
  <c r="AI271" i="36"/>
  <c r="AI300" i="36"/>
  <c r="AI292" i="36"/>
  <c r="AI284" i="36"/>
  <c r="AI276" i="36"/>
  <c r="AI268" i="36"/>
  <c r="AI280" i="36"/>
  <c r="AI296" i="36"/>
  <c r="AI304" i="36"/>
  <c r="AI288" i="36"/>
  <c r="AI264" i="36"/>
  <c r="AI293" i="36"/>
  <c r="AI270" i="36"/>
  <c r="AI298" i="36"/>
  <c r="AI291" i="36"/>
  <c r="AI269" i="36"/>
  <c r="AI281" i="36"/>
  <c r="AI290" i="36"/>
  <c r="AI283" i="36"/>
  <c r="AI282" i="36"/>
  <c r="AI275" i="36"/>
  <c r="AI285" i="36"/>
  <c r="AI297" i="36"/>
  <c r="AI274" i="36"/>
  <c r="AI267" i="36"/>
  <c r="AI273" i="36"/>
  <c r="AI266" i="36"/>
  <c r="AI302" i="36"/>
  <c r="AI301" i="36"/>
  <c r="AI294" i="36"/>
  <c r="AI277" i="36"/>
  <c r="AI289" i="36"/>
  <c r="AI286" i="36"/>
  <c r="AI265" i="36"/>
  <c r="AI278" i="36"/>
  <c r="AI299" i="36"/>
  <c r="AI233" i="36"/>
  <c r="AI226" i="36"/>
  <c r="AK297" i="36"/>
  <c r="AK289" i="36"/>
  <c r="AK281" i="36"/>
  <c r="AK273" i="36"/>
  <c r="AK265" i="36"/>
  <c r="AK290" i="36"/>
  <c r="AK282" i="36"/>
  <c r="AK302" i="36"/>
  <c r="AK294" i="36"/>
  <c r="AK286" i="36"/>
  <c r="AK278" i="36"/>
  <c r="AK270" i="36"/>
  <c r="AK298" i="36"/>
  <c r="AK274" i="36"/>
  <c r="AK266" i="36"/>
  <c r="AK268" i="36"/>
  <c r="AK280" i="36"/>
  <c r="AK303" i="36"/>
  <c r="AK275" i="36"/>
  <c r="AK287" i="36"/>
  <c r="AK284" i="36"/>
  <c r="AK296" i="36"/>
  <c r="AK267" i="36"/>
  <c r="AK279" i="36"/>
  <c r="AK299" i="36"/>
  <c r="AK272" i="36"/>
  <c r="AK301" i="36"/>
  <c r="AK283" i="36"/>
  <c r="AK300" i="36"/>
  <c r="AK293" i="36"/>
  <c r="AK295" i="36"/>
  <c r="AK271" i="36"/>
  <c r="AK291" i="36"/>
  <c r="AK276" i="36"/>
  <c r="AK288" i="36"/>
  <c r="AK285" i="36"/>
  <c r="AK264" i="36"/>
  <c r="AK277" i="36"/>
  <c r="AK292" i="36"/>
  <c r="AK304" i="36"/>
  <c r="AK269" i="36"/>
  <c r="AI243" i="36"/>
  <c r="AI244" i="36"/>
  <c r="AI131" i="36"/>
  <c r="AG76" i="36"/>
  <c r="AG301" i="36"/>
  <c r="AG293" i="36"/>
  <c r="AG285" i="36"/>
  <c r="AG277" i="36"/>
  <c r="AG269" i="36"/>
  <c r="AG270" i="36"/>
  <c r="AG298" i="36"/>
  <c r="AG290" i="36"/>
  <c r="AG282" i="36"/>
  <c r="AG274" i="36"/>
  <c r="AG266" i="36"/>
  <c r="AG302" i="36"/>
  <c r="AG294" i="36"/>
  <c r="AG278" i="36"/>
  <c r="AG286" i="36"/>
  <c r="AG265" i="36"/>
  <c r="AG297" i="36"/>
  <c r="AG279" i="36"/>
  <c r="AG264" i="36"/>
  <c r="AG300" i="36"/>
  <c r="AG271" i="36"/>
  <c r="AG299" i="36"/>
  <c r="AG292" i="36"/>
  <c r="AG289" i="36"/>
  <c r="AG291" i="36"/>
  <c r="AG284" i="36"/>
  <c r="AG287" i="36"/>
  <c r="AG283" i="36"/>
  <c r="AG276" i="36"/>
  <c r="AG304" i="36"/>
  <c r="AG281" i="36"/>
  <c r="AG275" i="36"/>
  <c r="AG268" i="36"/>
  <c r="AG296" i="36"/>
  <c r="AG267" i="36"/>
  <c r="AG303" i="36"/>
  <c r="AG288" i="36"/>
  <c r="AG273" i="36"/>
  <c r="AG295" i="36"/>
  <c r="AG280" i="36"/>
  <c r="AG272" i="36"/>
  <c r="AI180" i="36"/>
  <c r="AI235" i="36"/>
  <c r="AI197" i="36"/>
  <c r="AH62" i="36"/>
  <c r="AH267" i="36"/>
  <c r="AH298" i="36"/>
  <c r="AH290" i="36"/>
  <c r="AH282" i="36"/>
  <c r="AH274" i="36"/>
  <c r="AH266" i="36"/>
  <c r="AH275" i="36"/>
  <c r="AH303" i="36"/>
  <c r="AH295" i="36"/>
  <c r="AH287" i="36"/>
  <c r="AH279" i="36"/>
  <c r="AH271" i="36"/>
  <c r="AH291" i="36"/>
  <c r="AH283" i="36"/>
  <c r="AH299" i="36"/>
  <c r="AH302" i="36"/>
  <c r="AH268" i="36"/>
  <c r="AH285" i="36"/>
  <c r="AH297" i="36"/>
  <c r="AH278" i="36"/>
  <c r="AH296" i="36"/>
  <c r="AH273" i="36"/>
  <c r="AH272" i="36"/>
  <c r="AH284" i="36"/>
  <c r="AH269" i="36"/>
  <c r="AH280" i="36"/>
  <c r="AH301" i="36"/>
  <c r="AH294" i="36"/>
  <c r="AH277" i="36"/>
  <c r="AH289" i="36"/>
  <c r="AH270" i="36"/>
  <c r="AH288" i="36"/>
  <c r="AH300" i="36"/>
  <c r="AH265" i="36"/>
  <c r="AH264" i="36"/>
  <c r="AH276" i="36"/>
  <c r="AH281" i="36"/>
  <c r="AH293" i="36"/>
  <c r="AH286" i="36"/>
  <c r="AH304" i="36"/>
  <c r="AH292" i="36"/>
  <c r="AL303" i="36"/>
  <c r="AL302" i="36"/>
  <c r="AL294" i="36"/>
  <c r="AL286" i="36"/>
  <c r="AL278" i="36"/>
  <c r="AL270" i="36"/>
  <c r="AL299" i="36"/>
  <c r="AL291" i="36"/>
  <c r="AL283" i="36"/>
  <c r="AL275" i="36"/>
  <c r="AL267" i="36"/>
  <c r="AL295" i="36"/>
  <c r="AL279" i="36"/>
  <c r="AL287" i="36"/>
  <c r="AL271" i="36"/>
  <c r="AL276" i="36"/>
  <c r="AL288" i="36"/>
  <c r="AL282" i="36"/>
  <c r="AL264" i="36"/>
  <c r="AL281" i="36"/>
  <c r="AL293" i="36"/>
  <c r="AL292" i="36"/>
  <c r="AL304" i="36"/>
  <c r="AL269" i="36"/>
  <c r="AL298" i="36"/>
  <c r="AL277" i="36"/>
  <c r="AL268" i="36"/>
  <c r="AL280" i="36"/>
  <c r="AL297" i="36"/>
  <c r="AL274" i="36"/>
  <c r="AL273" i="36"/>
  <c r="AL285" i="36"/>
  <c r="AL284" i="36"/>
  <c r="AL296" i="36"/>
  <c r="AL290" i="36"/>
  <c r="AL272" i="36"/>
  <c r="AL289" i="36"/>
  <c r="AL301" i="36"/>
  <c r="AL266" i="36"/>
  <c r="AL300" i="36"/>
  <c r="AL265" i="36"/>
  <c r="AI170" i="36"/>
  <c r="AJ128" i="36"/>
  <c r="AJ293" i="36"/>
  <c r="AJ300" i="36"/>
  <c r="AJ292" i="36"/>
  <c r="AJ284" i="36"/>
  <c r="AJ276" i="36"/>
  <c r="AJ268" i="36"/>
  <c r="AJ285" i="36"/>
  <c r="AJ297" i="36"/>
  <c r="AJ289" i="36"/>
  <c r="AJ281" i="36"/>
  <c r="AJ273" i="36"/>
  <c r="AJ265" i="36"/>
  <c r="AJ301" i="36"/>
  <c r="AJ277" i="36"/>
  <c r="AJ269" i="36"/>
  <c r="AJ296" i="36"/>
  <c r="AJ266" i="36"/>
  <c r="AJ278" i="36"/>
  <c r="AJ295" i="36"/>
  <c r="AJ272" i="36"/>
  <c r="AJ271" i="36"/>
  <c r="AJ283" i="36"/>
  <c r="AJ267" i="36"/>
  <c r="AJ282" i="36"/>
  <c r="AJ294" i="36"/>
  <c r="AJ302" i="36"/>
  <c r="AJ288" i="36"/>
  <c r="AJ270" i="36"/>
  <c r="AJ287" i="36"/>
  <c r="AJ299" i="36"/>
  <c r="AJ264" i="36"/>
  <c r="AJ298" i="36"/>
  <c r="AJ275" i="36"/>
  <c r="AJ304" i="36"/>
  <c r="AJ274" i="36"/>
  <c r="AJ286" i="36"/>
  <c r="AJ303" i="36"/>
  <c r="AJ280" i="36"/>
  <c r="AJ279" i="36"/>
  <c r="AJ291" i="36"/>
  <c r="AJ290" i="36"/>
  <c r="AH102" i="36"/>
  <c r="AH91" i="36"/>
  <c r="AH203" i="36"/>
  <c r="AJ93" i="36"/>
  <c r="AI173" i="36"/>
  <c r="AI176" i="36"/>
  <c r="AJ209" i="36"/>
  <c r="AI220" i="36"/>
  <c r="AI230" i="36"/>
  <c r="AI237" i="36"/>
  <c r="AJ118" i="36"/>
  <c r="AI191" i="36"/>
  <c r="AI160" i="36"/>
  <c r="AI141" i="36"/>
  <c r="AI122" i="36"/>
  <c r="AI196" i="36"/>
  <c r="AI216" i="36"/>
  <c r="AI232" i="36"/>
  <c r="AI192" i="36"/>
  <c r="AI189" i="36"/>
  <c r="AI193" i="36"/>
  <c r="AG52" i="36"/>
  <c r="AI185" i="36"/>
  <c r="AL163" i="36"/>
  <c r="AG203" i="36"/>
  <c r="AJ91" i="36"/>
  <c r="AG130" i="36"/>
  <c r="AG42" i="36"/>
  <c r="AI124" i="36"/>
  <c r="AG151" i="36"/>
  <c r="AG173" i="36"/>
  <c r="AG189" i="36"/>
  <c r="AG74" i="36"/>
  <c r="AK136" i="36"/>
  <c r="AG243" i="36"/>
  <c r="AG122" i="36"/>
  <c r="AG249" i="36"/>
  <c r="AH228" i="36"/>
  <c r="AI161" i="36"/>
  <c r="B16" i="45"/>
  <c r="C117" i="15" s="1"/>
  <c r="C118" i="15" s="1"/>
  <c r="C6" i="16" s="1"/>
  <c r="F16" i="45"/>
  <c r="G117" i="15" s="1"/>
  <c r="G5" i="16" s="1"/>
  <c r="H16" i="45"/>
  <c r="I117" i="15" s="1"/>
  <c r="I16" i="45"/>
  <c r="J117" i="15" s="1"/>
  <c r="D16" i="45"/>
  <c r="E117" i="15" s="1"/>
  <c r="E118" i="15" s="1"/>
  <c r="E6" i="16" s="1"/>
  <c r="E36" i="15"/>
  <c r="E44" i="15" s="1"/>
  <c r="G16" i="45"/>
  <c r="H117" i="15" s="1"/>
  <c r="E16" i="45"/>
  <c r="F117" i="15" s="1"/>
  <c r="BI5" i="36" s="1"/>
  <c r="BI6" i="36" s="1"/>
  <c r="M72" i="15"/>
  <c r="BO73" i="17"/>
  <c r="BO76" i="17" s="1"/>
  <c r="BO77" i="17" s="1"/>
  <c r="BO34" i="17"/>
  <c r="C63" i="15"/>
  <c r="C68" i="15"/>
  <c r="M74" i="15"/>
  <c r="C73" i="15"/>
  <c r="E69" i="15"/>
  <c r="C71" i="15"/>
  <c r="E68" i="15"/>
  <c r="Z74" i="15"/>
  <c r="Z69" i="15"/>
  <c r="C78" i="16"/>
  <c r="C61" i="15"/>
  <c r="Z62" i="15"/>
  <c r="E74" i="15"/>
  <c r="Z64" i="15"/>
  <c r="M64" i="15"/>
  <c r="Z75" i="15"/>
  <c r="M70" i="15"/>
  <c r="Z72" i="15"/>
  <c r="E35" i="15"/>
  <c r="E39" i="15" s="1"/>
  <c r="C73" i="16"/>
  <c r="C62" i="15"/>
  <c r="E60" i="15"/>
  <c r="M62" i="15"/>
  <c r="E65" i="15"/>
  <c r="M67" i="15"/>
  <c r="Z49" i="15"/>
  <c r="C72" i="15"/>
  <c r="C37" i="15"/>
  <c r="C49" i="15" s="1"/>
  <c r="E70" i="15"/>
  <c r="C64" i="15"/>
  <c r="Z70" i="15"/>
  <c r="C68" i="16"/>
  <c r="M63" i="15"/>
  <c r="C60" i="15"/>
  <c r="M60" i="15"/>
  <c r="E66" i="15"/>
  <c r="M48" i="15"/>
  <c r="M66" i="15"/>
  <c r="M49" i="15"/>
  <c r="M68" i="15"/>
  <c r="C35" i="15"/>
  <c r="C43" i="15" s="1"/>
  <c r="C75" i="15"/>
  <c r="C69" i="15"/>
  <c r="Z73" i="15"/>
  <c r="C74" i="16"/>
  <c r="C70" i="16"/>
  <c r="E63" i="15"/>
  <c r="Z63" i="15"/>
  <c r="M61" i="15"/>
  <c r="E75" i="15"/>
  <c r="Z66" i="15"/>
  <c r="C34" i="15"/>
  <c r="C42" i="15" s="1"/>
  <c r="M69" i="15"/>
  <c r="Z67" i="15"/>
  <c r="C65" i="15"/>
  <c r="B32" i="19"/>
  <c r="C74" i="15"/>
  <c r="C69" i="16"/>
  <c r="C66" i="15"/>
  <c r="E73" i="15"/>
  <c r="C70" i="15"/>
  <c r="C67" i="15"/>
  <c r="Z48" i="15"/>
  <c r="Z61" i="15"/>
  <c r="D118" i="15"/>
  <c r="D6" i="16" s="1"/>
  <c r="D119" i="15"/>
  <c r="C36" i="15"/>
  <c r="C44" i="15" s="1"/>
  <c r="M75" i="15"/>
  <c r="E37" i="15"/>
  <c r="E41" i="15" s="1"/>
  <c r="E62" i="15"/>
  <c r="E61" i="15"/>
  <c r="C75" i="16"/>
  <c r="M65" i="15"/>
  <c r="E34" i="15"/>
  <c r="E38" i="15" s="1"/>
  <c r="M73" i="15"/>
  <c r="Z60" i="15"/>
  <c r="Z68" i="15"/>
  <c r="C77" i="16"/>
  <c r="E71" i="15"/>
  <c r="E72" i="15"/>
  <c r="E64" i="15"/>
  <c r="C72" i="16"/>
  <c r="Z71" i="15"/>
  <c r="M71" i="15"/>
  <c r="Z65" i="15"/>
  <c r="E67" i="15"/>
  <c r="C134" i="17"/>
  <c r="C135" i="17"/>
  <c r="N2" i="24"/>
  <c r="C13" i="23" s="1"/>
  <c r="AR31" i="36"/>
  <c r="AH226" i="36"/>
  <c r="AH134" i="36"/>
  <c r="AH11" i="36"/>
  <c r="AH181" i="36"/>
  <c r="AH107" i="36"/>
  <c r="AH214" i="36"/>
  <c r="AH130" i="36"/>
  <c r="AH51" i="36"/>
  <c r="AH83" i="36"/>
  <c r="AH165" i="36"/>
  <c r="AH64" i="36"/>
  <c r="AH167" i="36"/>
  <c r="AH70" i="36"/>
  <c r="AH126" i="36"/>
  <c r="N6" i="16"/>
  <c r="AJ162" i="36"/>
  <c r="AJ143" i="36"/>
  <c r="AJ111" i="36"/>
  <c r="AJ165" i="36"/>
  <c r="AJ222" i="36"/>
  <c r="AJ156" i="36"/>
  <c r="AJ212" i="36"/>
  <c r="AI205" i="36"/>
  <c r="AJ125" i="36"/>
  <c r="AI207" i="36"/>
  <c r="AJ153" i="36"/>
  <c r="AI214" i="36"/>
  <c r="AJ137" i="36"/>
  <c r="AH251" i="36"/>
  <c r="AI178" i="36"/>
  <c r="AI221" i="36"/>
  <c r="AJ150" i="36"/>
  <c r="AJ42" i="36"/>
  <c r="AI242" i="36"/>
  <c r="AI249" i="36"/>
  <c r="AJ221" i="36"/>
  <c r="AJ14" i="36"/>
  <c r="AJ243" i="36"/>
  <c r="AI167" i="36"/>
  <c r="AI156" i="36"/>
  <c r="AI148" i="36"/>
  <c r="AI113" i="36"/>
  <c r="AI146" i="36"/>
  <c r="AH221" i="36"/>
  <c r="AH123" i="36"/>
  <c r="AH52" i="36"/>
  <c r="AH180" i="36"/>
  <c r="AH35" i="36"/>
  <c r="AH201" i="36"/>
  <c r="AH109" i="36"/>
  <c r="AH50" i="36"/>
  <c r="AH150" i="36"/>
  <c r="AH75" i="36"/>
  <c r="AH163" i="36"/>
  <c r="AH90" i="36"/>
  <c r="AH155" i="36"/>
  <c r="AH14" i="36"/>
  <c r="AH112" i="36"/>
  <c r="AJ119" i="36"/>
  <c r="AJ148" i="36"/>
  <c r="AJ206" i="36"/>
  <c r="AJ122" i="36"/>
  <c r="AH246" i="36"/>
  <c r="AJ126" i="36"/>
  <c r="AJ157" i="36"/>
  <c r="AJ249" i="36"/>
  <c r="AJ247" i="36"/>
  <c r="AJ134" i="36"/>
  <c r="AI144" i="36"/>
  <c r="AI21" i="36"/>
  <c r="AI149" i="36"/>
  <c r="AH179" i="36"/>
  <c r="AH128" i="36"/>
  <c r="AH79" i="36"/>
  <c r="AH168" i="36"/>
  <c r="AH57" i="36"/>
  <c r="AH219" i="36"/>
  <c r="AH19" i="36"/>
  <c r="AH135" i="36"/>
  <c r="AH43" i="36"/>
  <c r="AH139" i="36"/>
  <c r="AH31" i="36"/>
  <c r="AH153" i="36"/>
  <c r="AH15" i="36"/>
  <c r="AH108" i="36"/>
  <c r="AG167" i="36"/>
  <c r="AI213" i="36"/>
  <c r="AJ174" i="36"/>
  <c r="AI139" i="36"/>
  <c r="AI121" i="36"/>
  <c r="AI199" i="36"/>
  <c r="AI201" i="36"/>
  <c r="AJ180" i="36"/>
  <c r="AI222" i="36"/>
  <c r="AJ97" i="36"/>
  <c r="AJ216" i="36"/>
  <c r="AJ130" i="36"/>
  <c r="AJ112" i="36"/>
  <c r="AH229" i="36"/>
  <c r="AJ124" i="36"/>
  <c r="AJ211" i="36"/>
  <c r="AJ116" i="36"/>
  <c r="AI239" i="36"/>
  <c r="AI238" i="36"/>
  <c r="AI228" i="36"/>
  <c r="AJ139" i="36"/>
  <c r="AJ245" i="36"/>
  <c r="AJ232" i="36"/>
  <c r="AJ123" i="36"/>
  <c r="AI143" i="36"/>
  <c r="AL210" i="36"/>
  <c r="AI27" i="36"/>
  <c r="AI115" i="36"/>
  <c r="AH178" i="36"/>
  <c r="AH110" i="36"/>
  <c r="AH46" i="36"/>
  <c r="AH160" i="36"/>
  <c r="AH48" i="36"/>
  <c r="AH183" i="36"/>
  <c r="AH36" i="36"/>
  <c r="AH28" i="36"/>
  <c r="AH120" i="36"/>
  <c r="AH204" i="36"/>
  <c r="AH151" i="36"/>
  <c r="AH206" i="36"/>
  <c r="AH138" i="36"/>
  <c r="AH37" i="36"/>
  <c r="AH39" i="36"/>
  <c r="AJ194" i="36"/>
  <c r="AJ172" i="36"/>
  <c r="AJ120" i="36"/>
  <c r="AJ39" i="36"/>
  <c r="AJ178" i="36"/>
  <c r="AJ177" i="36"/>
  <c r="AJ207" i="36"/>
  <c r="AJ214" i="36"/>
  <c r="AJ92" i="36"/>
  <c r="AJ98" i="36"/>
  <c r="AJ187" i="36"/>
  <c r="AJ106" i="36"/>
  <c r="AI211" i="36"/>
  <c r="AJ114" i="36"/>
  <c r="AJ226" i="36"/>
  <c r="AJ109" i="36"/>
  <c r="AI250" i="36"/>
  <c r="AI251" i="36"/>
  <c r="AI229" i="36"/>
  <c r="AJ138" i="36"/>
  <c r="AJ246" i="36"/>
  <c r="AI200" i="36"/>
  <c r="AJ115" i="36"/>
  <c r="AI157" i="36"/>
  <c r="AI102" i="36"/>
  <c r="AH152" i="36"/>
  <c r="AH103" i="36"/>
  <c r="AH125" i="36"/>
  <c r="AH55" i="36"/>
  <c r="AH146" i="36"/>
  <c r="AH53" i="36"/>
  <c r="AH187" i="36"/>
  <c r="AH45" i="36"/>
  <c r="AH193" i="36"/>
  <c r="AH73" i="36"/>
  <c r="AH175" i="36"/>
  <c r="AH93" i="36"/>
  <c r="AH171" i="36"/>
  <c r="AH63" i="36"/>
  <c r="AJ53" i="36"/>
  <c r="AJ108" i="36"/>
  <c r="AJ237" i="36"/>
  <c r="D93" i="17"/>
  <c r="D94" i="17" s="1"/>
  <c r="C53" i="17"/>
  <c r="BG5" i="36"/>
  <c r="BG6" i="36" s="1"/>
  <c r="D5" i="16"/>
  <c r="C82" i="17"/>
  <c r="C68" i="17"/>
  <c r="AK240" i="36"/>
  <c r="AK214" i="36"/>
  <c r="AK170" i="36"/>
  <c r="AK165" i="36"/>
  <c r="AK54" i="36"/>
  <c r="AK103" i="36"/>
  <c r="AK211" i="36"/>
  <c r="AK234" i="36"/>
  <c r="AK236" i="36"/>
  <c r="AK243" i="36"/>
  <c r="AK193" i="36"/>
  <c r="AK144" i="36"/>
  <c r="AK196" i="36"/>
  <c r="AK162" i="36"/>
  <c r="AK225" i="36"/>
  <c r="AK172" i="36"/>
  <c r="AK133" i="36"/>
  <c r="AK44" i="36"/>
  <c r="AK68" i="36"/>
  <c r="AK171" i="36"/>
  <c r="AK131" i="36"/>
  <c r="AK17" i="36"/>
  <c r="AK185" i="36"/>
  <c r="AK111" i="36"/>
  <c r="AK42" i="36"/>
  <c r="AK38" i="36"/>
  <c r="AK242" i="36"/>
  <c r="AK246" i="36"/>
  <c r="AK244" i="36"/>
  <c r="AK251" i="36"/>
  <c r="AK130" i="36"/>
  <c r="AK205" i="36"/>
  <c r="AK159" i="36"/>
  <c r="AK161" i="36"/>
  <c r="AK114" i="36"/>
  <c r="AK52" i="36"/>
  <c r="AK140" i="36"/>
  <c r="AK76" i="36"/>
  <c r="AK33" i="36"/>
  <c r="AK66" i="36"/>
  <c r="AK158" i="36"/>
  <c r="AK241" i="36"/>
  <c r="AK230" i="36"/>
  <c r="AK248" i="36"/>
  <c r="AK206" i="36"/>
  <c r="AK127" i="36"/>
  <c r="AK226" i="36"/>
  <c r="AK146" i="36"/>
  <c r="AK200" i="36"/>
  <c r="AK112" i="36"/>
  <c r="AK220" i="36"/>
  <c r="AK83" i="36"/>
  <c r="AK141" i="36"/>
  <c r="AK14" i="36"/>
  <c r="AK120" i="36"/>
  <c r="AK117" i="36"/>
  <c r="AK224" i="36"/>
  <c r="AK237" i="36"/>
  <c r="AK247" i="36"/>
  <c r="AK145" i="36"/>
  <c r="AK122" i="36"/>
  <c r="AK74" i="36"/>
  <c r="AK132" i="36"/>
  <c r="AK238" i="36"/>
  <c r="AK229" i="36"/>
  <c r="AK239" i="36"/>
  <c r="AK160" i="36"/>
  <c r="AK115" i="36"/>
  <c r="AK178" i="36"/>
  <c r="AK147" i="36"/>
  <c r="AK218" i="36"/>
  <c r="AK213" i="36"/>
  <c r="AK41" i="36"/>
  <c r="AK134" i="36"/>
  <c r="AK25" i="36"/>
  <c r="AK60" i="36"/>
  <c r="AK245" i="36"/>
  <c r="AK233" i="36"/>
  <c r="AK231" i="36"/>
  <c r="AK212" i="36"/>
  <c r="AK181" i="36"/>
  <c r="AK137" i="36"/>
  <c r="AK223" i="36"/>
  <c r="AK110" i="36"/>
  <c r="AK56" i="36"/>
  <c r="AK107" i="36"/>
  <c r="AK208" i="36"/>
  <c r="AK123" i="36"/>
  <c r="AK47" i="36"/>
  <c r="AK105" i="36"/>
  <c r="AK124" i="36"/>
  <c r="AK182" i="36"/>
  <c r="AK249" i="36"/>
  <c r="AK227" i="36"/>
  <c r="AK228" i="36"/>
  <c r="AK203" i="36"/>
  <c r="AK216" i="36"/>
  <c r="AK184" i="36"/>
  <c r="AK82" i="36"/>
  <c r="AK46" i="36"/>
  <c r="AK186" i="36"/>
  <c r="AK152" i="36"/>
  <c r="AK92" i="36"/>
  <c r="AK199" i="36"/>
  <c r="AK128" i="36"/>
  <c r="AK40" i="36"/>
  <c r="AK77" i="36"/>
  <c r="AK179" i="36"/>
  <c r="AK48" i="36"/>
  <c r="AK190" i="36"/>
  <c r="AK222" i="36"/>
  <c r="AK191" i="36"/>
  <c r="AK167" i="36"/>
  <c r="AK250" i="36"/>
  <c r="AK232" i="36"/>
  <c r="AK235" i="36"/>
  <c r="AK221" i="36"/>
  <c r="AK155" i="36"/>
  <c r="AK207" i="36"/>
  <c r="AK183" i="36"/>
  <c r="AK153" i="36"/>
  <c r="AK67" i="36"/>
  <c r="AK81" i="36"/>
  <c r="AK187" i="36"/>
  <c r="AK138" i="36"/>
  <c r="AK34" i="36"/>
  <c r="AK217" i="36"/>
  <c r="AK118" i="36"/>
  <c r="AK43" i="36"/>
  <c r="AK23" i="36"/>
  <c r="AK210" i="36"/>
  <c r="AH232" i="36"/>
  <c r="AH207" i="36"/>
  <c r="AJ72" i="36"/>
  <c r="AJ142" i="36"/>
  <c r="AJ83" i="36"/>
  <c r="AH233" i="36"/>
  <c r="AJ155" i="36"/>
  <c r="AJ133" i="36"/>
  <c r="AJ9" i="36"/>
  <c r="AJ104" i="36"/>
  <c r="AJ234" i="36"/>
  <c r="AJ24" i="36"/>
  <c r="AL139" i="36"/>
  <c r="AK59" i="36"/>
  <c r="AK192" i="36"/>
  <c r="AK100" i="36"/>
  <c r="AH242" i="36"/>
  <c r="AJ230" i="36"/>
  <c r="AJ27" i="36"/>
  <c r="AI30" i="36"/>
  <c r="AH247" i="36"/>
  <c r="AJ88" i="36"/>
  <c r="AH231" i="36"/>
  <c r="AJ146" i="36"/>
  <c r="AJ103" i="36"/>
  <c r="AJ89" i="36"/>
  <c r="AJ188" i="36"/>
  <c r="AJ55" i="36"/>
  <c r="AJ229" i="36"/>
  <c r="AJ228" i="36"/>
  <c r="AJ236" i="36"/>
  <c r="AJ105" i="36"/>
  <c r="AJ22" i="36"/>
  <c r="AJ190" i="36"/>
  <c r="AJ198" i="36"/>
  <c r="AJ140" i="36"/>
  <c r="AJ62" i="36"/>
  <c r="AJ185" i="36"/>
  <c r="AJ129" i="36"/>
  <c r="AJ158" i="36"/>
  <c r="AJ79" i="36"/>
  <c r="AH238" i="36"/>
  <c r="AJ135" i="36"/>
  <c r="AJ76" i="36"/>
  <c r="AJ171" i="36"/>
  <c r="AJ46" i="36"/>
  <c r="AJ173" i="36"/>
  <c r="AJ69" i="36"/>
  <c r="AJ241" i="36"/>
  <c r="AJ250" i="36"/>
  <c r="AJ240" i="36"/>
  <c r="AJ166" i="36"/>
  <c r="AJ56" i="36"/>
  <c r="AJ12" i="36"/>
  <c r="AJ136" i="36"/>
  <c r="AK20" i="36"/>
  <c r="AK175" i="36"/>
  <c r="AK197" i="36"/>
  <c r="AK104" i="36"/>
  <c r="AJ248" i="36"/>
  <c r="AJ227" i="36"/>
  <c r="AJ244" i="36"/>
  <c r="AJ77" i="36"/>
  <c r="AJ63" i="36"/>
  <c r="AK189" i="36"/>
  <c r="AK142" i="36"/>
  <c r="AK90" i="36"/>
  <c r="AJ235" i="36"/>
  <c r="AJ197" i="36"/>
  <c r="AJ164" i="36"/>
  <c r="AJ26" i="36"/>
  <c r="AJ145" i="36"/>
  <c r="AH196" i="36"/>
  <c r="AH104" i="36"/>
  <c r="AH16" i="36"/>
  <c r="AH182" i="36"/>
  <c r="AH127" i="36"/>
  <c r="AH66" i="36"/>
  <c r="AH202" i="36"/>
  <c r="AH162" i="36"/>
  <c r="AH98" i="36"/>
  <c r="AH32" i="36"/>
  <c r="AH188" i="36"/>
  <c r="AH122" i="36"/>
  <c r="AH71" i="36"/>
  <c r="AH191" i="36"/>
  <c r="AH131" i="36"/>
  <c r="AH34" i="36"/>
  <c r="AH208" i="36"/>
  <c r="AH159" i="36"/>
  <c r="AH38" i="36"/>
  <c r="AH22" i="36"/>
  <c r="AG9" i="36"/>
  <c r="AH239" i="36"/>
  <c r="AH230" i="36"/>
  <c r="AH237" i="36"/>
  <c r="AL177" i="36"/>
  <c r="AL109" i="36"/>
  <c r="AJ160" i="36"/>
  <c r="AJ262" i="36"/>
  <c r="AJ259" i="36"/>
  <c r="AJ263" i="36"/>
  <c r="AJ255" i="36"/>
  <c r="AJ254" i="36"/>
  <c r="AJ252" i="36"/>
  <c r="AJ256" i="36"/>
  <c r="AJ261" i="36"/>
  <c r="AJ260" i="36"/>
  <c r="AJ257" i="36"/>
  <c r="AJ258" i="36"/>
  <c r="AJ253" i="36"/>
  <c r="AJ33" i="36"/>
  <c r="AJ68" i="36"/>
  <c r="AJ151" i="36"/>
  <c r="AJ251" i="36"/>
  <c r="AJ231" i="36"/>
  <c r="AJ242" i="36"/>
  <c r="AJ75" i="36"/>
  <c r="AJ144" i="36"/>
  <c r="AJ86" i="36"/>
  <c r="AJ44" i="36"/>
  <c r="AJ107" i="36"/>
  <c r="AJ184" i="36"/>
  <c r="AJ61" i="36"/>
  <c r="AJ20" i="36"/>
  <c r="AJ205" i="36"/>
  <c r="AJ51" i="36"/>
  <c r="AJ195" i="36"/>
  <c r="AJ25" i="36"/>
  <c r="AJ161" i="36"/>
  <c r="AJ169" i="36"/>
  <c r="AJ220" i="36"/>
  <c r="AJ71" i="36"/>
  <c r="AJ224" i="36"/>
  <c r="AH174" i="36"/>
  <c r="AH114" i="36"/>
  <c r="AH87" i="36"/>
  <c r="AH212" i="36"/>
  <c r="AH143" i="36"/>
  <c r="AH101" i="36"/>
  <c r="AH26" i="36"/>
  <c r="AG172" i="36"/>
  <c r="AH118" i="36"/>
  <c r="AH44" i="36"/>
  <c r="AH218" i="36"/>
  <c r="AH164" i="36"/>
  <c r="AH95" i="36"/>
  <c r="AH54" i="36"/>
  <c r="AH173" i="36"/>
  <c r="AH117" i="36"/>
  <c r="AH40" i="36"/>
  <c r="AH190" i="36"/>
  <c r="AH124" i="36"/>
  <c r="AH60" i="36"/>
  <c r="AH224" i="36"/>
  <c r="AH142" i="36"/>
  <c r="AH65" i="36"/>
  <c r="AH10" i="36"/>
  <c r="AG114" i="36"/>
  <c r="AH209" i="36"/>
  <c r="AL215" i="36"/>
  <c r="AL159" i="36"/>
  <c r="AL200" i="36"/>
  <c r="AH185" i="36"/>
  <c r="AH235" i="36"/>
  <c r="AH236" i="36"/>
  <c r="AH245" i="36"/>
  <c r="AL229" i="36"/>
  <c r="AL234" i="36"/>
  <c r="AL239" i="36"/>
  <c r="AL220" i="36"/>
  <c r="AH119" i="36"/>
  <c r="AH89" i="36"/>
  <c r="AH211" i="36"/>
  <c r="AH136" i="36"/>
  <c r="AH13" i="36"/>
  <c r="AG75" i="36"/>
  <c r="AL216" i="36"/>
  <c r="AL156" i="36"/>
  <c r="AL185" i="36"/>
  <c r="AH250" i="36"/>
  <c r="AH244" i="36"/>
  <c r="AH195" i="36"/>
  <c r="AL236" i="36"/>
  <c r="AL230" i="36"/>
  <c r="AL243" i="36"/>
  <c r="AL175" i="36"/>
  <c r="AL105" i="36"/>
  <c r="AH59" i="36"/>
  <c r="AH199" i="36"/>
  <c r="AH132" i="36"/>
  <c r="AH74" i="36"/>
  <c r="AH198" i="36"/>
  <c r="AH158" i="36"/>
  <c r="AH77" i="36"/>
  <c r="AH197" i="36"/>
  <c r="AH149" i="36"/>
  <c r="AH68" i="36"/>
  <c r="AH220" i="36"/>
  <c r="AH156" i="36"/>
  <c r="AH96" i="36"/>
  <c r="AH17" i="36"/>
  <c r="AH172" i="36"/>
  <c r="AH106" i="36"/>
  <c r="AH81" i="36"/>
  <c r="AH177" i="36"/>
  <c r="AH121" i="36"/>
  <c r="AH56" i="36"/>
  <c r="AG129" i="36"/>
  <c r="AH234" i="36"/>
  <c r="AH248" i="36"/>
  <c r="AL190" i="36"/>
  <c r="AL152" i="36"/>
  <c r="AG174" i="36"/>
  <c r="AG263" i="36"/>
  <c r="AG260" i="36"/>
  <c r="AG252" i="36"/>
  <c r="AG256" i="36"/>
  <c r="AG255" i="36"/>
  <c r="AG253" i="36"/>
  <c r="AG261" i="36"/>
  <c r="AG257" i="36"/>
  <c r="AG258" i="36"/>
  <c r="AG262" i="36"/>
  <c r="AG259" i="36"/>
  <c r="AG254" i="36"/>
  <c r="AG242" i="36"/>
  <c r="AG27" i="36"/>
  <c r="AG131" i="36"/>
  <c r="AH227" i="36"/>
  <c r="AH243" i="36"/>
  <c r="AH252" i="36"/>
  <c r="AH257" i="36"/>
  <c r="AH261" i="36"/>
  <c r="AH253" i="36"/>
  <c r="AH260" i="36"/>
  <c r="AH255" i="36"/>
  <c r="AH256" i="36"/>
  <c r="AH262" i="36"/>
  <c r="AH259" i="36"/>
  <c r="AH254" i="36"/>
  <c r="AH263" i="36"/>
  <c r="AH258" i="36"/>
  <c r="AH241" i="36"/>
  <c r="AH240" i="36"/>
  <c r="AH249" i="36"/>
  <c r="AH184" i="36"/>
  <c r="AH58" i="36"/>
  <c r="AH94" i="36"/>
  <c r="AH141" i="36"/>
  <c r="AH213" i="36"/>
  <c r="AH67" i="36"/>
  <c r="AH12" i="36"/>
  <c r="AH205" i="36"/>
  <c r="AH82" i="36"/>
  <c r="AL115" i="36"/>
  <c r="AL261" i="36"/>
  <c r="AL253" i="36"/>
  <c r="AL257" i="36"/>
  <c r="AL256" i="36"/>
  <c r="AL254" i="36"/>
  <c r="AL260" i="36"/>
  <c r="AL255" i="36"/>
  <c r="AL259" i="36"/>
  <c r="AL262" i="36"/>
  <c r="AL252" i="36"/>
  <c r="AL258" i="36"/>
  <c r="AL263" i="36"/>
  <c r="AL20" i="36"/>
  <c r="AL138" i="36"/>
  <c r="AL123" i="36"/>
  <c r="AL140" i="36"/>
  <c r="AL192" i="36"/>
  <c r="AL161" i="36"/>
  <c r="AL195" i="36"/>
  <c r="AL238" i="36"/>
  <c r="AL249" i="36"/>
  <c r="AL232" i="36"/>
  <c r="AL203" i="36"/>
  <c r="AL205" i="36"/>
  <c r="AL164" i="36"/>
  <c r="AL217" i="36"/>
  <c r="AL181" i="36"/>
  <c r="AL67" i="36"/>
  <c r="AL127" i="36"/>
  <c r="AL154" i="36"/>
  <c r="AI187" i="36"/>
  <c r="AI133" i="36"/>
  <c r="AI206" i="36"/>
  <c r="AI208" i="36"/>
  <c r="AI166" i="36"/>
  <c r="AI168" i="36"/>
  <c r="AI183" i="36"/>
  <c r="AI246" i="36"/>
  <c r="AI236" i="36"/>
  <c r="AI240" i="36"/>
  <c r="AI194" i="36"/>
  <c r="AK176" i="36"/>
  <c r="AI130" i="36"/>
  <c r="AK166" i="36"/>
  <c r="AK198" i="36"/>
  <c r="AK209" i="36"/>
  <c r="AK150" i="36"/>
  <c r="AI110" i="36"/>
  <c r="AK62" i="36"/>
  <c r="AK202" i="36"/>
  <c r="AI138" i="36"/>
  <c r="AK55" i="36"/>
  <c r="AK58" i="36"/>
  <c r="AK154" i="36"/>
  <c r="AK50" i="36"/>
  <c r="AK87" i="36"/>
  <c r="AK35" i="36"/>
  <c r="AK79" i="36"/>
  <c r="AK177" i="36"/>
  <c r="AK22" i="36"/>
  <c r="AK11" i="36"/>
  <c r="AK195" i="36"/>
  <c r="AK259" i="36"/>
  <c r="AK256" i="36"/>
  <c r="AK260" i="36"/>
  <c r="AK252" i="36"/>
  <c r="AK261" i="36"/>
  <c r="AK254" i="36"/>
  <c r="AK263" i="36"/>
  <c r="AK255" i="36"/>
  <c r="AK253" i="36"/>
  <c r="AK258" i="36"/>
  <c r="AK257" i="36"/>
  <c r="AK262" i="36"/>
  <c r="AK125" i="36"/>
  <c r="AK32" i="36"/>
  <c r="AK204" i="36"/>
  <c r="AK89" i="36"/>
  <c r="AI66" i="36"/>
  <c r="AI257" i="36"/>
  <c r="AI262" i="36"/>
  <c r="AI254" i="36"/>
  <c r="AI258" i="36"/>
  <c r="AI261" i="36"/>
  <c r="AI255" i="36"/>
  <c r="AI256" i="36"/>
  <c r="AI263" i="36"/>
  <c r="AI259" i="36"/>
  <c r="AI252" i="36"/>
  <c r="AI260" i="36"/>
  <c r="AI253" i="36"/>
  <c r="AK168" i="36"/>
  <c r="AK45" i="36"/>
  <c r="AK194" i="36"/>
  <c r="AL165" i="36"/>
  <c r="AK121" i="36"/>
  <c r="AK215" i="36"/>
  <c r="AK37" i="36"/>
  <c r="AK24" i="36"/>
  <c r="AK26" i="36"/>
  <c r="AK61" i="36"/>
  <c r="AI119" i="36"/>
  <c r="AR32" i="36"/>
  <c r="AI142" i="36"/>
  <c r="AK91" i="36"/>
  <c r="AK30" i="36"/>
  <c r="AK65" i="36"/>
  <c r="AK18" i="36"/>
  <c r="AK135" i="36"/>
  <c r="AK64" i="36"/>
  <c r="AK113" i="36"/>
  <c r="AK75" i="36"/>
  <c r="AK39" i="36"/>
  <c r="AK53" i="36"/>
  <c r="AK9" i="36"/>
  <c r="AK148" i="36"/>
  <c r="AK151" i="36"/>
  <c r="AK84" i="36"/>
  <c r="AK126" i="36"/>
  <c r="AK16" i="36"/>
  <c r="AK12" i="36"/>
  <c r="AK51" i="36"/>
  <c r="AK129" i="36"/>
  <c r="AK156" i="36"/>
  <c r="AK201" i="36"/>
  <c r="AK157" i="36"/>
  <c r="AK106" i="36"/>
  <c r="AK108" i="36"/>
  <c r="AK98" i="36"/>
  <c r="AK149" i="36"/>
  <c r="AK27" i="36"/>
  <c r="AK21" i="36"/>
  <c r="AK143" i="36"/>
  <c r="AK29" i="36"/>
  <c r="AK180" i="36"/>
  <c r="AK116" i="36"/>
  <c r="AK28" i="36"/>
  <c r="AK86" i="36"/>
  <c r="AK164" i="36"/>
  <c r="C43" i="17"/>
  <c r="C63" i="17"/>
  <c r="C58" i="17"/>
  <c r="C5" i="23"/>
  <c r="AI186" i="36"/>
  <c r="AK31" i="36"/>
  <c r="AK95" i="36"/>
  <c r="AK85" i="36"/>
  <c r="AK88" i="36"/>
  <c r="AK139" i="36"/>
  <c r="AK109" i="36"/>
  <c r="AK94" i="36"/>
  <c r="AK173" i="36"/>
  <c r="AK102" i="36"/>
  <c r="AK97" i="36"/>
  <c r="AK169" i="36"/>
  <c r="AI225" i="36"/>
  <c r="AI165" i="36"/>
  <c r="BM74" i="16"/>
  <c r="AI97" i="36"/>
  <c r="AI154" i="36"/>
  <c r="AI134" i="36"/>
  <c r="AI90" i="36"/>
  <c r="AK63" i="36"/>
  <c r="AK99" i="36"/>
  <c r="AK73" i="36"/>
  <c r="AK101" i="36"/>
  <c r="AK163" i="36"/>
  <c r="AK36" i="36"/>
  <c r="AK69" i="36"/>
  <c r="AK49" i="36"/>
  <c r="AK96" i="36"/>
  <c r="AK119" i="36"/>
  <c r="AK174" i="36"/>
  <c r="AK93" i="36"/>
  <c r="AK219" i="36"/>
  <c r="AI42" i="36"/>
  <c r="AK71" i="36"/>
  <c r="AK10" i="36"/>
  <c r="AK19" i="36"/>
  <c r="AK188" i="36"/>
  <c r="AK57" i="36"/>
  <c r="AK72" i="36"/>
  <c r="AK78" i="36"/>
  <c r="AK70" i="36"/>
  <c r="AK13" i="36"/>
  <c r="AK15" i="36"/>
  <c r="AK80" i="36"/>
  <c r="AJ17" i="36"/>
  <c r="AJ13" i="36"/>
  <c r="AJ18" i="36"/>
  <c r="AL189" i="36"/>
  <c r="AL132" i="36"/>
  <c r="AL211" i="36"/>
  <c r="AI174" i="36"/>
  <c r="AI105" i="36"/>
  <c r="AI9" i="36"/>
  <c r="AJ10" i="36"/>
  <c r="AG168" i="36"/>
  <c r="AG219" i="36"/>
  <c r="AG132" i="36"/>
  <c r="AG166" i="36"/>
  <c r="AG110" i="36"/>
  <c r="AG39" i="36"/>
  <c r="AG165" i="36"/>
  <c r="AG105" i="36"/>
  <c r="AG16" i="36"/>
  <c r="AG155" i="36"/>
  <c r="AG47" i="36"/>
  <c r="AG67" i="36"/>
  <c r="AG202" i="36"/>
  <c r="AG106" i="36"/>
  <c r="AG35" i="36"/>
  <c r="AG116" i="36"/>
  <c r="AG17" i="36"/>
  <c r="AG107" i="36"/>
  <c r="AG99" i="36"/>
  <c r="AG232" i="36"/>
  <c r="AG244" i="36"/>
  <c r="AG246" i="36"/>
  <c r="AG198" i="36"/>
  <c r="AG212" i="36"/>
  <c r="AI198" i="36"/>
  <c r="AG170" i="36"/>
  <c r="AG51" i="36"/>
  <c r="AG204" i="36"/>
  <c r="AG163" i="36"/>
  <c r="AG43" i="36"/>
  <c r="AG65" i="36"/>
  <c r="AG142" i="36"/>
  <c r="AG21" i="36"/>
  <c r="AG169" i="36"/>
  <c r="AG68" i="36"/>
  <c r="AG207" i="36"/>
  <c r="AG82" i="36"/>
  <c r="AG28" i="36"/>
  <c r="AG108" i="36"/>
  <c r="AG38" i="36"/>
  <c r="AG46" i="36"/>
  <c r="AG12" i="36"/>
  <c r="AG227" i="36"/>
  <c r="AG240" i="36"/>
  <c r="AG250" i="36"/>
  <c r="AI26" i="36"/>
  <c r="AI94" i="36"/>
  <c r="AI224" i="36"/>
  <c r="AG159" i="36"/>
  <c r="AG92" i="36"/>
  <c r="AG37" i="36"/>
  <c r="AG220" i="36"/>
  <c r="AG175" i="36"/>
  <c r="AG208" i="36"/>
  <c r="AG194" i="36"/>
  <c r="AG57" i="36"/>
  <c r="AG101" i="36"/>
  <c r="AG136" i="36"/>
  <c r="AG86" i="36"/>
  <c r="AG161" i="36"/>
  <c r="AG69" i="36"/>
  <c r="AG184" i="36"/>
  <c r="AG53" i="36"/>
  <c r="AG206" i="36"/>
  <c r="AG34" i="36"/>
  <c r="AG20" i="36"/>
  <c r="AG32" i="36"/>
  <c r="AG239" i="36"/>
  <c r="AG247" i="36"/>
  <c r="AG237" i="36"/>
  <c r="AL11" i="36"/>
  <c r="AI98" i="36"/>
  <c r="AG157" i="36"/>
  <c r="AG200" i="36"/>
  <c r="AG178" i="36"/>
  <c r="AG158" i="36"/>
  <c r="AG123" i="36"/>
  <c r="AG81" i="36"/>
  <c r="AG11" i="36"/>
  <c r="AG209" i="36"/>
  <c r="AG182" i="36"/>
  <c r="AG197" i="36"/>
  <c r="AG181" i="36"/>
  <c r="AG164" i="36"/>
  <c r="AG120" i="36"/>
  <c r="AG64" i="36"/>
  <c r="AG29" i="36"/>
  <c r="AG222" i="36"/>
  <c r="AG115" i="36"/>
  <c r="AG49" i="36"/>
  <c r="AG144" i="36"/>
  <c r="AG54" i="36"/>
  <c r="AG154" i="36"/>
  <c r="AG23" i="36"/>
  <c r="AG211" i="36"/>
  <c r="AG89" i="36"/>
  <c r="AG210" i="36"/>
  <c r="AG80" i="36"/>
  <c r="AG236" i="36"/>
  <c r="AG231" i="36"/>
  <c r="AG241" i="36"/>
  <c r="AG191" i="36"/>
  <c r="AG218" i="36"/>
  <c r="AI128" i="36"/>
  <c r="AG156" i="36"/>
  <c r="AL81" i="36"/>
  <c r="AI11" i="36"/>
  <c r="AI15" i="36"/>
  <c r="AG162" i="36"/>
  <c r="AG216" i="36"/>
  <c r="AG183" i="36"/>
  <c r="AG128" i="36"/>
  <c r="AG77" i="36"/>
  <c r="AG103" i="36"/>
  <c r="AG223" i="36"/>
  <c r="AG179" i="36"/>
  <c r="AG141" i="36"/>
  <c r="AG213" i="36"/>
  <c r="AG186" i="36"/>
  <c r="AG60" i="36"/>
  <c r="AG102" i="36"/>
  <c r="AG224" i="36"/>
  <c r="AG73" i="36"/>
  <c r="AG13" i="36"/>
  <c r="AG134" i="36"/>
  <c r="AG98" i="36"/>
  <c r="AG143" i="36"/>
  <c r="AG48" i="36"/>
  <c r="AG188" i="36"/>
  <c r="AG104" i="36"/>
  <c r="AG215" i="36"/>
  <c r="AG88" i="36"/>
  <c r="AG248" i="36"/>
  <c r="AG229" i="36"/>
  <c r="AG233" i="36"/>
  <c r="AG193" i="36"/>
  <c r="AG66" i="36"/>
  <c r="AJ52" i="36"/>
  <c r="AG176" i="36"/>
  <c r="AG205" i="36"/>
  <c r="AG152" i="36"/>
  <c r="AG84" i="36"/>
  <c r="AG146" i="36"/>
  <c r="AG225" i="36"/>
  <c r="AG145" i="36"/>
  <c r="AG119" i="36"/>
  <c r="AG58" i="36"/>
  <c r="AG14" i="36"/>
  <c r="AG185" i="36"/>
  <c r="AG91" i="36"/>
  <c r="AG195" i="36"/>
  <c r="AG121" i="36"/>
  <c r="AG44" i="36"/>
  <c r="AG133" i="36"/>
  <c r="AG41" i="36"/>
  <c r="AG160" i="36"/>
  <c r="AG26" i="36"/>
  <c r="AG190" i="36"/>
  <c r="AG56" i="36"/>
  <c r="AG251" i="36"/>
  <c r="AG234" i="36"/>
  <c r="AG230" i="36"/>
  <c r="AG201" i="36"/>
  <c r="AL37" i="36"/>
  <c r="AI171" i="36"/>
  <c r="AG214" i="36"/>
  <c r="AG192" i="36"/>
  <c r="AG148" i="36"/>
  <c r="AG221" i="36"/>
  <c r="AG153" i="36"/>
  <c r="AG118" i="36"/>
  <c r="AG24" i="36"/>
  <c r="AG135" i="36"/>
  <c r="AG138" i="36"/>
  <c r="AG83" i="36"/>
  <c r="AG171" i="36"/>
  <c r="AG62" i="36"/>
  <c r="AG199" i="36"/>
  <c r="AG117" i="36"/>
  <c r="AG97" i="36"/>
  <c r="AG127" i="36"/>
  <c r="AG40" i="36"/>
  <c r="AG147" i="36"/>
  <c r="AG10" i="36"/>
  <c r="AG149" i="36"/>
  <c r="AG72" i="36"/>
  <c r="AG235" i="36"/>
  <c r="AG238" i="36"/>
  <c r="AG245" i="36"/>
  <c r="AG19" i="36"/>
  <c r="AL143" i="36"/>
  <c r="AL129" i="36"/>
  <c r="AG15" i="36"/>
  <c r="AG59" i="36"/>
  <c r="AG50" i="36"/>
  <c r="AG90" i="36"/>
  <c r="AG126" i="36"/>
  <c r="AG22" i="36"/>
  <c r="AL86" i="36"/>
  <c r="AL101" i="36"/>
  <c r="AL45" i="36"/>
  <c r="AL14" i="36"/>
  <c r="AL30" i="36"/>
  <c r="AL15" i="36"/>
  <c r="AI19" i="36"/>
  <c r="AI22" i="36"/>
  <c r="AL153" i="36"/>
  <c r="AL113" i="36"/>
  <c r="AG25" i="36"/>
  <c r="AG150" i="36"/>
  <c r="AG109" i="36"/>
  <c r="AG78" i="36"/>
  <c r="AG177" i="36"/>
  <c r="AG31" i="36"/>
  <c r="AL89" i="36"/>
  <c r="AL41" i="36"/>
  <c r="AL102" i="36"/>
  <c r="AL149" i="36"/>
  <c r="AG85" i="36"/>
  <c r="AG79" i="36"/>
  <c r="AG71" i="36"/>
  <c r="AG95" i="36"/>
  <c r="AG96" i="36"/>
  <c r="AG55" i="36"/>
  <c r="AL219" i="36"/>
  <c r="AL213" i="36"/>
  <c r="AL188" i="36"/>
  <c r="AL146" i="36"/>
  <c r="AL131" i="36"/>
  <c r="AL125" i="36"/>
  <c r="AL110" i="36"/>
  <c r="AL36" i="36"/>
  <c r="AL47" i="36"/>
  <c r="AL68" i="36"/>
  <c r="AL40" i="36"/>
  <c r="AL122" i="36"/>
  <c r="AL25" i="36"/>
  <c r="AL97" i="36"/>
  <c r="AL34" i="36"/>
  <c r="AL79" i="36"/>
  <c r="AL69" i="36"/>
  <c r="AL16" i="36"/>
  <c r="AL72" i="36"/>
  <c r="AL221" i="36"/>
  <c r="AL193" i="36"/>
  <c r="AL150" i="36"/>
  <c r="AL120" i="36"/>
  <c r="AL107" i="36"/>
  <c r="AL99" i="36"/>
  <c r="AL96" i="36"/>
  <c r="AL43" i="36"/>
  <c r="AL88" i="36"/>
  <c r="AL80" i="36"/>
  <c r="AL17" i="36"/>
  <c r="AL223" i="36"/>
  <c r="AL172" i="36"/>
  <c r="AL94" i="36"/>
  <c r="AL62" i="36"/>
  <c r="AL39" i="36"/>
  <c r="AL29" i="36"/>
  <c r="AL92" i="36"/>
  <c r="AL85" i="36"/>
  <c r="AL160" i="36"/>
  <c r="AL106" i="36"/>
  <c r="AL87" i="36"/>
  <c r="AL173" i="36"/>
  <c r="AL162" i="36"/>
  <c r="AL124" i="36"/>
  <c r="AL117" i="36"/>
  <c r="AL95" i="36"/>
  <c r="AL71" i="36"/>
  <c r="AL52" i="36"/>
  <c r="AL27" i="36"/>
  <c r="AL187" i="36"/>
  <c r="AL119" i="36"/>
  <c r="AL63" i="36"/>
  <c r="AL54" i="36"/>
  <c r="AL126" i="36"/>
  <c r="AL191" i="36"/>
  <c r="AL137" i="36"/>
  <c r="AL128" i="36"/>
  <c r="AL112" i="36"/>
  <c r="AL28" i="36"/>
  <c r="AL104" i="36"/>
  <c r="AL59" i="36"/>
  <c r="AL64" i="36"/>
  <c r="AL84" i="36"/>
  <c r="AL76" i="36"/>
  <c r="AL32" i="36"/>
  <c r="AL44" i="36"/>
  <c r="AL12" i="36"/>
  <c r="AL23" i="36"/>
  <c r="AL204" i="36"/>
  <c r="AL176" i="36"/>
  <c r="AL170" i="36"/>
  <c r="AL135" i="36"/>
  <c r="AL118" i="36"/>
  <c r="AL55" i="36"/>
  <c r="AL91" i="36"/>
  <c r="AL83" i="36"/>
  <c r="AL75" i="36"/>
  <c r="AL31" i="36"/>
  <c r="AL100" i="36"/>
  <c r="AL49" i="36"/>
  <c r="AL21" i="36"/>
  <c r="AL9" i="36"/>
  <c r="AL48" i="36"/>
  <c r="AL103" i="36"/>
  <c r="AL51" i="36"/>
  <c r="AL33" i="36"/>
  <c r="AL10" i="36"/>
  <c r="AL121" i="36"/>
  <c r="AL24" i="36"/>
  <c r="AL133" i="36"/>
  <c r="AL186" i="36"/>
  <c r="AL90" i="36"/>
  <c r="AL56" i="36"/>
  <c r="AL82" i="36"/>
  <c r="AL60" i="36"/>
  <c r="AL208" i="36"/>
  <c r="AL35" i="36"/>
  <c r="AL77" i="36"/>
  <c r="AL108" i="36"/>
  <c r="AL74" i="36"/>
  <c r="AL61" i="36"/>
  <c r="AL144" i="36"/>
  <c r="AL42" i="36"/>
  <c r="AL78" i="36"/>
  <c r="AL98" i="36"/>
  <c r="AL145" i="36"/>
  <c r="AL194" i="36"/>
  <c r="AG111" i="36"/>
  <c r="AG61" i="36"/>
  <c r="AG70" i="36"/>
  <c r="AG180" i="36"/>
  <c r="AG33" i="36"/>
  <c r="AG36" i="36"/>
  <c r="AJ202" i="36"/>
  <c r="AJ34" i="36"/>
  <c r="AJ82" i="36"/>
  <c r="AJ152" i="36"/>
  <c r="AJ90" i="36"/>
  <c r="AJ147" i="36"/>
  <c r="AJ110" i="36"/>
  <c r="AJ41" i="36"/>
  <c r="AJ80" i="36"/>
  <c r="AJ29" i="36"/>
  <c r="AJ30" i="36"/>
  <c r="AJ78" i="36"/>
  <c r="AJ81" i="36"/>
  <c r="AJ225" i="36"/>
  <c r="AJ70" i="36"/>
  <c r="AJ35" i="36"/>
  <c r="AJ121" i="36"/>
  <c r="AJ54" i="36"/>
  <c r="AJ74" i="36"/>
  <c r="AJ40" i="36"/>
  <c r="AJ37" i="36"/>
  <c r="AJ99" i="36"/>
  <c r="AJ16" i="36"/>
  <c r="AJ113" i="36"/>
  <c r="AJ38" i="36"/>
  <c r="AJ19" i="36"/>
  <c r="AJ47" i="36"/>
  <c r="AJ58" i="36"/>
  <c r="AJ57" i="36"/>
  <c r="AI62" i="36"/>
  <c r="AL73" i="36"/>
  <c r="AJ36" i="36"/>
  <c r="AJ73" i="36"/>
  <c r="AL70" i="36"/>
  <c r="AI86" i="36"/>
  <c r="AL141" i="36"/>
  <c r="AG113" i="36"/>
  <c r="AG87" i="36"/>
  <c r="AG94" i="36"/>
  <c r="AG196" i="36"/>
  <c r="AG100" i="36"/>
  <c r="AG112" i="36"/>
  <c r="AI195" i="36"/>
  <c r="AI150" i="36"/>
  <c r="AI117" i="36"/>
  <c r="AI111" i="36"/>
  <c r="AI12" i="36"/>
  <c r="AI91" i="36"/>
  <c r="AI83" i="36"/>
  <c r="AI75" i="36"/>
  <c r="AI44" i="36"/>
  <c r="AI14" i="36"/>
  <c r="AI47" i="36"/>
  <c r="AI73" i="36"/>
  <c r="AI41" i="36"/>
  <c r="AI101" i="36"/>
  <c r="AI175" i="36"/>
  <c r="AI162" i="36"/>
  <c r="AI68" i="36"/>
  <c r="AI71" i="36"/>
  <c r="AI45" i="36"/>
  <c r="AI188" i="36"/>
  <c r="AI169" i="36"/>
  <c r="AI159" i="36"/>
  <c r="AI137" i="36"/>
  <c r="AI120" i="36"/>
  <c r="AI108" i="36"/>
  <c r="AI104" i="36"/>
  <c r="AI96" i="36"/>
  <c r="AI72" i="36"/>
  <c r="AI39" i="36"/>
  <c r="AI93" i="36"/>
  <c r="AI43" i="36"/>
  <c r="AI49" i="36"/>
  <c r="AI61" i="36"/>
  <c r="AI20" i="36"/>
  <c r="AI13" i="36"/>
  <c r="AI40" i="36"/>
  <c r="AI135" i="36"/>
  <c r="AI126" i="36"/>
  <c r="AI103" i="36"/>
  <c r="AI89" i="36"/>
  <c r="AI17" i="36"/>
  <c r="AI28" i="36"/>
  <c r="AI112" i="36"/>
  <c r="AI81" i="36"/>
  <c r="AI182" i="36"/>
  <c r="AI164" i="36"/>
  <c r="AI136" i="36"/>
  <c r="AI123" i="36"/>
  <c r="AI106" i="36"/>
  <c r="AI95" i="36"/>
  <c r="AI88" i="36"/>
  <c r="AI80" i="36"/>
  <c r="AI64" i="36"/>
  <c r="AI37" i="36"/>
  <c r="AI67" i="36"/>
  <c r="AI69" i="36"/>
  <c r="AI53" i="36"/>
  <c r="AI25" i="36"/>
  <c r="AI147" i="36"/>
  <c r="AI132" i="36"/>
  <c r="AI125" i="36"/>
  <c r="AI100" i="36"/>
  <c r="AI140" i="36"/>
  <c r="AI127" i="36"/>
  <c r="AI114" i="36"/>
  <c r="AI10" i="36"/>
  <c r="AI56" i="36"/>
  <c r="AI35" i="36"/>
  <c r="AI59" i="36"/>
  <c r="AI23" i="36"/>
  <c r="AI152" i="36"/>
  <c r="AI129" i="36"/>
  <c r="AI116" i="36"/>
  <c r="AI107" i="36"/>
  <c r="AI99" i="36"/>
  <c r="AI31" i="36"/>
  <c r="AI85" i="36"/>
  <c r="AI77" i="36"/>
  <c r="AI52" i="36"/>
  <c r="AI16" i="36"/>
  <c r="AI55" i="36"/>
  <c r="AI29" i="36"/>
  <c r="AI33" i="36"/>
  <c r="AI84" i="36"/>
  <c r="AI51" i="36"/>
  <c r="AI79" i="36"/>
  <c r="AI65" i="36"/>
  <c r="AI118" i="36"/>
  <c r="AI48" i="36"/>
  <c r="AI63" i="36"/>
  <c r="AI76" i="36"/>
  <c r="AI87" i="36"/>
  <c r="AI32" i="36"/>
  <c r="AI60" i="36"/>
  <c r="AI18" i="36"/>
  <c r="AI24" i="36"/>
  <c r="AI153" i="36"/>
  <c r="AI36" i="36"/>
  <c r="AI109" i="36"/>
  <c r="AI92" i="36"/>
  <c r="AI57" i="36"/>
  <c r="AI58" i="36"/>
  <c r="AI50" i="36"/>
  <c r="AL65" i="36"/>
  <c r="AJ28" i="36"/>
  <c r="AL66" i="36"/>
  <c r="AJ65" i="36"/>
  <c r="AI78" i="36"/>
  <c r="AI82" i="36"/>
  <c r="AL136" i="36"/>
  <c r="AI46" i="36"/>
  <c r="AI151" i="36"/>
  <c r="AG137" i="36"/>
  <c r="AG140" i="36"/>
  <c r="AG139" i="36"/>
  <c r="AG18" i="36"/>
  <c r="AG93" i="36"/>
  <c r="AG125" i="36"/>
  <c r="AI38" i="36"/>
  <c r="AL57" i="36"/>
  <c r="AJ21" i="36"/>
  <c r="AL50" i="36"/>
  <c r="AL58" i="36"/>
  <c r="AI54" i="36"/>
  <c r="AI70" i="36"/>
  <c r="AI74" i="36"/>
  <c r="AI34" i="36"/>
  <c r="AG30" i="36"/>
  <c r="AG226" i="36"/>
  <c r="AG187" i="36"/>
  <c r="AG45" i="36"/>
  <c r="AG124" i="36"/>
  <c r="AL53" i="36"/>
  <c r="AL18" i="36"/>
  <c r="AL46" i="36"/>
  <c r="AL26" i="36"/>
  <c r="AL38" i="36"/>
  <c r="AL19" i="36"/>
  <c r="AH216" i="36"/>
  <c r="AH161" i="36"/>
  <c r="AH148" i="36"/>
  <c r="AH111" i="36"/>
  <c r="AH84" i="36"/>
  <c r="AH147" i="36"/>
  <c r="AH113" i="36"/>
  <c r="AH76" i="36"/>
  <c r="AH100" i="36"/>
  <c r="AH137" i="36"/>
  <c r="AH47" i="36"/>
  <c r="AH24" i="36"/>
  <c r="AH33" i="36"/>
  <c r="AH97" i="36"/>
  <c r="AH18" i="36"/>
  <c r="AH72" i="36"/>
  <c r="AH129" i="36"/>
  <c r="AH49" i="36"/>
  <c r="AH30" i="36"/>
  <c r="AH200" i="36"/>
  <c r="AH154" i="36"/>
  <c r="AH92" i="36"/>
  <c r="AH25" i="36"/>
  <c r="BM77" i="16"/>
  <c r="BM72" i="16"/>
  <c r="BM78" i="16"/>
  <c r="BM70" i="16"/>
  <c r="BM68" i="16"/>
  <c r="BM75" i="16"/>
  <c r="BM67" i="16"/>
  <c r="DS78" i="16"/>
  <c r="DK78" i="16"/>
  <c r="DC78" i="16"/>
  <c r="CU78" i="16"/>
  <c r="CM78" i="16"/>
  <c r="CE78" i="16"/>
  <c r="BW78" i="16"/>
  <c r="BO78" i="16"/>
  <c r="DN77" i="16"/>
  <c r="DF77" i="16"/>
  <c r="CX77" i="16"/>
  <c r="CP77" i="16"/>
  <c r="CH77" i="16"/>
  <c r="BZ77" i="16"/>
  <c r="BR77" i="16"/>
  <c r="DQ76" i="16"/>
  <c r="DQ78" i="16"/>
  <c r="DI78" i="16"/>
  <c r="DA78" i="16"/>
  <c r="CS78" i="16"/>
  <c r="CK78" i="16"/>
  <c r="CC78" i="16"/>
  <c r="BU78" i="16"/>
  <c r="DT77" i="16"/>
  <c r="DL77" i="16"/>
  <c r="DD77" i="16"/>
  <c r="CV77" i="16"/>
  <c r="CN77" i="16"/>
  <c r="CF77" i="16"/>
  <c r="BX77" i="16"/>
  <c r="BP77" i="16"/>
  <c r="DO76" i="16"/>
  <c r="DO78" i="16"/>
  <c r="DG78" i="16"/>
  <c r="CY78" i="16"/>
  <c r="CQ78" i="16"/>
  <c r="CI78" i="16"/>
  <c r="CA78" i="16"/>
  <c r="BS78" i="16"/>
  <c r="DR77" i="16"/>
  <c r="DJ77" i="16"/>
  <c r="DB77" i="16"/>
  <c r="CT77" i="16"/>
  <c r="CL77" i="16"/>
  <c r="CD77" i="16"/>
  <c r="BV77" i="16"/>
  <c r="BN77" i="16"/>
  <c r="DM76" i="16"/>
  <c r="DN78" i="16"/>
  <c r="DF78" i="16"/>
  <c r="CX78" i="16"/>
  <c r="CP78" i="16"/>
  <c r="CH78" i="16"/>
  <c r="BZ78" i="16"/>
  <c r="BR78" i="16"/>
  <c r="DQ77" i="16"/>
  <c r="DI77" i="16"/>
  <c r="DA77" i="16"/>
  <c r="CS77" i="16"/>
  <c r="CK77" i="16"/>
  <c r="CC77" i="16"/>
  <c r="BU77" i="16"/>
  <c r="DT76" i="16"/>
  <c r="DL76" i="16"/>
  <c r="DM78" i="16"/>
  <c r="DE78" i="16"/>
  <c r="CW78" i="16"/>
  <c r="CO78" i="16"/>
  <c r="CG78" i="16"/>
  <c r="BY78" i="16"/>
  <c r="BQ78" i="16"/>
  <c r="DP77" i="16"/>
  <c r="DH77" i="16"/>
  <c r="CZ77" i="16"/>
  <c r="CR77" i="16"/>
  <c r="CJ77" i="16"/>
  <c r="CB77" i="16"/>
  <c r="BT77" i="16"/>
  <c r="DS76" i="16"/>
  <c r="DK76" i="16"/>
  <c r="DJ78" i="16"/>
  <c r="CN78" i="16"/>
  <c r="BT78" i="16"/>
  <c r="DE77" i="16"/>
  <c r="CI77" i="16"/>
  <c r="BO77" i="16"/>
  <c r="DF76" i="16"/>
  <c r="CX76" i="16"/>
  <c r="CP76" i="16"/>
  <c r="CH76" i="16"/>
  <c r="BZ76" i="16"/>
  <c r="BR76" i="16"/>
  <c r="DQ75" i="16"/>
  <c r="DI75" i="16"/>
  <c r="DA75" i="16"/>
  <c r="CS75" i="16"/>
  <c r="CK75" i="16"/>
  <c r="CC75" i="16"/>
  <c r="BU75" i="16"/>
  <c r="DT74" i="16"/>
  <c r="DL74" i="16"/>
  <c r="DD74" i="16"/>
  <c r="CV74" i="16"/>
  <c r="CN74" i="16"/>
  <c r="CF74" i="16"/>
  <c r="BX74" i="16"/>
  <c r="BP74" i="16"/>
  <c r="DO73" i="16"/>
  <c r="DG73" i="16"/>
  <c r="CY73" i="16"/>
  <c r="CQ73" i="16"/>
  <c r="CI73" i="16"/>
  <c r="CA73" i="16"/>
  <c r="BS73" i="16"/>
  <c r="DR72" i="16"/>
  <c r="DJ72" i="16"/>
  <c r="DB72" i="16"/>
  <c r="CT72" i="16"/>
  <c r="CL72" i="16"/>
  <c r="CD72" i="16"/>
  <c r="BV72" i="16"/>
  <c r="BN72" i="16"/>
  <c r="DM71" i="16"/>
  <c r="DE71" i="16"/>
  <c r="CW71" i="16"/>
  <c r="CO71" i="16"/>
  <c r="CG71" i="16"/>
  <c r="BY71" i="16"/>
  <c r="BQ71" i="16"/>
  <c r="DP70" i="16"/>
  <c r="DH70" i="16"/>
  <c r="CZ70" i="16"/>
  <c r="CR70" i="16"/>
  <c r="CJ70" i="16"/>
  <c r="CB70" i="16"/>
  <c r="DD78" i="16"/>
  <c r="CJ78" i="16"/>
  <c r="BN78" i="16"/>
  <c r="CY77" i="16"/>
  <c r="CE77" i="16"/>
  <c r="DP76" i="16"/>
  <c r="DD76" i="16"/>
  <c r="CV76" i="16"/>
  <c r="CN76" i="16"/>
  <c r="CF76" i="16"/>
  <c r="BX76" i="16"/>
  <c r="BP76" i="16"/>
  <c r="DO75" i="16"/>
  <c r="DG75" i="16"/>
  <c r="CY75" i="16"/>
  <c r="CQ75" i="16"/>
  <c r="CI75" i="16"/>
  <c r="CA75" i="16"/>
  <c r="BS75" i="16"/>
  <c r="DR74" i="16"/>
  <c r="DJ74" i="16"/>
  <c r="DB74" i="16"/>
  <c r="CT74" i="16"/>
  <c r="CL74" i="16"/>
  <c r="CD74" i="16"/>
  <c r="BV74" i="16"/>
  <c r="BN74" i="16"/>
  <c r="DM73" i="16"/>
  <c r="DE73" i="16"/>
  <c r="CW73" i="16"/>
  <c r="CO73" i="16"/>
  <c r="CG73" i="16"/>
  <c r="BY73" i="16"/>
  <c r="BQ73" i="16"/>
  <c r="DP72" i="16"/>
  <c r="DH72" i="16"/>
  <c r="CZ72" i="16"/>
  <c r="CR72" i="16"/>
  <c r="CJ72" i="16"/>
  <c r="CB72" i="16"/>
  <c r="BT72" i="16"/>
  <c r="DS71" i="16"/>
  <c r="DK71" i="16"/>
  <c r="DC71" i="16"/>
  <c r="CU71" i="16"/>
  <c r="CM71" i="16"/>
  <c r="CE71" i="16"/>
  <c r="BW71" i="16"/>
  <c r="BO71" i="16"/>
  <c r="DN70" i="16"/>
  <c r="DF70" i="16"/>
  <c r="CX70" i="16"/>
  <c r="CP70" i="16"/>
  <c r="CH70" i="16"/>
  <c r="BZ70" i="16"/>
  <c r="BR70" i="16"/>
  <c r="DQ69" i="16"/>
  <c r="DI69" i="16"/>
  <c r="DA69" i="16"/>
  <c r="DT78" i="16"/>
  <c r="CZ78" i="16"/>
  <c r="CD78" i="16"/>
  <c r="DO77" i="16"/>
  <c r="CU77" i="16"/>
  <c r="BY77" i="16"/>
  <c r="DJ76" i="16"/>
  <c r="DB76" i="16"/>
  <c r="CT76" i="16"/>
  <c r="CL76" i="16"/>
  <c r="CD76" i="16"/>
  <c r="BV76" i="16"/>
  <c r="BN76" i="16"/>
  <c r="DM75" i="16"/>
  <c r="DE75" i="16"/>
  <c r="CW75" i="16"/>
  <c r="CO75" i="16"/>
  <c r="CG75" i="16"/>
  <c r="BY75" i="16"/>
  <c r="BQ75" i="16"/>
  <c r="DP74" i="16"/>
  <c r="DH74" i="16"/>
  <c r="CZ74" i="16"/>
  <c r="CR74" i="16"/>
  <c r="CJ74" i="16"/>
  <c r="CB74" i="16"/>
  <c r="BT74" i="16"/>
  <c r="DS73" i="16"/>
  <c r="DK73" i="16"/>
  <c r="DC73" i="16"/>
  <c r="CU73" i="16"/>
  <c r="CM73" i="16"/>
  <c r="CE73" i="16"/>
  <c r="BW73" i="16"/>
  <c r="BO73" i="16"/>
  <c r="DN72" i="16"/>
  <c r="DF72" i="16"/>
  <c r="CX72" i="16"/>
  <c r="CP72" i="16"/>
  <c r="CH72" i="16"/>
  <c r="BZ72" i="16"/>
  <c r="BR72" i="16"/>
  <c r="DQ71" i="16"/>
  <c r="DI71" i="16"/>
  <c r="DA71" i="16"/>
  <c r="CS71" i="16"/>
  <c r="CK71" i="16"/>
  <c r="CC71" i="16"/>
  <c r="BU71" i="16"/>
  <c r="DT70" i="16"/>
  <c r="DL70" i="16"/>
  <c r="DD70" i="16"/>
  <c r="CV70" i="16"/>
  <c r="CN70" i="16"/>
  <c r="CF70" i="16"/>
  <c r="BX70" i="16"/>
  <c r="BP70" i="16"/>
  <c r="DO69" i="16"/>
  <c r="DG69" i="16"/>
  <c r="CY69" i="16"/>
  <c r="DP78" i="16"/>
  <c r="CF78" i="16"/>
  <c r="DG77" i="16"/>
  <c r="BW77" i="16"/>
  <c r="DE76" i="16"/>
  <c r="CR76" i="16"/>
  <c r="CE76" i="16"/>
  <c r="BS76" i="16"/>
  <c r="DL75" i="16"/>
  <c r="CZ75" i="16"/>
  <c r="CM75" i="16"/>
  <c r="BZ75" i="16"/>
  <c r="BN75" i="16"/>
  <c r="DG74" i="16"/>
  <c r="CU74" i="16"/>
  <c r="CH74" i="16"/>
  <c r="BU74" i="16"/>
  <c r="DP73" i="16"/>
  <c r="DB73" i="16"/>
  <c r="CP73" i="16"/>
  <c r="CC73" i="16"/>
  <c r="BP73" i="16"/>
  <c r="DK72" i="16"/>
  <c r="CW72" i="16"/>
  <c r="CK72" i="16"/>
  <c r="BX72" i="16"/>
  <c r="DR71" i="16"/>
  <c r="DF71" i="16"/>
  <c r="CR71" i="16"/>
  <c r="CF71" i="16"/>
  <c r="BS71" i="16"/>
  <c r="DM70" i="16"/>
  <c r="DA70" i="16"/>
  <c r="CM70" i="16"/>
  <c r="CA70" i="16"/>
  <c r="BO70" i="16"/>
  <c r="DL69" i="16"/>
  <c r="DB69" i="16"/>
  <c r="CR69" i="16"/>
  <c r="CJ69" i="16"/>
  <c r="CB69" i="16"/>
  <c r="BT69" i="16"/>
  <c r="DS68" i="16"/>
  <c r="DK68" i="16"/>
  <c r="DC68" i="16"/>
  <c r="CU68" i="16"/>
  <c r="CM68" i="16"/>
  <c r="CE68" i="16"/>
  <c r="BW68" i="16"/>
  <c r="BO68" i="16"/>
  <c r="DN67" i="16"/>
  <c r="DF67" i="16"/>
  <c r="CX67" i="16"/>
  <c r="CP67" i="16"/>
  <c r="CH67" i="16"/>
  <c r="BZ67" i="16"/>
  <c r="BR67" i="16"/>
  <c r="DH78" i="16"/>
  <c r="BX78" i="16"/>
  <c r="CW77" i="16"/>
  <c r="BQ77" i="16"/>
  <c r="DA76" i="16"/>
  <c r="CO76" i="16"/>
  <c r="CB76" i="16"/>
  <c r="BO76" i="16"/>
  <c r="DJ75" i="16"/>
  <c r="CV75" i="16"/>
  <c r="CJ75" i="16"/>
  <c r="BW75" i="16"/>
  <c r="DQ74" i="16"/>
  <c r="DE74" i="16"/>
  <c r="CQ74" i="16"/>
  <c r="CE74" i="16"/>
  <c r="BR74" i="16"/>
  <c r="DL73" i="16"/>
  <c r="CZ73" i="16"/>
  <c r="CL73" i="16"/>
  <c r="BZ73" i="16"/>
  <c r="DT72" i="16"/>
  <c r="DG72" i="16"/>
  <c r="CU72" i="16"/>
  <c r="CG72" i="16"/>
  <c r="BU72" i="16"/>
  <c r="DO71" i="16"/>
  <c r="DB71" i="16"/>
  <c r="CP71" i="16"/>
  <c r="CB71" i="16"/>
  <c r="BP71" i="16"/>
  <c r="DJ70" i="16"/>
  <c r="CW70" i="16"/>
  <c r="CK70" i="16"/>
  <c r="BW70" i="16"/>
  <c r="DT69" i="16"/>
  <c r="DJ69" i="16"/>
  <c r="CX69" i="16"/>
  <c r="CP69" i="16"/>
  <c r="CH69" i="16"/>
  <c r="BZ69" i="16"/>
  <c r="BR69" i="16"/>
  <c r="DQ68" i="16"/>
  <c r="DI68" i="16"/>
  <c r="DA68" i="16"/>
  <c r="CS68" i="16"/>
  <c r="CK68" i="16"/>
  <c r="CC68" i="16"/>
  <c r="BU68" i="16"/>
  <c r="DT67" i="16"/>
  <c r="DL67" i="16"/>
  <c r="DD67" i="16"/>
  <c r="CV67" i="16"/>
  <c r="CN67" i="16"/>
  <c r="CF67" i="16"/>
  <c r="BX67" i="16"/>
  <c r="BP67" i="16"/>
  <c r="CV78" i="16"/>
  <c r="BP78" i="16"/>
  <c r="CO77" i="16"/>
  <c r="DN76" i="16"/>
  <c r="CY76" i="16"/>
  <c r="CK76" i="16"/>
  <c r="BY76" i="16"/>
  <c r="DS75" i="16"/>
  <c r="DF75" i="16"/>
  <c r="CT75" i="16"/>
  <c r="CF75" i="16"/>
  <c r="BT75" i="16"/>
  <c r="DN74" i="16"/>
  <c r="DA74" i="16"/>
  <c r="CO74" i="16"/>
  <c r="CA74" i="16"/>
  <c r="BO74" i="16"/>
  <c r="DI73" i="16"/>
  <c r="CV73" i="16"/>
  <c r="CJ73" i="16"/>
  <c r="BV73" i="16"/>
  <c r="DQ72" i="16"/>
  <c r="DD72" i="16"/>
  <c r="CQ72" i="16"/>
  <c r="CE72" i="16"/>
  <c r="BQ72" i="16"/>
  <c r="DL71" i="16"/>
  <c r="CY71" i="16"/>
  <c r="CL71" i="16"/>
  <c r="BZ71" i="16"/>
  <c r="DS70" i="16"/>
  <c r="DG70" i="16"/>
  <c r="CT70" i="16"/>
  <c r="CG70" i="16"/>
  <c r="BU70" i="16"/>
  <c r="DR69" i="16"/>
  <c r="DF69" i="16"/>
  <c r="CV69" i="16"/>
  <c r="CN69" i="16"/>
  <c r="CF69" i="16"/>
  <c r="BX69" i="16"/>
  <c r="BP69" i="16"/>
  <c r="DO68" i="16"/>
  <c r="DG68" i="16"/>
  <c r="CY68" i="16"/>
  <c r="CQ68" i="16"/>
  <c r="CI68" i="16"/>
  <c r="CA68" i="16"/>
  <c r="BS68" i="16"/>
  <c r="DR67" i="16"/>
  <c r="DJ67" i="16"/>
  <c r="DB67" i="16"/>
  <c r="CT67" i="16"/>
  <c r="CL67" i="16"/>
  <c r="CD67" i="16"/>
  <c r="BV67" i="16"/>
  <c r="BN67" i="16"/>
  <c r="DL78" i="16"/>
  <c r="DM77" i="16"/>
  <c r="DR76" i="16"/>
  <c r="CS76" i="16"/>
  <c r="BW76" i="16"/>
  <c r="DK75" i="16"/>
  <c r="CP75" i="16"/>
  <c r="BV75" i="16"/>
  <c r="DI74" i="16"/>
  <c r="CM74" i="16"/>
  <c r="BS74" i="16"/>
  <c r="DF73" i="16"/>
  <c r="CK73" i="16"/>
  <c r="BR73" i="16"/>
  <c r="DC72" i="16"/>
  <c r="CI72" i="16"/>
  <c r="BO72" i="16"/>
  <c r="CZ71" i="16"/>
  <c r="CH71" i="16"/>
  <c r="DR70" i="16"/>
  <c r="CY70" i="16"/>
  <c r="CD70" i="16"/>
  <c r="DS69" i="16"/>
  <c r="DC69" i="16"/>
  <c r="CM69" i="16"/>
  <c r="CA69" i="16"/>
  <c r="BN69" i="16"/>
  <c r="DH68" i="16"/>
  <c r="CV68" i="16"/>
  <c r="CH68" i="16"/>
  <c r="BV68" i="16"/>
  <c r="DP67" i="16"/>
  <c r="DC67" i="16"/>
  <c r="CQ67" i="16"/>
  <c r="CC67" i="16"/>
  <c r="BQ67" i="16"/>
  <c r="CT78" i="16"/>
  <c r="DC77" i="16"/>
  <c r="DH76" i="16"/>
  <c r="CM76" i="16"/>
  <c r="BT76" i="16"/>
  <c r="DD75" i="16"/>
  <c r="CL75" i="16"/>
  <c r="BP75" i="16"/>
  <c r="DC74" i="16"/>
  <c r="CI74" i="16"/>
  <c r="DT73" i="16"/>
  <c r="DA73" i="16"/>
  <c r="CF73" i="16"/>
  <c r="DS72" i="16"/>
  <c r="CY72" i="16"/>
  <c r="CC72" i="16"/>
  <c r="DP71" i="16"/>
  <c r="CV71" i="16"/>
  <c r="CA71" i="16"/>
  <c r="DO70" i="16"/>
  <c r="CS70" i="16"/>
  <c r="BY70" i="16"/>
  <c r="DN69" i="16"/>
  <c r="CW69" i="16"/>
  <c r="CK69" i="16"/>
  <c r="BW69" i="16"/>
  <c r="DR68" i="16"/>
  <c r="DE68" i="16"/>
  <c r="CR68" i="16"/>
  <c r="CF68" i="16"/>
  <c r="BR68" i="16"/>
  <c r="DM67" i="16"/>
  <c r="CZ67" i="16"/>
  <c r="CM67" i="16"/>
  <c r="CA67" i="16"/>
  <c r="CL78" i="16"/>
  <c r="CM77" i="16"/>
  <c r="DC76" i="16"/>
  <c r="CI76" i="16"/>
  <c r="DT75" i="16"/>
  <c r="DB75" i="16"/>
  <c r="CE75" i="16"/>
  <c r="DS74" i="16"/>
  <c r="CX74" i="16"/>
  <c r="CC74" i="16"/>
  <c r="DQ73" i="16"/>
  <c r="CT73" i="16"/>
  <c r="CB73" i="16"/>
  <c r="DM72" i="16"/>
  <c r="CS72" i="16"/>
  <c r="BY72" i="16"/>
  <c r="DJ71" i="16"/>
  <c r="CQ71" i="16"/>
  <c r="BV71" i="16"/>
  <c r="DI70" i="16"/>
  <c r="CO70" i="16"/>
  <c r="BT70" i="16"/>
  <c r="DK69" i="16"/>
  <c r="CT69" i="16"/>
  <c r="CG69" i="16"/>
  <c r="BU69" i="16"/>
  <c r="DN68" i="16"/>
  <c r="DB68" i="16"/>
  <c r="CO68" i="16"/>
  <c r="CB68" i="16"/>
  <c r="BP68" i="16"/>
  <c r="DI67" i="16"/>
  <c r="CW67" i="16"/>
  <c r="CJ67" i="16"/>
  <c r="BW67" i="16"/>
  <c r="DS77" i="16"/>
  <c r="CZ76" i="16"/>
  <c r="BU76" i="16"/>
  <c r="CU75" i="16"/>
  <c r="BO75" i="16"/>
  <c r="CP74" i="16"/>
  <c r="DN73" i="16"/>
  <c r="CH73" i="16"/>
  <c r="DI72" i="16"/>
  <c r="CA72" i="16"/>
  <c r="DD71" i="16"/>
  <c r="BT71" i="16"/>
  <c r="CU70" i="16"/>
  <c r="BQ70" i="16"/>
  <c r="CU69" i="16"/>
  <c r="CC69" i="16"/>
  <c r="DM68" i="16"/>
  <c r="CT68" i="16"/>
  <c r="BY68" i="16"/>
  <c r="DK67" i="16"/>
  <c r="CR67" i="16"/>
  <c r="BU67" i="16"/>
  <c r="DK77" i="16"/>
  <c r="CW76" i="16"/>
  <c r="CQ77" i="16"/>
  <c r="CU76" i="16"/>
  <c r="DR75" i="16"/>
  <c r="CN75" i="16"/>
  <c r="DM74" i="16"/>
  <c r="CG74" i="16"/>
  <c r="DH73" i="16"/>
  <c r="BX73" i="16"/>
  <c r="DA72" i="16"/>
  <c r="BS72" i="16"/>
  <c r="CT71" i="16"/>
  <c r="BN71" i="16"/>
  <c r="CL70" i="16"/>
  <c r="DP69" i="16"/>
  <c r="CQ69" i="16"/>
  <c r="BV69" i="16"/>
  <c r="DJ68" i="16"/>
  <c r="CN68" i="16"/>
  <c r="BT68" i="16"/>
  <c r="DG67" i="16"/>
  <c r="CK67" i="16"/>
  <c r="BS67" i="16"/>
  <c r="DR78" i="16"/>
  <c r="CG77" i="16"/>
  <c r="CQ76" i="16"/>
  <c r="DB78" i="16"/>
  <c r="CA77" i="16"/>
  <c r="CJ76" i="16"/>
  <c r="DN75" i="16"/>
  <c r="CD75" i="16"/>
  <c r="DF74" i="16"/>
  <c r="BY74" i="16"/>
  <c r="CX73" i="16"/>
  <c r="BT73" i="16"/>
  <c r="CO72" i="16"/>
  <c r="DT71" i="16"/>
  <c r="CJ71" i="16"/>
  <c r="DK70" i="16"/>
  <c r="CE70" i="16"/>
  <c r="DH69" i="16"/>
  <c r="CL69" i="16"/>
  <c r="BQ69" i="16"/>
  <c r="DD68" i="16"/>
  <c r="CJ68" i="16"/>
  <c r="BN68" i="16"/>
  <c r="DA67" i="16"/>
  <c r="CG67" i="16"/>
  <c r="CR78" i="16"/>
  <c r="BS77" i="16"/>
  <c r="CG76" i="16"/>
  <c r="DH75" i="16"/>
  <c r="CB75" i="16"/>
  <c r="CY74" i="16"/>
  <c r="BW74" i="16"/>
  <c r="CS73" i="16"/>
  <c r="BN73" i="16"/>
  <c r="CN72" i="16"/>
  <c r="DN71" i="16"/>
  <c r="CI71" i="16"/>
  <c r="DE70" i="16"/>
  <c r="CC70" i="16"/>
  <c r="DE69" i="16"/>
  <c r="CI69" i="16"/>
  <c r="BO69" i="16"/>
  <c r="CZ68" i="16"/>
  <c r="CG68" i="16"/>
  <c r="DS67" i="16"/>
  <c r="CY67" i="16"/>
  <c r="CE67" i="16"/>
  <c r="CB78" i="16"/>
  <c r="DI76" i="16"/>
  <c r="CC76" i="16"/>
  <c r="DC75" i="16"/>
  <c r="BX75" i="16"/>
  <c r="CW74" i="16"/>
  <c r="BQ74" i="16"/>
  <c r="CR73" i="16"/>
  <c r="DO72" i="16"/>
  <c r="CM72" i="16"/>
  <c r="DH71" i="16"/>
  <c r="CD71" i="16"/>
  <c r="DC70" i="16"/>
  <c r="BV70" i="16"/>
  <c r="DD69" i="16"/>
  <c r="CE69" i="16"/>
  <c r="DT68" i="16"/>
  <c r="CX68" i="16"/>
  <c r="CD68" i="16"/>
  <c r="DQ67" i="16"/>
  <c r="CU67" i="16"/>
  <c r="CB67" i="16"/>
  <c r="CA76" i="16"/>
  <c r="DK74" i="16"/>
  <c r="CD73" i="16"/>
  <c r="DG71" i="16"/>
  <c r="CI70" i="16"/>
  <c r="BY69" i="16"/>
  <c r="BZ68" i="16"/>
  <c r="CI67" i="16"/>
  <c r="DP75" i="16"/>
  <c r="CK74" i="16"/>
  <c r="DL72" i="16"/>
  <c r="CN71" i="16"/>
  <c r="BN70" i="16"/>
  <c r="DP68" i="16"/>
  <c r="BQ68" i="16"/>
  <c r="BT67" i="16"/>
  <c r="CR75" i="16"/>
  <c r="DR73" i="16"/>
  <c r="CV72" i="16"/>
  <c r="BR71" i="16"/>
  <c r="CZ69" i="16"/>
  <c r="DF68" i="16"/>
  <c r="DH67" i="16"/>
  <c r="CH75" i="16"/>
  <c r="DJ73" i="16"/>
  <c r="CF72" i="16"/>
  <c r="DQ70" i="16"/>
  <c r="CS69" i="16"/>
  <c r="CW68" i="16"/>
  <c r="DE67" i="16"/>
  <c r="BV78" i="16"/>
  <c r="BR75" i="16"/>
  <c r="DD73" i="16"/>
  <c r="BW72" i="16"/>
  <c r="DB70" i="16"/>
  <c r="CO69" i="16"/>
  <c r="CP68" i="16"/>
  <c r="CS67" i="16"/>
  <c r="CN73" i="16"/>
  <c r="DM69" i="16"/>
  <c r="BY67" i="16"/>
  <c r="DG76" i="16"/>
  <c r="DE72" i="16"/>
  <c r="BS69" i="16"/>
  <c r="BG78" i="16"/>
  <c r="AY78" i="16"/>
  <c r="AQ78" i="16"/>
  <c r="AI78" i="16"/>
  <c r="AA78" i="16"/>
  <c r="S78" i="16"/>
  <c r="K78" i="16"/>
  <c r="BJ77" i="16"/>
  <c r="BB77" i="16"/>
  <c r="CX75" i="16"/>
  <c r="CX71" i="16"/>
  <c r="CL68" i="16"/>
  <c r="BE78" i="16"/>
  <c r="AW78" i="16"/>
  <c r="AO78" i="16"/>
  <c r="AG78" i="16"/>
  <c r="Y78" i="16"/>
  <c r="Q78" i="16"/>
  <c r="I78" i="16"/>
  <c r="BH77" i="16"/>
  <c r="AZ77" i="16"/>
  <c r="AR77" i="16"/>
  <c r="AJ77" i="16"/>
  <c r="AB77" i="16"/>
  <c r="T77" i="16"/>
  <c r="L77" i="16"/>
  <c r="D77" i="16"/>
  <c r="BC76" i="16"/>
  <c r="AU76" i="16"/>
  <c r="DO74" i="16"/>
  <c r="BX71" i="16"/>
  <c r="BX68" i="16"/>
  <c r="CS74" i="16"/>
  <c r="CQ70" i="16"/>
  <c r="DO67" i="16"/>
  <c r="BC78" i="16"/>
  <c r="AU78" i="16"/>
  <c r="AM78" i="16"/>
  <c r="AE78" i="16"/>
  <c r="W78" i="16"/>
  <c r="O78" i="16"/>
  <c r="G78" i="16"/>
  <c r="BF77" i="16"/>
  <c r="AX77" i="16"/>
  <c r="AP77" i="16"/>
  <c r="AH77" i="16"/>
  <c r="Z77" i="16"/>
  <c r="R77" i="16"/>
  <c r="J77" i="16"/>
  <c r="BI76" i="16"/>
  <c r="BA76" i="16"/>
  <c r="AS76" i="16"/>
  <c r="CO67" i="16"/>
  <c r="BZ74" i="16"/>
  <c r="BB78" i="16"/>
  <c r="AP78" i="16"/>
  <c r="AC78" i="16"/>
  <c r="P78" i="16"/>
  <c r="D78" i="16"/>
  <c r="AW77" i="16"/>
  <c r="AM77" i="16"/>
  <c r="AC77" i="16"/>
  <c r="Q77" i="16"/>
  <c r="G77" i="16"/>
  <c r="BD76" i="16"/>
  <c r="AR76" i="16"/>
  <c r="AJ76" i="16"/>
  <c r="AB76" i="16"/>
  <c r="T76" i="16"/>
  <c r="L76" i="16"/>
  <c r="D76" i="16"/>
  <c r="BC75" i="16"/>
  <c r="AU75" i="16"/>
  <c r="AM75" i="16"/>
  <c r="AE75" i="16"/>
  <c r="W75" i="16"/>
  <c r="O75" i="16"/>
  <c r="G75" i="16"/>
  <c r="BF74" i="16"/>
  <c r="AX74" i="16"/>
  <c r="AP74" i="16"/>
  <c r="AH74" i="16"/>
  <c r="Z74" i="16"/>
  <c r="R74" i="16"/>
  <c r="J74" i="16"/>
  <c r="BI73" i="16"/>
  <c r="BA73" i="16"/>
  <c r="AS73" i="16"/>
  <c r="AK73" i="16"/>
  <c r="AC73" i="16"/>
  <c r="U73" i="16"/>
  <c r="M73" i="16"/>
  <c r="E73" i="16"/>
  <c r="BD72" i="16"/>
  <c r="AV72" i="16"/>
  <c r="AN72" i="16"/>
  <c r="AF72" i="16"/>
  <c r="X72" i="16"/>
  <c r="P72" i="16"/>
  <c r="H72" i="16"/>
  <c r="BG71" i="16"/>
  <c r="AY71" i="16"/>
  <c r="AQ71" i="16"/>
  <c r="AI71" i="16"/>
  <c r="AA71" i="16"/>
  <c r="S71" i="16"/>
  <c r="K71" i="16"/>
  <c r="BJ70" i="16"/>
  <c r="BB70" i="16"/>
  <c r="AT70" i="16"/>
  <c r="AL70" i="16"/>
  <c r="AD70" i="16"/>
  <c r="V70" i="16"/>
  <c r="N70" i="16"/>
  <c r="F70" i="16"/>
  <c r="BE69" i="16"/>
  <c r="AW69" i="16"/>
  <c r="AO69" i="16"/>
  <c r="AG69" i="16"/>
  <c r="Y69" i="16"/>
  <c r="Q69" i="16"/>
  <c r="I69" i="16"/>
  <c r="BH68" i="16"/>
  <c r="AZ68" i="16"/>
  <c r="AR68" i="16"/>
  <c r="AJ68" i="16"/>
  <c r="AB68" i="16"/>
  <c r="T68" i="16"/>
  <c r="L68" i="16"/>
  <c r="D68" i="16"/>
  <c r="BP72" i="16"/>
  <c r="AZ78" i="16"/>
  <c r="AL78" i="16"/>
  <c r="Z78" i="16"/>
  <c r="M78" i="16"/>
  <c r="BG77" i="16"/>
  <c r="AU77" i="16"/>
  <c r="AK77" i="16"/>
  <c r="Y77" i="16"/>
  <c r="O77" i="16"/>
  <c r="E77" i="16"/>
  <c r="AZ76" i="16"/>
  <c r="AP76" i="16"/>
  <c r="AH76" i="16"/>
  <c r="Z76" i="16"/>
  <c r="R76" i="16"/>
  <c r="J76" i="16"/>
  <c r="BI75" i="16"/>
  <c r="BA75" i="16"/>
  <c r="AS75" i="16"/>
  <c r="AK75" i="16"/>
  <c r="AC75" i="16"/>
  <c r="U75" i="16"/>
  <c r="M75" i="16"/>
  <c r="E75" i="16"/>
  <c r="BD74" i="16"/>
  <c r="AV74" i="16"/>
  <c r="AN74" i="16"/>
  <c r="AF74" i="16"/>
  <c r="X74" i="16"/>
  <c r="P74" i="16"/>
  <c r="H74" i="16"/>
  <c r="BG73" i="16"/>
  <c r="AY73" i="16"/>
  <c r="AQ73" i="16"/>
  <c r="AI73" i="16"/>
  <c r="AA73" i="16"/>
  <c r="S73" i="16"/>
  <c r="K73" i="16"/>
  <c r="BJ72" i="16"/>
  <c r="BB72" i="16"/>
  <c r="AT72" i="16"/>
  <c r="AL72" i="16"/>
  <c r="AD72" i="16"/>
  <c r="V72" i="16"/>
  <c r="N72" i="16"/>
  <c r="F72" i="16"/>
  <c r="BE71" i="16"/>
  <c r="AW71" i="16"/>
  <c r="AO71" i="16"/>
  <c r="AG71" i="16"/>
  <c r="Y71" i="16"/>
  <c r="Q71" i="16"/>
  <c r="I71" i="16"/>
  <c r="BH70" i="16"/>
  <c r="AZ70" i="16"/>
  <c r="AR70" i="16"/>
  <c r="AJ70" i="16"/>
  <c r="AB70" i="16"/>
  <c r="T70" i="16"/>
  <c r="L70" i="16"/>
  <c r="D70" i="16"/>
  <c r="BC69" i="16"/>
  <c r="AU69" i="16"/>
  <c r="AM69" i="16"/>
  <c r="AE69" i="16"/>
  <c r="W69" i="16"/>
  <c r="O69" i="16"/>
  <c r="G69" i="16"/>
  <c r="BF68" i="16"/>
  <c r="AX68" i="16"/>
  <c r="AP68" i="16"/>
  <c r="AH68" i="16"/>
  <c r="Z68" i="16"/>
  <c r="R68" i="16"/>
  <c r="J68" i="16"/>
  <c r="BI67" i="16"/>
  <c r="BA67" i="16"/>
  <c r="AS67" i="16"/>
  <c r="AK67" i="16"/>
  <c r="BS70" i="16"/>
  <c r="CD69" i="16"/>
  <c r="BI78" i="16"/>
  <c r="AV78" i="16"/>
  <c r="AJ78" i="16"/>
  <c r="V78" i="16"/>
  <c r="J78" i="16"/>
  <c r="BD77" i="16"/>
  <c r="AS77" i="16"/>
  <c r="AG77" i="16"/>
  <c r="W77" i="16"/>
  <c r="M77" i="16"/>
  <c r="BH76" i="16"/>
  <c r="AX76" i="16"/>
  <c r="AN76" i="16"/>
  <c r="AF76" i="16"/>
  <c r="X76" i="16"/>
  <c r="P76" i="16"/>
  <c r="H76" i="16"/>
  <c r="BG75" i="16"/>
  <c r="AY75" i="16"/>
  <c r="AQ75" i="16"/>
  <c r="AI75" i="16"/>
  <c r="AA75" i="16"/>
  <c r="S75" i="16"/>
  <c r="K75" i="16"/>
  <c r="BJ74" i="16"/>
  <c r="BB74" i="16"/>
  <c r="AT74" i="16"/>
  <c r="AL74" i="16"/>
  <c r="AD74" i="16"/>
  <c r="V74" i="16"/>
  <c r="N74" i="16"/>
  <c r="F74" i="16"/>
  <c r="BE73" i="16"/>
  <c r="AW73" i="16"/>
  <c r="AO73" i="16"/>
  <c r="AG73" i="16"/>
  <c r="Y73" i="16"/>
  <c r="Q73" i="16"/>
  <c r="I73" i="16"/>
  <c r="BH72" i="16"/>
  <c r="AZ72" i="16"/>
  <c r="AR72" i="16"/>
  <c r="AJ72" i="16"/>
  <c r="AB72" i="16"/>
  <c r="T72" i="16"/>
  <c r="L72" i="16"/>
  <c r="D72" i="16"/>
  <c r="BC71" i="16"/>
  <c r="AU71" i="16"/>
  <c r="AM71" i="16"/>
  <c r="AE71" i="16"/>
  <c r="W71" i="16"/>
  <c r="O71" i="16"/>
  <c r="G71" i="16"/>
  <c r="BF70" i="16"/>
  <c r="AX70" i="16"/>
  <c r="AP70" i="16"/>
  <c r="AH70" i="16"/>
  <c r="Z70" i="16"/>
  <c r="R70" i="16"/>
  <c r="J70" i="16"/>
  <c r="BI69" i="16"/>
  <c r="BA69" i="16"/>
  <c r="AS69" i="16"/>
  <c r="AK69" i="16"/>
  <c r="AC69" i="16"/>
  <c r="U69" i="16"/>
  <c r="M69" i="16"/>
  <c r="E69" i="16"/>
  <c r="BD68" i="16"/>
  <c r="AV68" i="16"/>
  <c r="AN68" i="16"/>
  <c r="AF68" i="16"/>
  <c r="X68" i="16"/>
  <c r="P68" i="16"/>
  <c r="H68" i="16"/>
  <c r="BG67" i="16"/>
  <c r="AY67" i="16"/>
  <c r="AQ67" i="16"/>
  <c r="AI67" i="16"/>
  <c r="BQ76" i="16"/>
  <c r="AT78" i="16"/>
  <c r="AB78" i="16"/>
  <c r="F78" i="16"/>
  <c r="AT77" i="16"/>
  <c r="AD77" i="16"/>
  <c r="K77" i="16"/>
  <c r="BB76" i="16"/>
  <c r="AL76" i="16"/>
  <c r="Y76" i="16"/>
  <c r="M76" i="16"/>
  <c r="BF75" i="16"/>
  <c r="AT75" i="16"/>
  <c r="AG75" i="16"/>
  <c r="T75" i="16"/>
  <c r="H75" i="16"/>
  <c r="BA74" i="16"/>
  <c r="AO74" i="16"/>
  <c r="AB74" i="16"/>
  <c r="O74" i="16"/>
  <c r="BJ73" i="16"/>
  <c r="AV73" i="16"/>
  <c r="AJ73" i="16"/>
  <c r="W73" i="16"/>
  <c r="J73" i="16"/>
  <c r="BE72" i="16"/>
  <c r="AQ72" i="16"/>
  <c r="AE72" i="16"/>
  <c r="R72" i="16"/>
  <c r="E72" i="16"/>
  <c r="AZ71" i="16"/>
  <c r="AL71" i="16"/>
  <c r="Z71" i="16"/>
  <c r="M71" i="16"/>
  <c r="BG70" i="16"/>
  <c r="AU70" i="16"/>
  <c r="AG70" i="16"/>
  <c r="U70" i="16"/>
  <c r="H70" i="16"/>
  <c r="BB69" i="16"/>
  <c r="AP69" i="16"/>
  <c r="AB69" i="16"/>
  <c r="P69" i="16"/>
  <c r="BJ68" i="16"/>
  <c r="AW68" i="16"/>
  <c r="AK68" i="16"/>
  <c r="W68" i="16"/>
  <c r="K68" i="16"/>
  <c r="BE67" i="16"/>
  <c r="AU67" i="16"/>
  <c r="AJ67" i="16"/>
  <c r="AA67" i="16"/>
  <c r="S67" i="16"/>
  <c r="K67" i="16"/>
  <c r="BU73" i="16"/>
  <c r="AS78" i="16"/>
  <c r="X78" i="16"/>
  <c r="E78" i="16"/>
  <c r="AQ77" i="16"/>
  <c r="AA77" i="16"/>
  <c r="I77" i="16"/>
  <c r="DL68" i="16"/>
  <c r="BJ78" i="16"/>
  <c r="AR78" i="16"/>
  <c r="U78" i="16"/>
  <c r="BI77" i="16"/>
  <c r="AO77" i="16"/>
  <c r="X77" i="16"/>
  <c r="H77" i="16"/>
  <c r="AW76" i="16"/>
  <c r="AI76" i="16"/>
  <c r="V76" i="16"/>
  <c r="I76" i="16"/>
  <c r="BD75" i="16"/>
  <c r="AP75" i="16"/>
  <c r="AD75" i="16"/>
  <c r="Q75" i="16"/>
  <c r="D75" i="16"/>
  <c r="AY74" i="16"/>
  <c r="AK74" i="16"/>
  <c r="Y74" i="16"/>
  <c r="L74" i="16"/>
  <c r="BF73" i="16"/>
  <c r="AT73" i="16"/>
  <c r="AF73" i="16"/>
  <c r="T73" i="16"/>
  <c r="G73" i="16"/>
  <c r="BA72" i="16"/>
  <c r="AO72" i="16"/>
  <c r="AA72" i="16"/>
  <c r="O72" i="16"/>
  <c r="BI71" i="16"/>
  <c r="AV71" i="16"/>
  <c r="AJ71" i="16"/>
  <c r="V71" i="16"/>
  <c r="J71" i="16"/>
  <c r="BD70" i="16"/>
  <c r="AQ70" i="16"/>
  <c r="AE70" i="16"/>
  <c r="Q70" i="16"/>
  <c r="E70" i="16"/>
  <c r="AY69" i="16"/>
  <c r="AL69" i="16"/>
  <c r="Z69" i="16"/>
  <c r="L69" i="16"/>
  <c r="BG68" i="16"/>
  <c r="AT68" i="16"/>
  <c r="AG68" i="16"/>
  <c r="U68" i="16"/>
  <c r="G68" i="16"/>
  <c r="BC67" i="16"/>
  <c r="AR67" i="16"/>
  <c r="AG67" i="16"/>
  <c r="Y67" i="16"/>
  <c r="Q67" i="16"/>
  <c r="I67" i="16"/>
  <c r="BO67" i="16"/>
  <c r="BH78" i="16"/>
  <c r="AN78" i="16"/>
  <c r="T78" i="16"/>
  <c r="BE77" i="16"/>
  <c r="AN77" i="16"/>
  <c r="V77" i="16"/>
  <c r="F77" i="16"/>
  <c r="BF78" i="16"/>
  <c r="AK78" i="16"/>
  <c r="R78" i="16"/>
  <c r="BC77" i="16"/>
  <c r="AL77" i="16"/>
  <c r="U77" i="16"/>
  <c r="BJ76" i="16"/>
  <c r="AT76" i="16"/>
  <c r="AE76" i="16"/>
  <c r="S76" i="16"/>
  <c r="F76" i="16"/>
  <c r="AZ75" i="16"/>
  <c r="AN75" i="16"/>
  <c r="Z75" i="16"/>
  <c r="N75" i="16"/>
  <c r="BH74" i="16"/>
  <c r="AU74" i="16"/>
  <c r="AI74" i="16"/>
  <c r="U74" i="16"/>
  <c r="I74" i="16"/>
  <c r="BC73" i="16"/>
  <c r="AP73" i="16"/>
  <c r="AD73" i="16"/>
  <c r="P73" i="16"/>
  <c r="D73" i="16"/>
  <c r="AX72" i="16"/>
  <c r="AK72" i="16"/>
  <c r="Y72" i="16"/>
  <c r="K72" i="16"/>
  <c r="BF71" i="16"/>
  <c r="AS71" i="16"/>
  <c r="AF71" i="16"/>
  <c r="T71" i="16"/>
  <c r="F71" i="16"/>
  <c r="BA70" i="16"/>
  <c r="AN70" i="16"/>
  <c r="AA70" i="16"/>
  <c r="O70" i="16"/>
  <c r="BH69" i="16"/>
  <c r="AV69" i="16"/>
  <c r="AI69" i="16"/>
  <c r="V69" i="16"/>
  <c r="J69" i="16"/>
  <c r="BC68" i="16"/>
  <c r="AQ68" i="16"/>
  <c r="AD68" i="16"/>
  <c r="Q68" i="16"/>
  <c r="E68" i="16"/>
  <c r="AZ67" i="16"/>
  <c r="AO67" i="16"/>
  <c r="AE67" i="16"/>
  <c r="W67" i="16"/>
  <c r="O67" i="16"/>
  <c r="G67" i="16"/>
  <c r="BD78" i="16"/>
  <c r="AH78" i="16"/>
  <c r="N78" i="16"/>
  <c r="BA77" i="16"/>
  <c r="AI77" i="16"/>
  <c r="S77" i="16"/>
  <c r="BG76" i="16"/>
  <c r="AQ76" i="16"/>
  <c r="AD76" i="16"/>
  <c r="Q76" i="16"/>
  <c r="E76" i="16"/>
  <c r="AX75" i="16"/>
  <c r="AL75" i="16"/>
  <c r="Y75" i="16"/>
  <c r="L75" i="16"/>
  <c r="BG74" i="16"/>
  <c r="AS74" i="16"/>
  <c r="AG74" i="16"/>
  <c r="T74" i="16"/>
  <c r="G74" i="16"/>
  <c r="BB73" i="16"/>
  <c r="AN73" i="16"/>
  <c r="AB73" i="16"/>
  <c r="O73" i="16"/>
  <c r="BI72" i="16"/>
  <c r="AW72" i="16"/>
  <c r="AI72" i="16"/>
  <c r="W72" i="16"/>
  <c r="J72" i="16"/>
  <c r="BD71" i="16"/>
  <c r="AR71" i="16"/>
  <c r="AD71" i="16"/>
  <c r="R71" i="16"/>
  <c r="E71" i="16"/>
  <c r="AY70" i="16"/>
  <c r="AM70" i="16"/>
  <c r="Y70" i="16"/>
  <c r="M70" i="16"/>
  <c r="BG69" i="16"/>
  <c r="AT69" i="16"/>
  <c r="AH69" i="16"/>
  <c r="T69" i="16"/>
  <c r="H69" i="16"/>
  <c r="BB68" i="16"/>
  <c r="AO68" i="16"/>
  <c r="AC68" i="16"/>
  <c r="O68" i="16"/>
  <c r="BJ67" i="16"/>
  <c r="AX67" i="16"/>
  <c r="AN67" i="16"/>
  <c r="AD67" i="16"/>
  <c r="V67" i="16"/>
  <c r="N67" i="16"/>
  <c r="F67" i="16"/>
  <c r="BA78" i="16"/>
  <c r="AF78" i="16"/>
  <c r="L78" i="16"/>
  <c r="AY77" i="16"/>
  <c r="AF77" i="16"/>
  <c r="P77" i="16"/>
  <c r="BF76" i="16"/>
  <c r="AO76" i="16"/>
  <c r="AC76" i="16"/>
  <c r="O76" i="16"/>
  <c r="BJ75" i="16"/>
  <c r="AW75" i="16"/>
  <c r="AJ75" i="16"/>
  <c r="X75" i="16"/>
  <c r="J75" i="16"/>
  <c r="BE74" i="16"/>
  <c r="AR74" i="16"/>
  <c r="AE74" i="16"/>
  <c r="S74" i="16"/>
  <c r="E74" i="16"/>
  <c r="AZ73" i="16"/>
  <c r="AM73" i="16"/>
  <c r="Z73" i="16"/>
  <c r="N73" i="16"/>
  <c r="BG72" i="16"/>
  <c r="AU72" i="16"/>
  <c r="AH72" i="16"/>
  <c r="U72" i="16"/>
  <c r="I72" i="16"/>
  <c r="BB71" i="16"/>
  <c r="AP71" i="16"/>
  <c r="AC71" i="16"/>
  <c r="P71" i="16"/>
  <c r="D71" i="16"/>
  <c r="AW70" i="16"/>
  <c r="AK70" i="16"/>
  <c r="X70" i="16"/>
  <c r="K70" i="16"/>
  <c r="BF69" i="16"/>
  <c r="AR69" i="16"/>
  <c r="AF69" i="16"/>
  <c r="S69" i="16"/>
  <c r="F69" i="16"/>
  <c r="BA68" i="16"/>
  <c r="AM68" i="16"/>
  <c r="AA68" i="16"/>
  <c r="N68" i="16"/>
  <c r="BH67" i="16"/>
  <c r="AW67" i="16"/>
  <c r="AM67" i="16"/>
  <c r="AC67" i="16"/>
  <c r="U67" i="16"/>
  <c r="M67" i="16"/>
  <c r="E67" i="16"/>
  <c r="H78" i="16"/>
  <c r="AK76" i="16"/>
  <c r="BH75" i="16"/>
  <c r="AB75" i="16"/>
  <c r="AZ74" i="16"/>
  <c r="Q74" i="16"/>
  <c r="AR73" i="16"/>
  <c r="H73" i="16"/>
  <c r="AG72" i="16"/>
  <c r="BH71" i="16"/>
  <c r="X71" i="16"/>
  <c r="AV70" i="16"/>
  <c r="P70" i="16"/>
  <c r="AN69" i="16"/>
  <c r="D69" i="16"/>
  <c r="AE68" i="16"/>
  <c r="BD67" i="16"/>
  <c r="AB67" i="16"/>
  <c r="H67" i="16"/>
  <c r="AV77" i="16"/>
  <c r="AG76" i="16"/>
  <c r="BE75" i="16"/>
  <c r="V75" i="16"/>
  <c r="AW74" i="16"/>
  <c r="M74" i="16"/>
  <c r="AL73" i="16"/>
  <c r="F73" i="16"/>
  <c r="AC72" i="16"/>
  <c r="BA71" i="16"/>
  <c r="U71" i="16"/>
  <c r="AS70" i="16"/>
  <c r="I70" i="16"/>
  <c r="AJ69" i="16"/>
  <c r="BI68" i="16"/>
  <c r="Y68" i="16"/>
  <c r="BB67" i="16"/>
  <c r="Z67" i="16"/>
  <c r="D67" i="16"/>
  <c r="AE77" i="16"/>
  <c r="AA76" i="16"/>
  <c r="BB75" i="16"/>
  <c r="R75" i="16"/>
  <c r="AQ74" i="16"/>
  <c r="K74" i="16"/>
  <c r="AH73" i="16"/>
  <c r="BF72" i="16"/>
  <c r="Z72" i="16"/>
  <c r="AX71" i="16"/>
  <c r="N71" i="16"/>
  <c r="AO70" i="16"/>
  <c r="G70" i="16"/>
  <c r="AD69" i="16"/>
  <c r="BE68" i="16"/>
  <c r="V68" i="16"/>
  <c r="AV67" i="16"/>
  <c r="X67" i="16"/>
  <c r="N77" i="16"/>
  <c r="W76" i="16"/>
  <c r="AV75" i="16"/>
  <c r="P75" i="16"/>
  <c r="AM74" i="16"/>
  <c r="D74" i="16"/>
  <c r="AE73" i="16"/>
  <c r="BC72" i="16"/>
  <c r="S72" i="16"/>
  <c r="AT71" i="16"/>
  <c r="L71" i="16"/>
  <c r="AI70" i="16"/>
  <c r="BJ69" i="16"/>
  <c r="AA69" i="16"/>
  <c r="AY68" i="16"/>
  <c r="S68" i="16"/>
  <c r="AT67" i="16"/>
  <c r="T67" i="16"/>
  <c r="BE76" i="16"/>
  <c r="U76" i="16"/>
  <c r="AR75" i="16"/>
  <c r="I75" i="16"/>
  <c r="AJ74" i="16"/>
  <c r="BH73" i="16"/>
  <c r="X73" i="16"/>
  <c r="AY72" i="16"/>
  <c r="Q72" i="16"/>
  <c r="AN71" i="16"/>
  <c r="H71" i="16"/>
  <c r="AF70" i="16"/>
  <c r="BD69" i="16"/>
  <c r="X69" i="16"/>
  <c r="AU68" i="16"/>
  <c r="M68" i="16"/>
  <c r="AP67" i="16"/>
  <c r="R67" i="16"/>
  <c r="AY76" i="16"/>
  <c r="N76" i="16"/>
  <c r="AO75" i="16"/>
  <c r="F75" i="16"/>
  <c r="AC74" i="16"/>
  <c r="BD73" i="16"/>
  <c r="V73" i="16"/>
  <c r="AS72" i="16"/>
  <c r="M72" i="16"/>
  <c r="AK71" i="16"/>
  <c r="BI70" i="16"/>
  <c r="AC70" i="16"/>
  <c r="AZ69" i="16"/>
  <c r="R69" i="16"/>
  <c r="AS68" i="16"/>
  <c r="I68" i="16"/>
  <c r="AL67" i="16"/>
  <c r="P67" i="16"/>
  <c r="AX78" i="16"/>
  <c r="AV76" i="16"/>
  <c r="K76" i="16"/>
  <c r="AH75" i="16"/>
  <c r="BI74" i="16"/>
  <c r="AA74" i="16"/>
  <c r="AX73" i="16"/>
  <c r="R73" i="16"/>
  <c r="AP72" i="16"/>
  <c r="G72" i="16"/>
  <c r="AH71" i="16"/>
  <c r="BE70" i="16"/>
  <c r="W70" i="16"/>
  <c r="AX69" i="16"/>
  <c r="N69" i="16"/>
  <c r="AL68" i="16"/>
  <c r="F68" i="16"/>
  <c r="AH67" i="16"/>
  <c r="L67" i="16"/>
  <c r="G76" i="16"/>
  <c r="AB71" i="16"/>
  <c r="J67" i="16"/>
  <c r="AF75" i="16"/>
  <c r="BC70" i="16"/>
  <c r="BC74" i="16"/>
  <c r="S70" i="16"/>
  <c r="W74" i="16"/>
  <c r="AQ69" i="16"/>
  <c r="AU73" i="16"/>
  <c r="K69" i="16"/>
  <c r="L73" i="16"/>
  <c r="AI68" i="16"/>
  <c r="AD78" i="16"/>
  <c r="AM72" i="16"/>
  <c r="BF67" i="16"/>
  <c r="AM76" i="16"/>
  <c r="BJ71" i="16"/>
  <c r="AF67" i="16"/>
  <c r="BM76" i="16"/>
  <c r="BM73" i="16"/>
  <c r="BM71" i="16"/>
  <c r="BM69" i="16"/>
  <c r="AV135" i="17"/>
  <c r="AC135" i="17"/>
  <c r="F135" i="17"/>
  <c r="AQ134" i="17"/>
  <c r="X134" i="17"/>
  <c r="BH132" i="17"/>
  <c r="AL132" i="17"/>
  <c r="S132" i="17"/>
  <c r="BC131" i="17"/>
  <c r="N131" i="17"/>
  <c r="AK126" i="17"/>
  <c r="O126" i="17"/>
  <c r="BC125" i="17"/>
  <c r="AS122" i="17"/>
  <c r="AT135" i="17"/>
  <c r="X135" i="17"/>
  <c r="E135" i="17"/>
  <c r="S134" i="17"/>
  <c r="BG132" i="17"/>
  <c r="AJ132" i="17"/>
  <c r="N132" i="17"/>
  <c r="BB131" i="17"/>
  <c r="AE131" i="17"/>
  <c r="BC126" i="17"/>
  <c r="M126" i="17"/>
  <c r="AE125" i="17"/>
  <c r="AS123" i="17"/>
  <c r="BJ122" i="17"/>
  <c r="AQ122" i="17"/>
  <c r="AE122" i="17"/>
  <c r="W122" i="17"/>
  <c r="O122" i="17"/>
  <c r="AS135" i="17"/>
  <c r="V135" i="17"/>
  <c r="BG134" i="17"/>
  <c r="AN134" i="17"/>
  <c r="BB132" i="17"/>
  <c r="AI132" i="17"/>
  <c r="AD131" i="17"/>
  <c r="G131" i="17"/>
  <c r="BI122" i="17"/>
  <c r="BJ135" i="17"/>
  <c r="AN135" i="17"/>
  <c r="U135" i="17"/>
  <c r="AI134" i="17"/>
  <c r="P134" i="17"/>
  <c r="AZ132" i="17"/>
  <c r="AD132" i="17"/>
  <c r="K132" i="17"/>
  <c r="AU131" i="17"/>
  <c r="F131" i="17"/>
  <c r="AC126" i="17"/>
  <c r="G126" i="17"/>
  <c r="AU125" i="17"/>
  <c r="BI123" i="17"/>
  <c r="AL122" i="17"/>
  <c r="AC122" i="17"/>
  <c r="U122" i="17"/>
  <c r="BI135" i="17"/>
  <c r="AL135" i="17"/>
  <c r="P135" i="17"/>
  <c r="BD134" i="17"/>
  <c r="K134" i="17"/>
  <c r="AY132" i="17"/>
  <c r="F132" i="17"/>
  <c r="AT131" i="17"/>
  <c r="W131" i="17"/>
  <c r="BD135" i="17"/>
  <c r="AK135" i="17"/>
  <c r="N135" i="17"/>
  <c r="AY134" i="17"/>
  <c r="AF134" i="17"/>
  <c r="AT132" i="17"/>
  <c r="AA132" i="17"/>
  <c r="D132" i="17"/>
  <c r="V131" i="17"/>
  <c r="AS126" i="17"/>
  <c r="W126" i="17"/>
  <c r="BA122" i="17"/>
  <c r="BB135" i="17"/>
  <c r="AF135" i="17"/>
  <c r="M135" i="17"/>
  <c r="AA134" i="17"/>
  <c r="H134" i="17"/>
  <c r="V132" i="17"/>
  <c r="BJ131" i="17"/>
  <c r="AM131" i="17"/>
  <c r="H135" i="17"/>
  <c r="O131" i="17"/>
  <c r="Q122" i="17"/>
  <c r="AV134" i="17"/>
  <c r="O125" i="17"/>
  <c r="Y134" i="17"/>
  <c r="AY123" i="17"/>
  <c r="BJ132" i="17"/>
  <c r="AC123" i="17"/>
  <c r="AQ132" i="17"/>
  <c r="BI126" i="17"/>
  <c r="T132" i="17"/>
  <c r="AM126" i="17"/>
  <c r="AT122" i="17"/>
  <c r="BA135" i="17"/>
  <c r="BE131" i="17"/>
  <c r="AG122" i="17"/>
  <c r="BD125" i="17"/>
  <c r="Y122" i="17"/>
  <c r="AD135" i="17"/>
  <c r="AL131" i="17"/>
  <c r="AA122" i="17"/>
  <c r="AI123" i="17"/>
  <c r="D126" i="17"/>
  <c r="AB125" i="17"/>
  <c r="AR122" i="17"/>
  <c r="BH122" i="17"/>
  <c r="AG134" i="17"/>
  <c r="AA135" i="17"/>
  <c r="AN123" i="17"/>
  <c r="BD123" i="17"/>
  <c r="J126" i="17"/>
  <c r="AP123" i="17"/>
  <c r="BF123" i="17"/>
  <c r="AS125" i="17"/>
  <c r="D131" i="17"/>
  <c r="AB135" i="17"/>
  <c r="AR134" i="17"/>
  <c r="AR132" i="17"/>
  <c r="V125" i="17"/>
  <c r="AL126" i="17"/>
  <c r="BJ123" i="17"/>
  <c r="BA131" i="17"/>
  <c r="AU123" i="17"/>
  <c r="E126" i="17"/>
  <c r="BB134" i="17"/>
  <c r="AU134" i="17"/>
  <c r="AO122" i="17"/>
  <c r="BE122" i="17"/>
  <c r="AE126" i="17"/>
  <c r="BD132" i="17"/>
  <c r="AG132" i="17"/>
  <c r="I131" i="17"/>
  <c r="AI126" i="17"/>
  <c r="BG122" i="17"/>
  <c r="R135" i="17"/>
  <c r="AH135" i="17"/>
  <c r="AX135" i="17"/>
  <c r="H131" i="17"/>
  <c r="M132" i="17"/>
  <c r="O135" i="17"/>
  <c r="W132" i="17"/>
  <c r="AI131" i="17"/>
  <c r="AK134" i="17"/>
  <c r="AQ123" i="17"/>
  <c r="BG123" i="17"/>
  <c r="AB126" i="17"/>
  <c r="AR123" i="17"/>
  <c r="BH123" i="17"/>
  <c r="AW131" i="17"/>
  <c r="AQ135" i="17"/>
  <c r="X122" i="17"/>
  <c r="AN122" i="17"/>
  <c r="BD122" i="17"/>
  <c r="Z122" i="17"/>
  <c r="AX126" i="17"/>
  <c r="AH125" i="17"/>
  <c r="BI125" i="17"/>
  <c r="L135" i="17"/>
  <c r="AB134" i="17"/>
  <c r="AZ131" i="17"/>
  <c r="F125" i="17"/>
  <c r="V126" i="17"/>
  <c r="AT123" i="17"/>
  <c r="E131" i="17"/>
  <c r="BC123" i="17"/>
  <c r="F134" i="17"/>
  <c r="AB132" i="17"/>
  <c r="Y125" i="17"/>
  <c r="AW123" i="17"/>
  <c r="H132" i="17"/>
  <c r="I132" i="17"/>
  <c r="AO132" i="17"/>
  <c r="K126" i="17"/>
  <c r="AQ126" i="17"/>
  <c r="AA123" i="17"/>
  <c r="R134" i="17"/>
  <c r="AH134" i="17"/>
  <c r="AX134" i="17"/>
  <c r="X131" i="17"/>
  <c r="AC132" i="17"/>
  <c r="AE135" i="17"/>
  <c r="AM132" i="17"/>
  <c r="AY131" i="17"/>
  <c r="BA134" i="17"/>
  <c r="L126" i="17"/>
  <c r="AB122" i="17"/>
  <c r="AR126" i="17"/>
  <c r="BH126" i="17"/>
  <c r="BE134" i="17"/>
  <c r="AY135" i="17"/>
  <c r="H125" i="17"/>
  <c r="X125" i="17"/>
  <c r="AN125" i="17"/>
  <c r="R126" i="17"/>
  <c r="AH126" i="17"/>
  <c r="AX122" i="17"/>
  <c r="E125" i="17"/>
  <c r="AI122" i="17"/>
  <c r="L131" i="17"/>
  <c r="AJ135" i="17"/>
  <c r="AZ134" i="17"/>
  <c r="AD125" i="17"/>
  <c r="AT126" i="17"/>
  <c r="M131" i="17"/>
  <c r="BC122" i="17"/>
  <c r="N134" i="17"/>
  <c r="G134" i="17"/>
  <c r="I126" i="17"/>
  <c r="AG123" i="17"/>
  <c r="AW126" i="17"/>
  <c r="N122" i="17"/>
  <c r="P132" i="17"/>
  <c r="I135" i="17"/>
  <c r="AO135" i="17"/>
  <c r="K125" i="17"/>
  <c r="AQ125" i="17"/>
  <c r="J132" i="17"/>
  <c r="Z132" i="17"/>
  <c r="AP132" i="17"/>
  <c r="BF132" i="17"/>
  <c r="AF131" i="17"/>
  <c r="AK132" i="17"/>
  <c r="AM135" i="17"/>
  <c r="AU132" i="17"/>
  <c r="BG131" i="17"/>
  <c r="BI134" i="17"/>
  <c r="D125" i="17"/>
  <c r="T125" i="17"/>
  <c r="AJ123" i="17"/>
  <c r="AZ125" i="17"/>
  <c r="I134" i="17"/>
  <c r="P126" i="17"/>
  <c r="AF126" i="17"/>
  <c r="AV126" i="17"/>
  <c r="R125" i="17"/>
  <c r="AH123" i="17"/>
  <c r="AX125" i="17"/>
  <c r="U125" i="17"/>
  <c r="BA123" i="17"/>
  <c r="T135" i="17"/>
  <c r="AJ134" i="17"/>
  <c r="BH131" i="17"/>
  <c r="N125" i="17"/>
  <c r="AD126" i="17"/>
  <c r="BB123" i="17"/>
  <c r="AC131" i="17"/>
  <c r="AE123" i="17"/>
  <c r="BB122" i="17"/>
  <c r="AD134" i="17"/>
  <c r="W134" i="17"/>
  <c r="AG125" i="17"/>
  <c r="AW125" i="17"/>
  <c r="AD122" i="17"/>
  <c r="AF132" i="17"/>
  <c r="Q135" i="17"/>
  <c r="AW135" i="17"/>
  <c r="S125" i="17"/>
  <c r="AY122" i="17"/>
  <c r="J131" i="17"/>
  <c r="Z131" i="17"/>
  <c r="AP131" i="17"/>
  <c r="BF131" i="17"/>
  <c r="AV131" i="17"/>
  <c r="BA132" i="17"/>
  <c r="BC135" i="17"/>
  <c r="K131" i="17"/>
  <c r="M134" i="17"/>
  <c r="AJ125" i="17"/>
  <c r="AZ122" i="17"/>
  <c r="T126" i="17"/>
  <c r="BG135" i="17"/>
  <c r="AF123" i="17"/>
  <c r="AV123" i="17"/>
  <c r="AH122" i="17"/>
  <c r="AX123" i="17"/>
  <c r="M125" i="17"/>
  <c r="L134" i="17"/>
  <c r="AJ131" i="17"/>
  <c r="BH135" i="17"/>
  <c r="F126" i="17"/>
  <c r="AD123" i="17"/>
  <c r="BB125" i="17"/>
  <c r="U131" i="17"/>
  <c r="AK122" i="17"/>
  <c r="V134" i="17"/>
  <c r="O134" i="17"/>
  <c r="I125" i="17"/>
  <c r="AG126" i="17"/>
  <c r="AW122" i="17"/>
  <c r="V122" i="17"/>
  <c r="X132" i="17"/>
  <c r="Q132" i="17"/>
  <c r="AW132" i="17"/>
  <c r="S126" i="17"/>
  <c r="AY126" i="17"/>
  <c r="J135" i="17"/>
  <c r="Z135" i="17"/>
  <c r="AP135" i="17"/>
  <c r="BF135" i="17"/>
  <c r="AN131" i="17"/>
  <c r="AS132" i="17"/>
  <c r="AU135" i="17"/>
  <c r="BC132" i="17"/>
  <c r="E134" i="17"/>
  <c r="AJ126" i="17"/>
  <c r="AZ123" i="17"/>
  <c r="Q134" i="17"/>
  <c r="K135" i="17"/>
  <c r="P122" i="17"/>
  <c r="AF125" i="17"/>
  <c r="AV125" i="17"/>
  <c r="R122" i="17"/>
  <c r="AP126" i="17"/>
  <c r="BF126" i="17"/>
  <c r="S122" i="17"/>
  <c r="L125" i="17"/>
  <c r="AO131" i="17"/>
  <c r="X126" i="17"/>
  <c r="AP122" i="17"/>
  <c r="D135" i="17"/>
  <c r="BH134" i="17"/>
  <c r="AS131" i="17"/>
  <c r="AL134" i="17"/>
  <c r="Y126" i="17"/>
  <c r="G125" i="17"/>
  <c r="BE132" i="17"/>
  <c r="BG125" i="17"/>
  <c r="AX132" i="17"/>
  <c r="BI132" i="17"/>
  <c r="AQ131" i="17"/>
  <c r="AF122" i="17"/>
  <c r="D134" i="17"/>
  <c r="AL125" i="17"/>
  <c r="AT134" i="17"/>
  <c r="BA126" i="17"/>
  <c r="AX131" i="17"/>
  <c r="AN126" i="17"/>
  <c r="BF122" i="17"/>
  <c r="T131" i="17"/>
  <c r="AW134" i="17"/>
  <c r="AL123" i="17"/>
  <c r="AM123" i="17"/>
  <c r="BJ134" i="17"/>
  <c r="AO126" i="17"/>
  <c r="AN132" i="17"/>
  <c r="AO134" i="17"/>
  <c r="R132" i="17"/>
  <c r="BF134" i="17"/>
  <c r="W135" i="17"/>
  <c r="AC134" i="17"/>
  <c r="AJ122" i="17"/>
  <c r="AV122" i="17"/>
  <c r="BF125" i="17"/>
  <c r="T134" i="17"/>
  <c r="AT125" i="17"/>
  <c r="AM122" i="17"/>
  <c r="AE134" i="17"/>
  <c r="AO125" i="17"/>
  <c r="AV132" i="17"/>
  <c r="AA126" i="17"/>
  <c r="R131" i="17"/>
  <c r="AG131" i="17"/>
  <c r="G132" i="17"/>
  <c r="AS134" i="17"/>
  <c r="AR125" i="17"/>
  <c r="BD126" i="17"/>
  <c r="AC125" i="17"/>
  <c r="AB131" i="17"/>
  <c r="BB126" i="17"/>
  <c r="AU122" i="17"/>
  <c r="AM134" i="17"/>
  <c r="BE123" i="17"/>
  <c r="L132" i="17"/>
  <c r="AA125" i="17"/>
  <c r="Z134" i="17"/>
  <c r="P131" i="17"/>
  <c r="O132" i="17"/>
  <c r="AZ126" i="17"/>
  <c r="AM125" i="17"/>
  <c r="J125" i="17"/>
  <c r="AK125" i="17"/>
  <c r="AR135" i="17"/>
  <c r="BJ125" i="17"/>
  <c r="AK123" i="17"/>
  <c r="BC134" i="17"/>
  <c r="BE126" i="17"/>
  <c r="Y132" i="17"/>
  <c r="AI125" i="17"/>
  <c r="AH132" i="17"/>
  <c r="BD131" i="17"/>
  <c r="AE132" i="17"/>
  <c r="AP125" i="17"/>
  <c r="Q131" i="17"/>
  <c r="BI131" i="17"/>
  <c r="AO123" i="17"/>
  <c r="BE135" i="17"/>
  <c r="J134" i="17"/>
  <c r="G135" i="17"/>
  <c r="U134" i="17"/>
  <c r="AB123" i="17"/>
  <c r="BH125" i="17"/>
  <c r="S135" i="17"/>
  <c r="H126" i="17"/>
  <c r="Z126" i="17"/>
  <c r="BA125" i="17"/>
  <c r="AR131" i="17"/>
  <c r="BJ126" i="17"/>
  <c r="W125" i="17"/>
  <c r="Q126" i="17"/>
  <c r="BE125" i="17"/>
  <c r="Y135" i="17"/>
  <c r="AY125" i="17"/>
  <c r="AH131" i="17"/>
  <c r="E132" i="17"/>
  <c r="S131" i="17"/>
  <c r="T122" i="17"/>
  <c r="Y131" i="17"/>
  <c r="AI135" i="17"/>
  <c r="P125" i="17"/>
  <c r="Z125" i="17"/>
  <c r="U126" i="17"/>
  <c r="AZ135" i="17"/>
  <c r="N126" i="17"/>
  <c r="AK131" i="17"/>
  <c r="AU126" i="17"/>
  <c r="Q125" i="17"/>
  <c r="AG135" i="17"/>
  <c r="BG126" i="17"/>
  <c r="AP134" i="17"/>
  <c r="U132" i="17"/>
  <c r="AA131" i="17"/>
  <c r="C76" i="16"/>
  <c r="C71" i="16"/>
  <c r="C67" i="16"/>
  <c r="BD49" i="15"/>
  <c r="BF49" i="15"/>
  <c r="BA48" i="15"/>
  <c r="BE48" i="15"/>
  <c r="AY49" i="15"/>
  <c r="BF48" i="15"/>
  <c r="AL49" i="15"/>
  <c r="AD49" i="15"/>
  <c r="BE49" i="15"/>
  <c r="BG49" i="15"/>
  <c r="AL48" i="15"/>
  <c r="AD48" i="15"/>
  <c r="BA49" i="15"/>
  <c r="BD48" i="15"/>
  <c r="BG48" i="15"/>
  <c r="BE71" i="15"/>
  <c r="BE72" i="15"/>
  <c r="BA62" i="15"/>
  <c r="BA63" i="15"/>
  <c r="AF48" i="15"/>
  <c r="BD60" i="15"/>
  <c r="BD62" i="15"/>
  <c r="BG72" i="15"/>
  <c r="BG73" i="15"/>
  <c r="AD66" i="15"/>
  <c r="AD67" i="15"/>
  <c r="AL71" i="15"/>
  <c r="AL70" i="15"/>
  <c r="AY62" i="15"/>
  <c r="BC48" i="15"/>
  <c r="BH48" i="15"/>
  <c r="BE69" i="15"/>
  <c r="BE70" i="15"/>
  <c r="BA60" i="15"/>
  <c r="BA61" i="15"/>
  <c r="BD73" i="15"/>
  <c r="BI48" i="15"/>
  <c r="BG70" i="15"/>
  <c r="BG69" i="15"/>
  <c r="AD64" i="15"/>
  <c r="AD65" i="15"/>
  <c r="AL69" i="15"/>
  <c r="AL68" i="15"/>
  <c r="AY60" i="15"/>
  <c r="AC48" i="15"/>
  <c r="BC49" i="15"/>
  <c r="AM48" i="15"/>
  <c r="BE67" i="15"/>
  <c r="BE68" i="15"/>
  <c r="BA74" i="15"/>
  <c r="BA75" i="15"/>
  <c r="AI49" i="15"/>
  <c r="AF49" i="15"/>
  <c r="BD69" i="15"/>
  <c r="BD63" i="15"/>
  <c r="BG68" i="15"/>
  <c r="BG65" i="15"/>
  <c r="AD62" i="15"/>
  <c r="AD63" i="15"/>
  <c r="AL67" i="15"/>
  <c r="AL66" i="15"/>
  <c r="AY65" i="15"/>
  <c r="AB49" i="15"/>
  <c r="BE65" i="15"/>
  <c r="BE66" i="15"/>
  <c r="BA72" i="15"/>
  <c r="BA73" i="15"/>
  <c r="AI48" i="15"/>
  <c r="AV48" i="15"/>
  <c r="BB49" i="15"/>
  <c r="BD65" i="15"/>
  <c r="BD67" i="15"/>
  <c r="AT48" i="15"/>
  <c r="BG66" i="15"/>
  <c r="BG61" i="15"/>
  <c r="AD60" i="15"/>
  <c r="AD61" i="15"/>
  <c r="AL65" i="15"/>
  <c r="AL64" i="15"/>
  <c r="AY61" i="15"/>
  <c r="AW48" i="15"/>
  <c r="AO48" i="15"/>
  <c r="BJ48" i="15"/>
  <c r="AZ49" i="15"/>
  <c r="BE63" i="15"/>
  <c r="BE64" i="15"/>
  <c r="BA70" i="15"/>
  <c r="BA71" i="15"/>
  <c r="AH49" i="15"/>
  <c r="AH48" i="15"/>
  <c r="BD75" i="15"/>
  <c r="BD61" i="15"/>
  <c r="BD71" i="15"/>
  <c r="BG64" i="15"/>
  <c r="BG71" i="15"/>
  <c r="AK48" i="15"/>
  <c r="AK49" i="15"/>
  <c r="AD74" i="15"/>
  <c r="AD75" i="15"/>
  <c r="AL63" i="15"/>
  <c r="AL62" i="15"/>
  <c r="AJ48" i="15"/>
  <c r="AU49" i="15"/>
  <c r="AO49" i="15"/>
  <c r="AZ48" i="15"/>
  <c r="BE61" i="15"/>
  <c r="BE62" i="15"/>
  <c r="BA68" i="15"/>
  <c r="BA69" i="15"/>
  <c r="BD72" i="15"/>
  <c r="BD74" i="15"/>
  <c r="BI49" i="15"/>
  <c r="BG62" i="15"/>
  <c r="BG67" i="15"/>
  <c r="AD72" i="15"/>
  <c r="AD73" i="15"/>
  <c r="AL61" i="15"/>
  <c r="AL60" i="15"/>
  <c r="AY48" i="15"/>
  <c r="AJ49" i="15"/>
  <c r="AS49" i="15"/>
  <c r="AB48" i="15"/>
  <c r="BJ49" i="15"/>
  <c r="BE75" i="15"/>
  <c r="BE60" i="15"/>
  <c r="BA66" i="15"/>
  <c r="BA67" i="15"/>
  <c r="AG49" i="15"/>
  <c r="AE49" i="15"/>
  <c r="AN48" i="15"/>
  <c r="BB48" i="15"/>
  <c r="BD68" i="15"/>
  <c r="BD70" i="15"/>
  <c r="BG60" i="15"/>
  <c r="BG63" i="15"/>
  <c r="AD70" i="15"/>
  <c r="AD71" i="15"/>
  <c r="AL75" i="15"/>
  <c r="AL74" i="15"/>
  <c r="AS48" i="15"/>
  <c r="AC49" i="15"/>
  <c r="BH49" i="15"/>
  <c r="AQ49" i="15"/>
  <c r="AP48" i="15"/>
  <c r="BE73" i="15"/>
  <c r="BE74" i="15"/>
  <c r="BA64" i="15"/>
  <c r="BA65" i="15"/>
  <c r="AE48" i="15"/>
  <c r="AA48" i="15"/>
  <c r="BD64" i="15"/>
  <c r="BD66" i="15"/>
  <c r="AT49" i="15"/>
  <c r="BG74" i="15"/>
  <c r="BG75" i="15"/>
  <c r="AD68" i="15"/>
  <c r="AD69" i="15"/>
  <c r="AL73" i="15"/>
  <c r="AL72" i="15"/>
  <c r="AY64" i="15"/>
  <c r="AY75" i="15"/>
  <c r="AY63" i="15"/>
  <c r="BF71" i="15"/>
  <c r="BF65" i="15"/>
  <c r="AY67" i="15"/>
  <c r="AY74" i="15"/>
  <c r="AF72" i="15"/>
  <c r="AF64" i="15"/>
  <c r="AV67" i="15"/>
  <c r="AZ71" i="15"/>
  <c r="AZ73" i="15"/>
  <c r="AO70" i="15"/>
  <c r="AO62" i="15"/>
  <c r="BC75" i="15"/>
  <c r="BC72" i="15"/>
  <c r="AK67" i="15"/>
  <c r="AK68" i="15"/>
  <c r="AT74" i="15"/>
  <c r="AT73" i="15"/>
  <c r="BB61" i="15"/>
  <c r="BB70" i="15"/>
  <c r="AG68" i="15"/>
  <c r="AG60" i="15"/>
  <c r="BJ67" i="15"/>
  <c r="BJ72" i="15"/>
  <c r="AR71" i="15"/>
  <c r="AR63" i="15"/>
  <c r="AH67" i="15"/>
  <c r="AH70" i="15"/>
  <c r="AQ70" i="15"/>
  <c r="AQ62" i="15"/>
  <c r="AU67" i="15"/>
  <c r="AU68" i="15"/>
  <c r="AC60" i="15"/>
  <c r="AC61" i="15"/>
  <c r="AI68" i="15"/>
  <c r="AI60" i="15"/>
  <c r="BH73" i="15"/>
  <c r="BH67" i="15"/>
  <c r="AS62" i="15"/>
  <c r="AS63" i="15"/>
  <c r="AW72" i="15"/>
  <c r="AW64" i="15"/>
  <c r="AN69" i="15"/>
  <c r="AN61" i="15"/>
  <c r="AE65" i="15"/>
  <c r="AE70" i="15"/>
  <c r="AM70" i="15"/>
  <c r="AY68" i="15"/>
  <c r="AY70" i="15"/>
  <c r="BF68" i="15"/>
  <c r="AY72" i="15"/>
  <c r="AF71" i="15"/>
  <c r="AF63" i="15"/>
  <c r="AV74" i="15"/>
  <c r="AV66" i="15"/>
  <c r="AV75" i="15"/>
  <c r="AZ67" i="15"/>
  <c r="AZ69" i="15"/>
  <c r="AO69" i="15"/>
  <c r="AO61" i="15"/>
  <c r="BC73" i="15"/>
  <c r="BC68" i="15"/>
  <c r="AK65" i="15"/>
  <c r="AK66" i="15"/>
  <c r="AT72" i="15"/>
  <c r="AT71" i="15"/>
  <c r="BB75" i="15"/>
  <c r="BB72" i="15"/>
  <c r="AG75" i="15"/>
  <c r="AG67" i="15"/>
  <c r="BJ65" i="15"/>
  <c r="BJ60" i="15"/>
  <c r="AR70" i="15"/>
  <c r="AR62" i="15"/>
  <c r="AH65" i="15"/>
  <c r="AH62" i="15"/>
  <c r="AQ69" i="15"/>
  <c r="AQ61" i="15"/>
  <c r="AU65" i="15"/>
  <c r="AU60" i="15"/>
  <c r="AC74" i="15"/>
  <c r="AC75" i="15"/>
  <c r="AI75" i="15"/>
  <c r="AI67" i="15"/>
  <c r="BH69" i="15"/>
  <c r="BH63" i="15"/>
  <c r="AS60" i="15"/>
  <c r="AS61" i="15"/>
  <c r="AW71" i="15"/>
  <c r="AW63" i="15"/>
  <c r="AN68" i="15"/>
  <c r="AN60" i="15"/>
  <c r="AE63" i="15"/>
  <c r="AE62" i="15"/>
  <c r="AM68" i="15"/>
  <c r="BF66" i="15"/>
  <c r="BF60" i="15"/>
  <c r="BF61" i="15"/>
  <c r="AF70" i="15"/>
  <c r="AF62" i="15"/>
  <c r="AV73" i="15"/>
  <c r="AV65" i="15"/>
  <c r="AZ63" i="15"/>
  <c r="AZ65" i="15"/>
  <c r="AO68" i="15"/>
  <c r="AO60" i="15"/>
  <c r="BC71" i="15"/>
  <c r="BC64" i="15"/>
  <c r="AK63" i="15"/>
  <c r="AK64" i="15"/>
  <c r="AT70" i="15"/>
  <c r="AT69" i="15"/>
  <c r="BB73" i="15"/>
  <c r="BB68" i="15"/>
  <c r="AG74" i="15"/>
  <c r="AG66" i="15"/>
  <c r="BJ63" i="15"/>
  <c r="BJ64" i="15"/>
  <c r="AR69" i="15"/>
  <c r="AR61" i="15"/>
  <c r="AH63" i="15"/>
  <c r="AH68" i="15"/>
  <c r="AQ68" i="15"/>
  <c r="AQ60" i="15"/>
  <c r="AU63" i="15"/>
  <c r="AU70" i="15"/>
  <c r="AC72" i="15"/>
  <c r="AC73" i="15"/>
  <c r="AI74" i="15"/>
  <c r="AI66" i="15"/>
  <c r="BH65" i="15"/>
  <c r="BH64" i="15"/>
  <c r="AS74" i="15"/>
  <c r="AS75" i="15"/>
  <c r="AW70" i="15"/>
  <c r="AW62" i="15"/>
  <c r="AN67" i="15"/>
  <c r="AN75" i="15"/>
  <c r="AE61" i="15"/>
  <c r="AE68" i="15"/>
  <c r="AM66" i="15"/>
  <c r="AM63" i="15"/>
  <c r="AY73" i="15"/>
  <c r="BF63" i="15"/>
  <c r="BF74" i="15"/>
  <c r="AF69" i="15"/>
  <c r="AF61" i="15"/>
  <c r="AV72" i="15"/>
  <c r="AV64" i="15"/>
  <c r="AZ75" i="15"/>
  <c r="AZ61" i="15"/>
  <c r="AO67" i="15"/>
  <c r="AO75" i="15"/>
  <c r="BC69" i="15"/>
  <c r="BC60" i="15"/>
  <c r="AK61" i="15"/>
  <c r="AK62" i="15"/>
  <c r="AT68" i="15"/>
  <c r="AT67" i="15"/>
  <c r="BB71" i="15"/>
  <c r="BB64" i="15"/>
  <c r="AG73" i="15"/>
  <c r="AG65" i="15"/>
  <c r="BJ74" i="15"/>
  <c r="BJ61" i="15"/>
  <c r="AR68" i="15"/>
  <c r="AR60" i="15"/>
  <c r="AH61" i="15"/>
  <c r="AH60" i="15"/>
  <c r="AQ75" i="15"/>
  <c r="AQ67" i="15"/>
  <c r="AU75" i="15"/>
  <c r="AU61" i="15"/>
  <c r="AU62" i="15"/>
  <c r="AC70" i="15"/>
  <c r="AC71" i="15"/>
  <c r="AI73" i="15"/>
  <c r="AI65" i="15"/>
  <c r="BH61" i="15"/>
  <c r="BH68" i="15"/>
  <c r="BH76" i="15" s="1"/>
  <c r="AS72" i="15"/>
  <c r="AS73" i="15"/>
  <c r="AW69" i="15"/>
  <c r="AW61" i="15"/>
  <c r="AN74" i="15"/>
  <c r="AN66" i="15"/>
  <c r="AE75" i="15"/>
  <c r="AE72" i="15"/>
  <c r="AE60" i="15"/>
  <c r="AM64" i="15"/>
  <c r="AY66" i="15"/>
  <c r="BF64" i="15"/>
  <c r="BF73" i="15"/>
  <c r="AF68" i="15"/>
  <c r="AF60" i="15"/>
  <c r="AV71" i="15"/>
  <c r="AV63" i="15"/>
  <c r="AZ72" i="15"/>
  <c r="AZ70" i="15"/>
  <c r="AO74" i="15"/>
  <c r="AO66" i="15"/>
  <c r="BC67" i="15"/>
  <c r="BC74" i="15"/>
  <c r="AK75" i="15"/>
  <c r="AK60" i="15"/>
  <c r="AT66" i="15"/>
  <c r="AT65" i="15"/>
  <c r="BB69" i="15"/>
  <c r="BB60" i="15"/>
  <c r="AG72" i="15"/>
  <c r="AG64" i="15"/>
  <c r="BJ75" i="15"/>
  <c r="BJ70" i="15"/>
  <c r="AR75" i="15"/>
  <c r="AR67" i="15"/>
  <c r="AH75" i="15"/>
  <c r="AH72" i="15"/>
  <c r="AQ74" i="15"/>
  <c r="AQ66" i="15"/>
  <c r="AU74" i="15"/>
  <c r="AC68" i="15"/>
  <c r="AC69" i="15"/>
  <c r="AI72" i="15"/>
  <c r="AI64" i="15"/>
  <c r="BH70" i="15"/>
  <c r="BH72" i="15"/>
  <c r="AS70" i="15"/>
  <c r="AS71" i="15"/>
  <c r="AW68" i="15"/>
  <c r="AW60" i="15"/>
  <c r="AN73" i="15"/>
  <c r="AN65" i="15"/>
  <c r="AE73" i="15"/>
  <c r="AE64" i="15"/>
  <c r="AM75" i="15"/>
  <c r="AM62" i="15"/>
  <c r="BF67" i="15"/>
  <c r="BF72" i="15"/>
  <c r="AF75" i="15"/>
  <c r="AF67" i="15"/>
  <c r="AV70" i="15"/>
  <c r="AV62" i="15"/>
  <c r="AZ68" i="15"/>
  <c r="AZ74" i="15"/>
  <c r="AO73" i="15"/>
  <c r="AO65" i="15"/>
  <c r="BC65" i="15"/>
  <c r="BC70" i="15"/>
  <c r="AK73" i="15"/>
  <c r="AK74" i="15"/>
  <c r="AT64" i="15"/>
  <c r="AT63" i="15"/>
  <c r="BB67" i="15"/>
  <c r="BB74" i="15"/>
  <c r="AG71" i="15"/>
  <c r="AG63" i="15"/>
  <c r="BJ73" i="15"/>
  <c r="BJ66" i="15"/>
  <c r="AR74" i="15"/>
  <c r="AR66" i="15"/>
  <c r="AH73" i="15"/>
  <c r="AH64" i="15"/>
  <c r="AQ73" i="15"/>
  <c r="AQ65" i="15"/>
  <c r="AU73" i="15"/>
  <c r="AU66" i="15"/>
  <c r="AC66" i="15"/>
  <c r="AC67" i="15"/>
  <c r="AI71" i="15"/>
  <c r="AI63" i="15"/>
  <c r="BH66" i="15"/>
  <c r="BH60" i="15"/>
  <c r="AS68" i="15"/>
  <c r="AS69" i="15"/>
  <c r="AW75" i="15"/>
  <c r="AW67" i="15"/>
  <c r="AN72" i="15"/>
  <c r="AN64" i="15"/>
  <c r="AE71" i="15"/>
  <c r="AM60" i="15"/>
  <c r="BF75" i="15"/>
  <c r="BF69" i="15"/>
  <c r="AF74" i="15"/>
  <c r="AF66" i="15"/>
  <c r="AV69" i="15"/>
  <c r="AV61" i="15"/>
  <c r="AZ64" i="15"/>
  <c r="AZ62" i="15"/>
  <c r="AO72" i="15"/>
  <c r="AO64" i="15"/>
  <c r="BC63" i="15"/>
  <c r="BC66" i="15"/>
  <c r="BC99" i="15" s="1"/>
  <c r="AK71" i="15"/>
  <c r="AK72" i="15"/>
  <c r="AT62" i="15"/>
  <c r="AT61" i="15"/>
  <c r="BB65" i="15"/>
  <c r="BB62" i="15"/>
  <c r="AG70" i="15"/>
  <c r="AG62" i="15"/>
  <c r="BJ71" i="15"/>
  <c r="BJ62" i="15"/>
  <c r="AR73" i="15"/>
  <c r="AR65" i="15"/>
  <c r="AH71" i="15"/>
  <c r="AH74" i="15"/>
  <c r="AQ72" i="15"/>
  <c r="AQ64" i="15"/>
  <c r="AU71" i="15"/>
  <c r="AU72" i="15"/>
  <c r="AC64" i="15"/>
  <c r="AC65" i="15"/>
  <c r="AI70" i="15"/>
  <c r="AI62" i="15"/>
  <c r="BH74" i="15"/>
  <c r="BH62" i="15"/>
  <c r="AS66" i="15"/>
  <c r="AS67" i="15"/>
  <c r="AW74" i="15"/>
  <c r="AW66" i="15"/>
  <c r="AN71" i="15"/>
  <c r="AN63" i="15"/>
  <c r="AE69" i="15"/>
  <c r="AE74" i="15"/>
  <c r="AM74" i="15"/>
  <c r="BF62" i="15"/>
  <c r="BF70" i="15"/>
  <c r="AY71" i="15"/>
  <c r="AY69" i="15"/>
  <c r="AF73" i="15"/>
  <c r="AF65" i="15"/>
  <c r="AV68" i="15"/>
  <c r="AV60" i="15"/>
  <c r="AZ60" i="15"/>
  <c r="AZ66" i="15"/>
  <c r="AO71" i="15"/>
  <c r="AO63" i="15"/>
  <c r="BC61" i="15"/>
  <c r="BC62" i="15"/>
  <c r="AK69" i="15"/>
  <c r="AK70" i="15"/>
  <c r="AT75" i="15"/>
  <c r="AT60" i="15"/>
  <c r="BB63" i="15"/>
  <c r="BB66" i="15"/>
  <c r="AG69" i="15"/>
  <c r="AG61" i="15"/>
  <c r="BJ69" i="15"/>
  <c r="BJ68" i="15"/>
  <c r="AR72" i="15"/>
  <c r="AR64" i="15"/>
  <c r="AH69" i="15"/>
  <c r="AH66" i="15"/>
  <c r="AQ71" i="15"/>
  <c r="AQ63" i="15"/>
  <c r="AU69" i="15"/>
  <c r="AU64" i="15"/>
  <c r="AC62" i="15"/>
  <c r="AC63" i="15"/>
  <c r="AI69" i="15"/>
  <c r="AI61" i="15"/>
  <c r="BH75" i="15"/>
  <c r="BH71" i="15"/>
  <c r="AS64" i="15"/>
  <c r="AS65" i="15"/>
  <c r="AW73" i="15"/>
  <c r="AW65" i="15"/>
  <c r="AN70" i="15"/>
  <c r="AN62" i="15"/>
  <c r="AE67" i="15"/>
  <c r="AE66" i="15"/>
  <c r="AM72" i="15"/>
  <c r="AM69" i="15"/>
  <c r="AX63" i="15"/>
  <c r="AX70" i="15"/>
  <c r="AJ69" i="15"/>
  <c r="AJ61" i="15"/>
  <c r="BI60" i="15"/>
  <c r="BI61" i="15"/>
  <c r="AA69" i="15"/>
  <c r="AA61" i="15"/>
  <c r="AP62" i="15"/>
  <c r="AP67" i="15"/>
  <c r="AB71" i="15"/>
  <c r="AB63" i="15"/>
  <c r="AM61" i="15"/>
  <c r="AX61" i="15"/>
  <c r="AX62" i="15"/>
  <c r="AJ68" i="15"/>
  <c r="AJ60" i="15"/>
  <c r="BI74" i="15"/>
  <c r="BI75" i="15"/>
  <c r="AA68" i="15"/>
  <c r="AA60" i="15"/>
  <c r="AP75" i="15"/>
  <c r="AP60" i="15"/>
  <c r="AB70" i="15"/>
  <c r="AB62" i="15"/>
  <c r="AM71" i="15"/>
  <c r="AX75" i="15"/>
  <c r="AX74" i="15"/>
  <c r="AJ75" i="15"/>
  <c r="AJ67" i="15"/>
  <c r="BI72" i="15"/>
  <c r="BI73" i="15"/>
  <c r="AA75" i="15"/>
  <c r="AA67" i="15"/>
  <c r="AP74" i="15"/>
  <c r="AP69" i="15"/>
  <c r="AB69" i="15"/>
  <c r="AB61" i="15"/>
  <c r="AM73" i="15"/>
  <c r="AX73" i="15"/>
  <c r="AX66" i="15"/>
  <c r="AJ74" i="15"/>
  <c r="AJ66" i="15"/>
  <c r="BI70" i="15"/>
  <c r="BI71" i="15"/>
  <c r="AA74" i="15"/>
  <c r="AA66" i="15"/>
  <c r="AP72" i="15"/>
  <c r="AP61" i="15"/>
  <c r="AB68" i="15"/>
  <c r="AB60" i="15"/>
  <c r="AM65" i="15"/>
  <c r="AX71" i="15"/>
  <c r="AX72" i="15"/>
  <c r="AJ73" i="15"/>
  <c r="AJ65" i="15"/>
  <c r="BI68" i="15"/>
  <c r="BI69" i="15"/>
  <c r="AA73" i="15"/>
  <c r="AA65" i="15"/>
  <c r="AP70" i="15"/>
  <c r="AP71" i="15"/>
  <c r="AB75" i="15"/>
  <c r="AB67" i="15"/>
  <c r="AX69" i="15"/>
  <c r="AX64" i="15"/>
  <c r="AJ72" i="15"/>
  <c r="AJ64" i="15"/>
  <c r="BI66" i="15"/>
  <c r="BI67" i="15"/>
  <c r="AA72" i="15"/>
  <c r="AA64" i="15"/>
  <c r="AP68" i="15"/>
  <c r="AP63" i="15"/>
  <c r="AB74" i="15"/>
  <c r="AB66" i="15"/>
  <c r="AX67" i="15"/>
  <c r="AX68" i="15"/>
  <c r="AJ71" i="15"/>
  <c r="AJ63" i="15"/>
  <c r="BI64" i="15"/>
  <c r="BI65" i="15"/>
  <c r="AA71" i="15"/>
  <c r="AA63" i="15"/>
  <c r="AP66" i="15"/>
  <c r="AP73" i="15"/>
  <c r="AB73" i="15"/>
  <c r="AB65" i="15"/>
  <c r="AM67" i="15"/>
  <c r="AX65" i="15"/>
  <c r="AX60" i="15"/>
  <c r="AJ70" i="15"/>
  <c r="AJ62" i="15"/>
  <c r="BI62" i="15"/>
  <c r="BI63" i="15"/>
  <c r="AA70" i="15"/>
  <c r="AA62" i="15"/>
  <c r="AP64" i="15"/>
  <c r="AP65" i="15"/>
  <c r="AB72" i="15"/>
  <c r="AB64" i="15"/>
  <c r="C48" i="17"/>
  <c r="C132" i="17"/>
  <c r="C125" i="17"/>
  <c r="C126" i="17"/>
  <c r="C84" i="17"/>
  <c r="N3" i="24"/>
  <c r="C15" i="23" s="1"/>
  <c r="C16" i="23" s="1"/>
  <c r="C87" i="17"/>
  <c r="Y12" i="19"/>
  <c r="M12" i="19"/>
  <c r="C85" i="17"/>
  <c r="O12" i="19"/>
  <c r="C86" i="17"/>
  <c r="U12" i="19"/>
  <c r="N12" i="19"/>
  <c r="X12" i="19"/>
  <c r="E12" i="19"/>
  <c r="U8" i="19"/>
  <c r="Y8" i="19"/>
  <c r="X8" i="19"/>
  <c r="Z8" i="19"/>
  <c r="C41" i="15"/>
  <c r="Q30" i="22"/>
  <c r="R11" i="22"/>
  <c r="O12" i="22"/>
  <c r="P12" i="22" s="1"/>
  <c r="Q11" i="22"/>
  <c r="C46" i="15"/>
  <c r="C38" i="15"/>
  <c r="H8" i="19"/>
  <c r="C83" i="17"/>
  <c r="C34" i="17"/>
  <c r="C35" i="17" s="1"/>
  <c r="D151" i="17" s="1"/>
  <c r="Q8" i="19"/>
  <c r="G8" i="19"/>
  <c r="K8" i="19"/>
  <c r="T8" i="19"/>
  <c r="O8" i="19"/>
  <c r="E8" i="19"/>
  <c r="S8" i="19"/>
  <c r="M8" i="19"/>
  <c r="N8" i="19"/>
  <c r="R8" i="19"/>
  <c r="P8" i="19"/>
  <c r="L8" i="19"/>
  <c r="W8" i="19"/>
  <c r="F8" i="19"/>
  <c r="V8" i="19"/>
  <c r="D8" i="19"/>
  <c r="I8" i="19"/>
  <c r="J8" i="19"/>
  <c r="H52" i="22" l="1"/>
  <c r="I50" i="22" s="1"/>
  <c r="AZ24" i="36" a="1"/>
  <c r="AZ24" i="36" s="1"/>
  <c r="AY24" i="36" a="1"/>
  <c r="AY24" i="36" s="1"/>
  <c r="AX24" i="36" a="1"/>
  <c r="AX24" i="36" s="1"/>
  <c r="AZ23" i="36" a="1"/>
  <c r="AZ23" i="36" s="1"/>
  <c r="AY23" i="36" a="1"/>
  <c r="AY23" i="36" s="1"/>
  <c r="AX23" i="36" a="1"/>
  <c r="AX23" i="36" s="1"/>
  <c r="AY21" i="36" a="1"/>
  <c r="AY21" i="36" s="1"/>
  <c r="AX21" i="36" a="1"/>
  <c r="AX21" i="36" s="1"/>
  <c r="AZ21" i="36" a="1"/>
  <c r="AZ21" i="36" s="1"/>
  <c r="AY25" i="36" a="1"/>
  <c r="AY25" i="36" s="1"/>
  <c r="AX25" i="36" a="1"/>
  <c r="AX25" i="36" s="1"/>
  <c r="AZ25" i="36" a="1"/>
  <c r="AZ25" i="36" s="1"/>
  <c r="AX22" i="36" a="1"/>
  <c r="AX22" i="36" s="1"/>
  <c r="AZ22" i="36" a="1"/>
  <c r="AZ22" i="36" s="1"/>
  <c r="AY22" i="36" a="1"/>
  <c r="AY22" i="36" s="1"/>
  <c r="AZ20" i="36" a="1"/>
  <c r="AZ20" i="36" s="1"/>
  <c r="AY20" i="36" a="1"/>
  <c r="AY20" i="36" s="1"/>
  <c r="AX20" i="36" a="1"/>
  <c r="AX20" i="36" s="1"/>
  <c r="L42" i="15"/>
  <c r="M42" i="15"/>
  <c r="L44" i="15"/>
  <c r="K47" i="15"/>
  <c r="E47" i="15"/>
  <c r="E43" i="15"/>
  <c r="K45" i="15"/>
  <c r="L46" i="15"/>
  <c r="AP97" i="15"/>
  <c r="K43" i="15"/>
  <c r="J47" i="15"/>
  <c r="J39" i="15"/>
  <c r="J38" i="15"/>
  <c r="J41" i="15"/>
  <c r="J42" i="15"/>
  <c r="J44" i="15"/>
  <c r="F20" i="19"/>
  <c r="BI98" i="15"/>
  <c r="P59" i="15"/>
  <c r="P48" i="15"/>
  <c r="P56" i="15" s="1"/>
  <c r="P49" i="15"/>
  <c r="T59" i="15"/>
  <c r="T49" i="15"/>
  <c r="T57" i="15" s="1"/>
  <c r="W59" i="15"/>
  <c r="W49" i="15"/>
  <c r="W57" i="15" s="1"/>
  <c r="G59" i="15"/>
  <c r="G35" i="15"/>
  <c r="G39" i="15" s="1"/>
  <c r="G36" i="15"/>
  <c r="G48" i="15" s="1"/>
  <c r="G34" i="15"/>
  <c r="G38" i="15" s="1"/>
  <c r="G37" i="15"/>
  <c r="G45" i="15" s="1"/>
  <c r="J59" i="15"/>
  <c r="R59" i="15"/>
  <c r="R48" i="15"/>
  <c r="R49" i="15"/>
  <c r="R52" i="15"/>
  <c r="K59" i="15"/>
  <c r="K49" i="15"/>
  <c r="I59" i="15"/>
  <c r="I36" i="15"/>
  <c r="I40" i="15" s="1"/>
  <c r="I34" i="15"/>
  <c r="I37" i="15"/>
  <c r="I45" i="15" s="1"/>
  <c r="I35" i="15"/>
  <c r="I47" i="15" s="1"/>
  <c r="D59" i="15"/>
  <c r="D37" i="15"/>
  <c r="D45" i="15" s="1"/>
  <c r="D35" i="15"/>
  <c r="D47" i="15" s="1"/>
  <c r="D36" i="15"/>
  <c r="D48" i="15" s="1"/>
  <c r="D34" i="15"/>
  <c r="D38" i="15" s="1"/>
  <c r="BE52" i="15"/>
  <c r="U59" i="15"/>
  <c r="U48" i="15"/>
  <c r="U56" i="15" s="1"/>
  <c r="S59" i="15"/>
  <c r="Q59" i="15"/>
  <c r="Q49" i="15"/>
  <c r="L59" i="15"/>
  <c r="L49" i="15"/>
  <c r="F59" i="15"/>
  <c r="F35" i="15"/>
  <c r="F39" i="15" s="1"/>
  <c r="F34" i="15"/>
  <c r="F42" i="15" s="1"/>
  <c r="F36" i="15"/>
  <c r="F48" i="15" s="1"/>
  <c r="F37" i="15"/>
  <c r="F45" i="15" s="1"/>
  <c r="X59" i="15"/>
  <c r="X48" i="15"/>
  <c r="X49" i="15"/>
  <c r="V59" i="15"/>
  <c r="V48" i="15"/>
  <c r="V52" i="15"/>
  <c r="H59" i="15"/>
  <c r="H35" i="15"/>
  <c r="H39" i="15" s="1"/>
  <c r="H36" i="15"/>
  <c r="H40" i="15" s="1"/>
  <c r="H37" i="15"/>
  <c r="H41" i="15" s="1"/>
  <c r="H34" i="15"/>
  <c r="H42" i="15" s="1"/>
  <c r="O59" i="15"/>
  <c r="O48" i="15"/>
  <c r="O49" i="15"/>
  <c r="O57" i="15" s="1"/>
  <c r="Y59" i="15"/>
  <c r="Y49" i="15"/>
  <c r="Y57" i="15" s="1"/>
  <c r="Y48" i="15"/>
  <c r="N59" i="15"/>
  <c r="N49" i="15"/>
  <c r="N48" i="15"/>
  <c r="C45" i="15"/>
  <c r="BD99" i="15"/>
  <c r="BH96" i="15"/>
  <c r="AG100" i="15"/>
  <c r="BH100" i="15"/>
  <c r="E46" i="15"/>
  <c r="J48" i="15"/>
  <c r="AV49" i="15"/>
  <c r="AV57" i="15" s="1"/>
  <c r="AR49" i="15"/>
  <c r="AR57" i="15" s="1"/>
  <c r="AA49" i="15"/>
  <c r="AM49" i="15"/>
  <c r="AM57" i="15" s="1"/>
  <c r="AP49" i="15"/>
  <c r="AP57" i="15" s="1"/>
  <c r="Q48" i="15"/>
  <c r="P55" i="15"/>
  <c r="S49" i="15"/>
  <c r="S57" i="15" s="1"/>
  <c r="AQ48" i="15"/>
  <c r="AQ56" i="15" s="1"/>
  <c r="J49" i="15"/>
  <c r="AS56" i="15"/>
  <c r="AN49" i="15"/>
  <c r="AN57" i="15" s="1"/>
  <c r="AX48" i="15"/>
  <c r="AQ52" i="15"/>
  <c r="W53" i="15"/>
  <c r="W48" i="15"/>
  <c r="W56" i="15" s="1"/>
  <c r="AU48" i="15"/>
  <c r="AU56" i="15" s="1"/>
  <c r="AN53" i="15"/>
  <c r="AS51" i="15"/>
  <c r="AU52" i="15"/>
  <c r="AX49" i="15"/>
  <c r="AX57" i="15" s="1"/>
  <c r="S48" i="15"/>
  <c r="D40" i="15"/>
  <c r="T48" i="15"/>
  <c r="T56" i="15" s="1"/>
  <c r="AW49" i="15"/>
  <c r="AW57" i="15" s="1"/>
  <c r="P51" i="15"/>
  <c r="Z55" i="15"/>
  <c r="E42" i="15"/>
  <c r="AR48" i="15"/>
  <c r="AR56" i="15" s="1"/>
  <c r="AT51" i="15"/>
  <c r="AG48" i="15"/>
  <c r="U49" i="15"/>
  <c r="V49" i="15"/>
  <c r="C48" i="15"/>
  <c r="C40" i="15"/>
  <c r="E49" i="15"/>
  <c r="E45" i="15"/>
  <c r="E40" i="15"/>
  <c r="E107" i="15"/>
  <c r="E48" i="15"/>
  <c r="E43" i="19"/>
  <c r="E46" i="19"/>
  <c r="E45" i="19"/>
  <c r="E44" i="19"/>
  <c r="C102" i="15"/>
  <c r="D43" i="19"/>
  <c r="D44" i="19"/>
  <c r="D45" i="19"/>
  <c r="D46" i="19"/>
  <c r="C46" i="19"/>
  <c r="C36" i="19"/>
  <c r="C34" i="19"/>
  <c r="C45" i="19"/>
  <c r="C35" i="19"/>
  <c r="C33" i="19"/>
  <c r="C44" i="19"/>
  <c r="C43" i="19"/>
  <c r="V22" i="30"/>
  <c r="V21" i="30"/>
  <c r="C104" i="15"/>
  <c r="E99" i="15"/>
  <c r="Z83" i="15"/>
  <c r="BN5" i="36"/>
  <c r="V5" i="16" s="1"/>
  <c r="E103" i="15"/>
  <c r="BJ5" i="36"/>
  <c r="AV83" i="15"/>
  <c r="Z102" i="15"/>
  <c r="Z79" i="15"/>
  <c r="E98" i="15"/>
  <c r="E100" i="15"/>
  <c r="Z81" i="15"/>
  <c r="E95" i="15"/>
  <c r="I118" i="15" a="1"/>
  <c r="I118" i="15" s="1"/>
  <c r="I6" i="16" s="1"/>
  <c r="I119" i="15" a="1"/>
  <c r="I119" i="15" s="1"/>
  <c r="Z77" i="15"/>
  <c r="K119" i="15" a="1"/>
  <c r="K119" i="15" s="1"/>
  <c r="K118" i="15" a="1"/>
  <c r="K118" i="15" s="1"/>
  <c r="K6" i="16" s="1"/>
  <c r="H118" i="15" a="1"/>
  <c r="H118" i="15" s="1"/>
  <c r="H6" i="16" s="1"/>
  <c r="H119" i="15" a="1"/>
  <c r="H119" i="15" s="1"/>
  <c r="E105" i="15"/>
  <c r="C103" i="15"/>
  <c r="J118" i="15" a="1"/>
  <c r="J118" i="15" s="1"/>
  <c r="J6" i="16" s="1"/>
  <c r="J119" i="15" a="1"/>
  <c r="J119" i="15" s="1"/>
  <c r="E93" i="15"/>
  <c r="E108" i="15"/>
  <c r="E104" i="15"/>
  <c r="E96" i="15"/>
  <c r="C107" i="15"/>
  <c r="Z104" i="15"/>
  <c r="C96" i="15"/>
  <c r="E102" i="15"/>
  <c r="C100" i="15"/>
  <c r="E94" i="15"/>
  <c r="E97" i="15"/>
  <c r="Z76" i="15"/>
  <c r="Z106" i="15"/>
  <c r="E101" i="15"/>
  <c r="X55" i="15"/>
  <c r="F44" i="15"/>
  <c r="F40" i="15"/>
  <c r="I38" i="15"/>
  <c r="I42" i="15"/>
  <c r="Z107" i="15"/>
  <c r="I46" i="15"/>
  <c r="H5" i="16"/>
  <c r="AX94" i="15"/>
  <c r="AD93" i="15"/>
  <c r="E106" i="15"/>
  <c r="C108" i="15"/>
  <c r="M96" i="15"/>
  <c r="Z105" i="15"/>
  <c r="Z78" i="15"/>
  <c r="M105" i="15"/>
  <c r="L48" i="15"/>
  <c r="Z99" i="15"/>
  <c r="Z95" i="15"/>
  <c r="X51" i="15"/>
  <c r="Z82" i="15"/>
  <c r="G47" i="15"/>
  <c r="Z93" i="15"/>
  <c r="U140" i="17"/>
  <c r="Z101" i="15"/>
  <c r="Z103" i="15"/>
  <c r="D49" i="15"/>
  <c r="Z57" i="15"/>
  <c r="Y53" i="15"/>
  <c r="X50" i="15"/>
  <c r="M100" i="15"/>
  <c r="M97" i="15"/>
  <c r="M104" i="15"/>
  <c r="Z98" i="15"/>
  <c r="Z94" i="15"/>
  <c r="M108" i="15"/>
  <c r="F119" i="15"/>
  <c r="M103" i="15"/>
  <c r="AB99" i="15"/>
  <c r="AY97" i="15"/>
  <c r="Z100" i="15"/>
  <c r="M94" i="15"/>
  <c r="M101" i="15"/>
  <c r="Z52" i="15"/>
  <c r="W55" i="15"/>
  <c r="Z53" i="15"/>
  <c r="W52" i="15"/>
  <c r="Z56" i="15"/>
  <c r="U50" i="15"/>
  <c r="W51" i="15"/>
  <c r="Q52" i="15"/>
  <c r="M106" i="15"/>
  <c r="M102" i="15"/>
  <c r="O53" i="15"/>
  <c r="M93" i="15"/>
  <c r="Z96" i="15"/>
  <c r="Z108" i="15"/>
  <c r="R50" i="15"/>
  <c r="Z54" i="15"/>
  <c r="Z50" i="15"/>
  <c r="M95" i="15"/>
  <c r="AA95" i="15"/>
  <c r="AY94" i="15"/>
  <c r="E5" i="16"/>
  <c r="C98" i="15"/>
  <c r="Y52" i="15"/>
  <c r="Q54" i="15"/>
  <c r="M107" i="15"/>
  <c r="M99" i="15"/>
  <c r="R54" i="15"/>
  <c r="AX140" i="17"/>
  <c r="AO140" i="17"/>
  <c r="P52" i="15"/>
  <c r="AO99" i="15"/>
  <c r="W50" i="15"/>
  <c r="M98" i="15"/>
  <c r="AX99" i="15"/>
  <c r="Z80" i="15"/>
  <c r="C94" i="15"/>
  <c r="C106" i="15"/>
  <c r="G46" i="15"/>
  <c r="G42" i="15"/>
  <c r="AZ51" i="15"/>
  <c r="BF5" i="36"/>
  <c r="C47" i="15"/>
  <c r="F38" i="15"/>
  <c r="C119" i="15"/>
  <c r="C5" i="16"/>
  <c r="BH5" i="36"/>
  <c r="Z97" i="15"/>
  <c r="C39" i="15"/>
  <c r="BI97" i="15"/>
  <c r="E119" i="15"/>
  <c r="S53" i="15"/>
  <c r="BE81" i="15"/>
  <c r="BK5" i="36"/>
  <c r="F118" i="15"/>
  <c r="F6" i="16" s="1"/>
  <c r="BI96" i="15"/>
  <c r="AO79" i="15"/>
  <c r="AP52" i="15"/>
  <c r="T51" i="15"/>
  <c r="AZ52" i="15"/>
  <c r="BE98" i="15"/>
  <c r="F5" i="16"/>
  <c r="AZ53" i="15"/>
  <c r="AM82" i="15"/>
  <c r="AU100" i="15"/>
  <c r="AY96" i="15"/>
  <c r="BG82" i="15"/>
  <c r="BG100" i="15"/>
  <c r="V55" i="15"/>
  <c r="V51" i="15"/>
  <c r="W54" i="15"/>
  <c r="G73" i="17"/>
  <c r="BE83" i="15"/>
  <c r="BA57" i="15"/>
  <c r="J5" i="16"/>
  <c r="I5" i="16"/>
  <c r="F73" i="17"/>
  <c r="AN79" i="15"/>
  <c r="C143" i="17"/>
  <c r="K73" i="17"/>
  <c r="I73" i="17"/>
  <c r="T73" i="17"/>
  <c r="T76" i="17" s="1"/>
  <c r="T77" i="17" s="1"/>
  <c r="Q73" i="17"/>
  <c r="Q76" i="17" s="1"/>
  <c r="Q77" i="17" s="1"/>
  <c r="Y140" i="17"/>
  <c r="S73" i="17"/>
  <c r="S76" i="17" s="1"/>
  <c r="S77" i="17" s="1"/>
  <c r="V73" i="17"/>
  <c r="E73" i="17"/>
  <c r="E123" i="17" s="1"/>
  <c r="E141" i="17" s="1"/>
  <c r="P73" i="17"/>
  <c r="M73" i="17"/>
  <c r="M122" i="17" s="1"/>
  <c r="M140" i="17" s="1"/>
  <c r="U73" i="17"/>
  <c r="BM5" i="36"/>
  <c r="H73" i="17"/>
  <c r="H123" i="17" s="1"/>
  <c r="H141" i="17" s="1"/>
  <c r="X73" i="17"/>
  <c r="Z73" i="17"/>
  <c r="D73" i="17"/>
  <c r="D123" i="17" s="1"/>
  <c r="D141" i="17" s="1"/>
  <c r="N73" i="17"/>
  <c r="BL5" i="36"/>
  <c r="G119" i="15"/>
  <c r="G118" i="15"/>
  <c r="G6" i="16" s="1"/>
  <c r="Y73" i="17"/>
  <c r="R73" i="17"/>
  <c r="O73" i="17"/>
  <c r="J73" i="17"/>
  <c r="J123" i="17" s="1"/>
  <c r="J141" i="17" s="1"/>
  <c r="L73" i="17"/>
  <c r="L122" i="17" s="1"/>
  <c r="L140" i="17" s="1"/>
  <c r="W73" i="17"/>
  <c r="C131" i="17"/>
  <c r="AQ143" i="17"/>
  <c r="C3" i="23"/>
  <c r="C144" i="17"/>
  <c r="AR97" i="15"/>
  <c r="AR93" i="15"/>
  <c r="AW50" i="15"/>
  <c r="BG54" i="15"/>
  <c r="C101" i="15"/>
  <c r="AP54" i="15"/>
  <c r="BE50" i="15"/>
  <c r="C95" i="15"/>
  <c r="AZ50" i="15"/>
  <c r="K48" i="15"/>
  <c r="O2" i="18"/>
  <c r="N2" i="18" s="1"/>
  <c r="G157" i="17"/>
  <c r="X140" i="17"/>
  <c r="AM144" i="17"/>
  <c r="C97" i="15"/>
  <c r="C93" i="15"/>
  <c r="C99" i="15"/>
  <c r="C105" i="15"/>
  <c r="P143" i="17"/>
  <c r="AA143" i="17"/>
  <c r="AI143" i="17"/>
  <c r="BN7" i="36"/>
  <c r="BG8" i="36"/>
  <c r="BG7" i="36"/>
  <c r="BI8" i="36"/>
  <c r="BI7" i="36"/>
  <c r="AY143" i="17"/>
  <c r="BA143" i="17"/>
  <c r="BH80" i="15"/>
  <c r="S144" i="17"/>
  <c r="C73" i="17"/>
  <c r="C122" i="17" s="1"/>
  <c r="AA140" i="17"/>
  <c r="BI140" i="17"/>
  <c r="BF141" i="17"/>
  <c r="AR143" i="17"/>
  <c r="AV143" i="17"/>
  <c r="AK143" i="17"/>
  <c r="BB143" i="17"/>
  <c r="K143" i="17"/>
  <c r="BC144" i="17"/>
  <c r="AH140" i="17"/>
  <c r="AU141" i="17"/>
  <c r="W144" i="17"/>
  <c r="G143" i="17"/>
  <c r="AI144" i="17"/>
  <c r="J144" i="17"/>
  <c r="AC140" i="17"/>
  <c r="BJ140" i="17"/>
  <c r="Q5" i="16"/>
  <c r="BI9" i="36"/>
  <c r="BI10" i="36" s="1"/>
  <c r="BI17" i="36"/>
  <c r="BI18" i="36" s="1"/>
  <c r="BI11" i="36"/>
  <c r="O5" i="16"/>
  <c r="BG9" i="36"/>
  <c r="BG10" i="36" s="1"/>
  <c r="BG17" i="36"/>
  <c r="BG18" i="36" s="1"/>
  <c r="BG11" i="36"/>
  <c r="AF143" i="17"/>
  <c r="AM143" i="17"/>
  <c r="BG143" i="17"/>
  <c r="O144" i="17"/>
  <c r="AR144" i="17"/>
  <c r="AN143" i="17"/>
  <c r="AJ143" i="17"/>
  <c r="X143" i="17"/>
  <c r="R143" i="17"/>
  <c r="AE141" i="17"/>
  <c r="C7" i="23"/>
  <c r="AR140" i="17"/>
  <c r="BC141" i="17"/>
  <c r="Q140" i="17"/>
  <c r="AC143" i="17"/>
  <c r="Q143" i="17"/>
  <c r="BE143" i="17"/>
  <c r="BO35" i="17"/>
  <c r="BJ143" i="17"/>
  <c r="AG143" i="17"/>
  <c r="Y143" i="17"/>
  <c r="BD143" i="17"/>
  <c r="W143" i="17"/>
  <c r="AL140" i="17"/>
  <c r="G144" i="17"/>
  <c r="AK140" i="17"/>
  <c r="AQ140" i="17"/>
  <c r="AS140" i="17"/>
  <c r="K144" i="17"/>
  <c r="BH144" i="17"/>
  <c r="AN141" i="17"/>
  <c r="D144" i="17"/>
  <c r="BG140" i="17"/>
  <c r="O140" i="17"/>
  <c r="BD140" i="17"/>
  <c r="AH141" i="17"/>
  <c r="AG140" i="17"/>
  <c r="AC141" i="17"/>
  <c r="AE140" i="17"/>
  <c r="AV18" i="36"/>
  <c r="AV61" i="36" s="1"/>
  <c r="AV62" i="36" s="1"/>
  <c r="K16" i="37" s="1"/>
  <c r="L16" i="37" s="1"/>
  <c r="T54" i="15"/>
  <c r="T52" i="15"/>
  <c r="AB97" i="15"/>
  <c r="BI99" i="15"/>
  <c r="AA93" i="15"/>
  <c r="BJ99" i="15"/>
  <c r="AI98" i="15"/>
  <c r="AO51" i="15"/>
  <c r="BH57" i="15"/>
  <c r="BG95" i="15"/>
  <c r="AO55" i="15"/>
  <c r="AA98" i="15"/>
  <c r="AB96" i="15"/>
  <c r="AI94" i="15"/>
  <c r="AO96" i="15"/>
  <c r="AL99" i="15"/>
  <c r="AL143" i="17"/>
  <c r="AG144" i="17"/>
  <c r="L143" i="17"/>
  <c r="BH143" i="17"/>
  <c r="Y144" i="17"/>
  <c r="AZ143" i="17"/>
  <c r="I144" i="17"/>
  <c r="AW144" i="17"/>
  <c r="R140" i="17"/>
  <c r="BI141" i="17"/>
  <c r="AS141" i="17"/>
  <c r="AW141" i="17"/>
  <c r="AP141" i="17"/>
  <c r="AB140" i="17"/>
  <c r="AX141" i="17"/>
  <c r="AN140" i="17"/>
  <c r="BH140" i="17"/>
  <c r="AT140" i="17"/>
  <c r="Z143" i="17"/>
  <c r="AT143" i="17"/>
  <c r="AX143" i="17"/>
  <c r="H143" i="17"/>
  <c r="N143" i="17"/>
  <c r="F143" i="17"/>
  <c r="S143" i="17"/>
  <c r="AF141" i="17"/>
  <c r="BE144" i="17"/>
  <c r="Z140" i="17"/>
  <c r="AZ144" i="17"/>
  <c r="S140" i="17"/>
  <c r="P140" i="17"/>
  <c r="AE144" i="17"/>
  <c r="M144" i="17"/>
  <c r="W140" i="17"/>
  <c r="AV141" i="17"/>
  <c r="T55" i="15"/>
  <c r="AX100" i="15"/>
  <c r="AZ77" i="15"/>
  <c r="BF76" i="15"/>
  <c r="AU55" i="15"/>
  <c r="BH50" i="15"/>
  <c r="AA96" i="15"/>
  <c r="AU18" i="36"/>
  <c r="AU22" i="36" s="1" a="1"/>
  <c r="AU22" i="36" s="1"/>
  <c r="AT39" i="36"/>
  <c r="P6" i="16"/>
  <c r="BD141" i="17"/>
  <c r="AS18" i="36"/>
  <c r="AS60" i="36" s="1"/>
  <c r="AS68" i="36" s="1"/>
  <c r="AT18" i="36"/>
  <c r="AT58" i="36" s="1"/>
  <c r="AT66" i="36" s="1"/>
  <c r="AW18" i="36"/>
  <c r="AW60" i="36" s="1"/>
  <c r="AW68" i="36" s="1"/>
  <c r="AR18" i="36"/>
  <c r="AR23" i="36" s="1" a="1"/>
  <c r="AR23" i="36" s="1"/>
  <c r="AE96" i="15"/>
  <c r="AA99" i="15"/>
  <c r="AX95" i="15"/>
  <c r="AW100" i="15"/>
  <c r="AH95" i="15"/>
  <c r="BA98" i="15"/>
  <c r="BG97" i="15"/>
  <c r="AD94" i="15"/>
  <c r="BF98" i="15"/>
  <c r="AJ95" i="15"/>
  <c r="BI93" i="15"/>
  <c r="AE100" i="15"/>
  <c r="AN96" i="15"/>
  <c r="AI95" i="15"/>
  <c r="AN99" i="15"/>
  <c r="AN83" i="15"/>
  <c r="AI99" i="15"/>
  <c r="BF94" i="15"/>
  <c r="AW96" i="15"/>
  <c r="AW97" i="15"/>
  <c r="BB54" i="15"/>
  <c r="AL94" i="15"/>
  <c r="AQ53" i="15"/>
  <c r="BD93" i="15"/>
  <c r="BD51" i="15"/>
  <c r="AN95" i="15"/>
  <c r="AH99" i="15"/>
  <c r="AN100" i="15"/>
  <c r="AC98" i="15"/>
  <c r="BG93" i="15"/>
  <c r="AR141" i="17"/>
  <c r="AX96" i="15"/>
  <c r="AC95" i="15"/>
  <c r="BJ95" i="15"/>
  <c r="AM97" i="15"/>
  <c r="BI95" i="15"/>
  <c r="BI100" i="15"/>
  <c r="BC95" i="15"/>
  <c r="AC99" i="15"/>
  <c r="AP144" i="17"/>
  <c r="M143" i="17"/>
  <c r="AX93" i="15"/>
  <c r="AB93" i="15"/>
  <c r="BB96" i="15"/>
  <c r="AM93" i="15"/>
  <c r="I143" i="17"/>
  <c r="AO143" i="17"/>
  <c r="BE141" i="17"/>
  <c r="AV140" i="17"/>
  <c r="Q144" i="17"/>
  <c r="T144" i="17"/>
  <c r="L144" i="17"/>
  <c r="AX144" i="17"/>
  <c r="BA140" i="17"/>
  <c r="AS143" i="17"/>
  <c r="H144" i="17"/>
  <c r="BB144" i="17"/>
  <c r="AT141" i="17"/>
  <c r="AN144" i="17"/>
  <c r="BG141" i="17"/>
  <c r="Z144" i="17"/>
  <c r="BF140" i="17"/>
  <c r="BI143" i="17"/>
  <c r="AH144" i="17"/>
  <c r="AA144" i="17"/>
  <c r="AM140" i="17"/>
  <c r="AY141" i="17"/>
  <c r="AU140" i="17"/>
  <c r="BJ144" i="17"/>
  <c r="V144" i="17"/>
  <c r="AE143" i="17"/>
  <c r="F144" i="17"/>
  <c r="J143" i="17"/>
  <c r="AP140" i="17"/>
  <c r="U143" i="17"/>
  <c r="AK141" i="17"/>
  <c r="AO144" i="17"/>
  <c r="AJ144" i="17"/>
  <c r="AH143" i="17"/>
  <c r="AQ144" i="17"/>
  <c r="R144" i="17"/>
  <c r="AD144" i="17"/>
  <c r="AS144" i="17"/>
  <c r="E144" i="17"/>
  <c r="N140" i="17"/>
  <c r="AC144" i="17"/>
  <c r="T140" i="17"/>
  <c r="AW143" i="17"/>
  <c r="AF140" i="17"/>
  <c r="AW140" i="17"/>
  <c r="AI140" i="17"/>
  <c r="V143" i="17"/>
  <c r="N144" i="17"/>
  <c r="AD141" i="17"/>
  <c r="X144" i="17"/>
  <c r="BC140" i="17"/>
  <c r="AV144" i="17"/>
  <c r="AU144" i="17"/>
  <c r="T143" i="17"/>
  <c r="AY144" i="17"/>
  <c r="AY140" i="17"/>
  <c r="AQ141" i="17"/>
  <c r="O143" i="17"/>
  <c r="AK144" i="17"/>
  <c r="P144" i="17"/>
  <c r="AZ141" i="17"/>
  <c r="AD140" i="17"/>
  <c r="AT144" i="17"/>
  <c r="BF143" i="17"/>
  <c r="AJ140" i="17"/>
  <c r="D143" i="17"/>
  <c r="E143" i="17"/>
  <c r="AM141" i="17"/>
  <c r="AB143" i="17"/>
  <c r="V140" i="17"/>
  <c r="BD144" i="17"/>
  <c r="AL144" i="17"/>
  <c r="AU143" i="17"/>
  <c r="AI141" i="17"/>
  <c r="BB140" i="17"/>
  <c r="AL141" i="17"/>
  <c r="AP143" i="17"/>
  <c r="AB141" i="17"/>
  <c r="AZ140" i="17"/>
  <c r="AG141" i="17"/>
  <c r="AB144" i="17"/>
  <c r="BE140" i="17"/>
  <c r="BI144" i="17"/>
  <c r="BB141" i="17"/>
  <c r="BH141" i="17"/>
  <c r="BF144" i="17"/>
  <c r="BG144" i="17"/>
  <c r="BA141" i="17"/>
  <c r="AD143" i="17"/>
  <c r="AO141" i="17"/>
  <c r="BA144" i="17"/>
  <c r="BJ141" i="17"/>
  <c r="AF144" i="17"/>
  <c r="AA141" i="17"/>
  <c r="U144" i="17"/>
  <c r="AJ141" i="17"/>
  <c r="BC143" i="17"/>
  <c r="AQ99" i="15"/>
  <c r="AM51" i="15"/>
  <c r="AZ54" i="15"/>
  <c r="BJ56" i="15"/>
  <c r="AY98" i="15"/>
  <c r="BB93" i="15"/>
  <c r="AA100" i="15"/>
  <c r="BD98" i="15"/>
  <c r="AI96" i="15"/>
  <c r="BA99" i="15"/>
  <c r="BD94" i="15"/>
  <c r="AI100" i="15"/>
  <c r="AY56" i="15"/>
  <c r="AD97" i="15"/>
  <c r="AY77" i="15"/>
  <c r="BF93" i="15"/>
  <c r="AP98" i="15"/>
  <c r="BF97" i="15"/>
  <c r="BF99" i="15"/>
  <c r="AX98" i="15"/>
  <c r="AP94" i="15"/>
  <c r="BF95" i="15"/>
  <c r="AZ56" i="15"/>
  <c r="AU51" i="15"/>
  <c r="BA50" i="15"/>
  <c r="BA54" i="15"/>
  <c r="BE100" i="15"/>
  <c r="BG96" i="15"/>
  <c r="AC97" i="15"/>
  <c r="AY81" i="15"/>
  <c r="AX50" i="15"/>
  <c r="BE96" i="15"/>
  <c r="AM80" i="15"/>
  <c r="AL93" i="15"/>
  <c r="AJ99" i="15"/>
  <c r="AY79" i="15"/>
  <c r="AG96" i="15"/>
  <c r="AO100" i="15"/>
  <c r="AX97" i="15"/>
  <c r="AL97" i="15"/>
  <c r="AB100" i="15"/>
  <c r="BH79" i="15"/>
  <c r="AH98" i="15"/>
  <c r="AD98" i="15"/>
  <c r="F9" i="19"/>
  <c r="K9" i="19"/>
  <c r="M16" i="19"/>
  <c r="M9" i="19"/>
  <c r="AJ97" i="15"/>
  <c r="D9" i="19"/>
  <c r="AH94" i="15"/>
  <c r="AS94" i="15"/>
  <c r="Q9" i="19"/>
  <c r="U16" i="19"/>
  <c r="U9" i="19"/>
  <c r="V9" i="19"/>
  <c r="W9" i="19"/>
  <c r="S9" i="19"/>
  <c r="X9" i="19"/>
  <c r="X16" i="19"/>
  <c r="AM100" i="15"/>
  <c r="AJ93" i="15"/>
  <c r="AH97" i="15"/>
  <c r="AX54" i="15"/>
  <c r="AA97" i="15"/>
  <c r="AA94" i="15"/>
  <c r="AL95" i="15"/>
  <c r="R9" i="19"/>
  <c r="G9" i="19"/>
  <c r="L9" i="19"/>
  <c r="E16" i="19"/>
  <c r="E9" i="19"/>
  <c r="O16" i="19"/>
  <c r="O9" i="19"/>
  <c r="H9" i="19"/>
  <c r="J9" i="19"/>
  <c r="I9" i="19"/>
  <c r="T9" i="19"/>
  <c r="Z9" i="19"/>
  <c r="Y9" i="19"/>
  <c r="Y16" i="19"/>
  <c r="P9" i="19"/>
  <c r="N16" i="19"/>
  <c r="N9" i="19"/>
  <c r="BI79" i="15"/>
  <c r="AQ79" i="15"/>
  <c r="BF77" i="15"/>
  <c r="AU99" i="15"/>
  <c r="AQ82" i="15"/>
  <c r="AQ83" i="15"/>
  <c r="BE55" i="15"/>
  <c r="AV77" i="15"/>
  <c r="AW99" i="15"/>
  <c r="AR98" i="15"/>
  <c r="AN98" i="15"/>
  <c r="AW95" i="15"/>
  <c r="AR94" i="15"/>
  <c r="AV100" i="15"/>
  <c r="AT57" i="15"/>
  <c r="BJ57" i="15"/>
  <c r="AL100" i="15"/>
  <c r="AW53" i="15"/>
  <c r="BE51" i="15"/>
  <c r="AT100" i="15"/>
  <c r="AK100" i="15"/>
  <c r="AB95" i="15"/>
  <c r="AW93" i="15"/>
  <c r="AZ83" i="15"/>
  <c r="AM96" i="15"/>
  <c r="AE95" i="15"/>
  <c r="AO57" i="15"/>
  <c r="AD95" i="15"/>
  <c r="AK96" i="15"/>
  <c r="BJ53" i="15"/>
  <c r="BE93" i="15"/>
  <c r="AO53" i="15"/>
  <c r="BE94" i="15"/>
  <c r="AL98" i="15"/>
  <c r="BG99" i="15"/>
  <c r="AD99" i="15"/>
  <c r="BG55" i="15"/>
  <c r="AQ97" i="15"/>
  <c r="AT96" i="15"/>
  <c r="AQ93" i="15"/>
  <c r="BC97" i="15"/>
  <c r="AO95" i="15"/>
  <c r="AY100" i="15"/>
  <c r="AL96" i="15"/>
  <c r="AE99" i="15"/>
  <c r="BC93" i="15"/>
  <c r="BI53" i="15"/>
  <c r="AS97" i="15"/>
  <c r="AV76" i="15"/>
  <c r="AG95" i="15"/>
  <c r="AK94" i="15"/>
  <c r="AG99" i="15"/>
  <c r="AN93" i="15"/>
  <c r="AR82" i="15"/>
  <c r="AT97" i="15"/>
  <c r="BA97" i="15"/>
  <c r="AS77" i="15"/>
  <c r="BF79" i="15"/>
  <c r="BC55" i="15"/>
  <c r="BF83" i="15"/>
  <c r="BJ54" i="15"/>
  <c r="AU50" i="15"/>
  <c r="BG98" i="15"/>
  <c r="AQ98" i="15"/>
  <c r="AW94" i="15"/>
  <c r="AW98" i="15"/>
  <c r="AT93" i="15"/>
  <c r="AY99" i="15"/>
  <c r="AS93" i="15"/>
  <c r="AK98" i="15"/>
  <c r="BA100" i="15"/>
  <c r="BD56" i="15"/>
  <c r="AN97" i="15"/>
  <c r="AQ94" i="15"/>
  <c r="AP55" i="15"/>
  <c r="BG94" i="15"/>
  <c r="T50" i="15"/>
  <c r="AR55" i="15"/>
  <c r="AP81" i="15"/>
  <c r="AZ98" i="15"/>
  <c r="BD100" i="15"/>
  <c r="AP95" i="15"/>
  <c r="AR80" i="15"/>
  <c r="AT83" i="15"/>
  <c r="AR83" i="15"/>
  <c r="AV82" i="15"/>
  <c r="AV50" i="15"/>
  <c r="AY93" i="15"/>
  <c r="AB98" i="15"/>
  <c r="AJ98" i="15"/>
  <c r="BJ79" i="15"/>
  <c r="AU96" i="15"/>
  <c r="AP93" i="15"/>
  <c r="AU77" i="15"/>
  <c r="BJ77" i="15"/>
  <c r="AM95" i="15"/>
  <c r="BJ83" i="15"/>
  <c r="AU83" i="15"/>
  <c r="BF52" i="15"/>
  <c r="AX76" i="15"/>
  <c r="AP79" i="15"/>
  <c r="AX80" i="15"/>
  <c r="AB94" i="15"/>
  <c r="AP83" i="15"/>
  <c r="BI94" i="15"/>
  <c r="BH82" i="15"/>
  <c r="AH100" i="15"/>
  <c r="AV51" i="15"/>
  <c r="AR52" i="15"/>
  <c r="BD96" i="15"/>
  <c r="AP99" i="15"/>
  <c r="AM94" i="15"/>
  <c r="BB95" i="15"/>
  <c r="BC77" i="15"/>
  <c r="AT79" i="15"/>
  <c r="AT81" i="15"/>
  <c r="AE106" i="15"/>
  <c r="AI101" i="15"/>
  <c r="BI50" i="15"/>
  <c r="BA79" i="15"/>
  <c r="BD77" i="15"/>
  <c r="AQ50" i="15"/>
  <c r="BI56" i="15"/>
  <c r="AU53" i="15"/>
  <c r="BH56" i="15"/>
  <c r="BF50" i="15"/>
  <c r="BF53" i="15"/>
  <c r="BD57" i="15"/>
  <c r="BD53" i="15"/>
  <c r="AM98" i="15"/>
  <c r="AJ94" i="15"/>
  <c r="BB99" i="15"/>
  <c r="AU81" i="15"/>
  <c r="AV78" i="15"/>
  <c r="AH96" i="15"/>
  <c r="BF56" i="15"/>
  <c r="BC78" i="15"/>
  <c r="BB77" i="15"/>
  <c r="BB79" i="15"/>
  <c r="AT77" i="15"/>
  <c r="AY76" i="15"/>
  <c r="AY83" i="15"/>
  <c r="AS57" i="15"/>
  <c r="AV55" i="15"/>
  <c r="BA77" i="15"/>
  <c r="AT52" i="15"/>
  <c r="AO52" i="15"/>
  <c r="AR50" i="15"/>
  <c r="AZ55" i="15"/>
  <c r="AN52" i="15"/>
  <c r="BG52" i="15"/>
  <c r="AM81" i="15"/>
  <c r="AN94" i="15"/>
  <c r="AQ57" i="15"/>
  <c r="AW51" i="15"/>
  <c r="AX55" i="15"/>
  <c r="BA94" i="15"/>
  <c r="BG56" i="15"/>
  <c r="BG53" i="15"/>
  <c r="BG57" i="15"/>
  <c r="AZ76" i="15"/>
  <c r="AM83" i="15"/>
  <c r="AS78" i="15"/>
  <c r="BC82" i="15"/>
  <c r="AN76" i="15"/>
  <c r="BB83" i="15"/>
  <c r="AO77" i="15"/>
  <c r="AY80" i="15"/>
  <c r="BD76" i="15"/>
  <c r="BD80" i="15"/>
  <c r="AV54" i="15"/>
  <c r="AW55" i="15"/>
  <c r="BC51" i="15"/>
  <c r="AR51" i="15"/>
  <c r="BH55" i="15"/>
  <c r="BD95" i="15"/>
  <c r="AX51" i="15"/>
  <c r="AB107" i="15"/>
  <c r="AP82" i="15"/>
  <c r="AX83" i="15"/>
  <c r="BI83" i="15"/>
  <c r="AN78" i="15"/>
  <c r="AI102" i="15"/>
  <c r="AT94" i="15"/>
  <c r="AI97" i="15"/>
  <c r="AH108" i="15"/>
  <c r="AO107" i="15"/>
  <c r="AO82" i="15"/>
  <c r="BF96" i="15"/>
  <c r="BJ93" i="15"/>
  <c r="AS96" i="15"/>
  <c r="AU76" i="15"/>
  <c r="BJ105" i="15"/>
  <c r="BJ80" i="15"/>
  <c r="AR53" i="15"/>
  <c r="AN55" i="15"/>
  <c r="AW52" i="15"/>
  <c r="AL108" i="15"/>
  <c r="AQ103" i="15"/>
  <c r="AQ107" i="15"/>
  <c r="AU93" i="15"/>
  <c r="AU97" i="15"/>
  <c r="AU101" i="15"/>
  <c r="AU105" i="15"/>
  <c r="AS50" i="15"/>
  <c r="AW56" i="15"/>
  <c r="AA104" i="15"/>
  <c r="AZ105" i="15"/>
  <c r="AZ97" i="15"/>
  <c r="AZ93" i="15"/>
  <c r="AZ101" i="15"/>
  <c r="AX108" i="15"/>
  <c r="AX104" i="15"/>
  <c r="BG101" i="15"/>
  <c r="BG76" i="15"/>
  <c r="AI104" i="15"/>
  <c r="AI108" i="15"/>
  <c r="BH54" i="15"/>
  <c r="AT55" i="15"/>
  <c r="AO54" i="15"/>
  <c r="BC56" i="15"/>
  <c r="BG81" i="15"/>
  <c r="BJ52" i="15"/>
  <c r="BD106" i="15"/>
  <c r="BD102" i="15"/>
  <c r="BE57" i="15"/>
  <c r="BE53" i="15"/>
  <c r="BE56" i="15"/>
  <c r="AY106" i="15"/>
  <c r="AY102" i="15"/>
  <c r="BA107" i="15"/>
  <c r="BA103" i="15"/>
  <c r="BA95" i="15"/>
  <c r="BG50" i="15"/>
  <c r="AP96" i="15"/>
  <c r="BI77" i="15"/>
  <c r="AJ107" i="15"/>
  <c r="AM79" i="15"/>
  <c r="BI82" i="15"/>
  <c r="AP100" i="15"/>
  <c r="AX78" i="15"/>
  <c r="BF78" i="15"/>
  <c r="AW107" i="15"/>
  <c r="AW82" i="15"/>
  <c r="AR81" i="15"/>
  <c r="AQ81" i="15"/>
  <c r="AN106" i="15"/>
  <c r="AN81" i="15"/>
  <c r="AI105" i="15"/>
  <c r="AR100" i="15"/>
  <c r="AT98" i="15"/>
  <c r="AZ78" i="15"/>
  <c r="AW102" i="15"/>
  <c r="AW77" i="15"/>
  <c r="AW103" i="15"/>
  <c r="AW78" i="15"/>
  <c r="AR102" i="15"/>
  <c r="AR77" i="15"/>
  <c r="AT78" i="15"/>
  <c r="AM76" i="15"/>
  <c r="AM78" i="15"/>
  <c r="AF97" i="15"/>
  <c r="AR107" i="15"/>
  <c r="AR103" i="15"/>
  <c r="AR99" i="15"/>
  <c r="AR95" i="15"/>
  <c r="AP107" i="15"/>
  <c r="AP103" i="15"/>
  <c r="BB56" i="15"/>
  <c r="BH106" i="15"/>
  <c r="BH98" i="15"/>
  <c r="BH94" i="15"/>
  <c r="AJ102" i="15"/>
  <c r="AJ106" i="15"/>
  <c r="BI57" i="15"/>
  <c r="BB107" i="15"/>
  <c r="BB103" i="15"/>
  <c r="BA101" i="15"/>
  <c r="BA76" i="15"/>
  <c r="AM53" i="15"/>
  <c r="BD104" i="15"/>
  <c r="BD79" i="15"/>
  <c r="AO56" i="15"/>
  <c r="BC52" i="15"/>
  <c r="AH104" i="15"/>
  <c r="AZ102" i="15"/>
  <c r="AZ94" i="15"/>
  <c r="AQ54" i="15"/>
  <c r="AB102" i="15"/>
  <c r="AD96" i="15"/>
  <c r="BI102" i="15"/>
  <c r="BB53" i="15"/>
  <c r="AV105" i="15"/>
  <c r="AV101" i="15"/>
  <c r="AV97" i="15"/>
  <c r="AV93" i="15"/>
  <c r="BA83" i="15"/>
  <c r="AM103" i="15"/>
  <c r="AM99" i="15"/>
  <c r="AM107" i="15"/>
  <c r="BH51" i="15"/>
  <c r="AR54" i="15"/>
  <c r="BD81" i="15"/>
  <c r="AP101" i="15"/>
  <c r="AP105" i="15"/>
  <c r="BG105" i="15"/>
  <c r="BG80" i="15"/>
  <c r="BB106" i="15"/>
  <c r="BB102" i="15"/>
  <c r="BB98" i="15"/>
  <c r="BB94" i="15"/>
  <c r="AV107" i="15"/>
  <c r="AV103" i="15"/>
  <c r="AV99" i="15"/>
  <c r="AV95" i="15"/>
  <c r="AM106" i="15"/>
  <c r="AU108" i="15"/>
  <c r="BH97" i="15"/>
  <c r="BH101" i="15"/>
  <c r="BH93" i="15"/>
  <c r="BH105" i="15"/>
  <c r="AY101" i="15"/>
  <c r="AY105" i="15"/>
  <c r="BD103" i="15"/>
  <c r="BD107" i="15"/>
  <c r="AY54" i="15"/>
  <c r="BE54" i="15"/>
  <c r="AY52" i="15"/>
  <c r="BA53" i="15"/>
  <c r="BG51" i="15"/>
  <c r="BA55" i="15"/>
  <c r="AP76" i="15"/>
  <c r="AX77" i="15"/>
  <c r="BI101" i="15"/>
  <c r="BI76" i="15"/>
  <c r="AA108" i="15"/>
  <c r="AW106" i="15"/>
  <c r="AW81" i="15"/>
  <c r="AS100" i="15"/>
  <c r="AU80" i="15"/>
  <c r="BB82" i="15"/>
  <c r="BF80" i="15"/>
  <c r="AZ80" i="15"/>
  <c r="AS81" i="15"/>
  <c r="AU95" i="15"/>
  <c r="AR76" i="15"/>
  <c r="AT76" i="15"/>
  <c r="AS83" i="15"/>
  <c r="AU78" i="15"/>
  <c r="BJ97" i="15"/>
  <c r="BC101" i="15"/>
  <c r="BC76" i="15"/>
  <c r="AQ95" i="15"/>
  <c r="BC105" i="15"/>
  <c r="BC80" i="15"/>
  <c r="AF105" i="15"/>
  <c r="AL105" i="15"/>
  <c r="BG83" i="15"/>
  <c r="BI55" i="15"/>
  <c r="AN107" i="15"/>
  <c r="AN103" i="15"/>
  <c r="AM52" i="15"/>
  <c r="AW104" i="15"/>
  <c r="BC96" i="15"/>
  <c r="BC108" i="15"/>
  <c r="BC100" i="15"/>
  <c r="BC104" i="15"/>
  <c r="AN108" i="15"/>
  <c r="AN104" i="15"/>
  <c r="AG104" i="15"/>
  <c r="AU57" i="15"/>
  <c r="BH104" i="15"/>
  <c r="AA107" i="15"/>
  <c r="AH107" i="15"/>
  <c r="AH103" i="15"/>
  <c r="AZ57" i="15"/>
  <c r="AP50" i="15"/>
  <c r="AX107" i="15"/>
  <c r="AX103" i="15"/>
  <c r="AC106" i="15"/>
  <c r="AC102" i="15"/>
  <c r="AC94" i="15"/>
  <c r="AF107" i="15"/>
  <c r="AF103" i="15"/>
  <c r="AF99" i="15"/>
  <c r="AF95" i="15"/>
  <c r="AI103" i="15"/>
  <c r="AI107" i="15"/>
  <c r="BJ51" i="15"/>
  <c r="AS52" i="15"/>
  <c r="BI54" i="15"/>
  <c r="BB50" i="15"/>
  <c r="AV53" i="15"/>
  <c r="BA82" i="15"/>
  <c r="AM56" i="15"/>
  <c r="BC57" i="15"/>
  <c r="AR101" i="15"/>
  <c r="AR105" i="15"/>
  <c r="AE104" i="15"/>
  <c r="AE108" i="15"/>
  <c r="BJ55" i="15"/>
  <c r="AP53" i="15"/>
  <c r="AD100" i="15"/>
  <c r="BI105" i="15"/>
  <c r="BB55" i="15"/>
  <c r="AV52" i="15"/>
  <c r="AM50" i="15"/>
  <c r="AU54" i="15"/>
  <c r="BH53" i="15"/>
  <c r="BD101" i="15"/>
  <c r="BD97" i="15"/>
  <c r="BD105" i="15"/>
  <c r="AY53" i="15"/>
  <c r="BA102" i="15"/>
  <c r="AY50" i="15"/>
  <c r="AY57" i="15"/>
  <c r="BD50" i="15"/>
  <c r="BF102" i="15"/>
  <c r="BF106" i="15"/>
  <c r="AD106" i="15"/>
  <c r="AD102" i="15"/>
  <c r="AA103" i="15"/>
  <c r="AP80" i="15"/>
  <c r="AX106" i="15"/>
  <c r="AX81" i="15"/>
  <c r="BI106" i="15"/>
  <c r="BI81" i="15"/>
  <c r="AB103" i="15"/>
  <c r="AM102" i="15"/>
  <c r="AM77" i="15"/>
  <c r="BJ101" i="15"/>
  <c r="BJ76" i="15"/>
  <c r="AU104" i="15"/>
  <c r="AU79" i="15"/>
  <c r="AN80" i="15"/>
  <c r="AH106" i="15"/>
  <c r="AO81" i="15"/>
  <c r="BF100" i="15"/>
  <c r="AW76" i="15"/>
  <c r="BJ78" i="15"/>
  <c r="AS80" i="15"/>
  <c r="AS82" i="15"/>
  <c r="AV81" i="15"/>
  <c r="BH102" i="15"/>
  <c r="BH77" i="15"/>
  <c r="AQ77" i="15"/>
  <c r="AG108" i="15"/>
  <c r="BC106" i="15"/>
  <c r="BC81" i="15"/>
  <c r="AE98" i="15"/>
  <c r="BH81" i="15"/>
  <c r="AQ78" i="15"/>
  <c r="BC83" i="15"/>
  <c r="AY82" i="15"/>
  <c r="AQ102" i="15"/>
  <c r="AQ106" i="15"/>
  <c r="AK99" i="15"/>
  <c r="AK107" i="15"/>
  <c r="AK95" i="15"/>
  <c r="AK103" i="15"/>
  <c r="AN54" i="15"/>
  <c r="AG103" i="15"/>
  <c r="AY107" i="15"/>
  <c r="BG79" i="15"/>
  <c r="BD108" i="15"/>
  <c r="BD83" i="15"/>
  <c r="AX52" i="15"/>
  <c r="BH52" i="15"/>
  <c r="AK102" i="15"/>
  <c r="BE76" i="15"/>
  <c r="AO102" i="15"/>
  <c r="AO98" i="15"/>
  <c r="AO106" i="15"/>
  <c r="AO94" i="15"/>
  <c r="AW54" i="15"/>
  <c r="BC54" i="15"/>
  <c r="AL101" i="15"/>
  <c r="BG77" i="15"/>
  <c r="BJ50" i="15"/>
  <c r="AS105" i="15"/>
  <c r="AT105" i="15"/>
  <c r="AT101" i="15"/>
  <c r="AN105" i="15"/>
  <c r="AN101" i="15"/>
  <c r="AG101" i="15"/>
  <c r="AG105" i="15"/>
  <c r="AG97" i="15"/>
  <c r="AG93" i="15"/>
  <c r="BE80" i="15"/>
  <c r="AO50" i="15"/>
  <c r="BC53" i="15"/>
  <c r="BA108" i="15"/>
  <c r="BA104" i="15"/>
  <c r="BA96" i="15"/>
  <c r="BA52" i="15"/>
  <c r="BG106" i="15"/>
  <c r="BG102" i="15"/>
  <c r="BA51" i="15"/>
  <c r="AY55" i="15"/>
  <c r="BA93" i="15"/>
  <c r="BF54" i="15"/>
  <c r="BF57" i="15"/>
  <c r="AB106" i="15"/>
  <c r="BI80" i="15"/>
  <c r="AZ82" i="15"/>
  <c r="AS79" i="15"/>
  <c r="AU82" i="15"/>
  <c r="AV79" i="15"/>
  <c r="BJ82" i="15"/>
  <c r="AV80" i="15"/>
  <c r="BB105" i="15"/>
  <c r="BB80" i="15"/>
  <c r="AI93" i="15"/>
  <c r="BB78" i="15"/>
  <c r="BI107" i="15"/>
  <c r="BI103" i="15"/>
  <c r="AV104" i="15"/>
  <c r="AV96" i="15"/>
  <c r="AV108" i="15"/>
  <c r="AM104" i="15"/>
  <c r="AM108" i="15"/>
  <c r="BD78" i="15"/>
  <c r="AA101" i="15"/>
  <c r="AA105" i="15"/>
  <c r="AX105" i="15"/>
  <c r="AX101" i="15"/>
  <c r="AC96" i="15"/>
  <c r="AC108" i="15"/>
  <c r="AC104" i="15"/>
  <c r="AC100" i="15"/>
  <c r="BD82" i="15"/>
  <c r="AA106" i="15"/>
  <c r="AA102" i="15"/>
  <c r="AH102" i="15"/>
  <c r="BC50" i="15"/>
  <c r="AF106" i="15"/>
  <c r="AF102" i="15"/>
  <c r="AF94" i="15"/>
  <c r="AF98" i="15"/>
  <c r="BJ103" i="15"/>
  <c r="BJ107" i="15"/>
  <c r="AB101" i="15"/>
  <c r="AS98" i="15"/>
  <c r="AS106" i="15"/>
  <c r="AS102" i="15"/>
  <c r="BI104" i="15"/>
  <c r="BI108" i="15"/>
  <c r="BB57" i="15"/>
  <c r="AV56" i="15"/>
  <c r="BA106" i="15"/>
  <c r="BA81" i="15"/>
  <c r="AM55" i="15"/>
  <c r="AT54" i="15"/>
  <c r="AC103" i="15"/>
  <c r="AC107" i="15"/>
  <c r="AL102" i="15"/>
  <c r="BG78" i="15"/>
  <c r="BB104" i="15"/>
  <c r="BB100" i="15"/>
  <c r="BB108" i="15"/>
  <c r="AV106" i="15"/>
  <c r="AV102" i="15"/>
  <c r="AV98" i="15"/>
  <c r="AV94" i="15"/>
  <c r="AM101" i="15"/>
  <c r="AM105" i="15"/>
  <c r="AQ55" i="15"/>
  <c r="AB104" i="15"/>
  <c r="AB108" i="15"/>
  <c r="AS54" i="15"/>
  <c r="AK93" i="15"/>
  <c r="AK101" i="15"/>
  <c r="AK97" i="15"/>
  <c r="AK105" i="15"/>
  <c r="AT56" i="15"/>
  <c r="AN56" i="15"/>
  <c r="BE104" i="15"/>
  <c r="BE79" i="15"/>
  <c r="AO108" i="15"/>
  <c r="AO104" i="15"/>
  <c r="BC103" i="15"/>
  <c r="BC107" i="15"/>
  <c r="AD107" i="15"/>
  <c r="AD103" i="15"/>
  <c r="BG103" i="15"/>
  <c r="BG107" i="15"/>
  <c r="BF55" i="15"/>
  <c r="AL107" i="15"/>
  <c r="AL103" i="15"/>
  <c r="AG94" i="15"/>
  <c r="AE102" i="15"/>
  <c r="AQ105" i="15"/>
  <c r="AQ80" i="15"/>
  <c r="AW108" i="15"/>
  <c r="AW83" i="15"/>
  <c r="AE94" i="15"/>
  <c r="AQ101" i="15"/>
  <c r="AQ76" i="15"/>
  <c r="AG107" i="15"/>
  <c r="BC79" i="15"/>
  <c r="AN77" i="15"/>
  <c r="AO103" i="15"/>
  <c r="AO78" i="15"/>
  <c r="BB51" i="15"/>
  <c r="AU107" i="15"/>
  <c r="AU103" i="15"/>
  <c r="BH107" i="15"/>
  <c r="BH99" i="15"/>
  <c r="BH95" i="15"/>
  <c r="BH103" i="15"/>
  <c r="AJ101" i="15"/>
  <c r="AJ105" i="15"/>
  <c r="AH105" i="15"/>
  <c r="AH101" i="15"/>
  <c r="AX53" i="15"/>
  <c r="AX102" i="15"/>
  <c r="AC101" i="15"/>
  <c r="AC105" i="15"/>
  <c r="AC93" i="15"/>
  <c r="BI52" i="15"/>
  <c r="BA105" i="15"/>
  <c r="BA80" i="15"/>
  <c r="AO97" i="15"/>
  <c r="AO105" i="15"/>
  <c r="AO93" i="15"/>
  <c r="AO101" i="15"/>
  <c r="AZ103" i="15"/>
  <c r="AZ95" i="15"/>
  <c r="AZ107" i="15"/>
  <c r="AZ99" i="15"/>
  <c r="AP56" i="15"/>
  <c r="BI51" i="15"/>
  <c r="BB52" i="15"/>
  <c r="AP102" i="15"/>
  <c r="AP106" i="15"/>
  <c r="BE99" i="15"/>
  <c r="BE95" i="15"/>
  <c r="BE103" i="15"/>
  <c r="BF103" i="15"/>
  <c r="BF107" i="15"/>
  <c r="AD101" i="15"/>
  <c r="AD105" i="15"/>
  <c r="BF105" i="15"/>
  <c r="BF101" i="15"/>
  <c r="BG108" i="15"/>
  <c r="BG104" i="15"/>
  <c r="BA56" i="15"/>
  <c r="BE108" i="15"/>
  <c r="BD54" i="15"/>
  <c r="AP78" i="15"/>
  <c r="AX79" i="15"/>
  <c r="BH108" i="15"/>
  <c r="BH83" i="15"/>
  <c r="AG102" i="15"/>
  <c r="BB101" i="15"/>
  <c r="BB76" i="15"/>
  <c r="AZ106" i="15"/>
  <c r="AZ81" i="15"/>
  <c r="AT106" i="15"/>
  <c r="AT102" i="15"/>
  <c r="AG106" i="15"/>
  <c r="AG98" i="15"/>
  <c r="BE107" i="15"/>
  <c r="BE82" i="15"/>
  <c r="AR96" i="15"/>
  <c r="AR104" i="15"/>
  <c r="AR108" i="15"/>
  <c r="AE105" i="15"/>
  <c r="AE97" i="15"/>
  <c r="AE101" i="15"/>
  <c r="AE93" i="15"/>
  <c r="AP104" i="15"/>
  <c r="AP108" i="15"/>
  <c r="AS107" i="15"/>
  <c r="AS103" i="15"/>
  <c r="AS99" i="15"/>
  <c r="AS95" i="15"/>
  <c r="AF101" i="15"/>
  <c r="AF93" i="15"/>
  <c r="AU102" i="15"/>
  <c r="AU98" i="15"/>
  <c r="AU94" i="15"/>
  <c r="AU106" i="15"/>
  <c r="AT103" i="15"/>
  <c r="AT99" i="15"/>
  <c r="AT95" i="15"/>
  <c r="AT107" i="15"/>
  <c r="AZ108" i="15"/>
  <c r="AZ100" i="15"/>
  <c r="AZ96" i="15"/>
  <c r="AZ104" i="15"/>
  <c r="AS108" i="15"/>
  <c r="AS104" i="15"/>
  <c r="AN51" i="15"/>
  <c r="BE78" i="15"/>
  <c r="BF104" i="15"/>
  <c r="BF108" i="15"/>
  <c r="BF51" i="15"/>
  <c r="AD108" i="15"/>
  <c r="AD104" i="15"/>
  <c r="AB105" i="15"/>
  <c r="AJ103" i="15"/>
  <c r="BI78" i="15"/>
  <c r="AP77" i="15"/>
  <c r="AX82" i="15"/>
  <c r="AO80" i="15"/>
  <c r="AS101" i="15"/>
  <c r="AS76" i="15"/>
  <c r="BJ106" i="15"/>
  <c r="BJ81" i="15"/>
  <c r="AK106" i="15"/>
  <c r="BH78" i="15"/>
  <c r="BF81" i="15"/>
  <c r="AN82" i="15"/>
  <c r="AI106" i="15"/>
  <c r="AH93" i="15"/>
  <c r="BB97" i="15"/>
  <c r="AO83" i="15"/>
  <c r="BF82" i="15"/>
  <c r="BB81" i="15"/>
  <c r="AO76" i="15"/>
  <c r="AW79" i="15"/>
  <c r="AR78" i="15"/>
  <c r="AT80" i="15"/>
  <c r="AY103" i="15"/>
  <c r="AY78" i="15"/>
  <c r="AW105" i="15"/>
  <c r="AW80" i="15"/>
  <c r="AR79" i="15"/>
  <c r="AT82" i="15"/>
  <c r="AZ79" i="15"/>
  <c r="AT108" i="15"/>
  <c r="AT104" i="15"/>
  <c r="AN102" i="15"/>
  <c r="BC102" i="15"/>
  <c r="BC94" i="15"/>
  <c r="BC98" i="15"/>
  <c r="BJ96" i="15"/>
  <c r="BJ108" i="15"/>
  <c r="BJ104" i="15"/>
  <c r="BJ100" i="15"/>
  <c r="AQ108" i="15"/>
  <c r="AQ104" i="15"/>
  <c r="AQ100" i="15"/>
  <c r="AQ96" i="15"/>
  <c r="AK108" i="15"/>
  <c r="AK104" i="15"/>
  <c r="BA78" i="15"/>
  <c r="AM54" i="15"/>
  <c r="AJ100" i="15"/>
  <c r="AJ108" i="15"/>
  <c r="AJ104" i="15"/>
  <c r="AJ96" i="15"/>
  <c r="AT53" i="15"/>
  <c r="AP51" i="15"/>
  <c r="AX56" i="15"/>
  <c r="AF108" i="15"/>
  <c r="AF104" i="15"/>
  <c r="AF100" i="15"/>
  <c r="AF96" i="15"/>
  <c r="BJ98" i="15"/>
  <c r="BJ94" i="15"/>
  <c r="BJ102" i="15"/>
  <c r="AS53" i="15"/>
  <c r="AT50" i="15"/>
  <c r="AN50" i="15"/>
  <c r="BE102" i="15"/>
  <c r="BE77" i="15"/>
  <c r="AW101" i="15"/>
  <c r="AY95" i="15"/>
  <c r="AR106" i="15"/>
  <c r="AE103" i="15"/>
  <c r="AE107" i="15"/>
  <c r="AS55" i="15"/>
  <c r="BE101" i="15"/>
  <c r="BE97" i="15"/>
  <c r="BE105" i="15"/>
  <c r="AL106" i="15"/>
  <c r="AL104" i="15"/>
  <c r="BE106" i="15"/>
  <c r="BD52" i="15"/>
  <c r="AY108" i="15"/>
  <c r="AY104" i="15"/>
  <c r="BD55" i="15"/>
  <c r="AE12" i="19"/>
  <c r="AD12" i="19"/>
  <c r="AG12" i="19"/>
  <c r="AB12" i="19"/>
  <c r="AF12" i="19"/>
  <c r="AH12" i="19"/>
  <c r="AC12" i="19"/>
  <c r="AC16" i="19" s="1"/>
  <c r="C93" i="17"/>
  <c r="C94" i="17" s="1"/>
  <c r="F12" i="19"/>
  <c r="F16" i="19" s="1"/>
  <c r="C102" i="17"/>
  <c r="C98" i="17" s="1"/>
  <c r="C107" i="17" s="1"/>
  <c r="R12" i="19"/>
  <c r="R16" i="19" s="1"/>
  <c r="H12" i="19"/>
  <c r="H16" i="19" s="1"/>
  <c r="Q12" i="19"/>
  <c r="Q16" i="19" s="1"/>
  <c r="K12" i="19"/>
  <c r="K16" i="19" s="1"/>
  <c r="G12" i="19"/>
  <c r="G16" i="19" s="1"/>
  <c r="D12" i="19"/>
  <c r="D16" i="19" s="1"/>
  <c r="I12" i="19"/>
  <c r="I16" i="19" s="1"/>
  <c r="P12" i="19"/>
  <c r="P16" i="19" s="1"/>
  <c r="V12" i="19"/>
  <c r="V16" i="19" s="1"/>
  <c r="L12" i="19"/>
  <c r="L16" i="19" s="1"/>
  <c r="J12" i="19"/>
  <c r="J16" i="19" s="1"/>
  <c r="R12" i="22"/>
  <c r="Q12" i="22"/>
  <c r="O13" i="22"/>
  <c r="P13" i="22" s="1"/>
  <c r="C8" i="19"/>
  <c r="C9" i="19" s="1"/>
  <c r="C38" i="17"/>
  <c r="C39" i="17" s="1"/>
  <c r="C103" i="17"/>
  <c r="AU28" i="36" l="1" a="1"/>
  <c r="AU28" i="36" s="1"/>
  <c r="AU20" i="36" a="1"/>
  <c r="AU20" i="36" s="1"/>
  <c r="AR27" i="36" a="1"/>
  <c r="AR27" i="36" s="1"/>
  <c r="AR20" i="36" a="1"/>
  <c r="AR20" i="36" s="1"/>
  <c r="AV22" i="36" a="1"/>
  <c r="AV22" i="36" s="1"/>
  <c r="AW26" i="36" a="1"/>
  <c r="AW26" i="36" s="1"/>
  <c r="AU26" i="36" a="1"/>
  <c r="AU26" i="36" s="1"/>
  <c r="AT24" i="36" a="1"/>
  <c r="AT24" i="36" s="1"/>
  <c r="AR28" i="36" a="1"/>
  <c r="AR28" i="36" s="1"/>
  <c r="AV20" i="36" a="1"/>
  <c r="AV20" i="36" s="1"/>
  <c r="AW27" i="36" a="1"/>
  <c r="AW27" i="36" s="1"/>
  <c r="AU25" i="36" a="1"/>
  <c r="AU25" i="36" s="1"/>
  <c r="AW21" i="36" a="1"/>
  <c r="AW21" i="36" s="1"/>
  <c r="AU27" i="36" a="1"/>
  <c r="AU27" i="36" s="1"/>
  <c r="AS23" i="36" a="1"/>
  <c r="AS23" i="36" s="1"/>
  <c r="AT25" i="36" a="1"/>
  <c r="AT25" i="36" s="1"/>
  <c r="AR21" i="36" a="1"/>
  <c r="AR21" i="36" s="1"/>
  <c r="AV23" i="36" a="1"/>
  <c r="AV23" i="36" s="1"/>
  <c r="AW20" i="36" a="1"/>
  <c r="AW20" i="36" s="1"/>
  <c r="AR22" i="36" a="1"/>
  <c r="AR22" i="36" s="1"/>
  <c r="AR25" i="36" a="1"/>
  <c r="AR25" i="36" s="1"/>
  <c r="AS21" i="36" a="1"/>
  <c r="AS21" i="36" s="1"/>
  <c r="AT23" i="36" a="1"/>
  <c r="AT23" i="36" s="1"/>
  <c r="AW23" i="36" a="1"/>
  <c r="AW23" i="36" s="1"/>
  <c r="AU24" i="36" a="1"/>
  <c r="AU24" i="36" s="1"/>
  <c r="AS20" i="36" a="1"/>
  <c r="AS20" i="36" s="1"/>
  <c r="AT28" i="36" a="1"/>
  <c r="AT28" i="36" s="1"/>
  <c r="AS22" i="36" a="1"/>
  <c r="AS22" i="36" s="1"/>
  <c r="AV25" i="36" a="1"/>
  <c r="AV25" i="36" s="1"/>
  <c r="AS26" i="36" a="1"/>
  <c r="AS26" i="36" s="1"/>
  <c r="AT21" i="36" a="1"/>
  <c r="AT21" i="36" s="1"/>
  <c r="AV26" i="36" a="1"/>
  <c r="AV26" i="36" s="1"/>
  <c r="AR26" i="36" a="1"/>
  <c r="AR26" i="36" s="1"/>
  <c r="AW28" i="36" a="1"/>
  <c r="AW28" i="36" s="1"/>
  <c r="AW24" i="36" a="1"/>
  <c r="AW24" i="36" s="1"/>
  <c r="AT27" i="36" a="1"/>
  <c r="AT27" i="36" s="1"/>
  <c r="AW22" i="36" a="1"/>
  <c r="AW22" i="36" s="1"/>
  <c r="AS27" i="36" a="1"/>
  <c r="AS27" i="36" s="1"/>
  <c r="AU23" i="36" a="1"/>
  <c r="AU23" i="36" s="1"/>
  <c r="AV27" i="36" a="1"/>
  <c r="AV27" i="36" s="1"/>
  <c r="AR24" i="36" a="1"/>
  <c r="AR24" i="36" s="1"/>
  <c r="AT20" i="36" a="1"/>
  <c r="AT20" i="36" s="1"/>
  <c r="AT26" i="36" a="1"/>
  <c r="AT26" i="36" s="1"/>
  <c r="AT22" i="36" a="1"/>
  <c r="AT22" i="36" s="1"/>
  <c r="AS25" i="36" a="1"/>
  <c r="AS25" i="36" s="1"/>
  <c r="AS28" i="36" a="1"/>
  <c r="AS28" i="36" s="1"/>
  <c r="AU21" i="36" a="1"/>
  <c r="AU21" i="36" s="1"/>
  <c r="AV28" i="36" a="1"/>
  <c r="AV28" i="36" s="1"/>
  <c r="AV24" i="36" a="1"/>
  <c r="AV24" i="36" s="1"/>
  <c r="AW25" i="36" a="1"/>
  <c r="AW25" i="36" s="1"/>
  <c r="AW15" i="36" s="1"/>
  <c r="AV21" i="36" a="1"/>
  <c r="AV21" i="36" s="1"/>
  <c r="AS24" i="36" a="1"/>
  <c r="AS24" i="36" s="1"/>
  <c r="AR15" i="36"/>
  <c r="BF11" i="36"/>
  <c r="BF6" i="36"/>
  <c r="BM8" i="36"/>
  <c r="BM6" i="36"/>
  <c r="BH11" i="36"/>
  <c r="BH6" i="36"/>
  <c r="BK8" i="36"/>
  <c r="BK6" i="36"/>
  <c r="R5" i="16"/>
  <c r="BJ6" i="36"/>
  <c r="BL7" i="36"/>
  <c r="BL6" i="36"/>
  <c r="D43" i="15"/>
  <c r="I49" i="15"/>
  <c r="I41" i="15"/>
  <c r="BJ17" i="36"/>
  <c r="BJ18" i="36" s="1"/>
  <c r="F46" i="15"/>
  <c r="H43" i="15"/>
  <c r="D39" i="15"/>
  <c r="D44" i="15"/>
  <c r="D46" i="15"/>
  <c r="H38" i="15"/>
  <c r="H47" i="15"/>
  <c r="H55" i="15" s="1"/>
  <c r="D42" i="15"/>
  <c r="G43" i="15"/>
  <c r="G51" i="15" s="1"/>
  <c r="G20" i="19"/>
  <c r="H20" i="19" s="1"/>
  <c r="F49" i="15"/>
  <c r="F41" i="15"/>
  <c r="F57" i="15" s="1"/>
  <c r="Q55" i="15"/>
  <c r="R57" i="15"/>
  <c r="S55" i="15"/>
  <c r="E169" i="17"/>
  <c r="E175" i="17" s="1"/>
  <c r="S54" i="15"/>
  <c r="H46" i="15"/>
  <c r="U54" i="15"/>
  <c r="Y51" i="15"/>
  <c r="S50" i="15"/>
  <c r="Y50" i="15"/>
  <c r="X54" i="15"/>
  <c r="V54" i="15"/>
  <c r="R55" i="15"/>
  <c r="R53" i="15"/>
  <c r="R51" i="15"/>
  <c r="T53" i="15"/>
  <c r="Q51" i="15"/>
  <c r="X57" i="15"/>
  <c r="I44" i="15"/>
  <c r="I52" i="15" s="1"/>
  <c r="G41" i="15"/>
  <c r="G44" i="15"/>
  <c r="I48" i="15"/>
  <c r="I56" i="15" s="1"/>
  <c r="G40" i="15"/>
  <c r="I43" i="15"/>
  <c r="I39" i="15"/>
  <c r="P57" i="15"/>
  <c r="R56" i="15"/>
  <c r="P53" i="15"/>
  <c r="P50" i="15"/>
  <c r="Y54" i="15"/>
  <c r="V56" i="15"/>
  <c r="U52" i="15"/>
  <c r="P54" i="15"/>
  <c r="Q53" i="15"/>
  <c r="O51" i="15"/>
  <c r="D41" i="15"/>
  <c r="G85" i="15"/>
  <c r="G64" i="15"/>
  <c r="G97" i="15" s="1"/>
  <c r="G65" i="15"/>
  <c r="G98" i="15" s="1"/>
  <c r="G61" i="15"/>
  <c r="G94" i="15" s="1"/>
  <c r="G62" i="15"/>
  <c r="G95" i="15" s="1"/>
  <c r="G60" i="15"/>
  <c r="G93" i="15" s="1"/>
  <c r="G69" i="15"/>
  <c r="G102" i="15" s="1"/>
  <c r="G67" i="15"/>
  <c r="G100" i="15" s="1"/>
  <c r="G73" i="15"/>
  <c r="G106" i="15" s="1"/>
  <c r="G74" i="15"/>
  <c r="G107" i="15" s="1"/>
  <c r="G66" i="15"/>
  <c r="G99" i="15" s="1"/>
  <c r="G71" i="15"/>
  <c r="G104" i="15" s="1"/>
  <c r="G70" i="15"/>
  <c r="G103" i="15" s="1"/>
  <c r="G72" i="15"/>
  <c r="G105" i="15" s="1"/>
  <c r="G63" i="15"/>
  <c r="G96" i="15" s="1"/>
  <c r="G75" i="15"/>
  <c r="G108" i="15" s="1"/>
  <c r="G68" i="15"/>
  <c r="G101" i="15" s="1"/>
  <c r="F47" i="15"/>
  <c r="F55" i="15" s="1"/>
  <c r="D85" i="15"/>
  <c r="D60" i="15"/>
  <c r="D93" i="15" s="1"/>
  <c r="D72" i="15"/>
  <c r="D105" i="15" s="1"/>
  <c r="D73" i="15"/>
  <c r="D106" i="15" s="1"/>
  <c r="D66" i="15"/>
  <c r="D99" i="15" s="1"/>
  <c r="D69" i="15"/>
  <c r="D102" i="15" s="1"/>
  <c r="D67" i="15"/>
  <c r="D100" i="15" s="1"/>
  <c r="D63" i="15"/>
  <c r="D96" i="15" s="1"/>
  <c r="D62" i="15"/>
  <c r="D95" i="15" s="1"/>
  <c r="D64" i="15"/>
  <c r="D97" i="15" s="1"/>
  <c r="D65" i="15"/>
  <c r="D98" i="15" s="1"/>
  <c r="D74" i="15"/>
  <c r="D107" i="15" s="1"/>
  <c r="D68" i="15"/>
  <c r="D101" i="15" s="1"/>
  <c r="D70" i="15"/>
  <c r="D103" i="15" s="1"/>
  <c r="D71" i="15"/>
  <c r="D104" i="15" s="1"/>
  <c r="D75" i="15"/>
  <c r="D108" i="15" s="1"/>
  <c r="D61" i="15"/>
  <c r="D94" i="15" s="1"/>
  <c r="K85" i="15"/>
  <c r="K74" i="15"/>
  <c r="K107" i="15" s="1"/>
  <c r="K68" i="15"/>
  <c r="K101" i="15" s="1"/>
  <c r="K66" i="15"/>
  <c r="K99" i="15" s="1"/>
  <c r="K67" i="15"/>
  <c r="K100" i="15" s="1"/>
  <c r="K71" i="15"/>
  <c r="K104" i="15" s="1"/>
  <c r="K70" i="15"/>
  <c r="K103" i="15" s="1"/>
  <c r="K63" i="15"/>
  <c r="K96" i="15" s="1"/>
  <c r="K72" i="15"/>
  <c r="K105" i="15" s="1"/>
  <c r="K65" i="15"/>
  <c r="K98" i="15" s="1"/>
  <c r="K60" i="15"/>
  <c r="K93" i="15" s="1"/>
  <c r="K73" i="15"/>
  <c r="K106" i="15" s="1"/>
  <c r="K64" i="15"/>
  <c r="K97" i="15" s="1"/>
  <c r="K61" i="15"/>
  <c r="K94" i="15" s="1"/>
  <c r="K62" i="15"/>
  <c r="K95" i="15" s="1"/>
  <c r="K69" i="15"/>
  <c r="K102" i="15" s="1"/>
  <c r="K75" i="15"/>
  <c r="K108" i="15" s="1"/>
  <c r="R85" i="15"/>
  <c r="R73" i="15"/>
  <c r="R75" i="15"/>
  <c r="R69" i="15"/>
  <c r="R74" i="15"/>
  <c r="R71" i="15"/>
  <c r="R65" i="15"/>
  <c r="R98" i="15" s="1"/>
  <c r="R61" i="15"/>
  <c r="R94" i="15" s="1"/>
  <c r="R72" i="15"/>
  <c r="R68" i="15"/>
  <c r="R70" i="15"/>
  <c r="R67" i="15"/>
  <c r="R100" i="15" s="1"/>
  <c r="R60" i="15"/>
  <c r="R93" i="15" s="1"/>
  <c r="R64" i="15"/>
  <c r="R97" i="15" s="1"/>
  <c r="R63" i="15"/>
  <c r="R96" i="15" s="1"/>
  <c r="R62" i="15"/>
  <c r="R95" i="15" s="1"/>
  <c r="R66" i="15"/>
  <c r="R99" i="15" s="1"/>
  <c r="J85" i="15"/>
  <c r="J64" i="15"/>
  <c r="J97" i="15" s="1"/>
  <c r="J74" i="15"/>
  <c r="J107" i="15" s="1"/>
  <c r="J67" i="15"/>
  <c r="J100" i="15" s="1"/>
  <c r="J75" i="15"/>
  <c r="J108" i="15" s="1"/>
  <c r="J65" i="15"/>
  <c r="J98" i="15" s="1"/>
  <c r="J73" i="15"/>
  <c r="J106" i="15" s="1"/>
  <c r="J72" i="15"/>
  <c r="J105" i="15" s="1"/>
  <c r="J60" i="15"/>
  <c r="J93" i="15" s="1"/>
  <c r="J71" i="15"/>
  <c r="J104" i="15" s="1"/>
  <c r="J61" i="15"/>
  <c r="J94" i="15" s="1"/>
  <c r="J70" i="15"/>
  <c r="J103" i="15" s="1"/>
  <c r="J63" i="15"/>
  <c r="J96" i="15" s="1"/>
  <c r="J69" i="15"/>
  <c r="J102" i="15" s="1"/>
  <c r="J66" i="15"/>
  <c r="J99" i="15" s="1"/>
  <c r="J62" i="15"/>
  <c r="J95" i="15" s="1"/>
  <c r="J68" i="15"/>
  <c r="J101" i="15" s="1"/>
  <c r="Y56" i="15"/>
  <c r="S51" i="15"/>
  <c r="O56" i="15"/>
  <c r="H48" i="15"/>
  <c r="H56" i="15" s="1"/>
  <c r="Q50" i="15"/>
  <c r="I85" i="15"/>
  <c r="I62" i="15"/>
  <c r="I95" i="15" s="1"/>
  <c r="I70" i="15"/>
  <c r="I103" i="15" s="1"/>
  <c r="I71" i="15"/>
  <c r="I104" i="15" s="1"/>
  <c r="I68" i="15"/>
  <c r="I101" i="15" s="1"/>
  <c r="I61" i="15"/>
  <c r="I94" i="15" s="1"/>
  <c r="I75" i="15"/>
  <c r="I108" i="15" s="1"/>
  <c r="I64" i="15"/>
  <c r="I97" i="15" s="1"/>
  <c r="I69" i="15"/>
  <c r="I102" i="15" s="1"/>
  <c r="I73" i="15"/>
  <c r="I106" i="15" s="1"/>
  <c r="I72" i="15"/>
  <c r="I105" i="15" s="1"/>
  <c r="I67" i="15"/>
  <c r="I100" i="15" s="1"/>
  <c r="I60" i="15"/>
  <c r="I93" i="15" s="1"/>
  <c r="I63" i="15"/>
  <c r="I96" i="15" s="1"/>
  <c r="I66" i="15"/>
  <c r="I99" i="15" s="1"/>
  <c r="I65" i="15"/>
  <c r="I98" i="15" s="1"/>
  <c r="I74" i="15"/>
  <c r="I107" i="15" s="1"/>
  <c r="G49" i="15"/>
  <c r="W85" i="15"/>
  <c r="W73" i="15"/>
  <c r="W71" i="15"/>
  <c r="W63" i="15"/>
  <c r="W96" i="15" s="1"/>
  <c r="W75" i="15"/>
  <c r="W68" i="15"/>
  <c r="W72" i="15"/>
  <c r="W69" i="15"/>
  <c r="W67" i="15"/>
  <c r="W100" i="15" s="1"/>
  <c r="W74" i="15"/>
  <c r="W65" i="15"/>
  <c r="W98" i="15" s="1"/>
  <c r="W62" i="15"/>
  <c r="W95" i="15" s="1"/>
  <c r="W61" i="15"/>
  <c r="W94" i="15" s="1"/>
  <c r="W60" i="15"/>
  <c r="W93" i="15" s="1"/>
  <c r="W64" i="15"/>
  <c r="W97" i="15" s="1"/>
  <c r="W66" i="15"/>
  <c r="W99" i="15" s="1"/>
  <c r="W70" i="15"/>
  <c r="T85" i="15"/>
  <c r="T60" i="15"/>
  <c r="T93" i="15" s="1"/>
  <c r="T66" i="15"/>
  <c r="T99" i="15" s="1"/>
  <c r="T68" i="15"/>
  <c r="T74" i="15"/>
  <c r="T73" i="15"/>
  <c r="T67" i="15"/>
  <c r="T100" i="15" s="1"/>
  <c r="T75" i="15"/>
  <c r="T71" i="15"/>
  <c r="T62" i="15"/>
  <c r="T95" i="15" s="1"/>
  <c r="T64" i="15"/>
  <c r="T97" i="15" s="1"/>
  <c r="T61" i="15"/>
  <c r="T94" i="15" s="1"/>
  <c r="T72" i="15"/>
  <c r="T65" i="15"/>
  <c r="T98" i="15" s="1"/>
  <c r="T69" i="15"/>
  <c r="T63" i="15"/>
  <c r="T96" i="15" s="1"/>
  <c r="T70" i="15"/>
  <c r="O52" i="15"/>
  <c r="V50" i="15"/>
  <c r="F43" i="15"/>
  <c r="F51" i="15" s="1"/>
  <c r="H44" i="15"/>
  <c r="P85" i="15"/>
  <c r="P73" i="15"/>
  <c r="P62" i="15"/>
  <c r="P95" i="15" s="1"/>
  <c r="P74" i="15"/>
  <c r="P67" i="15"/>
  <c r="P100" i="15" s="1"/>
  <c r="P61" i="15"/>
  <c r="P94" i="15" s="1"/>
  <c r="P75" i="15"/>
  <c r="P68" i="15"/>
  <c r="P69" i="15"/>
  <c r="P64" i="15"/>
  <c r="P97" i="15" s="1"/>
  <c r="P65" i="15"/>
  <c r="P98" i="15" s="1"/>
  <c r="P66" i="15"/>
  <c r="P99" i="15" s="1"/>
  <c r="P60" i="15"/>
  <c r="P93" i="15" s="1"/>
  <c r="P71" i="15"/>
  <c r="P70" i="15"/>
  <c r="P72" i="15"/>
  <c r="P63" i="15"/>
  <c r="P96" i="15" s="1"/>
  <c r="O55" i="15"/>
  <c r="U51" i="15"/>
  <c r="Y55" i="15"/>
  <c r="X52" i="15"/>
  <c r="X56" i="15"/>
  <c r="U55" i="15"/>
  <c r="U57" i="15"/>
  <c r="Z51" i="15"/>
  <c r="V53" i="15"/>
  <c r="X53" i="15"/>
  <c r="Q57" i="15"/>
  <c r="H85" i="15"/>
  <c r="H72" i="15"/>
  <c r="H105" i="15" s="1"/>
  <c r="H74" i="15"/>
  <c r="H107" i="15" s="1"/>
  <c r="H62" i="15"/>
  <c r="H95" i="15" s="1"/>
  <c r="H67" i="15"/>
  <c r="H100" i="15" s="1"/>
  <c r="H63" i="15"/>
  <c r="H96" i="15" s="1"/>
  <c r="H65" i="15"/>
  <c r="H98" i="15" s="1"/>
  <c r="H68" i="15"/>
  <c r="H101" i="15" s="1"/>
  <c r="H64" i="15"/>
  <c r="H97" i="15" s="1"/>
  <c r="H61" i="15"/>
  <c r="H94" i="15" s="1"/>
  <c r="H71" i="15"/>
  <c r="H104" i="15" s="1"/>
  <c r="H69" i="15"/>
  <c r="H102" i="15" s="1"/>
  <c r="H66" i="15"/>
  <c r="H99" i="15" s="1"/>
  <c r="H75" i="15"/>
  <c r="H108" i="15" s="1"/>
  <c r="H60" i="15"/>
  <c r="H93" i="15" s="1"/>
  <c r="H70" i="15"/>
  <c r="H103" i="15" s="1"/>
  <c r="H73" i="15"/>
  <c r="H106" i="15" s="1"/>
  <c r="N85" i="15"/>
  <c r="N71" i="15"/>
  <c r="N104" i="15" s="1"/>
  <c r="N64" i="15"/>
  <c r="N97" i="15" s="1"/>
  <c r="N66" i="15"/>
  <c r="N99" i="15" s="1"/>
  <c r="N73" i="15"/>
  <c r="N106" i="15" s="1"/>
  <c r="N65" i="15"/>
  <c r="N98" i="15" s="1"/>
  <c r="N67" i="15"/>
  <c r="N100" i="15" s="1"/>
  <c r="N75" i="15"/>
  <c r="N108" i="15" s="1"/>
  <c r="N60" i="15"/>
  <c r="N93" i="15" s="1"/>
  <c r="N62" i="15"/>
  <c r="N95" i="15" s="1"/>
  <c r="N68" i="15"/>
  <c r="N101" i="15" s="1"/>
  <c r="N70" i="15"/>
  <c r="N103" i="15" s="1"/>
  <c r="N74" i="15"/>
  <c r="N107" i="15" s="1"/>
  <c r="N72" i="15"/>
  <c r="N105" i="15" s="1"/>
  <c r="N61" i="15"/>
  <c r="N94" i="15" s="1"/>
  <c r="N69" i="15"/>
  <c r="N102" i="15" s="1"/>
  <c r="N63" i="15"/>
  <c r="N96" i="15" s="1"/>
  <c r="O85" i="15"/>
  <c r="O72" i="15"/>
  <c r="O60" i="15"/>
  <c r="O93" i="15" s="1"/>
  <c r="O65" i="15"/>
  <c r="O98" i="15" s="1"/>
  <c r="O62" i="15"/>
  <c r="O95" i="15" s="1"/>
  <c r="O69" i="15"/>
  <c r="O61" i="15"/>
  <c r="O94" i="15" s="1"/>
  <c r="O74" i="15"/>
  <c r="O75" i="15"/>
  <c r="O73" i="15"/>
  <c r="O68" i="15"/>
  <c r="O70" i="15"/>
  <c r="O64" i="15"/>
  <c r="O97" i="15" s="1"/>
  <c r="O63" i="15"/>
  <c r="O96" i="15" s="1"/>
  <c r="O66" i="15"/>
  <c r="O99" i="15" s="1"/>
  <c r="O67" i="15"/>
  <c r="O100" i="15" s="1"/>
  <c r="O71" i="15"/>
  <c r="X85" i="15"/>
  <c r="X61" i="15"/>
  <c r="X94" i="15" s="1"/>
  <c r="X65" i="15"/>
  <c r="X98" i="15" s="1"/>
  <c r="X62" i="15"/>
  <c r="X95" i="15" s="1"/>
  <c r="X69" i="15"/>
  <c r="X73" i="15"/>
  <c r="X60" i="15"/>
  <c r="X93" i="15" s="1"/>
  <c r="X72" i="15"/>
  <c r="X75" i="15"/>
  <c r="X74" i="15"/>
  <c r="X64" i="15"/>
  <c r="X97" i="15" s="1"/>
  <c r="X71" i="15"/>
  <c r="X70" i="15"/>
  <c r="X66" i="15"/>
  <c r="X99" i="15" s="1"/>
  <c r="X68" i="15"/>
  <c r="X67" i="15"/>
  <c r="X100" i="15" s="1"/>
  <c r="X63" i="15"/>
  <c r="X96" i="15" s="1"/>
  <c r="U53" i="15"/>
  <c r="Q56" i="15"/>
  <c r="H45" i="15"/>
  <c r="H49" i="15"/>
  <c r="H57" i="15" s="1"/>
  <c r="L85" i="15"/>
  <c r="L72" i="15"/>
  <c r="L105" i="15" s="1"/>
  <c r="L74" i="15"/>
  <c r="L107" i="15" s="1"/>
  <c r="L67" i="15"/>
  <c r="L100" i="15" s="1"/>
  <c r="L66" i="15"/>
  <c r="L99" i="15" s="1"/>
  <c r="L69" i="15"/>
  <c r="L102" i="15" s="1"/>
  <c r="L64" i="15"/>
  <c r="L97" i="15" s="1"/>
  <c r="L70" i="15"/>
  <c r="L103" i="15" s="1"/>
  <c r="L62" i="15"/>
  <c r="L95" i="15" s="1"/>
  <c r="L71" i="15"/>
  <c r="L104" i="15" s="1"/>
  <c r="L68" i="15"/>
  <c r="L101" i="15" s="1"/>
  <c r="L61" i="15"/>
  <c r="L94" i="15" s="1"/>
  <c r="L63" i="15"/>
  <c r="L96" i="15" s="1"/>
  <c r="L73" i="15"/>
  <c r="L106" i="15" s="1"/>
  <c r="L60" i="15"/>
  <c r="L93" i="15" s="1"/>
  <c r="L65" i="15"/>
  <c r="L98" i="15" s="1"/>
  <c r="L75" i="15"/>
  <c r="L108" i="15" s="1"/>
  <c r="V85" i="15"/>
  <c r="V63" i="15"/>
  <c r="V96" i="15" s="1"/>
  <c r="V68" i="15"/>
  <c r="V60" i="15"/>
  <c r="V93" i="15" s="1"/>
  <c r="V69" i="15"/>
  <c r="V65" i="15"/>
  <c r="V98" i="15" s="1"/>
  <c r="V70" i="15"/>
  <c r="V64" i="15"/>
  <c r="V97" i="15" s="1"/>
  <c r="V62" i="15"/>
  <c r="V95" i="15" s="1"/>
  <c r="V74" i="15"/>
  <c r="V61" i="15"/>
  <c r="V94" i="15" s="1"/>
  <c r="V67" i="15"/>
  <c r="V75" i="15"/>
  <c r="V108" i="15" s="1"/>
  <c r="V72" i="15"/>
  <c r="V66" i="15"/>
  <c r="V99" i="15" s="1"/>
  <c r="V71" i="15"/>
  <c r="V73" i="15"/>
  <c r="Q85" i="15"/>
  <c r="Q71" i="15"/>
  <c r="Q62" i="15"/>
  <c r="Q95" i="15" s="1"/>
  <c r="Q60" i="15"/>
  <c r="Q93" i="15" s="1"/>
  <c r="Q61" i="15"/>
  <c r="Q94" i="15" s="1"/>
  <c r="Q63" i="15"/>
  <c r="Q96" i="15" s="1"/>
  <c r="Q74" i="15"/>
  <c r="Q75" i="15"/>
  <c r="Q64" i="15"/>
  <c r="Q97" i="15" s="1"/>
  <c r="Q65" i="15"/>
  <c r="Q98" i="15" s="1"/>
  <c r="Q73" i="15"/>
  <c r="Q66" i="15"/>
  <c r="Q99" i="15" s="1"/>
  <c r="Q67" i="15"/>
  <c r="Q100" i="15" s="1"/>
  <c r="Q72" i="15"/>
  <c r="Q68" i="15"/>
  <c r="Q70" i="15"/>
  <c r="Q69" i="15"/>
  <c r="S85" i="15"/>
  <c r="S68" i="15"/>
  <c r="S71" i="15"/>
  <c r="S62" i="15"/>
  <c r="S95" i="15" s="1"/>
  <c r="S60" i="15"/>
  <c r="S93" i="15" s="1"/>
  <c r="S69" i="15"/>
  <c r="S67" i="15"/>
  <c r="S100" i="15" s="1"/>
  <c r="S74" i="15"/>
  <c r="S61" i="15"/>
  <c r="S94" i="15" s="1"/>
  <c r="S75" i="15"/>
  <c r="S72" i="15"/>
  <c r="S73" i="15"/>
  <c r="S65" i="15"/>
  <c r="S98" i="15" s="1"/>
  <c r="S70" i="15"/>
  <c r="S63" i="15"/>
  <c r="S96" i="15" s="1"/>
  <c r="S66" i="15"/>
  <c r="S99" i="15" s="1"/>
  <c r="S64" i="15"/>
  <c r="S97" i="15" s="1"/>
  <c r="Y85" i="15"/>
  <c r="Y70" i="15"/>
  <c r="Y71" i="15"/>
  <c r="Y74" i="15"/>
  <c r="Y61" i="15"/>
  <c r="Y94" i="15" s="1"/>
  <c r="Y67" i="15"/>
  <c r="Y100" i="15" s="1"/>
  <c r="Y65" i="15"/>
  <c r="Y98" i="15" s="1"/>
  <c r="Y62" i="15"/>
  <c r="Y95" i="15" s="1"/>
  <c r="Y63" i="15"/>
  <c r="Y96" i="15" s="1"/>
  <c r="Y75" i="15"/>
  <c r="Y69" i="15"/>
  <c r="Y66" i="15"/>
  <c r="Y99" i="15" s="1"/>
  <c r="Y64" i="15"/>
  <c r="Y97" i="15" s="1"/>
  <c r="Y68" i="15"/>
  <c r="Y72" i="15"/>
  <c r="Y73" i="15"/>
  <c r="Y60" i="15"/>
  <c r="Y93" i="15" s="1"/>
  <c r="F85" i="15"/>
  <c r="F63" i="15"/>
  <c r="F96" i="15" s="1"/>
  <c r="F66" i="15"/>
  <c r="F99" i="15" s="1"/>
  <c r="F65" i="15"/>
  <c r="F98" i="15" s="1"/>
  <c r="F71" i="15"/>
  <c r="F104" i="15" s="1"/>
  <c r="F60" i="15"/>
  <c r="F93" i="15" s="1"/>
  <c r="F72" i="15"/>
  <c r="F105" i="15" s="1"/>
  <c r="F73" i="15"/>
  <c r="F106" i="15" s="1"/>
  <c r="F74" i="15"/>
  <c r="F107" i="15" s="1"/>
  <c r="F61" i="15"/>
  <c r="F94" i="15" s="1"/>
  <c r="F69" i="15"/>
  <c r="F102" i="15" s="1"/>
  <c r="F70" i="15"/>
  <c r="F103" i="15" s="1"/>
  <c r="F67" i="15"/>
  <c r="F100" i="15" s="1"/>
  <c r="F68" i="15"/>
  <c r="F101" i="15" s="1"/>
  <c r="F75" i="15"/>
  <c r="F108" i="15" s="1"/>
  <c r="F62" i="15"/>
  <c r="F95" i="15" s="1"/>
  <c r="F64" i="15"/>
  <c r="F97" i="15" s="1"/>
  <c r="U85" i="15"/>
  <c r="U62" i="15"/>
  <c r="U95" i="15" s="1"/>
  <c r="U70" i="15"/>
  <c r="U64" i="15"/>
  <c r="U97" i="15" s="1"/>
  <c r="U65" i="15"/>
  <c r="U98" i="15" s="1"/>
  <c r="U67" i="15"/>
  <c r="U100" i="15" s="1"/>
  <c r="U60" i="15"/>
  <c r="U93" i="15" s="1"/>
  <c r="U66" i="15"/>
  <c r="U99" i="15" s="1"/>
  <c r="U69" i="15"/>
  <c r="U75" i="15"/>
  <c r="U63" i="15"/>
  <c r="U96" i="15" s="1"/>
  <c r="U68" i="15"/>
  <c r="U72" i="15"/>
  <c r="U74" i="15"/>
  <c r="U71" i="15"/>
  <c r="U61" i="15"/>
  <c r="U94" i="15" s="1"/>
  <c r="U73" i="15"/>
  <c r="S56" i="15"/>
  <c r="O54" i="15"/>
  <c r="AQ51" i="15"/>
  <c r="AY51" i="15"/>
  <c r="V12" i="30"/>
  <c r="I2" i="46"/>
  <c r="S52" i="15"/>
  <c r="O50" i="15"/>
  <c r="V57" i="15"/>
  <c r="BJ8" i="36"/>
  <c r="BN8" i="36"/>
  <c r="BN9" i="36"/>
  <c r="BN10" i="36" s="1"/>
  <c r="BN11" i="36"/>
  <c r="BN17" i="36"/>
  <c r="BN19" i="36" s="1"/>
  <c r="BN6" i="36"/>
  <c r="BJ11" i="36"/>
  <c r="BJ7" i="36"/>
  <c r="BJ9" i="36"/>
  <c r="BJ10" i="36" s="1"/>
  <c r="BM9" i="36"/>
  <c r="BM10" i="36" s="1"/>
  <c r="S5" i="16"/>
  <c r="BK17" i="36"/>
  <c r="BH17" i="36"/>
  <c r="BH8" i="36"/>
  <c r="BH9" i="36"/>
  <c r="BH10" i="36" s="1"/>
  <c r="BK11" i="36"/>
  <c r="BK9" i="36"/>
  <c r="BK10" i="36" s="1"/>
  <c r="BF17" i="36"/>
  <c r="BF7" i="36"/>
  <c r="P5" i="16"/>
  <c r="BF9" i="36"/>
  <c r="BF10" i="36" s="1"/>
  <c r="BL11" i="36"/>
  <c r="BK7" i="36"/>
  <c r="BL17" i="36"/>
  <c r="BL20" i="36" s="1"/>
  <c r="N5" i="16"/>
  <c r="BH7" i="36"/>
  <c r="BM17" i="36"/>
  <c r="BM19" i="36" s="1"/>
  <c r="BL9" i="36"/>
  <c r="BL10" i="36" s="1"/>
  <c r="U5" i="16"/>
  <c r="T5" i="16"/>
  <c r="BF8" i="36"/>
  <c r="BL8" i="36"/>
  <c r="I122" i="17"/>
  <c r="I140" i="17" s="1"/>
  <c r="I123" i="17"/>
  <c r="I141" i="17" s="1"/>
  <c r="G76" i="17"/>
  <c r="G77" i="17" s="1"/>
  <c r="G123" i="17"/>
  <c r="G141" i="17" s="1"/>
  <c r="F76" i="17"/>
  <c r="F77" i="17" s="1"/>
  <c r="F123" i="17"/>
  <c r="F141" i="17" s="1"/>
  <c r="BM11" i="36"/>
  <c r="BM7" i="36"/>
  <c r="AR58" i="36"/>
  <c r="AR66" i="36" s="1"/>
  <c r="BJ20" i="36"/>
  <c r="G122" i="17"/>
  <c r="G140" i="17" s="1"/>
  <c r="K76" i="17"/>
  <c r="K77" i="17" s="1"/>
  <c r="K122" i="17"/>
  <c r="K140" i="17" s="1"/>
  <c r="AW59" i="36"/>
  <c r="AW67" i="36" s="1"/>
  <c r="I76" i="17"/>
  <c r="I77" i="17" s="1"/>
  <c r="F122" i="17"/>
  <c r="F140" i="17" s="1"/>
  <c r="K123" i="17"/>
  <c r="K141" i="17" s="1"/>
  <c r="AU59" i="36"/>
  <c r="AU67" i="36" s="1"/>
  <c r="Q123" i="17"/>
  <c r="Q141" i="17" s="1"/>
  <c r="T123" i="17"/>
  <c r="T141" i="17" s="1"/>
  <c r="S123" i="17"/>
  <c r="S141" i="17" s="1"/>
  <c r="X76" i="17"/>
  <c r="X77" i="17" s="1"/>
  <c r="X123" i="17"/>
  <c r="X141" i="17" s="1"/>
  <c r="AU15" i="36"/>
  <c r="N76" i="17"/>
  <c r="N77" i="17" s="1"/>
  <c r="N123" i="17"/>
  <c r="N141" i="17" s="1"/>
  <c r="U76" i="17"/>
  <c r="U77" i="17" s="1"/>
  <c r="U123" i="17"/>
  <c r="U141" i="17" s="1"/>
  <c r="W76" i="17"/>
  <c r="W77" i="17" s="1"/>
  <c r="W123" i="17"/>
  <c r="W141" i="17" s="1"/>
  <c r="O76" i="17"/>
  <c r="O77" i="17" s="1"/>
  <c r="O123" i="17"/>
  <c r="O141" i="17" s="1"/>
  <c r="D76" i="17"/>
  <c r="D77" i="17" s="1"/>
  <c r="D122" i="17"/>
  <c r="D140" i="17" s="1"/>
  <c r="M76" i="17"/>
  <c r="M77" i="17" s="1"/>
  <c r="M123" i="17"/>
  <c r="M141" i="17" s="1"/>
  <c r="L76" i="17"/>
  <c r="L77" i="17" s="1"/>
  <c r="L123" i="17"/>
  <c r="L141" i="17" s="1"/>
  <c r="R76" i="17"/>
  <c r="R77" i="17" s="1"/>
  <c r="R123" i="17"/>
  <c r="R141" i="17" s="1"/>
  <c r="Z76" i="17"/>
  <c r="Z77" i="17" s="1"/>
  <c r="Z123" i="17"/>
  <c r="Z141" i="17" s="1"/>
  <c r="AT15" i="36"/>
  <c r="P76" i="17"/>
  <c r="P77" i="17" s="1"/>
  <c r="P123" i="17"/>
  <c r="P141" i="17" s="1"/>
  <c r="J76" i="17"/>
  <c r="J77" i="17" s="1"/>
  <c r="J122" i="17"/>
  <c r="J140" i="17" s="1"/>
  <c r="Y76" i="17"/>
  <c r="Y77" i="17" s="1"/>
  <c r="Y123" i="17"/>
  <c r="Y141" i="17" s="1"/>
  <c r="AS15" i="36"/>
  <c r="E76" i="17"/>
  <c r="E77" i="17" s="1"/>
  <c r="E122" i="17"/>
  <c r="E140" i="17" s="1"/>
  <c r="AV15" i="36"/>
  <c r="H76" i="17"/>
  <c r="H77" i="17" s="1"/>
  <c r="H122" i="17"/>
  <c r="H140" i="17" s="1"/>
  <c r="V76" i="17"/>
  <c r="V77" i="17" s="1"/>
  <c r="V123" i="17"/>
  <c r="V141" i="17" s="1"/>
  <c r="BO38" i="17"/>
  <c r="BO39" i="17" s="1"/>
  <c r="D152" i="17"/>
  <c r="I51" i="22"/>
  <c r="I49" i="22"/>
  <c r="C123" i="17"/>
  <c r="C12" i="19"/>
  <c r="C16" i="19" s="1"/>
  <c r="C76" i="17"/>
  <c r="C77" i="17" s="1"/>
  <c r="C140" i="17"/>
  <c r="AV58" i="36"/>
  <c r="AV66" i="36" s="1"/>
  <c r="AV60" i="36"/>
  <c r="AV68" i="36" s="1"/>
  <c r="AV59" i="36"/>
  <c r="AV67" i="36" s="1"/>
  <c r="AU60" i="36"/>
  <c r="AU68" i="36" s="1"/>
  <c r="AU58" i="36"/>
  <c r="AU66" i="36" s="1"/>
  <c r="BG12" i="36"/>
  <c r="BG19" i="36"/>
  <c r="BG20" i="36"/>
  <c r="BI20" i="36"/>
  <c r="BI19" i="36"/>
  <c r="L18" i="19"/>
  <c r="D18" i="19"/>
  <c r="H18" i="19"/>
  <c r="F18" i="19"/>
  <c r="AC18" i="19"/>
  <c r="V18" i="19"/>
  <c r="E18" i="19"/>
  <c r="M18" i="19"/>
  <c r="P18" i="19"/>
  <c r="X18" i="19"/>
  <c r="K18" i="19"/>
  <c r="I18" i="19"/>
  <c r="N18" i="19"/>
  <c r="G18" i="19"/>
  <c r="R18" i="19"/>
  <c r="U18" i="19"/>
  <c r="J18" i="19"/>
  <c r="Q18" i="19"/>
  <c r="Y18" i="19"/>
  <c r="O18" i="19"/>
  <c r="AT60" i="36"/>
  <c r="AT68" i="36" s="1"/>
  <c r="AT59" i="36"/>
  <c r="AT67" i="36" s="1"/>
  <c r="AS61" i="36"/>
  <c r="AS62" i="36" s="1"/>
  <c r="K13" i="37" s="1"/>
  <c r="L13" i="37" s="1"/>
  <c r="AS59" i="36"/>
  <c r="AS67" i="36" s="1"/>
  <c r="AS58" i="36"/>
  <c r="AS66" i="36" s="1"/>
  <c r="AR60" i="36"/>
  <c r="AR68" i="36" s="1"/>
  <c r="AW61" i="36"/>
  <c r="AW62" i="36" s="1"/>
  <c r="K17" i="37" s="1"/>
  <c r="L17" i="37" s="1"/>
  <c r="AT61" i="36"/>
  <c r="AT62" i="36" s="1"/>
  <c r="K14" i="37" s="1"/>
  <c r="L14" i="37" s="1"/>
  <c r="AU61" i="36"/>
  <c r="AU62" i="36" s="1"/>
  <c r="K15" i="37" s="1"/>
  <c r="L15" i="37" s="1"/>
  <c r="AW58" i="36"/>
  <c r="AW66" i="36" s="1"/>
  <c r="AR61" i="36"/>
  <c r="AR69" i="36" s="1"/>
  <c r="AR59" i="36"/>
  <c r="AR67" i="36" s="1"/>
  <c r="AV69" i="36"/>
  <c r="DQ86" i="16"/>
  <c r="DI86" i="16"/>
  <c r="DA86" i="16"/>
  <c r="CS86" i="16"/>
  <c r="CK86" i="16"/>
  <c r="CC86" i="16"/>
  <c r="BU86" i="16"/>
  <c r="DT85" i="16"/>
  <c r="DL85" i="16"/>
  <c r="DD85" i="16"/>
  <c r="CV85" i="16"/>
  <c r="CN85" i="16"/>
  <c r="CF85" i="16"/>
  <c r="BX85" i="16"/>
  <c r="BP85" i="16"/>
  <c r="DO84" i="16"/>
  <c r="DG84" i="16"/>
  <c r="CY84" i="16"/>
  <c r="CQ84" i="16"/>
  <c r="CI84" i="16"/>
  <c r="CA84" i="16"/>
  <c r="BS84" i="16"/>
  <c r="DR83" i="16"/>
  <c r="DJ83" i="16"/>
  <c r="DB83" i="16"/>
  <c r="CT83" i="16"/>
  <c r="CL83" i="16"/>
  <c r="CD83" i="16"/>
  <c r="BV83" i="16"/>
  <c r="BN83" i="16"/>
  <c r="DP86" i="16"/>
  <c r="DH86" i="16"/>
  <c r="CZ86" i="16"/>
  <c r="CR86" i="16"/>
  <c r="CJ86" i="16"/>
  <c r="CB86" i="16"/>
  <c r="BT86" i="16"/>
  <c r="DS85" i="16"/>
  <c r="DK85" i="16"/>
  <c r="DC85" i="16"/>
  <c r="CU85" i="16"/>
  <c r="CM85" i="16"/>
  <c r="CE85" i="16"/>
  <c r="BW85" i="16"/>
  <c r="BO85" i="16"/>
  <c r="DN84" i="16"/>
  <c r="DF84" i="16"/>
  <c r="CX84" i="16"/>
  <c r="CP84" i="16"/>
  <c r="CH84" i="16"/>
  <c r="BZ84" i="16"/>
  <c r="BR84" i="16"/>
  <c r="DQ83" i="16"/>
  <c r="DI83" i="16"/>
  <c r="DA83" i="16"/>
  <c r="CS83" i="16"/>
  <c r="CK83" i="16"/>
  <c r="CC83" i="16"/>
  <c r="BU83" i="16"/>
  <c r="DO86" i="16"/>
  <c r="DG86" i="16"/>
  <c r="CY86" i="16"/>
  <c r="CQ86" i="16"/>
  <c r="CI86" i="16"/>
  <c r="CA86" i="16"/>
  <c r="BS86" i="16"/>
  <c r="DR85" i="16"/>
  <c r="DJ85" i="16"/>
  <c r="DB85" i="16"/>
  <c r="CT85" i="16"/>
  <c r="CL85" i="16"/>
  <c r="CD85" i="16"/>
  <c r="BV85" i="16"/>
  <c r="BN85" i="16"/>
  <c r="DM84" i="16"/>
  <c r="DE84" i="16"/>
  <c r="CW84" i="16"/>
  <c r="CO84" i="16"/>
  <c r="CG84" i="16"/>
  <c r="BY84" i="16"/>
  <c r="BQ84" i="16"/>
  <c r="DP83" i="16"/>
  <c r="DH83" i="16"/>
  <c r="CZ83" i="16"/>
  <c r="CR83" i="16"/>
  <c r="CJ83" i="16"/>
  <c r="CB83" i="16"/>
  <c r="BT83" i="16"/>
  <c r="DK86" i="16"/>
  <c r="CW86" i="16"/>
  <c r="CL86" i="16"/>
  <c r="BX86" i="16"/>
  <c r="DQ85" i="16"/>
  <c r="DF85" i="16"/>
  <c r="CR85" i="16"/>
  <c r="CG85" i="16"/>
  <c r="BS85" i="16"/>
  <c r="DL84" i="16"/>
  <c r="DA84" i="16"/>
  <c r="CM84" i="16"/>
  <c r="CB84" i="16"/>
  <c r="BN84" i="16"/>
  <c r="DG83" i="16"/>
  <c r="CV83" i="16"/>
  <c r="CH83" i="16"/>
  <c r="BW83" i="16"/>
  <c r="DT86" i="16"/>
  <c r="DF86" i="16"/>
  <c r="CU86" i="16"/>
  <c r="CG86" i="16"/>
  <c r="BV86" i="16"/>
  <c r="DO85" i="16"/>
  <c r="DA85" i="16"/>
  <c r="CP85" i="16"/>
  <c r="CB85" i="16"/>
  <c r="BQ85" i="16"/>
  <c r="DJ84" i="16"/>
  <c r="CV84" i="16"/>
  <c r="CK84" i="16"/>
  <c r="BW84" i="16"/>
  <c r="DS83" i="16"/>
  <c r="DE83" i="16"/>
  <c r="CQ83" i="16"/>
  <c r="CF83" i="16"/>
  <c r="BR83" i="16"/>
  <c r="DR86" i="16"/>
  <c r="DD86" i="16"/>
  <c r="CP86" i="16"/>
  <c r="CE86" i="16"/>
  <c r="BQ86" i="16"/>
  <c r="DM85" i="16"/>
  <c r="CY85" i="16"/>
  <c r="CK85" i="16"/>
  <c r="BZ85" i="16"/>
  <c r="DS84" i="16"/>
  <c r="DH84" i="16"/>
  <c r="CT84" i="16"/>
  <c r="CF84" i="16"/>
  <c r="BU84" i="16"/>
  <c r="DN83" i="16"/>
  <c r="DC83" i="16"/>
  <c r="CO83" i="16"/>
  <c r="CA83" i="16"/>
  <c r="BP83" i="16"/>
  <c r="DN86" i="16"/>
  <c r="DC86" i="16"/>
  <c r="CO86" i="16"/>
  <c r="CD86" i="16"/>
  <c r="BP86" i="16"/>
  <c r="DI85" i="16"/>
  <c r="CX85" i="16"/>
  <c r="CJ85" i="16"/>
  <c r="BY85" i="16"/>
  <c r="DR84" i="16"/>
  <c r="DD84" i="16"/>
  <c r="CS84" i="16"/>
  <c r="CE84" i="16"/>
  <c r="BT84" i="16"/>
  <c r="DM83" i="16"/>
  <c r="CY83" i="16"/>
  <c r="CN83" i="16"/>
  <c r="BZ83" i="16"/>
  <c r="BO83" i="16"/>
  <c r="DM86" i="16"/>
  <c r="DB86" i="16"/>
  <c r="CN86" i="16"/>
  <c r="BZ86" i="16"/>
  <c r="BO86" i="16"/>
  <c r="DH85" i="16"/>
  <c r="CW85" i="16"/>
  <c r="CI85" i="16"/>
  <c r="BU85" i="16"/>
  <c r="DQ84" i="16"/>
  <c r="DC84" i="16"/>
  <c r="CR84" i="16"/>
  <c r="CD84" i="16"/>
  <c r="BP84" i="16"/>
  <c r="DL83" i="16"/>
  <c r="CX83" i="16"/>
  <c r="CM83" i="16"/>
  <c r="BY83" i="16"/>
  <c r="CT86" i="16"/>
  <c r="DP85" i="16"/>
  <c r="CH85" i="16"/>
  <c r="DI84" i="16"/>
  <c r="BX84" i="16"/>
  <c r="CW83" i="16"/>
  <c r="BQ83" i="16"/>
  <c r="DS86" i="16"/>
  <c r="CH86" i="16"/>
  <c r="DG85" i="16"/>
  <c r="CA85" i="16"/>
  <c r="CZ84" i="16"/>
  <c r="BO84" i="16"/>
  <c r="CP83" i="16"/>
  <c r="DJ86" i="16"/>
  <c r="BY86" i="16"/>
  <c r="CZ85" i="16"/>
  <c r="BR85" i="16"/>
  <c r="CN84" i="16"/>
  <c r="DO83" i="16"/>
  <c r="CG83" i="16"/>
  <c r="CX86" i="16"/>
  <c r="DE85" i="16"/>
  <c r="DK84" i="16"/>
  <c r="DK83" i="16"/>
  <c r="CM86" i="16"/>
  <c r="CQ85" i="16"/>
  <c r="CU84" i="16"/>
  <c r="DD83" i="16"/>
  <c r="BW86" i="16"/>
  <c r="CC85" i="16"/>
  <c r="CJ84" i="16"/>
  <c r="CI83" i="16"/>
  <c r="BR86" i="16"/>
  <c r="DB84" i="16"/>
  <c r="BX83" i="16"/>
  <c r="DN85" i="16"/>
  <c r="CC84" i="16"/>
  <c r="DL86" i="16"/>
  <c r="CO85" i="16"/>
  <c r="DT83" i="16"/>
  <c r="BT85" i="16"/>
  <c r="BS83" i="16"/>
  <c r="DT84" i="16"/>
  <c r="DP84" i="16"/>
  <c r="DE86" i="16"/>
  <c r="CL84" i="16"/>
  <c r="CV86" i="16"/>
  <c r="BV84" i="16"/>
  <c r="CF86" i="16"/>
  <c r="DF83" i="16"/>
  <c r="BN86" i="16"/>
  <c r="CU83" i="16"/>
  <c r="CS85" i="16"/>
  <c r="BI86" i="16"/>
  <c r="BA86" i="16"/>
  <c r="AS86" i="16"/>
  <c r="AK86" i="16"/>
  <c r="AC86" i="16"/>
  <c r="U86" i="16"/>
  <c r="BF86" i="16"/>
  <c r="AX86" i="16"/>
  <c r="AP86" i="16"/>
  <c r="AH86" i="16"/>
  <c r="Z86" i="16"/>
  <c r="BE86" i="16"/>
  <c r="AW86" i="16"/>
  <c r="AO86" i="16"/>
  <c r="AG86" i="16"/>
  <c r="Y86" i="16"/>
  <c r="BD86" i="16"/>
  <c r="AR86" i="16"/>
  <c r="AE86" i="16"/>
  <c r="S86" i="16"/>
  <c r="K86" i="16"/>
  <c r="BJ85" i="16"/>
  <c r="BB85" i="16"/>
  <c r="AT85" i="16"/>
  <c r="AL85" i="16"/>
  <c r="AD85" i="16"/>
  <c r="V85" i="16"/>
  <c r="N85" i="16"/>
  <c r="F85" i="16"/>
  <c r="BE84" i="16"/>
  <c r="AW84" i="16"/>
  <c r="AO84" i="16"/>
  <c r="AG84" i="16"/>
  <c r="Y84" i="16"/>
  <c r="Q84" i="16"/>
  <c r="I84" i="16"/>
  <c r="BH83" i="16"/>
  <c r="AZ83" i="16"/>
  <c r="AR83" i="16"/>
  <c r="AJ83" i="16"/>
  <c r="AB83" i="16"/>
  <c r="T83" i="16"/>
  <c r="L83" i="16"/>
  <c r="D83" i="16"/>
  <c r="BB86" i="16"/>
  <c r="AN86" i="16"/>
  <c r="AB86" i="16"/>
  <c r="Q86" i="16"/>
  <c r="I86" i="16"/>
  <c r="BH85" i="16"/>
  <c r="AZ85" i="16"/>
  <c r="AR85" i="16"/>
  <c r="AJ85" i="16"/>
  <c r="AB85" i="16"/>
  <c r="T85" i="16"/>
  <c r="L85" i="16"/>
  <c r="D85" i="16"/>
  <c r="BC84" i="16"/>
  <c r="AU84" i="16"/>
  <c r="AM84" i="16"/>
  <c r="AE84" i="16"/>
  <c r="W84" i="16"/>
  <c r="O84" i="16"/>
  <c r="G84" i="16"/>
  <c r="BF83" i="16"/>
  <c r="AX83" i="16"/>
  <c r="AP83" i="16"/>
  <c r="AH83" i="16"/>
  <c r="Z83" i="16"/>
  <c r="R83" i="16"/>
  <c r="J83" i="16"/>
  <c r="AY86" i="16"/>
  <c r="AL86" i="16"/>
  <c r="X86" i="16"/>
  <c r="O86" i="16"/>
  <c r="G86" i="16"/>
  <c r="BF85" i="16"/>
  <c r="AX85" i="16"/>
  <c r="AP85" i="16"/>
  <c r="AH85" i="16"/>
  <c r="Z85" i="16"/>
  <c r="R85" i="16"/>
  <c r="J85" i="16"/>
  <c r="BI84" i="16"/>
  <c r="BA84" i="16"/>
  <c r="AS84" i="16"/>
  <c r="AK84" i="16"/>
  <c r="AC84" i="16"/>
  <c r="U84" i="16"/>
  <c r="M84" i="16"/>
  <c r="E84" i="16"/>
  <c r="BD83" i="16"/>
  <c r="AV83" i="16"/>
  <c r="AN83" i="16"/>
  <c r="AF83" i="16"/>
  <c r="X83" i="16"/>
  <c r="P83" i="16"/>
  <c r="H83" i="16"/>
  <c r="CE83" i="16"/>
  <c r="BG86" i="16"/>
  <c r="AJ86" i="16"/>
  <c r="R86" i="16"/>
  <c r="E86" i="16"/>
  <c r="AY85" i="16"/>
  <c r="AM85" i="16"/>
  <c r="Y85" i="16"/>
  <c r="M85" i="16"/>
  <c r="BG84" i="16"/>
  <c r="AT84" i="16"/>
  <c r="AH84" i="16"/>
  <c r="T84" i="16"/>
  <c r="H84" i="16"/>
  <c r="BB83" i="16"/>
  <c r="AO83" i="16"/>
  <c r="AC83" i="16"/>
  <c r="O83" i="16"/>
  <c r="AZ86" i="16"/>
  <c r="AF86" i="16"/>
  <c r="N86" i="16"/>
  <c r="BI85" i="16"/>
  <c r="AV85" i="16"/>
  <c r="AI85" i="16"/>
  <c r="W85" i="16"/>
  <c r="I85" i="16"/>
  <c r="BD84" i="16"/>
  <c r="AQ84" i="16"/>
  <c r="AD84" i="16"/>
  <c r="R84" i="16"/>
  <c r="D84" i="16"/>
  <c r="AY83" i="16"/>
  <c r="AL83" i="16"/>
  <c r="Y83" i="16"/>
  <c r="M83" i="16"/>
  <c r="AU86" i="16"/>
  <c r="AA86" i="16"/>
  <c r="L86" i="16"/>
  <c r="BE85" i="16"/>
  <c r="AS85" i="16"/>
  <c r="AF85" i="16"/>
  <c r="S85" i="16"/>
  <c r="G85" i="16"/>
  <c r="AZ84" i="16"/>
  <c r="AN84" i="16"/>
  <c r="AA84" i="16"/>
  <c r="N84" i="16"/>
  <c r="BI83" i="16"/>
  <c r="AU83" i="16"/>
  <c r="AI83" i="16"/>
  <c r="V83" i="16"/>
  <c r="I83" i="16"/>
  <c r="BJ86" i="16"/>
  <c r="AD86" i="16"/>
  <c r="F86" i="16"/>
  <c r="AQ85" i="16"/>
  <c r="X85" i="16"/>
  <c r="BJ84" i="16"/>
  <c r="AP84" i="16"/>
  <c r="V84" i="16"/>
  <c r="BG83" i="16"/>
  <c r="AM83" i="16"/>
  <c r="S83" i="16"/>
  <c r="BH86" i="16"/>
  <c r="W86" i="16"/>
  <c r="D86" i="16"/>
  <c r="AO85" i="16"/>
  <c r="U85" i="16"/>
  <c r="BH84" i="16"/>
  <c r="AL84" i="16"/>
  <c r="S84" i="16"/>
  <c r="BE83" i="16"/>
  <c r="AK83" i="16"/>
  <c r="Q83" i="16"/>
  <c r="BC86" i="16"/>
  <c r="V86" i="16"/>
  <c r="BG85" i="16"/>
  <c r="AN85" i="16"/>
  <c r="Q85" i="16"/>
  <c r="BF84" i="16"/>
  <c r="AJ84" i="16"/>
  <c r="P84" i="16"/>
  <c r="BC83" i="16"/>
  <c r="AG83" i="16"/>
  <c r="N83" i="16"/>
  <c r="AV86" i="16"/>
  <c r="T86" i="16"/>
  <c r="BD85" i="16"/>
  <c r="AK85" i="16"/>
  <c r="P85" i="16"/>
  <c r="BB84" i="16"/>
  <c r="AI84" i="16"/>
  <c r="L84" i="16"/>
  <c r="BA83" i="16"/>
  <c r="AE83" i="16"/>
  <c r="K83" i="16"/>
  <c r="AT86" i="16"/>
  <c r="P86" i="16"/>
  <c r="BC85" i="16"/>
  <c r="AG85" i="16"/>
  <c r="O85" i="16"/>
  <c r="AY84" i="16"/>
  <c r="AF84" i="16"/>
  <c r="K84" i="16"/>
  <c r="AW83" i="16"/>
  <c r="AD83" i="16"/>
  <c r="G83" i="16"/>
  <c r="AQ86" i="16"/>
  <c r="M86" i="16"/>
  <c r="BA85" i="16"/>
  <c r="AE85" i="16"/>
  <c r="K85" i="16"/>
  <c r="AX84" i="16"/>
  <c r="AB84" i="16"/>
  <c r="J84" i="16"/>
  <c r="AT83" i="16"/>
  <c r="AA83" i="16"/>
  <c r="F83" i="16"/>
  <c r="AM86" i="16"/>
  <c r="J86" i="16"/>
  <c r="AW85" i="16"/>
  <c r="AC85" i="16"/>
  <c r="H85" i="16"/>
  <c r="AV84" i="16"/>
  <c r="Z84" i="16"/>
  <c r="F84" i="16"/>
  <c r="AS83" i="16"/>
  <c r="W83" i="16"/>
  <c r="E83" i="16"/>
  <c r="AI86" i="16"/>
  <c r="AQ83" i="16"/>
  <c r="H86" i="16"/>
  <c r="U83" i="16"/>
  <c r="AU85" i="16"/>
  <c r="AA85" i="16"/>
  <c r="E85" i="16"/>
  <c r="AR84" i="16"/>
  <c r="X84" i="16"/>
  <c r="BJ83" i="16"/>
  <c r="DM82" i="16"/>
  <c r="DE82" i="16"/>
  <c r="CW82" i="16"/>
  <c r="CO82" i="16"/>
  <c r="CG82" i="16"/>
  <c r="BY82" i="16"/>
  <c r="BQ82" i="16"/>
  <c r="DP81" i="16"/>
  <c r="DH81" i="16"/>
  <c r="CZ81" i="16"/>
  <c r="CR81" i="16"/>
  <c r="DT82" i="16"/>
  <c r="DL82" i="16"/>
  <c r="DD82" i="16"/>
  <c r="CV82" i="16"/>
  <c r="CN82" i="16"/>
  <c r="CF82" i="16"/>
  <c r="BX82" i="16"/>
  <c r="BP82" i="16"/>
  <c r="DO81" i="16"/>
  <c r="DG81" i="16"/>
  <c r="CY81" i="16"/>
  <c r="CQ81" i="16"/>
  <c r="DS82" i="16"/>
  <c r="DK82" i="16"/>
  <c r="DC82" i="16"/>
  <c r="CU82" i="16"/>
  <c r="CM82" i="16"/>
  <c r="CE82" i="16"/>
  <c r="BW82" i="16"/>
  <c r="BO82" i="16"/>
  <c r="DN81" i="16"/>
  <c r="DF81" i="16"/>
  <c r="CX81" i="16"/>
  <c r="CP81" i="16"/>
  <c r="DP82" i="16"/>
  <c r="DB82" i="16"/>
  <c r="CQ82" i="16"/>
  <c r="CC82" i="16"/>
  <c r="BR82" i="16"/>
  <c r="DK81" i="16"/>
  <c r="CW81" i="16"/>
  <c r="CL81" i="16"/>
  <c r="CD81" i="16"/>
  <c r="BV81" i="16"/>
  <c r="BN81" i="16"/>
  <c r="DM80" i="16"/>
  <c r="DE80" i="16"/>
  <c r="CW80" i="16"/>
  <c r="CO80" i="16"/>
  <c r="CG80" i="16"/>
  <c r="BY80" i="16"/>
  <c r="BQ80" i="16"/>
  <c r="DP79" i="16"/>
  <c r="DH79" i="16"/>
  <c r="CZ79" i="16"/>
  <c r="CR79" i="16"/>
  <c r="CJ79" i="16"/>
  <c r="CB79" i="16"/>
  <c r="BT79" i="16"/>
  <c r="DN82" i="16"/>
  <c r="CZ82" i="16"/>
  <c r="CL82" i="16"/>
  <c r="CA82" i="16"/>
  <c r="DT81" i="16"/>
  <c r="DI81" i="16"/>
  <c r="CU81" i="16"/>
  <c r="CJ81" i="16"/>
  <c r="CB81" i="16"/>
  <c r="BT81" i="16"/>
  <c r="DS80" i="16"/>
  <c r="DK80" i="16"/>
  <c r="DC80" i="16"/>
  <c r="CU80" i="16"/>
  <c r="CM80" i="16"/>
  <c r="CE80" i="16"/>
  <c r="BW80" i="16"/>
  <c r="BO80" i="16"/>
  <c r="DN79" i="16"/>
  <c r="DF79" i="16"/>
  <c r="CX79" i="16"/>
  <c r="CP79" i="16"/>
  <c r="CH79" i="16"/>
  <c r="BZ79" i="16"/>
  <c r="BR79" i="16"/>
  <c r="DI82" i="16"/>
  <c r="CX82" i="16"/>
  <c r="CJ82" i="16"/>
  <c r="BV82" i="16"/>
  <c r="DR81" i="16"/>
  <c r="DD81" i="16"/>
  <c r="CS81" i="16"/>
  <c r="CH81" i="16"/>
  <c r="BZ81" i="16"/>
  <c r="BR81" i="16"/>
  <c r="DQ80" i="16"/>
  <c r="DI80" i="16"/>
  <c r="DA80" i="16"/>
  <c r="CS80" i="16"/>
  <c r="CK80" i="16"/>
  <c r="CC80" i="16"/>
  <c r="BU80" i="16"/>
  <c r="DT79" i="16"/>
  <c r="DL79" i="16"/>
  <c r="DD79" i="16"/>
  <c r="CV79" i="16"/>
  <c r="CN79" i="16"/>
  <c r="CF79" i="16"/>
  <c r="BX79" i="16"/>
  <c r="BP79" i="16"/>
  <c r="DH82" i="16"/>
  <c r="CT82" i="16"/>
  <c r="CI82" i="16"/>
  <c r="BU82" i="16"/>
  <c r="DQ81" i="16"/>
  <c r="DC81" i="16"/>
  <c r="CO81" i="16"/>
  <c r="CG81" i="16"/>
  <c r="BY81" i="16"/>
  <c r="BQ81" i="16"/>
  <c r="DP80" i="16"/>
  <c r="DH80" i="16"/>
  <c r="CZ80" i="16"/>
  <c r="CR80" i="16"/>
  <c r="CJ80" i="16"/>
  <c r="CB80" i="16"/>
  <c r="BT80" i="16"/>
  <c r="DS79" i="16"/>
  <c r="DK79" i="16"/>
  <c r="DC79" i="16"/>
  <c r="CU79" i="16"/>
  <c r="CM79" i="16"/>
  <c r="CE79" i="16"/>
  <c r="BW79" i="16"/>
  <c r="BO79" i="16"/>
  <c r="DR82" i="16"/>
  <c r="DG82" i="16"/>
  <c r="CS82" i="16"/>
  <c r="CH82" i="16"/>
  <c r="BT82" i="16"/>
  <c r="DM81" i="16"/>
  <c r="DB81" i="16"/>
  <c r="CN81" i="16"/>
  <c r="CF81" i="16"/>
  <c r="BX81" i="16"/>
  <c r="BP81" i="16"/>
  <c r="DO80" i="16"/>
  <c r="DG80" i="16"/>
  <c r="CY80" i="16"/>
  <c r="CQ80" i="16"/>
  <c r="CI80" i="16"/>
  <c r="CA80" i="16"/>
  <c r="BS80" i="16"/>
  <c r="DR79" i="16"/>
  <c r="DJ79" i="16"/>
  <c r="DB79" i="16"/>
  <c r="CT79" i="16"/>
  <c r="CL79" i="16"/>
  <c r="CD79" i="16"/>
  <c r="BV79" i="16"/>
  <c r="BN79" i="16"/>
  <c r="CP82" i="16"/>
  <c r="DL81" i="16"/>
  <c r="CI81" i="16"/>
  <c r="DT80" i="16"/>
  <c r="CX80" i="16"/>
  <c r="CD80" i="16"/>
  <c r="DO79" i="16"/>
  <c r="CS79" i="16"/>
  <c r="BY79" i="16"/>
  <c r="DO82" i="16"/>
  <c r="CD82" i="16"/>
  <c r="DE81" i="16"/>
  <c r="CC81" i="16"/>
  <c r="DN80" i="16"/>
  <c r="CT80" i="16"/>
  <c r="BX80" i="16"/>
  <c r="DI79" i="16"/>
  <c r="CO79" i="16"/>
  <c r="BS79" i="16"/>
  <c r="DF82" i="16"/>
  <c r="BZ82" i="16"/>
  <c r="CV81" i="16"/>
  <c r="BW81" i="16"/>
  <c r="DJ80" i="16"/>
  <c r="CN80" i="16"/>
  <c r="BR80" i="16"/>
  <c r="DE79" i="16"/>
  <c r="CI79" i="16"/>
  <c r="DQ82" i="16"/>
  <c r="BN82" i="16"/>
  <c r="CA81" i="16"/>
  <c r="DB80" i="16"/>
  <c r="BP80" i="16"/>
  <c r="CQ79" i="16"/>
  <c r="DA82" i="16"/>
  <c r="DJ81" i="16"/>
  <c r="BS81" i="16"/>
  <c r="CP80" i="16"/>
  <c r="DQ79" i="16"/>
  <c r="CG79" i="16"/>
  <c r="CR82" i="16"/>
  <c r="CT81" i="16"/>
  <c r="DR80" i="16"/>
  <c r="CH80" i="16"/>
  <c r="DG79" i="16"/>
  <c r="CA79" i="16"/>
  <c r="DA81" i="16"/>
  <c r="DD80" i="16"/>
  <c r="DA79" i="16"/>
  <c r="DJ82" i="16"/>
  <c r="CK81" i="16"/>
  <c r="CL80" i="16"/>
  <c r="CW79" i="16"/>
  <c r="CK82" i="16"/>
  <c r="BU81" i="16"/>
  <c r="BZ80" i="16"/>
  <c r="CC79" i="16"/>
  <c r="DL80" i="16"/>
  <c r="CK79" i="16"/>
  <c r="CY82" i="16"/>
  <c r="DF80" i="16"/>
  <c r="BU79" i="16"/>
  <c r="CB82" i="16"/>
  <c r="CV80" i="16"/>
  <c r="BQ79" i="16"/>
  <c r="BS82" i="16"/>
  <c r="CF80" i="16"/>
  <c r="DS81" i="16"/>
  <c r="BV80" i="16"/>
  <c r="CM81" i="16"/>
  <c r="BN80" i="16"/>
  <c r="CE81" i="16"/>
  <c r="DM79" i="16"/>
  <c r="BO81" i="16"/>
  <c r="CY79" i="16"/>
  <c r="BC82" i="16"/>
  <c r="AU82" i="16"/>
  <c r="AM82" i="16"/>
  <c r="AE82" i="16"/>
  <c r="W82" i="16"/>
  <c r="O82" i="16"/>
  <c r="G82" i="16"/>
  <c r="BF81" i="16"/>
  <c r="AX81" i="16"/>
  <c r="AP81" i="16"/>
  <c r="AH81" i="16"/>
  <c r="Z81" i="16"/>
  <c r="R81" i="16"/>
  <c r="J81" i="16"/>
  <c r="BI80" i="16"/>
  <c r="BA80" i="16"/>
  <c r="AS80" i="16"/>
  <c r="AK80" i="16"/>
  <c r="AC80" i="16"/>
  <c r="U80" i="16"/>
  <c r="M80" i="16"/>
  <c r="E80" i="16"/>
  <c r="BD79" i="16"/>
  <c r="AV79" i="16"/>
  <c r="AN79" i="16"/>
  <c r="AF79" i="16"/>
  <c r="X79" i="16"/>
  <c r="P79" i="16"/>
  <c r="H79" i="16"/>
  <c r="BI82" i="16"/>
  <c r="BA82" i="16"/>
  <c r="AS82" i="16"/>
  <c r="AK82" i="16"/>
  <c r="AC82" i="16"/>
  <c r="U82" i="16"/>
  <c r="M82" i="16"/>
  <c r="E82" i="16"/>
  <c r="BD81" i="16"/>
  <c r="AV81" i="16"/>
  <c r="AN81" i="16"/>
  <c r="AF81" i="16"/>
  <c r="X81" i="16"/>
  <c r="P81" i="16"/>
  <c r="H81" i="16"/>
  <c r="BG80" i="16"/>
  <c r="AY80" i="16"/>
  <c r="AQ80" i="16"/>
  <c r="AI80" i="16"/>
  <c r="AA80" i="16"/>
  <c r="S80" i="16"/>
  <c r="K80" i="16"/>
  <c r="BJ79" i="16"/>
  <c r="BB79" i="16"/>
  <c r="AT79" i="16"/>
  <c r="AL79" i="16"/>
  <c r="AD79" i="16"/>
  <c r="V79" i="16"/>
  <c r="N79" i="16"/>
  <c r="F79" i="16"/>
  <c r="BG82" i="16"/>
  <c r="AY82" i="16"/>
  <c r="AQ82" i="16"/>
  <c r="AI82" i="16"/>
  <c r="AA82" i="16"/>
  <c r="S82" i="16"/>
  <c r="K82" i="16"/>
  <c r="BJ81" i="16"/>
  <c r="BB81" i="16"/>
  <c r="AT81" i="16"/>
  <c r="AL81" i="16"/>
  <c r="AD81" i="16"/>
  <c r="V81" i="16"/>
  <c r="N81" i="16"/>
  <c r="F81" i="16"/>
  <c r="BE80" i="16"/>
  <c r="AW80" i="16"/>
  <c r="AO80" i="16"/>
  <c r="AG80" i="16"/>
  <c r="Y80" i="16"/>
  <c r="Q80" i="16"/>
  <c r="I80" i="16"/>
  <c r="BH79" i="16"/>
  <c r="AZ79" i="16"/>
  <c r="AR79" i="16"/>
  <c r="AJ79" i="16"/>
  <c r="AB79" i="16"/>
  <c r="T79" i="16"/>
  <c r="L79" i="16"/>
  <c r="D79" i="16"/>
  <c r="BJ82" i="16"/>
  <c r="AW82" i="16"/>
  <c r="AJ82" i="16"/>
  <c r="X82" i="16"/>
  <c r="J82" i="16"/>
  <c r="BE81" i="16"/>
  <c r="AR81" i="16"/>
  <c r="AE81" i="16"/>
  <c r="S81" i="16"/>
  <c r="E81" i="16"/>
  <c r="AZ80" i="16"/>
  <c r="AM80" i="16"/>
  <c r="Z80" i="16"/>
  <c r="N80" i="16"/>
  <c r="BG79" i="16"/>
  <c r="AU79" i="16"/>
  <c r="AH79" i="16"/>
  <c r="U79" i="16"/>
  <c r="I79" i="16"/>
  <c r="BF82" i="16"/>
  <c r="AT82" i="16"/>
  <c r="AG82" i="16"/>
  <c r="T82" i="16"/>
  <c r="H82" i="16"/>
  <c r="BA81" i="16"/>
  <c r="AO81" i="16"/>
  <c r="AB81" i="16"/>
  <c r="O81" i="16"/>
  <c r="BJ80" i="16"/>
  <c r="AV80" i="16"/>
  <c r="AJ80" i="16"/>
  <c r="W80" i="16"/>
  <c r="J80" i="16"/>
  <c r="BE79" i="16"/>
  <c r="AQ79" i="16"/>
  <c r="AE79" i="16"/>
  <c r="R79" i="16"/>
  <c r="E79" i="16"/>
  <c r="BD82" i="16"/>
  <c r="AP82" i="16"/>
  <c r="AD82" i="16"/>
  <c r="Q82" i="16"/>
  <c r="D82" i="16"/>
  <c r="AY81" i="16"/>
  <c r="AK81" i="16"/>
  <c r="Y81" i="16"/>
  <c r="L81" i="16"/>
  <c r="BF80" i="16"/>
  <c r="AT80" i="16"/>
  <c r="AF80" i="16"/>
  <c r="T80" i="16"/>
  <c r="G80" i="16"/>
  <c r="BA79" i="16"/>
  <c r="AO79" i="16"/>
  <c r="AA79" i="16"/>
  <c r="O79" i="16"/>
  <c r="BE82" i="16"/>
  <c r="AL82" i="16"/>
  <c r="P82" i="16"/>
  <c r="BC81" i="16"/>
  <c r="AI81" i="16"/>
  <c r="M81" i="16"/>
  <c r="BB80" i="16"/>
  <c r="AE80" i="16"/>
  <c r="L80" i="16"/>
  <c r="AX79" i="16"/>
  <c r="AC79" i="16"/>
  <c r="J79" i="16"/>
  <c r="BB82" i="16"/>
  <c r="AH82" i="16"/>
  <c r="N82" i="16"/>
  <c r="AZ81" i="16"/>
  <c r="AG81" i="16"/>
  <c r="K81" i="16"/>
  <c r="AX80" i="16"/>
  <c r="AD80" i="16"/>
  <c r="H80" i="16"/>
  <c r="AW79" i="16"/>
  <c r="Z79" i="16"/>
  <c r="G79" i="16"/>
  <c r="AZ82" i="16"/>
  <c r="AF82" i="16"/>
  <c r="L82" i="16"/>
  <c r="AW81" i="16"/>
  <c r="AC81" i="16"/>
  <c r="I81" i="16"/>
  <c r="AU80" i="16"/>
  <c r="AB80" i="16"/>
  <c r="F80" i="16"/>
  <c r="AS79" i="16"/>
  <c r="Y79" i="16"/>
  <c r="AX82" i="16"/>
  <c r="AB82" i="16"/>
  <c r="I82" i="16"/>
  <c r="AU81" i="16"/>
  <c r="AA81" i="16"/>
  <c r="G81" i="16"/>
  <c r="AR80" i="16"/>
  <c r="X80" i="16"/>
  <c r="D80" i="16"/>
  <c r="AP79" i="16"/>
  <c r="W79" i="16"/>
  <c r="AV82" i="16"/>
  <c r="Z82" i="16"/>
  <c r="F82" i="16"/>
  <c r="AS81" i="16"/>
  <c r="W81" i="16"/>
  <c r="D81" i="16"/>
  <c r="AP80" i="16"/>
  <c r="V80" i="16"/>
  <c r="BI79" i="16"/>
  <c r="AM79" i="16"/>
  <c r="S79" i="16"/>
  <c r="AR82" i="16"/>
  <c r="Y82" i="16"/>
  <c r="BI81" i="16"/>
  <c r="AQ81" i="16"/>
  <c r="U81" i="16"/>
  <c r="BH80" i="16"/>
  <c r="AN80" i="16"/>
  <c r="R80" i="16"/>
  <c r="BF79" i="16"/>
  <c r="AK79" i="16"/>
  <c r="Q79" i="16"/>
  <c r="AO82" i="16"/>
  <c r="V82" i="16"/>
  <c r="BH81" i="16"/>
  <c r="AM81" i="16"/>
  <c r="T81" i="16"/>
  <c r="BD80" i="16"/>
  <c r="AL80" i="16"/>
  <c r="P80" i="16"/>
  <c r="BC79" i="16"/>
  <c r="AI79" i="16"/>
  <c r="M79" i="16"/>
  <c r="BC80" i="16"/>
  <c r="AH80" i="16"/>
  <c r="BH82" i="16"/>
  <c r="O80" i="16"/>
  <c r="AN82" i="16"/>
  <c r="AY79" i="16"/>
  <c r="R82" i="16"/>
  <c r="AG79" i="16"/>
  <c r="BG81" i="16"/>
  <c r="K79" i="16"/>
  <c r="AJ81" i="16"/>
  <c r="Q81" i="16"/>
  <c r="AI56" i="15"/>
  <c r="AD51" i="15"/>
  <c r="AA12" i="19"/>
  <c r="AA13" i="19" s="1"/>
  <c r="AA17" i="19" s="1"/>
  <c r="D153" i="17"/>
  <c r="G152" i="17"/>
  <c r="O163" i="17"/>
  <c r="O168" i="17" s="1"/>
  <c r="L163" i="17"/>
  <c r="L168" i="17" s="1"/>
  <c r="Z12" i="19"/>
  <c r="Z16" i="19" s="1"/>
  <c r="T12" i="19"/>
  <c r="T16" i="19" s="1"/>
  <c r="S12" i="19"/>
  <c r="S16" i="19" s="1"/>
  <c r="W12" i="19"/>
  <c r="W16" i="19" s="1"/>
  <c r="AA57" i="15"/>
  <c r="AJ55" i="15"/>
  <c r="AC56" i="15"/>
  <c r="AA54" i="15"/>
  <c r="AI82" i="15"/>
  <c r="AK57" i="15"/>
  <c r="AJ83" i="15"/>
  <c r="AG80" i="15"/>
  <c r="AB56" i="15"/>
  <c r="AK83" i="15"/>
  <c r="AJ57" i="15"/>
  <c r="AD83" i="15"/>
  <c r="AI83" i="15"/>
  <c r="AJ80" i="15"/>
  <c r="AK56" i="15"/>
  <c r="AG55" i="15"/>
  <c r="AG56" i="15"/>
  <c r="AE55" i="15"/>
  <c r="AF83" i="15"/>
  <c r="AA56" i="15"/>
  <c r="AJ56" i="15"/>
  <c r="AA83" i="15"/>
  <c r="AC55" i="15"/>
  <c r="AC57" i="15"/>
  <c r="AE80" i="15"/>
  <c r="AL82" i="15"/>
  <c r="AI55" i="15"/>
  <c r="AF81" i="15"/>
  <c r="AG81" i="15"/>
  <c r="AB54" i="15"/>
  <c r="AK55" i="15"/>
  <c r="AE56" i="15"/>
  <c r="AF57" i="15"/>
  <c r="AL57" i="15"/>
  <c r="AI54" i="15"/>
  <c r="AA81" i="15"/>
  <c r="AB82" i="15"/>
  <c r="AL83" i="15"/>
  <c r="AL80" i="15"/>
  <c r="AK54" i="15"/>
  <c r="AI81" i="15"/>
  <c r="AH82" i="15"/>
  <c r="AD54" i="15"/>
  <c r="AA82" i="15"/>
  <c r="AA80" i="15"/>
  <c r="AE81" i="15"/>
  <c r="AH54" i="15"/>
  <c r="AC83" i="15"/>
  <c r="AD55" i="15"/>
  <c r="AL56" i="15"/>
  <c r="AF82" i="15"/>
  <c r="AF55" i="15"/>
  <c r="AB83" i="15"/>
  <c r="AJ54" i="15"/>
  <c r="AH83" i="15"/>
  <c r="AE82" i="15"/>
  <c r="AK81" i="15"/>
  <c r="AL81" i="15"/>
  <c r="AD57" i="15"/>
  <c r="AD56" i="15"/>
  <c r="AJ81" i="15"/>
  <c r="AA55" i="15"/>
  <c r="AG54" i="15"/>
  <c r="AE57" i="15"/>
  <c r="AH55" i="15"/>
  <c r="AB55" i="15"/>
  <c r="AD80" i="15"/>
  <c r="AL54" i="15"/>
  <c r="AI80" i="15"/>
  <c r="AG83" i="15"/>
  <c r="AH57" i="15"/>
  <c r="AB80" i="15"/>
  <c r="AK80" i="15"/>
  <c r="AK82" i="15"/>
  <c r="AF54" i="15"/>
  <c r="AD82" i="15"/>
  <c r="AI57" i="15"/>
  <c r="AL55" i="15"/>
  <c r="AJ82" i="15"/>
  <c r="AC80" i="15"/>
  <c r="AG57" i="15"/>
  <c r="AH80" i="15"/>
  <c r="AC81" i="15"/>
  <c r="AG79" i="15"/>
  <c r="AH52" i="15"/>
  <c r="AK79" i="15"/>
  <c r="AC79" i="15"/>
  <c r="AA51" i="15"/>
  <c r="AE79" i="15"/>
  <c r="AL79" i="15"/>
  <c r="AA78" i="15"/>
  <c r="AJ76" i="15"/>
  <c r="AF79" i="15"/>
  <c r="AA50" i="15"/>
  <c r="AJ78" i="15"/>
  <c r="AG50" i="15"/>
  <c r="AH53" i="15"/>
  <c r="AD79" i="15"/>
  <c r="AG78" i="15"/>
  <c r="AI79" i="15"/>
  <c r="AA79" i="15"/>
  <c r="AG51" i="15"/>
  <c r="AD77" i="15"/>
  <c r="AC51" i="15"/>
  <c r="AE50" i="15"/>
  <c r="AI50" i="15"/>
  <c r="AB52" i="15"/>
  <c r="AC50" i="15"/>
  <c r="AL76" i="15"/>
  <c r="AJ79" i="15"/>
  <c r="AH78" i="15"/>
  <c r="AL50" i="15"/>
  <c r="AF52" i="15"/>
  <c r="AI51" i="15"/>
  <c r="AG53" i="15"/>
  <c r="AH50" i="15"/>
  <c r="AL52" i="15"/>
  <c r="AG77" i="15"/>
  <c r="AI52" i="15"/>
  <c r="AF50" i="15"/>
  <c r="AH76" i="15"/>
  <c r="AB77" i="15"/>
  <c r="AF76" i="15"/>
  <c r="AB79" i="15"/>
  <c r="AK76" i="15"/>
  <c r="AC52" i="15"/>
  <c r="AD52" i="15"/>
  <c r="AF78" i="15"/>
  <c r="AA53" i="15"/>
  <c r="AC53" i="15"/>
  <c r="AC78" i="15"/>
  <c r="AI53" i="15"/>
  <c r="AK78" i="15"/>
  <c r="AD78" i="15"/>
  <c r="AJ51" i="15"/>
  <c r="AJ77" i="15"/>
  <c r="AF51" i="15"/>
  <c r="AE51" i="15"/>
  <c r="AJ53" i="15"/>
  <c r="AB76" i="15"/>
  <c r="AC76" i="15"/>
  <c r="AA52" i="15"/>
  <c r="AE76" i="15"/>
  <c r="AD50" i="15"/>
  <c r="AL53" i="15"/>
  <c r="AI78" i="15"/>
  <c r="AB50" i="15"/>
  <c r="AH77" i="15"/>
  <c r="AJ52" i="15"/>
  <c r="AK77" i="15"/>
  <c r="AF77" i="15"/>
  <c r="AE52" i="15"/>
  <c r="AG52" i="15"/>
  <c r="AH79" i="15"/>
  <c r="AK53" i="15"/>
  <c r="AF53" i="15"/>
  <c r="AH51" i="15"/>
  <c r="AK51" i="15"/>
  <c r="AE53" i="15"/>
  <c r="AL78" i="15"/>
  <c r="AB78" i="15"/>
  <c r="AB51" i="15"/>
  <c r="AD53" i="15"/>
  <c r="AE77" i="15"/>
  <c r="AD76" i="15"/>
  <c r="AK52" i="15"/>
  <c r="AL51" i="15"/>
  <c r="AH56" i="15"/>
  <c r="AK50" i="15"/>
  <c r="AA77" i="15"/>
  <c r="AC82" i="15"/>
  <c r="AI76" i="15"/>
  <c r="AE83" i="15"/>
  <c r="AG76" i="15"/>
  <c r="AC54" i="15"/>
  <c r="AL77" i="15"/>
  <c r="AB81" i="15"/>
  <c r="AH81" i="15"/>
  <c r="AE78" i="15"/>
  <c r="AA76" i="15"/>
  <c r="AB57" i="15"/>
  <c r="AG82" i="15"/>
  <c r="AB53" i="15"/>
  <c r="AJ50" i="15"/>
  <c r="AF56" i="15"/>
  <c r="AD81" i="15"/>
  <c r="AE54" i="15"/>
  <c r="AF80" i="15"/>
  <c r="AC77" i="15"/>
  <c r="AI77" i="15"/>
  <c r="AD13" i="19"/>
  <c r="AD17" i="19" s="1"/>
  <c r="AD16" i="19"/>
  <c r="AC13" i="19"/>
  <c r="AC17" i="19" s="1"/>
  <c r="AE16" i="19"/>
  <c r="AE13" i="19"/>
  <c r="AE17" i="19" s="1"/>
  <c r="AB13" i="19"/>
  <c r="AB17" i="19" s="1"/>
  <c r="AB16" i="19"/>
  <c r="AH13" i="19"/>
  <c r="AH17" i="19" s="1"/>
  <c r="AH16" i="19"/>
  <c r="AF16" i="19"/>
  <c r="AF13" i="19"/>
  <c r="AF17" i="19" s="1"/>
  <c r="AG13" i="19"/>
  <c r="AG17" i="19" s="1"/>
  <c r="AG16" i="19"/>
  <c r="C55" i="15"/>
  <c r="C76" i="15"/>
  <c r="BM81" i="16"/>
  <c r="J50" i="15"/>
  <c r="M52" i="15"/>
  <c r="C77" i="15"/>
  <c r="H52" i="15"/>
  <c r="L50" i="15"/>
  <c r="E77" i="15"/>
  <c r="M51" i="15"/>
  <c r="L52" i="15"/>
  <c r="D51" i="15"/>
  <c r="M50" i="15"/>
  <c r="I76" i="15"/>
  <c r="H53" i="15"/>
  <c r="D52" i="15"/>
  <c r="J51" i="15"/>
  <c r="BN77" i="17"/>
  <c r="C11" i="37" s="1"/>
  <c r="D11" i="37" s="1"/>
  <c r="C80" i="16"/>
  <c r="K51" i="15"/>
  <c r="C79" i="15"/>
  <c r="M53" i="15"/>
  <c r="G78" i="15"/>
  <c r="M79" i="15"/>
  <c r="N50" i="15"/>
  <c r="N77" i="15"/>
  <c r="BM80" i="16"/>
  <c r="N76" i="15"/>
  <c r="N51" i="15"/>
  <c r="C52" i="15"/>
  <c r="C51" i="15"/>
  <c r="G53" i="15"/>
  <c r="I50" i="15"/>
  <c r="E78" i="15"/>
  <c r="E52" i="15"/>
  <c r="F52" i="15"/>
  <c r="H50" i="15"/>
  <c r="K50" i="15"/>
  <c r="I77" i="15"/>
  <c r="J53" i="15"/>
  <c r="M78" i="15"/>
  <c r="G50" i="15"/>
  <c r="L51" i="15"/>
  <c r="C78" i="15"/>
  <c r="L53" i="15"/>
  <c r="D79" i="15"/>
  <c r="J52" i="15"/>
  <c r="H76" i="15"/>
  <c r="F79" i="15"/>
  <c r="C81" i="16"/>
  <c r="K53" i="15"/>
  <c r="D50" i="15"/>
  <c r="M76" i="15"/>
  <c r="BM79" i="16"/>
  <c r="E53" i="15"/>
  <c r="E79" i="15"/>
  <c r="H51" i="15"/>
  <c r="C82" i="16"/>
  <c r="G52" i="15"/>
  <c r="C50" i="15"/>
  <c r="F50" i="15"/>
  <c r="N52" i="15"/>
  <c r="C79" i="16"/>
  <c r="N53" i="15"/>
  <c r="E50" i="15"/>
  <c r="K52" i="15"/>
  <c r="BM82" i="16"/>
  <c r="F77" i="15"/>
  <c r="H77" i="15"/>
  <c r="M77" i="15"/>
  <c r="I53" i="15"/>
  <c r="D53" i="15"/>
  <c r="J77" i="15"/>
  <c r="C53" i="15"/>
  <c r="E76" i="15"/>
  <c r="E51" i="15"/>
  <c r="B94" i="17"/>
  <c r="C12" i="37" s="1"/>
  <c r="D12" i="37" s="1"/>
  <c r="G57" i="15"/>
  <c r="G55" i="15"/>
  <c r="D56" i="15"/>
  <c r="O14" i="22"/>
  <c r="P14" i="22" s="1"/>
  <c r="Q13" i="22"/>
  <c r="R13" i="22"/>
  <c r="C56" i="15"/>
  <c r="E55" i="15"/>
  <c r="B39" i="17"/>
  <c r="C8" i="37" s="1"/>
  <c r="C114" i="17"/>
  <c r="D113" i="17" s="1"/>
  <c r="E81" i="15"/>
  <c r="I57" i="15"/>
  <c r="M82" i="15"/>
  <c r="C82" i="15"/>
  <c r="M56" i="15"/>
  <c r="M57" i="15"/>
  <c r="C83" i="15"/>
  <c r="L83" i="15"/>
  <c r="E82" i="15"/>
  <c r="K56" i="15"/>
  <c r="G83" i="15"/>
  <c r="F56" i="15"/>
  <c r="L57" i="15"/>
  <c r="J56" i="15"/>
  <c r="E80" i="15"/>
  <c r="N57" i="15"/>
  <c r="L54" i="15"/>
  <c r="D57" i="15"/>
  <c r="D80" i="15"/>
  <c r="E83" i="15"/>
  <c r="H80" i="15"/>
  <c r="I54" i="15"/>
  <c r="F80" i="15"/>
  <c r="J55" i="15"/>
  <c r="M80" i="15"/>
  <c r="N55" i="15"/>
  <c r="J54" i="15"/>
  <c r="L56" i="15"/>
  <c r="M83" i="15"/>
  <c r="K57" i="15"/>
  <c r="N54" i="15"/>
  <c r="I55" i="15"/>
  <c r="C80" i="15"/>
  <c r="N80" i="15"/>
  <c r="N56" i="15"/>
  <c r="N81" i="15"/>
  <c r="M55" i="15"/>
  <c r="K55" i="15"/>
  <c r="G81" i="15"/>
  <c r="C81" i="15"/>
  <c r="M81" i="15"/>
  <c r="I80" i="15"/>
  <c r="C86" i="16"/>
  <c r="G56" i="15"/>
  <c r="C85" i="16"/>
  <c r="BM83" i="16"/>
  <c r="G54" i="15"/>
  <c r="C54" i="15"/>
  <c r="E57" i="15"/>
  <c r="BM85" i="16"/>
  <c r="C83" i="16"/>
  <c r="D55" i="15"/>
  <c r="L55" i="15"/>
  <c r="F54" i="15"/>
  <c r="F83" i="15"/>
  <c r="J57" i="15"/>
  <c r="C57" i="15"/>
  <c r="BM84" i="16"/>
  <c r="D54" i="15"/>
  <c r="E54" i="15"/>
  <c r="E56" i="15"/>
  <c r="K54" i="15"/>
  <c r="C84" i="16"/>
  <c r="M54" i="15"/>
  <c r="BM86" i="16"/>
  <c r="H53" i="22" l="1"/>
  <c r="BF12" i="36"/>
  <c r="BJ19" i="36"/>
  <c r="BL12" i="36"/>
  <c r="BF20" i="36"/>
  <c r="BF18" i="36"/>
  <c r="BJ12" i="36"/>
  <c r="BM12" i="36"/>
  <c r="BK12" i="36"/>
  <c r="BK19" i="36"/>
  <c r="BK18" i="36"/>
  <c r="BN12" i="36"/>
  <c r="BH19" i="36"/>
  <c r="BH18" i="36"/>
  <c r="BB15" i="36"/>
  <c r="F53" i="15"/>
  <c r="F81" i="15"/>
  <c r="D76" i="15"/>
  <c r="G79" i="15"/>
  <c r="I51" i="15"/>
  <c r="H54" i="15"/>
  <c r="H82" i="15"/>
  <c r="K78" i="15"/>
  <c r="H83" i="15"/>
  <c r="F76" i="15"/>
  <c r="I81" i="15"/>
  <c r="D77" i="15"/>
  <c r="N82" i="15"/>
  <c r="N78" i="15"/>
  <c r="H81" i="15"/>
  <c r="D81" i="15"/>
  <c r="K80" i="15"/>
  <c r="J82" i="15"/>
  <c r="K83" i="15"/>
  <c r="K76" i="15"/>
  <c r="J80" i="15"/>
  <c r="K81" i="15"/>
  <c r="J79" i="15"/>
  <c r="L81" i="15"/>
  <c r="K77" i="15"/>
  <c r="K79" i="15"/>
  <c r="L79" i="15"/>
  <c r="J78" i="15"/>
  <c r="J81" i="15"/>
  <c r="N83" i="15"/>
  <c r="L80" i="15"/>
  <c r="I20" i="19"/>
  <c r="J20" i="19" s="1"/>
  <c r="E168" i="17"/>
  <c r="E174" i="17" s="1"/>
  <c r="H79" i="15"/>
  <c r="G82" i="15"/>
  <c r="I82" i="15"/>
  <c r="I78" i="15"/>
  <c r="L82" i="15"/>
  <c r="G80" i="15"/>
  <c r="D83" i="15"/>
  <c r="G76" i="15"/>
  <c r="L76" i="15"/>
  <c r="I83" i="15"/>
  <c r="J83" i="15"/>
  <c r="P82" i="15"/>
  <c r="P107" i="15"/>
  <c r="T78" i="15"/>
  <c r="T103" i="15"/>
  <c r="T104" i="15"/>
  <c r="T79" i="15"/>
  <c r="W107" i="15"/>
  <c r="W82" i="15"/>
  <c r="W106" i="15"/>
  <c r="W81" i="15"/>
  <c r="R78" i="15"/>
  <c r="R103" i="15"/>
  <c r="R108" i="15"/>
  <c r="R83" i="15"/>
  <c r="K82" i="15"/>
  <c r="J76" i="15"/>
  <c r="F78" i="15"/>
  <c r="D78" i="15"/>
  <c r="I79" i="15"/>
  <c r="G77" i="15"/>
  <c r="T108" i="15"/>
  <c r="T83" i="15"/>
  <c r="W78" i="15"/>
  <c r="W103" i="15"/>
  <c r="R76" i="15"/>
  <c r="R101" i="15"/>
  <c r="R106" i="15"/>
  <c r="R81" i="15"/>
  <c r="P81" i="15"/>
  <c r="P106" i="15"/>
  <c r="T102" i="15"/>
  <c r="T77" i="15"/>
  <c r="W77" i="15"/>
  <c r="W102" i="15"/>
  <c r="R80" i="15"/>
  <c r="R105" i="15"/>
  <c r="P102" i="15"/>
  <c r="P77" i="15"/>
  <c r="T81" i="15"/>
  <c r="T106" i="15"/>
  <c r="W80" i="15"/>
  <c r="W105" i="15"/>
  <c r="D82" i="15"/>
  <c r="L78" i="15"/>
  <c r="P80" i="15"/>
  <c r="P105" i="15"/>
  <c r="P76" i="15"/>
  <c r="P101" i="15"/>
  <c r="T80" i="15"/>
  <c r="T105" i="15"/>
  <c r="T107" i="15"/>
  <c r="T82" i="15"/>
  <c r="W76" i="15"/>
  <c r="W101" i="15"/>
  <c r="P103" i="15"/>
  <c r="P78" i="15"/>
  <c r="P83" i="15"/>
  <c r="P108" i="15"/>
  <c r="T76" i="15"/>
  <c r="T101" i="15"/>
  <c r="W83" i="15"/>
  <c r="W108" i="15"/>
  <c r="R104" i="15"/>
  <c r="R79" i="15"/>
  <c r="P104" i="15"/>
  <c r="P79" i="15"/>
  <c r="R82" i="15"/>
  <c r="R107" i="15"/>
  <c r="F82" i="15"/>
  <c r="W79" i="15"/>
  <c r="W104" i="15"/>
  <c r="R102" i="15"/>
  <c r="R77" i="15"/>
  <c r="Y107" i="15"/>
  <c r="Y82" i="15"/>
  <c r="Q105" i="15"/>
  <c r="Q80" i="15"/>
  <c r="V103" i="15"/>
  <c r="V78" i="15"/>
  <c r="X103" i="15"/>
  <c r="X78" i="15"/>
  <c r="X77" i="15"/>
  <c r="X102" i="15"/>
  <c r="O102" i="15"/>
  <c r="O77" i="15"/>
  <c r="L77" i="15"/>
  <c r="U81" i="15"/>
  <c r="U106" i="15"/>
  <c r="U102" i="15"/>
  <c r="U77" i="15"/>
  <c r="Y102" i="15"/>
  <c r="Y77" i="15"/>
  <c r="Y104" i="15"/>
  <c r="Y79" i="15"/>
  <c r="S81" i="15"/>
  <c r="S106" i="15"/>
  <c r="V105" i="15"/>
  <c r="V80" i="15"/>
  <c r="X79" i="15"/>
  <c r="X104" i="15"/>
  <c r="U83" i="15"/>
  <c r="U108" i="15"/>
  <c r="Y108" i="15"/>
  <c r="Y83" i="15"/>
  <c r="Y103" i="15"/>
  <c r="Y78" i="15"/>
  <c r="S105" i="15"/>
  <c r="S80" i="15"/>
  <c r="S79" i="15"/>
  <c r="S104" i="15"/>
  <c r="V77" i="15"/>
  <c r="V102" i="15"/>
  <c r="O103" i="15"/>
  <c r="O78" i="15"/>
  <c r="H78" i="15"/>
  <c r="U104" i="15"/>
  <c r="U79" i="15"/>
  <c r="S108" i="15"/>
  <c r="S83" i="15"/>
  <c r="S101" i="15"/>
  <c r="S76" i="15"/>
  <c r="Q81" i="15"/>
  <c r="Q106" i="15"/>
  <c r="V83" i="15"/>
  <c r="V100" i="15"/>
  <c r="X82" i="15"/>
  <c r="X107" i="15"/>
  <c r="O76" i="15"/>
  <c r="O101" i="15"/>
  <c r="U82" i="15"/>
  <c r="U107" i="15"/>
  <c r="Y106" i="15"/>
  <c r="Y81" i="15"/>
  <c r="Q79" i="15"/>
  <c r="Q104" i="15"/>
  <c r="V101" i="15"/>
  <c r="V76" i="15"/>
  <c r="X108" i="15"/>
  <c r="X83" i="15"/>
  <c r="O81" i="15"/>
  <c r="O106" i="15"/>
  <c r="O105" i="15"/>
  <c r="O80" i="15"/>
  <c r="U80" i="15"/>
  <c r="U105" i="15"/>
  <c r="Y80" i="15"/>
  <c r="Y105" i="15"/>
  <c r="S107" i="15"/>
  <c r="S82" i="15"/>
  <c r="Q102" i="15"/>
  <c r="Q77" i="15"/>
  <c r="V82" i="15"/>
  <c r="V107" i="15"/>
  <c r="X105" i="15"/>
  <c r="X80" i="15"/>
  <c r="O104" i="15"/>
  <c r="O79" i="15"/>
  <c r="O83" i="15"/>
  <c r="O108" i="15"/>
  <c r="U101" i="15"/>
  <c r="U76" i="15"/>
  <c r="Y76" i="15"/>
  <c r="Y101" i="15"/>
  <c r="Q78" i="15"/>
  <c r="Q103" i="15"/>
  <c r="Q83" i="15"/>
  <c r="Q108" i="15"/>
  <c r="V81" i="15"/>
  <c r="V106" i="15"/>
  <c r="X101" i="15"/>
  <c r="X76" i="15"/>
  <c r="O82" i="15"/>
  <c r="O107" i="15"/>
  <c r="N79" i="15"/>
  <c r="U78" i="15"/>
  <c r="U103" i="15"/>
  <c r="S103" i="15"/>
  <c r="S78" i="15"/>
  <c r="S102" i="15"/>
  <c r="S77" i="15"/>
  <c r="Q101" i="15"/>
  <c r="Q76" i="15"/>
  <c r="Q82" i="15"/>
  <c r="Q107" i="15"/>
  <c r="V79" i="15"/>
  <c r="V104" i="15"/>
  <c r="X81" i="15"/>
  <c r="X106" i="15"/>
  <c r="BN18" i="36"/>
  <c r="BF19" i="36"/>
  <c r="H54" i="22"/>
  <c r="E8" i="37" s="1"/>
  <c r="E6" i="37" s="1"/>
  <c r="BN20" i="36"/>
  <c r="E12" i="16"/>
  <c r="BK20" i="36"/>
  <c r="D12" i="16"/>
  <c r="BH12" i="36"/>
  <c r="BH20" i="36"/>
  <c r="BM18" i="36"/>
  <c r="BF12" i="16"/>
  <c r="BM20" i="36"/>
  <c r="AQ12" i="16"/>
  <c r="BL19" i="36"/>
  <c r="BD12" i="16"/>
  <c r="AG12" i="16"/>
  <c r="T12" i="16"/>
  <c r="N12" i="16"/>
  <c r="BG12" i="16"/>
  <c r="AW12" i="16"/>
  <c r="AJ12" i="16"/>
  <c r="BJ12" i="16"/>
  <c r="AC12" i="16"/>
  <c r="R12" i="16"/>
  <c r="AZ12" i="16"/>
  <c r="F12" i="16"/>
  <c r="K12" i="16"/>
  <c r="O12" i="16"/>
  <c r="AA12" i="16"/>
  <c r="BA12" i="16"/>
  <c r="BH12" i="16"/>
  <c r="H12" i="16"/>
  <c r="AP12" i="16"/>
  <c r="C12" i="16"/>
  <c r="U12" i="16"/>
  <c r="AL12" i="16"/>
  <c r="AM12" i="16"/>
  <c r="AO12" i="16"/>
  <c r="Q12" i="16"/>
  <c r="J12" i="16"/>
  <c r="L12" i="16"/>
  <c r="AK12" i="16"/>
  <c r="AT12" i="16"/>
  <c r="AU12" i="16"/>
  <c r="AV12" i="16"/>
  <c r="X12" i="16"/>
  <c r="AH12" i="16"/>
  <c r="AY12" i="16"/>
  <c r="V12" i="16"/>
  <c r="W12" i="16"/>
  <c r="AN12" i="16"/>
  <c r="BL18" i="36"/>
  <c r="AF12" i="16"/>
  <c r="Z12" i="16"/>
  <c r="AI12" i="16"/>
  <c r="AR12" i="16"/>
  <c r="BE12" i="16"/>
  <c r="BI12" i="16"/>
  <c r="Y12" i="16"/>
  <c r="AX12" i="16"/>
  <c r="M12" i="16"/>
  <c r="AD12" i="16"/>
  <c r="AE12" i="16"/>
  <c r="P12" i="16"/>
  <c r="G12" i="16"/>
  <c r="I12" i="16"/>
  <c r="S12" i="16"/>
  <c r="AB12" i="16"/>
  <c r="AS12" i="16"/>
  <c r="BB12" i="16"/>
  <c r="BC12" i="16"/>
  <c r="B77" i="17"/>
  <c r="C10" i="37" s="1"/>
  <c r="D10" i="37" s="1"/>
  <c r="G156" i="17"/>
  <c r="BP6" i="36" s="1"/>
  <c r="G151" i="17"/>
  <c r="G153" i="17" s="1"/>
  <c r="C141" i="17"/>
  <c r="BP10" i="36"/>
  <c r="D115" i="17"/>
  <c r="D114" i="17"/>
  <c r="Z13" i="19"/>
  <c r="Z17" i="19" s="1"/>
  <c r="U13" i="19"/>
  <c r="U17" i="19" s="1"/>
  <c r="Y13" i="19"/>
  <c r="Y17" i="19" s="1"/>
  <c r="V13" i="19"/>
  <c r="V17" i="19" s="1"/>
  <c r="AA16" i="19"/>
  <c r="X13" i="19"/>
  <c r="X17" i="19" s="1"/>
  <c r="D154" i="17"/>
  <c r="W13" i="19"/>
  <c r="W17" i="19" s="1"/>
  <c r="T13" i="19"/>
  <c r="T17" i="19" s="1"/>
  <c r="AE18" i="19"/>
  <c r="AF18" i="19"/>
  <c r="AH18" i="19"/>
  <c r="AD18" i="19"/>
  <c r="W18" i="19"/>
  <c r="S18" i="19"/>
  <c r="T18" i="19"/>
  <c r="AG18" i="19"/>
  <c r="Z18" i="19"/>
  <c r="AB18" i="19"/>
  <c r="AS69" i="36"/>
  <c r="AT69" i="36"/>
  <c r="AU69" i="36"/>
  <c r="AW69" i="36"/>
  <c r="AR62" i="36"/>
  <c r="K12" i="37" s="1"/>
  <c r="C18" i="19"/>
  <c r="F13" i="19"/>
  <c r="F17" i="19" s="1"/>
  <c r="M13" i="19"/>
  <c r="M17" i="19" s="1"/>
  <c r="H13" i="19"/>
  <c r="H17" i="19" s="1"/>
  <c r="R13" i="19"/>
  <c r="R17" i="19" s="1"/>
  <c r="G13" i="19"/>
  <c r="G17" i="19" s="1"/>
  <c r="J13" i="19"/>
  <c r="J17" i="19" s="1"/>
  <c r="K13" i="19"/>
  <c r="K17" i="19" s="1"/>
  <c r="L13" i="19"/>
  <c r="L17" i="19" s="1"/>
  <c r="P13" i="19"/>
  <c r="P17" i="19" s="1"/>
  <c r="Q13" i="19"/>
  <c r="Q17" i="19" s="1"/>
  <c r="E13" i="19"/>
  <c r="E17" i="19" s="1"/>
  <c r="O13" i="19"/>
  <c r="O17" i="19" s="1"/>
  <c r="I13" i="19"/>
  <c r="I17" i="19" s="1"/>
  <c r="N13" i="19"/>
  <c r="N17" i="19" s="1"/>
  <c r="C13" i="19"/>
  <c r="C17" i="19" s="1"/>
  <c r="D13" i="19"/>
  <c r="D17" i="19" s="1"/>
  <c r="S13" i="19"/>
  <c r="S17" i="19" s="1"/>
  <c r="D157" i="17"/>
  <c r="D98" i="17"/>
  <c r="BN39" i="17"/>
  <c r="C9" i="37" s="1"/>
  <c r="D9" i="37" s="1"/>
  <c r="O15" i="22"/>
  <c r="P15" i="22" s="1"/>
  <c r="Q14" i="22"/>
  <c r="R14" i="22"/>
  <c r="D8" i="37"/>
  <c r="C116" i="17"/>
  <c r="BI12" i="36"/>
  <c r="K20" i="19" l="1"/>
  <c r="L20" i="19" s="1"/>
  <c r="E2" i="46"/>
  <c r="E170" i="17"/>
  <c r="E167" i="17" s="1"/>
  <c r="E173" i="17" s="1"/>
  <c r="V14" i="30"/>
  <c r="H2" i="46"/>
  <c r="K2" i="46"/>
  <c r="BP17" i="36"/>
  <c r="BP18" i="36"/>
  <c r="BF27" i="36" s="1"/>
  <c r="BF24" i="36"/>
  <c r="D158" i="17"/>
  <c r="V11" i="30"/>
  <c r="D6" i="37"/>
  <c r="BP12" i="36"/>
  <c r="C6" i="37"/>
  <c r="L12" i="37"/>
  <c r="V8" i="30"/>
  <c r="BF23" i="36"/>
  <c r="C109" i="17"/>
  <c r="E113" i="17"/>
  <c r="D116" i="17"/>
  <c r="D117" i="17"/>
  <c r="AA18" i="19"/>
  <c r="C108" i="17"/>
  <c r="G159" i="17"/>
  <c r="O164" i="17" s="1"/>
  <c r="AS32" i="36"/>
  <c r="AS31" i="36"/>
  <c r="O167" i="17"/>
  <c r="O169" i="17" s="1"/>
  <c r="O154" i="17"/>
  <c r="O155" i="17" s="1"/>
  <c r="O156" i="17" s="1"/>
  <c r="H56" i="22"/>
  <c r="L154" i="17"/>
  <c r="L167" i="17"/>
  <c r="L169" i="17" s="1"/>
  <c r="O16" i="22"/>
  <c r="P16" i="22" s="1"/>
  <c r="R15" i="22"/>
  <c r="Q15" i="22"/>
  <c r="F8" i="37"/>
  <c r="F6" i="37" s="1"/>
  <c r="M20" i="19" l="1"/>
  <c r="N20" i="19" s="1"/>
  <c r="V9" i="30"/>
  <c r="F2" i="46"/>
  <c r="D159" i="17"/>
  <c r="L155" i="17"/>
  <c r="L156" i="17" s="1"/>
  <c r="C110" i="17"/>
  <c r="D107" i="17"/>
  <c r="E115" i="17"/>
  <c r="E117" i="17" s="1"/>
  <c r="E114" i="17"/>
  <c r="L164" i="17"/>
  <c r="C5" i="37"/>
  <c r="C4" i="37" s="1"/>
  <c r="K18" i="37"/>
  <c r="L18" i="37" s="1"/>
  <c r="R16" i="22"/>
  <c r="O17" i="22"/>
  <c r="P17" i="22" s="1"/>
  <c r="Q16" i="22"/>
  <c r="E5" i="37"/>
  <c r="E4" i="37" s="1"/>
  <c r="V5" i="30" l="1"/>
  <c r="C2" i="46"/>
  <c r="O149" i="17"/>
  <c r="O150" i="17"/>
  <c r="C12" i="23"/>
  <c r="C14" i="23" s="1"/>
  <c r="F113" i="17"/>
  <c r="E116" i="17"/>
  <c r="D109" i="17"/>
  <c r="D111" i="17" s="1"/>
  <c r="D108" i="17"/>
  <c r="BD11" i="16"/>
  <c r="BD10" i="16"/>
  <c r="C11" i="16"/>
  <c r="C10" i="16"/>
  <c r="R17" i="22"/>
  <c r="O18" i="22"/>
  <c r="P18" i="22" s="1"/>
  <c r="Q17" i="22"/>
  <c r="K9" i="37"/>
  <c r="L9" i="37" s="1"/>
  <c r="V15" i="30" l="1"/>
  <c r="S3" i="22"/>
  <c r="S4" i="22" s="1"/>
  <c r="P32" i="22" s="1"/>
  <c r="P33" i="22" s="1"/>
  <c r="D110" i="17"/>
  <c r="E107" i="17"/>
  <c r="F114" i="17"/>
  <c r="F115" i="17"/>
  <c r="F117" i="17" s="1"/>
  <c r="BH10" i="16"/>
  <c r="BH11" i="16"/>
  <c r="AP11" i="16"/>
  <c r="AP10" i="16"/>
  <c r="AA11" i="16"/>
  <c r="AA10" i="16"/>
  <c r="BD38" i="16"/>
  <c r="BD91" i="16"/>
  <c r="BD92" i="16"/>
  <c r="BD93" i="16"/>
  <c r="BD40" i="16"/>
  <c r="BD37" i="16"/>
  <c r="BD39" i="16"/>
  <c r="BD41" i="16"/>
  <c r="BD44" i="16"/>
  <c r="BD52" i="16"/>
  <c r="BD45" i="16"/>
  <c r="BD46" i="16"/>
  <c r="BD47" i="16"/>
  <c r="BD50" i="16"/>
  <c r="BD43" i="16"/>
  <c r="BD51" i="16"/>
  <c r="BD49" i="16"/>
  <c r="BD42" i="16"/>
  <c r="BD48" i="16"/>
  <c r="L10" i="16"/>
  <c r="L11" i="16"/>
  <c r="BC11" i="16"/>
  <c r="BC10" i="16"/>
  <c r="P11" i="16"/>
  <c r="P10" i="16"/>
  <c r="AY11" i="16"/>
  <c r="AY10" i="16"/>
  <c r="AX11" i="16"/>
  <c r="AX10" i="16"/>
  <c r="N10" i="16"/>
  <c r="N11" i="16"/>
  <c r="DN39" i="16"/>
  <c r="DN38" i="16"/>
  <c r="DN40" i="16"/>
  <c r="DN37" i="16"/>
  <c r="DN44" i="16"/>
  <c r="DN46" i="16"/>
  <c r="DN50" i="16"/>
  <c r="DN45" i="16"/>
  <c r="DN47" i="16"/>
  <c r="DN49" i="16"/>
  <c r="DN52" i="16"/>
  <c r="DN43" i="16"/>
  <c r="DN41" i="16"/>
  <c r="DN48" i="16"/>
  <c r="DN51" i="16"/>
  <c r="DN42" i="16"/>
  <c r="BF11" i="16"/>
  <c r="BF10" i="16"/>
  <c r="AJ10" i="16"/>
  <c r="AJ11" i="16"/>
  <c r="X11" i="16"/>
  <c r="X10" i="16"/>
  <c r="Q11" i="16"/>
  <c r="Q10" i="16"/>
  <c r="AQ11" i="16"/>
  <c r="AQ10" i="16"/>
  <c r="AF11" i="16"/>
  <c r="AF10" i="16"/>
  <c r="AS11" i="16"/>
  <c r="AS10" i="16"/>
  <c r="AI11" i="16"/>
  <c r="AI10" i="16"/>
  <c r="W11" i="16"/>
  <c r="W10" i="16"/>
  <c r="BI10" i="16"/>
  <c r="BI11" i="16"/>
  <c r="BA10" i="16"/>
  <c r="BA11" i="16"/>
  <c r="U10" i="16"/>
  <c r="U11" i="16"/>
  <c r="AT10" i="16"/>
  <c r="AT11" i="16"/>
  <c r="Z11" i="16"/>
  <c r="Z10" i="16"/>
  <c r="T10" i="16"/>
  <c r="T11" i="16"/>
  <c r="V10" i="16"/>
  <c r="V11" i="16"/>
  <c r="AN11" i="16"/>
  <c r="AN10" i="16"/>
  <c r="H11" i="16"/>
  <c r="H10" i="16"/>
  <c r="BB10" i="16"/>
  <c r="BB11" i="16"/>
  <c r="AR11" i="16"/>
  <c r="AR10" i="16"/>
  <c r="AW11" i="16"/>
  <c r="AW10" i="16"/>
  <c r="AB11" i="16"/>
  <c r="AB10" i="16"/>
  <c r="AD10" i="16"/>
  <c r="AD11" i="16"/>
  <c r="AE11" i="16"/>
  <c r="AE10" i="16"/>
  <c r="AZ11" i="16"/>
  <c r="AZ10" i="16"/>
  <c r="J11" i="16"/>
  <c r="J10" i="16"/>
  <c r="S11" i="16"/>
  <c r="S10" i="16"/>
  <c r="R11" i="16"/>
  <c r="R10" i="16"/>
  <c r="BE11" i="16"/>
  <c r="BE10" i="16"/>
  <c r="G11" i="16"/>
  <c r="G10" i="16"/>
  <c r="AK10" i="16"/>
  <c r="AK11" i="16"/>
  <c r="Y11" i="16"/>
  <c r="Y10" i="16"/>
  <c r="K11" i="16"/>
  <c r="K10" i="16"/>
  <c r="AL10" i="16"/>
  <c r="AL11" i="16"/>
  <c r="AM11" i="16"/>
  <c r="AM10" i="16"/>
  <c r="AV11" i="16"/>
  <c r="AV10" i="16"/>
  <c r="AC11" i="16"/>
  <c r="AC10" i="16"/>
  <c r="M10" i="16"/>
  <c r="M11" i="16"/>
  <c r="E11" i="16"/>
  <c r="E10" i="16"/>
  <c r="I11" i="16"/>
  <c r="I10" i="16"/>
  <c r="F11" i="16"/>
  <c r="F10" i="16"/>
  <c r="AU11" i="16"/>
  <c r="AU10" i="16"/>
  <c r="AH11" i="16"/>
  <c r="AH10" i="16"/>
  <c r="BJ10" i="16"/>
  <c r="BJ11" i="16"/>
  <c r="AG11" i="16"/>
  <c r="AG10" i="16"/>
  <c r="BG11" i="16"/>
  <c r="BG10" i="16"/>
  <c r="AO11" i="16"/>
  <c r="AO10" i="16"/>
  <c r="D11" i="16"/>
  <c r="D10" i="16"/>
  <c r="O11" i="16"/>
  <c r="O10" i="16"/>
  <c r="C91" i="16"/>
  <c r="C93" i="16"/>
  <c r="C37" i="16"/>
  <c r="C41" i="16" s="1"/>
  <c r="C92" i="16"/>
  <c r="C38" i="16"/>
  <c r="C42" i="16" s="1"/>
  <c r="C39" i="16"/>
  <c r="C51" i="16" s="1"/>
  <c r="C40" i="16"/>
  <c r="C44" i="16" s="1"/>
  <c r="BM37" i="16"/>
  <c r="BM49" i="16" s="1"/>
  <c r="BM38" i="16"/>
  <c r="BM42" i="16" s="1"/>
  <c r="BM40" i="16"/>
  <c r="BM44" i="16" s="1"/>
  <c r="BM39" i="16"/>
  <c r="BM43" i="16" s="1"/>
  <c r="R18" i="22"/>
  <c r="O19" i="22"/>
  <c r="P19" i="22" s="1"/>
  <c r="Q18" i="22"/>
  <c r="K10" i="37"/>
  <c r="L10" i="37" s="1"/>
  <c r="P35" i="22" l="1"/>
  <c r="P34" i="22"/>
  <c r="P37" i="22"/>
  <c r="P36" i="22"/>
  <c r="F116" i="17"/>
  <c r="G113" i="17"/>
  <c r="E109" i="17"/>
  <c r="E111" i="17" s="1"/>
  <c r="E108" i="17"/>
  <c r="C43" i="16"/>
  <c r="C59" i="16" s="1"/>
  <c r="C47" i="16"/>
  <c r="BM50" i="16"/>
  <c r="BM58" i="16" s="1"/>
  <c r="C48" i="16"/>
  <c r="C56" i="16" s="1"/>
  <c r="C52" i="16"/>
  <c r="C60" i="16" s="1"/>
  <c r="C50" i="16"/>
  <c r="C58" i="16" s="1"/>
  <c r="BM48" i="16"/>
  <c r="BM56" i="16" s="1"/>
  <c r="BM52" i="16"/>
  <c r="BM60" i="16" s="1"/>
  <c r="BM51" i="16"/>
  <c r="BM59" i="16" s="1"/>
  <c r="C46" i="16"/>
  <c r="C54" i="16" s="1"/>
  <c r="BM47" i="16"/>
  <c r="BM55" i="16" s="1"/>
  <c r="BM45" i="16"/>
  <c r="BM41" i="16"/>
  <c r="BM57" i="16" s="1"/>
  <c r="C49" i="16"/>
  <c r="C57" i="16" s="1"/>
  <c r="BM46" i="16"/>
  <c r="BM54" i="16" s="1"/>
  <c r="C45" i="16"/>
  <c r="C53" i="16" s="1"/>
  <c r="K8" i="37"/>
  <c r="BD58" i="16"/>
  <c r="BD54" i="16"/>
  <c r="DN59" i="16"/>
  <c r="DN56" i="16"/>
  <c r="BD56" i="16"/>
  <c r="BD53" i="16"/>
  <c r="BD60" i="16"/>
  <c r="BD59" i="16"/>
  <c r="DN54" i="16"/>
  <c r="BD55" i="16"/>
  <c r="DN58" i="16"/>
  <c r="DQ40" i="16"/>
  <c r="DQ37" i="16"/>
  <c r="DQ38" i="16"/>
  <c r="DQ39" i="16"/>
  <c r="DQ49" i="16"/>
  <c r="DQ48" i="16"/>
  <c r="DQ44" i="16"/>
  <c r="DQ50" i="16"/>
  <c r="DQ52" i="16"/>
  <c r="DQ51" i="16"/>
  <c r="DQ42" i="16"/>
  <c r="DQ47" i="16"/>
  <c r="DQ45" i="16"/>
  <c r="DQ43" i="16"/>
  <c r="DQ41" i="16"/>
  <c r="DQ46" i="16"/>
  <c r="BY39" i="16"/>
  <c r="BY37" i="16"/>
  <c r="BY38" i="16"/>
  <c r="BY40" i="16"/>
  <c r="BY46" i="16"/>
  <c r="BY42" i="16"/>
  <c r="BY52" i="16"/>
  <c r="BY41" i="16"/>
  <c r="BY43" i="16"/>
  <c r="BY45" i="16"/>
  <c r="BY44" i="16"/>
  <c r="BY51" i="16"/>
  <c r="BY48" i="16"/>
  <c r="BY47" i="16"/>
  <c r="BY49" i="16"/>
  <c r="BY50" i="16"/>
  <c r="CQ39" i="16"/>
  <c r="CQ37" i="16"/>
  <c r="CQ40" i="16"/>
  <c r="CQ38" i="16"/>
  <c r="CQ41" i="16"/>
  <c r="CQ47" i="16"/>
  <c r="CQ46" i="16"/>
  <c r="CQ44" i="16"/>
  <c r="CQ50" i="16"/>
  <c r="CQ52" i="16"/>
  <c r="CQ48" i="16"/>
  <c r="CQ49" i="16"/>
  <c r="CQ51" i="16"/>
  <c r="CQ45" i="16"/>
  <c r="CQ43" i="16"/>
  <c r="CQ42" i="16"/>
  <c r="BP38" i="16"/>
  <c r="BP50" i="16" s="1"/>
  <c r="BP40" i="16"/>
  <c r="BP48" i="16" s="1"/>
  <c r="BP37" i="16"/>
  <c r="BP45" i="16" s="1"/>
  <c r="BP39" i="16"/>
  <c r="BP47" i="16" s="1"/>
  <c r="CM40" i="16"/>
  <c r="CM38" i="16"/>
  <c r="CM37" i="16"/>
  <c r="CM39" i="16"/>
  <c r="CM49" i="16"/>
  <c r="CM48" i="16"/>
  <c r="CM45" i="16"/>
  <c r="CM47" i="16"/>
  <c r="CM42" i="16"/>
  <c r="CM51" i="16"/>
  <c r="CM44" i="16"/>
  <c r="CM46" i="16"/>
  <c r="CM43" i="16"/>
  <c r="CM50" i="16"/>
  <c r="CM52" i="16"/>
  <c r="CM41" i="16"/>
  <c r="BU38" i="16"/>
  <c r="BU42" i="16" s="1"/>
  <c r="BU39" i="16"/>
  <c r="BU51" i="16" s="1"/>
  <c r="BU37" i="16"/>
  <c r="BU49" i="16" s="1"/>
  <c r="BU40" i="16"/>
  <c r="BU48" i="16" s="1"/>
  <c r="DO40" i="16"/>
  <c r="DO38" i="16"/>
  <c r="DO37" i="16"/>
  <c r="DO39" i="16"/>
  <c r="DO46" i="16"/>
  <c r="DO42" i="16"/>
  <c r="DO49" i="16"/>
  <c r="DO51" i="16"/>
  <c r="DO44" i="16"/>
  <c r="DO45" i="16"/>
  <c r="DO48" i="16"/>
  <c r="DO41" i="16"/>
  <c r="DO43" i="16"/>
  <c r="DO47" i="16"/>
  <c r="DO52" i="16"/>
  <c r="DO50" i="16"/>
  <c r="DJ40" i="16"/>
  <c r="DJ39" i="16"/>
  <c r="DJ37" i="16"/>
  <c r="DJ38" i="16"/>
  <c r="DJ45" i="16"/>
  <c r="DJ52" i="16"/>
  <c r="DJ48" i="16"/>
  <c r="DJ50" i="16"/>
  <c r="DJ42" i="16"/>
  <c r="DJ47" i="16"/>
  <c r="DJ44" i="16"/>
  <c r="DJ43" i="16"/>
  <c r="DJ49" i="16"/>
  <c r="DJ41" i="16"/>
  <c r="DJ46" i="16"/>
  <c r="DJ51" i="16"/>
  <c r="AW39" i="16"/>
  <c r="AW40" i="16"/>
  <c r="AW38" i="16"/>
  <c r="AW37" i="16"/>
  <c r="AW91" i="16"/>
  <c r="AW93" i="16"/>
  <c r="AW92" i="16"/>
  <c r="AW50" i="16"/>
  <c r="AW52" i="16"/>
  <c r="AW42" i="16"/>
  <c r="AW44" i="16"/>
  <c r="AW46" i="16"/>
  <c r="AW45" i="16"/>
  <c r="AW51" i="16"/>
  <c r="AW41" i="16"/>
  <c r="AW43" i="16"/>
  <c r="AW48" i="16"/>
  <c r="AW49" i="16"/>
  <c r="AW47" i="16"/>
  <c r="AN38" i="16"/>
  <c r="AN39" i="16"/>
  <c r="AN37" i="16"/>
  <c r="AN40" i="16"/>
  <c r="AN93" i="16"/>
  <c r="AN92" i="16"/>
  <c r="AN91" i="16"/>
  <c r="AN46" i="16"/>
  <c r="AN48" i="16"/>
  <c r="AN51" i="16"/>
  <c r="AN41" i="16"/>
  <c r="AN43" i="16"/>
  <c r="AN45" i="16"/>
  <c r="AN52" i="16"/>
  <c r="AN44" i="16"/>
  <c r="AN50" i="16"/>
  <c r="AN47" i="16"/>
  <c r="AN42" i="16"/>
  <c r="AN49" i="16"/>
  <c r="BI39" i="16"/>
  <c r="BI91" i="16"/>
  <c r="BI92" i="16"/>
  <c r="BI93" i="16"/>
  <c r="BI38" i="16"/>
  <c r="BI37" i="16"/>
  <c r="BI40" i="16"/>
  <c r="BI42" i="16"/>
  <c r="BI43" i="16"/>
  <c r="BI49" i="16"/>
  <c r="BI46" i="16"/>
  <c r="BI41" i="16"/>
  <c r="BI45" i="16"/>
  <c r="BI48" i="16"/>
  <c r="BI50" i="16"/>
  <c r="BI47" i="16"/>
  <c r="BI51" i="16"/>
  <c r="BI44" i="16"/>
  <c r="BI52" i="16"/>
  <c r="CP39" i="16"/>
  <c r="CP40" i="16"/>
  <c r="CP38" i="16"/>
  <c r="CP37" i="16"/>
  <c r="CP52" i="16"/>
  <c r="CP43" i="16"/>
  <c r="CP48" i="16"/>
  <c r="CP45" i="16"/>
  <c r="CP44" i="16"/>
  <c r="CP46" i="16"/>
  <c r="CP42" i="16"/>
  <c r="CP47" i="16"/>
  <c r="CP50" i="16"/>
  <c r="CP41" i="16"/>
  <c r="CP49" i="16"/>
  <c r="CP51" i="16"/>
  <c r="AJ39" i="16"/>
  <c r="AJ38" i="16"/>
  <c r="AJ92" i="16"/>
  <c r="AJ91" i="16"/>
  <c r="AJ93" i="16"/>
  <c r="AJ37" i="16"/>
  <c r="AJ40" i="16"/>
  <c r="AJ47" i="16"/>
  <c r="AJ51" i="16"/>
  <c r="AJ44" i="16"/>
  <c r="AJ52" i="16"/>
  <c r="AJ43" i="16"/>
  <c r="AJ48" i="16"/>
  <c r="AJ41" i="16"/>
  <c r="AJ50" i="16"/>
  <c r="AJ45" i="16"/>
  <c r="AJ46" i="16"/>
  <c r="AJ49" i="16"/>
  <c r="AJ42" i="16"/>
  <c r="DN60" i="16"/>
  <c r="DI38" i="16"/>
  <c r="DI39" i="16"/>
  <c r="DI37" i="16"/>
  <c r="DI40" i="16"/>
  <c r="DI45" i="16"/>
  <c r="DI43" i="16"/>
  <c r="DI49" i="16"/>
  <c r="DI50" i="16"/>
  <c r="DI52" i="16"/>
  <c r="DI48" i="16"/>
  <c r="DI44" i="16"/>
  <c r="DI46" i="16"/>
  <c r="DI51" i="16"/>
  <c r="DI42" i="16"/>
  <c r="DI47" i="16"/>
  <c r="DI41" i="16"/>
  <c r="D38" i="16"/>
  <c r="D42" i="16" s="1"/>
  <c r="D91" i="16"/>
  <c r="D39" i="16"/>
  <c r="D43" i="16" s="1"/>
  <c r="D93" i="16"/>
  <c r="D92" i="16"/>
  <c r="D37" i="16"/>
  <c r="D45" i="16" s="1"/>
  <c r="D40" i="16"/>
  <c r="D48" i="16" s="1"/>
  <c r="DT39" i="16"/>
  <c r="DT37" i="16"/>
  <c r="DT38" i="16"/>
  <c r="DT40" i="16"/>
  <c r="DT47" i="16"/>
  <c r="DT49" i="16"/>
  <c r="DT50" i="16"/>
  <c r="DT52" i="16"/>
  <c r="DT41" i="16"/>
  <c r="DT46" i="16"/>
  <c r="DT43" i="16"/>
  <c r="DT44" i="16"/>
  <c r="DT42" i="16"/>
  <c r="DT51" i="16"/>
  <c r="DT48" i="16"/>
  <c r="DT45" i="16"/>
  <c r="I39" i="16"/>
  <c r="I43" i="16" s="1"/>
  <c r="I91" i="16"/>
  <c r="I92" i="16"/>
  <c r="I40" i="16"/>
  <c r="I44" i="16" s="1"/>
  <c r="I38" i="16"/>
  <c r="I42" i="16" s="1"/>
  <c r="I37" i="16"/>
  <c r="I45" i="16" s="1"/>
  <c r="I93" i="16"/>
  <c r="AV38" i="16"/>
  <c r="AV40" i="16"/>
  <c r="AV37" i="16"/>
  <c r="AV92" i="16"/>
  <c r="AV93" i="16"/>
  <c r="AV91" i="16"/>
  <c r="AV39" i="16"/>
  <c r="AV51" i="16"/>
  <c r="AV44" i="16"/>
  <c r="AV52" i="16"/>
  <c r="AV41" i="16"/>
  <c r="AV43" i="16"/>
  <c r="AV48" i="16"/>
  <c r="AV45" i="16"/>
  <c r="AV46" i="16"/>
  <c r="AV42" i="16"/>
  <c r="AV47" i="16"/>
  <c r="AV50" i="16"/>
  <c r="AV49" i="16"/>
  <c r="Y39" i="16"/>
  <c r="Y91" i="16"/>
  <c r="Y92" i="16"/>
  <c r="Y40" i="16"/>
  <c r="Y37" i="16"/>
  <c r="Y38" i="16"/>
  <c r="Y93" i="16"/>
  <c r="Y50" i="16"/>
  <c r="Y48" i="16"/>
  <c r="Y41" i="16"/>
  <c r="Y45" i="16"/>
  <c r="Y52" i="16"/>
  <c r="Y49" i="16"/>
  <c r="Y42" i="16"/>
  <c r="Y47" i="16"/>
  <c r="Y44" i="16"/>
  <c r="Y46" i="16"/>
  <c r="Y43" i="16"/>
  <c r="Y51" i="16"/>
  <c r="R40" i="16"/>
  <c r="R39" i="16"/>
  <c r="R38" i="16"/>
  <c r="R37" i="16"/>
  <c r="R93" i="16"/>
  <c r="R92" i="16"/>
  <c r="R91" i="16"/>
  <c r="R47" i="16"/>
  <c r="R42" i="16"/>
  <c r="R45" i="16"/>
  <c r="R49" i="16"/>
  <c r="R51" i="16"/>
  <c r="R44" i="16"/>
  <c r="R52" i="16"/>
  <c r="R41" i="16"/>
  <c r="R43" i="16"/>
  <c r="R48" i="16"/>
  <c r="R46" i="16"/>
  <c r="R50" i="16"/>
  <c r="AE38" i="16"/>
  <c r="AE37" i="16"/>
  <c r="AE93" i="16"/>
  <c r="AE91" i="16"/>
  <c r="AE40" i="16"/>
  <c r="AE92" i="16"/>
  <c r="AE39" i="16"/>
  <c r="AE49" i="16"/>
  <c r="AE50" i="16"/>
  <c r="AE45" i="16"/>
  <c r="AE52" i="16"/>
  <c r="AE47" i="16"/>
  <c r="AE42" i="16"/>
  <c r="AE44" i="16"/>
  <c r="AE46" i="16"/>
  <c r="AE43" i="16"/>
  <c r="AE51" i="16"/>
  <c r="AE41" i="16"/>
  <c r="AE48" i="16"/>
  <c r="DG40" i="16"/>
  <c r="DG37" i="16"/>
  <c r="DG38" i="16"/>
  <c r="DG39" i="16"/>
  <c r="DG47" i="16"/>
  <c r="DG43" i="16"/>
  <c r="DG46" i="16"/>
  <c r="DG48" i="16"/>
  <c r="DG50" i="16"/>
  <c r="DG49" i="16"/>
  <c r="DG51" i="16"/>
  <c r="DG44" i="16"/>
  <c r="DG45" i="16"/>
  <c r="DG52" i="16"/>
  <c r="DG41" i="16"/>
  <c r="DG42" i="16"/>
  <c r="CX37" i="16"/>
  <c r="CX39" i="16"/>
  <c r="CX38" i="16"/>
  <c r="CX40" i="16"/>
  <c r="CX48" i="16"/>
  <c r="CX45" i="16"/>
  <c r="CX44" i="16"/>
  <c r="CX46" i="16"/>
  <c r="CX42" i="16"/>
  <c r="CX50" i="16"/>
  <c r="CX51" i="16"/>
  <c r="CX49" i="16"/>
  <c r="CX47" i="16"/>
  <c r="CX52" i="16"/>
  <c r="CX43" i="16"/>
  <c r="CX41" i="16"/>
  <c r="DD38" i="16"/>
  <c r="DD37" i="16"/>
  <c r="DD39" i="16"/>
  <c r="DD40" i="16"/>
  <c r="DD44" i="16"/>
  <c r="DD42" i="16"/>
  <c r="DD51" i="16"/>
  <c r="DD48" i="16"/>
  <c r="DD47" i="16"/>
  <c r="DD49" i="16"/>
  <c r="DD50" i="16"/>
  <c r="DD52" i="16"/>
  <c r="DD41" i="16"/>
  <c r="DD46" i="16"/>
  <c r="DD43" i="16"/>
  <c r="DD45" i="16"/>
  <c r="W37" i="16"/>
  <c r="W39" i="16"/>
  <c r="W93" i="16"/>
  <c r="W91" i="16"/>
  <c r="W38" i="16"/>
  <c r="W92" i="16"/>
  <c r="W40" i="16"/>
  <c r="W48" i="16"/>
  <c r="W49" i="16"/>
  <c r="W47" i="16"/>
  <c r="W50" i="16"/>
  <c r="W51" i="16"/>
  <c r="W52" i="16"/>
  <c r="W43" i="16"/>
  <c r="W46" i="16"/>
  <c r="W42" i="16"/>
  <c r="W41" i="16"/>
  <c r="W44" i="16"/>
  <c r="W45" i="16"/>
  <c r="AQ37" i="16"/>
  <c r="AQ38" i="16"/>
  <c r="AQ92" i="16"/>
  <c r="AQ39" i="16"/>
  <c r="AQ91" i="16"/>
  <c r="AQ93" i="16"/>
  <c r="AQ40" i="16"/>
  <c r="AQ52" i="16"/>
  <c r="AQ45" i="16"/>
  <c r="AQ49" i="16"/>
  <c r="AQ41" i="16"/>
  <c r="AQ44" i="16"/>
  <c r="AQ46" i="16"/>
  <c r="AQ50" i="16"/>
  <c r="AQ43" i="16"/>
  <c r="AQ51" i="16"/>
  <c r="AQ48" i="16"/>
  <c r="AQ42" i="16"/>
  <c r="AQ47" i="16"/>
  <c r="BF40" i="16"/>
  <c r="BF92" i="16"/>
  <c r="BF93" i="16"/>
  <c r="BF37" i="16"/>
  <c r="BF91" i="16"/>
  <c r="BF39" i="16"/>
  <c r="BF38" i="16"/>
  <c r="BF41" i="16"/>
  <c r="BF50" i="16"/>
  <c r="BF43" i="16"/>
  <c r="BF47" i="16"/>
  <c r="BF52" i="16"/>
  <c r="BF44" i="16"/>
  <c r="BF49" i="16"/>
  <c r="BF48" i="16"/>
  <c r="BF51" i="16"/>
  <c r="BF46" i="16"/>
  <c r="BF42" i="16"/>
  <c r="BF45" i="16"/>
  <c r="DN57" i="16"/>
  <c r="P40" i="16"/>
  <c r="P38" i="16"/>
  <c r="P92" i="16"/>
  <c r="P39" i="16"/>
  <c r="P37" i="16"/>
  <c r="P93" i="16"/>
  <c r="P91" i="16"/>
  <c r="P46" i="16"/>
  <c r="P42" i="16"/>
  <c r="P47" i="16"/>
  <c r="P49" i="16"/>
  <c r="P52" i="16"/>
  <c r="P44" i="16"/>
  <c r="P43" i="16"/>
  <c r="P41" i="16"/>
  <c r="P50" i="16"/>
  <c r="P48" i="16"/>
  <c r="P45" i="16"/>
  <c r="P51" i="16"/>
  <c r="BD57" i="16"/>
  <c r="BN37" i="16"/>
  <c r="BN45" i="16" s="1"/>
  <c r="BN38" i="16"/>
  <c r="BN46" i="16" s="1"/>
  <c r="BN40" i="16"/>
  <c r="BN48" i="16" s="1"/>
  <c r="BN39" i="16"/>
  <c r="BN47" i="16" s="1"/>
  <c r="BJ39" i="16"/>
  <c r="BJ92" i="16"/>
  <c r="BJ91" i="16"/>
  <c r="BJ93" i="16"/>
  <c r="BJ38" i="16"/>
  <c r="BJ37" i="16"/>
  <c r="BJ40" i="16"/>
  <c r="BJ51" i="16"/>
  <c r="BJ43" i="16"/>
  <c r="BJ45" i="16"/>
  <c r="BJ48" i="16"/>
  <c r="BJ52" i="16"/>
  <c r="BJ47" i="16"/>
  <c r="BJ50" i="16"/>
  <c r="BJ44" i="16"/>
  <c r="BJ41" i="16"/>
  <c r="BJ42" i="16"/>
  <c r="BJ49" i="16"/>
  <c r="BJ46" i="16"/>
  <c r="BS38" i="16"/>
  <c r="BS50" i="16" s="1"/>
  <c r="BS40" i="16"/>
  <c r="BS48" i="16" s="1"/>
  <c r="BS37" i="16"/>
  <c r="BS41" i="16" s="1"/>
  <c r="BS39" i="16"/>
  <c r="BS51" i="16" s="1"/>
  <c r="DF38" i="16"/>
  <c r="DF39" i="16"/>
  <c r="DF40" i="16"/>
  <c r="DF37" i="16"/>
  <c r="DF44" i="16"/>
  <c r="DF46" i="16"/>
  <c r="DF51" i="16"/>
  <c r="DF50" i="16"/>
  <c r="DF49" i="16"/>
  <c r="DF52" i="16"/>
  <c r="DF43" i="16"/>
  <c r="DF47" i="16"/>
  <c r="DF48" i="16"/>
  <c r="DF45" i="16"/>
  <c r="DF42" i="16"/>
  <c r="DF41" i="16"/>
  <c r="CI38" i="16"/>
  <c r="CI39" i="16"/>
  <c r="CI40" i="16"/>
  <c r="CI37" i="16"/>
  <c r="CI45" i="16"/>
  <c r="CI52" i="16"/>
  <c r="CI41" i="16"/>
  <c r="CI47" i="16"/>
  <c r="CI46" i="16"/>
  <c r="CI44" i="16"/>
  <c r="CI50" i="16"/>
  <c r="CI48" i="16"/>
  <c r="CI42" i="16"/>
  <c r="CI49" i="16"/>
  <c r="CI51" i="16"/>
  <c r="CI43" i="16"/>
  <c r="CB40" i="16"/>
  <c r="CB37" i="16"/>
  <c r="CB39" i="16"/>
  <c r="CB38" i="16"/>
  <c r="CB51" i="16"/>
  <c r="CB42" i="16"/>
  <c r="CB43" i="16"/>
  <c r="CB44" i="16"/>
  <c r="CB50" i="16"/>
  <c r="CB49" i="16"/>
  <c r="CB46" i="16"/>
  <c r="CB48" i="16"/>
  <c r="CB52" i="16"/>
  <c r="CB47" i="16"/>
  <c r="CB41" i="16"/>
  <c r="CB45" i="16"/>
  <c r="CO40" i="16"/>
  <c r="CO39" i="16"/>
  <c r="CO37" i="16"/>
  <c r="CO38" i="16"/>
  <c r="CO43" i="16"/>
  <c r="CO45" i="16"/>
  <c r="CO44" i="16"/>
  <c r="CO50" i="16"/>
  <c r="CO48" i="16"/>
  <c r="CO51" i="16"/>
  <c r="CO47" i="16"/>
  <c r="CO49" i="16"/>
  <c r="CO46" i="16"/>
  <c r="CO52" i="16"/>
  <c r="CO42" i="16"/>
  <c r="CO41" i="16"/>
  <c r="AR38" i="16"/>
  <c r="AR91" i="16"/>
  <c r="AR37" i="16"/>
  <c r="AR39" i="16"/>
  <c r="AR93" i="16"/>
  <c r="AR40" i="16"/>
  <c r="AR92" i="16"/>
  <c r="AR51" i="16"/>
  <c r="AR47" i="16"/>
  <c r="AR44" i="16"/>
  <c r="AR52" i="16"/>
  <c r="AR50" i="16"/>
  <c r="AR42" i="16"/>
  <c r="AR43" i="16"/>
  <c r="AR45" i="16"/>
  <c r="AR48" i="16"/>
  <c r="AR46" i="16"/>
  <c r="AR49" i="16"/>
  <c r="AR41" i="16"/>
  <c r="CF40" i="16"/>
  <c r="CF38" i="16"/>
  <c r="CF37" i="16"/>
  <c r="CF39" i="16"/>
  <c r="CF50" i="16"/>
  <c r="CF52" i="16"/>
  <c r="CF41" i="16"/>
  <c r="CF46" i="16"/>
  <c r="CF51" i="16"/>
  <c r="CF44" i="16"/>
  <c r="CF42" i="16"/>
  <c r="CF45" i="16"/>
  <c r="CF48" i="16"/>
  <c r="CF47" i="16"/>
  <c r="CF49" i="16"/>
  <c r="CF43" i="16"/>
  <c r="AT38" i="16"/>
  <c r="AT91" i="16"/>
  <c r="AT39" i="16"/>
  <c r="AT93" i="16"/>
  <c r="AT92" i="16"/>
  <c r="AT40" i="16"/>
  <c r="AT37" i="16"/>
  <c r="AT51" i="16"/>
  <c r="AT41" i="16"/>
  <c r="AT43" i="16"/>
  <c r="AT42" i="16"/>
  <c r="AT50" i="16"/>
  <c r="AT48" i="16"/>
  <c r="AT52" i="16"/>
  <c r="AT45" i="16"/>
  <c r="AT47" i="16"/>
  <c r="AT44" i="16"/>
  <c r="AT49" i="16"/>
  <c r="AT46" i="16"/>
  <c r="CG37" i="16"/>
  <c r="CG38" i="16"/>
  <c r="CG40" i="16"/>
  <c r="CG39" i="16"/>
  <c r="CG52" i="16"/>
  <c r="CG50" i="16"/>
  <c r="CG43" i="16"/>
  <c r="CG45" i="16"/>
  <c r="CG44" i="16"/>
  <c r="CG51" i="16"/>
  <c r="CG46" i="16"/>
  <c r="CG47" i="16"/>
  <c r="CG49" i="16"/>
  <c r="CG42" i="16"/>
  <c r="CG41" i="16"/>
  <c r="CG48" i="16"/>
  <c r="DA38" i="16"/>
  <c r="DA39" i="16"/>
  <c r="DA37" i="16"/>
  <c r="DA40" i="16"/>
  <c r="DA46" i="16"/>
  <c r="DA45" i="16"/>
  <c r="DA43" i="16"/>
  <c r="DA50" i="16"/>
  <c r="DA41" i="16"/>
  <c r="DA49" i="16"/>
  <c r="DA44" i="16"/>
  <c r="DA48" i="16"/>
  <c r="DA51" i="16"/>
  <c r="DA42" i="16"/>
  <c r="DA52" i="16"/>
  <c r="DA47" i="16"/>
  <c r="DP39" i="16"/>
  <c r="DP40" i="16"/>
  <c r="DP38" i="16"/>
  <c r="DP37" i="16"/>
  <c r="DP46" i="16"/>
  <c r="DP48" i="16"/>
  <c r="DP47" i="16"/>
  <c r="DP49" i="16"/>
  <c r="DP52" i="16"/>
  <c r="DP45" i="16"/>
  <c r="DP51" i="16"/>
  <c r="DP42" i="16"/>
  <c r="DP44" i="16"/>
  <c r="DP50" i="16"/>
  <c r="DP43" i="16"/>
  <c r="DP41" i="16"/>
  <c r="DN55" i="16"/>
  <c r="BZ40" i="16"/>
  <c r="BZ38" i="16"/>
  <c r="BZ39" i="16"/>
  <c r="BZ37" i="16"/>
  <c r="BZ52" i="16"/>
  <c r="BZ43" i="16"/>
  <c r="BZ51" i="16"/>
  <c r="BZ45" i="16"/>
  <c r="BZ48" i="16"/>
  <c r="BZ47" i="16"/>
  <c r="BZ44" i="16"/>
  <c r="BZ46" i="16"/>
  <c r="BZ42" i="16"/>
  <c r="BZ50" i="16"/>
  <c r="BZ49" i="16"/>
  <c r="BZ41" i="16"/>
  <c r="AA37" i="16"/>
  <c r="AA39" i="16"/>
  <c r="AA92" i="16"/>
  <c r="AA91" i="16"/>
  <c r="AA40" i="16"/>
  <c r="AA93" i="16"/>
  <c r="AA38" i="16"/>
  <c r="AA52" i="16"/>
  <c r="AA48" i="16"/>
  <c r="AA43" i="16"/>
  <c r="AA42" i="16"/>
  <c r="AA41" i="16"/>
  <c r="AA51" i="16"/>
  <c r="AA47" i="16"/>
  <c r="AA44" i="16"/>
  <c r="AA45" i="16"/>
  <c r="AA50" i="16"/>
  <c r="AA46" i="16"/>
  <c r="AA49" i="16"/>
  <c r="AO37" i="16"/>
  <c r="AO39" i="16"/>
  <c r="AO93" i="16"/>
  <c r="AO91" i="16"/>
  <c r="AO92" i="16"/>
  <c r="AO40" i="16"/>
  <c r="AO38" i="16"/>
  <c r="AO50" i="16"/>
  <c r="AO47" i="16"/>
  <c r="AO52" i="16"/>
  <c r="AO42" i="16"/>
  <c r="AO43" i="16"/>
  <c r="AO48" i="16"/>
  <c r="AO44" i="16"/>
  <c r="AO45" i="16"/>
  <c r="AO46" i="16"/>
  <c r="AO51" i="16"/>
  <c r="AO49" i="16"/>
  <c r="AO41" i="16"/>
  <c r="AH40" i="16"/>
  <c r="AH92" i="16"/>
  <c r="AH37" i="16"/>
  <c r="AH91" i="16"/>
  <c r="AH39" i="16"/>
  <c r="AH38" i="16"/>
  <c r="AH93" i="16"/>
  <c r="AH49" i="16"/>
  <c r="AH51" i="16"/>
  <c r="AH52" i="16"/>
  <c r="AH41" i="16"/>
  <c r="AH42" i="16"/>
  <c r="AH50" i="16"/>
  <c r="AH48" i="16"/>
  <c r="AH45" i="16"/>
  <c r="AH43" i="16"/>
  <c r="AH47" i="16"/>
  <c r="AH46" i="16"/>
  <c r="AH44" i="16"/>
  <c r="E40" i="16"/>
  <c r="E44" i="16" s="1"/>
  <c r="E39" i="16"/>
  <c r="E43" i="16" s="1"/>
  <c r="E91" i="16"/>
  <c r="E37" i="16"/>
  <c r="E49" i="16" s="1"/>
  <c r="E38" i="16"/>
  <c r="E50" i="16" s="1"/>
  <c r="E93" i="16"/>
  <c r="E92" i="16"/>
  <c r="AM37" i="16"/>
  <c r="AM38" i="16"/>
  <c r="AM93" i="16"/>
  <c r="AM92" i="16"/>
  <c r="AM40" i="16"/>
  <c r="AM39" i="16"/>
  <c r="AM91" i="16"/>
  <c r="AM50" i="16"/>
  <c r="AM52" i="16"/>
  <c r="AM47" i="16"/>
  <c r="AM45" i="16"/>
  <c r="AM42" i="16"/>
  <c r="AM44" i="16"/>
  <c r="AM41" i="16"/>
  <c r="AM48" i="16"/>
  <c r="AM43" i="16"/>
  <c r="AM51" i="16"/>
  <c r="AM49" i="16"/>
  <c r="AM46" i="16"/>
  <c r="CU40" i="16"/>
  <c r="CU39" i="16"/>
  <c r="CU38" i="16"/>
  <c r="CU37" i="16"/>
  <c r="CU49" i="16"/>
  <c r="CU45" i="16"/>
  <c r="CU47" i="16"/>
  <c r="CU42" i="16"/>
  <c r="CU51" i="16"/>
  <c r="CU52" i="16"/>
  <c r="CU46" i="16"/>
  <c r="CU50" i="16"/>
  <c r="CU41" i="16"/>
  <c r="CU43" i="16"/>
  <c r="CU44" i="16"/>
  <c r="CU48" i="16"/>
  <c r="S38" i="16"/>
  <c r="S37" i="16"/>
  <c r="S93" i="16"/>
  <c r="S40" i="16"/>
  <c r="S39" i="16"/>
  <c r="S92" i="16"/>
  <c r="S91" i="16"/>
  <c r="S52" i="16"/>
  <c r="S46" i="16"/>
  <c r="S47" i="16"/>
  <c r="S48" i="16"/>
  <c r="S45" i="16"/>
  <c r="S51" i="16"/>
  <c r="S42" i="16"/>
  <c r="S50" i="16"/>
  <c r="S49" i="16"/>
  <c r="S44" i="16"/>
  <c r="S41" i="16"/>
  <c r="S43" i="16"/>
  <c r="CN37" i="16"/>
  <c r="CN39" i="16"/>
  <c r="CN40" i="16"/>
  <c r="CN38" i="16"/>
  <c r="CN46" i="16"/>
  <c r="CN43" i="16"/>
  <c r="CN44" i="16"/>
  <c r="CN42" i="16"/>
  <c r="CN48" i="16"/>
  <c r="CN47" i="16"/>
  <c r="CN49" i="16"/>
  <c r="CN50" i="16"/>
  <c r="CN52" i="16"/>
  <c r="CN41" i="16"/>
  <c r="CN51" i="16"/>
  <c r="CN45" i="16"/>
  <c r="DB38" i="16"/>
  <c r="DB40" i="16"/>
  <c r="DB39" i="16"/>
  <c r="DB37" i="16"/>
  <c r="DB46" i="16"/>
  <c r="DB45" i="16"/>
  <c r="DB51" i="16"/>
  <c r="DB52" i="16"/>
  <c r="DB41" i="16"/>
  <c r="DB48" i="16"/>
  <c r="DB50" i="16"/>
  <c r="DB47" i="16"/>
  <c r="DB49" i="16"/>
  <c r="DB44" i="16"/>
  <c r="DB42" i="16"/>
  <c r="DB43" i="16"/>
  <c r="V40" i="16"/>
  <c r="V38" i="16"/>
  <c r="V91" i="16"/>
  <c r="V93" i="16"/>
  <c r="V37" i="16"/>
  <c r="V39" i="16"/>
  <c r="V92" i="16"/>
  <c r="V51" i="16"/>
  <c r="V47" i="16"/>
  <c r="V44" i="16"/>
  <c r="V52" i="16"/>
  <c r="V49" i="16"/>
  <c r="V48" i="16"/>
  <c r="V43" i="16"/>
  <c r="V42" i="16"/>
  <c r="V45" i="16"/>
  <c r="V50" i="16"/>
  <c r="V46" i="16"/>
  <c r="V41" i="16"/>
  <c r="CE37" i="16"/>
  <c r="CE38" i="16"/>
  <c r="CE40" i="16"/>
  <c r="CE39" i="16"/>
  <c r="CE48" i="16"/>
  <c r="CE41" i="16"/>
  <c r="CE43" i="16"/>
  <c r="CE49" i="16"/>
  <c r="CE44" i="16"/>
  <c r="CE45" i="16"/>
  <c r="CE47" i="16"/>
  <c r="CE51" i="16"/>
  <c r="CE46" i="16"/>
  <c r="CE50" i="16"/>
  <c r="CE52" i="16"/>
  <c r="CE42" i="16"/>
  <c r="AI37" i="16"/>
  <c r="AI38" i="16"/>
  <c r="AI91" i="16"/>
  <c r="AI93" i="16"/>
  <c r="AI39" i="16"/>
  <c r="AI40" i="16"/>
  <c r="AI92" i="16"/>
  <c r="AI52" i="16"/>
  <c r="AI51" i="16"/>
  <c r="AI43" i="16"/>
  <c r="AI49" i="16"/>
  <c r="AI42" i="16"/>
  <c r="AI44" i="16"/>
  <c r="AI41" i="16"/>
  <c r="AI45" i="16"/>
  <c r="AI47" i="16"/>
  <c r="AI46" i="16"/>
  <c r="AI50" i="16"/>
  <c r="AI48" i="16"/>
  <c r="Q40" i="16"/>
  <c r="Q39" i="16"/>
  <c r="Q37" i="16"/>
  <c r="Q93" i="16"/>
  <c r="Q91" i="16"/>
  <c r="Q92" i="16"/>
  <c r="Q38" i="16"/>
  <c r="Q46" i="16"/>
  <c r="Q48" i="16"/>
  <c r="Q41" i="16"/>
  <c r="Q42" i="16"/>
  <c r="Q47" i="16"/>
  <c r="Q50" i="16"/>
  <c r="Q52" i="16"/>
  <c r="Q49" i="16"/>
  <c r="Q45" i="16"/>
  <c r="Q44" i="16"/>
  <c r="Q43" i="16"/>
  <c r="Q51" i="16"/>
  <c r="DN53" i="16"/>
  <c r="BX39" i="16"/>
  <c r="BX38" i="16"/>
  <c r="BX37" i="16"/>
  <c r="BX40" i="16"/>
  <c r="BX51" i="16"/>
  <c r="BX50" i="16"/>
  <c r="BX52" i="16"/>
  <c r="BX41" i="16"/>
  <c r="BX49" i="16"/>
  <c r="BX43" i="16"/>
  <c r="BX46" i="16"/>
  <c r="BX45" i="16"/>
  <c r="BX44" i="16"/>
  <c r="BX42" i="16"/>
  <c r="BX48" i="16"/>
  <c r="BX47" i="16"/>
  <c r="BC37" i="16"/>
  <c r="BC40" i="16"/>
  <c r="BC91" i="16"/>
  <c r="BC39" i="16"/>
  <c r="BC93" i="16"/>
  <c r="BC38" i="16"/>
  <c r="BC92" i="16"/>
  <c r="BC42" i="16"/>
  <c r="BC49" i="16"/>
  <c r="BC45" i="16"/>
  <c r="BC43" i="16"/>
  <c r="BC51" i="16"/>
  <c r="BC44" i="16"/>
  <c r="BC41" i="16"/>
  <c r="BC46" i="16"/>
  <c r="BC48" i="16"/>
  <c r="BC50" i="16"/>
  <c r="BC47" i="16"/>
  <c r="BC52" i="16"/>
  <c r="CK39" i="16"/>
  <c r="CK37" i="16"/>
  <c r="CK38" i="16"/>
  <c r="CK40" i="16"/>
  <c r="CK51" i="16"/>
  <c r="CK42" i="16"/>
  <c r="CK41" i="16"/>
  <c r="CK47" i="16"/>
  <c r="CK50" i="16"/>
  <c r="CK45" i="16"/>
  <c r="CK43" i="16"/>
  <c r="CK46" i="16"/>
  <c r="CK49" i="16"/>
  <c r="CK48" i="16"/>
  <c r="CK52" i="16"/>
  <c r="CK44" i="16"/>
  <c r="CY40" i="16"/>
  <c r="CY37" i="16"/>
  <c r="CY39" i="16"/>
  <c r="CY38" i="16"/>
  <c r="CY41" i="16"/>
  <c r="CY43" i="16"/>
  <c r="CY47" i="16"/>
  <c r="CY46" i="16"/>
  <c r="CY44" i="16"/>
  <c r="CY42" i="16"/>
  <c r="CY52" i="16"/>
  <c r="CY49" i="16"/>
  <c r="CY51" i="16"/>
  <c r="CY45" i="16"/>
  <c r="CY48" i="16"/>
  <c r="CY50" i="16"/>
  <c r="CR38" i="16"/>
  <c r="CR39" i="16"/>
  <c r="CR40" i="16"/>
  <c r="CR37" i="16"/>
  <c r="CR44" i="16"/>
  <c r="CR41" i="16"/>
  <c r="CR50" i="16"/>
  <c r="CR45" i="16"/>
  <c r="CR47" i="16"/>
  <c r="CR46" i="16"/>
  <c r="CR48" i="16"/>
  <c r="CR52" i="16"/>
  <c r="CR51" i="16"/>
  <c r="CR49" i="16"/>
  <c r="CR42" i="16"/>
  <c r="CR43" i="16"/>
  <c r="BO37" i="16"/>
  <c r="BO41" i="16" s="1"/>
  <c r="BO38" i="16"/>
  <c r="BO50" i="16" s="1"/>
  <c r="BO39" i="16"/>
  <c r="BO47" i="16" s="1"/>
  <c r="BO40" i="16"/>
  <c r="BO52" i="16" s="1"/>
  <c r="CW37" i="16"/>
  <c r="CW39" i="16"/>
  <c r="CW40" i="16"/>
  <c r="CW38" i="16"/>
  <c r="CW45" i="16"/>
  <c r="CW44" i="16"/>
  <c r="CW51" i="16"/>
  <c r="CW41" i="16"/>
  <c r="CW47" i="16"/>
  <c r="CW49" i="16"/>
  <c r="CW50" i="16"/>
  <c r="CW42" i="16"/>
  <c r="CW52" i="16"/>
  <c r="CW46" i="16"/>
  <c r="CW48" i="16"/>
  <c r="CW43" i="16"/>
  <c r="AK39" i="16"/>
  <c r="AK93" i="16"/>
  <c r="AK91" i="16"/>
  <c r="AK40" i="16"/>
  <c r="AK92" i="16"/>
  <c r="AK38" i="16"/>
  <c r="AK37" i="16"/>
  <c r="AK50" i="16"/>
  <c r="AK41" i="16"/>
  <c r="AK49" i="16"/>
  <c r="AK42" i="16"/>
  <c r="AK47" i="16"/>
  <c r="AK44" i="16"/>
  <c r="AK52" i="16"/>
  <c r="AK46" i="16"/>
  <c r="AK51" i="16"/>
  <c r="AK45" i="16"/>
  <c r="AK48" i="16"/>
  <c r="AK43" i="16"/>
  <c r="CC40" i="16"/>
  <c r="CC38" i="16"/>
  <c r="CC39" i="16"/>
  <c r="CC37" i="16"/>
  <c r="CC46" i="16"/>
  <c r="CC51" i="16"/>
  <c r="CC42" i="16"/>
  <c r="CC50" i="16"/>
  <c r="CC47" i="16"/>
  <c r="CC41" i="16"/>
  <c r="CC44" i="16"/>
  <c r="CC45" i="16"/>
  <c r="CC43" i="16"/>
  <c r="CC49" i="16"/>
  <c r="CC52" i="16"/>
  <c r="CC48" i="16"/>
  <c r="AD40" i="16"/>
  <c r="AD37" i="16"/>
  <c r="AD92" i="16"/>
  <c r="AD38" i="16"/>
  <c r="AD91" i="16"/>
  <c r="AD39" i="16"/>
  <c r="AD93" i="16"/>
  <c r="AD51" i="16"/>
  <c r="AD41" i="16"/>
  <c r="AD44" i="16"/>
  <c r="AD52" i="16"/>
  <c r="AD46" i="16"/>
  <c r="AD49" i="16"/>
  <c r="AD43" i="16"/>
  <c r="AD45" i="16"/>
  <c r="AD50" i="16"/>
  <c r="AD47" i="16"/>
  <c r="AD42" i="16"/>
  <c r="AD48" i="16"/>
  <c r="DL37" i="16"/>
  <c r="DL40" i="16"/>
  <c r="DL38" i="16"/>
  <c r="DL39" i="16"/>
  <c r="DL48" i="16"/>
  <c r="DL45" i="16"/>
  <c r="DL47" i="16"/>
  <c r="DL50" i="16"/>
  <c r="DL52" i="16"/>
  <c r="DL41" i="16"/>
  <c r="DL46" i="16"/>
  <c r="DL43" i="16"/>
  <c r="DL49" i="16"/>
  <c r="DL51" i="16"/>
  <c r="DL44" i="16"/>
  <c r="DL42" i="16"/>
  <c r="CD40" i="16"/>
  <c r="CD37" i="16"/>
  <c r="CD38" i="16"/>
  <c r="CD39" i="16"/>
  <c r="CD44" i="16"/>
  <c r="CD51" i="16"/>
  <c r="CD49" i="16"/>
  <c r="CD43" i="16"/>
  <c r="CD41" i="16"/>
  <c r="CD46" i="16"/>
  <c r="CD45" i="16"/>
  <c r="CD42" i="16"/>
  <c r="CD52" i="16"/>
  <c r="CD48" i="16"/>
  <c r="CD50" i="16"/>
  <c r="CD47" i="16"/>
  <c r="U39" i="16"/>
  <c r="U92" i="16"/>
  <c r="U37" i="16"/>
  <c r="U40" i="16"/>
  <c r="U91" i="16"/>
  <c r="U93" i="16"/>
  <c r="U38" i="16"/>
  <c r="U51" i="16"/>
  <c r="U49" i="16"/>
  <c r="U48" i="16"/>
  <c r="U52" i="16"/>
  <c r="U50" i="16"/>
  <c r="U43" i="16"/>
  <c r="U41" i="16"/>
  <c r="U47" i="16"/>
  <c r="U45" i="16"/>
  <c r="U42" i="16"/>
  <c r="U46" i="16"/>
  <c r="U44" i="16"/>
  <c r="CS37" i="16"/>
  <c r="CS40" i="16"/>
  <c r="CS38" i="16"/>
  <c r="CS39" i="16"/>
  <c r="CS47" i="16"/>
  <c r="CS46" i="16"/>
  <c r="CS45" i="16"/>
  <c r="CS43" i="16"/>
  <c r="CS50" i="16"/>
  <c r="CS49" i="16"/>
  <c r="CS48" i="16"/>
  <c r="CS52" i="16"/>
  <c r="CS41" i="16"/>
  <c r="CS51" i="16"/>
  <c r="CS42" i="16"/>
  <c r="CS44" i="16"/>
  <c r="CA37" i="16"/>
  <c r="CA40" i="16"/>
  <c r="CA39" i="16"/>
  <c r="CA38" i="16"/>
  <c r="CA49" i="16"/>
  <c r="CA51" i="16"/>
  <c r="CA48" i="16"/>
  <c r="CA45" i="16"/>
  <c r="CA41" i="16"/>
  <c r="CA44" i="16"/>
  <c r="CA47" i="16"/>
  <c r="CA42" i="16"/>
  <c r="CA46" i="16"/>
  <c r="CA50" i="16"/>
  <c r="CA52" i="16"/>
  <c r="CA43" i="16"/>
  <c r="N37" i="16"/>
  <c r="N40" i="16"/>
  <c r="N92" i="16"/>
  <c r="N38" i="16"/>
  <c r="N91" i="16"/>
  <c r="N39" i="16"/>
  <c r="N93" i="16"/>
  <c r="N51" i="16"/>
  <c r="N45" i="16"/>
  <c r="N49" i="16"/>
  <c r="N47" i="16"/>
  <c r="N42" i="16"/>
  <c r="N46" i="16"/>
  <c r="N41" i="16"/>
  <c r="N43" i="16"/>
  <c r="N52" i="16"/>
  <c r="N44" i="16"/>
  <c r="N50" i="16"/>
  <c r="N48" i="16"/>
  <c r="DM40" i="16"/>
  <c r="DM37" i="16"/>
  <c r="DM39" i="16"/>
  <c r="DM38" i="16"/>
  <c r="DM51" i="16"/>
  <c r="DM50" i="16"/>
  <c r="DM47" i="16"/>
  <c r="DM49" i="16"/>
  <c r="DM42" i="16"/>
  <c r="DM52" i="16"/>
  <c r="DM43" i="16"/>
  <c r="DM45" i="16"/>
  <c r="DM48" i="16"/>
  <c r="DM44" i="16"/>
  <c r="DM46" i="16"/>
  <c r="DM41" i="16"/>
  <c r="AP40" i="16"/>
  <c r="AP37" i="16"/>
  <c r="AP91" i="16"/>
  <c r="AP39" i="16"/>
  <c r="AP93" i="16"/>
  <c r="AP38" i="16"/>
  <c r="AP92" i="16"/>
  <c r="AP51" i="16"/>
  <c r="AP52" i="16"/>
  <c r="AP46" i="16"/>
  <c r="AP41" i="16"/>
  <c r="AP45" i="16"/>
  <c r="AP44" i="16"/>
  <c r="AP43" i="16"/>
  <c r="AP50" i="16"/>
  <c r="AP47" i="16"/>
  <c r="AP48" i="16"/>
  <c r="AP49" i="16"/>
  <c r="AP42" i="16"/>
  <c r="BG38" i="16"/>
  <c r="BG37" i="16"/>
  <c r="BG39" i="16"/>
  <c r="BG40" i="16"/>
  <c r="BG92" i="16"/>
  <c r="BG91" i="16"/>
  <c r="BG93" i="16"/>
  <c r="BG52" i="16"/>
  <c r="BG44" i="16"/>
  <c r="BG42" i="16"/>
  <c r="BG50" i="16"/>
  <c r="BG47" i="16"/>
  <c r="BG46" i="16"/>
  <c r="BG48" i="16"/>
  <c r="BG43" i="16"/>
  <c r="BG51" i="16"/>
  <c r="BG49" i="16"/>
  <c r="BG41" i="16"/>
  <c r="BG45" i="16"/>
  <c r="AU37" i="16"/>
  <c r="AU38" i="16"/>
  <c r="AU92" i="16"/>
  <c r="AU39" i="16"/>
  <c r="AU91" i="16"/>
  <c r="AU93" i="16"/>
  <c r="AU40" i="16"/>
  <c r="AU52" i="16"/>
  <c r="AU49" i="16"/>
  <c r="AU43" i="16"/>
  <c r="AU42" i="16"/>
  <c r="AU44" i="16"/>
  <c r="AU48" i="16"/>
  <c r="AU46" i="16"/>
  <c r="AU45" i="16"/>
  <c r="AU47" i="16"/>
  <c r="AU51" i="16"/>
  <c r="AU50" i="16"/>
  <c r="AU41" i="16"/>
  <c r="BW38" i="16"/>
  <c r="BW46" i="16" s="1"/>
  <c r="BW40" i="16"/>
  <c r="BW52" i="16" s="1"/>
  <c r="BW39" i="16"/>
  <c r="BW47" i="16" s="1"/>
  <c r="BW37" i="16"/>
  <c r="BW45" i="16" s="1"/>
  <c r="CV38" i="16"/>
  <c r="CV40" i="16"/>
  <c r="CV37" i="16"/>
  <c r="CV39" i="16"/>
  <c r="CV51" i="16"/>
  <c r="CV44" i="16"/>
  <c r="CV42" i="16"/>
  <c r="CV48" i="16"/>
  <c r="CV47" i="16"/>
  <c r="CV49" i="16"/>
  <c r="CV50" i="16"/>
  <c r="CV52" i="16"/>
  <c r="CV41" i="16"/>
  <c r="CV46" i="16"/>
  <c r="CV45" i="16"/>
  <c r="CV43" i="16"/>
  <c r="G38" i="16"/>
  <c r="G42" i="16" s="1"/>
  <c r="G37" i="16"/>
  <c r="G49" i="16" s="1"/>
  <c r="G93" i="16"/>
  <c r="G40" i="16"/>
  <c r="G44" i="16" s="1"/>
  <c r="G91" i="16"/>
  <c r="G92" i="16"/>
  <c r="G39" i="16"/>
  <c r="G43" i="16" s="1"/>
  <c r="J40" i="16"/>
  <c r="J48" i="16" s="1"/>
  <c r="J91" i="16"/>
  <c r="J39" i="16"/>
  <c r="J47" i="16" s="1"/>
  <c r="J37" i="16"/>
  <c r="J49" i="16" s="1"/>
  <c r="J38" i="16"/>
  <c r="J50" i="16" s="1"/>
  <c r="J93" i="16"/>
  <c r="J92" i="16"/>
  <c r="AB91" i="16"/>
  <c r="AB38" i="16"/>
  <c r="AB37" i="16"/>
  <c r="AB40" i="16"/>
  <c r="AB39" i="16"/>
  <c r="AB92" i="16"/>
  <c r="AB93" i="16"/>
  <c r="AB49" i="16"/>
  <c r="AB46" i="16"/>
  <c r="AB51" i="16"/>
  <c r="AB50" i="16"/>
  <c r="AB48" i="16"/>
  <c r="AB42" i="16"/>
  <c r="AB43" i="16"/>
  <c r="AB52" i="16"/>
  <c r="AB41" i="16"/>
  <c r="AB45" i="16"/>
  <c r="AB44" i="16"/>
  <c r="AB47" i="16"/>
  <c r="BB40" i="16"/>
  <c r="BB37" i="16"/>
  <c r="BB39" i="16"/>
  <c r="BB91" i="16"/>
  <c r="BB92" i="16"/>
  <c r="BB93" i="16"/>
  <c r="BB38" i="16"/>
  <c r="BB51" i="16"/>
  <c r="BB43" i="16"/>
  <c r="BB41" i="16"/>
  <c r="BB50" i="16"/>
  <c r="BB48" i="16"/>
  <c r="BB44" i="16"/>
  <c r="BB45" i="16"/>
  <c r="BB42" i="16"/>
  <c r="BB47" i="16"/>
  <c r="BB49" i="16"/>
  <c r="BB46" i="16"/>
  <c r="BB52" i="16"/>
  <c r="T38" i="16"/>
  <c r="T37" i="16"/>
  <c r="T93" i="16"/>
  <c r="T39" i="16"/>
  <c r="T91" i="16"/>
  <c r="T40" i="16"/>
  <c r="T92" i="16"/>
  <c r="T49" i="16"/>
  <c r="T46" i="16"/>
  <c r="T41" i="16"/>
  <c r="T51" i="16"/>
  <c r="T42" i="16"/>
  <c r="T50" i="16"/>
  <c r="T47" i="16"/>
  <c r="T48" i="16"/>
  <c r="T43" i="16"/>
  <c r="T52" i="16"/>
  <c r="T44" i="16"/>
  <c r="T45" i="16"/>
  <c r="DK37" i="16"/>
  <c r="DK39" i="16"/>
  <c r="DK40" i="16"/>
  <c r="DK38" i="16"/>
  <c r="DK45" i="16"/>
  <c r="DK47" i="16"/>
  <c r="DK51" i="16"/>
  <c r="DK50" i="16"/>
  <c r="DK46" i="16"/>
  <c r="DK41" i="16"/>
  <c r="DK48" i="16"/>
  <c r="DK44" i="16"/>
  <c r="DK52" i="16"/>
  <c r="DK43" i="16"/>
  <c r="DK49" i="16"/>
  <c r="DK42" i="16"/>
  <c r="AS39" i="16"/>
  <c r="AS40" i="16"/>
  <c r="AS38" i="16"/>
  <c r="AS91" i="16"/>
  <c r="AS37" i="16"/>
  <c r="AS92" i="16"/>
  <c r="AS93" i="16"/>
  <c r="AS45" i="16"/>
  <c r="AS51" i="16"/>
  <c r="AS42" i="16"/>
  <c r="AS47" i="16"/>
  <c r="AS41" i="16"/>
  <c r="AS49" i="16"/>
  <c r="AS46" i="16"/>
  <c r="AS52" i="16"/>
  <c r="AS44" i="16"/>
  <c r="AS43" i="16"/>
  <c r="AS48" i="16"/>
  <c r="AS50" i="16"/>
  <c r="X39" i="16"/>
  <c r="X38" i="16"/>
  <c r="X93" i="16"/>
  <c r="X92" i="16"/>
  <c r="X91" i="16"/>
  <c r="X40" i="16"/>
  <c r="X37" i="16"/>
  <c r="X47" i="16"/>
  <c r="X42" i="16"/>
  <c r="X44" i="16"/>
  <c r="X49" i="16"/>
  <c r="X41" i="16"/>
  <c r="X48" i="16"/>
  <c r="X46" i="16"/>
  <c r="X52" i="16"/>
  <c r="X50" i="16"/>
  <c r="X43" i="16"/>
  <c r="X45" i="16"/>
  <c r="X51" i="16"/>
  <c r="AX37" i="16"/>
  <c r="AX93" i="16"/>
  <c r="AX38" i="16"/>
  <c r="AX92" i="16"/>
  <c r="AX40" i="16"/>
  <c r="AX39" i="16"/>
  <c r="AX91" i="16"/>
  <c r="AX45" i="16"/>
  <c r="AX41" i="16"/>
  <c r="AX43" i="16"/>
  <c r="AX50" i="16"/>
  <c r="AX46" i="16"/>
  <c r="AX52" i="16"/>
  <c r="AX47" i="16"/>
  <c r="AX49" i="16"/>
  <c r="AX48" i="16"/>
  <c r="AX44" i="16"/>
  <c r="AX42" i="16"/>
  <c r="AX51" i="16"/>
  <c r="BV39" i="16"/>
  <c r="BV47" i="16" s="1"/>
  <c r="BV40" i="16"/>
  <c r="BV48" i="16" s="1"/>
  <c r="BV38" i="16"/>
  <c r="BV50" i="16" s="1"/>
  <c r="BV37" i="16"/>
  <c r="BV41" i="16" s="1"/>
  <c r="CZ38" i="16"/>
  <c r="CZ39" i="16"/>
  <c r="CZ37" i="16"/>
  <c r="CZ40" i="16"/>
  <c r="CZ50" i="16"/>
  <c r="CZ41" i="16"/>
  <c r="CZ49" i="16"/>
  <c r="CZ46" i="16"/>
  <c r="CZ48" i="16"/>
  <c r="CZ52" i="16"/>
  <c r="CZ51" i="16"/>
  <c r="CZ45" i="16"/>
  <c r="CZ42" i="16"/>
  <c r="CZ44" i="16"/>
  <c r="CZ47" i="16"/>
  <c r="CZ43" i="16"/>
  <c r="DE38" i="16"/>
  <c r="DE40" i="16"/>
  <c r="DE37" i="16"/>
  <c r="DE39" i="16"/>
  <c r="DE44" i="16"/>
  <c r="DE41" i="16"/>
  <c r="DE42" i="16"/>
  <c r="DE51" i="16"/>
  <c r="DE47" i="16"/>
  <c r="DE49" i="16"/>
  <c r="DE50" i="16"/>
  <c r="DE52" i="16"/>
  <c r="DE43" i="16"/>
  <c r="DE45" i="16"/>
  <c r="DE46" i="16"/>
  <c r="DE48" i="16"/>
  <c r="M39" i="16"/>
  <c r="M47" i="16" s="1"/>
  <c r="M37" i="16"/>
  <c r="M41" i="16" s="1"/>
  <c r="M93" i="16"/>
  <c r="M38" i="16"/>
  <c r="M46" i="16" s="1"/>
  <c r="M40" i="16"/>
  <c r="M44" i="16" s="1"/>
  <c r="M92" i="16"/>
  <c r="M91" i="16"/>
  <c r="AL40" i="16"/>
  <c r="AL38" i="16"/>
  <c r="AL93" i="16"/>
  <c r="AL91" i="16"/>
  <c r="AL92" i="16"/>
  <c r="AL37" i="16"/>
  <c r="AL39" i="16"/>
  <c r="AL51" i="16"/>
  <c r="AL49" i="16"/>
  <c r="AL52" i="16"/>
  <c r="AL42" i="16"/>
  <c r="AL50" i="16"/>
  <c r="AL43" i="16"/>
  <c r="AL46" i="16"/>
  <c r="AL45" i="16"/>
  <c r="AL47" i="16"/>
  <c r="AL48" i="16"/>
  <c r="AL44" i="16"/>
  <c r="AL41" i="16"/>
  <c r="BQ38" i="16"/>
  <c r="BQ50" i="16" s="1"/>
  <c r="BQ39" i="16"/>
  <c r="BQ47" i="16" s="1"/>
  <c r="BQ40" i="16"/>
  <c r="BQ44" i="16" s="1"/>
  <c r="BQ37" i="16"/>
  <c r="BQ41" i="16" s="1"/>
  <c r="BT38" i="16"/>
  <c r="BT50" i="16" s="1"/>
  <c r="BT39" i="16"/>
  <c r="BT43" i="16" s="1"/>
  <c r="BT40" i="16"/>
  <c r="BT44" i="16" s="1"/>
  <c r="BT37" i="16"/>
  <c r="BT45" i="16" s="1"/>
  <c r="CL39" i="16"/>
  <c r="CL40" i="16"/>
  <c r="CL37" i="16"/>
  <c r="CL38" i="16"/>
  <c r="CL42" i="16"/>
  <c r="CL46" i="16"/>
  <c r="CL45" i="16"/>
  <c r="CL52" i="16"/>
  <c r="CL49" i="16"/>
  <c r="CL48" i="16"/>
  <c r="CL50" i="16"/>
  <c r="CL44" i="16"/>
  <c r="CL51" i="16"/>
  <c r="CL47" i="16"/>
  <c r="CL41" i="16"/>
  <c r="CL43" i="16"/>
  <c r="H38" i="16"/>
  <c r="H50" i="16" s="1"/>
  <c r="H39" i="16"/>
  <c r="H47" i="16" s="1"/>
  <c r="H92" i="16"/>
  <c r="H93" i="16"/>
  <c r="H37" i="16"/>
  <c r="H49" i="16" s="1"/>
  <c r="H91" i="16"/>
  <c r="H40" i="16"/>
  <c r="H48" i="16" s="1"/>
  <c r="Z37" i="16"/>
  <c r="Z40" i="16"/>
  <c r="Z92" i="16"/>
  <c r="Z91" i="16"/>
  <c r="Z39" i="16"/>
  <c r="Z38" i="16"/>
  <c r="Z93" i="16"/>
  <c r="Z49" i="16"/>
  <c r="Z51" i="16"/>
  <c r="Z45" i="16"/>
  <c r="Z52" i="16"/>
  <c r="Z42" i="16"/>
  <c r="Z50" i="16"/>
  <c r="Z44" i="16"/>
  <c r="Z41" i="16"/>
  <c r="Z43" i="16"/>
  <c r="Z48" i="16"/>
  <c r="Z47" i="16"/>
  <c r="Z46" i="16"/>
  <c r="BA39" i="16"/>
  <c r="BA91" i="16"/>
  <c r="BA92" i="16"/>
  <c r="BA37" i="16"/>
  <c r="BA93" i="16"/>
  <c r="BA40" i="16"/>
  <c r="BA38" i="16"/>
  <c r="BA51" i="16"/>
  <c r="BA42" i="16"/>
  <c r="BA46" i="16"/>
  <c r="BA52" i="16"/>
  <c r="BA45" i="16"/>
  <c r="BA41" i="16"/>
  <c r="BA44" i="16"/>
  <c r="BA48" i="16"/>
  <c r="BA49" i="16"/>
  <c r="BA50" i="16"/>
  <c r="BA43" i="16"/>
  <c r="BA47" i="16"/>
  <c r="DC39" i="16"/>
  <c r="DC37" i="16"/>
  <c r="DC40" i="16"/>
  <c r="DC38" i="16"/>
  <c r="DC49" i="16"/>
  <c r="DC45" i="16"/>
  <c r="DC47" i="16"/>
  <c r="DC42" i="16"/>
  <c r="DC51" i="16"/>
  <c r="DC43" i="16"/>
  <c r="DC50" i="16"/>
  <c r="DC41" i="16"/>
  <c r="DC48" i="16"/>
  <c r="DC52" i="16"/>
  <c r="DC44" i="16"/>
  <c r="DC46" i="16"/>
  <c r="CH39" i="16"/>
  <c r="CH38" i="16"/>
  <c r="CH37" i="16"/>
  <c r="CH40" i="16"/>
  <c r="CH45" i="16"/>
  <c r="CH52" i="16"/>
  <c r="CH43" i="16"/>
  <c r="CH41" i="16"/>
  <c r="CH48" i="16"/>
  <c r="CH44" i="16"/>
  <c r="CH46" i="16"/>
  <c r="CH50" i="16"/>
  <c r="CH47" i="16"/>
  <c r="CH49" i="16"/>
  <c r="CH42" i="16"/>
  <c r="CH51" i="16"/>
  <c r="DH39" i="16"/>
  <c r="DH38" i="16"/>
  <c r="DH37" i="16"/>
  <c r="DH40" i="16"/>
  <c r="DH50" i="16"/>
  <c r="DH46" i="16"/>
  <c r="DH48" i="16"/>
  <c r="DH49" i="16"/>
  <c r="DH52" i="16"/>
  <c r="DH51" i="16"/>
  <c r="DH42" i="16"/>
  <c r="DH43" i="16"/>
  <c r="DH44" i="16"/>
  <c r="DH47" i="16"/>
  <c r="DH41" i="16"/>
  <c r="DH45" i="16"/>
  <c r="L39" i="16"/>
  <c r="L51" i="16" s="1"/>
  <c r="L38" i="16"/>
  <c r="L46" i="16" s="1"/>
  <c r="L92" i="16"/>
  <c r="L93" i="16"/>
  <c r="L40" i="16"/>
  <c r="L52" i="16" s="1"/>
  <c r="L91" i="16"/>
  <c r="L37" i="16"/>
  <c r="L41" i="16" s="1"/>
  <c r="DR38" i="16"/>
  <c r="DR40" i="16"/>
  <c r="DR37" i="16"/>
  <c r="DR39" i="16"/>
  <c r="DR52" i="16"/>
  <c r="DR41" i="16"/>
  <c r="DR48" i="16"/>
  <c r="DR50" i="16"/>
  <c r="DR51" i="16"/>
  <c r="DR42" i="16"/>
  <c r="DR44" i="16"/>
  <c r="DR49" i="16"/>
  <c r="DR47" i="16"/>
  <c r="DR43" i="16"/>
  <c r="DR46" i="16"/>
  <c r="DR45" i="16"/>
  <c r="O37" i="16"/>
  <c r="O40" i="16"/>
  <c r="O92" i="16"/>
  <c r="O39" i="16"/>
  <c r="O38" i="16"/>
  <c r="O93" i="16"/>
  <c r="O91" i="16"/>
  <c r="O48" i="16"/>
  <c r="O49" i="16"/>
  <c r="O46" i="16"/>
  <c r="O41" i="16"/>
  <c r="O50" i="16"/>
  <c r="O51" i="16"/>
  <c r="O43" i="16"/>
  <c r="O52" i="16"/>
  <c r="O42" i="16"/>
  <c r="O45" i="16"/>
  <c r="O47" i="16"/>
  <c r="O44" i="16"/>
  <c r="AG92" i="16"/>
  <c r="AG39" i="16"/>
  <c r="AG38" i="16"/>
  <c r="AG93" i="16"/>
  <c r="AG91" i="16"/>
  <c r="AG37" i="16"/>
  <c r="AG40" i="16"/>
  <c r="AG50" i="16"/>
  <c r="AG45" i="16"/>
  <c r="AG48" i="16"/>
  <c r="AG52" i="16"/>
  <c r="AG41" i="16"/>
  <c r="AG42" i="16"/>
  <c r="AG47" i="16"/>
  <c r="AG44" i="16"/>
  <c r="AG43" i="16"/>
  <c r="AG46" i="16"/>
  <c r="AG51" i="16"/>
  <c r="AG49" i="16"/>
  <c r="F38" i="16"/>
  <c r="F46" i="16" s="1"/>
  <c r="F40" i="16"/>
  <c r="F48" i="16" s="1"/>
  <c r="F93" i="16"/>
  <c r="F39" i="16"/>
  <c r="F47" i="16" s="1"/>
  <c r="F92" i="16"/>
  <c r="F37" i="16"/>
  <c r="F49" i="16" s="1"/>
  <c r="F91" i="16"/>
  <c r="AC40" i="16"/>
  <c r="AC39" i="16"/>
  <c r="AC37" i="16"/>
  <c r="AC91" i="16"/>
  <c r="AC93" i="16"/>
  <c r="AC92" i="16"/>
  <c r="AC38" i="16"/>
  <c r="AC48" i="16"/>
  <c r="AC49" i="16"/>
  <c r="AC47" i="16"/>
  <c r="AC50" i="16"/>
  <c r="AC52" i="16"/>
  <c r="AC51" i="16"/>
  <c r="AC45" i="16"/>
  <c r="AC43" i="16"/>
  <c r="AC42" i="16"/>
  <c r="AC41" i="16"/>
  <c r="AC44" i="16"/>
  <c r="AC46" i="16"/>
  <c r="K39" i="16"/>
  <c r="K43" i="16" s="1"/>
  <c r="K37" i="16"/>
  <c r="K49" i="16" s="1"/>
  <c r="K91" i="16"/>
  <c r="K40" i="16"/>
  <c r="K52" i="16" s="1"/>
  <c r="K93" i="16"/>
  <c r="K38" i="16"/>
  <c r="K50" i="16" s="1"/>
  <c r="K92" i="16"/>
  <c r="BE39" i="16"/>
  <c r="BE37" i="16"/>
  <c r="BE91" i="16"/>
  <c r="BE38" i="16"/>
  <c r="BE93" i="16"/>
  <c r="BE40" i="16"/>
  <c r="BE92" i="16"/>
  <c r="BE50" i="16"/>
  <c r="BE42" i="16"/>
  <c r="BE44" i="16"/>
  <c r="BE47" i="16"/>
  <c r="BE46" i="16"/>
  <c r="BE48" i="16"/>
  <c r="BE45" i="16"/>
  <c r="BE41" i="16"/>
  <c r="BE43" i="16"/>
  <c r="BE52" i="16"/>
  <c r="BE51" i="16"/>
  <c r="BE49" i="16"/>
  <c r="AZ38" i="16"/>
  <c r="AZ39" i="16"/>
  <c r="AZ93" i="16"/>
  <c r="AZ37" i="16"/>
  <c r="AZ40" i="16"/>
  <c r="AZ92" i="16"/>
  <c r="AZ91" i="16"/>
  <c r="AZ47" i="16"/>
  <c r="AZ52" i="16"/>
  <c r="AZ43" i="16"/>
  <c r="AZ45" i="16"/>
  <c r="AZ50" i="16"/>
  <c r="AZ49" i="16"/>
  <c r="AZ44" i="16"/>
  <c r="AZ41" i="16"/>
  <c r="AZ51" i="16"/>
  <c r="AZ46" i="16"/>
  <c r="AZ42" i="16"/>
  <c r="AZ48" i="16"/>
  <c r="BR37" i="16"/>
  <c r="BR49" i="16" s="1"/>
  <c r="BR38" i="16"/>
  <c r="BR46" i="16" s="1"/>
  <c r="BR39" i="16"/>
  <c r="BR43" i="16" s="1"/>
  <c r="BR40" i="16"/>
  <c r="BR44" i="16" s="1"/>
  <c r="CJ37" i="16"/>
  <c r="CJ40" i="16"/>
  <c r="CJ38" i="16"/>
  <c r="CJ39" i="16"/>
  <c r="CJ45" i="16"/>
  <c r="CJ42" i="16"/>
  <c r="CJ44" i="16"/>
  <c r="CJ50" i="16"/>
  <c r="CJ41" i="16"/>
  <c r="CJ43" i="16"/>
  <c r="CJ46" i="16"/>
  <c r="CJ48" i="16"/>
  <c r="CJ49" i="16"/>
  <c r="CJ52" i="16"/>
  <c r="CJ47" i="16"/>
  <c r="CJ51" i="16"/>
  <c r="DS38" i="16"/>
  <c r="DS39" i="16"/>
  <c r="DS37" i="16"/>
  <c r="DS40" i="16"/>
  <c r="DS45" i="16"/>
  <c r="DS47" i="16"/>
  <c r="DS51" i="16"/>
  <c r="DS44" i="16"/>
  <c r="DS50" i="16"/>
  <c r="DS52" i="16"/>
  <c r="DS41" i="16"/>
  <c r="DS49" i="16"/>
  <c r="DS46" i="16"/>
  <c r="DS48" i="16"/>
  <c r="DS43" i="16"/>
  <c r="DS42" i="16"/>
  <c r="AF38" i="16"/>
  <c r="AF40" i="16"/>
  <c r="AF93" i="16"/>
  <c r="AF92" i="16"/>
  <c r="AF91" i="16"/>
  <c r="AF37" i="16"/>
  <c r="AF39" i="16"/>
  <c r="AF49" i="16"/>
  <c r="AF46" i="16"/>
  <c r="AF44" i="16"/>
  <c r="AF51" i="16"/>
  <c r="AF43" i="16"/>
  <c r="AF50" i="16"/>
  <c r="AF41" i="16"/>
  <c r="AF45" i="16"/>
  <c r="AF52" i="16"/>
  <c r="AF48" i="16"/>
  <c r="AF47" i="16"/>
  <c r="AF42" i="16"/>
  <c r="CT39" i="16"/>
  <c r="CT37" i="16"/>
  <c r="CT40" i="16"/>
  <c r="CT38" i="16"/>
  <c r="CT41" i="16"/>
  <c r="CT46" i="16"/>
  <c r="CT45" i="16"/>
  <c r="CT47" i="16"/>
  <c r="CT52" i="16"/>
  <c r="CT49" i="16"/>
  <c r="CT48" i="16"/>
  <c r="CT50" i="16"/>
  <c r="CT44" i="16"/>
  <c r="CT51" i="16"/>
  <c r="CT43" i="16"/>
  <c r="CT42" i="16"/>
  <c r="AY39" i="16"/>
  <c r="AY37" i="16"/>
  <c r="AY92" i="16"/>
  <c r="AY91" i="16"/>
  <c r="AY93" i="16"/>
  <c r="AY40" i="16"/>
  <c r="AY38" i="16"/>
  <c r="AY52" i="16"/>
  <c r="AY45" i="16"/>
  <c r="AY49" i="16"/>
  <c r="AY42" i="16"/>
  <c r="AY50" i="16"/>
  <c r="AY44" i="16"/>
  <c r="AY47" i="16"/>
  <c r="AY41" i="16"/>
  <c r="AY46" i="16"/>
  <c r="AY48" i="16"/>
  <c r="AY43" i="16"/>
  <c r="AY51" i="16"/>
  <c r="BH38" i="16"/>
  <c r="BH92" i="16"/>
  <c r="BH40" i="16"/>
  <c r="BH91" i="16"/>
  <c r="BH37" i="16"/>
  <c r="BH39" i="16"/>
  <c r="BH93" i="16"/>
  <c r="BH43" i="16"/>
  <c r="BH48" i="16"/>
  <c r="BH42" i="16"/>
  <c r="BH45" i="16"/>
  <c r="BH49" i="16"/>
  <c r="BH50" i="16"/>
  <c r="BH46" i="16"/>
  <c r="BH44" i="16"/>
  <c r="BH47" i="16"/>
  <c r="BH51" i="16"/>
  <c r="BH52" i="16"/>
  <c r="BH41" i="16"/>
  <c r="Q19" i="22"/>
  <c r="R19" i="22"/>
  <c r="O20" i="22"/>
  <c r="P20" i="22" s="1"/>
  <c r="L8" i="37" l="1"/>
  <c r="C55" i="16"/>
  <c r="F107" i="17"/>
  <c r="E110" i="17"/>
  <c r="G114" i="17"/>
  <c r="G115" i="17"/>
  <c r="G117" i="17" s="1"/>
  <c r="BM53" i="16"/>
  <c r="I47" i="16"/>
  <c r="I55" i="16" s="1"/>
  <c r="BP42" i="16"/>
  <c r="BP58" i="16" s="1"/>
  <c r="I51" i="16"/>
  <c r="I59" i="16" s="1"/>
  <c r="D46" i="16"/>
  <c r="D54" i="16" s="1"/>
  <c r="D50" i="16"/>
  <c r="D58" i="16" s="1"/>
  <c r="BU43" i="16"/>
  <c r="BU59" i="16" s="1"/>
  <c r="BU47" i="16"/>
  <c r="BP43" i="16"/>
  <c r="BP55" i="16" s="1"/>
  <c r="D44" i="16"/>
  <c r="D56" i="16" s="1"/>
  <c r="BO45" i="16"/>
  <c r="BO53" i="16" s="1"/>
  <c r="BO49" i="16"/>
  <c r="BO57" i="16" s="1"/>
  <c r="E45" i="16"/>
  <c r="E41" i="16"/>
  <c r="M51" i="16"/>
  <c r="BO43" i="16"/>
  <c r="BO55" i="16" s="1"/>
  <c r="F43" i="16"/>
  <c r="F55" i="16" s="1"/>
  <c r="BS49" i="16"/>
  <c r="BS57" i="16" s="1"/>
  <c r="J43" i="16"/>
  <c r="J55" i="16" s="1"/>
  <c r="J51" i="16"/>
  <c r="BO42" i="16"/>
  <c r="BO58" i="16" s="1"/>
  <c r="D49" i="16"/>
  <c r="BU44" i="16"/>
  <c r="BU56" i="16" s="1"/>
  <c r="BU52" i="16"/>
  <c r="E48" i="16"/>
  <c r="E56" i="16" s="1"/>
  <c r="D41" i="16"/>
  <c r="D53" i="16" s="1"/>
  <c r="D52" i="16"/>
  <c r="H46" i="16"/>
  <c r="BU45" i="16"/>
  <c r="BP49" i="16"/>
  <c r="BU41" i="16"/>
  <c r="BU57" i="16" s="1"/>
  <c r="I48" i="16"/>
  <c r="I56" i="16" s="1"/>
  <c r="E47" i="16"/>
  <c r="E55" i="16" s="1"/>
  <c r="BS46" i="16"/>
  <c r="I52" i="16"/>
  <c r="I60" i="16" s="1"/>
  <c r="J45" i="16"/>
  <c r="J52" i="16"/>
  <c r="G48" i="16"/>
  <c r="G56" i="16" s="1"/>
  <c r="BN43" i="16"/>
  <c r="BN55" i="16" s="1"/>
  <c r="BU46" i="16"/>
  <c r="BU54" i="16" s="1"/>
  <c r="BP44" i="16"/>
  <c r="BP56" i="16" s="1"/>
  <c r="E52" i="16"/>
  <c r="E60" i="16" s="1"/>
  <c r="BN41" i="16"/>
  <c r="BN53" i="16" s="1"/>
  <c r="BP41" i="16"/>
  <c r="BP53" i="16" s="1"/>
  <c r="BP52" i="16"/>
  <c r="BN49" i="16"/>
  <c r="BU50" i="16"/>
  <c r="BU58" i="16" s="1"/>
  <c r="BV46" i="16"/>
  <c r="J44" i="16"/>
  <c r="BW51" i="16"/>
  <c r="BS47" i="16"/>
  <c r="BW41" i="16"/>
  <c r="BW53" i="16" s="1"/>
  <c r="BO51" i="16"/>
  <c r="BS43" i="16"/>
  <c r="BS59" i="16" s="1"/>
  <c r="M42" i="16"/>
  <c r="K42" i="16"/>
  <c r="K58" i="16" s="1"/>
  <c r="BT42" i="16"/>
  <c r="BT58" i="16" s="1"/>
  <c r="BN44" i="16"/>
  <c r="BN56" i="16" s="1"/>
  <c r="G52" i="16"/>
  <c r="G60" i="16" s="1"/>
  <c r="BN52" i="16"/>
  <c r="BN50" i="16"/>
  <c r="BS52" i="16"/>
  <c r="BN42" i="16"/>
  <c r="D47" i="16"/>
  <c r="D55" i="16" s="1"/>
  <c r="BP46" i="16"/>
  <c r="F52" i="16"/>
  <c r="BS44" i="16"/>
  <c r="BS56" i="16" s="1"/>
  <c r="BV42" i="16"/>
  <c r="BV58" i="16" s="1"/>
  <c r="BS42" i="16"/>
  <c r="BS58" i="16" s="1"/>
  <c r="D51" i="16"/>
  <c r="D59" i="16" s="1"/>
  <c r="BP51" i="16"/>
  <c r="BT46" i="16"/>
  <c r="H41" i="16"/>
  <c r="H57" i="16" s="1"/>
  <c r="BQ45" i="16"/>
  <c r="BQ53" i="16" s="1"/>
  <c r="L43" i="16"/>
  <c r="L59" i="16" s="1"/>
  <c r="BQ43" i="16"/>
  <c r="BQ55" i="16" s="1"/>
  <c r="H45" i="16"/>
  <c r="F44" i="16"/>
  <c r="F56" i="16" s="1"/>
  <c r="M43" i="16"/>
  <c r="BV45" i="16"/>
  <c r="BV53" i="16" s="1"/>
  <c r="G46" i="16"/>
  <c r="G54" i="16" s="1"/>
  <c r="BO48" i="16"/>
  <c r="BS45" i="16"/>
  <c r="BS53" i="16" s="1"/>
  <c r="K47" i="16"/>
  <c r="K55" i="16" s="1"/>
  <c r="BV44" i="16"/>
  <c r="BV56" i="16" s="1"/>
  <c r="BW42" i="16"/>
  <c r="BW54" i="16" s="1"/>
  <c r="H43" i="16"/>
  <c r="BV49" i="16"/>
  <c r="BV57" i="16" s="1"/>
  <c r="BW49" i="16"/>
  <c r="F51" i="16"/>
  <c r="L49" i="16"/>
  <c r="L57" i="16" s="1"/>
  <c r="BQ52" i="16"/>
  <c r="BQ60" i="16" s="1"/>
  <c r="BO44" i="16"/>
  <c r="BO60" i="16" s="1"/>
  <c r="BR48" i="16"/>
  <c r="BR56" i="16" s="1"/>
  <c r="K41" i="16"/>
  <c r="K57" i="16" s="1"/>
  <c r="L48" i="16"/>
  <c r="J41" i="16"/>
  <c r="G50" i="16"/>
  <c r="G58" i="16" s="1"/>
  <c r="BW50" i="16"/>
  <c r="BR52" i="16"/>
  <c r="BR60" i="16" s="1"/>
  <c r="H44" i="16"/>
  <c r="H56" i="16" s="1"/>
  <c r="BQ46" i="16"/>
  <c r="BQ42" i="16"/>
  <c r="BQ58" i="16" s="1"/>
  <c r="BN51" i="16"/>
  <c r="K44" i="16"/>
  <c r="K60" i="16" s="1"/>
  <c r="BV51" i="16"/>
  <c r="L44" i="16"/>
  <c r="L60" i="16" s="1"/>
  <c r="BQ48" i="16"/>
  <c r="BQ56" i="16" s="1"/>
  <c r="G47" i="16"/>
  <c r="G55" i="16" s="1"/>
  <c r="I49" i="16"/>
  <c r="BR45" i="16"/>
  <c r="K48" i="16"/>
  <c r="H52" i="16"/>
  <c r="M52" i="16"/>
  <c r="M60" i="16" s="1"/>
  <c r="I50" i="16"/>
  <c r="I58" i="16" s="1"/>
  <c r="BT49" i="16"/>
  <c r="M49" i="16"/>
  <c r="M57" i="16" s="1"/>
  <c r="G51" i="16"/>
  <c r="G59" i="16" s="1"/>
  <c r="I41" i="16"/>
  <c r="K46" i="16"/>
  <c r="H51" i="16"/>
  <c r="K51" i="16"/>
  <c r="K59" i="16" s="1"/>
  <c r="F45" i="16"/>
  <c r="H42" i="16"/>
  <c r="H58" i="16" s="1"/>
  <c r="BT52" i="16"/>
  <c r="BT60" i="16" s="1"/>
  <c r="M50" i="16"/>
  <c r="BV43" i="16"/>
  <c r="BV55" i="16" s="1"/>
  <c r="BO46" i="16"/>
  <c r="L42" i="16"/>
  <c r="BT48" i="16"/>
  <c r="BT56" i="16" s="1"/>
  <c r="E51" i="16"/>
  <c r="E59" i="16" s="1"/>
  <c r="BW44" i="16"/>
  <c r="BW60" i="16" s="1"/>
  <c r="BR50" i="16"/>
  <c r="BR42" i="16"/>
  <c r="BR54" i="16" s="1"/>
  <c r="K45" i="16"/>
  <c r="F41" i="16"/>
  <c r="F57" i="16" s="1"/>
  <c r="L47" i="16"/>
  <c r="L45" i="16"/>
  <c r="L53" i="16" s="1"/>
  <c r="M45" i="16"/>
  <c r="M53" i="16" s="1"/>
  <c r="BV52" i="16"/>
  <c r="BW43" i="16"/>
  <c r="BW55" i="16" s="1"/>
  <c r="E42" i="16"/>
  <c r="E58" i="16" s="1"/>
  <c r="E46" i="16"/>
  <c r="I46" i="16"/>
  <c r="I54" i="16" s="1"/>
  <c r="BR51" i="16"/>
  <c r="BR59" i="16" s="1"/>
  <c r="F42" i="16"/>
  <c r="F54" i="16" s="1"/>
  <c r="BT47" i="16"/>
  <c r="BT55" i="16" s="1"/>
  <c r="BT41" i="16"/>
  <c r="BT53" i="16" s="1"/>
  <c r="BR47" i="16"/>
  <c r="BR55" i="16" s="1"/>
  <c r="F50" i="16"/>
  <c r="L50" i="16"/>
  <c r="J46" i="16"/>
  <c r="BR41" i="16"/>
  <c r="BT51" i="16"/>
  <c r="BT59" i="16" s="1"/>
  <c r="BQ51" i="16"/>
  <c r="BQ49" i="16"/>
  <c r="BQ57" i="16" s="1"/>
  <c r="M48" i="16"/>
  <c r="M56" i="16" s="1"/>
  <c r="G45" i="16"/>
  <c r="J42" i="16"/>
  <c r="J58" i="16" s="1"/>
  <c r="G41" i="16"/>
  <c r="G57" i="16" s="1"/>
  <c r="BW48" i="16"/>
  <c r="AR45" i="36"/>
  <c r="CF57" i="16"/>
  <c r="BA58" i="16"/>
  <c r="DE53" i="16"/>
  <c r="CD60" i="16"/>
  <c r="BI59" i="16"/>
  <c r="AT54" i="16"/>
  <c r="AV57" i="16"/>
  <c r="AN57" i="16"/>
  <c r="DF56" i="16"/>
  <c r="DD54" i="16"/>
  <c r="CD55" i="16"/>
  <c r="AK53" i="16"/>
  <c r="DC54" i="16"/>
  <c r="DE54" i="16"/>
  <c r="BJ58" i="16"/>
  <c r="CX58" i="16"/>
  <c r="DC58" i="16"/>
  <c r="Z56" i="16"/>
  <c r="BH55" i="16"/>
  <c r="BH58" i="16"/>
  <c r="U57" i="16"/>
  <c r="V56" i="16"/>
  <c r="DT59" i="16"/>
  <c r="AJ56" i="16"/>
  <c r="AQ56" i="16"/>
  <c r="AF59" i="16"/>
  <c r="BE60" i="16"/>
  <c r="DR53" i="16"/>
  <c r="X58" i="16"/>
  <c r="X55" i="16"/>
  <c r="AS55" i="16"/>
  <c r="DK56" i="16"/>
  <c r="BB57" i="16"/>
  <c r="BG60" i="16"/>
  <c r="CA58" i="16"/>
  <c r="CS54" i="16"/>
  <c r="DL60" i="16"/>
  <c r="AD54" i="16"/>
  <c r="CC53" i="16"/>
  <c r="BJ59" i="16"/>
  <c r="P60" i="16"/>
  <c r="CX60" i="16"/>
  <c r="DG60" i="16"/>
  <c r="AV58" i="16"/>
  <c r="DT55" i="16"/>
  <c r="BI58" i="16"/>
  <c r="BY56" i="16"/>
  <c r="BY54" i="16"/>
  <c r="AY60" i="16"/>
  <c r="T58" i="16"/>
  <c r="N54" i="16"/>
  <c r="CA54" i="16"/>
  <c r="AD56" i="16"/>
  <c r="AD60" i="16"/>
  <c r="AK60" i="16"/>
  <c r="CY53" i="16"/>
  <c r="BC58" i="16"/>
  <c r="BX57" i="16"/>
  <c r="DI55" i="16"/>
  <c r="AJ60" i="16"/>
  <c r="AR57" i="16"/>
  <c r="BJ55" i="16"/>
  <c r="P56" i="16"/>
  <c r="R56" i="16"/>
  <c r="DI59" i="16"/>
  <c r="CF55" i="16"/>
  <c r="DI54" i="16"/>
  <c r="AW56" i="16"/>
  <c r="AW60" i="16"/>
  <c r="CE59" i="16"/>
  <c r="AA56" i="16"/>
  <c r="DP53" i="16"/>
  <c r="CF58" i="16"/>
  <c r="AR59" i="16"/>
  <c r="BJ54" i="16"/>
  <c r="AN53" i="16"/>
  <c r="BY58" i="16"/>
  <c r="DQ54" i="16"/>
  <c r="AT58" i="16"/>
  <c r="AR53" i="16"/>
  <c r="DJ56" i="16"/>
  <c r="CM60" i="16"/>
  <c r="BY60" i="16"/>
  <c r="AB56" i="16"/>
  <c r="AQ60" i="16"/>
  <c r="AV54" i="16"/>
  <c r="V53" i="16"/>
  <c r="CG54" i="16"/>
  <c r="AT60" i="16"/>
  <c r="BJ60" i="16"/>
  <c r="DD57" i="16"/>
  <c r="AT56" i="16"/>
  <c r="BJ56" i="16"/>
  <c r="AQ58" i="16"/>
  <c r="AV56" i="16"/>
  <c r="DT60" i="16"/>
  <c r="DJ60" i="16"/>
  <c r="CM56" i="16"/>
  <c r="CW59" i="16"/>
  <c r="CK60" i="16"/>
  <c r="BC55" i="16"/>
  <c r="AI59" i="16"/>
  <c r="DJ57" i="16"/>
  <c r="AF55" i="16"/>
  <c r="AZ57" i="16"/>
  <c r="DH59" i="16"/>
  <c r="CL58" i="16"/>
  <c r="AB58" i="16"/>
  <c r="DH55" i="16"/>
  <c r="DC53" i="16"/>
  <c r="X59" i="16"/>
  <c r="CJ60" i="16"/>
  <c r="AH54" i="16"/>
  <c r="DF59" i="16"/>
  <c r="AQ54" i="16"/>
  <c r="DD53" i="16"/>
  <c r="DD56" i="16"/>
  <c r="CX54" i="16"/>
  <c r="DG56" i="16"/>
  <c r="Y54" i="16"/>
  <c r="DT56" i="16"/>
  <c r="DJ54" i="16"/>
  <c r="DO60" i="16"/>
  <c r="BY57" i="16"/>
  <c r="DC60" i="16"/>
  <c r="DT53" i="16"/>
  <c r="DJ58" i="16"/>
  <c r="CA60" i="16"/>
  <c r="AK59" i="16"/>
  <c r="AK58" i="16"/>
  <c r="CK55" i="16"/>
  <c r="Q57" i="16"/>
  <c r="Y58" i="16"/>
  <c r="DT57" i="16"/>
  <c r="CP58" i="16"/>
  <c r="CM58" i="16"/>
  <c r="BY55" i="16"/>
  <c r="T60" i="16"/>
  <c r="DB59" i="16"/>
  <c r="S55" i="16"/>
  <c r="AY54" i="16"/>
  <c r="CT55" i="16"/>
  <c r="CJ54" i="16"/>
  <c r="CH54" i="16"/>
  <c r="Z59" i="16"/>
  <c r="AL53" i="16"/>
  <c r="DE57" i="16"/>
  <c r="CZ60" i="16"/>
  <c r="AX60" i="16"/>
  <c r="AS58" i="16"/>
  <c r="CV57" i="16"/>
  <c r="AU56" i="16"/>
  <c r="BG59" i="16"/>
  <c r="AK54" i="16"/>
  <c r="CW56" i="16"/>
  <c r="CY55" i="16"/>
  <c r="BC53" i="16"/>
  <c r="Q60" i="16"/>
  <c r="AI54" i="16"/>
  <c r="V57" i="16"/>
  <c r="DB55" i="16"/>
  <c r="CN58" i="16"/>
  <c r="S58" i="16"/>
  <c r="CU55" i="16"/>
  <c r="AM57" i="16"/>
  <c r="AM55" i="16"/>
  <c r="AA55" i="16"/>
  <c r="BZ58" i="16"/>
  <c r="DA60" i="16"/>
  <c r="AT57" i="16"/>
  <c r="CB60" i="16"/>
  <c r="AQ55" i="16"/>
  <c r="AE59" i="16"/>
  <c r="AE58" i="16"/>
  <c r="R59" i="16"/>
  <c r="Y55" i="16"/>
  <c r="AV60" i="16"/>
  <c r="DI58" i="16"/>
  <c r="DJ53" i="16"/>
  <c r="DO54" i="16"/>
  <c r="AX56" i="16"/>
  <c r="BB56" i="16"/>
  <c r="CR57" i="16"/>
  <c r="BC57" i="16"/>
  <c r="AA59" i="16"/>
  <c r="CM54" i="16"/>
  <c r="BY59" i="16"/>
  <c r="DS55" i="16"/>
  <c r="CZ56" i="16"/>
  <c r="DM60" i="16"/>
  <c r="U55" i="16"/>
  <c r="CK59" i="16"/>
  <c r="DD60" i="16"/>
  <c r="CP54" i="16"/>
  <c r="AZ54" i="16"/>
  <c r="AX53" i="16"/>
  <c r="AL54" i="16"/>
  <c r="CA57" i="16"/>
  <c r="U59" i="16"/>
  <c r="AT53" i="16"/>
  <c r="AQ59" i="16"/>
  <c r="W53" i="16"/>
  <c r="CT53" i="16"/>
  <c r="DS60" i="16"/>
  <c r="AX54" i="16"/>
  <c r="AS56" i="16"/>
  <c r="U53" i="16"/>
  <c r="CW54" i="16"/>
  <c r="Q58" i="16"/>
  <c r="CE57" i="16"/>
  <c r="BZ60" i="16"/>
  <c r="DP58" i="16"/>
  <c r="AW54" i="16"/>
  <c r="DS58" i="16"/>
  <c r="AX59" i="16"/>
  <c r="AX58" i="16"/>
  <c r="DK54" i="16"/>
  <c r="CV56" i="16"/>
  <c r="AI53" i="16"/>
  <c r="BI53" i="16"/>
  <c r="DO56" i="16"/>
  <c r="AS60" i="16"/>
  <c r="CV54" i="16"/>
  <c r="AU59" i="16"/>
  <c r="CW58" i="16"/>
  <c r="CE54" i="16"/>
  <c r="AA54" i="16"/>
  <c r="P58" i="16"/>
  <c r="P54" i="16"/>
  <c r="AN60" i="16"/>
  <c r="CT56" i="16"/>
  <c r="CH57" i="16"/>
  <c r="CH60" i="16"/>
  <c r="X57" i="16"/>
  <c r="AS54" i="16"/>
  <c r="AU55" i="16"/>
  <c r="AD53" i="16"/>
  <c r="AA58" i="16"/>
  <c r="BZ56" i="16"/>
  <c r="AR56" i="16"/>
  <c r="AE55" i="16"/>
  <c r="AJ58" i="16"/>
  <c r="CP56" i="16"/>
  <c r="BI57" i="16"/>
  <c r="AW58" i="16"/>
  <c r="DJ59" i="16"/>
  <c r="CT57" i="16"/>
  <c r="DS54" i="16"/>
  <c r="CH53" i="16"/>
  <c r="Z60" i="16"/>
  <c r="Q54" i="16"/>
  <c r="DB53" i="16"/>
  <c r="CF53" i="16"/>
  <c r="AE56" i="16"/>
  <c r="DO57" i="16"/>
  <c r="DS56" i="16"/>
  <c r="BH54" i="16"/>
  <c r="AY56" i="16"/>
  <c r="DE58" i="16"/>
  <c r="AX55" i="16"/>
  <c r="CV58" i="16"/>
  <c r="DM53" i="16"/>
  <c r="CA56" i="16"/>
  <c r="AD57" i="16"/>
  <c r="CE53" i="16"/>
  <c r="DB57" i="16"/>
  <c r="CN54" i="16"/>
  <c r="DA58" i="16"/>
  <c r="CP60" i="16"/>
  <c r="BG57" i="16"/>
  <c r="U56" i="16"/>
  <c r="CD54" i="16"/>
  <c r="CC54" i="16"/>
  <c r="CY58" i="16"/>
  <c r="CY54" i="16"/>
  <c r="BC60" i="16"/>
  <c r="AI58" i="16"/>
  <c r="S60" i="16"/>
  <c r="AM54" i="16"/>
  <c r="AM53" i="16"/>
  <c r="BZ57" i="16"/>
  <c r="CG56" i="16"/>
  <c r="CO60" i="16"/>
  <c r="CB55" i="16"/>
  <c r="CI57" i="16"/>
  <c r="CI60" i="16"/>
  <c r="DI60" i="16"/>
  <c r="BI55" i="16"/>
  <c r="CQ53" i="16"/>
  <c r="DR58" i="16"/>
  <c r="T55" i="16"/>
  <c r="CA59" i="16"/>
  <c r="CS59" i="16"/>
  <c r="CY56" i="16"/>
  <c r="CO54" i="16"/>
  <c r="CB59" i="16"/>
  <c r="CI53" i="16"/>
  <c r="BF59" i="16"/>
  <c r="CX53" i="16"/>
  <c r="CP55" i="16"/>
  <c r="AN59" i="16"/>
  <c r="AW53" i="16"/>
  <c r="CQ59" i="16"/>
  <c r="DQ53" i="16"/>
  <c r="AC53" i="16"/>
  <c r="DR54" i="16"/>
  <c r="X60" i="16"/>
  <c r="BB55" i="16"/>
  <c r="AB55" i="16"/>
  <c r="CS55" i="16"/>
  <c r="CK56" i="16"/>
  <c r="AI55" i="16"/>
  <c r="V60" i="16"/>
  <c r="CN57" i="16"/>
  <c r="AM59" i="16"/>
  <c r="DF55" i="16"/>
  <c r="P59" i="16"/>
  <c r="AN56" i="16"/>
  <c r="AY55" i="16"/>
  <c r="CT59" i="16"/>
  <c r="AF56" i="16"/>
  <c r="AZ58" i="16"/>
  <c r="AG57" i="16"/>
  <c r="AG60" i="16"/>
  <c r="DH60" i="16"/>
  <c r="CH56" i="16"/>
  <c r="DC59" i="16"/>
  <c r="BA53" i="16"/>
  <c r="X54" i="16"/>
  <c r="AB59" i="16"/>
  <c r="BG56" i="16"/>
  <c r="AP56" i="16"/>
  <c r="AP60" i="16"/>
  <c r="CS60" i="16"/>
  <c r="CD58" i="16"/>
  <c r="DL55" i="16"/>
  <c r="CW60" i="16"/>
  <c r="CW53" i="16"/>
  <c r="CR59" i="16"/>
  <c r="CY59" i="16"/>
  <c r="CK57" i="16"/>
  <c r="BC56" i="16"/>
  <c r="BX55" i="16"/>
  <c r="DB56" i="16"/>
  <c r="CN55" i="16"/>
  <c r="S59" i="16"/>
  <c r="AM58" i="16"/>
  <c r="AO59" i="16"/>
  <c r="DP54" i="16"/>
  <c r="BH60" i="16"/>
  <c r="AG56" i="16"/>
  <c r="X56" i="16"/>
  <c r="BG54" i="16"/>
  <c r="CS56" i="16"/>
  <c r="AD55" i="16"/>
  <c r="BH56" i="16"/>
  <c r="BE56" i="16"/>
  <c r="AC54" i="16"/>
  <c r="DH56" i="16"/>
  <c r="DL57" i="16"/>
  <c r="AD59" i="16"/>
  <c r="CY60" i="16"/>
  <c r="V59" i="16"/>
  <c r="DB60" i="16"/>
  <c r="CN53" i="16"/>
  <c r="S56" i="16"/>
  <c r="CO56" i="16"/>
  <c r="AJ53" i="16"/>
  <c r="AY59" i="16"/>
  <c r="BE54" i="16"/>
  <c r="DH54" i="16"/>
  <c r="BG53" i="16"/>
  <c r="BG58" i="16"/>
  <c r="AK57" i="16"/>
  <c r="CN59" i="16"/>
  <c r="DA57" i="16"/>
  <c r="CG59" i="16"/>
  <c r="CF56" i="16"/>
  <c r="CO58" i="16"/>
  <c r="CB53" i="16"/>
  <c r="DF58" i="16"/>
  <c r="BF53" i="16"/>
  <c r="BF55" i="16"/>
  <c r="CP57" i="16"/>
  <c r="DO58" i="16"/>
  <c r="DQ58" i="16"/>
  <c r="AZ60" i="16"/>
  <c r="AC55" i="16"/>
  <c r="AG58" i="16"/>
  <c r="CL53" i="16"/>
  <c r="AL60" i="16"/>
  <c r="CZ58" i="16"/>
  <c r="DK55" i="16"/>
  <c r="T54" i="16"/>
  <c r="AB60" i="16"/>
  <c r="CV59" i="16"/>
  <c r="AU60" i="16"/>
  <c r="DM58" i="16"/>
  <c r="N53" i="16"/>
  <c r="CS58" i="16"/>
  <c r="U58" i="16"/>
  <c r="CC60" i="16"/>
  <c r="AK56" i="16"/>
  <c r="CW57" i="16"/>
  <c r="CR54" i="16"/>
  <c r="CK53" i="16"/>
  <c r="BX59" i="16"/>
  <c r="Q56" i="16"/>
  <c r="CU60" i="16"/>
  <c r="CI55" i="16"/>
  <c r="W57" i="16"/>
  <c r="DD55" i="16"/>
  <c r="DG58" i="16"/>
  <c r="DO59" i="16"/>
  <c r="CM55" i="16"/>
  <c r="AY57" i="16"/>
  <c r="AF58" i="16"/>
  <c r="DS53" i="16"/>
  <c r="CJ57" i="16"/>
  <c r="CJ53" i="16"/>
  <c r="AZ59" i="16"/>
  <c r="AZ55" i="16"/>
  <c r="BE57" i="16"/>
  <c r="BE55" i="16"/>
  <c r="AC57" i="16"/>
  <c r="O55" i="16"/>
  <c r="O54" i="16"/>
  <c r="DH58" i="16"/>
  <c r="CH55" i="16"/>
  <c r="DC56" i="16"/>
  <c r="DC57" i="16"/>
  <c r="BA57" i="16"/>
  <c r="BA59" i="16"/>
  <c r="Z54" i="16"/>
  <c r="CL55" i="16"/>
  <c r="CL54" i="16"/>
  <c r="AL56" i="16"/>
  <c r="AL57" i="16"/>
  <c r="DE60" i="16"/>
  <c r="CZ53" i="16"/>
  <c r="AX57" i="16"/>
  <c r="X53" i="16"/>
  <c r="AS57" i="16"/>
  <c r="DK60" i="16"/>
  <c r="DK53" i="16"/>
  <c r="T57" i="16"/>
  <c r="BB60" i="16"/>
  <c r="BB58" i="16"/>
  <c r="CV60" i="16"/>
  <c r="AU53" i="16"/>
  <c r="DM56" i="16"/>
  <c r="DM59" i="16"/>
  <c r="N60" i="16"/>
  <c r="N59" i="16"/>
  <c r="CA53" i="16"/>
  <c r="U60" i="16"/>
  <c r="CD53" i="16"/>
  <c r="DL54" i="16"/>
  <c r="CC57" i="16"/>
  <c r="CC59" i="16"/>
  <c r="CW55" i="16"/>
  <c r="CR55" i="16"/>
  <c r="CK58" i="16"/>
  <c r="BC59" i="16"/>
  <c r="BX53" i="16"/>
  <c r="Q53" i="16"/>
  <c r="AI56" i="16"/>
  <c r="AI57" i="16"/>
  <c r="CE55" i="16"/>
  <c r="S54" i="16"/>
  <c r="CU59" i="16"/>
  <c r="AH60" i="16"/>
  <c r="AO56" i="16"/>
  <c r="AA53" i="16"/>
  <c r="AA60" i="16"/>
  <c r="BZ53" i="16"/>
  <c r="DP60" i="16"/>
  <c r="CI59" i="16"/>
  <c r="BJ57" i="16"/>
  <c r="BJ53" i="16"/>
  <c r="W56" i="16"/>
  <c r="AE60" i="16"/>
  <c r="R60" i="16"/>
  <c r="Y56" i="16"/>
  <c r="DT58" i="16"/>
  <c r="DI56" i="16"/>
  <c r="CM53" i="16"/>
  <c r="CQ54" i="16"/>
  <c r="AY53" i="16"/>
  <c r="CT60" i="16"/>
  <c r="DS57" i="16"/>
  <c r="CJ56" i="16"/>
  <c r="BE59" i="16"/>
  <c r="AC56" i="16"/>
  <c r="AG55" i="16"/>
  <c r="O53" i="16"/>
  <c r="O57" i="16"/>
  <c r="DR59" i="16"/>
  <c r="CH58" i="16"/>
  <c r="BA56" i="16"/>
  <c r="Z55" i="16"/>
  <c r="Z53" i="16"/>
  <c r="CL59" i="16"/>
  <c r="AL55" i="16"/>
  <c r="AL59" i="16"/>
  <c r="CZ59" i="16"/>
  <c r="T56" i="16"/>
  <c r="BB54" i="16"/>
  <c r="AU54" i="16"/>
  <c r="AP53" i="16"/>
  <c r="CS53" i="16"/>
  <c r="U54" i="16"/>
  <c r="CR53" i="16"/>
  <c r="BX54" i="16"/>
  <c r="DB54" i="16"/>
  <c r="CN60" i="16"/>
  <c r="S57" i="16"/>
  <c r="CU56" i="16"/>
  <c r="AH55" i="16"/>
  <c r="AH59" i="16"/>
  <c r="BZ59" i="16"/>
  <c r="DP57" i="16"/>
  <c r="DA55" i="16"/>
  <c r="CG53" i="16"/>
  <c r="CO53" i="16"/>
  <c r="DF53" i="16"/>
  <c r="DF54" i="16"/>
  <c r="BF54" i="16"/>
  <c r="BF58" i="16"/>
  <c r="W54" i="16"/>
  <c r="DD59" i="16"/>
  <c r="DG54" i="16"/>
  <c r="AE53" i="16"/>
  <c r="AW59" i="16"/>
  <c r="DO55" i="16"/>
  <c r="CQ55" i="16"/>
  <c r="DQ56" i="16"/>
  <c r="O56" i="16"/>
  <c r="CR58" i="16"/>
  <c r="AH57" i="16"/>
  <c r="DP55" i="16"/>
  <c r="CM57" i="16"/>
  <c r="DQ57" i="16"/>
  <c r="BH57" i="16"/>
  <c r="BE58" i="16"/>
  <c r="O60" i="16"/>
  <c r="DR56" i="16"/>
  <c r="Z57" i="16"/>
  <c r="DE55" i="16"/>
  <c r="BB59" i="16"/>
  <c r="CV55" i="16"/>
  <c r="AP57" i="16"/>
  <c r="AP54" i="16"/>
  <c r="DL58" i="16"/>
  <c r="AI60" i="16"/>
  <c r="DB58" i="16"/>
  <c r="CU53" i="16"/>
  <c r="AM60" i="16"/>
  <c r="AH53" i="16"/>
  <c r="AO57" i="16"/>
  <c r="AO60" i="16"/>
  <c r="DP56" i="16"/>
  <c r="DA53" i="16"/>
  <c r="CG58" i="16"/>
  <c r="CF59" i="16"/>
  <c r="AR58" i="16"/>
  <c r="CO57" i="16"/>
  <c r="CB56" i="16"/>
  <c r="CI56" i="16"/>
  <c r="P57" i="16"/>
  <c r="BF56" i="16"/>
  <c r="AQ57" i="16"/>
  <c r="W60" i="16"/>
  <c r="CX55" i="16"/>
  <c r="CX56" i="16"/>
  <c r="DG53" i="16"/>
  <c r="DG55" i="16"/>
  <c r="AE57" i="16"/>
  <c r="R58" i="16"/>
  <c r="R57" i="16"/>
  <c r="AV55" i="16"/>
  <c r="DI57" i="16"/>
  <c r="BI56" i="16"/>
  <c r="AN55" i="16"/>
  <c r="CQ57" i="16"/>
  <c r="DQ55" i="16"/>
  <c r="BH53" i="16"/>
  <c r="CT54" i="16"/>
  <c r="AF54" i="16"/>
  <c r="AC59" i="16"/>
  <c r="CL56" i="16"/>
  <c r="DE56" i="16"/>
  <c r="DE59" i="16"/>
  <c r="CZ54" i="16"/>
  <c r="AS59" i="16"/>
  <c r="CD57" i="16"/>
  <c r="Q55" i="16"/>
  <c r="CE60" i="16"/>
  <c r="V54" i="16"/>
  <c r="CU57" i="16"/>
  <c r="AH56" i="16"/>
  <c r="AO55" i="16"/>
  <c r="BZ54" i="16"/>
  <c r="DA59" i="16"/>
  <c r="DA54" i="16"/>
  <c r="CG57" i="16"/>
  <c r="CG60" i="16"/>
  <c r="AT55" i="16"/>
  <c r="AT59" i="16"/>
  <c r="CF54" i="16"/>
  <c r="AR60" i="16"/>
  <c r="CO55" i="16"/>
  <c r="CB54" i="16"/>
  <c r="CI58" i="16"/>
  <c r="P53" i="16"/>
  <c r="P55" i="16"/>
  <c r="BF57" i="16"/>
  <c r="AQ53" i="16"/>
  <c r="W59" i="16"/>
  <c r="CX57" i="16"/>
  <c r="AE54" i="16"/>
  <c r="R54" i="16"/>
  <c r="R53" i="16"/>
  <c r="Y57" i="16"/>
  <c r="AV59" i="16"/>
  <c r="AJ57" i="16"/>
  <c r="AN58" i="16"/>
  <c r="AN54" i="16"/>
  <c r="AW55" i="16"/>
  <c r="CQ56" i="16"/>
  <c r="AF60" i="16"/>
  <c r="AF57" i="16"/>
  <c r="CJ59" i="16"/>
  <c r="CJ58" i="16"/>
  <c r="AZ56" i="16"/>
  <c r="AZ53" i="16"/>
  <c r="BE53" i="16"/>
  <c r="AC60" i="16"/>
  <c r="AG59" i="16"/>
  <c r="O59" i="16"/>
  <c r="DR55" i="16"/>
  <c r="DR60" i="16"/>
  <c r="DH53" i="16"/>
  <c r="DH57" i="16"/>
  <c r="CH59" i="16"/>
  <c r="BA55" i="16"/>
  <c r="BA60" i="16"/>
  <c r="CL57" i="16"/>
  <c r="AL58" i="16"/>
  <c r="CZ55" i="16"/>
  <c r="CZ57" i="16"/>
  <c r="AS53" i="16"/>
  <c r="DK58" i="16"/>
  <c r="T53" i="16"/>
  <c r="T59" i="16"/>
  <c r="BB53" i="16"/>
  <c r="AB53" i="16"/>
  <c r="AB54" i="16"/>
  <c r="CV53" i="16"/>
  <c r="AU58" i="16"/>
  <c r="AP55" i="16"/>
  <c r="AP59" i="16"/>
  <c r="DM57" i="16"/>
  <c r="N56" i="16"/>
  <c r="N55" i="16"/>
  <c r="CA55" i="16"/>
  <c r="CD56" i="16"/>
  <c r="CD59" i="16"/>
  <c r="DL59" i="16"/>
  <c r="DL53" i="16"/>
  <c r="CC55" i="16"/>
  <c r="AK55" i="16"/>
  <c r="CR60" i="16"/>
  <c r="CY57" i="16"/>
  <c r="CK54" i="16"/>
  <c r="BC54" i="16"/>
  <c r="BX56" i="16"/>
  <c r="BX60" i="16"/>
  <c r="Q59" i="16"/>
  <c r="CE58" i="16"/>
  <c r="V58" i="16"/>
  <c r="V55" i="16"/>
  <c r="CN56" i="16"/>
  <c r="S53" i="16"/>
  <c r="CU58" i="16"/>
  <c r="AM56" i="16"/>
  <c r="AH58" i="16"/>
  <c r="AO54" i="16"/>
  <c r="AO58" i="16"/>
  <c r="AA57" i="16"/>
  <c r="DA56" i="16"/>
  <c r="CG55" i="16"/>
  <c r="CO59" i="16"/>
  <c r="CB57" i="16"/>
  <c r="DF60" i="16"/>
  <c r="W58" i="16"/>
  <c r="DD58" i="16"/>
  <c r="CX59" i="16"/>
  <c r="DG59" i="16"/>
  <c r="Y60" i="16"/>
  <c r="DT54" i="16"/>
  <c r="DI53" i="16"/>
  <c r="AJ54" i="16"/>
  <c r="AJ59" i="16"/>
  <c r="AW57" i="16"/>
  <c r="DJ55" i="16"/>
  <c r="DO53" i="16"/>
  <c r="CM59" i="16"/>
  <c r="CQ60" i="16"/>
  <c r="BY53" i="16"/>
  <c r="DQ59" i="16"/>
  <c r="BH59" i="16"/>
  <c r="AY58" i="16"/>
  <c r="CT58" i="16"/>
  <c r="AF53" i="16"/>
  <c r="DS59" i="16"/>
  <c r="CJ55" i="16"/>
  <c r="AC58" i="16"/>
  <c r="AG54" i="16"/>
  <c r="AG53" i="16"/>
  <c r="O58" i="16"/>
  <c r="DR57" i="16"/>
  <c r="DC55" i="16"/>
  <c r="BA54" i="16"/>
  <c r="Z58" i="16"/>
  <c r="CL60" i="16"/>
  <c r="DK57" i="16"/>
  <c r="DK59" i="16"/>
  <c r="AB57" i="16"/>
  <c r="AU57" i="16"/>
  <c r="BG55" i="16"/>
  <c r="AP58" i="16"/>
  <c r="DM54" i="16"/>
  <c r="DM55" i="16"/>
  <c r="N58" i="16"/>
  <c r="N57" i="16"/>
  <c r="CS57" i="16"/>
  <c r="DL56" i="16"/>
  <c r="AD58" i="16"/>
  <c r="CC56" i="16"/>
  <c r="CC58" i="16"/>
  <c r="CR56" i="16"/>
  <c r="BX58" i="16"/>
  <c r="CE56" i="16"/>
  <c r="CU54" i="16"/>
  <c r="AO53" i="16"/>
  <c r="BZ55" i="16"/>
  <c r="DP59" i="16"/>
  <c r="CF60" i="16"/>
  <c r="AR54" i="16"/>
  <c r="AR55" i="16"/>
  <c r="CB58" i="16"/>
  <c r="CI54" i="16"/>
  <c r="DF57" i="16"/>
  <c r="BF60" i="16"/>
  <c r="W55" i="16"/>
  <c r="DG57" i="16"/>
  <c r="R55" i="16"/>
  <c r="Y59" i="16"/>
  <c r="Y53" i="16"/>
  <c r="AV53" i="16"/>
  <c r="AJ55" i="16"/>
  <c r="CP59" i="16"/>
  <c r="CP53" i="16"/>
  <c r="BI60" i="16"/>
  <c r="BI54" i="16"/>
  <c r="CQ58" i="16"/>
  <c r="DQ60" i="16"/>
  <c r="O21" i="22"/>
  <c r="P21" i="22" s="1"/>
  <c r="Q20" i="22"/>
  <c r="R20" i="22"/>
  <c r="K53" i="16" l="1"/>
  <c r="H54" i="16"/>
  <c r="K54" i="16"/>
  <c r="BV60" i="16"/>
  <c r="BP60" i="16"/>
  <c r="G116" i="17"/>
  <c r="H113" i="17"/>
  <c r="F109" i="17"/>
  <c r="F111" i="17" s="1"/>
  <c r="F108" i="17"/>
  <c r="J59" i="16"/>
  <c r="BS54" i="16"/>
  <c r="E53" i="16"/>
  <c r="BN57" i="16"/>
  <c r="D57" i="16"/>
  <c r="E57" i="16"/>
  <c r="BS55" i="16"/>
  <c r="BT57" i="16"/>
  <c r="M59" i="16"/>
  <c r="BU53" i="16"/>
  <c r="BN59" i="16"/>
  <c r="M55" i="16"/>
  <c r="BU55" i="16"/>
  <c r="BR53" i="16"/>
  <c r="BP57" i="16"/>
  <c r="L58" i="16"/>
  <c r="H60" i="16"/>
  <c r="J53" i="16"/>
  <c r="BW57" i="16"/>
  <c r="J60" i="16"/>
  <c r="L55" i="16"/>
  <c r="BP54" i="16"/>
  <c r="L54" i="16"/>
  <c r="J56" i="16"/>
  <c r="F59" i="16"/>
  <c r="D60" i="16"/>
  <c r="BO54" i="16"/>
  <c r="H53" i="16"/>
  <c r="BR57" i="16"/>
  <c r="J57" i="16"/>
  <c r="BW59" i="16"/>
  <c r="G53" i="16"/>
  <c r="BU60" i="16"/>
  <c r="BT54" i="16"/>
  <c r="BP59" i="16"/>
  <c r="BV54" i="16"/>
  <c r="E54" i="16"/>
  <c r="BO59" i="16"/>
  <c r="BW56" i="16"/>
  <c r="BQ59" i="16"/>
  <c r="K56" i="16"/>
  <c r="I57" i="16"/>
  <c r="BN58" i="16"/>
  <c r="BR58" i="16"/>
  <c r="F53" i="16"/>
  <c r="H59" i="16"/>
  <c r="M58" i="16"/>
  <c r="M54" i="16"/>
  <c r="BN54" i="16"/>
  <c r="BQ54" i="16"/>
  <c r="I53" i="16"/>
  <c r="H55" i="16"/>
  <c r="BW58" i="16"/>
  <c r="BS60" i="16"/>
  <c r="BV59" i="16"/>
  <c r="BO56" i="16"/>
  <c r="F60" i="16"/>
  <c r="BN60" i="16"/>
  <c r="J54" i="16"/>
  <c r="L56" i="16"/>
  <c r="F58" i="16"/>
  <c r="BI27" i="36"/>
  <c r="BB23" i="36" s="1"/>
  <c r="BG27" i="36"/>
  <c r="BB21" i="36" s="1"/>
  <c r="BN27" i="36"/>
  <c r="BB28" i="36" s="1"/>
  <c r="BM27" i="36"/>
  <c r="BB27" i="36" s="1"/>
  <c r="BK27" i="36"/>
  <c r="BB25" i="36" s="1"/>
  <c r="BH27" i="36"/>
  <c r="BB22" i="36" s="1"/>
  <c r="BL27" i="36"/>
  <c r="BB26" i="36" s="1"/>
  <c r="BJ27" i="36"/>
  <c r="BB24" i="36" s="1"/>
  <c r="R21" i="22"/>
  <c r="O22" i="22"/>
  <c r="P22" i="22" s="1"/>
  <c r="Q21" i="22"/>
  <c r="G107" i="17" l="1"/>
  <c r="F110" i="17"/>
  <c r="H115" i="17"/>
  <c r="H117" i="17" s="1"/>
  <c r="H114" i="17"/>
  <c r="BO27" i="36"/>
  <c r="BP27" i="36" s="1"/>
  <c r="K11" i="37" s="1"/>
  <c r="K6" i="37" s="1"/>
  <c r="BB20" i="36"/>
  <c r="AR48" i="36" s="1" a="1"/>
  <c r="AR48" i="36" s="1"/>
  <c r="O23" i="22"/>
  <c r="P23" i="22" s="1"/>
  <c r="Q22" i="22"/>
  <c r="R22" i="22"/>
  <c r="O2" i="46" l="1"/>
  <c r="N2" i="46"/>
  <c r="W2" i="46"/>
  <c r="V2" i="46"/>
  <c r="V18" i="30"/>
  <c r="V24" i="30"/>
  <c r="H116" i="17"/>
  <c r="I113" i="17"/>
  <c r="G108" i="17"/>
  <c r="G109" i="17"/>
  <c r="G111" i="17" s="1"/>
  <c r="AR52" i="36"/>
  <c r="L11" i="37"/>
  <c r="L6" i="37" s="1"/>
  <c r="O24" i="22"/>
  <c r="P24" i="22" s="1"/>
  <c r="Q23" i="22"/>
  <c r="R23" i="22"/>
  <c r="G110" i="17" l="1"/>
  <c r="H107" i="17"/>
  <c r="I115" i="17"/>
  <c r="I117" i="17" s="1"/>
  <c r="I114" i="17"/>
  <c r="AT52" i="36"/>
  <c r="AS52" i="36"/>
  <c r="AR49" i="36"/>
  <c r="AS49" i="36" s="1"/>
  <c r="AT48" i="36"/>
  <c r="AS48" i="36"/>
  <c r="K5" i="37"/>
  <c r="K4" i="37" s="1"/>
  <c r="R24" i="22"/>
  <c r="O25" i="22"/>
  <c r="P25" i="22" s="1"/>
  <c r="Q24" i="22"/>
  <c r="J113" i="17" l="1"/>
  <c r="I116" i="17"/>
  <c r="H109" i="17"/>
  <c r="H111" i="17" s="1"/>
  <c r="H108" i="17"/>
  <c r="AR53" i="36"/>
  <c r="AS53" i="36" s="1"/>
  <c r="AT49" i="36"/>
  <c r="R25" i="22"/>
  <c r="O26" i="22"/>
  <c r="P26" i="22" s="1"/>
  <c r="Q25" i="22"/>
  <c r="H110" i="17" l="1"/>
  <c r="I107" i="17"/>
  <c r="AT53" i="36"/>
  <c r="J115" i="17"/>
  <c r="J117" i="17" s="1"/>
  <c r="J114" i="17"/>
  <c r="R26" i="22"/>
  <c r="Q26" i="22"/>
  <c r="O27" i="22"/>
  <c r="P27" i="22" s="1"/>
  <c r="K113" i="17" l="1"/>
  <c r="J116" i="17"/>
  <c r="I109" i="17"/>
  <c r="I111" i="17" s="1"/>
  <c r="I108" i="17"/>
  <c r="R27" i="22"/>
  <c r="Q27" i="22"/>
  <c r="O28" i="22"/>
  <c r="P28" i="22" s="1"/>
  <c r="I110" i="17" l="1"/>
  <c r="J107" i="17"/>
  <c r="K114" i="17"/>
  <c r="K115" i="17"/>
  <c r="R28" i="22"/>
  <c r="Q28" i="22"/>
  <c r="O29" i="22"/>
  <c r="S7" i="22" l="1"/>
  <c r="S8" i="22" s="1"/>
  <c r="T27" i="22" s="1"/>
  <c r="P29" i="22"/>
  <c r="K117" i="17"/>
  <c r="L113" i="17"/>
  <c r="K116" i="17"/>
  <c r="J109" i="17"/>
  <c r="J111" i="17" s="1"/>
  <c r="J108" i="17"/>
  <c r="R29" i="22"/>
  <c r="R30" i="22" s="1"/>
  <c r="Q29" i="22"/>
  <c r="T30" i="22" l="1"/>
  <c r="T19" i="22"/>
  <c r="S23" i="22"/>
  <c r="S24" i="22"/>
  <c r="S18" i="22"/>
  <c r="T26" i="22"/>
  <c r="S25" i="22"/>
  <c r="T22" i="22"/>
  <c r="T14" i="22"/>
  <c r="S19" i="22"/>
  <c r="S28" i="22"/>
  <c r="T12" i="22"/>
  <c r="T28" i="22"/>
  <c r="S13" i="22"/>
  <c r="S29" i="22"/>
  <c r="S26" i="22"/>
  <c r="T25" i="22"/>
  <c r="S14" i="22"/>
  <c r="S20" i="22"/>
  <c r="S21" i="22"/>
  <c r="T21" i="22"/>
  <c r="T24" i="22"/>
  <c r="S30" i="22"/>
  <c r="S11" i="22"/>
  <c r="T10" i="22"/>
  <c r="T18" i="22"/>
  <c r="T16" i="22"/>
  <c r="T20" i="22"/>
  <c r="T23" i="22"/>
  <c r="S27" i="22"/>
  <c r="S31" i="22"/>
  <c r="T13" i="22"/>
  <c r="S15" i="22"/>
  <c r="S12" i="22"/>
  <c r="T15" i="22"/>
  <c r="T11" i="22"/>
  <c r="S16" i="22"/>
  <c r="S10" i="22"/>
  <c r="S22" i="22"/>
  <c r="T29" i="22"/>
  <c r="K107" i="17"/>
  <c r="J110" i="17"/>
  <c r="L114" i="17"/>
  <c r="L115" i="17"/>
  <c r="L117" i="17" l="1"/>
  <c r="M113" i="17"/>
  <c r="L116" i="17"/>
  <c r="K109" i="17"/>
  <c r="K111" i="17" s="1"/>
  <c r="K108" i="17"/>
  <c r="L107" i="17" l="1"/>
  <c r="K110" i="17"/>
  <c r="M115" i="17"/>
  <c r="M114" i="17"/>
  <c r="M117" i="17" l="1"/>
  <c r="N113" i="17"/>
  <c r="M116" i="17"/>
  <c r="L109" i="17"/>
  <c r="L111" i="17" s="1"/>
  <c r="L108" i="17"/>
  <c r="M107" i="17" l="1"/>
  <c r="L110" i="17"/>
  <c r="N115" i="17"/>
  <c r="H99" i="17" s="1"/>
  <c r="N114" i="17"/>
  <c r="G99" i="17"/>
  <c r="N116" i="17" l="1"/>
  <c r="O113" i="17"/>
  <c r="N117" i="17"/>
  <c r="M109" i="17"/>
  <c r="M111" i="17" s="1"/>
  <c r="M108" i="17"/>
  <c r="N107" i="17" l="1"/>
  <c r="M110" i="17"/>
  <c r="O115" i="17"/>
  <c r="O117" i="17" s="1"/>
  <c r="O114" i="17"/>
  <c r="O116" i="17" l="1"/>
  <c r="P113" i="17"/>
  <c r="N109" i="17"/>
  <c r="N108" i="17"/>
  <c r="G98" i="17"/>
  <c r="O107" i="17" l="1"/>
  <c r="N110" i="17"/>
  <c r="N111" i="17"/>
  <c r="H98" i="17"/>
  <c r="D2" i="46" s="1"/>
  <c r="P115" i="17"/>
  <c r="P117" i="17" s="1"/>
  <c r="P114" i="17"/>
  <c r="V7" i="30" l="1"/>
  <c r="G158" i="17"/>
  <c r="P116" i="17"/>
  <c r="Q113" i="17"/>
  <c r="O109" i="17"/>
  <c r="O111" i="17" s="1"/>
  <c r="O108" i="17"/>
  <c r="P107" i="17" l="1"/>
  <c r="O110" i="17"/>
  <c r="Q115" i="17"/>
  <c r="Q117" i="17" s="1"/>
  <c r="Q114" i="17"/>
  <c r="B13" i="42"/>
  <c r="R113" i="17" l="1"/>
  <c r="Q116" i="17"/>
  <c r="P108" i="17"/>
  <c r="P109" i="17"/>
  <c r="P111" i="17" s="1"/>
  <c r="P110" i="17" l="1"/>
  <c r="Q107" i="17"/>
  <c r="R115" i="17"/>
  <c r="R117" i="17" s="1"/>
  <c r="R114" i="17"/>
  <c r="R116" i="17" l="1"/>
  <c r="S113" i="17"/>
  <c r="Q108" i="17"/>
  <c r="Q109" i="17"/>
  <c r="Q111" i="17" s="1"/>
  <c r="R107" i="17" l="1"/>
  <c r="Q110" i="17"/>
  <c r="S114" i="17"/>
  <c r="S115" i="17"/>
  <c r="S117" i="17" s="1"/>
  <c r="T113" i="17" l="1"/>
  <c r="S116" i="17"/>
  <c r="R109" i="17"/>
  <c r="R111" i="17" s="1"/>
  <c r="R108" i="17"/>
  <c r="S107" i="17" l="1"/>
  <c r="R110" i="17"/>
  <c r="T114" i="17"/>
  <c r="T115" i="17"/>
  <c r="T117" i="17" s="1"/>
  <c r="U113" i="17" l="1"/>
  <c r="T116" i="17"/>
  <c r="S108" i="17"/>
  <c r="S109" i="17"/>
  <c r="S111" i="17" s="1"/>
  <c r="S110" i="17" l="1"/>
  <c r="T107" i="17"/>
  <c r="U115" i="17"/>
  <c r="U117" i="17" s="1"/>
  <c r="U114" i="17"/>
  <c r="V113" i="17" l="1"/>
  <c r="U116" i="17"/>
  <c r="T108" i="17"/>
  <c r="T109" i="17"/>
  <c r="T111" i="17" s="1"/>
  <c r="T110" i="17" l="1"/>
  <c r="U107" i="17"/>
  <c r="V114" i="17"/>
  <c r="V115" i="17"/>
  <c r="V117" i="17" s="1"/>
  <c r="V116" i="17" l="1"/>
  <c r="W113" i="17"/>
  <c r="U109" i="17"/>
  <c r="U111" i="17" s="1"/>
  <c r="U108" i="17"/>
  <c r="V107" i="17" l="1"/>
  <c r="U110" i="17"/>
  <c r="W115" i="17"/>
  <c r="W117" i="17" s="1"/>
  <c r="W114" i="17"/>
  <c r="W116" i="17" l="1"/>
  <c r="X113" i="17"/>
  <c r="V109" i="17"/>
  <c r="V111" i="17" s="1"/>
  <c r="V108" i="17"/>
  <c r="V110" i="17" l="1"/>
  <c r="W107" i="17"/>
  <c r="X115" i="17"/>
  <c r="X117" i="17" s="1"/>
  <c r="X114" i="17"/>
  <c r="X116" i="17" l="1"/>
  <c r="Y113" i="17"/>
  <c r="W108" i="17"/>
  <c r="W109" i="17"/>
  <c r="W111" i="17" s="1"/>
  <c r="W110" i="17" l="1"/>
  <c r="X107" i="17"/>
  <c r="Y115" i="17"/>
  <c r="Y117" i="17" s="1"/>
  <c r="Y114" i="17"/>
  <c r="Z113" i="17" l="1"/>
  <c r="Y116" i="17"/>
  <c r="X108" i="17"/>
  <c r="X109" i="17"/>
  <c r="X111" i="17" s="1"/>
  <c r="X110" i="17" l="1"/>
  <c r="Y107" i="17"/>
  <c r="Z115" i="17"/>
  <c r="Z117" i="17" s="1"/>
  <c r="Z114" i="17"/>
  <c r="Y109" i="17" l="1"/>
  <c r="Y111" i="17" s="1"/>
  <c r="Y108" i="17"/>
  <c r="AA113" i="17"/>
  <c r="Z116" i="17"/>
  <c r="AA114" i="17" l="1"/>
  <c r="AA115" i="17"/>
  <c r="AA117" i="17" s="1"/>
  <c r="Y110" i="17"/>
  <c r="Z107" i="17"/>
  <c r="Z109" i="17" l="1"/>
  <c r="Z111" i="17" s="1"/>
  <c r="Z108" i="17"/>
  <c r="AB113" i="17"/>
  <c r="AA116" i="17"/>
  <c r="AB115" i="17" l="1"/>
  <c r="AB117" i="17" s="1"/>
  <c r="AB114" i="17"/>
  <c r="AA107" i="17"/>
  <c r="Z110" i="17"/>
  <c r="AA109" i="17" l="1"/>
  <c r="AA111" i="17" s="1"/>
  <c r="AA108" i="17"/>
  <c r="AC113" i="17"/>
  <c r="AB116" i="17"/>
  <c r="AC115" i="17" l="1"/>
  <c r="AC117" i="17" s="1"/>
  <c r="AC114" i="17"/>
  <c r="AA110" i="17"/>
  <c r="AB107" i="17"/>
  <c r="AB109" i="17" l="1"/>
  <c r="AB111" i="17" s="1"/>
  <c r="AB108" i="17"/>
  <c r="AD113" i="17"/>
  <c r="AC116" i="17"/>
  <c r="AD115" i="17" l="1"/>
  <c r="AD117" i="17" s="1"/>
  <c r="AD114" i="17"/>
  <c r="AC107" i="17"/>
  <c r="AB110" i="17"/>
  <c r="AC109" i="17" l="1"/>
  <c r="AC111" i="17" s="1"/>
  <c r="AC108" i="17"/>
  <c r="AD116" i="17"/>
  <c r="AE113" i="17"/>
  <c r="AE115" i="17" l="1"/>
  <c r="AE117" i="17" s="1"/>
  <c r="AE114" i="17"/>
  <c r="AD107" i="17"/>
  <c r="AC110" i="17"/>
  <c r="AD108" i="17" l="1"/>
  <c r="AD109" i="17"/>
  <c r="AD111" i="17" s="1"/>
  <c r="AE116" i="17"/>
  <c r="AF113" i="17"/>
  <c r="AF115" i="17" l="1"/>
  <c r="AF117" i="17" s="1"/>
  <c r="AF114" i="17"/>
  <c r="AD110" i="17"/>
  <c r="AE107" i="17"/>
  <c r="AE109" i="17" l="1"/>
  <c r="AE111" i="17" s="1"/>
  <c r="AE108" i="17"/>
  <c r="AF116" i="17"/>
  <c r="AG113" i="17"/>
  <c r="AG115" i="17" l="1"/>
  <c r="AG117" i="17" s="1"/>
  <c r="AG114" i="17"/>
  <c r="AF107" i="17"/>
  <c r="AE110" i="17"/>
  <c r="AF108" i="17" l="1"/>
  <c r="AF109" i="17"/>
  <c r="AF111" i="17" s="1"/>
  <c r="AH113" i="17"/>
  <c r="AG116" i="17"/>
  <c r="AH115" i="17" l="1"/>
  <c r="AH117" i="17" s="1"/>
  <c r="AH114" i="17"/>
  <c r="AF110" i="17"/>
  <c r="AG107" i="17"/>
  <c r="AG109" i="17" l="1"/>
  <c r="AG111" i="17" s="1"/>
  <c r="AG108" i="17"/>
  <c r="AH116" i="17"/>
  <c r="AI113" i="17"/>
  <c r="AI114" i="17" l="1"/>
  <c r="AI115" i="17"/>
  <c r="AI117" i="17" s="1"/>
  <c r="AH107" i="17"/>
  <c r="AG110" i="17"/>
  <c r="AH109" i="17" l="1"/>
  <c r="AH111" i="17" s="1"/>
  <c r="AH108" i="17"/>
  <c r="AJ113" i="17"/>
  <c r="AI116" i="17"/>
  <c r="AJ114" i="17" l="1"/>
  <c r="AJ115" i="17"/>
  <c r="AJ117" i="17" s="1"/>
  <c r="AI107" i="17"/>
  <c r="AH110" i="17"/>
  <c r="AI109" i="17" l="1"/>
  <c r="AI111" i="17" s="1"/>
  <c r="AI108" i="17"/>
  <c r="AK113" i="17"/>
  <c r="AJ116" i="17"/>
  <c r="AK115" i="17" l="1"/>
  <c r="AK117" i="17" s="1"/>
  <c r="AK114" i="17"/>
  <c r="AJ107" i="17"/>
  <c r="AI110" i="17"/>
  <c r="AJ108" i="17" l="1"/>
  <c r="AJ109" i="17"/>
  <c r="AJ111" i="17" s="1"/>
  <c r="AL113" i="17"/>
  <c r="AK116" i="17"/>
  <c r="AL115" i="17" l="1"/>
  <c r="AL117" i="17" s="1"/>
  <c r="AL114" i="17"/>
  <c r="AJ110" i="17"/>
  <c r="AK107" i="17"/>
  <c r="AK108" i="17" l="1"/>
  <c r="AK109" i="17"/>
  <c r="AK111" i="17" s="1"/>
  <c r="AL116" i="17"/>
  <c r="AM113" i="17"/>
  <c r="AM114" i="17" l="1"/>
  <c r="AM115" i="17"/>
  <c r="AM117" i="17" s="1"/>
  <c r="AL107" i="17"/>
  <c r="AK110" i="17"/>
  <c r="AL109" i="17" l="1"/>
  <c r="AL111" i="17" s="1"/>
  <c r="AL108" i="17"/>
  <c r="AN113" i="17"/>
  <c r="AM116" i="17"/>
  <c r="AN115" i="17" l="1"/>
  <c r="AN117" i="17" s="1"/>
  <c r="AN114" i="17"/>
  <c r="AL110" i="17"/>
  <c r="AM107" i="17"/>
  <c r="AM109" i="17" l="1"/>
  <c r="AM111" i="17" s="1"/>
  <c r="AM108" i="17"/>
  <c r="AN116" i="17"/>
  <c r="AO113" i="17"/>
  <c r="AO115" i="17" l="1"/>
  <c r="AO117" i="17" s="1"/>
  <c r="AO114" i="17"/>
  <c r="AN107" i="17"/>
  <c r="AM110" i="17"/>
  <c r="AN108" i="17" l="1"/>
  <c r="AN109" i="17"/>
  <c r="AN111" i="17" s="1"/>
  <c r="AP113" i="17"/>
  <c r="AO116" i="17"/>
  <c r="AP115" i="17" l="1"/>
  <c r="AP117" i="17" s="1"/>
  <c r="AP114" i="17"/>
  <c r="AO107" i="17"/>
  <c r="AN110" i="17"/>
  <c r="AO108" i="17" l="1"/>
  <c r="AO109" i="17"/>
  <c r="AO111" i="17" s="1"/>
  <c r="AQ113" i="17"/>
  <c r="AP116" i="17"/>
  <c r="AQ114" i="17" l="1"/>
  <c r="AQ115" i="17"/>
  <c r="AQ117" i="17" s="1"/>
  <c r="AP107" i="17"/>
  <c r="AO110" i="17"/>
  <c r="AP109" i="17" l="1"/>
  <c r="AP111" i="17" s="1"/>
  <c r="AP108" i="17"/>
  <c r="AR113" i="17"/>
  <c r="AQ116" i="17"/>
  <c r="AR114" i="17" l="1"/>
  <c r="AR115" i="17"/>
  <c r="AR117" i="17" s="1"/>
  <c r="AQ107" i="17"/>
  <c r="AP110" i="17"/>
  <c r="AQ109" i="17" l="1"/>
  <c r="AQ111" i="17" s="1"/>
  <c r="AQ108" i="17"/>
  <c r="AS113" i="17"/>
  <c r="AR116" i="17"/>
  <c r="AS115" i="17" l="1"/>
  <c r="AS117" i="17" s="1"/>
  <c r="AS114" i="17"/>
  <c r="AR107" i="17"/>
  <c r="AQ110" i="17"/>
  <c r="AR108" i="17" l="1"/>
  <c r="AR109" i="17"/>
  <c r="AR111" i="17" s="1"/>
  <c r="AT113" i="17"/>
  <c r="AS116" i="17"/>
  <c r="AT115" i="17" l="1"/>
  <c r="AT117" i="17" s="1"/>
  <c r="AT114" i="17"/>
  <c r="AS107" i="17"/>
  <c r="AR110" i="17"/>
  <c r="AS108" i="17" l="1"/>
  <c r="AS109" i="17"/>
  <c r="AS111" i="17" s="1"/>
  <c r="AT116" i="17"/>
  <c r="AU113" i="17"/>
  <c r="AU115" i="17" l="1"/>
  <c r="AU117" i="17" s="1"/>
  <c r="AU114" i="17"/>
  <c r="AT107" i="17"/>
  <c r="AS110" i="17"/>
  <c r="AT109" i="17" l="1"/>
  <c r="AT111" i="17" s="1"/>
  <c r="AT108" i="17"/>
  <c r="AU116" i="17"/>
  <c r="AV113" i="17"/>
  <c r="AV115" i="17" l="1"/>
  <c r="AV117" i="17" s="1"/>
  <c r="AV114" i="17"/>
  <c r="AU107" i="17"/>
  <c r="AT110" i="17"/>
  <c r="AU109" i="17" l="1"/>
  <c r="AU111" i="17" s="1"/>
  <c r="AU108" i="17"/>
  <c r="AV116" i="17"/>
  <c r="AW113" i="17"/>
  <c r="AW115" i="17" l="1"/>
  <c r="AW117" i="17" s="1"/>
  <c r="AW114" i="17"/>
  <c r="AU110" i="17"/>
  <c r="AV107" i="17"/>
  <c r="AV109" i="17" l="1"/>
  <c r="AV111" i="17" s="1"/>
  <c r="AV108" i="17"/>
  <c r="AX113" i="17"/>
  <c r="AW116" i="17"/>
  <c r="AX115" i="17" l="1"/>
  <c r="AX117" i="17" s="1"/>
  <c r="AX114" i="17"/>
  <c r="AV110" i="17"/>
  <c r="AW107" i="17"/>
  <c r="AW109" i="17" l="1"/>
  <c r="AW111" i="17" s="1"/>
  <c r="AW108" i="17"/>
  <c r="AY113" i="17"/>
  <c r="AX116" i="17"/>
  <c r="AY114" i="17" l="1"/>
  <c r="AY115" i="17"/>
  <c r="AY117" i="17" s="1"/>
  <c r="AX107" i="17"/>
  <c r="AW110" i="17"/>
  <c r="AX108" i="17" l="1"/>
  <c r="AX109" i="17"/>
  <c r="AX111" i="17" s="1"/>
  <c r="AZ113" i="17"/>
  <c r="AY116" i="17"/>
  <c r="AZ114" i="17" l="1"/>
  <c r="AZ115" i="17"/>
  <c r="AZ117" i="17" s="1"/>
  <c r="AY107" i="17"/>
  <c r="AX110" i="17"/>
  <c r="AY109" i="17" l="1"/>
  <c r="AY111" i="17" s="1"/>
  <c r="AY108" i="17"/>
  <c r="BA113" i="17"/>
  <c r="AZ116" i="17"/>
  <c r="BA115" i="17" l="1"/>
  <c r="BA117" i="17" s="1"/>
  <c r="BA114" i="17"/>
  <c r="AZ107" i="17"/>
  <c r="AY110" i="17"/>
  <c r="AZ109" i="17" l="1"/>
  <c r="AZ111" i="17" s="1"/>
  <c r="AZ108" i="17"/>
  <c r="BB113" i="17"/>
  <c r="BA116" i="17"/>
  <c r="BB114" i="17" l="1"/>
  <c r="BB115" i="17"/>
  <c r="BB117" i="17" s="1"/>
  <c r="AZ110" i="17"/>
  <c r="BA107" i="17"/>
  <c r="BA109" i="17" l="1"/>
  <c r="BA111" i="17" s="1"/>
  <c r="BA108" i="17"/>
  <c r="BB116" i="17"/>
  <c r="BC113" i="17"/>
  <c r="BC115" i="17" l="1"/>
  <c r="BC117" i="17" s="1"/>
  <c r="BC114" i="17"/>
  <c r="BA110" i="17"/>
  <c r="BB107" i="17"/>
  <c r="BB108" i="17" l="1"/>
  <c r="BB109" i="17"/>
  <c r="BB111" i="17" s="1"/>
  <c r="BC116" i="17"/>
  <c r="BD113" i="17"/>
  <c r="BD115" i="17" l="1"/>
  <c r="BD117" i="17" s="1"/>
  <c r="BD114" i="17"/>
  <c r="BB110" i="17"/>
  <c r="BC107" i="17"/>
  <c r="BC109" i="17" l="1"/>
  <c r="BC111" i="17" s="1"/>
  <c r="BC108" i="17"/>
  <c r="BE113" i="17"/>
  <c r="BD116" i="17"/>
  <c r="BE115" i="17" l="1"/>
  <c r="BE117" i="17" s="1"/>
  <c r="BE114" i="17"/>
  <c r="BC110" i="17"/>
  <c r="BD107" i="17"/>
  <c r="BD109" i="17" l="1"/>
  <c r="BD111" i="17" s="1"/>
  <c r="BD108" i="17"/>
  <c r="BF113" i="17"/>
  <c r="BE116" i="17"/>
  <c r="BF115" i="17" l="1"/>
  <c r="BF117" i="17" s="1"/>
  <c r="BF114" i="17"/>
  <c r="BD110" i="17"/>
  <c r="BE107" i="17"/>
  <c r="BE108" i="17" l="1"/>
  <c r="BE109" i="17"/>
  <c r="BE111" i="17" s="1"/>
  <c r="BF116" i="17"/>
  <c r="BG113" i="17"/>
  <c r="BG114" i="17" l="1"/>
  <c r="BG115" i="17"/>
  <c r="BG117" i="17" s="1"/>
  <c r="BE110" i="17"/>
  <c r="BF107" i="17"/>
  <c r="BF109" i="17" l="1"/>
  <c r="BF111" i="17" s="1"/>
  <c r="BF108" i="17"/>
  <c r="BH113" i="17"/>
  <c r="BG116" i="17"/>
  <c r="BH114" i="17" l="1"/>
  <c r="BH115" i="17"/>
  <c r="BH117" i="17" s="1"/>
  <c r="BG107" i="17"/>
  <c r="BF110" i="17"/>
  <c r="BG108" i="17" l="1"/>
  <c r="BG109" i="17"/>
  <c r="BG111" i="17" s="1"/>
  <c r="BI113" i="17"/>
  <c r="BH116" i="17"/>
  <c r="BI115" i="17" l="1"/>
  <c r="BI117" i="17" s="1"/>
  <c r="BI114" i="17"/>
  <c r="BG110" i="17"/>
  <c r="BH107" i="17"/>
  <c r="BH108" i="17" l="1"/>
  <c r="BH109" i="17"/>
  <c r="BH111" i="17" s="1"/>
  <c r="BJ113" i="17"/>
  <c r="BI116" i="17"/>
  <c r="BJ114" i="17" l="1"/>
  <c r="BJ116" i="17" s="1"/>
  <c r="BJ115" i="17"/>
  <c r="BJ117" i="17" s="1"/>
  <c r="BI107" i="17"/>
  <c r="BH110" i="17"/>
  <c r="BI109" i="17" l="1"/>
  <c r="BI111" i="17" s="1"/>
  <c r="BI108" i="17"/>
  <c r="BI110" i="17" l="1"/>
  <c r="BJ107" i="17"/>
  <c r="BJ109" i="17" l="1"/>
  <c r="BJ111" i="17" s="1"/>
  <c r="BJ108" i="17"/>
  <c r="BJ110" i="17" s="1"/>
  <c r="G8" i="37"/>
  <c r="H8" i="37" l="1"/>
  <c r="H6" i="37" s="1"/>
  <c r="G6" i="37"/>
  <c r="G5" i="37" l="1"/>
  <c r="G4" i="37" s="1"/>
  <c r="S2" i="24" l="1"/>
  <c r="V17" i="30" s="1"/>
  <c r="C22" i="19"/>
  <c r="C27" i="19"/>
  <c r="C29" i="19"/>
  <c r="E25" i="19"/>
  <c r="C47" i="19"/>
  <c r="C50" i="19" s="1"/>
  <c r="C51" i="19" s="1"/>
  <c r="N21" i="19"/>
  <c r="N24" i="19" s="1"/>
  <c r="M21" i="19"/>
  <c r="L21" i="19"/>
  <c r="L24" i="19" s="1"/>
  <c r="K21" i="19"/>
  <c r="J21" i="19"/>
  <c r="J24" i="19" s="1"/>
  <c r="I25" i="19"/>
  <c r="I29" i="19"/>
  <c r="I24" i="19"/>
  <c r="I21" i="19"/>
  <c r="H25" i="19"/>
  <c r="H29" i="19"/>
  <c r="H24" i="19"/>
  <c r="H21" i="19"/>
  <c r="G25" i="19"/>
  <c r="G29" i="19"/>
  <c r="G24" i="19"/>
  <c r="G21" i="19"/>
  <c r="G22" i="19"/>
  <c r="H22" i="19"/>
  <c r="I22" i="19"/>
  <c r="F22" i="19"/>
  <c r="G27" i="19"/>
  <c r="H27" i="19"/>
  <c r="I27" i="19"/>
  <c r="O20" i="19"/>
  <c r="P20" i="19" s="1"/>
  <c r="F27" i="19"/>
  <c r="F25" i="19"/>
  <c r="F29" i="19"/>
  <c r="F24" i="19"/>
  <c r="F21" i="19"/>
  <c r="E22" i="19"/>
  <c r="E27" i="19"/>
  <c r="E29" i="19"/>
  <c r="E24" i="19"/>
  <c r="E21" i="19"/>
  <c r="D25" i="19"/>
  <c r="D29" i="19"/>
  <c r="D24" i="19"/>
  <c r="D22" i="19"/>
  <c r="D21" i="19"/>
  <c r="D27" i="19"/>
  <c r="C25" i="19"/>
  <c r="C21" i="19"/>
  <c r="C24" i="19"/>
  <c r="P2" i="46" l="1"/>
  <c r="X2" i="46"/>
  <c r="V27" i="30"/>
  <c r="K24" i="19"/>
  <c r="K29" i="19" s="1"/>
  <c r="C49" i="19"/>
  <c r="M24" i="19"/>
  <c r="M29" i="19" s="1"/>
  <c r="P21" i="19"/>
  <c r="P24" i="19" s="1"/>
  <c r="C48" i="19"/>
  <c r="O21" i="19"/>
  <c r="O24" i="19" s="1"/>
  <c r="O29" i="19" s="1"/>
  <c r="J29" i="19"/>
  <c r="L29" i="19"/>
  <c r="N29" i="19"/>
  <c r="Q20" i="19"/>
  <c r="Q21" i="19" l="1"/>
  <c r="R20" i="19"/>
  <c r="S20" i="19" s="1"/>
  <c r="P29" i="19"/>
  <c r="Q24" i="19" l="1"/>
  <c r="S21" i="19"/>
  <c r="R21" i="19"/>
  <c r="T20" i="19"/>
  <c r="Q29" i="19" l="1"/>
  <c r="R24" i="19"/>
  <c r="R29" i="19" s="1"/>
  <c r="S24" i="19"/>
  <c r="T21" i="19"/>
  <c r="T24" i="19" s="1"/>
  <c r="U20" i="19"/>
  <c r="T29" i="19" l="1"/>
  <c r="U21" i="19"/>
  <c r="U24" i="19" s="1"/>
  <c r="S29" i="19"/>
  <c r="V20" i="19"/>
  <c r="U29" i="19" l="1"/>
  <c r="V21" i="19"/>
  <c r="W20" i="19"/>
  <c r="V24" i="19" l="1"/>
  <c r="V29" i="19" s="1"/>
  <c r="W21" i="19"/>
  <c r="W24" i="19" s="1"/>
  <c r="X20" i="19"/>
  <c r="W29" i="19" l="1"/>
  <c r="X21" i="19"/>
  <c r="X24" i="19" s="1"/>
  <c r="Y20" i="19"/>
  <c r="X29" i="19" l="1"/>
  <c r="Y21" i="19"/>
  <c r="Z20" i="19"/>
  <c r="W3" i="46" l="1"/>
  <c r="V25" i="30"/>
  <c r="G2" i="46"/>
  <c r="O3" i="46"/>
  <c r="V3" i="46"/>
  <c r="N3" i="46"/>
  <c r="V19" i="30"/>
  <c r="Z21" i="19"/>
  <c r="D47" i="19"/>
  <c r="AA20" i="19"/>
  <c r="Y24" i="19"/>
  <c r="Z24" i="19" l="1"/>
  <c r="AA21" i="19"/>
  <c r="AA24" i="19" s="1"/>
  <c r="AB20" i="19"/>
  <c r="D50" i="19"/>
  <c r="D51" i="19" s="1"/>
  <c r="D49" i="19"/>
  <c r="D48" i="19"/>
  <c r="Y29" i="19"/>
  <c r="P3" i="46" l="1"/>
  <c r="X3" i="46"/>
  <c r="V28" i="30"/>
  <c r="AA29" i="19"/>
  <c r="AB21" i="19"/>
  <c r="AB24" i="19" s="1"/>
  <c r="AC20" i="19"/>
  <c r="Z29" i="19"/>
  <c r="AB29" i="19" l="1"/>
  <c r="AC21" i="19"/>
  <c r="AC24" i="19" s="1"/>
  <c r="AD20" i="19"/>
  <c r="AC29" i="19" l="1"/>
  <c r="AD21" i="19"/>
  <c r="AD24" i="19" s="1"/>
  <c r="AE20" i="19"/>
  <c r="AD29" i="19" l="1"/>
  <c r="AE21" i="19"/>
  <c r="AE24" i="19" s="1"/>
  <c r="AF20" i="19"/>
  <c r="AE29" i="19" l="1"/>
  <c r="AF21" i="19"/>
  <c r="AF24" i="19" s="1"/>
  <c r="AG20" i="19"/>
  <c r="AF29" i="19" l="1"/>
  <c r="AG21" i="19"/>
  <c r="AG24" i="19" s="1"/>
  <c r="AH20" i="19"/>
  <c r="AG29" i="19" l="1"/>
  <c r="AH21" i="19"/>
  <c r="AH24" i="19" s="1"/>
  <c r="AI20" i="19"/>
  <c r="AH29" i="19" l="1"/>
  <c r="AI21" i="19"/>
  <c r="AI24" i="19" s="1"/>
  <c r="AJ20" i="19"/>
  <c r="AI29" i="19" l="1"/>
  <c r="AJ21" i="19"/>
  <c r="AJ24" i="19" s="1"/>
  <c r="AK20" i="19"/>
  <c r="AK21" i="19" l="1"/>
  <c r="AL20" i="19"/>
  <c r="AJ29" i="19"/>
  <c r="W4" i="46" l="1"/>
  <c r="N4" i="46"/>
  <c r="V26" i="30"/>
  <c r="O4" i="46"/>
  <c r="V4" i="46"/>
  <c r="V20" i="30"/>
  <c r="AK24" i="19"/>
  <c r="AK29" i="19" s="1"/>
  <c r="AL21" i="19"/>
  <c r="AM20" i="19"/>
  <c r="E47" i="19"/>
  <c r="AL24" i="19" l="1"/>
  <c r="AM21" i="19"/>
  <c r="AM24" i="19" s="1"/>
  <c r="AN20" i="19"/>
  <c r="E49" i="19"/>
  <c r="E48" i="19"/>
  <c r="E50" i="19"/>
  <c r="E51" i="19" s="1"/>
  <c r="AM29" i="19" l="1"/>
  <c r="V29" i="30"/>
  <c r="P4" i="46"/>
  <c r="X4" i="46"/>
  <c r="AN21" i="19"/>
  <c r="AN24" i="19" s="1"/>
  <c r="AO20" i="19"/>
  <c r="AL29" i="19"/>
  <c r="AN29" i="19" l="1"/>
  <c r="AO21" i="19"/>
  <c r="AO29" i="19" s="1"/>
  <c r="AO24" i="19"/>
  <c r="AP20" i="19"/>
  <c r="AP21" i="19" l="1"/>
  <c r="AP24" i="19" s="1"/>
  <c r="AQ20" i="19"/>
  <c r="AP29" i="19" l="1"/>
  <c r="AQ21" i="19"/>
  <c r="AR20" i="19"/>
  <c r="AQ24" i="19" l="1"/>
  <c r="AR21" i="19"/>
  <c r="AR24" i="19"/>
  <c r="AS20" i="19"/>
  <c r="AR29" i="19" l="1"/>
  <c r="AQ29" i="19"/>
  <c r="AS21" i="19"/>
  <c r="AS24" i="19" s="1"/>
  <c r="AT20" i="19"/>
  <c r="AS29" i="19" l="1"/>
  <c r="AT21" i="19"/>
  <c r="AT24" i="19" s="1"/>
  <c r="AU20" i="19"/>
  <c r="AT29" i="19" l="1"/>
  <c r="AU21" i="19"/>
  <c r="AU24" i="19"/>
  <c r="AV20" i="19"/>
  <c r="AU29" i="19" l="1"/>
  <c r="AV21" i="19"/>
  <c r="AW20" i="19"/>
  <c r="AV29" i="19" l="1"/>
  <c r="AV24" i="19"/>
  <c r="AW21" i="19"/>
  <c r="AW24" i="19"/>
  <c r="AX20" i="19"/>
  <c r="AW29" i="19" l="1"/>
  <c r="AX21" i="19"/>
  <c r="AY20" i="19"/>
  <c r="AX24" i="19" l="1"/>
  <c r="AY24" i="19"/>
  <c r="AY29" i="19"/>
  <c r="AY21" i="19"/>
  <c r="AY27" i="19"/>
  <c r="AY22" i="19"/>
  <c r="AY25" i="19"/>
  <c r="AZ20" i="19"/>
  <c r="AX29" i="19" l="1"/>
  <c r="AZ29" i="19"/>
  <c r="AZ22" i="19"/>
  <c r="AZ25" i="19"/>
  <c r="AZ27" i="19"/>
  <c r="AZ24" i="19"/>
  <c r="AZ21" i="19"/>
  <c r="BA20" i="19"/>
  <c r="BA21" i="19" l="1"/>
  <c r="BA22" i="19"/>
  <c r="BA24" i="19"/>
  <c r="BA25" i="19"/>
  <c r="BA29" i="19"/>
  <c r="BA27" i="19"/>
  <c r="BB20" i="19"/>
  <c r="BB27" i="19" l="1"/>
  <c r="BB22" i="19"/>
  <c r="BB24" i="19"/>
  <c r="BB21" i="19"/>
  <c r="BB29" i="19"/>
  <c r="BB25" i="19"/>
  <c r="BC20" i="19"/>
  <c r="BC24" i="19" l="1"/>
  <c r="BC22" i="19"/>
  <c r="BC21" i="19"/>
  <c r="BC27" i="19"/>
  <c r="BC29" i="19"/>
  <c r="BC25" i="19"/>
  <c r="BD20" i="19"/>
  <c r="BD21" i="19" l="1"/>
  <c r="BD27" i="19"/>
  <c r="BD25" i="19"/>
  <c r="BD22" i="19"/>
  <c r="BD29" i="19"/>
  <c r="BD24" i="19"/>
  <c r="BE20" i="19"/>
  <c r="BE25" i="19" l="1"/>
  <c r="BE29" i="19"/>
  <c r="BE27" i="19"/>
  <c r="BE21" i="19"/>
  <c r="BE24" i="19"/>
  <c r="BE22" i="19"/>
  <c r="BF20" i="19"/>
  <c r="BF29" i="19" l="1"/>
  <c r="BF24" i="19"/>
  <c r="BF21" i="19"/>
  <c r="BF27" i="19"/>
  <c r="BF22" i="19"/>
  <c r="BF25" i="19"/>
  <c r="BG20" i="19"/>
  <c r="BG21" i="19" l="1"/>
  <c r="BG25" i="19"/>
  <c r="BG27" i="19"/>
  <c r="BG29" i="19"/>
  <c r="BG22" i="19"/>
  <c r="BG24" i="19"/>
  <c r="BH20" i="19"/>
  <c r="BH24" i="19" l="1"/>
  <c r="BH21" i="19"/>
  <c r="BH22" i="19"/>
  <c r="BH29" i="19"/>
  <c r="BH27" i="19"/>
  <c r="BH25" i="19"/>
  <c r="BI20" i="19"/>
  <c r="BI21" i="19" l="1"/>
  <c r="BI22" i="19"/>
  <c r="BI24" i="19"/>
  <c r="BI25" i="19"/>
  <c r="BI29" i="19"/>
  <c r="BI27" i="19"/>
  <c r="BJ20" i="19"/>
  <c r="V10" i="30" l="1"/>
  <c r="AS25" i="19"/>
  <c r="AW25" i="19"/>
  <c r="AT25" i="19"/>
  <c r="AU25" i="19"/>
  <c r="AX25" i="19"/>
  <c r="AV25" i="19"/>
  <c r="BJ25" i="19"/>
  <c r="BJ27" i="19"/>
  <c r="BJ22" i="19"/>
  <c r="BJ24" i="19"/>
  <c r="BJ21" i="19"/>
  <c r="BJ29" i="19"/>
  <c r="B29" i="19" s="1"/>
  <c r="I8" i="37" s="1"/>
  <c r="N25" i="19"/>
  <c r="AI25" i="19"/>
  <c r="AK25" i="19"/>
  <c r="AL25" i="19"/>
  <c r="L25" i="19" l="1"/>
  <c r="AM25" i="19"/>
  <c r="AN25" i="19"/>
  <c r="AO25" i="19"/>
  <c r="AR25" i="19"/>
  <c r="AP25" i="19"/>
  <c r="AQ25" i="19"/>
  <c r="I6" i="37"/>
  <c r="J8" i="37"/>
  <c r="J6" i="37" s="1"/>
  <c r="M25" i="19"/>
  <c r="P25" i="19"/>
  <c r="K25" i="19"/>
  <c r="J25" i="19"/>
  <c r="O25" i="19"/>
  <c r="T25" i="19"/>
  <c r="Q25" i="19"/>
  <c r="S25" i="19"/>
  <c r="R25" i="19"/>
  <c r="U25" i="19"/>
  <c r="V25" i="19"/>
  <c r="W25" i="19"/>
  <c r="AA25" i="19"/>
  <c r="X25" i="19"/>
  <c r="Y25" i="19"/>
  <c r="Z25" i="19"/>
  <c r="AC25" i="19"/>
  <c r="AB25" i="19"/>
  <c r="AD25" i="19"/>
  <c r="AF25" i="19"/>
  <c r="AE25" i="19"/>
  <c r="AG25" i="19"/>
  <c r="AJ25" i="19"/>
  <c r="AH25" i="19"/>
  <c r="I5" i="37" l="1"/>
  <c r="C37" i="19"/>
  <c r="J27" i="19"/>
  <c r="K27" i="19" s="1"/>
  <c r="L27" i="19" s="1"/>
  <c r="J22" i="19"/>
  <c r="K22" i="19" s="1"/>
  <c r="L22" i="19" s="1"/>
  <c r="M22" i="19" l="1"/>
  <c r="N22" i="19" s="1"/>
  <c r="O22" i="19" s="1"/>
  <c r="P22" i="19" s="1"/>
  <c r="Q22" i="19" s="1"/>
  <c r="R22" i="19" s="1"/>
  <c r="S22" i="19" s="1"/>
  <c r="T22" i="19" s="1"/>
  <c r="U22" i="19" s="1"/>
  <c r="V22" i="19" s="1"/>
  <c r="W22" i="19" s="1"/>
  <c r="X22" i="19" s="1"/>
  <c r="Y22" i="19" s="1"/>
  <c r="Z22" i="19" s="1"/>
  <c r="AA22" i="19" s="1"/>
  <c r="AB22" i="19" s="1"/>
  <c r="AC22" i="19" s="1"/>
  <c r="AD22" i="19" s="1"/>
  <c r="AE22" i="19" s="1"/>
  <c r="AF22" i="19" s="1"/>
  <c r="AG22" i="19" s="1"/>
  <c r="AH22" i="19" s="1"/>
  <c r="AI22" i="19" s="1"/>
  <c r="AJ22" i="19" s="1"/>
  <c r="AK22" i="19" s="1"/>
  <c r="AL22" i="19" s="1"/>
  <c r="AM22" i="19" s="1"/>
  <c r="AN22" i="19" s="1"/>
  <c r="AO22" i="19" s="1"/>
  <c r="AP22" i="19" s="1"/>
  <c r="AQ22" i="19" s="1"/>
  <c r="AR22" i="19" s="1"/>
  <c r="AS22" i="19" s="1"/>
  <c r="AT22" i="19" s="1"/>
  <c r="AU22" i="19" s="1"/>
  <c r="AV22" i="19" s="1"/>
  <c r="AW22" i="19" s="1"/>
  <c r="AX22" i="19" s="1"/>
  <c r="M27" i="19"/>
  <c r="N27" i="19" s="1"/>
  <c r="O27" i="19" s="1"/>
  <c r="P27" i="19" s="1"/>
  <c r="Q27" i="19" s="1"/>
  <c r="R27" i="19" s="1"/>
  <c r="S27" i="19" s="1"/>
  <c r="T27" i="19" s="1"/>
  <c r="U27" i="19" s="1"/>
  <c r="V27" i="19" s="1"/>
  <c r="W27" i="19" s="1"/>
  <c r="X27" i="19" s="1"/>
  <c r="Y27" i="19" s="1"/>
  <c r="Z27" i="19" s="1"/>
  <c r="AA27" i="19" s="1"/>
  <c r="AB27" i="19" s="1"/>
  <c r="AC27" i="19" s="1"/>
  <c r="AD27" i="19" s="1"/>
  <c r="AE27" i="19" s="1"/>
  <c r="AF27" i="19" s="1"/>
  <c r="AG27" i="19" s="1"/>
  <c r="AH27" i="19" s="1"/>
  <c r="AI27" i="19" s="1"/>
  <c r="AJ27" i="19" s="1"/>
  <c r="AK27" i="19" s="1"/>
  <c r="AL27" i="19" s="1"/>
  <c r="AM27" i="19" s="1"/>
  <c r="AN27" i="19" s="1"/>
  <c r="AO27" i="19" s="1"/>
  <c r="AP27" i="19" s="1"/>
  <c r="AQ27" i="19" s="1"/>
  <c r="AR27" i="19" s="1"/>
  <c r="AS27" i="19" s="1"/>
  <c r="AT27" i="19" s="1"/>
  <c r="AU27" i="19" s="1"/>
  <c r="AV27" i="19" s="1"/>
  <c r="AW27" i="19" s="1"/>
  <c r="AX27" i="19" s="1"/>
  <c r="I4" i="37"/>
  <c r="C2" i="37" s="1"/>
  <c r="C3" i="37"/>
  <c r="C38" i="19"/>
  <c r="C39" i="19"/>
  <c r="C40" i="19"/>
  <c r="B26" i="19" l="1"/>
  <c r="B27" i="19"/>
  <c r="B22" i="19"/>
  <c r="A1" i="37"/>
  <c r="V13" i="30"/>
  <c r="J2" i="4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Luiza Dias</author>
  </authors>
  <commentList>
    <comment ref="H2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Luiza Dias:</t>
        </r>
        <r>
          <rPr>
            <sz val="9"/>
            <color indexed="81"/>
            <rFont val="Tahoma"/>
            <family val="2"/>
          </rPr>
          <t xml:space="preserve">
a profitability ainda não está funcionando bem. Preciso rever como apurar melhor esse número, e se faz sentido.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Guilherme Vidal Cruz</author>
  </authors>
  <commentList>
    <comment ref="B23" authorId="0" shapeId="0" xr:uid="{EF841E8D-A8EA-481E-995E-E0ED27312EA4}">
      <text>
        <r>
          <rPr>
            <b/>
            <sz val="9"/>
            <color indexed="81"/>
            <rFont val="Tahoma"/>
            <family val="2"/>
          </rPr>
          <t>Guilherme Vidal Cruz:</t>
        </r>
        <r>
          <rPr>
            <sz val="9"/>
            <color indexed="81"/>
            <rFont val="Tahoma"/>
            <family val="2"/>
          </rPr>
          <t xml:space="preserve">
Verificar se vamos querer colocar uma linha constante com o limite Anaul</t>
        </r>
      </text>
    </comment>
    <comment ref="B26" authorId="0" shapeId="0" xr:uid="{1143CB69-99A1-4BA6-8FE0-D975F3512952}">
      <text>
        <r>
          <rPr>
            <b/>
            <sz val="9"/>
            <color indexed="81"/>
            <rFont val="Tahoma"/>
            <family val="2"/>
          </rPr>
          <t>Guilherme Vidal Cruz:</t>
        </r>
        <r>
          <rPr>
            <sz val="9"/>
            <color indexed="81"/>
            <rFont val="Tahoma"/>
            <family val="2"/>
          </rPr>
          <t xml:space="preserve">
Verificar se vamos querer colocar uma linha constante com o limite Anaul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Luiza Dias</author>
    <author>Lucas Telles Werner</author>
  </authors>
  <commentList>
    <comment ref="B6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 xml:space="preserve">Luiza Dias:
Importante: </t>
        </r>
        <r>
          <rPr>
            <sz val="9"/>
            <color indexed="81"/>
            <rFont val="Tahoma"/>
            <family val="2"/>
          </rPr>
          <t>Para meses actual, replicar o PLD publicado para o SE (nunca deixar em branco, pois é usado como referencia para preço execução de compra/venda das operações)</t>
        </r>
      </text>
    </comment>
    <comment ref="B1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Luiza Dias:</t>
        </r>
        <r>
          <rPr>
            <sz val="9"/>
            <color indexed="81"/>
            <rFont val="Tahoma"/>
            <family val="2"/>
          </rPr>
          <t xml:space="preserve">
Descasamento médio esperado em relação ao SE, conforme FORECAST de estudos. Verificar se vamos usar FORECAST ou series NEWAVE</t>
        </r>
      </text>
    </comment>
    <comment ref="B13" authorId="1" shapeId="0" xr:uid="{00000000-0006-0000-0900-000003000000}">
      <text>
        <r>
          <rPr>
            <b/>
            <sz val="9"/>
            <color indexed="81"/>
            <rFont val="Tahoma"/>
            <family val="2"/>
          </rPr>
          <t>Lucas Telles Werner:</t>
        </r>
        <r>
          <rPr>
            <sz val="9"/>
            <color indexed="81"/>
            <rFont val="Tahoma"/>
            <family val="2"/>
          </rPr>
          <t xml:space="preserve">
Na virada do mês (6 du's) atualizar o descasamento de submercado.</t>
        </r>
      </text>
    </comment>
    <comment ref="B17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Luiza Dias:</t>
        </r>
        <r>
          <rPr>
            <sz val="9"/>
            <color indexed="81"/>
            <rFont val="Tahoma"/>
            <family val="2"/>
          </rPr>
          <t xml:space="preserve">
Média do desagio conforme planilha da FPC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Luiza Dias</author>
  </authors>
  <commentList>
    <comment ref="B14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Luiza Dias:</t>
        </r>
        <r>
          <rPr>
            <sz val="9"/>
            <color indexed="81"/>
            <rFont val="Tahoma"/>
            <family val="2"/>
          </rPr>
          <t xml:space="preserve">
necessário discutir se spreads de submercado serão estressados junto com o preço base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Luiza Dias</author>
  </authors>
  <commentList>
    <comment ref="BB15" authorId="0" shapeId="0" xr:uid="{00000000-0006-0000-0E00-000001000000}">
      <text>
        <r>
          <rPr>
            <b/>
            <sz val="9"/>
            <color indexed="81"/>
            <rFont val="Tahoma"/>
            <family val="2"/>
          </rPr>
          <t>Luiza Dias:</t>
        </r>
        <r>
          <rPr>
            <sz val="9"/>
            <color indexed="81"/>
            <rFont val="Tahoma"/>
            <family val="2"/>
          </rPr>
          <t xml:space="preserve">
Lembrar de corrigir a referência do bloco de var covar matrix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Miranda Miliante</author>
  </authors>
  <commentList>
    <comment ref="M8" authorId="0" shapeId="0" xr:uid="{00000000-0006-0000-0F00-000001000000}">
      <text>
        <r>
          <rPr>
            <b/>
            <sz val="9"/>
            <color indexed="81"/>
            <rFont val="Tahoma"/>
            <family val="2"/>
          </rPr>
          <t>Lucas Miranda Miliante:</t>
        </r>
        <r>
          <rPr>
            <sz val="9"/>
            <color indexed="81"/>
            <rFont val="Tahoma"/>
            <family val="2"/>
          </rPr>
          <t xml:space="preserve">
Os checks são feitos no Resumo do Book de Trading e o resultado é trazido pela macro.</t>
        </r>
      </text>
    </comment>
    <comment ref="M9" authorId="0" shapeId="0" xr:uid="{00000000-0006-0000-0F00-000002000000}">
      <text>
        <r>
          <rPr>
            <b/>
            <sz val="9"/>
            <color indexed="81"/>
            <rFont val="Tahoma"/>
            <family val="2"/>
          </rPr>
          <t>Lucas Miranda Miliante:</t>
        </r>
        <r>
          <rPr>
            <sz val="9"/>
            <color indexed="81"/>
            <rFont val="Tahoma"/>
            <family val="2"/>
          </rPr>
          <t xml:space="preserve">
Os checks são feitos no Resumo do Book de Trading e o resultado é trazido pela macro.</t>
        </r>
      </text>
    </comment>
    <comment ref="M10" authorId="0" shapeId="0" xr:uid="{00000000-0006-0000-0F00-000003000000}">
      <text>
        <r>
          <rPr>
            <b/>
            <sz val="9"/>
            <color indexed="81"/>
            <rFont val="Tahoma"/>
            <family val="2"/>
          </rPr>
          <t>Lucas Miranda Miliante:</t>
        </r>
        <r>
          <rPr>
            <sz val="9"/>
            <color indexed="81"/>
            <rFont val="Tahoma"/>
            <family val="2"/>
          </rPr>
          <t xml:space="preserve">
Os checks são feitos no Resumo do Book de Trading e o resultado é trazido pela macro.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<sst xmlns="http://schemas.openxmlformats.org/spreadsheetml/2006/main" count="39429" uniqueCount="2687">
  <si>
    <t>Preço</t>
  </si>
  <si>
    <t>Spread</t>
  </si>
  <si>
    <t>Compra</t>
  </si>
  <si>
    <t>Conv</t>
  </si>
  <si>
    <t>Venda</t>
  </si>
  <si>
    <t>i5</t>
  </si>
  <si>
    <t>i1</t>
  </si>
  <si>
    <t>Custo</t>
  </si>
  <si>
    <t>Contraparte</t>
  </si>
  <si>
    <t>PLD</t>
  </si>
  <si>
    <t>Codigo</t>
  </si>
  <si>
    <t>N</t>
  </si>
  <si>
    <t>S</t>
  </si>
  <si>
    <t>NE</t>
  </si>
  <si>
    <t>VCompra</t>
  </si>
  <si>
    <t>VVenda</t>
  </si>
  <si>
    <t>Volume</t>
  </si>
  <si>
    <t>Receita</t>
  </si>
  <si>
    <t>MtM</t>
  </si>
  <si>
    <t>Financeiro Efetivo</t>
  </si>
  <si>
    <t>Fin Spot</t>
  </si>
  <si>
    <t>Marcação a Mercado</t>
  </si>
  <si>
    <t>Tipo Op</t>
  </si>
  <si>
    <t>Total</t>
  </si>
  <si>
    <t>i0</t>
  </si>
  <si>
    <t>M+0</t>
  </si>
  <si>
    <t>M+1</t>
  </si>
  <si>
    <t>M+2</t>
  </si>
  <si>
    <t>M+3</t>
  </si>
  <si>
    <t>A+0</t>
  </si>
  <si>
    <t>A+1</t>
  </si>
  <si>
    <t>A+2</t>
  </si>
  <si>
    <t>A+3</t>
  </si>
  <si>
    <t>A+4</t>
  </si>
  <si>
    <t>Entrega</t>
  </si>
  <si>
    <t xml:space="preserve">FPC </t>
  </si>
  <si>
    <t>GWh</t>
  </si>
  <si>
    <t>Submercado</t>
  </si>
  <si>
    <t>Fundo</t>
  </si>
  <si>
    <t>BIF</t>
  </si>
  <si>
    <t>BER</t>
  </si>
  <si>
    <t>Fonte</t>
  </si>
  <si>
    <t>SWAP Fonte (Venda)</t>
  </si>
  <si>
    <t>BROOKFIELD ENERGIA COMERCIALIZADORA LTDA.</t>
  </si>
  <si>
    <t>SE</t>
  </si>
  <si>
    <t>SWAP Fonte (Compra)</t>
  </si>
  <si>
    <t>BROOKFIELD ENERGIA COMERCIALIZADORA LTDA. (GUAPORÉ)</t>
  </si>
  <si>
    <t>ITIQUIRA ENERGÉTICA S.A.</t>
  </si>
  <si>
    <t/>
  </si>
  <si>
    <t>Recompra</t>
  </si>
  <si>
    <t>SWAP Carteira (Venda)</t>
  </si>
  <si>
    <t>SWAP Período/Fonte (Venda)</t>
  </si>
  <si>
    <t>SWAP Período/Fonte (Compra)</t>
  </si>
  <si>
    <t>TANGARÁ ENERGIA S.A.</t>
  </si>
  <si>
    <t>Fixo</t>
  </si>
  <si>
    <t>PLD + Spread</t>
  </si>
  <si>
    <t>%</t>
  </si>
  <si>
    <t>Posição</t>
  </si>
  <si>
    <t>LONG</t>
  </si>
  <si>
    <t>SHORT</t>
  </si>
  <si>
    <t>Dados da Operação</t>
  </si>
  <si>
    <t>PCompra</t>
  </si>
  <si>
    <t>PVenda</t>
  </si>
  <si>
    <t>VaR (FPC 5%)</t>
  </si>
  <si>
    <t>VaR (FPC 95%)</t>
  </si>
  <si>
    <t>Entidade</t>
  </si>
  <si>
    <t>Fonte Trading</t>
  </si>
  <si>
    <t>CQi1</t>
  </si>
  <si>
    <t>CQi5</t>
  </si>
  <si>
    <t>FECHAMENTO</t>
  </si>
  <si>
    <t>TIPO OP</t>
  </si>
  <si>
    <t>VENDEDOR</t>
  </si>
  <si>
    <t>COMPRADOR</t>
  </si>
  <si>
    <t>FONTE</t>
  </si>
  <si>
    <t>SUBMERCADO</t>
  </si>
  <si>
    <t>MOD_PRECO</t>
  </si>
  <si>
    <t>POSICAO</t>
  </si>
  <si>
    <t>ENTIDADE</t>
  </si>
  <si>
    <t>FUNDO</t>
  </si>
  <si>
    <t>Tipo Operação Trading</t>
  </si>
  <si>
    <t>Tipo Operação</t>
  </si>
  <si>
    <t>SWPFONTE</t>
  </si>
  <si>
    <t>SWPCARTEIRA</t>
  </si>
  <si>
    <t>SWPTIME</t>
  </si>
  <si>
    <t>COMPRA</t>
  </si>
  <si>
    <t>VENDA</t>
  </si>
  <si>
    <t>RECOMPRA</t>
  </si>
  <si>
    <t>SWPTIMEFONTE</t>
  </si>
  <si>
    <t>SWPSUBMKT</t>
  </si>
  <si>
    <t>Mod Preço</t>
  </si>
  <si>
    <t>recompra2</t>
  </si>
  <si>
    <t>ModPreco</t>
  </si>
  <si>
    <t>PLD+</t>
  </si>
  <si>
    <t>Fonte MTM</t>
  </si>
  <si>
    <t>Horas</t>
  </si>
  <si>
    <t>Conv SE</t>
  </si>
  <si>
    <t>Conv S</t>
  </si>
  <si>
    <t>Conv NE</t>
  </si>
  <si>
    <t>Conv N</t>
  </si>
  <si>
    <t>i0 SE</t>
  </si>
  <si>
    <t>i0 S</t>
  </si>
  <si>
    <t>i0 NE</t>
  </si>
  <si>
    <t>i0 N</t>
  </si>
  <si>
    <t>i5 SE</t>
  </si>
  <si>
    <t>i5 S</t>
  </si>
  <si>
    <t>i5 NE</t>
  </si>
  <si>
    <t>i5 N</t>
  </si>
  <si>
    <t>i1 SE</t>
  </si>
  <si>
    <t>i1 S</t>
  </si>
  <si>
    <t>i1 NE</t>
  </si>
  <si>
    <t>i1 N</t>
  </si>
  <si>
    <t>Referencia pFIXO</t>
  </si>
  <si>
    <t>Referencia Spread</t>
  </si>
  <si>
    <t>Spread Submercado</t>
  </si>
  <si>
    <t>SUL</t>
  </si>
  <si>
    <t>NORDESTE</t>
  </si>
  <si>
    <t>NORTE</t>
  </si>
  <si>
    <t>Input</t>
  </si>
  <si>
    <t>Formula</t>
  </si>
  <si>
    <t>SPREAD</t>
  </si>
  <si>
    <t>Referencia %</t>
  </si>
  <si>
    <t>Preços e Spreads para Marcação a Mercado</t>
  </si>
  <si>
    <t>CQi5 SE</t>
  </si>
  <si>
    <t>CQi5 S</t>
  </si>
  <si>
    <t>CQi5 NE</t>
  </si>
  <si>
    <t>CQi5 N</t>
  </si>
  <si>
    <t>CQi1 SE</t>
  </si>
  <si>
    <t>CQi1 S</t>
  </si>
  <si>
    <t>CQi1 NE</t>
  </si>
  <si>
    <t>CQi1 N</t>
  </si>
  <si>
    <t>Preços e Spreads Estressados para cálculo do VaR</t>
  </si>
  <si>
    <t>Parametros VaR</t>
  </si>
  <si>
    <t>μ</t>
  </si>
  <si>
    <t>σ</t>
  </si>
  <si>
    <t>Volatilidade</t>
  </si>
  <si>
    <t>Base</t>
  </si>
  <si>
    <t>Floor</t>
  </si>
  <si>
    <t>Ceiling</t>
  </si>
  <si>
    <t>Left tail</t>
  </si>
  <si>
    <t>Right Tail</t>
  </si>
  <si>
    <t>Balanço de Energia Operações Curto Prazo</t>
  </si>
  <si>
    <t>aMW</t>
  </si>
  <si>
    <t>% spread</t>
  </si>
  <si>
    <t>%spread</t>
  </si>
  <si>
    <t>R$</t>
  </si>
  <si>
    <t>Check</t>
  </si>
  <si>
    <t>MtM das posições de Curto Prazo</t>
  </si>
  <si>
    <t>i0 x Conv</t>
  </si>
  <si>
    <t>i5 x Conv</t>
  </si>
  <si>
    <t>i1 x Conv</t>
  </si>
  <si>
    <t>Tabelas de DE-PARA para as macros - **UNICA AÇÃO PERMITIDA É CADASTRAR NOVOS ITENS AOS BLOCOS EXISTENTES**</t>
  </si>
  <si>
    <t>MWh</t>
  </si>
  <si>
    <t>Resultado Consolidado</t>
  </si>
  <si>
    <t>Actual</t>
  </si>
  <si>
    <t>TESTE</t>
  </si>
  <si>
    <t>Releases</t>
  </si>
  <si>
    <t>Net (GWh)</t>
  </si>
  <si>
    <t>VaR</t>
  </si>
  <si>
    <t>FPC left tail</t>
  </si>
  <si>
    <t>FPC right tail</t>
  </si>
  <si>
    <t>RESULTADO CONSOLIDADO E VALOR EM RISCO</t>
  </si>
  <si>
    <t>Financeiro</t>
  </si>
  <si>
    <t>Sub</t>
  </si>
  <si>
    <t>Volumes (aMW)</t>
  </si>
  <si>
    <t>Preços (R$/MWh)</t>
  </si>
  <si>
    <t>VaR (FPC left tail)</t>
  </si>
  <si>
    <t>VaR (FPC right tail)</t>
  </si>
  <si>
    <t>Min</t>
  </si>
  <si>
    <t>Max</t>
  </si>
  <si>
    <t>Amp</t>
  </si>
  <si>
    <t>Bin Qtd</t>
  </si>
  <si>
    <t>Bin Amp</t>
  </si>
  <si>
    <t>BookValue</t>
  </si>
  <si>
    <t>Count</t>
  </si>
  <si>
    <t>%StopLoss Limit</t>
  </si>
  <si>
    <t>StopLoss Limit</t>
  </si>
  <si>
    <t>Usage</t>
  </si>
  <si>
    <t>book value</t>
  </si>
  <si>
    <t>high-water mark</t>
  </si>
  <si>
    <t>drawdown</t>
  </si>
  <si>
    <t>max drawdown</t>
  </si>
  <si>
    <t>MDD/Stop Loss</t>
  </si>
  <si>
    <t>Risk/Reward</t>
  </si>
  <si>
    <t>auxGPH</t>
  </si>
  <si>
    <t>YTD return</t>
  </si>
  <si>
    <t>Data</t>
  </si>
  <si>
    <t>New Trades</t>
  </si>
  <si>
    <t>Highest P/L</t>
  </si>
  <si>
    <t>Drawdown</t>
  </si>
  <si>
    <t>%StopLoss</t>
  </si>
  <si>
    <t>Ult_linha</t>
  </si>
  <si>
    <t>MDD</t>
  </si>
  <si>
    <t>Cash</t>
  </si>
  <si>
    <t>Cash_R</t>
  </si>
  <si>
    <t>Ult_linha_R</t>
  </si>
  <si>
    <t>New trades_R</t>
  </si>
  <si>
    <t>MtM_R</t>
  </si>
  <si>
    <t>Current P/L</t>
  </si>
  <si>
    <t xml:space="preserve">Balanço de Energia Releases </t>
  </si>
  <si>
    <t>MtM das posições de Releases</t>
  </si>
  <si>
    <t>Resultado Releases</t>
  </si>
  <si>
    <t>Consumo</t>
  </si>
  <si>
    <t>Spreads</t>
  </si>
  <si>
    <t>Spread PLD S</t>
  </si>
  <si>
    <t>Spread PLD NE</t>
  </si>
  <si>
    <t>Spread PLD N</t>
  </si>
  <si>
    <t>CONV SE (FPC)</t>
  </si>
  <si>
    <t>FPC - Left Tail</t>
  </si>
  <si>
    <t>FPC - Right Tail</t>
  </si>
  <si>
    <t>PLD esperado</t>
  </si>
  <si>
    <t>/1000</t>
  </si>
  <si>
    <t>Bin N</t>
  </si>
  <si>
    <t>HWM</t>
  </si>
  <si>
    <t>P/L in R$</t>
  </si>
  <si>
    <t>Trading</t>
  </si>
  <si>
    <t>Resultado Trading</t>
  </si>
  <si>
    <t>MtM 5%</t>
  </si>
  <si>
    <t>MtM 95%</t>
  </si>
  <si>
    <t>Volume (frwd)</t>
  </si>
  <si>
    <t>Balanço consolidado (trading + releases) por tipo de Energia (MWh)</t>
  </si>
  <si>
    <t>Saldo de Desconto</t>
  </si>
  <si>
    <t>Vol Inicial</t>
  </si>
  <si>
    <t>Vol Final</t>
  </si>
  <si>
    <t>MWh 50%</t>
  </si>
  <si>
    <t>MWh 100%</t>
  </si>
  <si>
    <t>R$ inicial</t>
  </si>
  <si>
    <t>R$ Final</t>
  </si>
  <si>
    <t>Saldo Desc</t>
  </si>
  <si>
    <t>Book Total</t>
  </si>
  <si>
    <t>Total Book</t>
  </si>
  <si>
    <t>Risk Management Department</t>
  </si>
  <si>
    <t>Expected</t>
  </si>
  <si>
    <t>Expected Value</t>
  </si>
  <si>
    <t>Limit Usage</t>
  </si>
  <si>
    <t>RELEASES</t>
  </si>
  <si>
    <t>Desconto (actual)</t>
  </si>
  <si>
    <t>Book Value</t>
  </si>
  <si>
    <t>Cumulative</t>
  </si>
  <si>
    <t>Monthly</t>
  </si>
  <si>
    <t>Aux</t>
  </si>
  <si>
    <t>Limite VaR</t>
  </si>
  <si>
    <t>Usage:</t>
  </si>
  <si>
    <t>%Usage:</t>
  </si>
  <si>
    <t>&lt;</t>
  </si>
  <si>
    <t>Usinas Eólicas (Brookfield Energia)</t>
  </si>
  <si>
    <t>Cumulative (Forecast)</t>
  </si>
  <si>
    <t>Retornos Semanais</t>
  </si>
  <si>
    <t>Average</t>
  </si>
  <si>
    <t>StdDev</t>
  </si>
  <si>
    <t>Variancia</t>
  </si>
  <si>
    <t>Excess Returns</t>
  </si>
  <si>
    <t>Variance-Covariance Matrix</t>
  </si>
  <si>
    <t>TEST</t>
  </si>
  <si>
    <t>Teste de cálculo individual</t>
  </si>
  <si>
    <t>M+0/M+1</t>
  </si>
  <si>
    <t>M+2/M+3</t>
  </si>
  <si>
    <t>SAMPLE</t>
  </si>
  <si>
    <t>Consolidado</t>
  </si>
  <si>
    <t>@Risk</t>
  </si>
  <si>
    <t>%share</t>
  </si>
  <si>
    <t>%Share</t>
  </si>
  <si>
    <t>Vol w</t>
  </si>
  <si>
    <t>Vol m</t>
  </si>
  <si>
    <t>alpha</t>
  </si>
  <si>
    <t>NormDist</t>
  </si>
  <si>
    <r>
      <t>VaR</t>
    </r>
    <r>
      <rPr>
        <b/>
        <sz val="11"/>
        <color theme="1"/>
        <rFont val="Calibri"/>
        <family val="2"/>
      </rPr>
      <t>α</t>
    </r>
  </si>
  <si>
    <r>
      <t>VaR(1-</t>
    </r>
    <r>
      <rPr>
        <b/>
        <sz val="11"/>
        <color theme="1"/>
        <rFont val="Calibri"/>
        <family val="2"/>
      </rPr>
      <t>α)</t>
    </r>
  </si>
  <si>
    <t>Tdist</t>
  </si>
  <si>
    <t>p@Risk</t>
  </si>
  <si>
    <t>Weekly</t>
  </si>
  <si>
    <t>Dcide</t>
  </si>
  <si>
    <t>Histórico FPC BER - CONV SE</t>
  </si>
  <si>
    <t>Full</t>
  </si>
  <si>
    <t>12w</t>
  </si>
  <si>
    <t>24w</t>
  </si>
  <si>
    <t>52w</t>
  </si>
  <si>
    <t>Correl Matrix</t>
  </si>
  <si>
    <t>MtM em Risco</t>
  </si>
  <si>
    <t>Volume em Risco</t>
  </si>
  <si>
    <t>df</t>
  </si>
  <si>
    <t>Calculada</t>
  </si>
  <si>
    <r>
      <rPr>
        <b/>
        <sz val="12"/>
        <color theme="0"/>
        <rFont val="Calibri"/>
        <family val="2"/>
      </rPr>
      <t xml:space="preserve">α </t>
    </r>
    <r>
      <rPr>
        <b/>
        <sz val="11"/>
        <color theme="0"/>
        <rFont val="Calibri"/>
        <family val="2"/>
      </rPr>
      <t>- Sig Level</t>
    </r>
  </si>
  <si>
    <t>Mês (aberto)</t>
  </si>
  <si>
    <t>VaRp</t>
  </si>
  <si>
    <t>Month</t>
  </si>
  <si>
    <t>Cap</t>
  </si>
  <si>
    <t>α</t>
  </si>
  <si>
    <t>Approved Limits</t>
  </si>
  <si>
    <t>Stop-Loss</t>
  </si>
  <si>
    <t>Shape</t>
  </si>
  <si>
    <t>Returns' Distribution</t>
  </si>
  <si>
    <t>t-student</t>
  </si>
  <si>
    <t>normal</t>
  </si>
  <si>
    <t>Volatility Window - Weekly</t>
  </si>
  <si>
    <t>Volatility Window - Monthly</t>
  </si>
  <si>
    <t>Vol 1m</t>
  </si>
  <si>
    <t>rDistrib</t>
  </si>
  <si>
    <t>%Percentil FPC</t>
  </si>
  <si>
    <t>%PercentilBook</t>
  </si>
  <si>
    <t>Portf. α FPC</t>
  </si>
  <si>
    <t>Portf. (1-α) FPC</t>
  </si>
  <si>
    <t>VaR pFPC</t>
  </si>
  <si>
    <t>Aux2</t>
  </si>
  <si>
    <t>auxiliar VALUE @ RISK</t>
  </si>
  <si>
    <r>
      <t xml:space="preserve">Portf. </t>
    </r>
    <r>
      <rPr>
        <b/>
        <sz val="14"/>
        <rFont val="Calibri"/>
        <family val="2"/>
        <scheme val="minor"/>
      </rPr>
      <t xml:space="preserve">α </t>
    </r>
  </si>
  <si>
    <r>
      <t xml:space="preserve">Portf. </t>
    </r>
    <r>
      <rPr>
        <b/>
        <sz val="14"/>
        <rFont val="Calibri"/>
        <family val="2"/>
        <scheme val="minor"/>
      </rPr>
      <t xml:space="preserve">(1-α) </t>
    </r>
  </si>
  <si>
    <t>Percentil</t>
  </si>
  <si>
    <t>VaR-Covar Matrix BER</t>
  </si>
  <si>
    <t>RESULTADO</t>
  </si>
  <si>
    <t>Alpha</t>
  </si>
  <si>
    <t>Limite StopLoss</t>
  </si>
  <si>
    <t>%VaR</t>
  </si>
  <si>
    <t>T(1)N(0)</t>
  </si>
  <si>
    <t>VaR left</t>
  </si>
  <si>
    <t>VaR right</t>
  </si>
  <si>
    <t>Book left</t>
  </si>
  <si>
    <t>Book right</t>
  </si>
  <si>
    <t>AUXVOLUMES</t>
  </si>
  <si>
    <t>Investment</t>
  </si>
  <si>
    <t>Proftability</t>
  </si>
  <si>
    <t>Fixed Price</t>
  </si>
  <si>
    <t>PLD%</t>
  </si>
  <si>
    <t>I5</t>
  </si>
  <si>
    <t>Releases recebidos do Portfolio</t>
  </si>
  <si>
    <t>Balanço</t>
  </si>
  <si>
    <t>BALANÇO</t>
  </si>
  <si>
    <t>Balanço (T+R)</t>
  </si>
  <si>
    <t>Trading volume</t>
  </si>
  <si>
    <t>Releases volume</t>
  </si>
  <si>
    <t>Otimização</t>
  </si>
  <si>
    <t>Renascença I</t>
  </si>
  <si>
    <t>Renascença II</t>
  </si>
  <si>
    <t>Renascença III</t>
  </si>
  <si>
    <t>Renascença IV</t>
  </si>
  <si>
    <t>Ventos de São Miguel</t>
  </si>
  <si>
    <t>FPC d-1</t>
  </si>
  <si>
    <t>d0</t>
  </si>
  <si>
    <t>d-1</t>
  </si>
  <si>
    <t>FPC w-1</t>
  </si>
  <si>
    <t>Mod_Preço</t>
  </si>
  <si>
    <t>VAR PAR</t>
  </si>
  <si>
    <t>Delta (R$)</t>
  </si>
  <si>
    <t>Atenção: virar o mês apenas após o 6du</t>
  </si>
  <si>
    <t>Incentive Balance</t>
  </si>
  <si>
    <t>Volumes</t>
  </si>
  <si>
    <t>R$/MWh</t>
  </si>
  <si>
    <t>Portfólio</t>
  </si>
  <si>
    <t>Referencia + Spread</t>
  </si>
  <si>
    <t>WX Energy Comercializadora de Energia Ltda</t>
  </si>
  <si>
    <t>CPFL Comercialização Brasil S.A.</t>
  </si>
  <si>
    <t>Matrix Comercializadora de Energia Elétrica SA</t>
  </si>
  <si>
    <t>CQ</t>
  </si>
  <si>
    <t>positivo</t>
  </si>
  <si>
    <t>Newcom Comercializadora de Energia Elétrica Ltda</t>
  </si>
  <si>
    <t>Statkraft Energia do Brasil Ltda</t>
  </si>
  <si>
    <t>Energisa Comercializadora de Energia Ltda</t>
  </si>
  <si>
    <t>ENGIE TRADING COMERCIALIZADORA DE ENERGIA LTDA</t>
  </si>
  <si>
    <t>Focus Energia LTDA</t>
  </si>
  <si>
    <t>-</t>
  </si>
  <si>
    <t>Enviar Para:</t>
  </si>
  <si>
    <t>Ultima linha da tabela DB preenchida antes da atualização</t>
  </si>
  <si>
    <t>CC:</t>
  </si>
  <si>
    <t>Assunto:</t>
  </si>
  <si>
    <t>Saudação</t>
  </si>
  <si>
    <t>Linha 1</t>
  </si>
  <si>
    <t>Linha 2</t>
  </si>
  <si>
    <t>Comentários do dia:</t>
  </si>
  <si>
    <t>Linha 3</t>
  </si>
  <si>
    <t xml:space="preserve">Operações Asset: </t>
  </si>
  <si>
    <t>Linha 4</t>
  </si>
  <si>
    <t>Operações Trading:</t>
  </si>
  <si>
    <t>Linha 5</t>
  </si>
  <si>
    <t>&lt;b&gt;A mudança no MtM se deve à variação da FPC conforme pode ser visto no gráfico 'Daily change to FPC'.&lt;/b&gt;</t>
  </si>
  <si>
    <t>Linha 6</t>
  </si>
  <si>
    <t>Linha 7</t>
  </si>
  <si>
    <t>&lt;b&gt;**Lembrete: Após a virada de cada mês (6ºdu CCEE - limite para criação de novos contratos) quando houver posições de incentivo estas serão liquidadas a PLD. O saldo de desconto acumulado será guardado.**&lt;/b&gt;</t>
  </si>
  <si>
    <t>Linha 8</t>
  </si>
  <si>
    <t>Fico a disposição em caso de dúvidas ou sugestões.</t>
  </si>
  <si>
    <t>Linha 9</t>
  </si>
  <si>
    <t>Book de Trading - Simulador e resultado</t>
  </si>
  <si>
    <t>Caminho
Report Diário:</t>
  </si>
  <si>
    <t>Caminho
Simulador:</t>
  </si>
  <si>
    <t>Caminho
Resumo Book de Trading:</t>
  </si>
  <si>
    <t>Resumo do Book de Trading</t>
  </si>
  <si>
    <t>Anexos do email</t>
  </si>
  <si>
    <t>Ultima linha da tabela DB preenchida após a atualização</t>
  </si>
  <si>
    <t>Caminho
Book de Trading Diário:</t>
  </si>
  <si>
    <t>Eletrobras CGT Eletrosul</t>
  </si>
  <si>
    <t>STB_20_0342</t>
  </si>
  <si>
    <t>REL_20_0202</t>
  </si>
  <si>
    <t>STB_20_0355</t>
  </si>
  <si>
    <t>REL_20_0208</t>
  </si>
  <si>
    <t>CESP - COMPANHIA ENERGÉTICA DE SÃO PAULO</t>
  </si>
  <si>
    <t>CESP COMERCIALIZADORA DE ENERGIA S.A.</t>
  </si>
  <si>
    <t>STB_20_0491</t>
  </si>
  <si>
    <t>F163416</t>
  </si>
  <si>
    <t>Monthly (aMW)</t>
  </si>
  <si>
    <t>Spread PLD SE</t>
  </si>
  <si>
    <t>STB_20_0593</t>
  </si>
  <si>
    <t>STB_20_0696</t>
  </si>
  <si>
    <t>STB_20_0708</t>
  </si>
  <si>
    <t>Não é possivel ver 100%</t>
  </si>
  <si>
    <t>F172788</t>
  </si>
  <si>
    <t>WBC</t>
  </si>
  <si>
    <t>BC Comercializadora de Energia Ltda</t>
  </si>
  <si>
    <t>COMERC Comercializadora de Energia Elétrica Ltda.</t>
  </si>
  <si>
    <t>MPC Enex Comercializadora de Energia Ltda</t>
  </si>
  <si>
    <t>SWAP Período (Venda)</t>
  </si>
  <si>
    <t>SWAP Período (Compra)</t>
  </si>
  <si>
    <t>Prime Energy Comercializadora de Energia EIRELI</t>
  </si>
  <si>
    <t>CTG BRASIL TRADING LTDA.</t>
  </si>
  <si>
    <t>BP Comercializadora de Energia LTDA</t>
  </si>
  <si>
    <t>SWAP Carteira (Compra)</t>
  </si>
  <si>
    <t>SWAP Submercado (Venda)</t>
  </si>
  <si>
    <t>SWAP Submercado (Compra)</t>
  </si>
  <si>
    <t>Mai-Dez 21</t>
  </si>
  <si>
    <t>Nov-Dez 19</t>
  </si>
  <si>
    <t>Mar-Dez 20</t>
  </si>
  <si>
    <t>Abr-Dez 20</t>
  </si>
  <si>
    <t>Jun-Dez 20</t>
  </si>
  <si>
    <t>Jul-Dez 20</t>
  </si>
  <si>
    <t>Nov-Dez 20</t>
  </si>
  <si>
    <t>Mar-Dez 21</t>
  </si>
  <si>
    <t>Abr-Dez 21</t>
  </si>
  <si>
    <t>Jun-Dez 21</t>
  </si>
  <si>
    <t>Jul-Dez 21</t>
  </si>
  <si>
    <t>Nov-Dez 21</t>
  </si>
  <si>
    <t>Mar-Dez 22</t>
  </si>
  <si>
    <t>Abr-Dez 22</t>
  </si>
  <si>
    <t>Jun-Dez 22</t>
  </si>
  <si>
    <t>Jul-Dez 22</t>
  </si>
  <si>
    <t>Nov-Dez 22</t>
  </si>
  <si>
    <t>Mar-Dez 23</t>
  </si>
  <si>
    <t>Abr-Dez 23</t>
  </si>
  <si>
    <t>Jun-Dez 23</t>
  </si>
  <si>
    <t>Jul-Dez 23</t>
  </si>
  <si>
    <t>Nov-Dez 23</t>
  </si>
  <si>
    <t>Mar-Dez 24</t>
  </si>
  <si>
    <t>Abr-Dez 24</t>
  </si>
  <si>
    <t>Mai-Dez 20</t>
  </si>
  <si>
    <t>Mai-Dez 22</t>
  </si>
  <si>
    <t>Mai-Dez 23</t>
  </si>
  <si>
    <t>Ago-Dez 20</t>
  </si>
  <si>
    <t>Ago-Dez 21</t>
  </si>
  <si>
    <t>Ago-Dez 22</t>
  </si>
  <si>
    <t>Ago-Dez 23</t>
  </si>
  <si>
    <t>Set-Dez 20</t>
  </si>
  <si>
    <t>Set-Dez 21</t>
  </si>
  <si>
    <t>Set-Dez 22</t>
  </si>
  <si>
    <t>Set-Dez 23</t>
  </si>
  <si>
    <t>Out-Dez 20</t>
  </si>
  <si>
    <t>Out-Dez 21</t>
  </si>
  <si>
    <t>Out-Dez 22</t>
  </si>
  <si>
    <t>Out-Dez 23</t>
  </si>
  <si>
    <t>Fev-Dez 20</t>
  </si>
  <si>
    <t>Fev-Dez 21</t>
  </si>
  <si>
    <t>Fev-Dez 22</t>
  </si>
  <si>
    <t>Fev-Dez 23</t>
  </si>
  <si>
    <t>Fev-Dez 24</t>
  </si>
  <si>
    <t>BROOKFIELD ENERGIA RENOVAVEL S.A.</t>
  </si>
  <si>
    <t>REL_20_0468</t>
  </si>
  <si>
    <t>STB_20_0780</t>
  </si>
  <si>
    <t>STB_20_0783</t>
  </si>
  <si>
    <t>F185437</t>
  </si>
  <si>
    <t>Capitale Energia Comercializadora Ltda</t>
  </si>
  <si>
    <t>America Energia S/A</t>
  </si>
  <si>
    <t>Esfera Comercializadora de Energia Ltda</t>
  </si>
  <si>
    <t>Stima Energia Ltda</t>
  </si>
  <si>
    <t>Brasil Comercializadora de Energias Ltda</t>
  </si>
  <si>
    <t>Safira Administração e Comercialização de Energia Ltda</t>
  </si>
  <si>
    <t>Electra Comercializadora de Energia Ltda</t>
  </si>
  <si>
    <t>Nova Energia Comercializadora S.A.</t>
  </si>
  <si>
    <t>Delta Comercializadora de Energia Ltda</t>
  </si>
  <si>
    <t>LOG ENERGIA COMERCIALIZADORA S.A.</t>
  </si>
  <si>
    <t>Gold Comercializadora de Energia Ltda</t>
  </si>
  <si>
    <t>SHELL ENERGY DO BRASIL LTDA</t>
  </si>
  <si>
    <t>Trinity Comercializadora de Energia Elétrica Ltda</t>
  </si>
  <si>
    <t>Atmo Comercializadora de Energia Ltda</t>
  </si>
  <si>
    <t>Genial Energy Comercializadora de Energia Elétrica Ltda</t>
  </si>
  <si>
    <t>Gráficos GWh</t>
  </si>
  <si>
    <t>Check Mês Ativo</t>
  </si>
  <si>
    <t>Formulas com #N/A não são erros. Fazem parte da conta para podermos não mostrar esses valores no gráfico de volume exposure.</t>
  </si>
  <si>
    <t>I0</t>
  </si>
  <si>
    <t>I1</t>
  </si>
  <si>
    <t>CQI1</t>
  </si>
  <si>
    <t>CQI5</t>
  </si>
  <si>
    <t>Ult. Linha</t>
  </si>
  <si>
    <t>Linha Atual</t>
  </si>
  <si>
    <t>Cod formados nos anos anteriores.</t>
  </si>
  <si>
    <t>INICIO</t>
  </si>
  <si>
    <t>FIM</t>
  </si>
  <si>
    <t>CNPJ VENDEDOR</t>
  </si>
  <si>
    <t>CNPJ COMPRADOR</t>
  </si>
  <si>
    <t>VOL (MWm)</t>
  </si>
  <si>
    <t>CODIGO STB</t>
  </si>
  <si>
    <t>CODIGO REL</t>
  </si>
  <si>
    <t>Cod. STB</t>
  </si>
  <si>
    <t>Cod. REL</t>
  </si>
  <si>
    <t>COD WBC</t>
  </si>
  <si>
    <t>I28</t>
  </si>
  <si>
    <t>I43</t>
  </si>
  <si>
    <t>INFINITY TRADING COMERCIALIZADORA DE ENERGIA LTDA</t>
  </si>
  <si>
    <t>Santander Corretora de Seguros, Investimentos e Serviços S.A.</t>
  </si>
  <si>
    <t>Zeta Comercializadora de Energia S.A</t>
  </si>
  <si>
    <t>ENGIE BRASIL ENERGIA COMERCIALIZADORA LTDA</t>
  </si>
  <si>
    <t>Evo Energia LTDA</t>
  </si>
  <si>
    <t>CESP Comercializadora de Energia S.A.</t>
  </si>
  <si>
    <t>Lightcom Comercializadora de Energia S/A</t>
  </si>
  <si>
    <t>2W Energia S.A</t>
  </si>
  <si>
    <t>OMEGA GERACAO S.A.</t>
  </si>
  <si>
    <t>Lux Energy Comercializadora de Energia LTDA.</t>
  </si>
  <si>
    <t>Ecom Energia Ltda</t>
  </si>
  <si>
    <t xml:space="preserve">BROOKFIELD ENERGIA RENOVÁVEL S/A </t>
  </si>
  <si>
    <t>VIVAZ Energia Ltda</t>
  </si>
  <si>
    <t>F209836</t>
  </si>
  <si>
    <t>F210268</t>
  </si>
  <si>
    <t>F210150</t>
  </si>
  <si>
    <t>F210810</t>
  </si>
  <si>
    <t>F220007</t>
  </si>
  <si>
    <t>F220001</t>
  </si>
  <si>
    <t>F219983</t>
  </si>
  <si>
    <t>F226718</t>
  </si>
  <si>
    <t>F228385</t>
  </si>
  <si>
    <t>B229447</t>
  </si>
  <si>
    <t>F229565</t>
  </si>
  <si>
    <t>F230588</t>
  </si>
  <si>
    <t>I49</t>
  </si>
  <si>
    <t>F231592</t>
  </si>
  <si>
    <t>F233188</t>
  </si>
  <si>
    <t>F233187</t>
  </si>
  <si>
    <t>Geramamoré Participações e Comercializadora de Energia LTDA</t>
  </si>
  <si>
    <t>PARATY ENERGIA LTDA</t>
  </si>
  <si>
    <t>BROOKFIELD GESTAO E ENERGIA S.A.</t>
  </si>
  <si>
    <t>25.318.508/0001-63</t>
  </si>
  <si>
    <t>BIF IV</t>
  </si>
  <si>
    <t>BROOKFIELD GESTAO E ENERGIA S/A</t>
  </si>
  <si>
    <t>dez/19</t>
  </si>
  <si>
    <t>dez/20</t>
  </si>
  <si>
    <t>dez/21</t>
  </si>
  <si>
    <t>dez/23</t>
  </si>
  <si>
    <t>F234003</t>
  </si>
  <si>
    <t>F234002</t>
  </si>
  <si>
    <t>F234000</t>
  </si>
  <si>
    <t>F233999</t>
  </si>
  <si>
    <t>F234829</t>
  </si>
  <si>
    <t>SWAP Financeiro (Compra)</t>
  </si>
  <si>
    <t>SWAP Financeiro (Venda)</t>
  </si>
  <si>
    <t>SWPFIN</t>
  </si>
  <si>
    <t xml:space="preserve">BROOKFIELD ENERGIA RENOVAVEL S/A </t>
  </si>
  <si>
    <t>BROOKFIELD ENERGIA RENOVÁVEL S.A.</t>
  </si>
  <si>
    <t>trading@elera.com</t>
  </si>
  <si>
    <t>portfolio@elera.com; estudos.mercado@elera.com; analise.risco@elera.com; natascha.padis@elera.com</t>
  </si>
  <si>
    <t>F238751</t>
  </si>
  <si>
    <t>F238750</t>
  </si>
  <si>
    <t>F238746</t>
  </si>
  <si>
    <t>F238739</t>
  </si>
  <si>
    <t>F240316</t>
  </si>
  <si>
    <t>F240315</t>
  </si>
  <si>
    <t>F241303</t>
  </si>
  <si>
    <t>F241302</t>
  </si>
  <si>
    <t>F241263</t>
  </si>
  <si>
    <t>F241249</t>
  </si>
  <si>
    <t>F241245</t>
  </si>
  <si>
    <t>F241103</t>
  </si>
  <si>
    <t>Atenciosamente,&lt;br&gt;</t>
  </si>
  <si>
    <t>F241871</t>
  </si>
  <si>
    <t>F241848</t>
  </si>
  <si>
    <t>B242919</t>
  </si>
  <si>
    <t>F242842</t>
  </si>
  <si>
    <t>F246406</t>
  </si>
  <si>
    <t>F246398</t>
  </si>
  <si>
    <t>CTG Brasil Negócios de Energia S.A</t>
  </si>
  <si>
    <t>14.295.008/0001-37</t>
  </si>
  <si>
    <t>F248153</t>
  </si>
  <si>
    <t>F248152</t>
  </si>
  <si>
    <t>F248151</t>
  </si>
  <si>
    <t>F248149</t>
  </si>
  <si>
    <t>F248148</t>
  </si>
  <si>
    <t>B248385</t>
  </si>
  <si>
    <t>F248348</t>
  </si>
  <si>
    <t>F248347</t>
  </si>
  <si>
    <t>B248313</t>
  </si>
  <si>
    <t>F248301</t>
  </si>
  <si>
    <t>F248287</t>
  </si>
  <si>
    <t>F248286</t>
  </si>
  <si>
    <t>CASA DOS VENTOS COMERCIALIZADORA DE ENERGIA S.A</t>
  </si>
  <si>
    <t>F248670</t>
  </si>
  <si>
    <t>F248667</t>
  </si>
  <si>
    <t>F248663</t>
  </si>
  <si>
    <t>B248483</t>
  </si>
  <si>
    <t>GERDAU AÇOS LONGOS S.A. - Filial</t>
  </si>
  <si>
    <t>F249067</t>
  </si>
  <si>
    <t>F248730</t>
  </si>
  <si>
    <t>F249075</t>
  </si>
  <si>
    <t>F249963</t>
  </si>
  <si>
    <t>F249962</t>
  </si>
  <si>
    <t>F250457</t>
  </si>
  <si>
    <t>F250456</t>
  </si>
  <si>
    <t>F250902</t>
  </si>
  <si>
    <t>F250649</t>
  </si>
  <si>
    <t>F250646</t>
  </si>
  <si>
    <t>B250643</t>
  </si>
  <si>
    <t>F250641</t>
  </si>
  <si>
    <t>F250640</t>
  </si>
  <si>
    <t>F251218</t>
  </si>
  <si>
    <t>F251188</t>
  </si>
  <si>
    <t>F251177</t>
  </si>
  <si>
    <t>B251141</t>
  </si>
  <si>
    <t>F251139</t>
  </si>
  <si>
    <t>F251110</t>
  </si>
  <si>
    <t>F251109</t>
  </si>
  <si>
    <t>F251108</t>
  </si>
  <si>
    <t>F251089</t>
  </si>
  <si>
    <t>F251051</t>
  </si>
  <si>
    <t>F251048</t>
  </si>
  <si>
    <t>B251035</t>
  </si>
  <si>
    <t>F251017</t>
  </si>
  <si>
    <t>I51</t>
  </si>
  <si>
    <t>I52</t>
  </si>
  <si>
    <t>Aliança Geração de Energia S.A.</t>
  </si>
  <si>
    <t>EDP Trading Comercialização e Serviços De Energia S.A</t>
  </si>
  <si>
    <t>ABC BRASIL COMERCIALIZADORA DE ENERGIA LTDA.</t>
  </si>
  <si>
    <t>F251359</t>
  </si>
  <si>
    <t>F251277</t>
  </si>
  <si>
    <t>I53</t>
  </si>
  <si>
    <t>F251572</t>
  </si>
  <si>
    <t>F251566</t>
  </si>
  <si>
    <t>F251565</t>
  </si>
  <si>
    <t>F251869</t>
  </si>
  <si>
    <t>09.149.503/0003-60</t>
  </si>
  <si>
    <t>F252126</t>
  </si>
  <si>
    <t>F252371</t>
  </si>
  <si>
    <t>F252370</t>
  </si>
  <si>
    <t>F252369</t>
  </si>
  <si>
    <t>F252363</t>
  </si>
  <si>
    <t>F252357</t>
  </si>
  <si>
    <t>B252330</t>
  </si>
  <si>
    <t>F252326</t>
  </si>
  <si>
    <t>B252317</t>
  </si>
  <si>
    <t>IBITU COMERCIALIZADORA DE ENERGIA LTDA</t>
  </si>
  <si>
    <t>F252536</t>
  </si>
  <si>
    <t>F252490</t>
  </si>
  <si>
    <t>I54</t>
  </si>
  <si>
    <t>ÍNDICE</t>
  </si>
  <si>
    <t>DATA BASE</t>
  </si>
  <si>
    <t>MÊS</t>
  </si>
  <si>
    <t>Índice</t>
  </si>
  <si>
    <t>Data_Base</t>
  </si>
  <si>
    <t>Mês</t>
  </si>
  <si>
    <t>IPCA</t>
  </si>
  <si>
    <t>STB_21_0317</t>
  </si>
  <si>
    <t>STB_21_0321</t>
  </si>
  <si>
    <t>STB_21_0322</t>
  </si>
  <si>
    <t>STB_21_0326</t>
  </si>
  <si>
    <t>STB_21_0365</t>
  </si>
  <si>
    <t>STB_21_0366</t>
  </si>
  <si>
    <t>STB_21_0367</t>
  </si>
  <si>
    <t>STB_21_0372</t>
  </si>
  <si>
    <t>STB_21_0421</t>
  </si>
  <si>
    <t>STB_21_0429</t>
  </si>
  <si>
    <t>REL_21_0220</t>
  </si>
  <si>
    <t>STB_21_0430</t>
  </si>
  <si>
    <t>REL_21_0221</t>
  </si>
  <si>
    <t>STB_21_0431</t>
  </si>
  <si>
    <t>REL_21_0222</t>
  </si>
  <si>
    <t>STB_21_0432</t>
  </si>
  <si>
    <t>REL_21_0223</t>
  </si>
  <si>
    <t>STB_21_0433</t>
  </si>
  <si>
    <t>REL_21_0224</t>
  </si>
  <si>
    <t>STB_21_0434</t>
  </si>
  <si>
    <t>REL_21_0225</t>
  </si>
  <si>
    <t>STB_21_0442</t>
  </si>
  <si>
    <t>REL_21_0231</t>
  </si>
  <si>
    <t>STB_21_0444</t>
  </si>
  <si>
    <t>STB_21_0445</t>
  </si>
  <si>
    <t>STB_21_0446</t>
  </si>
  <si>
    <t>STB_21_0448</t>
  </si>
  <si>
    <t>REL_21_0233</t>
  </si>
  <si>
    <t>STB_21_0449</t>
  </si>
  <si>
    <t>STB_21_0453</t>
  </si>
  <si>
    <t>STB_21_0460</t>
  </si>
  <si>
    <t>REL_21_0234</t>
  </si>
  <si>
    <t>STB_21_0461</t>
  </si>
  <si>
    <t>REL_21_0235</t>
  </si>
  <si>
    <t>STB_21_0462</t>
  </si>
  <si>
    <t>REL_21_0236</t>
  </si>
  <si>
    <t>STB_21_0463</t>
  </si>
  <si>
    <t>REL_21_0237</t>
  </si>
  <si>
    <t>STB_21_0464</t>
  </si>
  <si>
    <t>REL_21_0238</t>
  </si>
  <si>
    <t>STB_21_0465</t>
  </si>
  <si>
    <t>REL_21_0239</t>
  </si>
  <si>
    <t>STB_21_0466</t>
  </si>
  <si>
    <t>STB_21_0469</t>
  </si>
  <si>
    <t>STB_21_0470</t>
  </si>
  <si>
    <t>STB_21_0473</t>
  </si>
  <si>
    <t>STB_21_0474</t>
  </si>
  <si>
    <t>STB_21_0475</t>
  </si>
  <si>
    <t>STB_21_0476</t>
  </si>
  <si>
    <t>STB_21_0477</t>
  </si>
  <si>
    <t>REL_21_0240</t>
  </si>
  <si>
    <t>STB_21_0478</t>
  </si>
  <si>
    <t>REL_21_0241</t>
  </si>
  <si>
    <t>STB_21_0479</t>
  </si>
  <si>
    <t>REL_21_0242</t>
  </si>
  <si>
    <t>STB_21_0480</t>
  </si>
  <si>
    <t>REL_21_0243</t>
  </si>
  <si>
    <t>STB_21_0481</t>
  </si>
  <si>
    <t>REL_21_0244</t>
  </si>
  <si>
    <t>STB_21_0482</t>
  </si>
  <si>
    <t>REL_21_0245</t>
  </si>
  <si>
    <t>STB_21_0483</t>
  </si>
  <si>
    <t>REL_21_0246</t>
  </si>
  <si>
    <t>STB_21_0484</t>
  </si>
  <si>
    <t>REL_21_0247</t>
  </si>
  <si>
    <t>STB_21_0485</t>
  </si>
  <si>
    <t>REL_21_0248</t>
  </si>
  <si>
    <t>STB_21_0486</t>
  </si>
  <si>
    <t>REL_21_0249</t>
  </si>
  <si>
    <t>STB_21_0487</t>
  </si>
  <si>
    <t>STB_21_0488</t>
  </si>
  <si>
    <t>STB_21_0494</t>
  </si>
  <si>
    <t>REL_21_0250</t>
  </si>
  <si>
    <t>STB_21_0495</t>
  </si>
  <si>
    <t>REL_21_0251</t>
  </si>
  <si>
    <t>STB_21_0496</t>
  </si>
  <si>
    <t>REL_21_0252</t>
  </si>
  <si>
    <t>STB_21_0498</t>
  </si>
  <si>
    <t>REL_21_0253</t>
  </si>
  <si>
    <t>STB_21_0499</t>
  </si>
  <si>
    <t>REL_21_0254</t>
  </si>
  <si>
    <t>STB_21_0500</t>
  </si>
  <si>
    <t>REL_21_0255</t>
  </si>
  <si>
    <t>STB_21_0501</t>
  </si>
  <si>
    <t>REL_21_0256</t>
  </si>
  <si>
    <t>STB_21_0502</t>
  </si>
  <si>
    <t>REL_21_0257</t>
  </si>
  <si>
    <t>STB_21_0503</t>
  </si>
  <si>
    <t>STB_21_0504</t>
  </si>
  <si>
    <t>REL_21_0258</t>
  </si>
  <si>
    <t>STB_21_0505</t>
  </si>
  <si>
    <t>REL_21_0259</t>
  </si>
  <si>
    <t>STB_21_0506</t>
  </si>
  <si>
    <t>REL_21_0260</t>
  </si>
  <si>
    <t>STB_21_0507</t>
  </si>
  <si>
    <t>REL_21_0261</t>
  </si>
  <si>
    <t>STB_21_0508</t>
  </si>
  <si>
    <t>REL_21_0262</t>
  </si>
  <si>
    <t>STB_21_0509</t>
  </si>
  <si>
    <t>REL_21_0263</t>
  </si>
  <si>
    <t>STB_21_0510</t>
  </si>
  <si>
    <t>REL_21_0264</t>
  </si>
  <si>
    <t>STB_21_0511</t>
  </si>
  <si>
    <t>REL_21_0265</t>
  </si>
  <si>
    <t>STB_21_0512</t>
  </si>
  <si>
    <t>REL_21_0266</t>
  </si>
  <si>
    <t>STB_21_0513</t>
  </si>
  <si>
    <t>REL_21_0267</t>
  </si>
  <si>
    <t>STB_21_0521</t>
  </si>
  <si>
    <t>REL_21_0274</t>
  </si>
  <si>
    <t>STB_21_0522</t>
  </si>
  <si>
    <t>STB_21_0523</t>
  </si>
  <si>
    <t>REL_21_0275</t>
  </si>
  <si>
    <t>STB_21_0524</t>
  </si>
  <si>
    <t>REL_21_0276</t>
  </si>
  <si>
    <t>STB_21_0525</t>
  </si>
  <si>
    <t>REL_21_0277</t>
  </si>
  <si>
    <t>STB_21_0526</t>
  </si>
  <si>
    <t>REL_21_0278</t>
  </si>
  <si>
    <t>STB_21_0527</t>
  </si>
  <si>
    <t>REL_21_0279</t>
  </si>
  <si>
    <t>STB_21_0528</t>
  </si>
  <si>
    <t>REL_21_0280</t>
  </si>
  <si>
    <t>STB_21_0529</t>
  </si>
  <si>
    <t>REL_21_0281</t>
  </si>
  <si>
    <t>STB_21_0530</t>
  </si>
  <si>
    <t>REL_21_0282</t>
  </si>
  <si>
    <t>STB_21_0531</t>
  </si>
  <si>
    <t>REL_21_0283</t>
  </si>
  <si>
    <t>STB_21_0532</t>
  </si>
  <si>
    <t>REL_21_0284</t>
  </si>
  <si>
    <t>STB_21_0533</t>
  </si>
  <si>
    <t>REL_21_0285</t>
  </si>
  <si>
    <t>STB_21_0534</t>
  </si>
  <si>
    <t>REL_21_0286</t>
  </si>
  <si>
    <t>STB_21_0535</t>
  </si>
  <si>
    <t>REL_21_0287</t>
  </si>
  <si>
    <t>STB_21_0536</t>
  </si>
  <si>
    <t>REL_21_0288</t>
  </si>
  <si>
    <t>STB_21_0537</t>
  </si>
  <si>
    <t>REL_21_0289</t>
  </si>
  <si>
    <t>STB_21_0538</t>
  </si>
  <si>
    <t>REL_21_0290</t>
  </si>
  <si>
    <t>STB_21_0539</t>
  </si>
  <si>
    <t>REL_21_0291</t>
  </si>
  <si>
    <t>STB_21_0540</t>
  </si>
  <si>
    <t>REL_21_0292</t>
  </si>
  <si>
    <t>STB_21_0541</t>
  </si>
  <si>
    <t>REL_21_0293</t>
  </si>
  <si>
    <t>STB_21_0542</t>
  </si>
  <si>
    <t>REL_21_0294</t>
  </si>
  <si>
    <t>STB_21_0543</t>
  </si>
  <si>
    <t>REL_21_0295</t>
  </si>
  <si>
    <t>STB_21_0544</t>
  </si>
  <si>
    <t>REL_21_0296</t>
  </si>
  <si>
    <t>STB_21_0545</t>
  </si>
  <si>
    <t>REL_21_0297</t>
  </si>
  <si>
    <t>STB_21_0546</t>
  </si>
  <si>
    <t>REL_21_0298</t>
  </si>
  <si>
    <t>STB_21_0547</t>
  </si>
  <si>
    <t>STB_21_0548</t>
  </si>
  <si>
    <t>STB_21_0549</t>
  </si>
  <si>
    <t>REL_21_0299</t>
  </si>
  <si>
    <t>STB_21_0550</t>
  </si>
  <si>
    <t>REL_21_0300</t>
  </si>
  <si>
    <t>STB_21_0551</t>
  </si>
  <si>
    <t>STB_21_0552</t>
  </si>
  <si>
    <t>REL_21_0301</t>
  </si>
  <si>
    <t>STB_21_0553</t>
  </si>
  <si>
    <t>REL_21_0302</t>
  </si>
  <si>
    <t>STB_21_0554</t>
  </si>
  <si>
    <t>REL_21_0303</t>
  </si>
  <si>
    <t>STB_21_0555</t>
  </si>
  <si>
    <t>REL_21_0304</t>
  </si>
  <si>
    <t>STB_21_0556</t>
  </si>
  <si>
    <t>REL_21_0305</t>
  </si>
  <si>
    <t>STB_21_0557</t>
  </si>
  <si>
    <t>STB_21_0558</t>
  </si>
  <si>
    <t>STB_21_0559</t>
  </si>
  <si>
    <t>STB_21_0560</t>
  </si>
  <si>
    <t>STB_21_0561</t>
  </si>
  <si>
    <t>STB_21_0562</t>
  </si>
  <si>
    <t>STB_21_0563</t>
  </si>
  <si>
    <t>STB_21_0564</t>
  </si>
  <si>
    <t>STB_21_0565</t>
  </si>
  <si>
    <t>STB_21_0566</t>
  </si>
  <si>
    <t>STB_21_0567</t>
  </si>
  <si>
    <t>Acumulado 2021</t>
  </si>
  <si>
    <t>Saldo Atual</t>
  </si>
  <si>
    <t>Saldo Inicial</t>
  </si>
  <si>
    <t>(dez/21)</t>
  </si>
  <si>
    <t>F254579</t>
  </si>
  <si>
    <t>F254560</t>
  </si>
  <si>
    <t>B254509</t>
  </si>
  <si>
    <t>F254486</t>
  </si>
  <si>
    <t>B254468</t>
  </si>
  <si>
    <t>B254460</t>
  </si>
  <si>
    <t>F254451</t>
  </si>
  <si>
    <t>I55</t>
  </si>
  <si>
    <t>I56</t>
  </si>
  <si>
    <t>REL_22_0001</t>
  </si>
  <si>
    <t>STB_22_0001</t>
  </si>
  <si>
    <t>REL_22_0002</t>
  </si>
  <si>
    <t>STB_22_0002</t>
  </si>
  <si>
    <t>REL_22_0003</t>
  </si>
  <si>
    <t>STB_22_0003</t>
  </si>
  <si>
    <t>REL_22_0004</t>
  </si>
  <si>
    <t>STB_22_0004</t>
  </si>
  <si>
    <t>REL_22_0005</t>
  </si>
  <si>
    <t>STB_22_0005</t>
  </si>
  <si>
    <t>REL_22_0006</t>
  </si>
  <si>
    <t>STB_22_0006</t>
  </si>
  <si>
    <t>REL_22_0007</t>
  </si>
  <si>
    <t>STB_22_0007</t>
  </si>
  <si>
    <t>STB_22_0008</t>
  </si>
  <si>
    <t>STB_22_0009</t>
  </si>
  <si>
    <t>&lt;br&gt;&lt;br&gt;O Stop Loss está em &lt;b&gt;&lt;u&gt;" &amp; TEXT('GPH-SL'!$C$4*100;"0,0") &amp; "%.&lt;/b&gt;&lt;/u&gt;"</t>
  </si>
  <si>
    <t>F254823</t>
  </si>
  <si>
    <t>F254811</t>
  </si>
  <si>
    <t>F254800</t>
  </si>
  <si>
    <t>F254799</t>
  </si>
  <si>
    <t>F254798</t>
  </si>
  <si>
    <t>F254771</t>
  </si>
  <si>
    <t>F254769</t>
  </si>
  <si>
    <t>F254766</t>
  </si>
  <si>
    <t>Simple Energy Comercializadora de Energia Ltda</t>
  </si>
  <si>
    <t>Norsk Hydro Energia Ltda</t>
  </si>
  <si>
    <t>REL_22_0008</t>
  </si>
  <si>
    <t>STB_22_0010</t>
  </si>
  <si>
    <t>REL_22_0009</t>
  </si>
  <si>
    <t>STB_22_0011</t>
  </si>
  <si>
    <t>REL_22_0010</t>
  </si>
  <si>
    <t>STB_22_0012</t>
  </si>
  <si>
    <t>REL_22_0011</t>
  </si>
  <si>
    <t>STB_22_0013</t>
  </si>
  <si>
    <t>REL_22_0012</t>
  </si>
  <si>
    <t>STB_22_0014</t>
  </si>
  <si>
    <t>REL_22_0013</t>
  </si>
  <si>
    <t>STB_22_0015</t>
  </si>
  <si>
    <t>REL_22_0014</t>
  </si>
  <si>
    <t>STB_22_0016</t>
  </si>
  <si>
    <t>REL_22_0015</t>
  </si>
  <si>
    <t>STB_22_0017</t>
  </si>
  <si>
    <t>B255081</t>
  </si>
  <si>
    <t>B255048</t>
  </si>
  <si>
    <t>B255046</t>
  </si>
  <si>
    <t>F254945</t>
  </si>
  <si>
    <t>F254928</t>
  </si>
  <si>
    <t>F254927</t>
  </si>
  <si>
    <t>B254882</t>
  </si>
  <si>
    <t>F254874</t>
  </si>
  <si>
    <t>B254854</t>
  </si>
  <si>
    <t>XP COMERCIALIZADORA DE ENERGIA S.A.</t>
  </si>
  <si>
    <t>REL_22_0016</t>
  </si>
  <si>
    <t>STB_22_0018</t>
  </si>
  <si>
    <t>REL_22_0017</t>
  </si>
  <si>
    <t>STB_22_0019</t>
  </si>
  <si>
    <t>REL_22_0018</t>
  </si>
  <si>
    <t>STB_22_0020</t>
  </si>
  <si>
    <t>REL_22_0019</t>
  </si>
  <si>
    <t>STB_22_0021</t>
  </si>
  <si>
    <t>REL_22_0020</t>
  </si>
  <si>
    <t>STB_22_0022</t>
  </si>
  <si>
    <t>REL_22_0021</t>
  </si>
  <si>
    <t>STB_22_0023</t>
  </si>
  <si>
    <t>REL_22_0022</t>
  </si>
  <si>
    <t>STB_22_0024</t>
  </si>
  <si>
    <t>REL_22_0023</t>
  </si>
  <si>
    <t>STB_22_0025</t>
  </si>
  <si>
    <t>REL_22_0024</t>
  </si>
  <si>
    <t>STB_22_0026</t>
  </si>
  <si>
    <t>B255144</t>
  </si>
  <si>
    <t>F255122</t>
  </si>
  <si>
    <t>B255119</t>
  </si>
  <si>
    <t>F255096</t>
  </si>
  <si>
    <t>B255089</t>
  </si>
  <si>
    <t>REL_22_0025</t>
  </si>
  <si>
    <t>STB_22_0027</t>
  </si>
  <si>
    <t>REL_22_0026</t>
  </si>
  <si>
    <t>STB_22_0028</t>
  </si>
  <si>
    <t>REL_22_0027</t>
  </si>
  <si>
    <t>STB_22_0029</t>
  </si>
  <si>
    <t>REL_22_0028</t>
  </si>
  <si>
    <t>STB_22_0030</t>
  </si>
  <si>
    <t>REL_22_0029</t>
  </si>
  <si>
    <t>STB_22_0031</t>
  </si>
  <si>
    <t>B255366</t>
  </si>
  <si>
    <t>F255266</t>
  </si>
  <si>
    <t>B255263</t>
  </si>
  <si>
    <t>F255234</t>
  </si>
  <si>
    <t>F255233</t>
  </si>
  <si>
    <t>F255232</t>
  </si>
  <si>
    <t>B255229</t>
  </si>
  <si>
    <t>F255210</t>
  </si>
  <si>
    <t>Libra Comercializadora de Energia Ltda</t>
  </si>
  <si>
    <t>MAXIMA ENERGIA COMERCIALIZADORA LTDA.</t>
  </si>
  <si>
    <t>REL_22_0030</t>
  </si>
  <si>
    <t>STB_22_0032</t>
  </si>
  <si>
    <t>REL_22_0031</t>
  </si>
  <si>
    <t>STB_22_0033</t>
  </si>
  <si>
    <t>REL_22_0032</t>
  </si>
  <si>
    <t>STB_22_0034</t>
  </si>
  <si>
    <t>REL_22_0033</t>
  </si>
  <si>
    <t>STB_22_0035</t>
  </si>
  <si>
    <t>REL_22_0034</t>
  </si>
  <si>
    <t>STB_22_0036</t>
  </si>
  <si>
    <t>REL_22_0035</t>
  </si>
  <si>
    <t>STB_22_0037</t>
  </si>
  <si>
    <t>REL_22_0036</t>
  </si>
  <si>
    <t>STB_22_0038</t>
  </si>
  <si>
    <t>REL_22_0037</t>
  </si>
  <si>
    <t>STB_22_0039</t>
  </si>
  <si>
    <t>F255529</t>
  </si>
  <si>
    <t>F255508</t>
  </si>
  <si>
    <t>F255496</t>
  </si>
  <si>
    <t>F255468</t>
  </si>
  <si>
    <t>F255450</t>
  </si>
  <si>
    <t>Votener - Votorantim Comercializadora de Energia Ltda</t>
  </si>
  <si>
    <t>Bolt Energy Comercializadora de Energia Ltda.</t>
  </si>
  <si>
    <t>REL_22_0038</t>
  </si>
  <si>
    <t>STB_22_0040</t>
  </si>
  <si>
    <t>REL_22_0039</t>
  </si>
  <si>
    <t>STB_22_0041</t>
  </si>
  <si>
    <t>REL_22_0040</t>
  </si>
  <si>
    <t>STB_22_0042</t>
  </si>
  <si>
    <t>REL_22_0041</t>
  </si>
  <si>
    <t>STB_22_0043</t>
  </si>
  <si>
    <t>REL_22_0042</t>
  </si>
  <si>
    <t>STB_22_0044</t>
  </si>
  <si>
    <t>B255634</t>
  </si>
  <si>
    <t>F255615</t>
  </si>
  <si>
    <t>True Comercializadora de Energia LTDA</t>
  </si>
  <si>
    <t>REL_22_0043</t>
  </si>
  <si>
    <t>STB_22_0045</t>
  </si>
  <si>
    <t>REL_22_0044</t>
  </si>
  <si>
    <t>STB_22_0046</t>
  </si>
  <si>
    <t>F255963</t>
  </si>
  <si>
    <t>F255962</t>
  </si>
  <si>
    <t>F255961</t>
  </si>
  <si>
    <t>F255944</t>
  </si>
  <si>
    <t>F255943</t>
  </si>
  <si>
    <t>F255942</t>
  </si>
  <si>
    <t>F255937</t>
  </si>
  <si>
    <t>F255936</t>
  </si>
  <si>
    <t>F255929</t>
  </si>
  <si>
    <t>F255928</t>
  </si>
  <si>
    <t>F255927</t>
  </si>
  <si>
    <t>F255895</t>
  </si>
  <si>
    <t>F255790</t>
  </si>
  <si>
    <t>F255789</t>
  </si>
  <si>
    <t>CENTRAL COMERCIALIZADORA DE ENERGIA LTDA</t>
  </si>
  <si>
    <t>REL_22_0045</t>
  </si>
  <si>
    <t>STB_22_0047</t>
  </si>
  <si>
    <t>REL_22_0046</t>
  </si>
  <si>
    <t>STB_22_0048</t>
  </si>
  <si>
    <t>REL_22_0047</t>
  </si>
  <si>
    <t>STB_22_0049</t>
  </si>
  <si>
    <t>REL_22_0048</t>
  </si>
  <si>
    <t>STB_22_0050</t>
  </si>
  <si>
    <t>REL_22_0049</t>
  </si>
  <si>
    <t>STB_22_0051</t>
  </si>
  <si>
    <t>REL_22_0050</t>
  </si>
  <si>
    <t>STB_22_0052</t>
  </si>
  <si>
    <t>REL_22_0051</t>
  </si>
  <si>
    <t>STB_22_0053</t>
  </si>
  <si>
    <t>REL_22_0052</t>
  </si>
  <si>
    <t>STB_22_0054</t>
  </si>
  <si>
    <t>REL_22_0053</t>
  </si>
  <si>
    <t>STB_22_0055</t>
  </si>
  <si>
    <t>REL_22_0054</t>
  </si>
  <si>
    <t>STB_22_0056</t>
  </si>
  <si>
    <t>REL_22_0055</t>
  </si>
  <si>
    <t>STB_22_0057</t>
  </si>
  <si>
    <t>REL_22_0056</t>
  </si>
  <si>
    <t>STB_22_0058</t>
  </si>
  <si>
    <t>REL_22_0057</t>
  </si>
  <si>
    <t>STB_22_0059</t>
  </si>
  <si>
    <t>REL_22_0058</t>
  </si>
  <si>
    <t>STB_22_0060</t>
  </si>
  <si>
    <t>REL_22_0059</t>
  </si>
  <si>
    <t>STB_22_0061</t>
  </si>
  <si>
    <t>REL_22_0060</t>
  </si>
  <si>
    <t>STB_22_0062</t>
  </si>
  <si>
    <t>I57</t>
  </si>
  <si>
    <t>I58</t>
  </si>
  <si>
    <t>F256144</t>
  </si>
  <si>
    <t>B256134</t>
  </si>
  <si>
    <t>F256102</t>
  </si>
  <si>
    <t>F256101</t>
  </si>
  <si>
    <t>F256096</t>
  </si>
  <si>
    <t>F256095</t>
  </si>
  <si>
    <t>B256073</t>
  </si>
  <si>
    <t>F256008</t>
  </si>
  <si>
    <t>I59</t>
  </si>
  <si>
    <t>I60</t>
  </si>
  <si>
    <t>I61</t>
  </si>
  <si>
    <t>I62</t>
  </si>
  <si>
    <t>I63</t>
  </si>
  <si>
    <t>I64</t>
  </si>
  <si>
    <t>STB_22_0063</t>
  </si>
  <si>
    <t>STB_22_0064</t>
  </si>
  <si>
    <t>REL_22_0061</t>
  </si>
  <si>
    <t>STB_22_0065</t>
  </si>
  <si>
    <t>REL_22_0062</t>
  </si>
  <si>
    <t>STB_22_0066</t>
  </si>
  <si>
    <t>REL_22_0063</t>
  </si>
  <si>
    <t>STB_22_0067</t>
  </si>
  <si>
    <t>REL_22_0064</t>
  </si>
  <si>
    <t>STB_22_0068</t>
  </si>
  <si>
    <t>REL_22_0065</t>
  </si>
  <si>
    <t>STB_22_0069</t>
  </si>
  <si>
    <t>REL_22_0066</t>
  </si>
  <si>
    <t>STB_22_0070</t>
  </si>
  <si>
    <t>STB_22_0071</t>
  </si>
  <si>
    <t>STB_22_0072</t>
  </si>
  <si>
    <t>STB_22_0073</t>
  </si>
  <si>
    <t>STB_22_0074</t>
  </si>
  <si>
    <t>STB_22_0075</t>
  </si>
  <si>
    <t>STB_22_0076</t>
  </si>
  <si>
    <t>F256531</t>
  </si>
  <si>
    <t>B256452</t>
  </si>
  <si>
    <t>F256443</t>
  </si>
  <si>
    <t>F256401</t>
  </si>
  <si>
    <t>COPEL Comercialização S.A.</t>
  </si>
  <si>
    <t>REL_22_0067</t>
  </si>
  <si>
    <t>STB_22_0077</t>
  </si>
  <si>
    <t>REL_22_0068</t>
  </si>
  <si>
    <t>STB_22_0078</t>
  </si>
  <si>
    <t>REL_22_0069</t>
  </si>
  <si>
    <t>STB_22_0079</t>
  </si>
  <si>
    <t>REL_22_0070</t>
  </si>
  <si>
    <t>STB_22_0080</t>
  </si>
  <si>
    <t>F256809</t>
  </si>
  <si>
    <t>F256801</t>
  </si>
  <si>
    <t>B256750</t>
  </si>
  <si>
    <t>F256744</t>
  </si>
  <si>
    <t>F256683</t>
  </si>
  <si>
    <t>I65</t>
  </si>
  <si>
    <t>REL_22_0071</t>
  </si>
  <si>
    <t>STB_22_0081</t>
  </si>
  <si>
    <t>REL_22_0072</t>
  </si>
  <si>
    <t>STB_22_0082</t>
  </si>
  <si>
    <t>STB_22_0083</t>
  </si>
  <si>
    <t>REL_22_0073</t>
  </si>
  <si>
    <t>STB_22_0084</t>
  </si>
  <si>
    <t>STB_22_0085</t>
  </si>
  <si>
    <t>STB_22_0086</t>
  </si>
  <si>
    <t>F257376</t>
  </si>
  <si>
    <t>F257367</t>
  </si>
  <si>
    <t>F257334</t>
  </si>
  <si>
    <t>F257266</t>
  </si>
  <si>
    <t>F257257</t>
  </si>
  <si>
    <t>F257249</t>
  </si>
  <si>
    <t>Olympe Comercializadora de Energia Ltda.</t>
  </si>
  <si>
    <t>REL_22_0074</t>
  </si>
  <si>
    <t>STB_22_0087</t>
  </si>
  <si>
    <t>REL_22_0075</t>
  </si>
  <si>
    <t>STB_22_0088</t>
  </si>
  <si>
    <t>REL_22_0076</t>
  </si>
  <si>
    <t>STB_22_0089</t>
  </si>
  <si>
    <t>REL_22_0077</t>
  </si>
  <si>
    <t>STB_22_0090</t>
  </si>
  <si>
    <t>REL_22_0078</t>
  </si>
  <si>
    <t>STB_22_0091</t>
  </si>
  <si>
    <t>REL_22_0079</t>
  </si>
  <si>
    <t>STB_22_0092</t>
  </si>
  <si>
    <t>F257485</t>
  </si>
  <si>
    <t>F257462</t>
  </si>
  <si>
    <t>STB_22_0093</t>
  </si>
  <si>
    <t>REL_22_0080</t>
  </si>
  <si>
    <t>STB_22_0094</t>
  </si>
  <si>
    <t>F257766</t>
  </si>
  <si>
    <t>F257761</t>
  </si>
  <si>
    <t>F257756</t>
  </si>
  <si>
    <t>B257754</t>
  </si>
  <si>
    <t>F257730</t>
  </si>
  <si>
    <t>F257714</t>
  </si>
  <si>
    <t>B257703</t>
  </si>
  <si>
    <t>F257666</t>
  </si>
  <si>
    <t>F257665</t>
  </si>
  <si>
    <t>F257621</t>
  </si>
  <si>
    <t>F257608</t>
  </si>
  <si>
    <t>EXPONENCIAL ENERGIA LTDA</t>
  </si>
  <si>
    <t>Kroma Comercializadora de Energia Ltda</t>
  </si>
  <si>
    <t>Deal Comercializadora de Energia Ltda</t>
  </si>
  <si>
    <t>Banco BTG Pactual S.A.</t>
  </si>
  <si>
    <t>REL_22_0081</t>
  </si>
  <si>
    <t>STB_22_0095</t>
  </si>
  <si>
    <t>STB_22_0096</t>
  </si>
  <si>
    <t>REL_22_0082</t>
  </si>
  <si>
    <t>STB_22_0097</t>
  </si>
  <si>
    <t>REL_22_0083</t>
  </si>
  <si>
    <t>STB_22_0098</t>
  </si>
  <si>
    <t>REL_22_0084</t>
  </si>
  <si>
    <t>STB_22_0099</t>
  </si>
  <si>
    <t>REL_22_0085</t>
  </si>
  <si>
    <t>STB_22_0100</t>
  </si>
  <si>
    <t>REL_22_0086</t>
  </si>
  <si>
    <t>STB_22_0101</t>
  </si>
  <si>
    <t>REL_22_0087</t>
  </si>
  <si>
    <t>STB_22_0102</t>
  </si>
  <si>
    <t>REL_22_0088</t>
  </si>
  <si>
    <t>STB_22_0103</t>
  </si>
  <si>
    <t>REL_22_0089</t>
  </si>
  <si>
    <t>STB_22_0104</t>
  </si>
  <si>
    <t>REL_22_0090</t>
  </si>
  <si>
    <t>STB_22_0105</t>
  </si>
  <si>
    <t>REL_22_0091</t>
  </si>
  <si>
    <t>STB_22_0106</t>
  </si>
  <si>
    <t>F258067</t>
  </si>
  <si>
    <t>F257999</t>
  </si>
  <si>
    <t>STB_22_0107</t>
  </si>
  <si>
    <t>STB_22_0108</t>
  </si>
  <si>
    <t>F258419</t>
  </si>
  <si>
    <t>F258303</t>
  </si>
  <si>
    <t>F258216</t>
  </si>
  <si>
    <t>Diferencial Comercializadora de Energia Ltda.</t>
  </si>
  <si>
    <t>ECEL - Elétron Comercializadora de Energia Ltda</t>
  </si>
  <si>
    <t>REL_22_0092</t>
  </si>
  <si>
    <t>STB_22_0109</t>
  </si>
  <si>
    <t>REL_22_0093</t>
  </si>
  <si>
    <t>STB_22_0110</t>
  </si>
  <si>
    <t>REL_22_0094</t>
  </si>
  <si>
    <t>STB_22_0111</t>
  </si>
  <si>
    <t>F259154</t>
  </si>
  <si>
    <t>REL_22_0095</t>
  </si>
  <si>
    <t>STB_22_0112</t>
  </si>
  <si>
    <t>F260043</t>
  </si>
  <si>
    <t>13.700.609/0001-15</t>
  </si>
  <si>
    <t>STB_22_0113</t>
  </si>
  <si>
    <t>REL_22_0096</t>
  </si>
  <si>
    <t>STB_22_0114</t>
  </si>
  <si>
    <t>F260260</t>
  </si>
  <si>
    <t>REL_22_0097</t>
  </si>
  <si>
    <t>STB_22_0115</t>
  </si>
  <si>
    <t>F261031</t>
  </si>
  <si>
    <t>REL_22_0098</t>
  </si>
  <si>
    <t>STB_22_0116</t>
  </si>
  <si>
    <t>F261352</t>
  </si>
  <si>
    <t>REL_22_0099</t>
  </si>
  <si>
    <t>STB_22_0117</t>
  </si>
  <si>
    <t>F261841</t>
  </si>
  <si>
    <t>F261802</t>
  </si>
  <si>
    <t>F261796</t>
  </si>
  <si>
    <t>NC Energia S/A</t>
  </si>
  <si>
    <t>Eneva Comercializadora de Energia Ltda</t>
  </si>
  <si>
    <t>Solenergias Comercializadora de Energia S/A</t>
  </si>
  <si>
    <t>REL_22_0100</t>
  </si>
  <si>
    <t>STB_22_0118</t>
  </si>
  <si>
    <t>STB_22_0119</t>
  </si>
  <si>
    <t>REL_22_0101</t>
  </si>
  <si>
    <t>STB_22_0120</t>
  </si>
  <si>
    <t>CEMIG GERACAO E TRANSMISSAO S.A</t>
  </si>
  <si>
    <t>CEMIG H</t>
  </si>
  <si>
    <t>REL_22_0102</t>
  </si>
  <si>
    <t>STB_22_0121</t>
  </si>
  <si>
    <t>REL_22_0103</t>
  </si>
  <si>
    <t>STB_22_0122</t>
  </si>
  <si>
    <t>REL_22_0104</t>
  </si>
  <si>
    <t>STB_22_0123</t>
  </si>
  <si>
    <t>B262472</t>
  </si>
  <si>
    <t>F262432</t>
  </si>
  <si>
    <t>F262430</t>
  </si>
  <si>
    <t>F262380</t>
  </si>
  <si>
    <t>F262372</t>
  </si>
  <si>
    <t>F262352</t>
  </si>
  <si>
    <t>F262349</t>
  </si>
  <si>
    <t>F262344</t>
  </si>
  <si>
    <t>REL_22_0105</t>
  </si>
  <si>
    <t>STB_22_0124</t>
  </si>
  <si>
    <t>REL_22_0106</t>
  </si>
  <si>
    <t>STB_22_0125</t>
  </si>
  <si>
    <t>REL_22_0107</t>
  </si>
  <si>
    <t>STB_22_0126</t>
  </si>
  <si>
    <t>REL_22_0108</t>
  </si>
  <si>
    <t>STB_22_0127</t>
  </si>
  <si>
    <t>REL_22_0109</t>
  </si>
  <si>
    <t>STB_22_0128</t>
  </si>
  <si>
    <t>REL_22_0110</t>
  </si>
  <si>
    <t>STB_22_0129</t>
  </si>
  <si>
    <t>REL_22_0111</t>
  </si>
  <si>
    <t>STB_22_0130</t>
  </si>
  <si>
    <t>REL_22_0112</t>
  </si>
  <si>
    <t>STB_22_0131</t>
  </si>
  <si>
    <t>B262649</t>
  </si>
  <si>
    <t>REL_22_0113</t>
  </si>
  <si>
    <t>STB_22_0132</t>
  </si>
  <si>
    <t>B263016</t>
  </si>
  <si>
    <t>F262938</t>
  </si>
  <si>
    <t>B262936</t>
  </si>
  <si>
    <t>B262935</t>
  </si>
  <si>
    <t>B262934</t>
  </si>
  <si>
    <t>B262932</t>
  </si>
  <si>
    <t>F262797</t>
  </si>
  <si>
    <t>F262788</t>
  </si>
  <si>
    <t>F262725</t>
  </si>
  <si>
    <t>F262685</t>
  </si>
  <si>
    <t>I66</t>
  </si>
  <si>
    <t>I67</t>
  </si>
  <si>
    <t>Migratio Gestão e Comercialização de Energia Elétrica Ltda - ME</t>
  </si>
  <si>
    <t>REL_22_0114</t>
  </si>
  <si>
    <t>STB_22_0133</t>
  </si>
  <si>
    <t>REL_22_0115</t>
  </si>
  <si>
    <t>STB_22_0134</t>
  </si>
  <si>
    <t>REL_22_0116</t>
  </si>
  <si>
    <t>STB_22_0135</t>
  </si>
  <si>
    <t>REL_22_0117</t>
  </si>
  <si>
    <t>STB_22_0136</t>
  </si>
  <si>
    <t>REL_22_0118</t>
  </si>
  <si>
    <t>STB_22_0137</t>
  </si>
  <si>
    <t>REL_22_0119</t>
  </si>
  <si>
    <t>STB_22_0138</t>
  </si>
  <si>
    <t>REL_22_0120</t>
  </si>
  <si>
    <t>STB_22_0139</t>
  </si>
  <si>
    <t>REL_22_0121</t>
  </si>
  <si>
    <t>STB_22_0140</t>
  </si>
  <si>
    <t>REL_22_0122</t>
  </si>
  <si>
    <t>STB_22_0141</t>
  </si>
  <si>
    <t>REL_22_0123</t>
  </si>
  <si>
    <t>STB_22_0142</t>
  </si>
  <si>
    <t>REL_22_0124</t>
  </si>
  <si>
    <t>STB_22_0143</t>
  </si>
  <si>
    <t>REL_22_0125</t>
  </si>
  <si>
    <t>STB_22_0144</t>
  </si>
  <si>
    <t>F263342</t>
  </si>
  <si>
    <t>F263323</t>
  </si>
  <si>
    <t>F263312</t>
  </si>
  <si>
    <t>F263278</t>
  </si>
  <si>
    <t>B263273</t>
  </si>
  <si>
    <t>B263227</t>
  </si>
  <si>
    <t>F263225</t>
  </si>
  <si>
    <t>F263209</t>
  </si>
  <si>
    <t>F263205</t>
  </si>
  <si>
    <t>F263204</t>
  </si>
  <si>
    <t>F263203</t>
  </si>
  <si>
    <t>F263181</t>
  </si>
  <si>
    <t>F263168</t>
  </si>
  <si>
    <t>F263167</t>
  </si>
  <si>
    <t>F263166</t>
  </si>
  <si>
    <t>F263157</t>
  </si>
  <si>
    <t>F263154</t>
  </si>
  <si>
    <t>B263134</t>
  </si>
  <si>
    <t>F263077</t>
  </si>
  <si>
    <t>I68</t>
  </si>
  <si>
    <t>I69</t>
  </si>
  <si>
    <t>I70</t>
  </si>
  <si>
    <t>I71</t>
  </si>
  <si>
    <t>Vibra Comercializadora de Energia S.A.</t>
  </si>
  <si>
    <t>REL_22_0126</t>
  </si>
  <si>
    <t>STB_22_0145</t>
  </si>
  <si>
    <t>REL_22_0127</t>
  </si>
  <si>
    <t>STB_22_0146</t>
  </si>
  <si>
    <t>REL_22_0128</t>
  </si>
  <si>
    <t>STB_22_0147</t>
  </si>
  <si>
    <t>REL_22_0129</t>
  </si>
  <si>
    <t>STB_22_0148</t>
  </si>
  <si>
    <t>REL_22_0130</t>
  </si>
  <si>
    <t>STB_22_0149</t>
  </si>
  <si>
    <t>REL_22_0131</t>
  </si>
  <si>
    <t>STB_22_0150</t>
  </si>
  <si>
    <t>REL_22_0132</t>
  </si>
  <si>
    <t>STB_22_0151</t>
  </si>
  <si>
    <t>REL_22_0133</t>
  </si>
  <si>
    <t>STB_22_0152</t>
  </si>
  <si>
    <t>REL_22_0134</t>
  </si>
  <si>
    <t>STB_22_0153</t>
  </si>
  <si>
    <t>REL_22_0135</t>
  </si>
  <si>
    <t>STB_22_0154</t>
  </si>
  <si>
    <t>REL_22_0136</t>
  </si>
  <si>
    <t>STB_22_0155</t>
  </si>
  <si>
    <t>REL_22_0137</t>
  </si>
  <si>
    <t>STB_22_0156</t>
  </si>
  <si>
    <t>REL_22_0138</t>
  </si>
  <si>
    <t>STB_22_0157</t>
  </si>
  <si>
    <t>REL_22_0139</t>
  </si>
  <si>
    <t>STB_22_0158</t>
  </si>
  <si>
    <t>REL_22_0140</t>
  </si>
  <si>
    <t>STB_22_0159</t>
  </si>
  <si>
    <t>REL_22_0141</t>
  </si>
  <si>
    <t>STB_22_0160</t>
  </si>
  <si>
    <t>REL_22_0142</t>
  </si>
  <si>
    <t>STB_22_0161</t>
  </si>
  <si>
    <t>REL_22_0143</t>
  </si>
  <si>
    <t>STB_22_0162</t>
  </si>
  <si>
    <t>REL_22_0144</t>
  </si>
  <si>
    <t>STB_22_0163</t>
  </si>
  <si>
    <t>REL_22_0145</t>
  </si>
  <si>
    <t>STB_22_0164</t>
  </si>
  <si>
    <t>REL_22_0146</t>
  </si>
  <si>
    <t>STB_22_0165</t>
  </si>
  <si>
    <t>REL_22_0147</t>
  </si>
  <si>
    <t>STB_22_0166</t>
  </si>
  <si>
    <t>REL_22_0148</t>
  </si>
  <si>
    <t>STB_22_0167</t>
  </si>
  <si>
    <t>REL_22_0149</t>
  </si>
  <si>
    <t>STB_22_0168</t>
  </si>
  <si>
    <t>REL_22_0150</t>
  </si>
  <si>
    <t>STB_22_0169</t>
  </si>
  <si>
    <t>B263560</t>
  </si>
  <si>
    <t>F263530</t>
  </si>
  <si>
    <t>F263528</t>
  </si>
  <si>
    <t>B263483</t>
  </si>
  <si>
    <t>F263467</t>
  </si>
  <si>
    <t>B263412</t>
  </si>
  <si>
    <t>B263410</t>
  </si>
  <si>
    <t>REL_22_0151</t>
  </si>
  <si>
    <t>STB_22_0170</t>
  </si>
  <si>
    <t>REL_22_0152</t>
  </si>
  <si>
    <t>STB_22_0171</t>
  </si>
  <si>
    <t>STB_22_0172</t>
  </si>
  <si>
    <t>STB_22_0173</t>
  </si>
  <si>
    <t>STB_22_0174</t>
  </si>
  <si>
    <t>STB_22_0175</t>
  </si>
  <si>
    <t>STB_22_0176</t>
  </si>
  <si>
    <t>F263639</t>
  </si>
  <si>
    <t>STB_22_0177</t>
  </si>
  <si>
    <t>F264008</t>
  </si>
  <si>
    <t>B264005</t>
  </si>
  <si>
    <t>F263991</t>
  </si>
  <si>
    <t>STB_22_0178</t>
  </si>
  <si>
    <t>STB_22_0179</t>
  </si>
  <si>
    <t>STB_22_0180</t>
  </si>
  <si>
    <t>F264139</t>
  </si>
  <si>
    <t>F264138</t>
  </si>
  <si>
    <t>REL_22_0153</t>
  </si>
  <si>
    <t>STB_22_0181</t>
  </si>
  <si>
    <t>REL_22_0154</t>
  </si>
  <si>
    <t>STB_22_0182</t>
  </si>
  <si>
    <t>F264544</t>
  </si>
  <si>
    <t>F264543</t>
  </si>
  <si>
    <t>F264438</t>
  </si>
  <si>
    <t>F264427</t>
  </si>
  <si>
    <t>F264403</t>
  </si>
  <si>
    <t>F264402</t>
  </si>
  <si>
    <t>REL_22_0155</t>
  </si>
  <si>
    <t>STB_22_0183</t>
  </si>
  <si>
    <t>REL_22_0156</t>
  </si>
  <si>
    <t>STB_22_0184</t>
  </si>
  <si>
    <t>REL_22_0157</t>
  </si>
  <si>
    <t>STB_22_0185</t>
  </si>
  <si>
    <t>REL_22_0158</t>
  </si>
  <si>
    <t>STB_22_0186</t>
  </si>
  <si>
    <t>REL_22_0159</t>
  </si>
  <si>
    <t>STB_22_0187</t>
  </si>
  <si>
    <t>REL_22_0160</t>
  </si>
  <si>
    <t>STB_22_0188</t>
  </si>
  <si>
    <t>F264623</t>
  </si>
  <si>
    <t>F264622</t>
  </si>
  <si>
    <t>REL_22_0161</t>
  </si>
  <si>
    <t>STB_22_0189</t>
  </si>
  <si>
    <t>REL_22_0162</t>
  </si>
  <si>
    <t>STB_22_0190</t>
  </si>
  <si>
    <t>F265114</t>
  </si>
  <si>
    <t>F265047</t>
  </si>
  <si>
    <t>F265017</t>
  </si>
  <si>
    <t>F265016</t>
  </si>
  <si>
    <t>ITAU UNIBANCO COMERCIALIZADORA DE ENERGIA LTDA</t>
  </si>
  <si>
    <t>COPEL COMERCIALIZAÇÃO S.A.</t>
  </si>
  <si>
    <t>STB_22_0191</t>
  </si>
  <si>
    <t>STB_22_0192</t>
  </si>
  <si>
    <t>STB_22_0193</t>
  </si>
  <si>
    <t>REL_22_0163</t>
  </si>
  <si>
    <t>STB_22_0194</t>
  </si>
  <si>
    <t>REL_22_0164</t>
  </si>
  <si>
    <t>STB_22_0195</t>
  </si>
  <si>
    <t>STB_22_0196</t>
  </si>
  <si>
    <t>F265368</t>
  </si>
  <si>
    <t>F265367</t>
  </si>
  <si>
    <t>F265341</t>
  </si>
  <si>
    <t>F265338</t>
  </si>
  <si>
    <t>F265534</t>
  </si>
  <si>
    <t>F265533</t>
  </si>
  <si>
    <t>F265516</t>
  </si>
  <si>
    <t>F265508</t>
  </si>
  <si>
    <t>F265493</t>
  </si>
  <si>
    <t>F265489</t>
  </si>
  <si>
    <t>I72</t>
  </si>
  <si>
    <t>I73</t>
  </si>
  <si>
    <t>REL_22_0165</t>
  </si>
  <si>
    <t>STB_22_0197</t>
  </si>
  <si>
    <t>REL_22_0166</t>
  </si>
  <si>
    <t>STB_22_0198</t>
  </si>
  <si>
    <t>REL_22_0167</t>
  </si>
  <si>
    <t>STB_22_0199</t>
  </si>
  <si>
    <t>REL_22_0168</t>
  </si>
  <si>
    <t>STB_22_0200</t>
  </si>
  <si>
    <t>REL_22_0169</t>
  </si>
  <si>
    <t>STB_22_0201</t>
  </si>
  <si>
    <t>REL_22_0170</t>
  </si>
  <si>
    <t>STB_22_0202</t>
  </si>
  <si>
    <t>REL_22_0171</t>
  </si>
  <si>
    <t>STB_22_0203</t>
  </si>
  <si>
    <t>REL_22_0172</t>
  </si>
  <si>
    <t>STB_22_0204</t>
  </si>
  <si>
    <t>REL_22_0173</t>
  </si>
  <si>
    <t>STB_22_0205</t>
  </si>
  <si>
    <t>REL_22_0174</t>
  </si>
  <si>
    <t>STB_22_0206</t>
  </si>
  <si>
    <t>REL_22_0175</t>
  </si>
  <si>
    <t>STB_22_0207</t>
  </si>
  <si>
    <t>REL_22_0176</t>
  </si>
  <si>
    <t>STB_22_0208</t>
  </si>
  <si>
    <t>F266098</t>
  </si>
  <si>
    <t>F266080</t>
  </si>
  <si>
    <t>F266079</t>
  </si>
  <si>
    <t>F266075</t>
  </si>
  <si>
    <t>F265967</t>
  </si>
  <si>
    <t>F265965</t>
  </si>
  <si>
    <t>STB_22_0209</t>
  </si>
  <si>
    <t>REL_22_0177</t>
  </si>
  <si>
    <t>STB_22_0210</t>
  </si>
  <si>
    <t>REL_22_0178</t>
  </si>
  <si>
    <t>STB_22_0211</t>
  </si>
  <si>
    <t>REL_22_0179</t>
  </si>
  <si>
    <t>STB_22_0212</t>
  </si>
  <si>
    <t>REL_22_0180</t>
  </si>
  <si>
    <t>STB_22_0213</t>
  </si>
  <si>
    <t>REL_22_0181</t>
  </si>
  <si>
    <t>STB_22_0214</t>
  </si>
  <si>
    <t>F266156</t>
  </si>
  <si>
    <t>W7 ENERGIA S.A</t>
  </si>
  <si>
    <t>REL_22_0182</t>
  </si>
  <si>
    <t>STB_22_0215</t>
  </si>
  <si>
    <t>F266375</t>
  </si>
  <si>
    <t>F266290</t>
  </si>
  <si>
    <t>F266269</t>
  </si>
  <si>
    <t>THERA TRADING COMERCIALIZADORA DE ENERGIA LTDA</t>
  </si>
  <si>
    <t>REL_22_0183</t>
  </si>
  <si>
    <t>STB_22_0216</t>
  </si>
  <si>
    <t>REL_22_0184</t>
  </si>
  <si>
    <t>STB_22_0217</t>
  </si>
  <si>
    <t>REL_22_0185</t>
  </si>
  <si>
    <t>STB_22_0218</t>
  </si>
  <si>
    <t>REL_22_0186</t>
  </si>
  <si>
    <t>STB_22_0219</t>
  </si>
  <si>
    <t>STB_22_0220</t>
  </si>
  <si>
    <t>STB_22_0221</t>
  </si>
  <si>
    <t>F266633</t>
  </si>
  <si>
    <t>F266632</t>
  </si>
  <si>
    <t>F266615</t>
  </si>
  <si>
    <t>F266613</t>
  </si>
  <si>
    <t>F266612</t>
  </si>
  <si>
    <t>F266602</t>
  </si>
  <si>
    <t>F266601</t>
  </si>
  <si>
    <t>F266600</t>
  </si>
  <si>
    <t>F266599</t>
  </si>
  <si>
    <t>REL_22_0187</t>
  </si>
  <si>
    <t>STB_22_0222</t>
  </si>
  <si>
    <t>REL_22_0188</t>
  </si>
  <si>
    <t>STB_22_0223</t>
  </si>
  <si>
    <t>REL_22_0189</t>
  </si>
  <si>
    <t>STB_22_0224</t>
  </si>
  <si>
    <t>REL_22_0190</t>
  </si>
  <si>
    <t>STB_22_0225</t>
  </si>
  <si>
    <t>REL_22_0191</t>
  </si>
  <si>
    <t>STB_22_0226</t>
  </si>
  <si>
    <t>REL_22_0192</t>
  </si>
  <si>
    <t>STB_22_0227</t>
  </si>
  <si>
    <t>REL_22_0193</t>
  </si>
  <si>
    <t>STB_22_0228</t>
  </si>
  <si>
    <t>REL_22_0194</t>
  </si>
  <si>
    <t>STB_22_0229</t>
  </si>
  <si>
    <t>REL_22_0195</t>
  </si>
  <si>
    <t>STB_22_0230</t>
  </si>
  <si>
    <t>F266978</t>
  </si>
  <si>
    <t>F266924</t>
  </si>
  <si>
    <t>F266914</t>
  </si>
  <si>
    <t>F266899</t>
  </si>
  <si>
    <t>F266826</t>
  </si>
  <si>
    <t>F266823</t>
  </si>
  <si>
    <t>PLURAL GERAÇÃO E COMERCIALIZAÇÃO DE ENERGIA LTDA</t>
  </si>
  <si>
    <t>REL_22_0196</t>
  </si>
  <si>
    <t>STB_22_0231</t>
  </si>
  <si>
    <t>REL_22_0197</t>
  </si>
  <si>
    <t>STB_22_0232</t>
  </si>
  <si>
    <t>STB_22_0233</t>
  </si>
  <si>
    <t>STB_22_0234</t>
  </si>
  <si>
    <t>REL_22_0198</t>
  </si>
  <si>
    <t>STB_22_0235</t>
  </si>
  <si>
    <t>STB_22_0236</t>
  </si>
  <si>
    <t>F267146</t>
  </si>
  <si>
    <t>F267035</t>
  </si>
  <si>
    <t>F267014</t>
  </si>
  <si>
    <t>STB_22_0237</t>
  </si>
  <si>
    <t>STB_22_0238</t>
  </si>
  <si>
    <t>STB_22_0239</t>
  </si>
  <si>
    <t>F267630</t>
  </si>
  <si>
    <t>F267372</t>
  </si>
  <si>
    <t>F267348</t>
  </si>
  <si>
    <t>F267289</t>
  </si>
  <si>
    <t>Minerva Comercializadora de Energia Ltda</t>
  </si>
  <si>
    <t>REL_22_0199</t>
  </si>
  <si>
    <t>STB_22_0240</t>
  </si>
  <si>
    <t>REL_22_0200</t>
  </si>
  <si>
    <t>STB_22_0241</t>
  </si>
  <si>
    <t>REL_22_0201</t>
  </si>
  <si>
    <t>STB_22_0242</t>
  </si>
  <si>
    <t>REL_22_0202</t>
  </si>
  <si>
    <t>STB_22_0243</t>
  </si>
  <si>
    <t>F267912</t>
  </si>
  <si>
    <t>B267908</t>
  </si>
  <si>
    <t>F267871</t>
  </si>
  <si>
    <t>B267842</t>
  </si>
  <si>
    <t>B267832</t>
  </si>
  <si>
    <t>F267791</t>
  </si>
  <si>
    <t>F267662</t>
  </si>
  <si>
    <t>STB_22_0244</t>
  </si>
  <si>
    <t>STB_22_0245</t>
  </si>
  <si>
    <t>REL_22_0203</t>
  </si>
  <si>
    <t>STB_22_0246</t>
  </si>
  <si>
    <t>REL_22_0204</t>
  </si>
  <si>
    <t>STB_22_0247</t>
  </si>
  <si>
    <t>REL_22_0205</t>
  </si>
  <si>
    <t>STB_22_0248</t>
  </si>
  <si>
    <t>REL_22_0206</t>
  </si>
  <si>
    <t>STB_22_0249</t>
  </si>
  <si>
    <t>REL_22_0207</t>
  </si>
  <si>
    <t>STB_22_0250</t>
  </si>
  <si>
    <t>Limit FY</t>
  </si>
  <si>
    <t>Limit FY (SHORT)</t>
  </si>
  <si>
    <t>Limit Yearly</t>
  </si>
  <si>
    <t>Limit Yearly (SHORT)</t>
  </si>
  <si>
    <t>Limit FY Long</t>
  </si>
  <si>
    <t>Limit Yearly Long</t>
  </si>
  <si>
    <t>Limit Yearly Short</t>
  </si>
  <si>
    <t>Limit FY Short</t>
  </si>
  <si>
    <t>Limite FY</t>
  </si>
  <si>
    <t>Limite Yearly</t>
  </si>
  <si>
    <t>F268312</t>
  </si>
  <si>
    <t>F268246</t>
  </si>
  <si>
    <t>F268243</t>
  </si>
  <si>
    <t>B268192</t>
  </si>
  <si>
    <t>F268188</t>
  </si>
  <si>
    <t>STB_22_0251</t>
  </si>
  <si>
    <t>STB_22_0252</t>
  </si>
  <si>
    <t>STB_22_0253</t>
  </si>
  <si>
    <t>STB_22_0254</t>
  </si>
  <si>
    <t>STB_22_0255</t>
  </si>
  <si>
    <t>%Usage</t>
  </si>
  <si>
    <t>F268477</t>
  </si>
  <si>
    <t>STB_22_0256</t>
  </si>
  <si>
    <t>F268867</t>
  </si>
  <si>
    <t>Tradener Ltda</t>
  </si>
  <si>
    <t>STB_22_0257</t>
  </si>
  <si>
    <t>F269060</t>
  </si>
  <si>
    <t>F269039</t>
  </si>
  <si>
    <t>F269000</t>
  </si>
  <si>
    <t>F268976</t>
  </si>
  <si>
    <t>B268953</t>
  </si>
  <si>
    <t>STB_22_0258</t>
  </si>
  <si>
    <t>STB_22_0259</t>
  </si>
  <si>
    <t>STB_22_0260</t>
  </si>
  <si>
    <t>STB_22_0261</t>
  </si>
  <si>
    <t>STB_22_0262</t>
  </si>
  <si>
    <t>F269289</t>
  </si>
  <si>
    <t>STB_22_0263</t>
  </si>
  <si>
    <t>F269796</t>
  </si>
  <si>
    <t>F269777</t>
  </si>
  <si>
    <t>F269770</t>
  </si>
  <si>
    <t>B269766</t>
  </si>
  <si>
    <t>F269733</t>
  </si>
  <si>
    <t>B269729</t>
  </si>
  <si>
    <t>STB_22_0264</t>
  </si>
  <si>
    <t>STB_22_0265</t>
  </si>
  <si>
    <t>STB_22_0266</t>
  </si>
  <si>
    <t>STB_22_0267</t>
  </si>
  <si>
    <t>STB_22_0268</t>
  </si>
  <si>
    <t>STB_22_0269</t>
  </si>
  <si>
    <t>F270494</t>
  </si>
  <si>
    <t>F270493</t>
  </si>
  <si>
    <t>Tempo Energia S.A</t>
  </si>
  <si>
    <t>REL_22_0208</t>
  </si>
  <si>
    <t>STB_22_0270</t>
  </si>
  <si>
    <t>REL_22_0209</t>
  </si>
  <si>
    <t>STB_22_0271</t>
  </si>
  <si>
    <t>F270763</t>
  </si>
  <si>
    <t>F270663</t>
  </si>
  <si>
    <t>F270613</t>
  </si>
  <si>
    <t>STB_22_0272</t>
  </si>
  <si>
    <t>STB_22_0273</t>
  </si>
  <si>
    <t>REL_22_0210</t>
  </si>
  <si>
    <t>STB_22_0274</t>
  </si>
  <si>
    <t>F270840</t>
  </si>
  <si>
    <t>STB_22_0275</t>
  </si>
  <si>
    <t>F271193</t>
  </si>
  <si>
    <t>F271188</t>
  </si>
  <si>
    <t>F271178</t>
  </si>
  <si>
    <t>F271159</t>
  </si>
  <si>
    <t>F271070</t>
  </si>
  <si>
    <t>STB_22_0276</t>
  </si>
  <si>
    <t>STB_22_0277</t>
  </si>
  <si>
    <t>REL_22_0211</t>
  </si>
  <si>
    <t>STB_22_0278</t>
  </si>
  <si>
    <t>STB_22_0279</t>
  </si>
  <si>
    <t>STB_22_0280</t>
  </si>
  <si>
    <t>F272032</t>
  </si>
  <si>
    <t>F272008</t>
  </si>
  <si>
    <t>F271867</t>
  </si>
  <si>
    <t>F271794</t>
  </si>
  <si>
    <t>32.168.500/0001-23</t>
  </si>
  <si>
    <t>STB_22_0281</t>
  </si>
  <si>
    <t>STB_22_0282</t>
  </si>
  <si>
    <t>STB_22_0283</t>
  </si>
  <si>
    <t>STB_22_0284</t>
  </si>
  <si>
    <t>Indicativo</t>
  </si>
  <si>
    <t>B272131</t>
  </si>
  <si>
    <t>STB_22_0285</t>
  </si>
  <si>
    <t>F272364</t>
  </si>
  <si>
    <t>STB_22_0286</t>
  </si>
  <si>
    <t>F272982</t>
  </si>
  <si>
    <t>F272980</t>
  </si>
  <si>
    <t>B272946</t>
  </si>
  <si>
    <t>F272903</t>
  </si>
  <si>
    <t>B272894</t>
  </si>
  <si>
    <t>B272893</t>
  </si>
  <si>
    <t>B272890</t>
  </si>
  <si>
    <t>F272871</t>
  </si>
  <si>
    <t>STB_22_0287</t>
  </si>
  <si>
    <t>STB_22_0288</t>
  </si>
  <si>
    <t>STB_22_0289</t>
  </si>
  <si>
    <t>STB_22_0290</t>
  </si>
  <si>
    <t>STB_22_0291</t>
  </si>
  <si>
    <t>STB_22_0292</t>
  </si>
  <si>
    <t>STB_22_0293</t>
  </si>
  <si>
    <t>STB_22_0294</t>
  </si>
  <si>
    <t>F273817</t>
  </si>
  <si>
    <t>B273816</t>
  </si>
  <si>
    <t>B273814</t>
  </si>
  <si>
    <t>B273812</t>
  </si>
  <si>
    <t>28.397.998/0001-29</t>
  </si>
  <si>
    <t>34.475.373/0001-30</t>
  </si>
  <si>
    <t>12.630.054/0001-10</t>
  </si>
  <si>
    <t>STB_22_0295</t>
  </si>
  <si>
    <t>STB_22_0296</t>
  </si>
  <si>
    <t>STB_22_0297</t>
  </si>
  <si>
    <t>STB_22_0298</t>
  </si>
  <si>
    <t>B274144</t>
  </si>
  <si>
    <t>F274078</t>
  </si>
  <si>
    <t>B274060</t>
  </si>
  <si>
    <t>AES BRASIL OPERAÇÕES S.A.</t>
  </si>
  <si>
    <t>00.194.724/0001-13</t>
  </si>
  <si>
    <t>STB_22_0299</t>
  </si>
  <si>
    <t>STB_22_0300</t>
  </si>
  <si>
    <t>STB_22_0301</t>
  </si>
  <si>
    <t>F274382</t>
  </si>
  <si>
    <t>F274381</t>
  </si>
  <si>
    <t>F274380</t>
  </si>
  <si>
    <t>F274352</t>
  </si>
  <si>
    <t>F274351</t>
  </si>
  <si>
    <t>F274297</t>
  </si>
  <si>
    <t>F274296</t>
  </si>
  <si>
    <t>F274295</t>
  </si>
  <si>
    <t>B274291</t>
  </si>
  <si>
    <t>B274256</t>
  </si>
  <si>
    <t>REL_22_0212</t>
  </si>
  <si>
    <t>STB_22_0302</t>
  </si>
  <si>
    <t>REL_22_0213</t>
  </si>
  <si>
    <t>STB_22_0303</t>
  </si>
  <si>
    <t>REL_22_0214</t>
  </si>
  <si>
    <t>STB_22_0304</t>
  </si>
  <si>
    <t>REL_22_0215</t>
  </si>
  <si>
    <t>STB_22_0305</t>
  </si>
  <si>
    <t>STB_22_0306</t>
  </si>
  <si>
    <t>REL_22_0216</t>
  </si>
  <si>
    <t>STB_22_0307</t>
  </si>
  <si>
    <t>REL_22_0217</t>
  </si>
  <si>
    <t>STB_22_0308</t>
  </si>
  <si>
    <t>REL_22_0218</t>
  </si>
  <si>
    <t>STB_22_0309</t>
  </si>
  <si>
    <t>REL_22_0219</t>
  </si>
  <si>
    <t>STB_22_0310</t>
  </si>
  <si>
    <t>STB_22_0311</t>
  </si>
  <si>
    <t>F274568</t>
  </si>
  <si>
    <t>B274484</t>
  </si>
  <si>
    <t>REL_22_0220</t>
  </si>
  <si>
    <t>STB_22_0312</t>
  </si>
  <si>
    <t>REL_22_0221</t>
  </si>
  <si>
    <t>STB_22_0313</t>
  </si>
  <si>
    <t>B274855</t>
  </si>
  <si>
    <t>B274854</t>
  </si>
  <si>
    <t>F274806</t>
  </si>
  <si>
    <t>B274775</t>
  </si>
  <si>
    <t>B274756</t>
  </si>
  <si>
    <t>B274750</t>
  </si>
  <si>
    <t>STB_22_0314</t>
  </si>
  <si>
    <t>STB_22_0315</t>
  </si>
  <si>
    <t>STB_22_0316</t>
  </si>
  <si>
    <t>STB_22_0317</t>
  </si>
  <si>
    <t>STB_22_0318</t>
  </si>
  <si>
    <t>STB_22_0319</t>
  </si>
  <si>
    <t>B275292</t>
  </si>
  <si>
    <t>B275203</t>
  </si>
  <si>
    <t>F275147</t>
  </si>
  <si>
    <t>B275103</t>
  </si>
  <si>
    <t>B275090</t>
  </si>
  <si>
    <t>B275046</t>
  </si>
  <si>
    <t>B275043</t>
  </si>
  <si>
    <t>B275006</t>
  </si>
  <si>
    <t>NORTE ENERGIA S/A</t>
  </si>
  <si>
    <t>STB_22_0320</t>
  </si>
  <si>
    <t>STB_22_0321</t>
  </si>
  <si>
    <t>STB_22_0322</t>
  </si>
  <si>
    <t>STB_22_0323</t>
  </si>
  <si>
    <t>STB_22_0324</t>
  </si>
  <si>
    <t>REL_22_0222</t>
  </si>
  <si>
    <t>STB_22_0325</t>
  </si>
  <si>
    <t>STB_22_0326</t>
  </si>
  <si>
    <t>STB_22_0327</t>
  </si>
  <si>
    <t>B275652</t>
  </si>
  <si>
    <t>STB_22_0328</t>
  </si>
  <si>
    <t>F275796</t>
  </si>
  <si>
    <t>F275776</t>
  </si>
  <si>
    <t>STB_22_0329</t>
  </si>
  <si>
    <t>STB_22_0330</t>
  </si>
  <si>
    <t>F275914</t>
  </si>
  <si>
    <t>I74</t>
  </si>
  <si>
    <t>I75</t>
  </si>
  <si>
    <t>STB_22_0331</t>
  </si>
  <si>
    <t>STB_22_0332</t>
  </si>
  <si>
    <t>STB_22_0333</t>
  </si>
  <si>
    <t>F276450</t>
  </si>
  <si>
    <t>F276391</t>
  </si>
  <si>
    <t>F276382</t>
  </si>
  <si>
    <t>B276364</t>
  </si>
  <si>
    <t>F276354</t>
  </si>
  <si>
    <t>B276343</t>
  </si>
  <si>
    <t>F276290</t>
  </si>
  <si>
    <t>F276274</t>
  </si>
  <si>
    <t>F276273</t>
  </si>
  <si>
    <t>Ambar Comercializadora de Energia Ltda</t>
  </si>
  <si>
    <t>REL_22_0223</t>
  </si>
  <si>
    <t>STB_22_0334</t>
  </si>
  <si>
    <t>STB_22_0335</t>
  </si>
  <si>
    <t>STB_22_0336</t>
  </si>
  <si>
    <t>STB_22_0337</t>
  </si>
  <si>
    <t>STB_22_0338</t>
  </si>
  <si>
    <t>STB_22_0339</t>
  </si>
  <si>
    <t>REL_22_0224</t>
  </si>
  <si>
    <t>STB_22_0340</t>
  </si>
  <si>
    <t>STB_22_0341</t>
  </si>
  <si>
    <t>REL_22_0225</t>
  </si>
  <si>
    <t>STB_22_0342</t>
  </si>
  <si>
    <t>F276804</t>
  </si>
  <si>
    <t>B276803</t>
  </si>
  <si>
    <t>F276790</t>
  </si>
  <si>
    <t>EDP - Comercialização e Serviços de Energia SA</t>
  </si>
  <si>
    <t>REL_22_0226</t>
  </si>
  <si>
    <t>STB_22_0343</t>
  </si>
  <si>
    <t>STB_22_0344</t>
  </si>
  <si>
    <t>STB_22_0345</t>
  </si>
  <si>
    <t>F277014</t>
  </si>
  <si>
    <t>F276960</t>
  </si>
  <si>
    <t>F276832</t>
  </si>
  <si>
    <t>I76</t>
  </si>
  <si>
    <t>REL_22_0227</t>
  </si>
  <si>
    <t>STB_22_0346</t>
  </si>
  <si>
    <t>REL_22_0228</t>
  </si>
  <si>
    <t>STB_22_0347</t>
  </si>
  <si>
    <t>REL_22_0229</t>
  </si>
  <si>
    <t>STB_22_0348</t>
  </si>
  <si>
    <t>STB_22_0349</t>
  </si>
  <si>
    <t>F277256</t>
  </si>
  <si>
    <t>B277235</t>
  </si>
  <si>
    <t>F277187</t>
  </si>
  <si>
    <t>B277155</t>
  </si>
  <si>
    <t>B277147</t>
  </si>
  <si>
    <t>STB_22_0350</t>
  </si>
  <si>
    <t>STB_22_0351</t>
  </si>
  <si>
    <t>STB_22_0352</t>
  </si>
  <si>
    <t>STB_22_0353</t>
  </si>
  <si>
    <t>STB_22_0354</t>
  </si>
  <si>
    <t>VALUE @ RISK</t>
  </si>
  <si>
    <t>B277605</t>
  </si>
  <si>
    <t>STB_22_0355</t>
  </si>
  <si>
    <t>F278464</t>
  </si>
  <si>
    <t>F278381</t>
  </si>
  <si>
    <t>F278306</t>
  </si>
  <si>
    <t>STB_22_0356</t>
  </si>
  <si>
    <t>STB_22_0357</t>
  </si>
  <si>
    <t>STB_22_0358</t>
  </si>
  <si>
    <t>F278737</t>
  </si>
  <si>
    <t>STB_22_0359</t>
  </si>
  <si>
    <t>B278919</t>
  </si>
  <si>
    <t>STB_22_0360</t>
  </si>
  <si>
    <t>F279290</t>
  </si>
  <si>
    <t>STB_22_0361</t>
  </si>
  <si>
    <t>B279677</t>
  </si>
  <si>
    <t>F279659</t>
  </si>
  <si>
    <t>TRINITY ENERGIAS RENOVÁVEIS S.A</t>
  </si>
  <si>
    <t>Quanta Comercializadora de Energia Ltda.</t>
  </si>
  <si>
    <t>STB_22_0362</t>
  </si>
  <si>
    <t>STB_22_0363</t>
  </si>
  <si>
    <t>F279896</t>
  </si>
  <si>
    <t>F279893</t>
  </si>
  <si>
    <t>STB_22_0364</t>
  </si>
  <si>
    <t>STB_22_0365</t>
  </si>
  <si>
    <t>F280191</t>
  </si>
  <si>
    <t>F280133</t>
  </si>
  <si>
    <t>F280125</t>
  </si>
  <si>
    <t>B280123</t>
  </si>
  <si>
    <t>F279977</t>
  </si>
  <si>
    <t>F279971</t>
  </si>
  <si>
    <t>F279959</t>
  </si>
  <si>
    <t>F279951</t>
  </si>
  <si>
    <t>MEZ COMERCIALIZADORA DE ENERGIA ELETRICA LTDA.</t>
  </si>
  <si>
    <t>CZARNIKOW BRASIL LTDA.</t>
  </si>
  <si>
    <t>Bunge Açúcar e Bioenergia S.A.</t>
  </si>
  <si>
    <t>STB_22_0366</t>
  </si>
  <si>
    <t>STB_22_0367</t>
  </si>
  <si>
    <t>STB_22_0368</t>
  </si>
  <si>
    <t>STB_22_0369</t>
  </si>
  <si>
    <t>STB_22_0370</t>
  </si>
  <si>
    <t>STB_22_0371</t>
  </si>
  <si>
    <t>STB_22_0372</t>
  </si>
  <si>
    <t>STB_22_0373</t>
  </si>
  <si>
    <t>F280470</t>
  </si>
  <si>
    <t>F280467</t>
  </si>
  <si>
    <t>F280462</t>
  </si>
  <si>
    <t>F280461</t>
  </si>
  <si>
    <t>F280419</t>
  </si>
  <si>
    <t>F280407</t>
  </si>
  <si>
    <t>B280403</t>
  </si>
  <si>
    <t>B280399</t>
  </si>
  <si>
    <t>F280279</t>
  </si>
  <si>
    <t>F280241</t>
  </si>
  <si>
    <t>ENEL TRADING BRASIL S.A</t>
  </si>
  <si>
    <t>STB_22_0374</t>
  </si>
  <si>
    <t>STB_22_0375</t>
  </si>
  <si>
    <t>STB_22_0376</t>
  </si>
  <si>
    <t>STB_22_0377</t>
  </si>
  <si>
    <t>STB_22_0378</t>
  </si>
  <si>
    <t>STB_22_0379</t>
  </si>
  <si>
    <t>STB_22_0380</t>
  </si>
  <si>
    <t>STB_22_0381</t>
  </si>
  <si>
    <t>STB_22_0382</t>
  </si>
  <si>
    <t>STB_22_0383</t>
  </si>
  <si>
    <t>STB_22_0384</t>
  </si>
  <si>
    <t>F280541</t>
  </si>
  <si>
    <t>F280531</t>
  </si>
  <si>
    <t>F280523</t>
  </si>
  <si>
    <t>VOLTALIA DO BRASIL COMERCIALIZADORA DE ENERGIA LTDA</t>
  </si>
  <si>
    <t>REL_22_0230</t>
  </si>
  <si>
    <t>STB_22_0385</t>
  </si>
  <si>
    <t>REL_22_0231</t>
  </si>
  <si>
    <t>STB_22_0386</t>
  </si>
  <si>
    <t>REL_22_0232</t>
  </si>
  <si>
    <t>STB_22_0387</t>
  </si>
  <si>
    <t>F280912</t>
  </si>
  <si>
    <t>F280842</t>
  </si>
  <si>
    <t>F280767</t>
  </si>
  <si>
    <t>I77</t>
  </si>
  <si>
    <t>REL_22_0233</t>
  </si>
  <si>
    <t>STB_22_0388</t>
  </si>
  <si>
    <t>REL_22_0234</t>
  </si>
  <si>
    <t>STB_22_0389</t>
  </si>
  <si>
    <t>REL_22_0235</t>
  </si>
  <si>
    <t>STB_22_0390</t>
  </si>
  <si>
    <t>STB_22_0391</t>
  </si>
  <si>
    <t>REL_22_0236</t>
  </si>
  <si>
    <t>STB_22_0392</t>
  </si>
  <si>
    <t>B281273</t>
  </si>
  <si>
    <t>F281192</t>
  </si>
  <si>
    <t>B281187</t>
  </si>
  <si>
    <t>B281171</t>
  </si>
  <si>
    <t>B281120</t>
  </si>
  <si>
    <t>F281099</t>
  </si>
  <si>
    <t>F280979</t>
  </si>
  <si>
    <t>RBE Gestão Estratégica de Energia Ltda</t>
  </si>
  <si>
    <t>Urca Comercializadora de Energia Ltda</t>
  </si>
  <si>
    <t>COMPANHIA DE GERACAO E TRANSMISSAO DE ENERGIA ELETRICA DO SUL DO BRASIL - ELETROBRAS CGT ELETROSUL</t>
  </si>
  <si>
    <t>BEP Comercializadora de Energia Elétrica Ltda</t>
  </si>
  <si>
    <t>REL_22_0237</t>
  </si>
  <si>
    <t>STB_22_0393</t>
  </si>
  <si>
    <t>REL_22_0238</t>
  </si>
  <si>
    <t>STB_22_0394</t>
  </si>
  <si>
    <t>REL_22_0239</t>
  </si>
  <si>
    <t>STB_22_0395</t>
  </si>
  <si>
    <t>REL_22_0240</t>
  </si>
  <si>
    <t>STB_22_0396</t>
  </si>
  <si>
    <t>REL_22_0241</t>
  </si>
  <si>
    <t>STB_22_0397</t>
  </si>
  <si>
    <t>REL_22_0242</t>
  </si>
  <si>
    <t>STB_22_0398</t>
  </si>
  <si>
    <t>REL_22_0243</t>
  </si>
  <si>
    <t>STB_22_0399</t>
  </si>
  <si>
    <t>F281440</t>
  </si>
  <si>
    <t>B281438</t>
  </si>
  <si>
    <t>B281434</t>
  </si>
  <si>
    <t>F281427</t>
  </si>
  <si>
    <t>F281375</t>
  </si>
  <si>
    <t>F281568</t>
  </si>
  <si>
    <t>FRUTAL BIOENERGIA LTDA</t>
  </si>
  <si>
    <t>USINA GUARIROBA LTDA</t>
  </si>
  <si>
    <t>ITUIUTABA BIOENERGIA LTDA</t>
  </si>
  <si>
    <t>BUNGE ACUCAR E BIOENERGIA S A</t>
  </si>
  <si>
    <t>REL_22_0244</t>
  </si>
  <si>
    <t>STB_22_0400</t>
  </si>
  <si>
    <t>REL_22_0245</t>
  </si>
  <si>
    <t>STB_22_0401</t>
  </si>
  <si>
    <t>REL_22_0246</t>
  </si>
  <si>
    <t>STB_22_0402</t>
  </si>
  <si>
    <t>REL_22_0247</t>
  </si>
  <si>
    <t>STB_22_0403</t>
  </si>
  <si>
    <t>REL_22_0248</t>
  </si>
  <si>
    <t>STB_22_0404</t>
  </si>
  <si>
    <t>REL_22_0249</t>
  </si>
  <si>
    <t>STB_22_0405</t>
  </si>
  <si>
    <t>REL_22_0250</t>
  </si>
  <si>
    <t>STB_22_0406</t>
  </si>
  <si>
    <t>REL_22_0251</t>
  </si>
  <si>
    <t>STB_22_0407</t>
  </si>
  <si>
    <t>REL_22_0252</t>
  </si>
  <si>
    <t>STB_22_0408</t>
  </si>
  <si>
    <t>STB_22_0409</t>
  </si>
  <si>
    <t>F282336</t>
  </si>
  <si>
    <t>STB_22_0410</t>
  </si>
  <si>
    <t>F282967</t>
  </si>
  <si>
    <t>F282876</t>
  </si>
  <si>
    <t>B282874</t>
  </si>
  <si>
    <t>F282851</t>
  </si>
  <si>
    <t>B282849</t>
  </si>
  <si>
    <t>F282846</t>
  </si>
  <si>
    <t>REL_22_0253</t>
  </si>
  <si>
    <t>STB_22_0411</t>
  </si>
  <si>
    <t>STB_22_0412</t>
  </si>
  <si>
    <t>REL_22_0254</t>
  </si>
  <si>
    <t>STB_22_0413</t>
  </si>
  <si>
    <t>STB_22_0414</t>
  </si>
  <si>
    <t>STB_22_0415</t>
  </si>
  <si>
    <t>REL_22_0255</t>
  </si>
  <si>
    <t>STB_22_0416</t>
  </si>
  <si>
    <t>B283165</t>
  </si>
  <si>
    <t>REL_22_0256</t>
  </si>
  <si>
    <t>STB_22_0417</t>
  </si>
  <si>
    <t>F283204</t>
  </si>
  <si>
    <t>F283203</t>
  </si>
  <si>
    <t>B283199</t>
  </si>
  <si>
    <t>B283198</t>
  </si>
  <si>
    <t>B283194</t>
  </si>
  <si>
    <t>F283182</t>
  </si>
  <si>
    <t>REL_22_0257</t>
  </si>
  <si>
    <t>STB_22_0418</t>
  </si>
  <si>
    <t>REL_22_0258</t>
  </si>
  <si>
    <t>STB_22_0419</t>
  </si>
  <si>
    <t>REL_22_0259</t>
  </si>
  <si>
    <t>STB_22_0420</t>
  </si>
  <si>
    <t>REL_22_0260</t>
  </si>
  <si>
    <t>STB_22_0421</t>
  </si>
  <si>
    <t>REL_22_0261</t>
  </si>
  <si>
    <t>STB_22_0422</t>
  </si>
  <si>
    <t>REL_22_0262</t>
  </si>
  <si>
    <t>STB_22_0423</t>
  </si>
  <si>
    <t>Ano Trading Book</t>
  </si>
  <si>
    <t>Mês atual</t>
  </si>
  <si>
    <t>Forecast</t>
  </si>
  <si>
    <t>Open energy volume (GWh)</t>
  </si>
  <si>
    <t>Market Position</t>
  </si>
  <si>
    <t>Limite Volumétrico (GWh)</t>
  </si>
  <si>
    <t>Uso Limite Volumétrico</t>
  </si>
  <si>
    <t>FPC tail</t>
  </si>
  <si>
    <t>Ano</t>
  </si>
  <si>
    <t>Disponível</t>
  </si>
  <si>
    <t>Utilizado</t>
  </si>
  <si>
    <t>Produto</t>
  </si>
  <si>
    <t>F283917</t>
  </si>
  <si>
    <t>F283884</t>
  </si>
  <si>
    <t>F283813</t>
  </si>
  <si>
    <t>GENCO ENERGIA LTDA</t>
  </si>
  <si>
    <t>STB_22_0424</t>
  </si>
  <si>
    <t>STB_22_0425</t>
  </si>
  <si>
    <t>REL_22_0263</t>
  </si>
  <si>
    <t>STB_22_0426</t>
  </si>
  <si>
    <t>B284216</t>
  </si>
  <si>
    <t>B284184</t>
  </si>
  <si>
    <t>B284151</t>
  </si>
  <si>
    <t>B284143</t>
  </si>
  <si>
    <t>B284141</t>
  </si>
  <si>
    <t>F284112</t>
  </si>
  <si>
    <t>F284088</t>
  </si>
  <si>
    <t>B284004</t>
  </si>
  <si>
    <t>STB_22_0427</t>
  </si>
  <si>
    <t>STB_22_0428</t>
  </si>
  <si>
    <t>STB_22_0429</t>
  </si>
  <si>
    <t>STB_22_0430</t>
  </si>
  <si>
    <t>STB_22_0431</t>
  </si>
  <si>
    <t>STB_22_0432</t>
  </si>
  <si>
    <t>STB_22_0433</t>
  </si>
  <si>
    <t>REL_22_0264</t>
  </si>
  <si>
    <t>STB_22_0434</t>
  </si>
  <si>
    <t>F284392</t>
  </si>
  <si>
    <t>REL_22_0265</t>
  </si>
  <si>
    <t>STB_22_0435</t>
  </si>
  <si>
    <t>F284547</t>
  </si>
  <si>
    <t>STB_22_0436</t>
  </si>
  <si>
    <t>B284905</t>
  </si>
  <si>
    <t>B284897</t>
  </si>
  <si>
    <t>F284860</t>
  </si>
  <si>
    <t>F284844</t>
  </si>
  <si>
    <t>B284770</t>
  </si>
  <si>
    <t>I78</t>
  </si>
  <si>
    <t>Companhia Hidro Elétrica do São Francisco - Chesf</t>
  </si>
  <si>
    <t>EDP Trading Comercialização e Serviços de Energia S.A.</t>
  </si>
  <si>
    <t>REL_22_0266</t>
  </si>
  <si>
    <t>STB_22_0437</t>
  </si>
  <si>
    <t>REL_22_0267</t>
  </si>
  <si>
    <t>STB_22_0438</t>
  </si>
  <si>
    <t>REL_22_0268</t>
  </si>
  <si>
    <t>STB_22_0439</t>
  </si>
  <si>
    <t>REL_22_0269</t>
  </si>
  <si>
    <t>STB_22_0440</t>
  </si>
  <si>
    <t>REL_22_0270</t>
  </si>
  <si>
    <t>STB_22_0441</t>
  </si>
  <si>
    <t>STB_22_0442</t>
  </si>
  <si>
    <t>F285276</t>
  </si>
  <si>
    <t>F285176</t>
  </si>
  <si>
    <t>B285168</t>
  </si>
  <si>
    <t>F285112</t>
  </si>
  <si>
    <t>F285111</t>
  </si>
  <si>
    <t>F285110</t>
  </si>
  <si>
    <t>REL_22_0271</t>
  </si>
  <si>
    <t>STB_22_0443</t>
  </si>
  <si>
    <t>REL_22_0272</t>
  </si>
  <si>
    <t>STB_22_0444</t>
  </si>
  <si>
    <t>REL_22_0273</t>
  </si>
  <si>
    <t>STB_22_0445</t>
  </si>
  <si>
    <t>STB_22_0446</t>
  </si>
  <si>
    <t>STB_22_0447</t>
  </si>
  <si>
    <t>REL_22_0274</t>
  </si>
  <si>
    <t>STB_22_0448</t>
  </si>
  <si>
    <t>F285422</t>
  </si>
  <si>
    <t>F285388</t>
  </si>
  <si>
    <t>F285367</t>
  </si>
  <si>
    <t>F285338</t>
  </si>
  <si>
    <t>F285321</t>
  </si>
  <si>
    <t>F285318</t>
  </si>
  <si>
    <t>Vale Energia S.A</t>
  </si>
  <si>
    <t>Usina Santa Juliana</t>
  </si>
  <si>
    <t>REL_22_0275</t>
  </si>
  <si>
    <t>STB_22_0449</t>
  </si>
  <si>
    <t>REL_22_0276</t>
  </si>
  <si>
    <t>STB_22_0450</t>
  </si>
  <si>
    <t>STB_22_0451</t>
  </si>
  <si>
    <t>STB_22_0452</t>
  </si>
  <si>
    <t>STB_22_0453</t>
  </si>
  <si>
    <t>STB_22_0454</t>
  </si>
  <si>
    <t>REL_22_0277</t>
  </si>
  <si>
    <t>STB_22_0455</t>
  </si>
  <si>
    <t>B285755</t>
  </si>
  <si>
    <t>F285594</t>
  </si>
  <si>
    <t>F285587</t>
  </si>
  <si>
    <t>F285581</t>
  </si>
  <si>
    <t>F285556</t>
  </si>
  <si>
    <t>B285544</t>
  </si>
  <si>
    <t>F285539</t>
  </si>
  <si>
    <t>JBS S.A.</t>
  </si>
  <si>
    <t>Prime Energy Comercializadora de Energia Ltda</t>
  </si>
  <si>
    <t>REL_22_0278</t>
  </si>
  <si>
    <t>STB_22_0456</t>
  </si>
  <si>
    <t>REL_22_0279</t>
  </si>
  <si>
    <t>STB_22_0457</t>
  </si>
  <si>
    <t>REL_22_0280</t>
  </si>
  <si>
    <t>STB_22_0458</t>
  </si>
  <si>
    <t>REL_22_0281</t>
  </si>
  <si>
    <t>STB_22_0459</t>
  </si>
  <si>
    <t>REL_22_0282</t>
  </si>
  <si>
    <t>STB_22_0460</t>
  </si>
  <si>
    <t>REL_22_0283</t>
  </si>
  <si>
    <t>STB_22_0461</t>
  </si>
  <si>
    <t>REL_22_0284</t>
  </si>
  <si>
    <t>STB_22_0462</t>
  </si>
  <si>
    <t>B285863</t>
  </si>
  <si>
    <t>ECEL ELETRON COMERCIALIZADORA DE ENERGIA S.A</t>
  </si>
  <si>
    <t>REL_22_0285</t>
  </si>
  <si>
    <t>STB_22_0463</t>
  </si>
  <si>
    <t>REL_22_0286</t>
  </si>
  <si>
    <t>STB_22_0464</t>
  </si>
  <si>
    <t>F287053</t>
  </si>
  <si>
    <t>F287051</t>
  </si>
  <si>
    <t>REL_22_0287</t>
  </si>
  <si>
    <t>STB_22_0465</t>
  </si>
  <si>
    <t>REL_22_0288</t>
  </si>
  <si>
    <t>STB_22_0466</t>
  </si>
  <si>
    <t>F288261</t>
  </si>
  <si>
    <t>REL_22_0289</t>
  </si>
  <si>
    <t>STB_22_0467</t>
  </si>
  <si>
    <t>B288315</t>
  </si>
  <si>
    <t>B288313</t>
  </si>
  <si>
    <t>LIGHTCOM COMERCIALIZADORA DE ENERGIA S.A.</t>
  </si>
  <si>
    <t>REL_22_0290</t>
  </si>
  <si>
    <t>STB_22_0468</t>
  </si>
  <si>
    <t>REL_22_0291</t>
  </si>
  <si>
    <t>STB_22_0469</t>
  </si>
  <si>
    <t>FEN22H0000132F</t>
  </si>
  <si>
    <t>FEN22H0000125F</t>
  </si>
  <si>
    <t>FEN22H0000036B</t>
  </si>
  <si>
    <t>18.185.035/0001-08</t>
  </si>
  <si>
    <t>03.780.401/0001-08</t>
  </si>
  <si>
    <t>ESFERA COMERCIALIZADORA DE ENERGIA LTDA</t>
  </si>
  <si>
    <t>26.940.979/0001-71</t>
  </si>
  <si>
    <t>REL_22_0292</t>
  </si>
  <si>
    <t>STB_22_0470</t>
  </si>
  <si>
    <t>REL_22_0293</t>
  </si>
  <si>
    <t>STB_22_0471</t>
  </si>
  <si>
    <t>REL_22_0294</t>
  </si>
  <si>
    <t>STB_22_0472</t>
  </si>
  <si>
    <t>REL_22_0295</t>
  </si>
  <si>
    <t>STB_22_0473</t>
  </si>
  <si>
    <t>FEN22H0000257F</t>
  </si>
  <si>
    <t>FEN22H0000346F</t>
  </si>
  <si>
    <t>FEN22H0000142B</t>
  </si>
  <si>
    <t>07.358.761/0056-32</t>
  </si>
  <si>
    <t>REL_22_0296</t>
  </si>
  <si>
    <t>STB_22_0474</t>
  </si>
  <si>
    <t>REL_22_0297</t>
  </si>
  <si>
    <t>STB_22_0475</t>
  </si>
  <si>
    <t>STB_22_0476</t>
  </si>
  <si>
    <t>Descrição</t>
  </si>
  <si>
    <t>P&amp;L R$ MM</t>
  </si>
  <si>
    <t>P&amp;L por ano para o gráfico</t>
  </si>
  <si>
    <t>FEN22H0000552F</t>
  </si>
  <si>
    <t>FEN22H0000553F</t>
  </si>
  <si>
    <t>FEN22H0000555F</t>
  </si>
  <si>
    <t>FEN22H0000509F</t>
  </si>
  <si>
    <t>04.973.790/0001-42</t>
  </si>
  <si>
    <t>18.483.400/0001-60</t>
  </si>
  <si>
    <t>Auren Comercializadora de Energia Ltda</t>
  </si>
  <si>
    <t>03.984.862/0001-94</t>
  </si>
  <si>
    <t>REL_22_0298</t>
  </si>
  <si>
    <t>STB_22_0477</t>
  </si>
  <si>
    <t>REL_22_0299</t>
  </si>
  <si>
    <t>STB_22_0478</t>
  </si>
  <si>
    <t>REL_22_0300</t>
  </si>
  <si>
    <t>STB_22_0479</t>
  </si>
  <si>
    <t>REL_22_0301</t>
  </si>
  <si>
    <t>STB_22_0480</t>
  </si>
  <si>
    <t>FEN22H0000249B</t>
  </si>
  <si>
    <t>FEN22H0000625F</t>
  </si>
  <si>
    <t>FEN22H0000619F</t>
  </si>
  <si>
    <t>FEN22H0000233B</t>
  </si>
  <si>
    <t>26.537.119/0001-91</t>
  </si>
  <si>
    <t>30.840.548/0001-00</t>
  </si>
  <si>
    <t>STB_22_0481</t>
  </si>
  <si>
    <t>STB_22_0482</t>
  </si>
  <si>
    <t>REL_22_0302</t>
  </si>
  <si>
    <t>STB_22_0483</t>
  </si>
  <si>
    <t>STB_22_0484</t>
  </si>
  <si>
    <t>FEN22H0000902F</t>
  </si>
  <si>
    <t>FEN22H0000842F</t>
  </si>
  <si>
    <t>18.384.740/0001-34</t>
  </si>
  <si>
    <t>STB_22_0485</t>
  </si>
  <si>
    <t>STB_22_0486</t>
  </si>
  <si>
    <t>FEN22H0000422B</t>
  </si>
  <si>
    <t>FEN22H0001049F</t>
  </si>
  <si>
    <t>FEN22H0000999F</t>
  </si>
  <si>
    <t>FEN22H0001037F</t>
  </si>
  <si>
    <t>FEN22H0001007F</t>
  </si>
  <si>
    <t>26.914.969/0001-61</t>
  </si>
  <si>
    <t>EVO ENERGIA LTDA</t>
  </si>
  <si>
    <t>30.902.608/0001-72</t>
  </si>
  <si>
    <t>08.773.135/0001-00</t>
  </si>
  <si>
    <t>29.000.095/0001-25</t>
  </si>
  <si>
    <t>STB_22_0487</t>
  </si>
  <si>
    <t>STB_22_0488</t>
  </si>
  <si>
    <t>REL_22_0303</t>
  </si>
  <si>
    <t>STB_22_0489</t>
  </si>
  <si>
    <t>REL_22_0304</t>
  </si>
  <si>
    <t>STB_22_0490</t>
  </si>
  <si>
    <t>REL_22_0305</t>
  </si>
  <si>
    <t>STB_22_0491</t>
  </si>
  <si>
    <t>FEN22H0001384F</t>
  </si>
  <si>
    <t>09.185.485/0001-00</t>
  </si>
  <si>
    <t>STB_22_0492</t>
  </si>
  <si>
    <t>FEN22H0001531F</t>
  </si>
  <si>
    <t>FEN22H0001516F</t>
  </si>
  <si>
    <t>SAFIRA VAREJO COMERCIALIZACAO DE ENERGIA LTDA</t>
  </si>
  <si>
    <t>11.482.752/0001-52</t>
  </si>
  <si>
    <t>REL_22_0306</t>
  </si>
  <si>
    <t>STB_22_0493</t>
  </si>
  <si>
    <t>REL_22_0307</t>
  </si>
  <si>
    <t>STB_22_0494</t>
  </si>
  <si>
    <t>FEN22H0000662B</t>
  </si>
  <si>
    <t>FEN22H0001629F</t>
  </si>
  <si>
    <t>FEN22H0000657B</t>
  </si>
  <si>
    <t>25.099.255/0001-84</t>
  </si>
  <si>
    <t>15.042.149/0001-00</t>
  </si>
  <si>
    <t>STB_22_0495</t>
  </si>
  <si>
    <t>STB_22_0496</t>
  </si>
  <si>
    <t>STB_22_0497</t>
  </si>
  <si>
    <t>FEN22H0001827F</t>
  </si>
  <si>
    <t>FEN22H0000731B</t>
  </si>
  <si>
    <t>FEN22H0000683B</t>
  </si>
  <si>
    <t>FEN22H0000676B</t>
  </si>
  <si>
    <t>FEN22H0000674B</t>
  </si>
  <si>
    <t>FEN22H0000672B</t>
  </si>
  <si>
    <t>11.182.210/0001-64</t>
  </si>
  <si>
    <t>15.087.610/0001-41</t>
  </si>
  <si>
    <t>13.338.734/0001-27</t>
  </si>
  <si>
    <t>REL_22_0308</t>
  </si>
  <si>
    <t>STB_22_0498</t>
  </si>
  <si>
    <t>STB_22_0499</t>
  </si>
  <si>
    <t>STB_22_0500</t>
  </si>
  <si>
    <t>STB_22_0501</t>
  </si>
  <si>
    <t>STB_22_0502</t>
  </si>
  <si>
    <t>STB_22_0503</t>
  </si>
  <si>
    <t>FEN22H0001958F</t>
  </si>
  <si>
    <t>FEN22H0001926F</t>
  </si>
  <si>
    <t>FEN22H0001865F</t>
  </si>
  <si>
    <t>33.541.368/0001-16</t>
  </si>
  <si>
    <t>02.207.392/0001-90</t>
  </si>
  <si>
    <t>REL_22_0309</t>
  </si>
  <si>
    <t>STB_22_0504</t>
  </si>
  <si>
    <t>REL_22_0310</t>
  </si>
  <si>
    <t>STB_22_0505</t>
  </si>
  <si>
    <t>REL_22_0311</t>
  </si>
  <si>
    <t>STB_22_0506</t>
  </si>
  <si>
    <t>FEN22H0002214F</t>
  </si>
  <si>
    <t>FEN22H0000856B</t>
  </si>
  <si>
    <t>SAFIRA ADMINISTRACAO E COMERCIALIZACAO DE ENERGIA S.A.</t>
  </si>
  <si>
    <t>09.495.582/0001-07</t>
  </si>
  <si>
    <t>STB_22_0507</t>
  </si>
  <si>
    <t>STB_22_0508</t>
  </si>
  <si>
    <t>FEN22I0000250F</t>
  </si>
  <si>
    <t>FEN22I0000043B</t>
  </si>
  <si>
    <t>FEN22I0000037B</t>
  </si>
  <si>
    <t>FEN22I0000092F</t>
  </si>
  <si>
    <t>FEN22I0000008B</t>
  </si>
  <si>
    <t>REL_22_0312</t>
  </si>
  <si>
    <t>STB_22_0509</t>
  </si>
  <si>
    <t>STB_22_0510</t>
  </si>
  <si>
    <t>STB_22_0511</t>
  </si>
  <si>
    <t>STB_22_0512</t>
  </si>
  <si>
    <t>STB_22_0513</t>
  </si>
  <si>
    <t>FEN22I0000886F</t>
  </si>
  <si>
    <t>FEN22I0000901F</t>
  </si>
  <si>
    <t>36.537.518/0001-06</t>
  </si>
  <si>
    <t>STB_22_0514</t>
  </si>
  <si>
    <t>STB_22_0515</t>
  </si>
  <si>
    <t>STB_22_0516</t>
  </si>
  <si>
    <t>FEN22I0001125F</t>
  </si>
  <si>
    <t>FEN22I0001120F</t>
  </si>
  <si>
    <t>FEN22I0001115F</t>
  </si>
  <si>
    <t>STB_22_0517</t>
  </si>
  <si>
    <t>STB_22_0518</t>
  </si>
  <si>
    <t>STB_22_0519</t>
  </si>
  <si>
    <t>FEN22I0001932F</t>
  </si>
  <si>
    <t>FEN22I0001929F</t>
  </si>
  <si>
    <t>STB_22_0520</t>
  </si>
  <si>
    <t>STB_22_0521</t>
  </si>
  <si>
    <t>FEN22I0002106F</t>
  </si>
  <si>
    <t>FEN22I0000584B</t>
  </si>
  <si>
    <t>FEN22I0002091F</t>
  </si>
  <si>
    <t>FEN22I0000575B</t>
  </si>
  <si>
    <t>FEN22I0002048F</t>
  </si>
  <si>
    <t>FEN22I0000530B</t>
  </si>
  <si>
    <t>STB_22_0522</t>
  </si>
  <si>
    <t>STB_22_0523</t>
  </si>
  <si>
    <t>STB_22_0524</t>
  </si>
  <si>
    <t>STB_22_0525</t>
  </si>
  <si>
    <t>STB_22_0526</t>
  </si>
  <si>
    <t>STB_22_0527</t>
  </si>
  <si>
    <t>FEN22I0000716B</t>
  </si>
  <si>
    <t>FEN22I0002384F</t>
  </si>
  <si>
    <t>FEN22I0002243F</t>
  </si>
  <si>
    <t>FEN22I0000626B</t>
  </si>
  <si>
    <t>15.732.189/0001-84</t>
  </si>
  <si>
    <t>STATKRAFT ENERGIA DO BRASIL LTDA.</t>
  </si>
  <si>
    <t>08.573.833/0001-53</t>
  </si>
  <si>
    <t>STB_22_0528</t>
  </si>
  <si>
    <t>STB_22_0529</t>
  </si>
  <si>
    <t>STB_22_0530</t>
  </si>
  <si>
    <t>STB_22_0531</t>
  </si>
  <si>
    <t>I79 / 26738</t>
  </si>
  <si>
    <t>I80 / 27026</t>
  </si>
  <si>
    <t>FEN22I0002709F</t>
  </si>
  <si>
    <t>FEN22I0002671F</t>
  </si>
  <si>
    <t>FEN22I0002620F</t>
  </si>
  <si>
    <t>FEN22I0002619F</t>
  </si>
  <si>
    <t>58.177.643/0001-95</t>
  </si>
  <si>
    <t>SIMPLE ENERGY COMERCIALIZADORA DE ENERGIA LTDA</t>
  </si>
  <si>
    <t>17.112.981/0001-61</t>
  </si>
  <si>
    <t>STB_22_0532</t>
  </si>
  <si>
    <t>STB_22_0533</t>
  </si>
  <si>
    <t>STB_22_0534</t>
  </si>
  <si>
    <t>STB_22_0535</t>
  </si>
  <si>
    <t>FEN22I0003278F</t>
  </si>
  <si>
    <t>FEN22I0001052B</t>
  </si>
  <si>
    <t>FEN22I0001040B</t>
  </si>
  <si>
    <t>FEN22I0001010B</t>
  </si>
  <si>
    <t>FEN22I0003170F</t>
  </si>
  <si>
    <t>FEN22I0001004B</t>
  </si>
  <si>
    <t>Electra Comercializadora de Energia S.A.</t>
  </si>
  <si>
    <t>04.518.259/0001-80</t>
  </si>
  <si>
    <t>STB_22_0536</t>
  </si>
  <si>
    <t>STB_22_0537</t>
  </si>
  <si>
    <t>STB_22_0538</t>
  </si>
  <si>
    <t>STB_22_0539</t>
  </si>
  <si>
    <t>STB_22_0540</t>
  </si>
  <si>
    <t>STB_22_0541</t>
  </si>
  <si>
    <t>FEN22I0003395F</t>
  </si>
  <si>
    <t>FEN22I0003387F</t>
  </si>
  <si>
    <t>FEN22I0003372F</t>
  </si>
  <si>
    <t>GOLD COMERCIALIZADORA DE ENERGIA LTDA</t>
  </si>
  <si>
    <t>30.483.222/0001-73</t>
  </si>
  <si>
    <t>STB_22_0542</t>
  </si>
  <si>
    <t>STB_22_0543</t>
  </si>
  <si>
    <t>STB_22_0544</t>
  </si>
  <si>
    <t>FEN22I0004127F</t>
  </si>
  <si>
    <t>STB_22_0545</t>
  </si>
  <si>
    <t>FEN22J0000022B</t>
  </si>
  <si>
    <t>STB_22_0546</t>
  </si>
  <si>
    <t>FEN22J0000535F</t>
  </si>
  <si>
    <t>11.599.292/0001-47</t>
  </si>
  <si>
    <t>STB_22_0547</t>
  </si>
  <si>
    <t>FEN22J0001371F</t>
  </si>
  <si>
    <t>FEN22J0001441F</t>
  </si>
  <si>
    <t>FEN22J0001370F</t>
  </si>
  <si>
    <t>FEN22J0000231B</t>
  </si>
  <si>
    <t>FEN22J0001361F</t>
  </si>
  <si>
    <t>22.109.465/0001-18</t>
  </si>
  <si>
    <t>AES COMERCIALIZADORA DE ENERGIA LTDA</t>
  </si>
  <si>
    <t>43.412.008/0001-78</t>
  </si>
  <si>
    <t>REL_22_0313</t>
  </si>
  <si>
    <t>STB_22_0548</t>
  </si>
  <si>
    <t>REL_22_0314</t>
  </si>
  <si>
    <t>STB_22_0549</t>
  </si>
  <si>
    <t>REL_22_0315</t>
  </si>
  <si>
    <t>STB_22_0550</t>
  </si>
  <si>
    <t>REL_22_0316</t>
  </si>
  <si>
    <t>STB_22_0551</t>
  </si>
  <si>
    <t>STB_22_0552</t>
  </si>
  <si>
    <t>REL_22_0317</t>
  </si>
  <si>
    <t>STB_22_0553</t>
  </si>
  <si>
    <t>STB_22_0554</t>
  </si>
  <si>
    <t>FEN22J0001568F</t>
  </si>
  <si>
    <t>FEN22J0001532F</t>
  </si>
  <si>
    <t>REL_22_0318</t>
  </si>
  <si>
    <t>STB_22_0555</t>
  </si>
  <si>
    <t>REL_22_0319</t>
  </si>
  <si>
    <t>STB_22_0556</t>
  </si>
  <si>
    <t>STB_22_0557</t>
  </si>
  <si>
    <t>FEN22J0001649F</t>
  </si>
  <si>
    <t>FEN22J0001625F</t>
  </si>
  <si>
    <t>FEN22J0000271B</t>
  </si>
  <si>
    <t>14.555.633/0001-70</t>
  </si>
  <si>
    <t>REL_22_0320</t>
  </si>
  <si>
    <t>STB_22_0558</t>
  </si>
  <si>
    <t>REL_22_0321</t>
  </si>
  <si>
    <t>STB_22_0559</t>
  </si>
  <si>
    <t>STB_22_0560</t>
  </si>
  <si>
    <t>FEN22J0001860F</t>
  </si>
  <si>
    <t>FEN22J0001856F</t>
  </si>
  <si>
    <t>FEN22J0001845F</t>
  </si>
  <si>
    <t>REL_22_0322</t>
  </si>
  <si>
    <t>STB_22_0561</t>
  </si>
  <si>
    <t>REL_22_0323</t>
  </si>
  <si>
    <t>STB_22_0562</t>
  </si>
  <si>
    <t>REL_22_0324</t>
  </si>
  <si>
    <t>STB_22_0563</t>
  </si>
  <si>
    <t>STB_22_0564</t>
  </si>
  <si>
    <t>STB_22_0565</t>
  </si>
  <si>
    <t>STB_22_0566</t>
  </si>
  <si>
    <t>STB_22_0567</t>
  </si>
  <si>
    <t>FEN22J0002138F</t>
  </si>
  <si>
    <t>FEN22J0002135F</t>
  </si>
  <si>
    <t>FEN22J0002134F</t>
  </si>
  <si>
    <t>31.102.147/0001-16</t>
  </si>
  <si>
    <t>11.322.550/0002-24</t>
  </si>
  <si>
    <t>STB_22_0568</t>
  </si>
  <si>
    <t>REL_22_0325</t>
  </si>
  <si>
    <t>STB_22_0569</t>
  </si>
  <si>
    <t>REL_22_0326</t>
  </si>
  <si>
    <t>STB_22_0570</t>
  </si>
  <si>
    <t>FEN22J0002205F</t>
  </si>
  <si>
    <t>FEN22J0000389B</t>
  </si>
  <si>
    <t>07.685.694/0005-10</t>
  </si>
  <si>
    <t>REL_22_0327</t>
  </si>
  <si>
    <t>STB_22_0571</t>
  </si>
  <si>
    <t>REL_22_0328</t>
  </si>
  <si>
    <t>STB_22_0572</t>
  </si>
  <si>
    <t>FEN22J0002295F</t>
  </si>
  <si>
    <t>FEN22J0002297F</t>
  </si>
  <si>
    <t>FEN22J0002294F</t>
  </si>
  <si>
    <t>FEN22J0002293F</t>
  </si>
  <si>
    <t>FEN22J0002281F</t>
  </si>
  <si>
    <t>FEN22J0002282F</t>
  </si>
  <si>
    <t>FEN22J0000414B</t>
  </si>
  <si>
    <t>FEN22J0000413B</t>
  </si>
  <si>
    <t>FEN22J0000412B</t>
  </si>
  <si>
    <t>FEN22J0002265F</t>
  </si>
  <si>
    <t>FEN22J0002268F</t>
  </si>
  <si>
    <t>FEN22J0002267F</t>
  </si>
  <si>
    <t>11.085.823/0001-83</t>
  </si>
  <si>
    <t>12.809.025/0001-10</t>
  </si>
  <si>
    <t>REL_22_0329</t>
  </si>
  <si>
    <t>STB_22_0573</t>
  </si>
  <si>
    <t>REL_22_0330</t>
  </si>
  <si>
    <t>STB_22_0574</t>
  </si>
  <si>
    <t>REL_22_0331</t>
  </si>
  <si>
    <t>STB_22_0575</t>
  </si>
  <si>
    <t>REL_22_0332</t>
  </si>
  <si>
    <t>STB_22_0576</t>
  </si>
  <si>
    <t>REL_22_0333</t>
  </si>
  <si>
    <t>STB_22_0577</t>
  </si>
  <si>
    <t>REL_22_0334</t>
  </si>
  <si>
    <t>STB_22_0578</t>
  </si>
  <si>
    <t>REL_22_0335</t>
  </si>
  <si>
    <t>STB_22_0579</t>
  </si>
  <si>
    <t>REL_22_0336</t>
  </si>
  <si>
    <t>STB_22_0580</t>
  </si>
  <si>
    <t>REL_22_0337</t>
  </si>
  <si>
    <t>STB_22_0581</t>
  </si>
  <si>
    <t>REL_22_0338</t>
  </si>
  <si>
    <t>STB_22_0582</t>
  </si>
  <si>
    <t>REL_22_0339</t>
  </si>
  <si>
    <t>STB_22_0583</t>
  </si>
  <si>
    <t>REL_22_0340</t>
  </si>
  <si>
    <t>STB_22_0584</t>
  </si>
  <si>
    <t>FEN22J0002391F</t>
  </si>
  <si>
    <t>FEN22J0002390F</t>
  </si>
  <si>
    <t>03.631.957/0001-24</t>
  </si>
  <si>
    <t>STB_22_0585</t>
  </si>
  <si>
    <t>REL_22_0341</t>
  </si>
  <si>
    <t>STB_22_0586</t>
  </si>
  <si>
    <t>Brookfield Energia Comercializadora LTDA</t>
  </si>
  <si>
    <t>FEN22J0002544F</t>
  </si>
  <si>
    <t>DEAL COMERCIALIZADORA DE ENERGIA LTDA</t>
  </si>
  <si>
    <t>STB_22_0587</t>
  </si>
  <si>
    <t>FEN22J0002863F</t>
  </si>
  <si>
    <t>STB_22_0588</t>
  </si>
  <si>
    <t>I81 / 27328</t>
  </si>
  <si>
    <t>I82 / 27332</t>
  </si>
  <si>
    <t>I83 / 27342</t>
  </si>
  <si>
    <t>I84 / 27336</t>
  </si>
  <si>
    <t>I85 / 27348</t>
  </si>
  <si>
    <t>I86 /  27346</t>
  </si>
  <si>
    <t>FEN22K0000021B</t>
  </si>
  <si>
    <t>FEN22K0000055F</t>
  </si>
  <si>
    <t>04.802.543/0001-83</t>
  </si>
  <si>
    <t>STB_22_0589</t>
  </si>
  <si>
    <t>STB_22_0590</t>
  </si>
  <si>
    <t>FEN22K0000432F</t>
  </si>
  <si>
    <t>STB_22_0591</t>
  </si>
  <si>
    <t>FEN22K0000810F</t>
  </si>
  <si>
    <t>STB_22_0592</t>
  </si>
  <si>
    <t>FEN22K0001003F</t>
  </si>
  <si>
    <t>STB_22_0593</t>
  </si>
  <si>
    <t>FEN22K0000224B</t>
  </si>
  <si>
    <t>FEN22K0001292F</t>
  </si>
  <si>
    <t>EDP TRADING COMERCIALIZACAO E SERVICOS DE ENERGIA SA</t>
  </si>
  <si>
    <t>04.149.295/0001-13</t>
  </si>
  <si>
    <t>STB_22_0594</t>
  </si>
  <si>
    <t>STB_22_0595</t>
  </si>
  <si>
    <t>FEN22K0001610F</t>
  </si>
  <si>
    <t>11.315.117/0001-80</t>
  </si>
  <si>
    <t>STB_22_0596</t>
  </si>
  <si>
    <t>FEN22K0001717F</t>
  </si>
  <si>
    <t>FEN22K0001719F</t>
  </si>
  <si>
    <t>04.270.778/0001-71</t>
  </si>
  <si>
    <t>11.820.864/0001-76</t>
  </si>
  <si>
    <t>STB_22_0597</t>
  </si>
  <si>
    <t>STB_22_0598</t>
  </si>
  <si>
    <t>STB_22_0599</t>
  </si>
  <si>
    <t>FEN22K0001794F</t>
  </si>
  <si>
    <t>wbc</t>
  </si>
  <si>
    <t>STB_22_0600</t>
  </si>
  <si>
    <t>REL_22_0342</t>
  </si>
  <si>
    <t>STB_22_0601</t>
  </si>
  <si>
    <t>FEN22K0001857F</t>
  </si>
  <si>
    <t>FEN22K0000298B</t>
  </si>
  <si>
    <t>STB_22_0602</t>
  </si>
  <si>
    <t>STB_22_0603</t>
  </si>
  <si>
    <t>FEN22K0001943F</t>
  </si>
  <si>
    <t>STB_22_0604</t>
  </si>
  <si>
    <t>FEN22K0002517F</t>
  </si>
  <si>
    <t>FEN22K0002382F</t>
  </si>
  <si>
    <t>FEN22K0002383F</t>
  </si>
  <si>
    <t>FEN22K0002359F</t>
  </si>
  <si>
    <t>STB_22_0605</t>
  </si>
  <si>
    <t>STB_22_0606</t>
  </si>
  <si>
    <t>STB_22_0607</t>
  </si>
  <si>
    <t>STB_22_0608</t>
  </si>
  <si>
    <t>FEN22L0000191F</t>
  </si>
  <si>
    <t>REL_22_0343</t>
  </si>
  <si>
    <t>STB_22_0609</t>
  </si>
  <si>
    <t>STB_22_0610</t>
  </si>
  <si>
    <t>STB_22_0611</t>
  </si>
  <si>
    <t>FEN22L0000091B</t>
  </si>
  <si>
    <t>FEN22L0000842F</t>
  </si>
  <si>
    <t>FEN22L0000841F</t>
  </si>
  <si>
    <t>FEN22L0000761F</t>
  </si>
  <si>
    <t>FEN22L0000742F</t>
  </si>
  <si>
    <t>FEN22L0000083B</t>
  </si>
  <si>
    <t>FEN22L0000688F</t>
  </si>
  <si>
    <t>FEN22L0000680F</t>
  </si>
  <si>
    <t>FEN22L0000612F</t>
  </si>
  <si>
    <t>FEN22L0000604F</t>
  </si>
  <si>
    <t>FEN22L0000592F</t>
  </si>
  <si>
    <t>FEN22L0000581F</t>
  </si>
  <si>
    <t>13.777.004/0001-22</t>
  </si>
  <si>
    <t>10.202.852/0001-15</t>
  </si>
  <si>
    <t>17.077.752/0001-53</t>
  </si>
  <si>
    <t>10.671.322/0001-16</t>
  </si>
  <si>
    <t>STB_22_0612</t>
  </si>
  <si>
    <t>STB_22_0613</t>
  </si>
  <si>
    <t>REL_22_0344</t>
  </si>
  <si>
    <t>STB_22_0614</t>
  </si>
  <si>
    <t>STB_22_0615</t>
  </si>
  <si>
    <t>REL_22_0345</t>
  </si>
  <si>
    <t>STB_22_0616</t>
  </si>
  <si>
    <t>STB_22_0617</t>
  </si>
  <si>
    <t>REL_22_0346</t>
  </si>
  <si>
    <t>STB_22_0618</t>
  </si>
  <si>
    <t>REL_22_0347</t>
  </si>
  <si>
    <t>STB_22_0619</t>
  </si>
  <si>
    <t>REL_22_0348</t>
  </si>
  <si>
    <t>STB_22_0620</t>
  </si>
  <si>
    <t>STB_22_0621</t>
  </si>
  <si>
    <t>STB_22_0622</t>
  </si>
  <si>
    <t>STB_22_0623</t>
  </si>
  <si>
    <t>FEN22L0000096B</t>
  </si>
  <si>
    <t>STB_22_0624</t>
  </si>
  <si>
    <t>REL_22_0349</t>
  </si>
  <si>
    <t>STB_22_0625</t>
  </si>
  <si>
    <t>FEN22L0000347B</t>
  </si>
  <si>
    <t>FEN22L0001526F</t>
  </si>
  <si>
    <t>FEN22L0001527F</t>
  </si>
  <si>
    <t>STB_22_0626</t>
  </si>
  <si>
    <t>STB_22_0627</t>
  </si>
  <si>
    <t>STB_22_0628</t>
  </si>
  <si>
    <t>I87 / 27731</t>
  </si>
  <si>
    <t>FEN22L0001705F</t>
  </si>
  <si>
    <t>URCA COMERCIALIZADORA DE ENERGIA LTDA</t>
  </si>
  <si>
    <t>32.185.360/0001-00</t>
  </si>
  <si>
    <t>STB_22_0629</t>
  </si>
  <si>
    <t>I88 / 27723</t>
  </si>
  <si>
    <t>I89 / 27721</t>
  </si>
  <si>
    <t>FEN22L0001774F</t>
  </si>
  <si>
    <t>FEN22L0001773F</t>
  </si>
  <si>
    <t>FEN22L0000390B</t>
  </si>
  <si>
    <t>FEN22L0000389B</t>
  </si>
  <si>
    <t>I90</t>
  </si>
  <si>
    <t>I91</t>
  </si>
  <si>
    <t>I92</t>
  </si>
  <si>
    <t>Trading Extra 23</t>
  </si>
  <si>
    <t>REL_22_0350</t>
  </si>
  <si>
    <t>STB_22_0630</t>
  </si>
  <si>
    <t>REL_22_0351</t>
  </si>
  <si>
    <t>STB_22_0631</t>
  </si>
  <si>
    <t>REL_22_0352</t>
  </si>
  <si>
    <t>STB_22_0632</t>
  </si>
  <si>
    <t>REL_22_0353</t>
  </si>
  <si>
    <t>STB_22_0633</t>
  </si>
  <si>
    <t>REL_22_0354</t>
  </si>
  <si>
    <t>STB_22_0634</t>
  </si>
  <si>
    <t>REL_22_0355</t>
  </si>
  <si>
    <t>STB_22_0635</t>
  </si>
  <si>
    <t>REL_22_0356</t>
  </si>
  <si>
    <t>STB_22_0636</t>
  </si>
  <si>
    <t>FEN22L0001870F</t>
  </si>
  <si>
    <t>FEN22L0001865F</t>
  </si>
  <si>
    <t>FEN22L0001837F</t>
  </si>
  <si>
    <t>FEN22L0000401B</t>
  </si>
  <si>
    <t>FEN22L0001832F</t>
  </si>
  <si>
    <t>FEN22L0000394B</t>
  </si>
  <si>
    <t>STB_22_0637</t>
  </si>
  <si>
    <t>REL_22_0357</t>
  </si>
  <si>
    <t>STB_22_0638</t>
  </si>
  <si>
    <t>REL_22_0358</t>
  </si>
  <si>
    <t>STB_22_0639</t>
  </si>
  <si>
    <t>REL_22_0359</t>
  </si>
  <si>
    <t>STB_22_0640</t>
  </si>
  <si>
    <t>REL_22_0360</t>
  </si>
  <si>
    <t>STB_22_0641</t>
  </si>
  <si>
    <t>REL_22_0361</t>
  </si>
  <si>
    <t>STB_22_0642</t>
  </si>
  <si>
    <t>FEN22L0001884F</t>
  </si>
  <si>
    <t>FEN22L0000407B</t>
  </si>
  <si>
    <t>REL_22_0362</t>
  </si>
  <si>
    <t>STB_22_0643</t>
  </si>
  <si>
    <t>REL_22_0363</t>
  </si>
  <si>
    <t>STB_22_0644</t>
  </si>
  <si>
    <t>A linha utilizada é essa -&gt;</t>
  </si>
  <si>
    <t>I93</t>
  </si>
  <si>
    <t>FEN22L0001958F</t>
  </si>
  <si>
    <t>TRADENER LIMITADA</t>
  </si>
  <si>
    <t>02.691.745/0001-70</t>
  </si>
  <si>
    <t>REL_22_0364</t>
  </si>
  <si>
    <t>STB_22_0645</t>
  </si>
  <si>
    <t>REL_22_0365</t>
  </si>
  <si>
    <t>STB_22_0646</t>
  </si>
  <si>
    <t>FEN22L0002027F</t>
  </si>
  <si>
    <t>REL_22_0366</t>
  </si>
  <si>
    <t>STB_22_0647</t>
  </si>
  <si>
    <t>FEN22L0002044F</t>
  </si>
  <si>
    <t>FEN22L0000434B</t>
  </si>
  <si>
    <t>REL_22_0367</t>
  </si>
  <si>
    <t>STB_22_0648</t>
  </si>
  <si>
    <t>REL_22_0368</t>
  </si>
  <si>
    <t>STB_22_0649</t>
  </si>
  <si>
    <t xml:space="preserve">GP COMERCIALIZADORA DE ENERGIA LTDA </t>
  </si>
  <si>
    <t>22.297.784/0001-02</t>
  </si>
  <si>
    <t>REL_22_0369</t>
  </si>
  <si>
    <t>STB_22_0650</t>
  </si>
  <si>
    <t>FEN23A0000335F</t>
  </si>
  <si>
    <t>FEN23A0000307F</t>
  </si>
  <si>
    <t>FEN23A0000303F</t>
  </si>
  <si>
    <t>REL_22_0370</t>
  </si>
  <si>
    <t>STB_22_0651</t>
  </si>
  <si>
    <t>STB_22_0652</t>
  </si>
  <si>
    <t>REL_22_0371</t>
  </si>
  <si>
    <t>STB_22_0653</t>
  </si>
  <si>
    <t>REL_22_0372</t>
  </si>
  <si>
    <t>STB_22_0654</t>
  </si>
  <si>
    <t>FEN23A0000861F</t>
  </si>
  <si>
    <t>FEN23A0000863F</t>
  </si>
  <si>
    <t>FEN23A0000102B</t>
  </si>
  <si>
    <t>I94</t>
  </si>
  <si>
    <t>I95</t>
  </si>
  <si>
    <t>REL_22_0373</t>
  </si>
  <si>
    <t>STB_22_0655</t>
  </si>
  <si>
    <t>REL_22_0374</t>
  </si>
  <si>
    <t>STB_22_0656</t>
  </si>
  <si>
    <t>REL_22_0375</t>
  </si>
  <si>
    <t>STB_22_0657</t>
  </si>
  <si>
    <t>STB_22_0658</t>
  </si>
  <si>
    <t>STB_22_0659</t>
  </si>
  <si>
    <t>FEN23A0000935F</t>
  </si>
  <si>
    <t>FEN23A0000113B</t>
  </si>
  <si>
    <t>FEN23A0000112B</t>
  </si>
  <si>
    <t>15.458.171/0001-36</t>
  </si>
  <si>
    <t>STB_22_0660</t>
  </si>
  <si>
    <t>STB_22_0661</t>
  </si>
  <si>
    <t>STB_22_0662</t>
  </si>
  <si>
    <t>Z:\Risk\11. VaR\Books de Risco\Trading\2022\Resumo\Resumo Book de Trading_2022_06.01.2023_09-58.xlsx</t>
  </si>
  <si>
    <t>Z:\Risk\11. VaR\Books de Risco\Trading\Simulador\Simulador para uso comercial\Simulador_2022_06.01.2023_09-58.xlsm</t>
  </si>
  <si>
    <t>Z:\Risk\11. VaR\Books de Risco\Trading\2022\Report Diario\DailyRiskReport_2022_06.01.2023_09-58-49.pdf</t>
  </si>
  <si>
    <t>Z:\Risk\11. VaR\Books de Risco\Trading\2022\Report Diario\Book de Trading_2022_06.01.2023_09-58-49.xlsm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</si>
</sst>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3">
    <numFmt numFmtId="43" formatCode="_(* #,##0.00_);_(* \(#,##0.00\);_(* &quot;-&quot;??_);_(@_)"/>
    <numFmt numFmtId="164" formatCode="_-&quot;R$&quot;* #,##0.00_-;\-&quot;R$&quot;* #,##0.00_-;_-&quot;R$&quot;* &quot;-&quot;??_-;_-@_-"/>
    <numFmt numFmtId="165" formatCode="_-* #,##0.0_-;\-* #,##0.0_-;_-* &quot;-&quot;??_-;_-@_-"/>
    <numFmt numFmtId="166" formatCode="_-* #,##0_-;\-* #,##0_-;_-* &quot;-&quot;??_-;_-@_-"/>
    <numFmt numFmtId="167" formatCode="_-* #,##0.0_-;\-* #,##0.0_-;_-* &quot;-&quot;?_-;_-@_-"/>
    <numFmt numFmtId="168" formatCode="0.0"/>
    <numFmt numFmtId="169" formatCode="0.0%"/>
    <numFmt numFmtId="170" formatCode="0.0000"/>
    <numFmt numFmtId="171" formatCode="0.000"/>
    <numFmt numFmtId="172" formatCode="_-* #,##0.0000_-;\-* #,##0.0000_-;_-* &quot;-&quot;??_-;_-@_-"/>
    <numFmt numFmtId="173" formatCode="_(* #,##0_);_(* \(#,##0\);_(* &quot;-&quot;??_);_(@_)"/>
    <numFmt numFmtId="174" formatCode="0.00000000000"/>
    <numFmt numFmtId="175" formatCode="[$-416]mmmm\-yy;@"/>
    <numFmt numFmtId="176" formatCode="_(* #,##0.0_);_(* \(#,##0.0\);_(* &quot;-&quot;??_);_(@_)"/>
    <numFmt numFmtId="177" formatCode="[$-409]mmm\-yy;@"/>
    <numFmt numFmtId="178" formatCode="0_ ;\-0\ "/>
    <numFmt numFmtId="179" formatCode="[$-416]mmm\-yy;@"/>
    <numFmt numFmtId="180" formatCode="mm/dd/yy"/>
    <numFmt numFmtId="181" formatCode="00&quot;.&quot;000&quot;.&quot;000&quot;/&quot;0000&quot;-&quot;00"/>
    <numFmt numFmtId="182" formatCode="[$-416]mmm/yy;@"/>
    <numFmt numFmtId="183" formatCode="_-* #,##0.00_-;\-* #,##0.00_-;_-* &quot;-&quot;?_-;_-@_-"/>
    <numFmt numFmtId="184" formatCode="mmm/yy"/>
    <numFmt numFmtId="185" formatCode="dd/mm/yyyy"/>
  </numFmts>
  <fonts count="5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  <scheme val="minor"/>
    </font>
    <font>
      <i/>
      <sz val="9"/>
      <color theme="0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3"/>
      <name val="Calibri"/>
      <family val="2"/>
      <scheme val="minor"/>
    </font>
    <font>
      <sz val="10"/>
      <color theme="3"/>
      <name val="Calibri"/>
      <family val="2"/>
      <scheme val="minor"/>
    </font>
    <font>
      <i/>
      <sz val="10"/>
      <color theme="1" tint="0.34998626667073579"/>
      <name val="Calibri"/>
      <family val="2"/>
      <scheme val="minor"/>
    </font>
    <font>
      <i/>
      <sz val="9"/>
      <color theme="1" tint="0.34998626667073579"/>
      <name val="Calibri"/>
      <family val="2"/>
      <scheme val="minor"/>
    </font>
    <font>
      <sz val="9"/>
      <color theme="1" tint="0.34998626667073579"/>
      <name val="Calibri"/>
      <family val="2"/>
      <scheme val="minor"/>
    </font>
    <font>
      <b/>
      <i/>
      <sz val="10"/>
      <color theme="1" tint="4.9989318521683403E-2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0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 tint="4.9989318521683403E-2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i/>
      <sz val="10.5"/>
      <color theme="3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name val="Calibri"/>
      <family val="2"/>
      <scheme val="minor"/>
    </font>
    <font>
      <i/>
      <sz val="10"/>
      <color theme="0" tint="-0.499984740745262"/>
      <name val="Calibri"/>
      <family val="2"/>
      <scheme val="minor"/>
    </font>
    <font>
      <b/>
      <sz val="11"/>
      <color theme="3"/>
      <name val="Calibri"/>
      <family val="2"/>
    </font>
    <font>
      <b/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2"/>
      <color theme="1" tint="4.9989318521683403E-2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i/>
      <sz val="12"/>
      <color theme="3" tint="-0.249977111117893"/>
      <name val="Calibri"/>
      <family val="2"/>
      <scheme val="minor"/>
    </font>
    <font>
      <i/>
      <u/>
      <sz val="8"/>
      <color theme="3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Segoe U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9" tint="0.39997558519241921"/>
        <bgColor indexed="64"/>
      </patternFill>
    </fill>
  </fills>
  <borders count="2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 style="thin">
        <color indexed="64"/>
      </left>
      <right/>
      <top/>
      <bottom style="dashed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medium">
        <color indexed="64"/>
      </bottom>
      <diagonal/>
    </border>
    <border>
      <left/>
      <right/>
      <top style="dashed">
        <color auto="1"/>
      </top>
      <bottom style="medium">
        <color indexed="64"/>
      </bottom>
      <diagonal/>
    </border>
    <border>
      <left/>
      <right style="thin">
        <color auto="1"/>
      </right>
      <top style="dashed">
        <color auto="1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ashed">
        <color auto="1"/>
      </right>
      <top style="dashed">
        <color auto="1"/>
      </top>
      <bottom style="thin">
        <color auto="1"/>
      </bottom>
      <diagonal/>
    </border>
    <border>
      <left style="dashed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thin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64"/>
      </left>
      <right style="thin">
        <color indexed="64"/>
      </right>
      <top style="medium">
        <color indexed="64"/>
      </top>
      <bottom style="dashed">
        <color indexed="64"/>
      </bottom>
      <diagonal/>
    </border>
    <border>
      <left/>
      <right style="dashed">
        <color auto="1"/>
      </right>
      <top/>
      <bottom/>
      <diagonal/>
    </border>
    <border>
      <left/>
      <right style="dashed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/>
      <top/>
      <bottom style="dashed">
        <color indexed="64"/>
      </bottom>
      <diagonal/>
    </border>
    <border>
      <left/>
      <right style="thin">
        <color auto="1"/>
      </right>
      <top/>
      <bottom style="dashed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 style="dashed">
        <color indexed="64"/>
      </bottom>
      <diagonal/>
    </border>
    <border>
      <left/>
      <right style="thin">
        <color auto="1"/>
      </right>
      <top/>
      <bottom style="dashed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n">
        <color theme="3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/>
      <top/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 style="dashed">
        <color indexed="64"/>
      </bottom>
      <diagonal/>
    </border>
    <border>
      <left style="dashed">
        <color indexed="64"/>
      </left>
      <right/>
      <top style="dashed">
        <color auto="1"/>
      </top>
      <bottom style="dashed">
        <color auto="1"/>
      </bottom>
      <diagonal/>
    </border>
    <border>
      <left/>
      <right style="dashed">
        <color indexed="64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/>
      <top style="dashed">
        <color auto="1"/>
      </top>
      <bottom style="medium">
        <color indexed="64"/>
      </bottom>
      <diagonal/>
    </border>
    <border>
      <left style="dashed">
        <color auto="1"/>
      </left>
      <right/>
      <top/>
      <bottom/>
      <diagonal/>
    </border>
    <border>
      <left/>
      <right style="dashed">
        <color auto="1"/>
      </right>
      <top style="medium">
        <color indexed="64"/>
      </top>
      <bottom/>
      <diagonal/>
    </border>
    <border>
      <left style="dashed">
        <color auto="1"/>
      </left>
      <right/>
      <top style="medium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double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dashed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/>
      <right/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indexed="64"/>
      </right>
      <top/>
      <bottom style="dashed">
        <color auto="1"/>
      </bottom>
      <diagonal/>
    </border>
    <border>
      <left style="thin">
        <color auto="1"/>
      </left>
      <right style="thin">
        <color indexed="64"/>
      </right>
      <top style="dashed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 style="double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dotted">
        <color auto="1"/>
      </right>
      <top style="medium">
        <color indexed="64"/>
      </top>
      <bottom/>
      <diagonal/>
    </border>
    <border>
      <left style="dotted">
        <color auto="1"/>
      </left>
      <right/>
      <top style="medium">
        <color indexed="64"/>
      </top>
      <bottom/>
      <diagonal/>
    </border>
    <border>
      <left/>
      <right style="dotted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 style="thin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 style="thin">
        <color indexed="64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/>
      <top style="dashed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 style="thin">
        <color auto="1"/>
      </left>
      <right/>
      <top style="dashed">
        <color auto="1"/>
      </top>
      <bottom/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/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 style="thin">
        <color auto="1"/>
      </left>
      <right/>
      <top style="dashed">
        <color auto="1"/>
      </top>
      <bottom/>
      <diagonal/>
    </border>
    <border>
      <left style="thin">
        <color auto="1"/>
      </left>
      <right/>
      <top style="dashed">
        <color auto="1"/>
      </top>
      <bottom style="dashed">
        <color auto="1"/>
      </bottom>
      <diagonal/>
    </border>
    <border>
      <left style="thin">
        <color auto="1"/>
      </left>
      <right/>
      <top style="dashed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/>
      <diagonal/>
    </border>
    <border>
      <left/>
      <right style="thin">
        <color auto="1"/>
      </right>
      <top style="dashed">
        <color auto="1"/>
      </top>
      <bottom style="dashed">
        <color auto="1"/>
      </bottom>
      <diagonal/>
    </border>
    <border>
      <left/>
      <right style="thin">
        <color auto="1"/>
      </right>
      <top style="dashed">
        <color auto="1"/>
      </top>
      <bottom style="thin">
        <color auto="1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2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820">
    <xf numFmtId="0" fontId="0" fillId="0" borderId="0" xfId="0"/>
    <xf numFmtId="166" fontId="0" fillId="0" borderId="0" xfId="0" applyNumberFormat="1"/>
    <xf numFmtId="0" fontId="0" fillId="0" borderId="0" xfId="0" applyAlignment="1">
      <alignment horizontal="center"/>
    </xf>
    <xf numFmtId="9" fontId="0" fillId="0" borderId="0" xfId="0" applyNumberFormat="1" applyAlignment="1">
      <alignment horizontal="center"/>
    </xf>
    <xf numFmtId="165" fontId="0" fillId="0" borderId="0" xfId="0" applyNumberFormat="1"/>
    <xf numFmtId="167" fontId="0" fillId="0" borderId="0" xfId="0" applyNumberFormat="1"/>
    <xf numFmtId="0" fontId="5" fillId="0" borderId="0" xfId="0" applyFont="1"/>
    <xf numFmtId="0" fontId="6" fillId="0" borderId="0" xfId="0" applyFont="1"/>
    <xf numFmtId="0" fontId="8" fillId="0" borderId="0" xfId="0" applyFont="1"/>
    <xf numFmtId="17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/>
    <xf numFmtId="0" fontId="0" fillId="0" borderId="7" xfId="0" applyBorder="1"/>
    <xf numFmtId="0" fontId="9" fillId="2" borderId="0" xfId="0" applyFont="1" applyFill="1" applyAlignment="1">
      <alignment horizontal="center" vertical="center" wrapText="1"/>
    </xf>
    <xf numFmtId="165" fontId="10" fillId="0" borderId="0" xfId="1" applyNumberFormat="1" applyFont="1" applyFill="1" applyBorder="1"/>
    <xf numFmtId="17" fontId="7" fillId="0" borderId="0" xfId="0" applyNumberFormat="1" applyFont="1"/>
    <xf numFmtId="0" fontId="7" fillId="0" borderId="12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165" fontId="10" fillId="5" borderId="14" xfId="0" applyNumberFormat="1" applyFont="1" applyFill="1" applyBorder="1"/>
    <xf numFmtId="165" fontId="10" fillId="5" borderId="15" xfId="0" applyNumberFormat="1" applyFont="1" applyFill="1" applyBorder="1"/>
    <xf numFmtId="165" fontId="10" fillId="5" borderId="9" xfId="0" applyNumberFormat="1" applyFont="1" applyFill="1" applyBorder="1"/>
    <xf numFmtId="165" fontId="10" fillId="5" borderId="8" xfId="0" applyNumberFormat="1" applyFont="1" applyFill="1" applyBorder="1"/>
    <xf numFmtId="0" fontId="7" fillId="0" borderId="16" xfId="0" applyFont="1" applyBorder="1" applyAlignment="1">
      <alignment horizontal="center"/>
    </xf>
    <xf numFmtId="165" fontId="10" fillId="5" borderId="17" xfId="0" applyNumberFormat="1" applyFont="1" applyFill="1" applyBorder="1"/>
    <xf numFmtId="165" fontId="10" fillId="5" borderId="18" xfId="0" applyNumberFormat="1" applyFont="1" applyFill="1" applyBorder="1"/>
    <xf numFmtId="0" fontId="7" fillId="0" borderId="10" xfId="0" applyFont="1" applyBorder="1" applyAlignment="1">
      <alignment horizontal="center"/>
    </xf>
    <xf numFmtId="17" fontId="7" fillId="0" borderId="19" xfId="0" applyNumberFormat="1" applyFont="1" applyBorder="1"/>
    <xf numFmtId="165" fontId="10" fillId="6" borderId="9" xfId="0" applyNumberFormat="1" applyFont="1" applyFill="1" applyBorder="1"/>
    <xf numFmtId="165" fontId="10" fillId="6" borderId="14" xfId="0" applyNumberFormat="1" applyFont="1" applyFill="1" applyBorder="1"/>
    <xf numFmtId="165" fontId="10" fillId="6" borderId="15" xfId="0" applyNumberFormat="1" applyFont="1" applyFill="1" applyBorder="1"/>
    <xf numFmtId="165" fontId="10" fillId="6" borderId="17" xfId="0" applyNumberFormat="1" applyFont="1" applyFill="1" applyBorder="1"/>
    <xf numFmtId="165" fontId="10" fillId="6" borderId="18" xfId="0" applyNumberFormat="1" applyFont="1" applyFill="1" applyBorder="1"/>
    <xf numFmtId="0" fontId="0" fillId="5" borderId="20" xfId="0" applyFill="1" applyBorder="1" applyAlignment="1">
      <alignment horizontal="center"/>
    </xf>
    <xf numFmtId="0" fontId="0" fillId="6" borderId="21" xfId="0" applyFill="1" applyBorder="1" applyAlignment="1">
      <alignment horizontal="center"/>
    </xf>
    <xf numFmtId="0" fontId="7" fillId="0" borderId="22" xfId="0" applyFont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7" fillId="2" borderId="10" xfId="0" applyFont="1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7" fillId="2" borderId="16" xfId="0" applyFont="1" applyFill="1" applyBorder="1" applyAlignment="1">
      <alignment horizontal="center"/>
    </xf>
    <xf numFmtId="9" fontId="10" fillId="6" borderId="9" xfId="3" applyFont="1" applyFill="1" applyBorder="1"/>
    <xf numFmtId="9" fontId="10" fillId="5" borderId="19" xfId="3" applyFont="1" applyFill="1" applyBorder="1"/>
    <xf numFmtId="9" fontId="10" fillId="5" borderId="24" xfId="3" applyFont="1" applyFill="1" applyBorder="1"/>
    <xf numFmtId="9" fontId="10" fillId="5" borderId="9" xfId="3" applyFont="1" applyFill="1" applyBorder="1"/>
    <xf numFmtId="9" fontId="10" fillId="5" borderId="8" xfId="3" applyFont="1" applyFill="1" applyBorder="1"/>
    <xf numFmtId="165" fontId="10" fillId="0" borderId="0" xfId="0" applyNumberFormat="1" applyFont="1"/>
    <xf numFmtId="17" fontId="7" fillId="0" borderId="19" xfId="0" applyNumberFormat="1" applyFont="1" applyBorder="1" applyAlignment="1">
      <alignment horizontal="center"/>
    </xf>
    <xf numFmtId="165" fontId="10" fillId="5" borderId="9" xfId="0" applyNumberFormat="1" applyFont="1" applyFill="1" applyBorder="1" applyAlignment="1">
      <alignment horizontal="right"/>
    </xf>
    <xf numFmtId="0" fontId="7" fillId="0" borderId="6" xfId="0" applyFont="1" applyBorder="1" applyAlignment="1">
      <alignment horizontal="center"/>
    </xf>
    <xf numFmtId="165" fontId="10" fillId="5" borderId="0" xfId="0" applyNumberFormat="1" applyFont="1" applyFill="1" applyAlignment="1">
      <alignment horizontal="right"/>
    </xf>
    <xf numFmtId="165" fontId="10" fillId="5" borderId="7" xfId="0" applyNumberFormat="1" applyFont="1" applyFill="1" applyBorder="1" applyAlignment="1">
      <alignment horizontal="right"/>
    </xf>
    <xf numFmtId="165" fontId="10" fillId="5" borderId="9" xfId="0" quotePrefix="1" applyNumberFormat="1" applyFont="1" applyFill="1" applyBorder="1" applyAlignment="1">
      <alignment horizontal="right"/>
    </xf>
    <xf numFmtId="17" fontId="11" fillId="0" borderId="0" xfId="0" applyNumberFormat="1" applyFont="1"/>
    <xf numFmtId="0" fontId="12" fillId="0" borderId="0" xfId="0" applyFont="1"/>
    <xf numFmtId="166" fontId="13" fillId="0" borderId="0" xfId="1" applyNumberFormat="1" applyFont="1"/>
    <xf numFmtId="166" fontId="13" fillId="0" borderId="35" xfId="1" applyNumberFormat="1" applyFont="1" applyBorder="1"/>
    <xf numFmtId="17" fontId="14" fillId="0" borderId="37" xfId="0" applyNumberFormat="1" applyFont="1" applyBorder="1"/>
    <xf numFmtId="0" fontId="2" fillId="3" borderId="23" xfId="0" applyFont="1" applyFill="1" applyBorder="1" applyAlignment="1">
      <alignment horizontal="center"/>
    </xf>
    <xf numFmtId="0" fontId="14" fillId="0" borderId="25" xfId="0" applyFont="1" applyBorder="1" applyAlignment="1">
      <alignment horizontal="right"/>
    </xf>
    <xf numFmtId="17" fontId="14" fillId="0" borderId="38" xfId="0" applyNumberFormat="1" applyFont="1" applyBorder="1"/>
    <xf numFmtId="0" fontId="15" fillId="0" borderId="39" xfId="0" applyFont="1" applyBorder="1" applyAlignment="1">
      <alignment horizontal="center"/>
    </xf>
    <xf numFmtId="166" fontId="13" fillId="0" borderId="0" xfId="1" applyNumberFormat="1" applyFont="1" applyBorder="1"/>
    <xf numFmtId="0" fontId="16" fillId="0" borderId="26" xfId="0" applyFont="1" applyBorder="1" applyAlignment="1">
      <alignment horizontal="center"/>
    </xf>
    <xf numFmtId="0" fontId="12" fillId="0" borderId="7" xfId="0" applyFont="1" applyBorder="1"/>
    <xf numFmtId="166" fontId="13" fillId="0" borderId="7" xfId="1" applyNumberFormat="1" applyFont="1" applyBorder="1"/>
    <xf numFmtId="165" fontId="17" fillId="0" borderId="2" xfId="1" applyNumberFormat="1" applyFont="1" applyBorder="1" applyAlignment="1">
      <alignment horizontal="right"/>
    </xf>
    <xf numFmtId="165" fontId="17" fillId="0" borderId="40" xfId="1" applyNumberFormat="1" applyFont="1" applyBorder="1" applyAlignment="1">
      <alignment horizontal="right"/>
    </xf>
    <xf numFmtId="165" fontId="17" fillId="0" borderId="3" xfId="1" applyNumberFormat="1" applyFont="1" applyBorder="1" applyAlignment="1">
      <alignment horizontal="right"/>
    </xf>
    <xf numFmtId="43" fontId="10" fillId="5" borderId="9" xfId="0" applyNumberFormat="1" applyFont="1" applyFill="1" applyBorder="1"/>
    <xf numFmtId="166" fontId="18" fillId="5" borderId="4" xfId="1" applyNumberFormat="1" applyFont="1" applyFill="1" applyBorder="1"/>
    <xf numFmtId="166" fontId="18" fillId="5" borderId="36" xfId="1" applyNumberFormat="1" applyFont="1" applyFill="1" applyBorder="1"/>
    <xf numFmtId="166" fontId="18" fillId="5" borderId="5" xfId="1" applyNumberFormat="1" applyFont="1" applyFill="1" applyBorder="1"/>
    <xf numFmtId="166" fontId="19" fillId="0" borderId="2" xfId="1" applyNumberFormat="1" applyFont="1" applyBorder="1" applyAlignment="1">
      <alignment horizontal="right"/>
    </xf>
    <xf numFmtId="166" fontId="19" fillId="0" borderId="40" xfId="1" applyNumberFormat="1" applyFont="1" applyBorder="1" applyAlignment="1">
      <alignment horizontal="right"/>
    </xf>
    <xf numFmtId="166" fontId="19" fillId="0" borderId="3" xfId="1" applyNumberFormat="1" applyFont="1" applyBorder="1" applyAlignment="1">
      <alignment horizontal="right"/>
    </xf>
    <xf numFmtId="0" fontId="14" fillId="0" borderId="26" xfId="0" applyFont="1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9" fontId="14" fillId="0" borderId="26" xfId="0" applyNumberFormat="1" applyFont="1" applyBorder="1" applyAlignment="1">
      <alignment horizontal="center"/>
    </xf>
    <xf numFmtId="0" fontId="0" fillId="0" borderId="40" xfId="0" applyBorder="1" applyAlignment="1">
      <alignment horizontal="right"/>
    </xf>
    <xf numFmtId="0" fontId="2" fillId="9" borderId="4" xfId="0" applyFont="1" applyFill="1" applyBorder="1" applyAlignment="1">
      <alignment horizontal="center"/>
    </xf>
    <xf numFmtId="17" fontId="14" fillId="0" borderId="42" xfId="0" applyNumberFormat="1" applyFont="1" applyBorder="1"/>
    <xf numFmtId="168" fontId="0" fillId="0" borderId="41" xfId="0" applyNumberFormat="1" applyBorder="1"/>
    <xf numFmtId="168" fontId="0" fillId="0" borderId="2" xfId="0" applyNumberFormat="1" applyBorder="1"/>
    <xf numFmtId="168" fontId="0" fillId="0" borderId="3" xfId="0" applyNumberFormat="1" applyBorder="1"/>
    <xf numFmtId="0" fontId="0" fillId="0" borderId="25" xfId="0" applyBorder="1" applyAlignment="1">
      <alignment horizontal="center"/>
    </xf>
    <xf numFmtId="0" fontId="0" fillId="0" borderId="26" xfId="0" applyBorder="1" applyAlignment="1">
      <alignment horizontal="center"/>
    </xf>
    <xf numFmtId="168" fontId="0" fillId="0" borderId="5" xfId="0" applyNumberFormat="1" applyBorder="1"/>
    <xf numFmtId="0" fontId="0" fillId="0" borderId="0" xfId="0" applyAlignment="1">
      <alignment horizontal="left"/>
    </xf>
    <xf numFmtId="43" fontId="10" fillId="0" borderId="0" xfId="1" applyFont="1" applyFill="1" applyBorder="1"/>
    <xf numFmtId="0" fontId="7" fillId="2" borderId="12" xfId="0" applyFont="1" applyFill="1" applyBorder="1" applyAlignment="1">
      <alignment horizontal="center"/>
    </xf>
    <xf numFmtId="0" fontId="2" fillId="10" borderId="6" xfId="0" applyFont="1" applyFill="1" applyBorder="1" applyAlignment="1">
      <alignment horizontal="center"/>
    </xf>
    <xf numFmtId="0" fontId="2" fillId="10" borderId="7" xfId="0" applyFont="1" applyFill="1" applyBorder="1" applyAlignment="1">
      <alignment horizontal="center"/>
    </xf>
    <xf numFmtId="14" fontId="0" fillId="0" borderId="6" xfId="0" applyNumberFormat="1" applyBorder="1"/>
    <xf numFmtId="0" fontId="0" fillId="0" borderId="6" xfId="0" applyBorder="1"/>
    <xf numFmtId="166" fontId="17" fillId="0" borderId="2" xfId="1" applyNumberFormat="1" applyFont="1" applyBorder="1" applyAlignment="1">
      <alignment horizontal="right"/>
    </xf>
    <xf numFmtId="166" fontId="17" fillId="0" borderId="3" xfId="1" applyNumberFormat="1" applyFont="1" applyBorder="1" applyAlignment="1">
      <alignment horizontal="right"/>
    </xf>
    <xf numFmtId="166" fontId="17" fillId="0" borderId="40" xfId="1" applyNumberFormat="1" applyFont="1" applyBorder="1" applyAlignment="1">
      <alignment horizontal="right"/>
    </xf>
    <xf numFmtId="0" fontId="2" fillId="0" borderId="0" xfId="0" applyFont="1" applyAlignment="1">
      <alignment horizontal="center"/>
    </xf>
    <xf numFmtId="0" fontId="23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14" fillId="0" borderId="4" xfId="0" applyFont="1" applyBorder="1" applyAlignment="1">
      <alignment horizontal="center"/>
    </xf>
    <xf numFmtId="166" fontId="19" fillId="0" borderId="4" xfId="1" applyNumberFormat="1" applyFont="1" applyBorder="1" applyAlignment="1">
      <alignment horizontal="right"/>
    </xf>
    <xf numFmtId="166" fontId="23" fillId="0" borderId="26" xfId="0" applyNumberFormat="1" applyFont="1" applyBorder="1" applyAlignment="1">
      <alignment horizontal="center"/>
    </xf>
    <xf numFmtId="0" fontId="0" fillId="0" borderId="0" xfId="0" quotePrefix="1"/>
    <xf numFmtId="0" fontId="2" fillId="3" borderId="26" xfId="0" applyFont="1" applyFill="1" applyBorder="1" applyAlignment="1">
      <alignment horizontal="center"/>
    </xf>
    <xf numFmtId="166" fontId="5" fillId="0" borderId="26" xfId="0" applyNumberFormat="1" applyFont="1" applyBorder="1" applyAlignment="1">
      <alignment horizontal="center"/>
    </xf>
    <xf numFmtId="166" fontId="22" fillId="5" borderId="23" xfId="0" applyNumberFormat="1" applyFont="1" applyFill="1" applyBorder="1"/>
    <xf numFmtId="0" fontId="15" fillId="0" borderId="38" xfId="0" applyFont="1" applyBorder="1" applyAlignment="1">
      <alignment horizontal="center"/>
    </xf>
    <xf numFmtId="166" fontId="24" fillId="0" borderId="1" xfId="1" applyNumberFormat="1" applyFont="1" applyBorder="1"/>
    <xf numFmtId="166" fontId="24" fillId="0" borderId="2" xfId="1" applyNumberFormat="1" applyFont="1" applyBorder="1"/>
    <xf numFmtId="166" fontId="24" fillId="0" borderId="40" xfId="1" applyNumberFormat="1" applyFont="1" applyBorder="1"/>
    <xf numFmtId="0" fontId="0" fillId="0" borderId="43" xfId="0" applyBorder="1" applyAlignment="1">
      <alignment horizontal="center"/>
    </xf>
    <xf numFmtId="1" fontId="0" fillId="0" borderId="3" xfId="0" applyNumberFormat="1" applyBorder="1"/>
    <xf numFmtId="1" fontId="0" fillId="0" borderId="2" xfId="0" applyNumberFormat="1" applyBorder="1"/>
    <xf numFmtId="9" fontId="2" fillId="3" borderId="26" xfId="0" applyNumberFormat="1" applyFont="1" applyFill="1" applyBorder="1" applyAlignment="1">
      <alignment horizontal="center"/>
    </xf>
    <xf numFmtId="0" fontId="0" fillId="0" borderId="25" xfId="0" applyBorder="1"/>
    <xf numFmtId="9" fontId="0" fillId="0" borderId="0" xfId="0" applyNumberFormat="1"/>
    <xf numFmtId="3" fontId="0" fillId="0" borderId="0" xfId="0" applyNumberFormat="1"/>
    <xf numFmtId="166" fontId="0" fillId="0" borderId="3" xfId="1" applyNumberFormat="1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  <xf numFmtId="0" fontId="0" fillId="10" borderId="0" xfId="0" applyFill="1"/>
    <xf numFmtId="17" fontId="11" fillId="10" borderId="0" xfId="0" applyNumberFormat="1" applyFont="1" applyFill="1"/>
    <xf numFmtId="0" fontId="0" fillId="11" borderId="0" xfId="0" applyFill="1"/>
    <xf numFmtId="0" fontId="23" fillId="11" borderId="0" xfId="0" applyFont="1" applyFill="1" applyAlignment="1">
      <alignment horizontal="center"/>
    </xf>
    <xf numFmtId="0" fontId="22" fillId="11" borderId="0" xfId="0" applyFont="1" applyFill="1" applyAlignment="1">
      <alignment horizontal="center"/>
    </xf>
    <xf numFmtId="0" fontId="0" fillId="11" borderId="4" xfId="0" applyFill="1" applyBorder="1"/>
    <xf numFmtId="166" fontId="0" fillId="11" borderId="4" xfId="0" applyNumberFormat="1" applyFill="1" applyBorder="1"/>
    <xf numFmtId="0" fontId="0" fillId="0" borderId="48" xfId="0" applyBorder="1" applyAlignment="1">
      <alignment horizontal="center"/>
    </xf>
    <xf numFmtId="0" fontId="0" fillId="0" borderId="46" xfId="0" applyBorder="1"/>
    <xf numFmtId="166" fontId="0" fillId="0" borderId="26" xfId="0" applyNumberFormat="1" applyBorder="1"/>
    <xf numFmtId="169" fontId="0" fillId="0" borderId="3" xfId="3" applyNumberFormat="1" applyFont="1" applyBorder="1" applyAlignment="1">
      <alignment horizontal="center"/>
    </xf>
    <xf numFmtId="9" fontId="0" fillId="0" borderId="49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169" fontId="0" fillId="0" borderId="47" xfId="0" applyNumberFormat="1" applyBorder="1" applyAlignment="1">
      <alignment horizontal="center"/>
    </xf>
    <xf numFmtId="0" fontId="0" fillId="0" borderId="48" xfId="0" applyBorder="1"/>
    <xf numFmtId="166" fontId="0" fillId="0" borderId="49" xfId="1" applyNumberFormat="1" applyFont="1" applyBorder="1" applyAlignment="1">
      <alignment horizontal="right"/>
    </xf>
    <xf numFmtId="166" fontId="0" fillId="0" borderId="7" xfId="1" applyNumberFormat="1" applyFont="1" applyBorder="1" applyAlignment="1">
      <alignment horizontal="right"/>
    </xf>
    <xf numFmtId="169" fontId="0" fillId="0" borderId="47" xfId="3" applyNumberFormat="1" applyFont="1" applyBorder="1" applyAlignment="1">
      <alignment horizontal="right"/>
    </xf>
    <xf numFmtId="9" fontId="5" fillId="0" borderId="26" xfId="3" applyFont="1" applyFill="1" applyBorder="1" applyAlignment="1">
      <alignment horizontal="center"/>
    </xf>
    <xf numFmtId="0" fontId="7" fillId="0" borderId="50" xfId="0" applyFont="1" applyBorder="1" applyAlignment="1">
      <alignment horizontal="center"/>
    </xf>
    <xf numFmtId="165" fontId="10" fillId="5" borderId="51" xfId="0" applyNumberFormat="1" applyFont="1" applyFill="1" applyBorder="1"/>
    <xf numFmtId="0" fontId="15" fillId="0" borderId="45" xfId="0" applyFont="1" applyBorder="1" applyAlignment="1">
      <alignment horizontal="center"/>
    </xf>
    <xf numFmtId="0" fontId="7" fillId="0" borderId="53" xfId="0" applyFont="1" applyBorder="1" applyAlignment="1">
      <alignment horizontal="center"/>
    </xf>
    <xf numFmtId="165" fontId="10" fillId="5" borderId="54" xfId="0" applyNumberFormat="1" applyFont="1" applyFill="1" applyBorder="1" applyAlignment="1">
      <alignment horizontal="right"/>
    </xf>
    <xf numFmtId="0" fontId="7" fillId="0" borderId="52" xfId="0" applyFont="1" applyBorder="1" applyAlignment="1">
      <alignment horizontal="center"/>
    </xf>
    <xf numFmtId="165" fontId="10" fillId="6" borderId="55" xfId="0" applyNumberFormat="1" applyFont="1" applyFill="1" applyBorder="1"/>
    <xf numFmtId="165" fontId="10" fillId="6" borderId="56" xfId="0" applyNumberFormat="1" applyFont="1" applyFill="1" applyBorder="1"/>
    <xf numFmtId="166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166" fontId="0" fillId="0" borderId="0" xfId="1" applyNumberFormat="1" applyFont="1" applyAlignment="1">
      <alignment horizontal="center"/>
    </xf>
    <xf numFmtId="9" fontId="0" fillId="0" borderId="0" xfId="3" quotePrefix="1" applyFont="1" applyAlignment="1">
      <alignment horizontal="center"/>
    </xf>
    <xf numFmtId="166" fontId="0" fillId="0" borderId="0" xfId="1" applyNumberFormat="1" applyFont="1" applyBorder="1" applyAlignment="1">
      <alignment horizontal="right"/>
    </xf>
    <xf numFmtId="43" fontId="0" fillId="0" borderId="0" xfId="1" applyFont="1" applyBorder="1" applyAlignment="1">
      <alignment horizontal="right"/>
    </xf>
    <xf numFmtId="9" fontId="23" fillId="0" borderId="26" xfId="0" applyNumberFormat="1" applyFont="1" applyBorder="1" applyAlignment="1">
      <alignment horizontal="center"/>
    </xf>
    <xf numFmtId="0" fontId="2" fillId="3" borderId="57" xfId="0" applyFont="1" applyFill="1" applyBorder="1" applyAlignment="1">
      <alignment horizontal="center"/>
    </xf>
    <xf numFmtId="166" fontId="5" fillId="0" borderId="57" xfId="0" applyNumberFormat="1" applyFont="1" applyBorder="1" applyAlignment="1">
      <alignment horizontal="center"/>
    </xf>
    <xf numFmtId="166" fontId="23" fillId="5" borderId="23" xfId="0" applyNumberFormat="1" applyFont="1" applyFill="1" applyBorder="1" applyAlignment="1">
      <alignment horizontal="center"/>
    </xf>
    <xf numFmtId="9" fontId="0" fillId="0" borderId="0" xfId="3" applyFont="1"/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166" fontId="0" fillId="0" borderId="64" xfId="0" applyNumberFormat="1" applyBorder="1"/>
    <xf numFmtId="0" fontId="0" fillId="0" borderId="0" xfId="0" applyAlignment="1">
      <alignment horizontal="right"/>
    </xf>
    <xf numFmtId="0" fontId="0" fillId="0" borderId="61" xfId="0" applyBorder="1" applyAlignment="1">
      <alignment horizontal="center"/>
    </xf>
    <xf numFmtId="166" fontId="0" fillId="0" borderId="0" xfId="1" applyNumberFormat="1" applyFont="1" applyBorder="1" applyAlignment="1">
      <alignment horizontal="center"/>
    </xf>
    <xf numFmtId="9" fontId="0" fillId="0" borderId="0" xfId="3" quotePrefix="1" applyFont="1" applyBorder="1" applyAlignment="1">
      <alignment horizontal="center"/>
    </xf>
    <xf numFmtId="166" fontId="0" fillId="0" borderId="64" xfId="1" applyNumberFormat="1" applyFont="1" applyBorder="1" applyAlignment="1">
      <alignment horizontal="center"/>
    </xf>
    <xf numFmtId="0" fontId="0" fillId="0" borderId="62" xfId="0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4" xfId="1" applyNumberFormat="1" applyFont="1" applyBorder="1" applyAlignment="1">
      <alignment horizontal="center"/>
    </xf>
    <xf numFmtId="9" fontId="0" fillId="0" borderId="4" xfId="3" quotePrefix="1" applyFont="1" applyBorder="1" applyAlignment="1">
      <alignment horizontal="center"/>
    </xf>
    <xf numFmtId="3" fontId="0" fillId="0" borderId="4" xfId="0" applyNumberFormat="1" applyBorder="1" applyAlignment="1">
      <alignment horizontal="center"/>
    </xf>
    <xf numFmtId="166" fontId="0" fillId="0" borderId="65" xfId="1" applyNumberFormat="1" applyFont="1" applyBorder="1" applyAlignment="1">
      <alignment horizontal="center"/>
    </xf>
    <xf numFmtId="9" fontId="22" fillId="0" borderId="3" xfId="0" applyNumberFormat="1" applyFont="1" applyBorder="1" applyAlignment="1">
      <alignment horizontal="center"/>
    </xf>
    <xf numFmtId="0" fontId="0" fillId="0" borderId="45" xfId="0" applyBorder="1"/>
    <xf numFmtId="166" fontId="0" fillId="0" borderId="23" xfId="1" applyNumberFormat="1" applyFont="1" applyBorder="1" applyAlignment="1">
      <alignment horizontal="center"/>
    </xf>
    <xf numFmtId="0" fontId="22" fillId="0" borderId="26" xfId="0" applyFont="1" applyBorder="1" applyAlignment="1">
      <alignment horizontal="center"/>
    </xf>
    <xf numFmtId="0" fontId="0" fillId="0" borderId="60" xfId="0" applyBorder="1"/>
    <xf numFmtId="3" fontId="0" fillId="0" borderId="63" xfId="0" applyNumberFormat="1" applyBorder="1" applyAlignment="1">
      <alignment horizontal="center"/>
    </xf>
    <xf numFmtId="0" fontId="0" fillId="0" borderId="61" xfId="0" applyBorder="1"/>
    <xf numFmtId="3" fontId="0" fillId="0" borderId="64" xfId="0" applyNumberFormat="1" applyBorder="1" applyAlignment="1">
      <alignment horizontal="center"/>
    </xf>
    <xf numFmtId="0" fontId="0" fillId="0" borderId="62" xfId="0" applyBorder="1"/>
    <xf numFmtId="9" fontId="0" fillId="0" borderId="65" xfId="3" applyFont="1" applyBorder="1" applyAlignment="1">
      <alignment horizontal="center"/>
    </xf>
    <xf numFmtId="3" fontId="0" fillId="0" borderId="63" xfId="0" applyNumberFormat="1" applyBorder="1"/>
    <xf numFmtId="3" fontId="0" fillId="0" borderId="64" xfId="0" applyNumberFormat="1" applyBorder="1"/>
    <xf numFmtId="166" fontId="0" fillId="0" borderId="64" xfId="1" applyNumberFormat="1" applyFont="1" applyBorder="1"/>
    <xf numFmtId="3" fontId="0" fillId="0" borderId="65" xfId="0" applyNumberFormat="1" applyBorder="1"/>
    <xf numFmtId="0" fontId="0" fillId="0" borderId="23" xfId="0" applyBorder="1"/>
    <xf numFmtId="4" fontId="0" fillId="0" borderId="0" xfId="0" applyNumberFormat="1"/>
    <xf numFmtId="166" fontId="5" fillId="0" borderId="26" xfId="0" quotePrefix="1" applyNumberFormat="1" applyFont="1" applyBorder="1" applyAlignment="1">
      <alignment horizontal="center"/>
    </xf>
    <xf numFmtId="169" fontId="0" fillId="0" borderId="0" xfId="3" applyNumberFormat="1" applyFont="1"/>
    <xf numFmtId="169" fontId="0" fillId="0" borderId="0" xfId="0" applyNumberFormat="1"/>
    <xf numFmtId="10" fontId="0" fillId="0" borderId="0" xfId="0" applyNumberFormat="1"/>
    <xf numFmtId="10" fontId="0" fillId="0" borderId="0" xfId="3" applyNumberFormat="1" applyFont="1"/>
    <xf numFmtId="171" fontId="0" fillId="0" borderId="0" xfId="0" applyNumberFormat="1"/>
    <xf numFmtId="172" fontId="0" fillId="0" borderId="0" xfId="1" applyNumberFormat="1" applyFont="1"/>
    <xf numFmtId="172" fontId="0" fillId="0" borderId="72" xfId="1" applyNumberFormat="1" applyFont="1" applyBorder="1"/>
    <xf numFmtId="0" fontId="0" fillId="0" borderId="74" xfId="0" applyBorder="1"/>
    <xf numFmtId="0" fontId="22" fillId="0" borderId="76" xfId="0" applyFont="1" applyBorder="1" applyAlignment="1">
      <alignment horizontal="center"/>
    </xf>
    <xf numFmtId="0" fontId="22" fillId="0" borderId="78" xfId="0" applyFont="1" applyBorder="1" applyAlignment="1">
      <alignment horizontal="center"/>
    </xf>
    <xf numFmtId="0" fontId="22" fillId="0" borderId="55" xfId="0" applyFont="1" applyBorder="1" applyAlignment="1">
      <alignment horizontal="center"/>
    </xf>
    <xf numFmtId="0" fontId="22" fillId="0" borderId="75" xfId="0" applyFont="1" applyBorder="1" applyAlignment="1">
      <alignment horizontal="center"/>
    </xf>
    <xf numFmtId="170" fontId="0" fillId="5" borderId="0" xfId="0" applyNumberFormat="1" applyFill="1"/>
    <xf numFmtId="170" fontId="0" fillId="5" borderId="77" xfId="0" applyNumberFormat="1" applyFill="1" applyBorder="1"/>
    <xf numFmtId="170" fontId="0" fillId="5" borderId="19" xfId="0" applyNumberFormat="1" applyFill="1" applyBorder="1"/>
    <xf numFmtId="170" fontId="0" fillId="5" borderId="79" xfId="0" applyNumberFormat="1" applyFill="1" applyBorder="1"/>
    <xf numFmtId="166" fontId="0" fillId="0" borderId="0" xfId="1" applyNumberFormat="1" applyFont="1" applyBorder="1"/>
    <xf numFmtId="166" fontId="0" fillId="0" borderId="70" xfId="1" applyNumberFormat="1" applyFont="1" applyBorder="1"/>
    <xf numFmtId="166" fontId="0" fillId="0" borderId="4" xfId="1" applyNumberFormat="1" applyFont="1" applyBorder="1"/>
    <xf numFmtId="166" fontId="0" fillId="0" borderId="71" xfId="1" applyNumberFormat="1" applyFont="1" applyBorder="1"/>
    <xf numFmtId="9" fontId="0" fillId="0" borderId="81" xfId="3" applyFont="1" applyBorder="1" applyAlignment="1">
      <alignment horizontal="center"/>
    </xf>
    <xf numFmtId="9" fontId="0" fillId="0" borderId="82" xfId="3" applyFont="1" applyBorder="1" applyAlignment="1">
      <alignment horizontal="center"/>
    </xf>
    <xf numFmtId="0" fontId="22" fillId="0" borderId="80" xfId="0" applyFont="1" applyBorder="1" applyAlignment="1">
      <alignment horizontal="center"/>
    </xf>
    <xf numFmtId="0" fontId="22" fillId="0" borderId="67" xfId="0" applyFont="1" applyBorder="1" applyAlignment="1">
      <alignment horizontal="center" vertical="center"/>
    </xf>
    <xf numFmtId="0" fontId="22" fillId="0" borderId="68" xfId="0" applyFont="1" applyBorder="1" applyAlignment="1">
      <alignment horizontal="center" vertical="center"/>
    </xf>
    <xf numFmtId="0" fontId="0" fillId="0" borderId="66" xfId="0" applyBorder="1"/>
    <xf numFmtId="0" fontId="0" fillId="0" borderId="44" xfId="0" applyBorder="1"/>
    <xf numFmtId="0" fontId="22" fillId="0" borderId="44" xfId="0" applyFont="1" applyBorder="1" applyAlignment="1">
      <alignment horizontal="center"/>
    </xf>
    <xf numFmtId="0" fontId="22" fillId="0" borderId="69" xfId="0" applyFont="1" applyBorder="1" applyAlignment="1">
      <alignment horizontal="center"/>
    </xf>
    <xf numFmtId="0" fontId="27" fillId="5" borderId="22" xfId="0" applyFont="1" applyFill="1" applyBorder="1" applyAlignment="1">
      <alignment horizontal="left"/>
    </xf>
    <xf numFmtId="0" fontId="0" fillId="5" borderId="11" xfId="0" applyFill="1" applyBorder="1"/>
    <xf numFmtId="17" fontId="0" fillId="5" borderId="11" xfId="0" applyNumberFormat="1" applyFill="1" applyBorder="1" applyAlignment="1">
      <alignment horizontal="center"/>
    </xf>
    <xf numFmtId="0" fontId="28" fillId="0" borderId="0" xfId="0" applyFont="1" applyAlignment="1">
      <alignment horizontal="center"/>
    </xf>
    <xf numFmtId="0" fontId="28" fillId="0" borderId="4" xfId="0" applyFont="1" applyBorder="1" applyAlignment="1">
      <alignment horizontal="center"/>
    </xf>
    <xf numFmtId="0" fontId="22" fillId="0" borderId="66" xfId="0" applyFont="1" applyBorder="1" applyAlignment="1">
      <alignment horizontal="center"/>
    </xf>
    <xf numFmtId="17" fontId="0" fillId="5" borderId="22" xfId="0" applyNumberFormat="1" applyFill="1" applyBorder="1" applyAlignment="1">
      <alignment horizontal="center"/>
    </xf>
    <xf numFmtId="166" fontId="0" fillId="0" borderId="67" xfId="1" applyNumberFormat="1" applyFont="1" applyBorder="1"/>
    <xf numFmtId="166" fontId="0" fillId="0" borderId="68" xfId="1" applyNumberFormat="1" applyFont="1" applyBorder="1"/>
    <xf numFmtId="0" fontId="21" fillId="0" borderId="0" xfId="0" applyFont="1" applyAlignment="1">
      <alignment horizontal="center"/>
    </xf>
    <xf numFmtId="0" fontId="2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169" fontId="0" fillId="8" borderId="0" xfId="3" applyNumberFormat="1" applyFont="1" applyFill="1" applyAlignment="1">
      <alignment horizontal="center"/>
    </xf>
    <xf numFmtId="166" fontId="0" fillId="8" borderId="0" xfId="1" applyNumberFormat="1" applyFont="1" applyFill="1" applyAlignment="1">
      <alignment horizontal="center"/>
    </xf>
    <xf numFmtId="0" fontId="22" fillId="12" borderId="0" xfId="0" applyFont="1" applyFill="1" applyAlignment="1">
      <alignment horizontal="center"/>
    </xf>
    <xf numFmtId="0" fontId="0" fillId="12" borderId="0" xfId="0" applyFill="1" applyAlignment="1">
      <alignment horizontal="center"/>
    </xf>
    <xf numFmtId="169" fontId="0" fillId="12" borderId="0" xfId="3" applyNumberFormat="1" applyFont="1" applyFill="1" applyAlignment="1">
      <alignment horizontal="center"/>
    </xf>
    <xf numFmtId="166" fontId="0" fillId="12" borderId="0" xfId="1" applyNumberFormat="1" applyFont="1" applyFill="1" applyAlignment="1">
      <alignment horizontal="center"/>
    </xf>
    <xf numFmtId="168" fontId="0" fillId="0" borderId="0" xfId="0" applyNumberFormat="1"/>
    <xf numFmtId="0" fontId="0" fillId="0" borderId="76" xfId="0" applyBorder="1"/>
    <xf numFmtId="10" fontId="0" fillId="0" borderId="0" xfId="3" applyNumberFormat="1" applyFont="1" applyBorder="1" applyAlignment="1">
      <alignment horizontal="center"/>
    </xf>
    <xf numFmtId="10" fontId="0" fillId="0" borderId="77" xfId="3" applyNumberFormat="1" applyFont="1" applyBorder="1" applyAlignment="1">
      <alignment horizontal="center"/>
    </xf>
    <xf numFmtId="0" fontId="0" fillId="0" borderId="78" xfId="0" applyBorder="1"/>
    <xf numFmtId="10" fontId="0" fillId="0" borderId="19" xfId="3" applyNumberFormat="1" applyFont="1" applyBorder="1" applyAlignment="1">
      <alignment horizontal="center"/>
    </xf>
    <xf numFmtId="10" fontId="0" fillId="0" borderId="79" xfId="3" applyNumberFormat="1" applyFont="1" applyBorder="1" applyAlignment="1">
      <alignment horizontal="center"/>
    </xf>
    <xf numFmtId="0" fontId="0" fillId="0" borderId="85" xfId="0" applyBorder="1"/>
    <xf numFmtId="0" fontId="28" fillId="0" borderId="55" xfId="0" applyFont="1" applyBorder="1" applyAlignment="1">
      <alignment horizontal="center"/>
    </xf>
    <xf numFmtId="0" fontId="0" fillId="0" borderId="68" xfId="0" applyBorder="1"/>
    <xf numFmtId="0" fontId="0" fillId="0" borderId="67" xfId="0" applyBorder="1"/>
    <xf numFmtId="0" fontId="18" fillId="0" borderId="1" xfId="0" applyFont="1" applyBorder="1" applyAlignment="1">
      <alignment horizontal="center"/>
    </xf>
    <xf numFmtId="0" fontId="18" fillId="0" borderId="26" xfId="0" applyFont="1" applyBorder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11" borderId="67" xfId="0" applyFill="1" applyBorder="1"/>
    <xf numFmtId="0" fontId="0" fillId="11" borderId="70" xfId="0" applyFill="1" applyBorder="1"/>
    <xf numFmtId="0" fontId="0" fillId="11" borderId="68" xfId="0" applyFill="1" applyBorder="1"/>
    <xf numFmtId="0" fontId="0" fillId="11" borderId="71" xfId="0" applyFill="1" applyBorder="1"/>
    <xf numFmtId="17" fontId="9" fillId="7" borderId="86" xfId="0" applyNumberFormat="1" applyFont="1" applyFill="1" applyBorder="1" applyAlignment="1">
      <alignment horizontal="center"/>
    </xf>
    <xf numFmtId="9" fontId="30" fillId="3" borderId="26" xfId="0" applyNumberFormat="1" applyFont="1" applyFill="1" applyBorder="1" applyAlignment="1">
      <alignment horizontal="center"/>
    </xf>
    <xf numFmtId="0" fontId="32" fillId="11" borderId="0" xfId="0" applyFont="1" applyFill="1" applyAlignment="1">
      <alignment horizontal="center"/>
    </xf>
    <xf numFmtId="0" fontId="33" fillId="11" borderId="0" xfId="0" applyFont="1" applyFill="1" applyAlignment="1">
      <alignment horizontal="center"/>
    </xf>
    <xf numFmtId="17" fontId="9" fillId="5" borderId="22" xfId="0" applyNumberFormat="1" applyFont="1" applyFill="1" applyBorder="1" applyAlignment="1">
      <alignment horizontal="center"/>
    </xf>
    <xf numFmtId="17" fontId="9" fillId="5" borderId="11" xfId="0" applyNumberFormat="1" applyFont="1" applyFill="1" applyBorder="1" applyAlignment="1">
      <alignment horizontal="center"/>
    </xf>
    <xf numFmtId="9" fontId="10" fillId="5" borderId="17" xfId="3" applyFont="1" applyFill="1" applyBorder="1" applyAlignment="1">
      <alignment horizontal="right"/>
    </xf>
    <xf numFmtId="9" fontId="10" fillId="5" borderId="17" xfId="3" applyFont="1" applyFill="1" applyBorder="1" applyAlignment="1" applyProtection="1">
      <alignment horizontal="right"/>
    </xf>
    <xf numFmtId="9" fontId="10" fillId="5" borderId="18" xfId="3" applyFont="1" applyFill="1" applyBorder="1" applyAlignment="1">
      <alignment horizontal="right"/>
    </xf>
    <xf numFmtId="9" fontId="10" fillId="5" borderId="1" xfId="3" applyFont="1" applyFill="1" applyBorder="1" applyAlignment="1">
      <alignment horizontal="center"/>
    </xf>
    <xf numFmtId="9" fontId="10" fillId="5" borderId="2" xfId="3" applyFont="1" applyFill="1" applyBorder="1" applyAlignment="1">
      <alignment horizontal="center"/>
    </xf>
    <xf numFmtId="9" fontId="10" fillId="5" borderId="3" xfId="3" applyFont="1" applyFill="1" applyBorder="1" applyAlignment="1">
      <alignment horizontal="center"/>
    </xf>
    <xf numFmtId="9" fontId="7" fillId="5" borderId="34" xfId="0" applyNumberFormat="1" applyFont="1" applyFill="1" applyBorder="1" applyAlignment="1">
      <alignment horizontal="center"/>
    </xf>
    <xf numFmtId="17" fontId="7" fillId="5" borderId="30" xfId="0" applyNumberFormat="1" applyFont="1" applyFill="1" applyBorder="1" applyAlignment="1">
      <alignment horizontal="center"/>
    </xf>
    <xf numFmtId="0" fontId="7" fillId="5" borderId="31" xfId="0" applyFont="1" applyFill="1" applyBorder="1" applyAlignment="1">
      <alignment horizontal="center"/>
    </xf>
    <xf numFmtId="17" fontId="7" fillId="5" borderId="32" xfId="0" applyNumberFormat="1" applyFont="1" applyFill="1" applyBorder="1" applyAlignment="1">
      <alignment horizontal="center"/>
    </xf>
    <xf numFmtId="17" fontId="7" fillId="5" borderId="27" xfId="0" applyNumberFormat="1" applyFont="1" applyFill="1" applyBorder="1" applyAlignment="1">
      <alignment horizontal="center"/>
    </xf>
    <xf numFmtId="0" fontId="7" fillId="5" borderId="28" xfId="0" applyFont="1" applyFill="1" applyBorder="1" applyAlignment="1">
      <alignment horizontal="center"/>
    </xf>
    <xf numFmtId="17" fontId="7" fillId="5" borderId="33" xfId="0" applyNumberFormat="1" applyFont="1" applyFill="1" applyBorder="1" applyAlignment="1">
      <alignment horizontal="center"/>
    </xf>
    <xf numFmtId="0" fontId="0" fillId="5" borderId="84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8" xfId="0" applyBorder="1" applyAlignment="1">
      <alignment horizontal="center"/>
    </xf>
    <xf numFmtId="0" fontId="0" fillId="0" borderId="91" xfId="0" applyBorder="1"/>
    <xf numFmtId="0" fontId="0" fillId="0" borderId="89" xfId="0" applyBorder="1" applyAlignment="1">
      <alignment horizontal="center"/>
    </xf>
    <xf numFmtId="1" fontId="7" fillId="5" borderId="26" xfId="1" applyNumberFormat="1" applyFont="1" applyFill="1" applyBorder="1" applyAlignment="1">
      <alignment horizontal="center"/>
    </xf>
    <xf numFmtId="17" fontId="7" fillId="5" borderId="26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center"/>
    </xf>
    <xf numFmtId="3" fontId="0" fillId="5" borderId="0" xfId="0" applyNumberFormat="1" applyFill="1" applyAlignment="1">
      <alignment horizontal="center"/>
    </xf>
    <xf numFmtId="0" fontId="0" fillId="11" borderId="88" xfId="0" applyFill="1" applyBorder="1"/>
    <xf numFmtId="0" fontId="0" fillId="11" borderId="91" xfId="0" applyFill="1" applyBorder="1"/>
    <xf numFmtId="0" fontId="0" fillId="11" borderId="87" xfId="0" applyFill="1" applyBorder="1"/>
    <xf numFmtId="0" fontId="0" fillId="11" borderId="44" xfId="0" applyFill="1" applyBorder="1"/>
    <xf numFmtId="0" fontId="0" fillId="11" borderId="90" xfId="0" applyFill="1" applyBorder="1"/>
    <xf numFmtId="0" fontId="0" fillId="11" borderId="89" xfId="0" applyFill="1" applyBorder="1"/>
    <xf numFmtId="0" fontId="0" fillId="11" borderId="92" xfId="0" applyFill="1" applyBorder="1"/>
    <xf numFmtId="4" fontId="0" fillId="0" borderId="0" xfId="3" quotePrefix="1" applyNumberFormat="1" applyFont="1" applyAlignment="1">
      <alignment horizontal="center"/>
    </xf>
    <xf numFmtId="0" fontId="0" fillId="0" borderId="2" xfId="0" applyBorder="1" applyAlignment="1">
      <alignment horizontal="center"/>
    </xf>
    <xf numFmtId="166" fontId="6" fillId="0" borderId="0" xfId="1" applyNumberFormat="1" applyFont="1"/>
    <xf numFmtId="0" fontId="0" fillId="0" borderId="44" xfId="0" applyBorder="1" applyAlignment="1">
      <alignment horizontal="center"/>
    </xf>
    <xf numFmtId="0" fontId="14" fillId="0" borderId="0" xfId="0" applyFont="1" applyAlignment="1">
      <alignment horizontal="center"/>
    </xf>
    <xf numFmtId="0" fontId="35" fillId="0" borderId="87" xfId="0" applyFont="1" applyBorder="1" applyAlignment="1">
      <alignment horizontal="center"/>
    </xf>
    <xf numFmtId="0" fontId="35" fillId="0" borderId="44" xfId="0" applyFont="1" applyBorder="1" applyAlignment="1">
      <alignment horizontal="center"/>
    </xf>
    <xf numFmtId="0" fontId="35" fillId="0" borderId="90" xfId="0" applyFont="1" applyBorder="1"/>
    <xf numFmtId="0" fontId="35" fillId="0" borderId="88" xfId="0" applyFont="1" applyBorder="1" applyAlignment="1">
      <alignment horizontal="center"/>
    </xf>
    <xf numFmtId="0" fontId="35" fillId="0" borderId="0" xfId="0" applyFont="1" applyAlignment="1">
      <alignment horizontal="center"/>
    </xf>
    <xf numFmtId="0" fontId="35" fillId="0" borderId="91" xfId="0" applyFont="1" applyBorder="1"/>
    <xf numFmtId="0" fontId="35" fillId="0" borderId="91" xfId="0" applyFont="1" applyBorder="1" applyAlignment="1">
      <alignment horizontal="center"/>
    </xf>
    <xf numFmtId="0" fontId="22" fillId="0" borderId="88" xfId="0" applyFont="1" applyBorder="1" applyAlignment="1">
      <alignment horizontal="center"/>
    </xf>
    <xf numFmtId="0" fontId="35" fillId="0" borderId="4" xfId="0" applyFont="1" applyBorder="1" applyAlignment="1">
      <alignment horizontal="center"/>
    </xf>
    <xf numFmtId="0" fontId="35" fillId="0" borderId="92" xfId="0" applyFont="1" applyBorder="1" applyAlignment="1">
      <alignment horizontal="center"/>
    </xf>
    <xf numFmtId="0" fontId="20" fillId="11" borderId="0" xfId="0" applyFont="1" applyFill="1" applyAlignment="1">
      <alignment horizontal="center"/>
    </xf>
    <xf numFmtId="17" fontId="36" fillId="5" borderId="29" xfId="0" applyNumberFormat="1" applyFont="1" applyFill="1" applyBorder="1" applyAlignment="1">
      <alignment horizontal="center"/>
    </xf>
    <xf numFmtId="166" fontId="2" fillId="3" borderId="1" xfId="0" applyNumberFormat="1" applyFont="1" applyFill="1" applyBorder="1" applyAlignment="1">
      <alignment horizontal="center"/>
    </xf>
    <xf numFmtId="0" fontId="2" fillId="3" borderId="45" xfId="0" applyFont="1" applyFill="1" applyBorder="1" applyAlignment="1">
      <alignment horizontal="center"/>
    </xf>
    <xf numFmtId="166" fontId="0" fillId="0" borderId="45" xfId="0" applyNumberFormat="1" applyBorder="1"/>
    <xf numFmtId="0" fontId="2" fillId="3" borderId="93" xfId="0" applyFont="1" applyFill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37" fillId="3" borderId="26" xfId="0" applyFont="1" applyFill="1" applyBorder="1" applyAlignment="1">
      <alignment horizontal="center"/>
    </xf>
    <xf numFmtId="166" fontId="38" fillId="0" borderId="26" xfId="0" applyNumberFormat="1" applyFont="1" applyBorder="1" applyAlignment="1">
      <alignment horizontal="center"/>
    </xf>
    <xf numFmtId="0" fontId="35" fillId="0" borderId="93" xfId="0" applyFont="1" applyBorder="1" applyAlignment="1">
      <alignment horizontal="center"/>
    </xf>
    <xf numFmtId="166" fontId="0" fillId="13" borderId="3" xfId="1" applyNumberFormat="1" applyFont="1" applyFill="1" applyBorder="1" applyAlignment="1">
      <alignment horizontal="center"/>
    </xf>
    <xf numFmtId="169" fontId="0" fillId="13" borderId="3" xfId="3" applyNumberFormat="1" applyFont="1" applyFill="1" applyBorder="1" applyAlignment="1">
      <alignment horizontal="center"/>
    </xf>
    <xf numFmtId="169" fontId="10" fillId="6" borderId="9" xfId="3" applyNumberFormat="1" applyFont="1" applyFill="1" applyBorder="1"/>
    <xf numFmtId="3" fontId="0" fillId="13" borderId="26" xfId="0" applyNumberFormat="1" applyFill="1" applyBorder="1"/>
    <xf numFmtId="0" fontId="8" fillId="0" borderId="0" xfId="0" applyFont="1" applyAlignment="1">
      <alignment horizontal="left"/>
    </xf>
    <xf numFmtId="0" fontId="0" fillId="11" borderId="94" xfId="0" applyFill="1" applyBorder="1"/>
    <xf numFmtId="0" fontId="0" fillId="11" borderId="95" xfId="0" applyFill="1" applyBorder="1"/>
    <xf numFmtId="0" fontId="0" fillId="11" borderId="96" xfId="0" applyFill="1" applyBorder="1"/>
    <xf numFmtId="166" fontId="40" fillId="0" borderId="26" xfId="1" applyNumberFormat="1" applyFont="1" applyBorder="1" applyAlignment="1">
      <alignment horizontal="right"/>
    </xf>
    <xf numFmtId="166" fontId="23" fillId="5" borderId="26" xfId="0" applyNumberFormat="1" applyFont="1" applyFill="1" applyBorder="1" applyAlignment="1">
      <alignment horizontal="center"/>
    </xf>
    <xf numFmtId="0" fontId="2" fillId="3" borderId="98" xfId="0" applyFont="1" applyFill="1" applyBorder="1" applyAlignment="1">
      <alignment horizontal="center"/>
    </xf>
    <xf numFmtId="166" fontId="22" fillId="5" borderId="98" xfId="0" applyNumberFormat="1" applyFont="1" applyFill="1" applyBorder="1"/>
    <xf numFmtId="0" fontId="0" fillId="11" borderId="97" xfId="0" applyFill="1" applyBorder="1"/>
    <xf numFmtId="166" fontId="19" fillId="0" borderId="3" xfId="1" applyNumberFormat="1" applyFont="1" applyFill="1" applyBorder="1" applyAlignment="1">
      <alignment horizontal="right"/>
    </xf>
    <xf numFmtId="165" fontId="10" fillId="5" borderId="9" xfId="0" quotePrefix="1" applyNumberFormat="1" applyFont="1" applyFill="1" applyBorder="1"/>
    <xf numFmtId="0" fontId="0" fillId="0" borderId="0" xfId="0" applyAlignment="1">
      <alignment vertical="center" wrapText="1"/>
    </xf>
    <xf numFmtId="2" fontId="0" fillId="0" borderId="2" xfId="0" applyNumberFormat="1" applyBorder="1"/>
    <xf numFmtId="166" fontId="0" fillId="0" borderId="99" xfId="1" applyNumberFormat="1" applyFont="1" applyFill="1" applyBorder="1" applyAlignment="1">
      <alignment horizontal="center"/>
    </xf>
    <xf numFmtId="17" fontId="14" fillId="0" borderId="37" xfId="0" applyNumberFormat="1" applyFont="1" applyBorder="1" applyAlignment="1">
      <alignment horizontal="left"/>
    </xf>
    <xf numFmtId="17" fontId="14" fillId="0" borderId="38" xfId="0" applyNumberFormat="1" applyFont="1" applyBorder="1" applyAlignment="1">
      <alignment horizontal="left"/>
    </xf>
    <xf numFmtId="17" fontId="14" fillId="0" borderId="42" xfId="0" applyNumberFormat="1" applyFont="1" applyBorder="1" applyAlignment="1">
      <alignment horizontal="left"/>
    </xf>
    <xf numFmtId="0" fontId="41" fillId="0" borderId="0" xfId="0" applyFont="1"/>
    <xf numFmtId="0" fontId="24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66" fontId="13" fillId="0" borderId="0" xfId="1" applyNumberFormat="1" applyFont="1" applyFill="1"/>
    <xf numFmtId="174" fontId="0" fillId="0" borderId="0" xfId="0" applyNumberFormat="1"/>
    <xf numFmtId="43" fontId="0" fillId="0" borderId="0" xfId="1" applyFont="1"/>
    <xf numFmtId="17" fontId="24" fillId="0" borderId="0" xfId="0" applyNumberFormat="1" applyFont="1" applyAlignment="1">
      <alignment horizontal="right"/>
    </xf>
    <xf numFmtId="173" fontId="0" fillId="0" borderId="0" xfId="1" applyNumberFormat="1" applyFont="1" applyFill="1" applyAlignment="1">
      <alignment horizontal="right"/>
    </xf>
    <xf numFmtId="173" fontId="7" fillId="0" borderId="0" xfId="1" applyNumberFormat="1" applyFont="1" applyFill="1" applyBorder="1" applyAlignment="1">
      <alignment horizontal="right"/>
    </xf>
    <xf numFmtId="173" fontId="9" fillId="2" borderId="0" xfId="1" applyNumberFormat="1" applyFont="1" applyFill="1" applyBorder="1" applyAlignment="1">
      <alignment horizontal="right" vertical="center" wrapText="1"/>
    </xf>
    <xf numFmtId="173" fontId="22" fillId="0" borderId="0" xfId="1" applyNumberFormat="1" applyFont="1" applyFill="1" applyAlignment="1">
      <alignment horizontal="right"/>
    </xf>
    <xf numFmtId="43" fontId="22" fillId="0" borderId="0" xfId="1" applyFont="1" applyFill="1" applyAlignment="1">
      <alignment horizontal="right"/>
    </xf>
    <xf numFmtId="43" fontId="0" fillId="0" borderId="0" xfId="1" applyFont="1" applyFill="1" applyAlignment="1">
      <alignment horizontal="right"/>
    </xf>
    <xf numFmtId="43" fontId="7" fillId="0" borderId="0" xfId="1" applyFont="1" applyFill="1" applyBorder="1" applyAlignment="1">
      <alignment horizontal="right"/>
    </xf>
    <xf numFmtId="173" fontId="0" fillId="0" borderId="0" xfId="0" applyNumberFormat="1"/>
    <xf numFmtId="43" fontId="0" fillId="0" borderId="0" xfId="1" applyFont="1" applyFill="1"/>
    <xf numFmtId="43" fontId="0" fillId="0" borderId="0" xfId="0" applyNumberFormat="1"/>
    <xf numFmtId="43" fontId="1" fillId="0" borderId="0" xfId="1" applyFont="1" applyFill="1" applyAlignment="1">
      <alignment horizontal="left"/>
    </xf>
    <xf numFmtId="43" fontId="1" fillId="0" borderId="0" xfId="1" applyFont="1" applyFill="1" applyAlignment="1">
      <alignment horizontal="right"/>
    </xf>
    <xf numFmtId="43" fontId="9" fillId="0" borderId="0" xfId="1" applyFont="1" applyFill="1" applyBorder="1" applyAlignment="1">
      <alignment horizontal="right"/>
    </xf>
    <xf numFmtId="43" fontId="0" fillId="0" borderId="0" xfId="1" applyFont="1" applyFill="1" applyAlignment="1">
      <alignment horizontal="left"/>
    </xf>
    <xf numFmtId="169" fontId="0" fillId="0" borderId="0" xfId="3" applyNumberFormat="1" applyFont="1" applyBorder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0" fillId="0" borderId="82" xfId="0" applyBorder="1" applyAlignment="1">
      <alignment horizontal="center" vertical="center"/>
    </xf>
    <xf numFmtId="0" fontId="42" fillId="0" borderId="100" xfId="4" applyBorder="1" applyAlignment="1">
      <alignment horizontal="left" vertical="top" wrapText="1"/>
    </xf>
    <xf numFmtId="0" fontId="42" fillId="0" borderId="101" xfId="4" applyBorder="1" applyAlignment="1">
      <alignment wrapText="1"/>
    </xf>
    <xf numFmtId="0" fontId="0" fillId="0" borderId="102" xfId="0" applyBorder="1"/>
    <xf numFmtId="0" fontId="0" fillId="0" borderId="26" xfId="0" applyBorder="1" applyAlignment="1">
      <alignment horizontal="left" vertical="top" wrapText="1"/>
    </xf>
    <xf numFmtId="0" fontId="0" fillId="0" borderId="26" xfId="0" quotePrefix="1" applyBorder="1" applyAlignment="1">
      <alignment horizontal="left" vertical="top" wrapText="1"/>
    </xf>
    <xf numFmtId="0" fontId="0" fillId="0" borderId="26" xfId="0" applyBorder="1"/>
    <xf numFmtId="0" fontId="22" fillId="0" borderId="45" xfId="0" applyFont="1" applyBorder="1" applyAlignment="1">
      <alignment horizontal="center" vertical="center" wrapText="1"/>
    </xf>
    <xf numFmtId="0" fontId="22" fillId="0" borderId="25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" fillId="14" borderId="0" xfId="0" applyFont="1" applyFill="1" applyAlignment="1">
      <alignment horizontal="center" vertical="center" wrapText="1"/>
    </xf>
    <xf numFmtId="175" fontId="0" fillId="0" borderId="0" xfId="0" applyNumberFormat="1"/>
    <xf numFmtId="0" fontId="2" fillId="14" borderId="0" xfId="0" applyFont="1" applyFill="1" applyAlignment="1">
      <alignment horizontal="left" vertical="center"/>
    </xf>
    <xf numFmtId="17" fontId="0" fillId="0" borderId="11" xfId="0" applyNumberFormat="1" applyBorder="1" applyAlignment="1">
      <alignment horizontal="center"/>
    </xf>
    <xf numFmtId="176" fontId="0" fillId="0" borderId="0" xfId="1" applyNumberFormat="1" applyFont="1" applyFill="1" applyAlignment="1">
      <alignment horizontal="right"/>
    </xf>
    <xf numFmtId="169" fontId="0" fillId="0" borderId="106" xfId="3" applyNumberFormat="1" applyFont="1" applyBorder="1"/>
    <xf numFmtId="17" fontId="0" fillId="0" borderId="3" xfId="0" applyNumberFormat="1" applyBorder="1"/>
    <xf numFmtId="17" fontId="0" fillId="0" borderId="26" xfId="0" applyNumberFormat="1" applyBorder="1" applyAlignment="1">
      <alignment horizontal="center"/>
    </xf>
    <xf numFmtId="17" fontId="7" fillId="0" borderId="107" xfId="0" applyNumberFormat="1" applyFont="1" applyBorder="1"/>
    <xf numFmtId="17" fontId="7" fillId="0" borderId="108" xfId="0" applyNumberFormat="1" applyFont="1" applyBorder="1"/>
    <xf numFmtId="165" fontId="10" fillId="6" borderId="109" xfId="0" applyNumberFormat="1" applyFont="1" applyFill="1" applyBorder="1"/>
    <xf numFmtId="165" fontId="10" fillId="6" borderId="110" xfId="0" applyNumberFormat="1" applyFont="1" applyFill="1" applyBorder="1"/>
    <xf numFmtId="9" fontId="10" fillId="6" borderId="109" xfId="3" applyFont="1" applyFill="1" applyBorder="1"/>
    <xf numFmtId="9" fontId="10" fillId="6" borderId="110" xfId="3" applyFont="1" applyFill="1" applyBorder="1"/>
    <xf numFmtId="165" fontId="10" fillId="6" borderId="32" xfId="0" quotePrefix="1" applyNumberFormat="1" applyFont="1" applyFill="1" applyBorder="1"/>
    <xf numFmtId="165" fontId="10" fillId="6" borderId="111" xfId="0" quotePrefix="1" applyNumberFormat="1" applyFont="1" applyFill="1" applyBorder="1"/>
    <xf numFmtId="165" fontId="10" fillId="6" borderId="32" xfId="0" applyNumberFormat="1" applyFont="1" applyFill="1" applyBorder="1"/>
    <xf numFmtId="165" fontId="10" fillId="6" borderId="111" xfId="0" applyNumberFormat="1" applyFont="1" applyFill="1" applyBorder="1"/>
    <xf numFmtId="165" fontId="10" fillId="6" borderId="112" xfId="0" applyNumberFormat="1" applyFont="1" applyFill="1" applyBorder="1"/>
    <xf numFmtId="165" fontId="10" fillId="6" borderId="113" xfId="0" applyNumberFormat="1" applyFont="1" applyFill="1" applyBorder="1"/>
    <xf numFmtId="17" fontId="7" fillId="0" borderId="35" xfId="0" applyNumberFormat="1" applyFont="1" applyBorder="1"/>
    <xf numFmtId="17" fontId="7" fillId="0" borderId="114" xfId="0" applyNumberFormat="1" applyFont="1" applyBorder="1"/>
    <xf numFmtId="165" fontId="10" fillId="6" borderId="115" xfId="0" applyNumberFormat="1" applyFont="1" applyFill="1" applyBorder="1"/>
    <xf numFmtId="165" fontId="10" fillId="6" borderId="116" xfId="0" applyNumberFormat="1" applyFont="1" applyFill="1" applyBorder="1"/>
    <xf numFmtId="165" fontId="10" fillId="0" borderId="35" xfId="0" applyNumberFormat="1" applyFont="1" applyBorder="1"/>
    <xf numFmtId="165" fontId="10" fillId="0" borderId="114" xfId="0" applyNumberFormat="1" applyFont="1" applyBorder="1"/>
    <xf numFmtId="165" fontId="10" fillId="5" borderId="109" xfId="0" applyNumberFormat="1" applyFont="1" applyFill="1" applyBorder="1"/>
    <xf numFmtId="165" fontId="10" fillId="5" borderId="110" xfId="0" applyNumberFormat="1" applyFont="1" applyFill="1" applyBorder="1"/>
    <xf numFmtId="165" fontId="10" fillId="5" borderId="32" xfId="0" applyNumberFormat="1" applyFont="1" applyFill="1" applyBorder="1"/>
    <xf numFmtId="165" fontId="10" fillId="5" borderId="111" xfId="0" applyNumberFormat="1" applyFont="1" applyFill="1" applyBorder="1"/>
    <xf numFmtId="165" fontId="10" fillId="5" borderId="112" xfId="0" applyNumberFormat="1" applyFont="1" applyFill="1" applyBorder="1"/>
    <xf numFmtId="165" fontId="10" fillId="5" borderId="113" xfId="0" applyNumberFormat="1" applyFont="1" applyFill="1" applyBorder="1"/>
    <xf numFmtId="9" fontId="10" fillId="5" borderId="107" xfId="3" applyFont="1" applyFill="1" applyBorder="1"/>
    <xf numFmtId="9" fontId="10" fillId="5" borderId="108" xfId="3" applyFont="1" applyFill="1" applyBorder="1"/>
    <xf numFmtId="168" fontId="0" fillId="0" borderId="40" xfId="0" applyNumberFormat="1" applyBorder="1"/>
    <xf numFmtId="168" fontId="0" fillId="0" borderId="119" xfId="0" applyNumberFormat="1" applyBorder="1"/>
    <xf numFmtId="177" fontId="26" fillId="15" borderId="26" xfId="0" applyNumberFormat="1" applyFont="1" applyFill="1" applyBorder="1"/>
    <xf numFmtId="177" fontId="0" fillId="0" borderId="0" xfId="0" applyNumberFormat="1"/>
    <xf numFmtId="177" fontId="2" fillId="15" borderId="26" xfId="0" applyNumberFormat="1" applyFont="1" applyFill="1" applyBorder="1"/>
    <xf numFmtId="0" fontId="2" fillId="15" borderId="26" xfId="0" applyFont="1" applyFill="1" applyBorder="1"/>
    <xf numFmtId="0" fontId="0" fillId="16" borderId="26" xfId="0" applyFill="1" applyBorder="1" applyAlignment="1">
      <alignment horizontal="center"/>
    </xf>
    <xf numFmtId="0" fontId="0" fillId="17" borderId="26" xfId="1" quotePrefix="1" applyNumberFormat="1" applyFont="1" applyFill="1" applyBorder="1" applyAlignment="1">
      <alignment horizontal="center"/>
    </xf>
    <xf numFmtId="0" fontId="0" fillId="17" borderId="26" xfId="1" applyNumberFormat="1" applyFont="1" applyFill="1" applyBorder="1" applyAlignment="1">
      <alignment horizontal="center"/>
    </xf>
    <xf numFmtId="0" fontId="0" fillId="17" borderId="26" xfId="0" applyFill="1" applyBorder="1" applyAlignment="1">
      <alignment horizontal="center"/>
    </xf>
    <xf numFmtId="0" fontId="0" fillId="18" borderId="26" xfId="1" applyNumberFormat="1" applyFont="1" applyFill="1" applyBorder="1" applyAlignment="1">
      <alignment horizontal="center"/>
    </xf>
    <xf numFmtId="0" fontId="0" fillId="18" borderId="26" xfId="0" applyFill="1" applyBorder="1" applyAlignment="1">
      <alignment horizontal="center"/>
    </xf>
    <xf numFmtId="0" fontId="0" fillId="19" borderId="26" xfId="1" applyNumberFormat="1" applyFont="1" applyFill="1" applyBorder="1" applyAlignment="1">
      <alignment horizontal="center"/>
    </xf>
    <xf numFmtId="0" fontId="0" fillId="19" borderId="26" xfId="0" applyFill="1" applyBorder="1" applyAlignment="1">
      <alignment horizontal="center"/>
    </xf>
    <xf numFmtId="0" fontId="0" fillId="7" borderId="26" xfId="1" applyNumberFormat="1" applyFont="1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20" borderId="26" xfId="1" applyNumberFormat="1" applyFont="1" applyFill="1" applyBorder="1" applyAlignment="1">
      <alignment horizontal="center"/>
    </xf>
    <xf numFmtId="0" fontId="0" fillId="20" borderId="26" xfId="0" applyFill="1" applyBorder="1" applyAlignment="1">
      <alignment horizontal="center"/>
    </xf>
    <xf numFmtId="178" fontId="0" fillId="0" borderId="26" xfId="1" applyNumberFormat="1" applyFont="1" applyFill="1" applyBorder="1" applyAlignment="1">
      <alignment horizontal="center"/>
    </xf>
    <xf numFmtId="14" fontId="39" fillId="0" borderId="0" xfId="0" applyNumberFormat="1" applyFont="1" applyAlignment="1">
      <alignment horizontal="center" vertical="center"/>
    </xf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35" xfId="0" applyBorder="1"/>
    <xf numFmtId="0" fontId="0" fillId="0" borderId="114" xfId="0" applyBorder="1"/>
    <xf numFmtId="17" fontId="24" fillId="0" borderId="0" xfId="0" applyNumberFormat="1" applyFont="1" applyAlignment="1">
      <alignment horizontal="center"/>
    </xf>
    <xf numFmtId="0" fontId="24" fillId="0" borderId="0" xfId="0" applyFont="1" applyAlignment="1">
      <alignment horizontal="center"/>
    </xf>
    <xf numFmtId="17" fontId="7" fillId="0" borderId="107" xfId="0" applyNumberFormat="1" applyFont="1" applyBorder="1" applyAlignment="1">
      <alignment horizontal="center"/>
    </xf>
    <xf numFmtId="17" fontId="7" fillId="0" borderId="108" xfId="0" applyNumberFormat="1" applyFont="1" applyBorder="1" applyAlignment="1">
      <alignment horizontal="center"/>
    </xf>
    <xf numFmtId="165" fontId="10" fillId="5" borderId="109" xfId="0" applyNumberFormat="1" applyFont="1" applyFill="1" applyBorder="1" applyAlignment="1">
      <alignment horizontal="right"/>
    </xf>
    <xf numFmtId="165" fontId="10" fillId="5" borderId="110" xfId="0" applyNumberFormat="1" applyFont="1" applyFill="1" applyBorder="1" applyAlignment="1">
      <alignment horizontal="right"/>
    </xf>
    <xf numFmtId="165" fontId="10" fillId="5" borderId="35" xfId="0" applyNumberFormat="1" applyFont="1" applyFill="1" applyBorder="1" applyAlignment="1">
      <alignment horizontal="right"/>
    </xf>
    <xf numFmtId="165" fontId="10" fillId="5" borderId="114" xfId="0" applyNumberFormat="1" applyFont="1" applyFill="1" applyBorder="1" applyAlignment="1">
      <alignment horizontal="right"/>
    </xf>
    <xf numFmtId="9" fontId="10" fillId="5" borderId="112" xfId="3" applyFont="1" applyFill="1" applyBorder="1" applyAlignment="1">
      <alignment horizontal="right"/>
    </xf>
    <xf numFmtId="9" fontId="10" fillId="5" borderId="113" xfId="3" applyFont="1" applyFill="1" applyBorder="1" applyAlignment="1">
      <alignment horizontal="right"/>
    </xf>
    <xf numFmtId="9" fontId="10" fillId="5" borderId="109" xfId="3" applyFont="1" applyFill="1" applyBorder="1"/>
    <xf numFmtId="9" fontId="10" fillId="5" borderId="110" xfId="3" applyFont="1" applyFill="1" applyBorder="1"/>
    <xf numFmtId="0" fontId="22" fillId="0" borderId="20" xfId="0" applyFont="1" applyBorder="1" applyAlignment="1">
      <alignment horizontal="center"/>
    </xf>
    <xf numFmtId="0" fontId="0" fillId="0" borderId="106" xfId="0" applyBorder="1"/>
    <xf numFmtId="0" fontId="0" fillId="0" borderId="104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04" xfId="0" applyBorder="1"/>
    <xf numFmtId="14" fontId="0" fillId="0" borderId="25" xfId="0" applyNumberFormat="1" applyBorder="1"/>
    <xf numFmtId="168" fontId="0" fillId="0" borderId="106" xfId="0" applyNumberFormat="1" applyBorder="1"/>
    <xf numFmtId="169" fontId="0" fillId="0" borderId="104" xfId="3" applyNumberFormat="1" applyFont="1" applyBorder="1"/>
    <xf numFmtId="169" fontId="22" fillId="0" borderId="20" xfId="0" applyNumberFormat="1" applyFont="1" applyBorder="1"/>
    <xf numFmtId="169" fontId="22" fillId="0" borderId="72" xfId="0" applyNumberFormat="1" applyFont="1" applyBorder="1"/>
    <xf numFmtId="169" fontId="22" fillId="0" borderId="73" xfId="0" applyNumberFormat="1" applyFont="1" applyBorder="1"/>
    <xf numFmtId="0" fontId="0" fillId="5" borderId="11" xfId="0" applyFill="1" applyBorder="1" applyAlignment="1">
      <alignment horizontal="center"/>
    </xf>
    <xf numFmtId="0" fontId="0" fillId="5" borderId="83" xfId="0" applyFill="1" applyBorder="1" applyAlignment="1">
      <alignment horizontal="center"/>
    </xf>
    <xf numFmtId="17" fontId="0" fillId="0" borderId="0" xfId="0" applyNumberForma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 applyProtection="1">
      <alignment horizontal="center"/>
      <protection locked="0"/>
    </xf>
    <xf numFmtId="17" fontId="7" fillId="0" borderId="122" xfId="0" applyNumberFormat="1" applyFont="1" applyBorder="1"/>
    <xf numFmtId="0" fontId="0" fillId="0" borderId="120" xfId="0" applyBorder="1"/>
    <xf numFmtId="0" fontId="0" fillId="0" borderId="120" xfId="0" applyBorder="1" applyAlignment="1">
      <alignment horizontal="left"/>
    </xf>
    <xf numFmtId="0" fontId="0" fillId="0" borderId="122" xfId="0" applyBorder="1"/>
    <xf numFmtId="17" fontId="7" fillId="0" borderId="24" xfId="0" applyNumberFormat="1" applyFont="1" applyBorder="1"/>
    <xf numFmtId="165" fontId="10" fillId="6" borderId="121" xfId="0" applyNumberFormat="1" applyFont="1" applyFill="1" applyBorder="1"/>
    <xf numFmtId="9" fontId="10" fillId="6" borderId="121" xfId="3" applyFont="1" applyFill="1" applyBorder="1"/>
    <xf numFmtId="165" fontId="10" fillId="5" borderId="121" xfId="0" applyNumberFormat="1" applyFont="1" applyFill="1" applyBorder="1"/>
    <xf numFmtId="0" fontId="24" fillId="0" borderId="122" xfId="0" applyFont="1" applyBorder="1" applyAlignment="1">
      <alignment horizontal="right"/>
    </xf>
    <xf numFmtId="0" fontId="24" fillId="0" borderId="120" xfId="0" applyFont="1" applyBorder="1" applyAlignment="1">
      <alignment horizontal="right"/>
    </xf>
    <xf numFmtId="168" fontId="0" fillId="0" borderId="123" xfId="0" applyNumberFormat="1" applyBorder="1"/>
    <xf numFmtId="0" fontId="43" fillId="0" borderId="39" xfId="0" applyFont="1" applyBorder="1" applyAlignment="1">
      <alignment horizontal="center"/>
    </xf>
    <xf numFmtId="17" fontId="44" fillId="0" borderId="37" xfId="0" applyNumberFormat="1" applyFont="1" applyBorder="1"/>
    <xf numFmtId="17" fontId="44" fillId="0" borderId="117" xfId="0" applyNumberFormat="1" applyFont="1" applyBorder="1"/>
    <xf numFmtId="0" fontId="45" fillId="0" borderId="120" xfId="0" applyFont="1" applyBorder="1"/>
    <xf numFmtId="173" fontId="45" fillId="0" borderId="0" xfId="1" applyNumberFormat="1" applyFont="1" applyFill="1" applyAlignment="1">
      <alignment horizontal="right"/>
    </xf>
    <xf numFmtId="0" fontId="45" fillId="0" borderId="0" xfId="0" applyFont="1"/>
    <xf numFmtId="0" fontId="46" fillId="3" borderId="39" xfId="0" applyFont="1" applyFill="1" applyBorder="1" applyAlignment="1">
      <alignment horizontal="center" vertical="center"/>
    </xf>
    <xf numFmtId="17" fontId="46" fillId="3" borderId="37" xfId="0" applyNumberFormat="1" applyFont="1" applyFill="1" applyBorder="1" applyAlignment="1">
      <alignment horizontal="center" vertical="center"/>
    </xf>
    <xf numFmtId="0" fontId="46" fillId="3" borderId="37" xfId="0" applyFont="1" applyFill="1" applyBorder="1" applyAlignment="1">
      <alignment horizontal="center" vertical="center"/>
    </xf>
    <xf numFmtId="0" fontId="46" fillId="3" borderId="38" xfId="0" applyFont="1" applyFill="1" applyBorder="1" applyAlignment="1">
      <alignment horizontal="center" vertical="center"/>
    </xf>
    <xf numFmtId="0" fontId="9" fillId="5" borderId="11" xfId="0" applyFont="1" applyFill="1" applyBorder="1" applyAlignment="1">
      <alignment horizontal="center"/>
    </xf>
    <xf numFmtId="0" fontId="9" fillId="5" borderId="83" xfId="0" applyFont="1" applyFill="1" applyBorder="1" applyAlignment="1">
      <alignment horizontal="center"/>
    </xf>
    <xf numFmtId="165" fontId="10" fillId="5" borderId="1" xfId="3" applyNumberFormat="1" applyFont="1" applyFill="1" applyBorder="1" applyAlignment="1">
      <alignment horizontal="center"/>
    </xf>
    <xf numFmtId="165" fontId="10" fillId="5" borderId="2" xfId="3" applyNumberFormat="1" applyFont="1" applyFill="1" applyBorder="1" applyAlignment="1">
      <alignment horizontal="center"/>
    </xf>
    <xf numFmtId="165" fontId="10" fillId="5" borderId="3" xfId="3" applyNumberFormat="1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" fillId="21" borderId="45" xfId="0" applyFont="1" applyFill="1" applyBorder="1" applyAlignment="1">
      <alignment horizontal="left"/>
    </xf>
    <xf numFmtId="169" fontId="0" fillId="0" borderId="25" xfId="0" applyNumberFormat="1" applyBorder="1"/>
    <xf numFmtId="169" fontId="0" fillId="0" borderId="23" xfId="3" applyNumberFormat="1" applyFont="1" applyBorder="1"/>
    <xf numFmtId="0" fontId="2" fillId="21" borderId="25" xfId="0" applyFont="1" applyFill="1" applyBorder="1" applyAlignment="1">
      <alignment horizontal="left"/>
    </xf>
    <xf numFmtId="0" fontId="2" fillId="21" borderId="23" xfId="0" applyFont="1" applyFill="1" applyBorder="1" applyAlignment="1">
      <alignment horizontal="left"/>
    </xf>
    <xf numFmtId="179" fontId="2" fillId="15" borderId="26" xfId="0" applyNumberFormat="1" applyFont="1" applyFill="1" applyBorder="1" applyAlignment="1">
      <alignment horizontal="center"/>
    </xf>
    <xf numFmtId="17" fontId="0" fillId="16" borderId="26" xfId="0" quotePrefix="1" applyNumberFormat="1" applyFill="1" applyBorder="1" applyAlignment="1">
      <alignment horizontal="center"/>
    </xf>
    <xf numFmtId="165" fontId="0" fillId="0" borderId="0" xfId="1" applyNumberFormat="1" applyFont="1" applyAlignment="1">
      <alignment horizontal="center"/>
    </xf>
    <xf numFmtId="166" fontId="0" fillId="0" borderId="0" xfId="1" quotePrefix="1" applyNumberFormat="1" applyFont="1" applyBorder="1" applyAlignment="1">
      <alignment wrapText="1"/>
    </xf>
    <xf numFmtId="166" fontId="40" fillId="0" borderId="26" xfId="1" applyNumberFormat="1" applyFont="1" applyFill="1" applyBorder="1" applyAlignment="1">
      <alignment horizontal="center"/>
    </xf>
    <xf numFmtId="17" fontId="44" fillId="0" borderId="118" xfId="0" applyNumberFormat="1" applyFont="1" applyBorder="1"/>
    <xf numFmtId="17" fontId="44" fillId="0" borderId="38" xfId="0" applyNumberFormat="1" applyFont="1" applyBorder="1"/>
    <xf numFmtId="1" fontId="0" fillId="0" borderId="2" xfId="0" quotePrefix="1" applyNumberFormat="1" applyBorder="1"/>
    <xf numFmtId="1" fontId="0" fillId="0" borderId="2" xfId="1" applyNumberFormat="1" applyFon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26" xfId="0" applyBorder="1" applyAlignment="1">
      <alignment horizontal="left"/>
    </xf>
    <xf numFmtId="17" fontId="17" fillId="0" borderId="26" xfId="0" applyNumberFormat="1" applyFont="1" applyBorder="1" applyAlignment="1">
      <alignment horizontal="left"/>
    </xf>
    <xf numFmtId="168" fontId="0" fillId="0" borderId="26" xfId="0" applyNumberFormat="1" applyBorder="1"/>
    <xf numFmtId="10" fontId="0" fillId="0" borderId="26" xfId="3" applyNumberFormat="1" applyFont="1" applyBorder="1"/>
    <xf numFmtId="10" fontId="0" fillId="0" borderId="0" xfId="3" applyNumberFormat="1" applyFont="1" applyFill="1"/>
    <xf numFmtId="0" fontId="0" fillId="20" borderId="0" xfId="0" applyFill="1"/>
    <xf numFmtId="0" fontId="9" fillId="20" borderId="0" xfId="0" applyFont="1" applyFill="1" applyAlignment="1">
      <alignment horizontal="right"/>
    </xf>
    <xf numFmtId="0" fontId="48" fillId="20" borderId="0" xfId="0" applyFont="1" applyFill="1" applyAlignment="1">
      <alignment horizontal="center"/>
    </xf>
    <xf numFmtId="0" fontId="10" fillId="20" borderId="58" xfId="0" applyFont="1" applyFill="1" applyBorder="1" applyAlignment="1">
      <alignment horizontal="center"/>
    </xf>
    <xf numFmtId="0" fontId="49" fillId="20" borderId="0" xfId="0" applyFont="1" applyFill="1"/>
    <xf numFmtId="0" fontId="51" fillId="20" borderId="0" xfId="0" applyFont="1" applyFill="1"/>
    <xf numFmtId="0" fontId="50" fillId="20" borderId="0" xfId="0" applyFont="1" applyFill="1" applyAlignment="1">
      <alignment horizontal="center"/>
    </xf>
    <xf numFmtId="9" fontId="10" fillId="20" borderId="58" xfId="0" applyNumberFormat="1" applyFont="1" applyFill="1" applyBorder="1" applyAlignment="1">
      <alignment horizontal="center"/>
    </xf>
    <xf numFmtId="166" fontId="10" fillId="20" borderId="58" xfId="1" applyNumberFormat="1" applyFont="1" applyFill="1" applyBorder="1" applyAlignment="1">
      <alignment horizontal="center"/>
    </xf>
    <xf numFmtId="0" fontId="25" fillId="20" borderId="0" xfId="0" applyFont="1" applyFill="1"/>
    <xf numFmtId="0" fontId="2" fillId="3" borderId="128" xfId="0" applyFont="1" applyFill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0" fillId="0" borderId="129" xfId="0" applyBorder="1" applyAlignment="1">
      <alignment horizontal="center"/>
    </xf>
    <xf numFmtId="0" fontId="0" fillId="0" borderId="130" xfId="0" applyBorder="1" applyAlignment="1">
      <alignment horizontal="center"/>
    </xf>
    <xf numFmtId="17" fontId="0" fillId="0" borderId="131" xfId="0" applyNumberFormat="1" applyBorder="1" applyAlignment="1">
      <alignment horizontal="center"/>
    </xf>
    <xf numFmtId="17" fontId="0" fillId="0" borderId="132" xfId="0" applyNumberFormat="1" applyBorder="1" applyAlignment="1">
      <alignment horizontal="center"/>
    </xf>
    <xf numFmtId="0" fontId="0" fillId="0" borderId="77" xfId="0" applyBorder="1"/>
    <xf numFmtId="0" fontId="22" fillId="0" borderId="131" xfId="0" applyFont="1" applyBorder="1" applyAlignment="1">
      <alignment horizontal="center"/>
    </xf>
    <xf numFmtId="0" fontId="0" fillId="0" borderId="93" xfId="0" applyBorder="1"/>
    <xf numFmtId="0" fontId="22" fillId="0" borderId="3" xfId="0" applyFont="1" applyBorder="1" applyAlignment="1">
      <alignment horizontal="center"/>
    </xf>
    <xf numFmtId="0" fontId="22" fillId="0" borderId="0" xfId="0" applyFont="1"/>
    <xf numFmtId="0" fontId="22" fillId="0" borderId="126" xfId="0" applyFont="1" applyBorder="1"/>
    <xf numFmtId="0" fontId="22" fillId="0" borderId="25" xfId="0" applyFont="1" applyBorder="1"/>
    <xf numFmtId="0" fontId="22" fillId="0" borderId="25" xfId="0" applyFont="1" applyBorder="1" applyAlignment="1">
      <alignment horizontal="center"/>
    </xf>
    <xf numFmtId="0" fontId="22" fillId="0" borderId="127" xfId="0" applyFont="1" applyBorder="1" applyAlignment="1">
      <alignment horizontal="center"/>
    </xf>
    <xf numFmtId="0" fontId="22" fillId="0" borderId="23" xfId="0" applyFont="1" applyBorder="1" applyAlignment="1">
      <alignment horizontal="center"/>
    </xf>
    <xf numFmtId="0" fontId="22" fillId="0" borderId="125" xfId="0" applyFont="1" applyBorder="1" applyAlignment="1">
      <alignment horizontal="center"/>
    </xf>
    <xf numFmtId="0" fontId="0" fillId="13" borderId="0" xfId="0" applyFill="1"/>
    <xf numFmtId="0" fontId="0" fillId="13" borderId="4" xfId="0" applyFill="1" applyBorder="1" applyAlignment="1">
      <alignment horizontal="center"/>
    </xf>
    <xf numFmtId="14" fontId="22" fillId="0" borderId="0" xfId="0" applyNumberFormat="1" applyFont="1"/>
    <xf numFmtId="0" fontId="0" fillId="0" borderId="126" xfId="0" applyBorder="1"/>
    <xf numFmtId="0" fontId="22" fillId="0" borderId="2" xfId="0" applyFont="1" applyBorder="1" applyAlignment="1">
      <alignment horizontal="left"/>
    </xf>
    <xf numFmtId="0" fontId="2" fillId="3" borderId="136" xfId="0" applyFont="1" applyFill="1" applyBorder="1" applyAlignment="1">
      <alignment horizontal="center"/>
    </xf>
    <xf numFmtId="0" fontId="2" fillId="3" borderId="137" xfId="0" applyFont="1" applyFill="1" applyBorder="1" applyAlignment="1">
      <alignment horizontal="center"/>
    </xf>
    <xf numFmtId="0" fontId="22" fillId="0" borderId="11" xfId="0" applyFont="1" applyBorder="1" applyAlignment="1">
      <alignment horizontal="left"/>
    </xf>
    <xf numFmtId="0" fontId="0" fillId="0" borderId="77" xfId="0" applyBorder="1" applyAlignment="1">
      <alignment horizontal="center"/>
    </xf>
    <xf numFmtId="0" fontId="0" fillId="0" borderId="138" xfId="0" applyBorder="1"/>
    <xf numFmtId="0" fontId="0" fillId="0" borderId="139" xfId="0" applyBorder="1"/>
    <xf numFmtId="0" fontId="0" fillId="0" borderId="140" xfId="0" applyBorder="1"/>
    <xf numFmtId="0" fontId="0" fillId="0" borderId="141" xfId="0" applyBorder="1"/>
    <xf numFmtId="0" fontId="0" fillId="0" borderId="142" xfId="0" applyBorder="1"/>
    <xf numFmtId="0" fontId="52" fillId="0" borderId="0" xfId="0" applyFont="1"/>
    <xf numFmtId="0" fontId="52" fillId="0" borderId="0" xfId="0" applyFont="1" applyAlignment="1">
      <alignment horizontal="left"/>
    </xf>
    <xf numFmtId="181" fontId="0" fillId="0" borderId="0" xfId="0" applyNumberFormat="1" applyAlignment="1">
      <alignment horizontal="left"/>
    </xf>
    <xf numFmtId="181" fontId="22" fillId="0" borderId="11" xfId="0" applyNumberFormat="1" applyFont="1" applyBorder="1" applyAlignment="1">
      <alignment horizontal="left"/>
    </xf>
    <xf numFmtId="0" fontId="22" fillId="0" borderId="11" xfId="0" applyFont="1" applyBorder="1"/>
    <xf numFmtId="17" fontId="14" fillId="0" borderId="145" xfId="0" applyNumberFormat="1" applyFont="1" applyBorder="1" applyAlignment="1">
      <alignment horizontal="left"/>
    </xf>
    <xf numFmtId="166" fontId="24" fillId="0" borderId="146" xfId="1" applyNumberFormat="1" applyFont="1" applyBorder="1"/>
    <xf numFmtId="17" fontId="14" fillId="0" borderId="149" xfId="0" applyNumberFormat="1" applyFont="1" applyBorder="1" applyAlignment="1">
      <alignment horizontal="left"/>
    </xf>
    <xf numFmtId="0" fontId="0" fillId="0" borderId="143" xfId="0" applyBorder="1" applyAlignment="1">
      <alignment horizontal="center"/>
    </xf>
    <xf numFmtId="166" fontId="24" fillId="0" borderId="150" xfId="1" applyNumberFormat="1" applyFont="1" applyBorder="1"/>
    <xf numFmtId="166" fontId="0" fillId="0" borderId="148" xfId="0" applyNumberFormat="1" applyBorder="1"/>
    <xf numFmtId="0" fontId="0" fillId="0" borderId="133" xfId="0" applyBorder="1"/>
    <xf numFmtId="0" fontId="15" fillId="0" borderId="151" xfId="0" applyFont="1" applyBorder="1" applyAlignment="1">
      <alignment horizontal="left"/>
    </xf>
    <xf numFmtId="0" fontId="15" fillId="0" borderId="38" xfId="0" applyFont="1" applyBorder="1" applyAlignment="1">
      <alignment horizontal="left"/>
    </xf>
    <xf numFmtId="0" fontId="15" fillId="0" borderId="39" xfId="0" applyFont="1" applyBorder="1" applyAlignment="1">
      <alignment horizontal="left"/>
    </xf>
    <xf numFmtId="0" fontId="0" fillId="0" borderId="43" xfId="0" applyBorder="1"/>
    <xf numFmtId="0" fontId="0" fillId="0" borderId="41" xfId="0" applyBorder="1" applyAlignment="1">
      <alignment horizontal="center"/>
    </xf>
    <xf numFmtId="180" fontId="0" fillId="0" borderId="43" xfId="0" applyNumberFormat="1" applyBorder="1" applyAlignment="1">
      <alignment horizontal="center"/>
    </xf>
    <xf numFmtId="166" fontId="0" fillId="0" borderId="138" xfId="0" applyNumberFormat="1" applyBorder="1"/>
    <xf numFmtId="166" fontId="0" fillId="0" borderId="141" xfId="0" applyNumberFormat="1" applyBorder="1"/>
    <xf numFmtId="180" fontId="0" fillId="0" borderId="26" xfId="0" applyNumberFormat="1" applyBorder="1" applyAlignment="1">
      <alignment horizontal="center"/>
    </xf>
    <xf numFmtId="165" fontId="10" fillId="6" borderId="140" xfId="0" quotePrefix="1" applyNumberFormat="1" applyFont="1" applyFill="1" applyBorder="1"/>
    <xf numFmtId="165" fontId="10" fillId="6" borderId="140" xfId="0" applyNumberFormat="1" applyFont="1" applyFill="1" applyBorder="1"/>
    <xf numFmtId="0" fontId="0" fillId="0" borderId="156" xfId="0" applyBorder="1"/>
    <xf numFmtId="169" fontId="0" fillId="0" borderId="156" xfId="3" applyNumberFormat="1" applyFont="1" applyBorder="1"/>
    <xf numFmtId="182" fontId="0" fillId="16" borderId="26" xfId="0" applyNumberFormat="1" applyFill="1" applyBorder="1" applyAlignment="1">
      <alignment horizontal="center"/>
    </xf>
    <xf numFmtId="182" fontId="0" fillId="17" borderId="26" xfId="0" applyNumberFormat="1" applyFill="1" applyBorder="1" applyAlignment="1">
      <alignment horizontal="center"/>
    </xf>
    <xf numFmtId="182" fontId="0" fillId="18" borderId="26" xfId="0" applyNumberFormat="1" applyFill="1" applyBorder="1" applyAlignment="1">
      <alignment horizontal="center"/>
    </xf>
    <xf numFmtId="182" fontId="0" fillId="19" borderId="26" xfId="0" applyNumberFormat="1" applyFill="1" applyBorder="1" applyAlignment="1">
      <alignment horizontal="center"/>
    </xf>
    <xf numFmtId="182" fontId="0" fillId="7" borderId="26" xfId="0" applyNumberFormat="1" applyFill="1" applyBorder="1" applyAlignment="1">
      <alignment horizontal="center"/>
    </xf>
    <xf numFmtId="182" fontId="0" fillId="20" borderId="26" xfId="0" applyNumberFormat="1" applyFill="1" applyBorder="1" applyAlignment="1">
      <alignment horizontal="center"/>
    </xf>
    <xf numFmtId="17" fontId="0" fillId="17" borderId="26" xfId="0" quotePrefix="1" applyNumberFormat="1" applyFill="1" applyBorder="1" applyAlignment="1">
      <alignment horizontal="center"/>
    </xf>
    <xf numFmtId="179" fontId="0" fillId="18" borderId="26" xfId="0" quotePrefix="1" applyNumberFormat="1" applyFill="1" applyBorder="1" applyAlignment="1">
      <alignment horizontal="center"/>
    </xf>
    <xf numFmtId="179" fontId="0" fillId="19" borderId="26" xfId="0" quotePrefix="1" applyNumberFormat="1" applyFill="1" applyBorder="1" applyAlignment="1">
      <alignment horizontal="center"/>
    </xf>
    <xf numFmtId="179" fontId="0" fillId="7" borderId="26" xfId="0" quotePrefix="1" applyNumberFormat="1" applyFill="1" applyBorder="1" applyAlignment="1">
      <alignment horizontal="center"/>
    </xf>
    <xf numFmtId="165" fontId="10" fillId="6" borderId="159" xfId="0" quotePrefix="1" applyNumberFormat="1" applyFont="1" applyFill="1" applyBorder="1"/>
    <xf numFmtId="165" fontId="10" fillId="6" borderId="159" xfId="0" applyNumberFormat="1" applyFont="1" applyFill="1" applyBorder="1"/>
    <xf numFmtId="165" fontId="10" fillId="6" borderId="138" xfId="0" applyNumberFormat="1" applyFont="1" applyFill="1" applyBorder="1"/>
    <xf numFmtId="165" fontId="10" fillId="6" borderId="158" xfId="0" applyNumberFormat="1" applyFont="1" applyFill="1" applyBorder="1"/>
    <xf numFmtId="0" fontId="0" fillId="0" borderId="160" xfId="0" applyBorder="1"/>
    <xf numFmtId="0" fontId="0" fillId="0" borderId="161" xfId="0" applyBorder="1"/>
    <xf numFmtId="169" fontId="0" fillId="0" borderId="157" xfId="3" applyNumberFormat="1" applyFont="1" applyBorder="1"/>
    <xf numFmtId="43" fontId="0" fillId="0" borderId="72" xfId="1" applyFont="1" applyBorder="1"/>
    <xf numFmtId="43" fontId="0" fillId="0" borderId="73" xfId="1" applyFont="1" applyBorder="1"/>
    <xf numFmtId="2" fontId="0" fillId="0" borderId="0" xfId="0" applyNumberFormat="1"/>
    <xf numFmtId="165" fontId="10" fillId="0" borderId="160" xfId="0" applyNumberFormat="1" applyFont="1" applyBorder="1"/>
    <xf numFmtId="0" fontId="0" fillId="0" borderId="43" xfId="0" applyBorder="1" applyAlignment="1">
      <alignment horizontal="left"/>
    </xf>
    <xf numFmtId="0" fontId="0" fillId="0" borderId="154" xfId="0" applyBorder="1" applyAlignment="1">
      <alignment horizontal="center"/>
    </xf>
    <xf numFmtId="165" fontId="0" fillId="4" borderId="45" xfId="0" applyNumberFormat="1" applyFill="1" applyBorder="1"/>
    <xf numFmtId="165" fontId="0" fillId="4" borderId="93" xfId="0" applyNumberFormat="1" applyFill="1" applyBorder="1"/>
    <xf numFmtId="165" fontId="0" fillId="22" borderId="93" xfId="0" applyNumberFormat="1" applyFill="1" applyBorder="1"/>
    <xf numFmtId="165" fontId="0" fillId="4" borderId="25" xfId="0" applyNumberFormat="1" applyFill="1" applyBorder="1"/>
    <xf numFmtId="165" fontId="0" fillId="4" borderId="141" xfId="0" applyNumberFormat="1" applyFill="1" applyBorder="1"/>
    <xf numFmtId="165" fontId="0" fillId="4" borderId="138" xfId="0" applyNumberFormat="1" applyFill="1" applyBorder="1"/>
    <xf numFmtId="165" fontId="0" fillId="22" borderId="138" xfId="0" applyNumberFormat="1" applyFill="1" applyBorder="1"/>
    <xf numFmtId="165" fontId="0" fillId="4" borderId="142" xfId="0" applyNumberFormat="1" applyFill="1" applyBorder="1"/>
    <xf numFmtId="165" fontId="0" fillId="4" borderId="139" xfId="0" applyNumberFormat="1" applyFill="1" applyBorder="1"/>
    <xf numFmtId="165" fontId="0" fillId="22" borderId="139" xfId="0" applyNumberFormat="1" applyFill="1" applyBorder="1"/>
    <xf numFmtId="165" fontId="0" fillId="4" borderId="140" xfId="0" applyNumberFormat="1" applyFill="1" applyBorder="1"/>
    <xf numFmtId="165" fontId="0" fillId="22" borderId="140" xfId="0" applyNumberFormat="1" applyFill="1" applyBorder="1"/>
    <xf numFmtId="165" fontId="0" fillId="0" borderId="155" xfId="0" applyNumberFormat="1" applyBorder="1"/>
    <xf numFmtId="165" fontId="0" fillId="0" borderId="152" xfId="0" applyNumberFormat="1" applyBorder="1"/>
    <xf numFmtId="165" fontId="0" fillId="0" borderId="41" xfId="0" applyNumberFormat="1" applyBorder="1"/>
    <xf numFmtId="165" fontId="0" fillId="0" borderId="153" xfId="0" applyNumberFormat="1" applyBorder="1"/>
    <xf numFmtId="165" fontId="0" fillId="0" borderId="162" xfId="0" applyNumberFormat="1" applyBorder="1"/>
    <xf numFmtId="165" fontId="0" fillId="0" borderId="2" xfId="0" applyNumberFormat="1" applyBorder="1"/>
    <xf numFmtId="0" fontId="0" fillId="0" borderId="163" xfId="0" applyBorder="1"/>
    <xf numFmtId="166" fontId="23" fillId="13" borderId="26" xfId="0" applyNumberFormat="1" applyFont="1" applyFill="1" applyBorder="1" applyAlignment="1">
      <alignment horizontal="center"/>
    </xf>
    <xf numFmtId="0" fontId="0" fillId="0" borderId="135" xfId="0" applyBorder="1" applyAlignment="1">
      <alignment horizontal="center"/>
    </xf>
    <xf numFmtId="180" fontId="0" fillId="0" borderId="0" xfId="0" applyNumberFormat="1" applyAlignment="1">
      <alignment horizontal="center"/>
    </xf>
    <xf numFmtId="166" fontId="0" fillId="0" borderId="139" xfId="0" applyNumberFormat="1" applyBorder="1"/>
    <xf numFmtId="166" fontId="0" fillId="0" borderId="142" xfId="0" applyNumberFormat="1" applyBorder="1"/>
    <xf numFmtId="166" fontId="0" fillId="0" borderId="25" xfId="0" applyNumberFormat="1" applyBorder="1"/>
    <xf numFmtId="165" fontId="10" fillId="5" borderId="140" xfId="0" quotePrefix="1" applyNumberFormat="1" applyFont="1" applyFill="1" applyBorder="1"/>
    <xf numFmtId="165" fontId="10" fillId="5" borderId="140" xfId="0" applyNumberFormat="1" applyFont="1" applyFill="1" applyBorder="1"/>
    <xf numFmtId="165" fontId="10" fillId="5" borderId="55" xfId="0" applyNumberFormat="1" applyFont="1" applyFill="1" applyBorder="1"/>
    <xf numFmtId="165" fontId="10" fillId="5" borderId="138" xfId="0" applyNumberFormat="1" applyFont="1" applyFill="1" applyBorder="1"/>
    <xf numFmtId="0" fontId="0" fillId="23" borderId="0" xfId="0" applyFill="1"/>
    <xf numFmtId="0" fontId="0" fillId="0" borderId="26" xfId="0" quotePrefix="1" applyBorder="1" applyAlignment="1">
      <alignment horizontal="left"/>
    </xf>
    <xf numFmtId="168" fontId="0" fillId="0" borderId="152" xfId="0" applyNumberFormat="1" applyBorder="1"/>
    <xf numFmtId="3" fontId="0" fillId="13" borderId="26" xfId="0" quotePrefix="1" applyNumberFormat="1" applyFill="1" applyBorder="1"/>
    <xf numFmtId="9" fontId="0" fillId="0" borderId="26" xfId="3" applyFont="1" applyBorder="1"/>
    <xf numFmtId="9" fontId="0" fillId="0" borderId="26" xfId="0" quotePrefix="1" applyNumberFormat="1" applyBorder="1" applyAlignment="1">
      <alignment horizontal="left"/>
    </xf>
    <xf numFmtId="9" fontId="0" fillId="0" borderId="26" xfId="0" applyNumberFormat="1" applyBorder="1" applyAlignment="1">
      <alignment horizontal="left"/>
    </xf>
    <xf numFmtId="0" fontId="2" fillId="3" borderId="3" xfId="0" applyFont="1" applyFill="1" applyBorder="1" applyAlignment="1">
      <alignment horizontal="center"/>
    </xf>
    <xf numFmtId="165" fontId="0" fillId="0" borderId="164" xfId="0" applyNumberFormat="1" applyBorder="1"/>
    <xf numFmtId="165" fontId="0" fillId="0" borderId="165" xfId="0" applyNumberFormat="1" applyBorder="1"/>
    <xf numFmtId="165" fontId="0" fillId="0" borderId="166" xfId="0" applyNumberFormat="1" applyBorder="1"/>
    <xf numFmtId="0" fontId="0" fillId="0" borderId="167" xfId="0" applyBorder="1"/>
    <xf numFmtId="165" fontId="0" fillId="4" borderId="167" xfId="0" applyNumberFormat="1" applyFill="1" applyBorder="1"/>
    <xf numFmtId="0" fontId="0" fillId="0" borderId="164" xfId="0" applyBorder="1" applyAlignment="1">
      <alignment horizontal="center"/>
    </xf>
    <xf numFmtId="0" fontId="52" fillId="13" borderId="21" xfId="0" applyFont="1" applyFill="1" applyBorder="1" applyAlignment="1">
      <alignment horizontal="center" vertical="center"/>
    </xf>
    <xf numFmtId="183" fontId="0" fillId="0" borderId="0" xfId="0" applyNumberFormat="1"/>
    <xf numFmtId="4" fontId="0" fillId="0" borderId="0" xfId="1" applyNumberFormat="1" applyFont="1" applyFill="1" applyAlignment="1">
      <alignment horizontal="right"/>
    </xf>
    <xf numFmtId="0" fontId="0" fillId="0" borderId="25" xfId="0" applyBorder="1" applyAlignment="1">
      <alignment horizontal="left"/>
    </xf>
    <xf numFmtId="0" fontId="0" fillId="0" borderId="170" xfId="0" applyBorder="1" applyAlignment="1">
      <alignment horizontal="left"/>
    </xf>
    <xf numFmtId="164" fontId="0" fillId="0" borderId="26" xfId="5" applyFont="1" applyBorder="1" applyAlignment="1">
      <alignment horizontal="left"/>
    </xf>
    <xf numFmtId="10" fontId="0" fillId="0" borderId="26" xfId="0" applyNumberFormat="1" applyBorder="1"/>
    <xf numFmtId="43" fontId="0" fillId="0" borderId="26" xfId="1" quotePrefix="1" applyFont="1" applyBorder="1" applyAlignment="1">
      <alignment horizontal="left"/>
    </xf>
    <xf numFmtId="43" fontId="0" fillId="0" borderId="26" xfId="1" applyFont="1" applyBorder="1" applyAlignment="1">
      <alignment horizontal="left"/>
    </xf>
    <xf numFmtId="168" fontId="0" fillId="0" borderId="26" xfId="0" applyNumberFormat="1" applyBorder="1" applyAlignment="1">
      <alignment horizontal="left"/>
    </xf>
    <xf numFmtId="0" fontId="26" fillId="3" borderId="26" xfId="0" applyFont="1" applyFill="1" applyBorder="1" applyAlignment="1">
      <alignment horizontal="center"/>
    </xf>
    <xf numFmtId="0" fontId="0" fillId="0" borderId="171" xfId="0" applyBorder="1"/>
    <xf numFmtId="0" fontId="0" fillId="0" borderId="172" xfId="0" applyBorder="1"/>
    <xf numFmtId="165" fontId="0" fillId="0" borderId="175" xfId="0" applyNumberFormat="1" applyBorder="1"/>
    <xf numFmtId="165" fontId="0" fillId="0" borderId="176" xfId="0" applyNumberFormat="1" applyBorder="1"/>
    <xf numFmtId="0" fontId="0" fillId="0" borderId="177" xfId="0" applyBorder="1"/>
    <xf numFmtId="0" fontId="0" fillId="0" borderId="179" xfId="0" applyBorder="1"/>
    <xf numFmtId="0" fontId="0" fillId="0" borderId="171" xfId="0" applyBorder="1" applyAlignment="1">
      <alignment horizontal="center"/>
    </xf>
    <xf numFmtId="0" fontId="0" fillId="0" borderId="172" xfId="0" applyBorder="1" applyAlignment="1">
      <alignment horizontal="center"/>
    </xf>
    <xf numFmtId="181" fontId="0" fillId="0" borderId="171" xfId="0" applyNumberFormat="1" applyBorder="1" applyAlignment="1">
      <alignment horizontal="center"/>
    </xf>
    <xf numFmtId="165" fontId="0" fillId="0" borderId="178" xfId="0" applyNumberFormat="1" applyBorder="1"/>
    <xf numFmtId="165" fontId="0" fillId="0" borderId="173" xfId="0" applyNumberFormat="1" applyBorder="1"/>
    <xf numFmtId="165" fontId="0" fillId="0" borderId="174" xfId="0" applyNumberFormat="1" applyBorder="1"/>
    <xf numFmtId="165" fontId="0" fillId="0" borderId="180" xfId="0" applyNumberFormat="1" applyBorder="1"/>
    <xf numFmtId="0" fontId="0" fillId="0" borderId="4" xfId="0" applyBorder="1"/>
    <xf numFmtId="166" fontId="0" fillId="0" borderId="4" xfId="0" applyNumberFormat="1" applyBorder="1"/>
    <xf numFmtId="166" fontId="0" fillId="0" borderId="23" xfId="0" applyNumberFormat="1" applyBorder="1"/>
    <xf numFmtId="0" fontId="0" fillId="0" borderId="181" xfId="0" applyBorder="1" applyAlignment="1">
      <alignment horizontal="center"/>
    </xf>
    <xf numFmtId="165" fontId="0" fillId="0" borderId="182" xfId="0" applyNumberFormat="1" applyBorder="1"/>
    <xf numFmtId="0" fontId="0" fillId="13" borderId="0" xfId="0" applyFill="1" applyAlignment="1">
      <alignment horizontal="left" indent="2"/>
    </xf>
    <xf numFmtId="184" fontId="0" fillId="0" borderId="172" xfId="0" applyNumberFormat="1" applyBorder="1" applyAlignment="1">
      <alignment horizontal="center"/>
    </xf>
    <xf numFmtId="184" fontId="0" fillId="0" borderId="171" xfId="0" applyNumberFormat="1" applyBorder="1" applyAlignment="1">
      <alignment horizontal="center"/>
    </xf>
    <xf numFmtId="184" fontId="0" fillId="0" borderId="0" xfId="0" applyNumberFormat="1"/>
    <xf numFmtId="184" fontId="0" fillId="0" borderId="43" xfId="0" applyNumberFormat="1" applyBorder="1" applyAlignment="1">
      <alignment horizontal="center"/>
    </xf>
    <xf numFmtId="184" fontId="0" fillId="0" borderId="26" xfId="0" applyNumberFormat="1" applyBorder="1" applyAlignment="1">
      <alignment horizontal="center"/>
    </xf>
    <xf numFmtId="0" fontId="0" fillId="0" borderId="0" xfId="0" applyBorder="1"/>
    <xf numFmtId="165" fontId="0" fillId="4" borderId="0" xfId="0" applyNumberFormat="1" applyFill="1" applyBorder="1"/>
    <xf numFmtId="165" fontId="0" fillId="22" borderId="0" xfId="0" applyNumberFormat="1" applyFill="1" applyBorder="1"/>
    <xf numFmtId="184" fontId="0" fillId="0" borderId="93" xfId="0" applyNumberFormat="1" applyBorder="1"/>
    <xf numFmtId="184" fontId="0" fillId="0" borderId="0" xfId="0" applyNumberFormat="1" applyBorder="1"/>
    <xf numFmtId="184" fontId="0" fillId="0" borderId="138" xfId="0" applyNumberFormat="1" applyBorder="1"/>
    <xf numFmtId="184" fontId="0" fillId="0" borderId="139" xfId="0" applyNumberFormat="1" applyBorder="1"/>
    <xf numFmtId="184" fontId="0" fillId="0" borderId="140" xfId="0" applyNumberFormat="1" applyBorder="1"/>
    <xf numFmtId="166" fontId="0" fillId="0" borderId="183" xfId="0" applyNumberFormat="1" applyBorder="1"/>
    <xf numFmtId="169" fontId="0" fillId="0" borderId="183" xfId="0" applyNumberFormat="1" applyBorder="1"/>
    <xf numFmtId="0" fontId="0" fillId="0" borderId="184" xfId="0" applyBorder="1"/>
    <xf numFmtId="165" fontId="0" fillId="4" borderId="184" xfId="0" applyNumberFormat="1" applyFill="1" applyBorder="1"/>
    <xf numFmtId="165" fontId="0" fillId="22" borderId="184" xfId="0" applyNumberFormat="1" applyFill="1" applyBorder="1"/>
    <xf numFmtId="184" fontId="0" fillId="0" borderId="184" xfId="0" applyNumberFormat="1" applyBorder="1"/>
    <xf numFmtId="0" fontId="0" fillId="0" borderId="185" xfId="0" applyBorder="1"/>
    <xf numFmtId="0" fontId="0" fillId="0" borderId="186" xfId="0" applyBorder="1"/>
    <xf numFmtId="0" fontId="0" fillId="0" borderId="188" xfId="0" applyBorder="1"/>
    <xf numFmtId="165" fontId="0" fillId="0" borderId="187" xfId="0" applyNumberFormat="1" applyBorder="1"/>
    <xf numFmtId="0" fontId="0" fillId="0" borderId="189" xfId="0" applyBorder="1"/>
    <xf numFmtId="0" fontId="0" fillId="0" borderId="190" xfId="0" applyBorder="1"/>
    <xf numFmtId="0" fontId="0" fillId="0" borderId="191" xfId="0" applyBorder="1"/>
    <xf numFmtId="0" fontId="0" fillId="0" borderId="192" xfId="0" applyBorder="1"/>
    <xf numFmtId="0" fontId="0" fillId="0" borderId="193" xfId="0" applyBorder="1"/>
    <xf numFmtId="165" fontId="0" fillId="22" borderId="194" xfId="0" applyNumberFormat="1" applyFill="1" applyBorder="1"/>
    <xf numFmtId="165" fontId="0" fillId="22" borderId="185" xfId="0" applyNumberFormat="1" applyFill="1" applyBorder="1"/>
    <xf numFmtId="165" fontId="0" fillId="22" borderId="195" xfId="0" applyNumberFormat="1" applyFill="1" applyBorder="1"/>
    <xf numFmtId="165" fontId="0" fillId="22" borderId="196" xfId="0" applyNumberFormat="1" applyFill="1" applyBorder="1"/>
    <xf numFmtId="165" fontId="0" fillId="22" borderId="197" xfId="0" applyNumberFormat="1" applyFill="1" applyBorder="1"/>
    <xf numFmtId="165" fontId="0" fillId="22" borderId="198" xfId="0" applyNumberFormat="1" applyFill="1" applyBorder="1"/>
    <xf numFmtId="0" fontId="0" fillId="0" borderId="199" xfId="0" applyBorder="1"/>
    <xf numFmtId="0" fontId="0" fillId="0" borderId="183" xfId="0" applyBorder="1"/>
    <xf numFmtId="165" fontId="0" fillId="4" borderId="23" xfId="0" applyNumberFormat="1" applyFill="1" applyBorder="1"/>
    <xf numFmtId="165" fontId="0" fillId="4" borderId="4" xfId="0" applyNumberFormat="1" applyFill="1" applyBorder="1"/>
    <xf numFmtId="165" fontId="0" fillId="4" borderId="183" xfId="0" applyNumberFormat="1" applyFill="1" applyBorder="1"/>
    <xf numFmtId="165" fontId="0" fillId="22" borderId="4" xfId="0" applyNumberFormat="1" applyFill="1" applyBorder="1"/>
    <xf numFmtId="165" fontId="0" fillId="22" borderId="183" xfId="0" applyNumberFormat="1" applyFill="1" applyBorder="1"/>
    <xf numFmtId="184" fontId="0" fillId="0" borderId="4" xfId="0" applyNumberFormat="1" applyBorder="1"/>
    <xf numFmtId="0" fontId="0" fillId="0" borderId="200" xfId="0" applyBorder="1"/>
    <xf numFmtId="0" fontId="0" fillId="0" borderId="201" xfId="0" applyBorder="1"/>
    <xf numFmtId="0" fontId="0" fillId="0" borderId="203" xfId="0" applyBorder="1"/>
    <xf numFmtId="0" fontId="0" fillId="23" borderId="203" xfId="0" applyFill="1" applyBorder="1"/>
    <xf numFmtId="0" fontId="0" fillId="0" borderId="185" xfId="0" applyBorder="1" applyAlignment="1">
      <alignment horizontal="center"/>
    </xf>
    <xf numFmtId="0" fontId="0" fillId="0" borderId="186" xfId="0" applyBorder="1" applyAlignment="1">
      <alignment horizontal="center"/>
    </xf>
    <xf numFmtId="184" fontId="0" fillId="0" borderId="186" xfId="0" applyNumberFormat="1" applyBorder="1" applyAlignment="1">
      <alignment horizontal="center"/>
    </xf>
    <xf numFmtId="184" fontId="0" fillId="0" borderId="185" xfId="0" applyNumberFormat="1" applyBorder="1" applyAlignment="1">
      <alignment horizontal="center"/>
    </xf>
    <xf numFmtId="181" fontId="0" fillId="0" borderId="185" xfId="0" applyNumberFormat="1" applyBorder="1" applyAlignment="1">
      <alignment horizontal="center"/>
    </xf>
    <xf numFmtId="165" fontId="0" fillId="0" borderId="202" xfId="0" applyNumberFormat="1" applyBorder="1"/>
    <xf numFmtId="165" fontId="0" fillId="0" borderId="188" xfId="0" applyNumberFormat="1" applyBorder="1"/>
    <xf numFmtId="0" fontId="0" fillId="0" borderId="194" xfId="0" applyBorder="1"/>
    <xf numFmtId="0" fontId="0" fillId="0" borderId="195" xfId="0" applyBorder="1"/>
    <xf numFmtId="0" fontId="0" fillId="0" borderId="196" xfId="0" applyBorder="1"/>
    <xf numFmtId="0" fontId="0" fillId="0" borderId="197" xfId="0" applyBorder="1"/>
    <xf numFmtId="0" fontId="0" fillId="0" borderId="204" xfId="0" applyBorder="1"/>
    <xf numFmtId="0" fontId="0" fillId="0" borderId="205" xfId="0" applyBorder="1"/>
    <xf numFmtId="0" fontId="0" fillId="0" borderId="206" xfId="0" applyBorder="1"/>
    <xf numFmtId="0" fontId="0" fillId="0" borderId="207" xfId="0" applyBorder="1"/>
    <xf numFmtId="0" fontId="0" fillId="0" borderId="208" xfId="0" applyBorder="1"/>
    <xf numFmtId="0" fontId="0" fillId="0" borderId="198" xfId="0" applyBorder="1"/>
    <xf numFmtId="165" fontId="0" fillId="4" borderId="189" xfId="0" applyNumberFormat="1" applyFill="1" applyBorder="1"/>
    <xf numFmtId="165" fontId="0" fillId="4" borderId="194" xfId="0" applyNumberFormat="1" applyFill="1" applyBorder="1"/>
    <xf numFmtId="165" fontId="0" fillId="22" borderId="189" xfId="0" applyNumberFormat="1" applyFill="1" applyBorder="1"/>
    <xf numFmtId="165" fontId="0" fillId="22" borderId="209" xfId="0" applyNumberFormat="1" applyFill="1" applyBorder="1"/>
    <xf numFmtId="165" fontId="0" fillId="4" borderId="186" xfId="0" applyNumberFormat="1" applyFill="1" applyBorder="1"/>
    <xf numFmtId="165" fontId="0" fillId="4" borderId="185" xfId="0" applyNumberFormat="1" applyFill="1" applyBorder="1"/>
    <xf numFmtId="165" fontId="0" fillId="22" borderId="186" xfId="0" applyNumberFormat="1" applyFill="1" applyBorder="1"/>
    <xf numFmtId="165" fontId="0" fillId="22" borderId="200" xfId="0" applyNumberFormat="1" applyFill="1" applyBorder="1"/>
    <xf numFmtId="165" fontId="0" fillId="4" borderId="190" xfId="0" applyNumberFormat="1" applyFill="1" applyBorder="1"/>
    <xf numFmtId="165" fontId="0" fillId="4" borderId="195" xfId="0" applyNumberFormat="1" applyFill="1" applyBorder="1"/>
    <xf numFmtId="165" fontId="0" fillId="22" borderId="190" xfId="0" applyNumberFormat="1" applyFill="1" applyBorder="1"/>
    <xf numFmtId="165" fontId="0" fillId="22" borderId="210" xfId="0" applyNumberFormat="1" applyFill="1" applyBorder="1"/>
    <xf numFmtId="165" fontId="0" fillId="4" borderId="191" xfId="0" applyNumberFormat="1" applyFill="1" applyBorder="1"/>
    <xf numFmtId="165" fontId="0" fillId="4" borderId="196" xfId="0" applyNumberFormat="1" applyFill="1" applyBorder="1"/>
    <xf numFmtId="165" fontId="0" fillId="22" borderId="191" xfId="0" applyNumberFormat="1" applyFill="1" applyBorder="1"/>
    <xf numFmtId="165" fontId="0" fillId="22" borderId="211" xfId="0" applyNumberFormat="1" applyFill="1" applyBorder="1"/>
    <xf numFmtId="165" fontId="0" fillId="4" borderId="192" xfId="0" applyNumberFormat="1" applyFill="1" applyBorder="1"/>
    <xf numFmtId="165" fontId="0" fillId="4" borderId="197" xfId="0" applyNumberFormat="1" applyFill="1" applyBorder="1"/>
    <xf numFmtId="165" fontId="0" fillId="22" borderId="192" xfId="0" applyNumberFormat="1" applyFill="1" applyBorder="1"/>
    <xf numFmtId="165" fontId="0" fillId="22" borderId="212" xfId="0" applyNumberFormat="1" applyFill="1" applyBorder="1"/>
    <xf numFmtId="165" fontId="0" fillId="4" borderId="193" xfId="0" applyNumberFormat="1" applyFill="1" applyBorder="1"/>
    <xf numFmtId="165" fontId="0" fillId="4" borderId="198" xfId="0" applyNumberFormat="1" applyFill="1" applyBorder="1"/>
    <xf numFmtId="165" fontId="0" fillId="22" borderId="193" xfId="0" applyNumberFormat="1" applyFill="1" applyBorder="1"/>
    <xf numFmtId="165" fontId="0" fillId="22" borderId="213" xfId="0" applyNumberFormat="1" applyFill="1" applyBorder="1"/>
    <xf numFmtId="165" fontId="0" fillId="4" borderId="199" xfId="0" applyNumberFormat="1" applyFill="1" applyBorder="1"/>
    <xf numFmtId="165" fontId="0" fillId="22" borderId="199" xfId="0" applyNumberFormat="1" applyFill="1" applyBorder="1"/>
    <xf numFmtId="185" fontId="0" fillId="0" borderId="186" xfId="0" applyNumberFormat="1" applyBorder="1"/>
    <xf numFmtId="166" fontId="0" fillId="0" borderId="185" xfId="0" applyNumberFormat="1" applyBorder="1"/>
    <xf numFmtId="166" fontId="0" fillId="0" borderId="186" xfId="0" applyNumberFormat="1" applyBorder="1"/>
    <xf numFmtId="169" fontId="0" fillId="0" borderId="185" xfId="0" applyNumberFormat="1" applyBorder="1"/>
    <xf numFmtId="169" fontId="0" fillId="0" borderId="186" xfId="0" applyNumberFormat="1" applyBorder="1"/>
    <xf numFmtId="185" fontId="0" fillId="0" borderId="190" xfId="0" applyNumberFormat="1" applyBorder="1"/>
    <xf numFmtId="166" fontId="0" fillId="0" borderId="195" xfId="0" applyNumberFormat="1" applyBorder="1"/>
    <xf numFmtId="166" fontId="0" fillId="0" borderId="190" xfId="0" applyNumberFormat="1" applyBorder="1"/>
    <xf numFmtId="169" fontId="0" fillId="0" borderId="195" xfId="0" applyNumberFormat="1" applyBorder="1"/>
    <xf numFmtId="169" fontId="0" fillId="0" borderId="190" xfId="0" applyNumberFormat="1" applyBorder="1"/>
    <xf numFmtId="185" fontId="0" fillId="0" borderId="191" xfId="0" applyNumberFormat="1" applyBorder="1"/>
    <xf numFmtId="166" fontId="0" fillId="0" borderId="196" xfId="0" applyNumberFormat="1" applyBorder="1"/>
    <xf numFmtId="166" fontId="0" fillId="0" borderId="191" xfId="0" applyNumberFormat="1" applyBorder="1"/>
    <xf numFmtId="169" fontId="0" fillId="0" borderId="196" xfId="0" applyNumberFormat="1" applyBorder="1"/>
    <xf numFmtId="169" fontId="0" fillId="0" borderId="191" xfId="0" applyNumberFormat="1" applyBorder="1"/>
    <xf numFmtId="185" fontId="0" fillId="0" borderId="199" xfId="0" applyNumberFormat="1" applyBorder="1"/>
    <xf numFmtId="166" fontId="0" fillId="0" borderId="199" xfId="0" applyNumberFormat="1" applyBorder="1"/>
    <xf numFmtId="169" fontId="0" fillId="0" borderId="199" xfId="0" applyNumberFormat="1" applyBorder="1"/>
    <xf numFmtId="0" fontId="47" fillId="20" borderId="59" xfId="0" applyFont="1" applyFill="1" applyBorder="1" applyAlignment="1">
      <alignment horizontal="center"/>
    </xf>
    <xf numFmtId="0" fontId="26" fillId="3" borderId="26" xfId="0" applyFont="1" applyFill="1" applyBorder="1" applyAlignment="1">
      <alignment horizontal="center"/>
    </xf>
    <xf numFmtId="0" fontId="2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9" fontId="2" fillId="3" borderId="1" xfId="0" applyNumberFormat="1" applyFont="1" applyFill="1" applyBorder="1" applyAlignment="1">
      <alignment horizontal="center"/>
    </xf>
    <xf numFmtId="9" fontId="2" fillId="3" borderId="3" xfId="0" applyNumberFormat="1" applyFont="1" applyFill="1" applyBorder="1" applyAlignment="1">
      <alignment horizontal="center"/>
    </xf>
    <xf numFmtId="0" fontId="2" fillId="3" borderId="168" xfId="0" applyFont="1" applyFill="1" applyBorder="1" applyAlignment="1">
      <alignment horizontal="center"/>
    </xf>
    <xf numFmtId="0" fontId="2" fillId="3" borderId="93" xfId="0" applyFont="1" applyFill="1" applyBorder="1" applyAlignment="1">
      <alignment horizontal="center"/>
    </xf>
    <xf numFmtId="0" fontId="2" fillId="3" borderId="169" xfId="0" applyFont="1" applyFill="1" applyBorder="1" applyAlignment="1">
      <alignment horizontal="center"/>
    </xf>
    <xf numFmtId="0" fontId="2" fillId="3" borderId="165" xfId="0" applyFont="1" applyFill="1" applyBorder="1" applyAlignment="1">
      <alignment horizontal="center"/>
    </xf>
    <xf numFmtId="0" fontId="2" fillId="3" borderId="164" xfId="0" applyFont="1" applyFill="1" applyBorder="1" applyAlignment="1">
      <alignment horizontal="center"/>
    </xf>
    <xf numFmtId="0" fontId="2" fillId="3" borderId="0" xfId="0" applyFont="1" applyFill="1" applyAlignment="1">
      <alignment horizontal="center"/>
    </xf>
    <xf numFmtId="0" fontId="22" fillId="0" borderId="124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22" fillId="0" borderId="126" xfId="0" applyFont="1" applyBorder="1" applyAlignment="1">
      <alignment horizontal="center"/>
    </xf>
    <xf numFmtId="0" fontId="7" fillId="5" borderId="22" xfId="0" applyFont="1" applyFill="1" applyBorder="1" applyAlignment="1">
      <alignment horizontal="center"/>
    </xf>
    <xf numFmtId="0" fontId="7" fillId="5" borderId="11" xfId="0" applyFont="1" applyFill="1" applyBorder="1" applyAlignment="1">
      <alignment horizontal="center"/>
    </xf>
    <xf numFmtId="0" fontId="7" fillId="5" borderId="83" xfId="0" applyFont="1" applyFill="1" applyBorder="1" applyAlignment="1">
      <alignment horizontal="center"/>
    </xf>
    <xf numFmtId="0" fontId="22" fillId="0" borderId="134" xfId="0" applyFont="1" applyBorder="1" applyAlignment="1">
      <alignment horizontal="center"/>
    </xf>
    <xf numFmtId="0" fontId="22" fillId="0" borderId="135" xfId="0" applyFont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33" xfId="0" applyFont="1" applyBorder="1" applyAlignment="1">
      <alignment horizontal="center"/>
    </xf>
    <xf numFmtId="0" fontId="2" fillId="3" borderId="77" xfId="0" applyFont="1" applyFill="1" applyBorder="1" applyAlignment="1">
      <alignment horizontal="center"/>
    </xf>
    <xf numFmtId="0" fontId="2" fillId="3" borderId="81" xfId="0" applyFont="1" applyFill="1" applyBorder="1" applyAlignment="1">
      <alignment horizontal="center"/>
    </xf>
    <xf numFmtId="0" fontId="2" fillId="3" borderId="134" xfId="0" applyFont="1" applyFill="1" applyBorder="1" applyAlignment="1">
      <alignment horizontal="left"/>
    </xf>
    <xf numFmtId="0" fontId="22" fillId="0" borderId="144" xfId="0" applyFont="1" applyBorder="1" applyAlignment="1">
      <alignment horizontal="center"/>
    </xf>
    <xf numFmtId="0" fontId="22" fillId="0" borderId="147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143" xfId="0" applyFont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0" fontId="2" fillId="21" borderId="20" xfId="0" applyFont="1" applyFill="1" applyBorder="1" applyAlignment="1">
      <alignment horizontal="center"/>
    </xf>
    <xf numFmtId="0" fontId="2" fillId="21" borderId="72" xfId="0" applyFont="1" applyFill="1" applyBorder="1" applyAlignment="1">
      <alignment horizontal="center"/>
    </xf>
    <xf numFmtId="0" fontId="2" fillId="21" borderId="73" xfId="0" applyFont="1" applyFill="1" applyBorder="1" applyAlignment="1">
      <alignment horizontal="center"/>
    </xf>
    <xf numFmtId="0" fontId="22" fillId="0" borderId="67" xfId="0" applyFont="1" applyBorder="1" applyAlignment="1">
      <alignment horizontal="center" vertical="center"/>
    </xf>
    <xf numFmtId="0" fontId="2" fillId="21" borderId="103" xfId="0" applyFont="1" applyFill="1" applyBorder="1" applyAlignment="1">
      <alignment horizontal="center"/>
    </xf>
    <xf numFmtId="0" fontId="2" fillId="21" borderId="93" xfId="0" applyFont="1" applyFill="1" applyBorder="1" applyAlignment="1">
      <alignment horizontal="center"/>
    </xf>
    <xf numFmtId="0" fontId="2" fillId="21" borderId="105" xfId="0" applyFont="1" applyFill="1" applyBorder="1" applyAlignment="1">
      <alignment horizontal="center"/>
    </xf>
    <xf numFmtId="0" fontId="26" fillId="3" borderId="0" xfId="0" applyFont="1" applyFill="1" applyAlignment="1">
      <alignment horizontal="center" vertical="center" wrapText="1"/>
    </xf>
  </cellXfs>
  <cellStyles count="6">
    <cellStyle name="Comma" xfId="1" builtinId="3"/>
    <cellStyle name="Comma 4 3 2" xfId="2" xr:uid="{00000000-0005-0000-0000-000001000000}"/>
    <cellStyle name="Currency" xfId="5" builtinId="4"/>
    <cellStyle name="Hyperlink" xfId="4" builtinId="8"/>
    <cellStyle name="Normal" xfId="0" builtinId="0"/>
    <cellStyle name="Percent" xfId="3" builtinId="5"/>
  </cellStyles>
  <dxfs count="366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24994659260841701"/>
        </patternFill>
      </fill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FF0000"/>
      </font>
    </dxf>
    <dxf>
      <font>
        <color rgb="FF00B050"/>
      </font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color rgb="FFC00000"/>
      </font>
      <border>
        <vertical/>
        <horizontal/>
      </border>
    </dxf>
    <dxf>
      <font>
        <b/>
        <i val="0"/>
        <color rgb="FFC00000"/>
      </font>
    </dxf>
    <dxf>
      <font>
        <color rgb="FF00B050"/>
      </font>
    </dxf>
    <dxf>
      <font>
        <b/>
        <i val="0"/>
        <color rgb="FFC00000"/>
      </font>
    </dxf>
    <dxf>
      <font>
        <b/>
        <i val="0"/>
        <color rgb="FFC00000"/>
      </font>
    </dxf>
    <dxf>
      <font>
        <color rgb="FF00B05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b/>
        <i val="0"/>
        <color rgb="FF00B050"/>
      </font>
    </dxf>
    <dxf>
      <font>
        <b/>
        <i val="0"/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7030A0"/>
      <color rgb="FF7443A4"/>
      <color rgb="FF8264A0"/>
      <color rgb="FFE0670C"/>
      <color rgb="FFE7E2EE"/>
      <color rgb="FFF4F2F8"/>
      <color rgb="FFFFFFFF"/>
      <color rgb="FFBA550A"/>
      <color rgb="FFF37B21"/>
      <color rgb="FFF592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1316312733629E-2"/>
          <c:y val="0.10622672165979252"/>
          <c:w val="0.83964686232402763"/>
          <c:h val="0.81196619653312563"/>
        </c:manualLayout>
      </c:layout>
      <c:doughnutChart>
        <c:varyColors val="1"/>
        <c:ser>
          <c:idx val="0"/>
          <c:order val="0"/>
          <c:tx>
            <c:v>Value</c:v>
          </c:tx>
          <c:dPt>
            <c:idx val="0"/>
            <c:bubble3D val="0"/>
            <c:spPr>
              <a:solidFill>
                <a:srgbClr val="FFE69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654-4ADA-ADA8-E26A3F9771FB}"/>
              </c:ext>
            </c:extLst>
          </c:dPt>
          <c:dPt>
            <c:idx val="1"/>
            <c:bubble3D val="0"/>
            <c:spPr>
              <a:solidFill>
                <a:srgbClr val="FFD96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654-4ADA-ADA8-E26A3F9771FB}"/>
              </c:ext>
            </c:extLst>
          </c:dPt>
          <c:dPt>
            <c:idx val="2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F654-4ADA-ADA8-E26A3F9771FB}"/>
              </c:ext>
            </c:extLst>
          </c:dPt>
          <c:dPt>
            <c:idx val="3"/>
            <c:bubble3D val="0"/>
            <c:spPr>
              <a:solidFill>
                <a:srgbClr val="ED7D3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F654-4ADA-ADA8-E26A3F9771FB}"/>
              </c:ext>
            </c:extLst>
          </c:dPt>
          <c:dPt>
            <c:idx val="4"/>
            <c:bubble3D val="0"/>
            <c:spPr>
              <a:solidFill>
                <a:srgbClr val="C55A1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654-4ADA-ADA8-E26A3F9771FB}"/>
              </c:ext>
            </c:extLst>
          </c:dPt>
          <c:dPt>
            <c:idx val="5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F654-4ADA-ADA8-E26A3F9771FB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654-4ADA-ADA8-E26A3F9771FB}"/>
              </c:ext>
            </c:extLst>
          </c:dPt>
          <c:dLbls>
            <c:dLbl>
              <c:idx val="0"/>
              <c:layout>
                <c:manualLayout>
                  <c:x val="-3.9048109750776452E-2"/>
                  <c:y val="-0.190323517252651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654-4ADA-ADA8-E26A3F9771FB}"/>
                </c:ext>
              </c:extLst>
            </c:dLbl>
            <c:dLbl>
              <c:idx val="1"/>
              <c:layout>
                <c:manualLayout>
                  <c:x val="0.1006369763234452"/>
                  <c:y val="-0.162037053060675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654-4ADA-ADA8-E26A3F9771FB}"/>
                </c:ext>
              </c:extLst>
            </c:dLbl>
            <c:dLbl>
              <c:idx val="2"/>
              <c:layout>
                <c:manualLayout>
                  <c:x val="0.18036082731023867"/>
                  <c:y val="-4.8840048840048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654-4ADA-ADA8-E26A3F9771FB}"/>
                </c:ext>
              </c:extLst>
            </c:dLbl>
            <c:dLbl>
              <c:idx val="3"/>
              <c:layout>
                <c:manualLayout>
                  <c:x val="0.14393137199504222"/>
                  <c:y val="-4.8840048840048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654-4ADA-ADA8-E26A3F9771FB}"/>
                </c:ext>
              </c:extLst>
            </c:dLbl>
            <c:dLbl>
              <c:idx val="4"/>
              <c:layout>
                <c:manualLayout>
                  <c:x val="0.15660811629315566"/>
                  <c:y val="9.76800976800976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654-4ADA-ADA8-E26A3F9771FB}"/>
                </c:ext>
              </c:extLst>
            </c:dLbl>
            <c:dLbl>
              <c:idx val="5"/>
              <c:layout>
                <c:manualLayout>
                  <c:x val="0.14916836444395498"/>
                  <c:y val="9.76800976800976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654-4ADA-ADA8-E26A3F9771F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654-4ADA-ADA8-E26A3F9771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Lit>
              <c:formatCode>General</c:formatCode>
              <c:ptCount val="6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0.85</c:v>
              </c:pt>
              <c:pt idx="4">
                <c:v>0.95</c:v>
              </c:pt>
              <c:pt idx="5">
                <c:v>1</c:v>
              </c:pt>
            </c:numLit>
          </c:cat>
          <c:val>
            <c:numLit>
              <c:formatCode>General</c:formatCode>
              <c:ptCount val="7"/>
              <c:pt idx="0">
                <c:v>0.25</c:v>
              </c:pt>
              <c:pt idx="1">
                <c:v>0.25</c:v>
              </c:pt>
              <c:pt idx="2">
                <c:v>0.25</c:v>
              </c:pt>
              <c:pt idx="3">
                <c:v>0.1</c:v>
              </c:pt>
              <c:pt idx="4">
                <c:v>0.1</c:v>
              </c:pt>
              <c:pt idx="5">
                <c:v>0.05</c:v>
              </c:pt>
              <c:pt idx="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F654-4ADA-ADA8-E26A3F97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1"/>
        <c:holeSize val="50"/>
      </c:doughnutChart>
      <c:pieChart>
        <c:varyColors val="1"/>
        <c:ser>
          <c:idx val="1"/>
          <c:order val="1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F654-4ADA-ADA8-E26A3F9771FB}"/>
              </c:ext>
            </c:extLst>
          </c:dPt>
          <c:dPt>
            <c:idx val="1"/>
            <c:bubble3D val="0"/>
            <c:spPr>
              <a:solidFill>
                <a:srgbClr val="8264A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F654-4ADA-ADA8-E26A3F9771FB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F654-4ADA-ADA8-E26A3F9771FB}"/>
              </c:ext>
            </c:extLst>
          </c:dPt>
          <c:val>
            <c:numRef>
              <c:f>'GPH-SL'!$C$5:$C$7</c:f>
              <c:numCache>
                <c:formatCode>0.0%</c:formatCode>
                <c:ptCount val="3"/>
                <c:pt idx="0" formatCode="0%">
                  <c:v>5.5509558723568914E-4</c:v>
                </c:pt>
                <c:pt idx="1">
                  <c:v>1.4999999999999999E-2</c:v>
                </c:pt>
                <c:pt idx="2">
                  <c:v>1.9844449044127643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654-4ADA-ADA8-E26A3F977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895339272862804E-2"/>
          <c:y val="6.6066066066066062E-2"/>
          <c:w val="0.90479286303743145"/>
          <c:h val="0.79014190858940114"/>
        </c:manualLayout>
      </c:layout>
      <c:barChart>
        <c:barDir val="col"/>
        <c:grouping val="clustered"/>
        <c:varyColors val="0"/>
        <c:ser>
          <c:idx val="1"/>
          <c:order val="0"/>
          <c:tx>
            <c:v>Actual</c:v>
          </c:tx>
          <c:spPr>
            <a:pattFill prst="dkDnDiag">
              <a:fgClr>
                <a:srgbClr val="7030A0"/>
              </a:fgClr>
              <a:bgClr>
                <a:schemeClr val="accent4">
                  <a:lumMod val="20000"/>
                  <a:lumOff val="80000"/>
                </a:schemeClr>
              </a:bgClr>
            </a:patt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val>
            <c:numRef>
              <c:f>RESULTADO!$E$170:$E$172</c:f>
              <c:numCache>
                <c:formatCode>0.0</c:formatCode>
                <c:ptCount val="3"/>
                <c:pt idx="0">
                  <c:v>-1.7138141668358744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D3-47EF-A161-346975754D3C}"/>
            </c:ext>
          </c:extLst>
        </c:ser>
        <c:ser>
          <c:idx val="0"/>
          <c:order val="1"/>
          <c:tx>
            <c:v>Forecast</c:v>
          </c:tx>
          <c:spPr>
            <a:solidFill>
              <a:srgbClr val="7030A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dLbl>
              <c:idx val="0"/>
              <c:layout>
                <c:manualLayout>
                  <c:x val="-5.5295496192720041E-2"/>
                  <c:y val="3.4165341034942023E-2"/>
                </c:manualLayout>
              </c:layout>
              <c:tx>
                <c:rich>
                  <a:bodyPr/>
                  <a:lstStyle/>
                  <a:p>
                    <a:fld id="{A07F6FB3-2681-432E-94EE-81B93BB256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1D3-47EF-A161-346975754D3C}"/>
                </c:ext>
              </c:extLst>
            </c:dLbl>
            <c:dLbl>
              <c:idx val="1"/>
              <c:layout>
                <c:manualLayout>
                  <c:x val="0"/>
                  <c:y val="2.3942634905201751E-2"/>
                </c:manualLayout>
              </c:layout>
              <c:tx>
                <c:rich>
                  <a:bodyPr/>
                  <a:lstStyle/>
                  <a:p>
                    <a:fld id="{8854C4D0-66F9-45BE-8AAE-3E7BE771CED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1D3-47EF-A161-346975754D3C}"/>
                </c:ext>
              </c:extLst>
            </c:dLbl>
            <c:dLbl>
              <c:idx val="2"/>
              <c:layout>
                <c:manualLayout>
                  <c:x val="-3.4559685120450026E-3"/>
                  <c:y val="0.44221060716330152"/>
                </c:manualLayout>
              </c:layout>
              <c:tx>
                <c:rich>
                  <a:bodyPr/>
                  <a:lstStyle/>
                  <a:p>
                    <a:fld id="{52D2621D-9D9C-4D2F-AF0B-CCC21CEF34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out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1D3-47EF-A161-346975754D3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t" anchorCtr="0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Lit>
              <c:formatCode>General</c:formatCode>
              <c:ptCount val="3"/>
              <c:pt idx="0">
                <c:v>2022</c:v>
              </c:pt>
              <c:pt idx="1">
                <c:v>2023</c:v>
              </c:pt>
              <c:pt idx="2">
                <c:v>2024</c:v>
              </c:pt>
            </c:numLit>
          </c:cat>
          <c:val>
            <c:numRef>
              <c:f>RESULTADO!$E$167:$E$169</c:f>
              <c:numCache>
                <c:formatCode>0.0</c:formatCode>
                <c:ptCount val="3"/>
                <c:pt idx="0">
                  <c:v>-0.44811940662258842</c:v>
                </c:pt>
                <c:pt idx="1">
                  <c:v>6.4450492125032524</c:v>
                </c:pt>
                <c:pt idx="2">
                  <c:v>8.8539523978238694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RESULTADO!$E$173:$E$175</c15:f>
                <c15:dlblRangeCache>
                  <c:ptCount val="3"/>
                  <c:pt idx="0">
                    <c:v>-2,2</c:v>
                  </c:pt>
                  <c:pt idx="1">
                    <c:v>6,4</c:v>
                  </c:pt>
                  <c:pt idx="2">
                    <c:v>8,9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02A5-462C-B3AE-5D48F413B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333159824"/>
        <c:axId val="1333160384"/>
      </c:barChart>
      <c:catAx>
        <c:axId val="1333159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accent4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160384"/>
        <c:crosses val="autoZero"/>
        <c:auto val="1"/>
        <c:lblAlgn val="ctr"/>
        <c:lblOffset val="100"/>
        <c:noMultiLvlLbl val="0"/>
      </c:catAx>
      <c:valAx>
        <c:axId val="1333160384"/>
        <c:scaling>
          <c:orientation val="minMax"/>
        </c:scaling>
        <c:delete val="1"/>
        <c:axPos val="l"/>
        <c:numFmt formatCode="#,##0.0" sourceLinked="0"/>
        <c:majorTickMark val="none"/>
        <c:minorTickMark val="none"/>
        <c:tickLblPos val="nextTo"/>
        <c:crossAx val="1333159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952196608143786"/>
          <c:y val="0.62105726441390774"/>
          <c:w val="0.3071319216654394"/>
          <c:h val="0.154123745444189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373741465596543"/>
          <c:y val="6.636500754147813E-2"/>
          <c:w val="0.73821176349372963"/>
          <c:h val="0.79367560955333072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rgbClr val="6F51A2"/>
              </a:solidFill>
              <a:round/>
            </a:ln>
            <a:effectLst/>
          </c:spPr>
          <c:marker>
            <c:symbol val="none"/>
          </c:marker>
          <c:cat>
            <c:numRef>
              <c:f>HWM!$B$5:$B$266</c:f>
              <c:numCache>
                <c:formatCode>dd/mm/yyyy</c:formatCode>
                <c:ptCount val="262"/>
                <c:pt idx="0">
                  <c:v>44568</c:v>
                </c:pt>
                <c:pt idx="1">
                  <c:v>44571</c:v>
                </c:pt>
                <c:pt idx="2">
                  <c:v>44572</c:v>
                </c:pt>
                <c:pt idx="3">
                  <c:v>44573</c:v>
                </c:pt>
                <c:pt idx="4">
                  <c:v>44574</c:v>
                </c:pt>
                <c:pt idx="5">
                  <c:v>44575</c:v>
                </c:pt>
                <c:pt idx="6">
                  <c:v>44578</c:v>
                </c:pt>
                <c:pt idx="7">
                  <c:v>44579</c:v>
                </c:pt>
                <c:pt idx="8">
                  <c:v>44580</c:v>
                </c:pt>
                <c:pt idx="9">
                  <c:v>44582</c:v>
                </c:pt>
                <c:pt idx="10">
                  <c:v>44585</c:v>
                </c:pt>
                <c:pt idx="11">
                  <c:v>44586</c:v>
                </c:pt>
                <c:pt idx="12">
                  <c:v>44587</c:v>
                </c:pt>
                <c:pt idx="13">
                  <c:v>44588</c:v>
                </c:pt>
                <c:pt idx="14">
                  <c:v>44589</c:v>
                </c:pt>
                <c:pt idx="15">
                  <c:v>44592</c:v>
                </c:pt>
                <c:pt idx="16">
                  <c:v>44593</c:v>
                </c:pt>
                <c:pt idx="17">
                  <c:v>44594</c:v>
                </c:pt>
                <c:pt idx="18">
                  <c:v>44595</c:v>
                </c:pt>
                <c:pt idx="19">
                  <c:v>44596</c:v>
                </c:pt>
                <c:pt idx="20">
                  <c:v>44599</c:v>
                </c:pt>
                <c:pt idx="21">
                  <c:v>44600</c:v>
                </c:pt>
                <c:pt idx="22">
                  <c:v>44601</c:v>
                </c:pt>
                <c:pt idx="23">
                  <c:v>44602</c:v>
                </c:pt>
                <c:pt idx="24">
                  <c:v>44603</c:v>
                </c:pt>
                <c:pt idx="25">
                  <c:v>44606</c:v>
                </c:pt>
                <c:pt idx="26">
                  <c:v>44607</c:v>
                </c:pt>
                <c:pt idx="27">
                  <c:v>44608</c:v>
                </c:pt>
                <c:pt idx="28">
                  <c:v>44609</c:v>
                </c:pt>
                <c:pt idx="29">
                  <c:v>44610</c:v>
                </c:pt>
                <c:pt idx="30">
                  <c:v>44613</c:v>
                </c:pt>
                <c:pt idx="31">
                  <c:v>44614</c:v>
                </c:pt>
                <c:pt idx="32">
                  <c:v>44615</c:v>
                </c:pt>
                <c:pt idx="33">
                  <c:v>44616</c:v>
                </c:pt>
                <c:pt idx="34">
                  <c:v>44617</c:v>
                </c:pt>
                <c:pt idx="35">
                  <c:v>44622</c:v>
                </c:pt>
                <c:pt idx="36">
                  <c:v>44623</c:v>
                </c:pt>
                <c:pt idx="37">
                  <c:v>44624</c:v>
                </c:pt>
                <c:pt idx="38">
                  <c:v>44627</c:v>
                </c:pt>
                <c:pt idx="39">
                  <c:v>44628</c:v>
                </c:pt>
                <c:pt idx="40">
                  <c:v>44629</c:v>
                </c:pt>
                <c:pt idx="41">
                  <c:v>44630</c:v>
                </c:pt>
                <c:pt idx="42">
                  <c:v>44631</c:v>
                </c:pt>
                <c:pt idx="43">
                  <c:v>44634</c:v>
                </c:pt>
                <c:pt idx="44">
                  <c:v>44635</c:v>
                </c:pt>
                <c:pt idx="45">
                  <c:v>44636</c:v>
                </c:pt>
                <c:pt idx="46">
                  <c:v>44637</c:v>
                </c:pt>
                <c:pt idx="47">
                  <c:v>44638</c:v>
                </c:pt>
                <c:pt idx="48">
                  <c:v>44641</c:v>
                </c:pt>
                <c:pt idx="49">
                  <c:v>44642</c:v>
                </c:pt>
                <c:pt idx="50">
                  <c:v>44643</c:v>
                </c:pt>
                <c:pt idx="51">
                  <c:v>44644</c:v>
                </c:pt>
                <c:pt idx="52">
                  <c:v>44645</c:v>
                </c:pt>
                <c:pt idx="53">
                  <c:v>44648</c:v>
                </c:pt>
                <c:pt idx="54">
                  <c:v>44649</c:v>
                </c:pt>
                <c:pt idx="55">
                  <c:v>44650</c:v>
                </c:pt>
                <c:pt idx="56">
                  <c:v>44651</c:v>
                </c:pt>
                <c:pt idx="57">
                  <c:v>44652</c:v>
                </c:pt>
                <c:pt idx="58">
                  <c:v>44655</c:v>
                </c:pt>
                <c:pt idx="59">
                  <c:v>44656</c:v>
                </c:pt>
                <c:pt idx="60">
                  <c:v>44657</c:v>
                </c:pt>
                <c:pt idx="61">
                  <c:v>44658</c:v>
                </c:pt>
                <c:pt idx="62">
                  <c:v>44659</c:v>
                </c:pt>
                <c:pt idx="63">
                  <c:v>44662</c:v>
                </c:pt>
                <c:pt idx="64">
                  <c:v>44663</c:v>
                </c:pt>
                <c:pt idx="65">
                  <c:v>44664</c:v>
                </c:pt>
                <c:pt idx="66">
                  <c:v>44665</c:v>
                </c:pt>
                <c:pt idx="67">
                  <c:v>44669</c:v>
                </c:pt>
                <c:pt idx="68">
                  <c:v>44670</c:v>
                </c:pt>
                <c:pt idx="69">
                  <c:v>44671</c:v>
                </c:pt>
                <c:pt idx="70">
                  <c:v>44673</c:v>
                </c:pt>
                <c:pt idx="71">
                  <c:v>44676</c:v>
                </c:pt>
                <c:pt idx="72">
                  <c:v>44677</c:v>
                </c:pt>
                <c:pt idx="73">
                  <c:v>44678</c:v>
                </c:pt>
                <c:pt idx="74">
                  <c:v>44679</c:v>
                </c:pt>
                <c:pt idx="75">
                  <c:v>44680</c:v>
                </c:pt>
                <c:pt idx="76">
                  <c:v>44683</c:v>
                </c:pt>
                <c:pt idx="77">
                  <c:v>44684</c:v>
                </c:pt>
                <c:pt idx="78">
                  <c:v>44685</c:v>
                </c:pt>
                <c:pt idx="79">
                  <c:v>44686</c:v>
                </c:pt>
                <c:pt idx="80">
                  <c:v>44687</c:v>
                </c:pt>
                <c:pt idx="81">
                  <c:v>44690</c:v>
                </c:pt>
                <c:pt idx="82">
                  <c:v>44691</c:v>
                </c:pt>
                <c:pt idx="83">
                  <c:v>44692</c:v>
                </c:pt>
                <c:pt idx="84">
                  <c:v>44693</c:v>
                </c:pt>
                <c:pt idx="85">
                  <c:v>44694</c:v>
                </c:pt>
                <c:pt idx="86">
                  <c:v>44697</c:v>
                </c:pt>
                <c:pt idx="87">
                  <c:v>44698</c:v>
                </c:pt>
                <c:pt idx="88">
                  <c:v>44699</c:v>
                </c:pt>
                <c:pt idx="89">
                  <c:v>44700</c:v>
                </c:pt>
                <c:pt idx="90">
                  <c:v>44701</c:v>
                </c:pt>
                <c:pt idx="91">
                  <c:v>44704</c:v>
                </c:pt>
                <c:pt idx="92">
                  <c:v>44705</c:v>
                </c:pt>
                <c:pt idx="93">
                  <c:v>44706</c:v>
                </c:pt>
                <c:pt idx="94">
                  <c:v>44707</c:v>
                </c:pt>
                <c:pt idx="95">
                  <c:v>44708</c:v>
                </c:pt>
                <c:pt idx="96">
                  <c:v>44711</c:v>
                </c:pt>
                <c:pt idx="97">
                  <c:v>44712</c:v>
                </c:pt>
                <c:pt idx="98">
                  <c:v>44713</c:v>
                </c:pt>
                <c:pt idx="99">
                  <c:v>44714</c:v>
                </c:pt>
                <c:pt idx="100">
                  <c:v>44715</c:v>
                </c:pt>
                <c:pt idx="101">
                  <c:v>44718</c:v>
                </c:pt>
                <c:pt idx="102">
                  <c:v>44719</c:v>
                </c:pt>
                <c:pt idx="103">
                  <c:v>44720</c:v>
                </c:pt>
                <c:pt idx="104">
                  <c:v>44721</c:v>
                </c:pt>
                <c:pt idx="105">
                  <c:v>44722</c:v>
                </c:pt>
                <c:pt idx="106">
                  <c:v>44725</c:v>
                </c:pt>
                <c:pt idx="107">
                  <c:v>44726</c:v>
                </c:pt>
                <c:pt idx="108">
                  <c:v>44727</c:v>
                </c:pt>
                <c:pt idx="109">
                  <c:v>44729</c:v>
                </c:pt>
                <c:pt idx="110">
                  <c:v>44732</c:v>
                </c:pt>
                <c:pt idx="111">
                  <c:v>44733</c:v>
                </c:pt>
                <c:pt idx="112">
                  <c:v>44734</c:v>
                </c:pt>
                <c:pt idx="113">
                  <c:v>44735</c:v>
                </c:pt>
                <c:pt idx="114">
                  <c:v>44736</c:v>
                </c:pt>
                <c:pt idx="115">
                  <c:v>44739</c:v>
                </c:pt>
                <c:pt idx="116">
                  <c:v>44740</c:v>
                </c:pt>
                <c:pt idx="117">
                  <c:v>44741</c:v>
                </c:pt>
                <c:pt idx="118">
                  <c:v>44742</c:v>
                </c:pt>
                <c:pt idx="119">
                  <c:v>44743</c:v>
                </c:pt>
                <c:pt idx="120">
                  <c:v>44746</c:v>
                </c:pt>
                <c:pt idx="121">
                  <c:v>44747</c:v>
                </c:pt>
                <c:pt idx="122">
                  <c:v>44748</c:v>
                </c:pt>
                <c:pt idx="123">
                  <c:v>44749</c:v>
                </c:pt>
                <c:pt idx="124">
                  <c:v>44750</c:v>
                </c:pt>
                <c:pt idx="125">
                  <c:v>44753</c:v>
                </c:pt>
                <c:pt idx="126">
                  <c:v>44754</c:v>
                </c:pt>
                <c:pt idx="127">
                  <c:v>44755</c:v>
                </c:pt>
                <c:pt idx="128">
                  <c:v>44756</c:v>
                </c:pt>
                <c:pt idx="129">
                  <c:v>44757</c:v>
                </c:pt>
                <c:pt idx="130">
                  <c:v>44760</c:v>
                </c:pt>
                <c:pt idx="131">
                  <c:v>44761</c:v>
                </c:pt>
                <c:pt idx="132">
                  <c:v>44762</c:v>
                </c:pt>
                <c:pt idx="133">
                  <c:v>44763</c:v>
                </c:pt>
                <c:pt idx="134">
                  <c:v>44764</c:v>
                </c:pt>
                <c:pt idx="135">
                  <c:v>44767</c:v>
                </c:pt>
                <c:pt idx="136">
                  <c:v>44768</c:v>
                </c:pt>
                <c:pt idx="137">
                  <c:v>44769</c:v>
                </c:pt>
                <c:pt idx="138">
                  <c:v>44770</c:v>
                </c:pt>
                <c:pt idx="139">
                  <c:v>44771</c:v>
                </c:pt>
                <c:pt idx="140">
                  <c:v>44774</c:v>
                </c:pt>
                <c:pt idx="141">
                  <c:v>44775</c:v>
                </c:pt>
                <c:pt idx="142">
                  <c:v>44776</c:v>
                </c:pt>
                <c:pt idx="143">
                  <c:v>44777</c:v>
                </c:pt>
                <c:pt idx="144">
                  <c:v>44778</c:v>
                </c:pt>
                <c:pt idx="145">
                  <c:v>44781</c:v>
                </c:pt>
                <c:pt idx="146">
                  <c:v>44782</c:v>
                </c:pt>
                <c:pt idx="147">
                  <c:v>44783</c:v>
                </c:pt>
                <c:pt idx="148">
                  <c:v>44784</c:v>
                </c:pt>
                <c:pt idx="149">
                  <c:v>44785</c:v>
                </c:pt>
                <c:pt idx="150">
                  <c:v>44788</c:v>
                </c:pt>
                <c:pt idx="151">
                  <c:v>44789</c:v>
                </c:pt>
                <c:pt idx="152">
                  <c:v>44790</c:v>
                </c:pt>
                <c:pt idx="153">
                  <c:v>44791</c:v>
                </c:pt>
                <c:pt idx="154">
                  <c:v>44792</c:v>
                </c:pt>
                <c:pt idx="155">
                  <c:v>44795</c:v>
                </c:pt>
                <c:pt idx="156">
                  <c:v>44796</c:v>
                </c:pt>
                <c:pt idx="157">
                  <c:v>44797</c:v>
                </c:pt>
                <c:pt idx="158">
                  <c:v>44798</c:v>
                </c:pt>
                <c:pt idx="159">
                  <c:v>44799</c:v>
                </c:pt>
                <c:pt idx="160">
                  <c:v>44802</c:v>
                </c:pt>
                <c:pt idx="161">
                  <c:v>44803</c:v>
                </c:pt>
                <c:pt idx="162">
                  <c:v>44804</c:v>
                </c:pt>
                <c:pt idx="163">
                  <c:v>44805</c:v>
                </c:pt>
                <c:pt idx="164">
                  <c:v>44806</c:v>
                </c:pt>
                <c:pt idx="165">
                  <c:v>44809</c:v>
                </c:pt>
                <c:pt idx="166">
                  <c:v>44810</c:v>
                </c:pt>
                <c:pt idx="167">
                  <c:v>44812</c:v>
                </c:pt>
                <c:pt idx="168">
                  <c:v>44813</c:v>
                </c:pt>
                <c:pt idx="169">
                  <c:v>44816</c:v>
                </c:pt>
                <c:pt idx="170">
                  <c:v>44817</c:v>
                </c:pt>
                <c:pt idx="171">
                  <c:v>44818</c:v>
                </c:pt>
                <c:pt idx="172">
                  <c:v>44819</c:v>
                </c:pt>
                <c:pt idx="173">
                  <c:v>44820</c:v>
                </c:pt>
                <c:pt idx="174">
                  <c:v>44823</c:v>
                </c:pt>
                <c:pt idx="175">
                  <c:v>44824</c:v>
                </c:pt>
                <c:pt idx="176">
                  <c:v>44825</c:v>
                </c:pt>
                <c:pt idx="177">
                  <c:v>44826</c:v>
                </c:pt>
                <c:pt idx="178">
                  <c:v>44827</c:v>
                </c:pt>
                <c:pt idx="179">
                  <c:v>44830</c:v>
                </c:pt>
                <c:pt idx="180">
                  <c:v>44831</c:v>
                </c:pt>
                <c:pt idx="181">
                  <c:v>44832</c:v>
                </c:pt>
                <c:pt idx="182">
                  <c:v>44833</c:v>
                </c:pt>
                <c:pt idx="183">
                  <c:v>44834</c:v>
                </c:pt>
                <c:pt idx="184">
                  <c:v>44837</c:v>
                </c:pt>
                <c:pt idx="185">
                  <c:v>44838</c:v>
                </c:pt>
                <c:pt idx="186">
                  <c:v>44839</c:v>
                </c:pt>
                <c:pt idx="187">
                  <c:v>44840</c:v>
                </c:pt>
                <c:pt idx="188">
                  <c:v>44841</c:v>
                </c:pt>
                <c:pt idx="189">
                  <c:v>44844</c:v>
                </c:pt>
                <c:pt idx="190">
                  <c:v>44845</c:v>
                </c:pt>
                <c:pt idx="191">
                  <c:v>44847</c:v>
                </c:pt>
                <c:pt idx="192">
                  <c:v>44848</c:v>
                </c:pt>
                <c:pt idx="193">
                  <c:v>44851</c:v>
                </c:pt>
                <c:pt idx="194">
                  <c:v>44852</c:v>
                </c:pt>
                <c:pt idx="195">
                  <c:v>44853</c:v>
                </c:pt>
                <c:pt idx="196">
                  <c:v>44854</c:v>
                </c:pt>
                <c:pt idx="197">
                  <c:v>44855</c:v>
                </c:pt>
                <c:pt idx="198">
                  <c:v>44858</c:v>
                </c:pt>
                <c:pt idx="199">
                  <c:v>44859</c:v>
                </c:pt>
                <c:pt idx="200">
                  <c:v>44860</c:v>
                </c:pt>
                <c:pt idx="201">
                  <c:v>44861</c:v>
                </c:pt>
                <c:pt idx="202">
                  <c:v>44862</c:v>
                </c:pt>
                <c:pt idx="203">
                  <c:v>44865</c:v>
                </c:pt>
                <c:pt idx="204">
                  <c:v>44866</c:v>
                </c:pt>
                <c:pt idx="205">
                  <c:v>44868</c:v>
                </c:pt>
                <c:pt idx="206">
                  <c:v>44869</c:v>
                </c:pt>
                <c:pt idx="207">
                  <c:v>44872</c:v>
                </c:pt>
                <c:pt idx="208">
                  <c:v>44873</c:v>
                </c:pt>
                <c:pt idx="209">
                  <c:v>44874</c:v>
                </c:pt>
                <c:pt idx="210">
                  <c:v>44875</c:v>
                </c:pt>
                <c:pt idx="211">
                  <c:v>44876</c:v>
                </c:pt>
                <c:pt idx="212">
                  <c:v>44879</c:v>
                </c:pt>
                <c:pt idx="213">
                  <c:v>44881</c:v>
                </c:pt>
                <c:pt idx="214">
                  <c:v>44882</c:v>
                </c:pt>
                <c:pt idx="215">
                  <c:v>44883</c:v>
                </c:pt>
                <c:pt idx="216">
                  <c:v>44886</c:v>
                </c:pt>
                <c:pt idx="217">
                  <c:v>44887</c:v>
                </c:pt>
                <c:pt idx="218">
                  <c:v>44888</c:v>
                </c:pt>
                <c:pt idx="219">
                  <c:v>44889</c:v>
                </c:pt>
                <c:pt idx="220">
                  <c:v>44890</c:v>
                </c:pt>
                <c:pt idx="221">
                  <c:v>44893</c:v>
                </c:pt>
                <c:pt idx="222">
                  <c:v>44894</c:v>
                </c:pt>
                <c:pt idx="223">
                  <c:v>44895</c:v>
                </c:pt>
                <c:pt idx="224">
                  <c:v>44896</c:v>
                </c:pt>
                <c:pt idx="225">
                  <c:v>44897</c:v>
                </c:pt>
                <c:pt idx="226">
                  <c:v>44900</c:v>
                </c:pt>
                <c:pt idx="227">
                  <c:v>44901</c:v>
                </c:pt>
                <c:pt idx="228">
                  <c:v>44902</c:v>
                </c:pt>
                <c:pt idx="229">
                  <c:v>44903</c:v>
                </c:pt>
                <c:pt idx="230">
                  <c:v>44904</c:v>
                </c:pt>
                <c:pt idx="231">
                  <c:v>44907</c:v>
                </c:pt>
                <c:pt idx="232">
                  <c:v>44908</c:v>
                </c:pt>
                <c:pt idx="233">
                  <c:v>44909</c:v>
                </c:pt>
                <c:pt idx="234">
                  <c:v>44910</c:v>
                </c:pt>
                <c:pt idx="235">
                  <c:v>44911</c:v>
                </c:pt>
                <c:pt idx="236">
                  <c:v>44914</c:v>
                </c:pt>
                <c:pt idx="237">
                  <c:v>44915</c:v>
                </c:pt>
                <c:pt idx="238">
                  <c:v>44916</c:v>
                </c:pt>
                <c:pt idx="239">
                  <c:v>44917</c:v>
                </c:pt>
                <c:pt idx="240">
                  <c:v>44918</c:v>
                </c:pt>
                <c:pt idx="241">
                  <c:v>44921</c:v>
                </c:pt>
                <c:pt idx="242">
                  <c:v>44923</c:v>
                </c:pt>
                <c:pt idx="243">
                  <c:v>44924</c:v>
                </c:pt>
                <c:pt idx="244">
                  <c:v>44925</c:v>
                </c:pt>
                <c:pt idx="245">
                  <c:v>44928</c:v>
                </c:pt>
                <c:pt idx="246">
                  <c:v>44929</c:v>
                </c:pt>
                <c:pt idx="247">
                  <c:v>44930</c:v>
                </c:pt>
                <c:pt idx="248">
                  <c:v>44931</c:v>
                </c:pt>
                <c:pt idx="249">
                  <c:v>44932</c:v>
                </c:pt>
              </c:numCache>
            </c:numRef>
          </c:cat>
          <c:val>
            <c:numRef>
              <c:f>HWM!$L$5:$L$266</c:f>
              <c:numCache>
                <c:formatCode>_-* #,##0_-;\-* #,##0_-;_-* "-"??_-;_-@_-</c:formatCode>
                <c:ptCount val="262"/>
                <c:pt idx="0">
                  <c:v>-8306755.3025830835</c:v>
                </c:pt>
                <c:pt idx="1">
                  <c:v>-8306755.3025830835</c:v>
                </c:pt>
                <c:pt idx="2">
                  <c:v>-8319209.382583186</c:v>
                </c:pt>
                <c:pt idx="3">
                  <c:v>-8327712.6758879572</c:v>
                </c:pt>
                <c:pt idx="4">
                  <c:v>-8325048.1958878934</c:v>
                </c:pt>
                <c:pt idx="5">
                  <c:v>-8315668.2758878767</c:v>
                </c:pt>
                <c:pt idx="6">
                  <c:v>-8315492.2358879447</c:v>
                </c:pt>
                <c:pt idx="7">
                  <c:v>-8305076.8808405101</c:v>
                </c:pt>
                <c:pt idx="8">
                  <c:v>-8295406.8008404076</c:v>
                </c:pt>
                <c:pt idx="9">
                  <c:v>-8289918.0008404851</c:v>
                </c:pt>
                <c:pt idx="10">
                  <c:v>-8386273.6808404773</c:v>
                </c:pt>
                <c:pt idx="11">
                  <c:v>-8484540.4808405638</c:v>
                </c:pt>
                <c:pt idx="12">
                  <c:v>-8511604.5608404428</c:v>
                </c:pt>
                <c:pt idx="13">
                  <c:v>-8552146.080840528</c:v>
                </c:pt>
                <c:pt idx="14">
                  <c:v>-8555028.4808405936</c:v>
                </c:pt>
                <c:pt idx="15">
                  <c:v>-8559749.2808405459</c:v>
                </c:pt>
                <c:pt idx="16">
                  <c:v>-8577894.2408405393</c:v>
                </c:pt>
                <c:pt idx="17">
                  <c:v>-8586614.6408406198</c:v>
                </c:pt>
                <c:pt idx="18">
                  <c:v>-8534894.8808405697</c:v>
                </c:pt>
                <c:pt idx="19">
                  <c:v>-8491749.3608404845</c:v>
                </c:pt>
                <c:pt idx="20">
                  <c:v>-8466041.040840432</c:v>
                </c:pt>
                <c:pt idx="21">
                  <c:v>-8310235.9208405763</c:v>
                </c:pt>
                <c:pt idx="22">
                  <c:v>-8367051.9296405613</c:v>
                </c:pt>
                <c:pt idx="23">
                  <c:v>-8445900.5696405619</c:v>
                </c:pt>
                <c:pt idx="24">
                  <c:v>-8386635.9296405464</c:v>
                </c:pt>
                <c:pt idx="25">
                  <c:v>-8465440.6496404707</c:v>
                </c:pt>
                <c:pt idx="26">
                  <c:v>-8622877.2896406353</c:v>
                </c:pt>
                <c:pt idx="27">
                  <c:v>-8577210.8199005723</c:v>
                </c:pt>
                <c:pt idx="28">
                  <c:v>-8557821.2199006975</c:v>
                </c:pt>
                <c:pt idx="29">
                  <c:v>-8538235.779900685</c:v>
                </c:pt>
                <c:pt idx="30">
                  <c:v>-8636649.6999005824</c:v>
                </c:pt>
                <c:pt idx="31">
                  <c:v>-8912216.019900769</c:v>
                </c:pt>
                <c:pt idx="32">
                  <c:v>-8966707.539900586</c:v>
                </c:pt>
                <c:pt idx="33">
                  <c:v>-8718475.2999006361</c:v>
                </c:pt>
                <c:pt idx="34">
                  <c:v>-8754524.0199007541</c:v>
                </c:pt>
                <c:pt idx="35">
                  <c:v>-8715416.4999006838</c:v>
                </c:pt>
                <c:pt idx="36">
                  <c:v>-8735133.6999006718</c:v>
                </c:pt>
                <c:pt idx="37">
                  <c:v>-8735133.6999006718</c:v>
                </c:pt>
                <c:pt idx="38">
                  <c:v>-8873092.1799006909</c:v>
                </c:pt>
                <c:pt idx="39">
                  <c:v>-8801435.13990058</c:v>
                </c:pt>
                <c:pt idx="40">
                  <c:v>-8770498.4199006557</c:v>
                </c:pt>
                <c:pt idx="41">
                  <c:v>-8770498.4199006557</c:v>
                </c:pt>
                <c:pt idx="42">
                  <c:v>-8589580.7079006881</c:v>
                </c:pt>
                <c:pt idx="43">
                  <c:v>-8543077.5879006535</c:v>
                </c:pt>
                <c:pt idx="44">
                  <c:v>-8331922.5768251568</c:v>
                </c:pt>
                <c:pt idx="45">
                  <c:v>-8326715.0568252355</c:v>
                </c:pt>
                <c:pt idx="46">
                  <c:v>-8268576.9768251777</c:v>
                </c:pt>
                <c:pt idx="47">
                  <c:v>-8117350.8168251365</c:v>
                </c:pt>
                <c:pt idx="48">
                  <c:v>-8106625.8648503125</c:v>
                </c:pt>
                <c:pt idx="49">
                  <c:v>-7462656.2229713202</c:v>
                </c:pt>
                <c:pt idx="50">
                  <c:v>-7509727.1829712093</c:v>
                </c:pt>
                <c:pt idx="51">
                  <c:v>-7228598.8629712164</c:v>
                </c:pt>
                <c:pt idx="52">
                  <c:v>-7265030.1429712772</c:v>
                </c:pt>
                <c:pt idx="53">
                  <c:v>-7109017.6629711986</c:v>
                </c:pt>
                <c:pt idx="54">
                  <c:v>-7143981.0710651577</c:v>
                </c:pt>
                <c:pt idx="55">
                  <c:v>-7232261.2935630083</c:v>
                </c:pt>
                <c:pt idx="56">
                  <c:v>-7268122.5735630989</c:v>
                </c:pt>
                <c:pt idx="57">
                  <c:v>-6870620.8801896572</c:v>
                </c:pt>
                <c:pt idx="58">
                  <c:v>-6687501.8401898146</c:v>
                </c:pt>
                <c:pt idx="59">
                  <c:v>-6308565.3609096408</c:v>
                </c:pt>
                <c:pt idx="60">
                  <c:v>-5709934.4391097426</c:v>
                </c:pt>
                <c:pt idx="61">
                  <c:v>-5571418.5576697886</c:v>
                </c:pt>
                <c:pt idx="62">
                  <c:v>-5690153.9955097437</c:v>
                </c:pt>
                <c:pt idx="63">
                  <c:v>-5989597.2907898426</c:v>
                </c:pt>
                <c:pt idx="64">
                  <c:v>-6307104.6907897592</c:v>
                </c:pt>
                <c:pt idx="65">
                  <c:v>-6609337.4107896984</c:v>
                </c:pt>
                <c:pt idx="66">
                  <c:v>-6877000.2886297703</c:v>
                </c:pt>
                <c:pt idx="67">
                  <c:v>-6293611.4107896984</c:v>
                </c:pt>
                <c:pt idx="68">
                  <c:v>-5419196.3863500357</c:v>
                </c:pt>
                <c:pt idx="69">
                  <c:v>-5354000.6249100864</c:v>
                </c:pt>
                <c:pt idx="70">
                  <c:v>-5537223.10563007</c:v>
                </c:pt>
                <c:pt idx="71">
                  <c:v>-6130499.9856301844</c:v>
                </c:pt>
                <c:pt idx="72">
                  <c:v>-5342326.7804940939</c:v>
                </c:pt>
                <c:pt idx="73">
                  <c:v>-5327395.8905101717</c:v>
                </c:pt>
                <c:pt idx="74">
                  <c:v>-5335353.3305101395</c:v>
                </c:pt>
                <c:pt idx="75">
                  <c:v>-5289707.0083501339</c:v>
                </c:pt>
                <c:pt idx="76">
                  <c:v>-5263555.0830536187</c:v>
                </c:pt>
                <c:pt idx="77">
                  <c:v>-5722431.6066536307</c:v>
                </c:pt>
                <c:pt idx="78">
                  <c:v>-5732096.8902536035</c:v>
                </c:pt>
                <c:pt idx="79">
                  <c:v>-6238674.9738535285</c:v>
                </c:pt>
                <c:pt idx="80">
                  <c:v>-6304444.2152936161</c:v>
                </c:pt>
                <c:pt idx="81">
                  <c:v>-6040541.2938535511</c:v>
                </c:pt>
                <c:pt idx="82">
                  <c:v>-6084236.293853581</c:v>
                </c:pt>
                <c:pt idx="83">
                  <c:v>-6494843.416013509</c:v>
                </c:pt>
                <c:pt idx="84">
                  <c:v>-6674138.6610536277</c:v>
                </c:pt>
                <c:pt idx="85">
                  <c:v>-6481650.1432134509</c:v>
                </c:pt>
                <c:pt idx="86">
                  <c:v>-6690945.8668135107</c:v>
                </c:pt>
                <c:pt idx="87">
                  <c:v>-6747083.2524475157</c:v>
                </c:pt>
                <c:pt idx="88">
                  <c:v>-6621606.4524475634</c:v>
                </c:pt>
                <c:pt idx="89">
                  <c:v>-6310329.0924475193</c:v>
                </c:pt>
                <c:pt idx="90">
                  <c:v>-5977345.052447319</c:v>
                </c:pt>
                <c:pt idx="91">
                  <c:v>-5927856.5724473596</c:v>
                </c:pt>
                <c:pt idx="92">
                  <c:v>-5529375.4474779367</c:v>
                </c:pt>
                <c:pt idx="93">
                  <c:v>-5384501.607477963</c:v>
                </c:pt>
                <c:pt idx="94">
                  <c:v>-5011797.1973274648</c:v>
                </c:pt>
                <c:pt idx="95">
                  <c:v>-4990147.3003337383</c:v>
                </c:pt>
                <c:pt idx="96">
                  <c:v>-4956177.3785881102</c:v>
                </c:pt>
                <c:pt idx="97">
                  <c:v>-4912347.6185881197</c:v>
                </c:pt>
                <c:pt idx="98">
                  <c:v>-5465695.1230626702</c:v>
                </c:pt>
                <c:pt idx="99">
                  <c:v>-5432822.8059426546</c:v>
                </c:pt>
                <c:pt idx="100">
                  <c:v>-5489966.8073824346</c:v>
                </c:pt>
                <c:pt idx="101">
                  <c:v>-5561561.6816226542</c:v>
                </c:pt>
                <c:pt idx="102">
                  <c:v>-5380921.1237824261</c:v>
                </c:pt>
                <c:pt idx="103">
                  <c:v>-5401760.3223424554</c:v>
                </c:pt>
                <c:pt idx="104">
                  <c:v>-5456019.013302505</c:v>
                </c:pt>
                <c:pt idx="105">
                  <c:v>-5459033.8933025301</c:v>
                </c:pt>
                <c:pt idx="106">
                  <c:v>-5459768.7733024657</c:v>
                </c:pt>
                <c:pt idx="107">
                  <c:v>-5502908.6885344684</c:v>
                </c:pt>
                <c:pt idx="108">
                  <c:v>-5522497.2075424492</c:v>
                </c:pt>
                <c:pt idx="109">
                  <c:v>-5483739.170517236</c:v>
                </c:pt>
                <c:pt idx="110">
                  <c:v>-5552190.2905172706</c:v>
                </c:pt>
                <c:pt idx="111">
                  <c:v>-5494752.5297973156</c:v>
                </c:pt>
                <c:pt idx="112">
                  <c:v>-5411325.8897973597</c:v>
                </c:pt>
                <c:pt idx="113">
                  <c:v>-5360323.9669172764</c:v>
                </c:pt>
                <c:pt idx="114">
                  <c:v>-5424318.0461972952</c:v>
                </c:pt>
                <c:pt idx="115">
                  <c:v>-5348947.0054773092</c:v>
                </c:pt>
                <c:pt idx="116">
                  <c:v>-5313452.2105172575</c:v>
                </c:pt>
                <c:pt idx="117">
                  <c:v>-5018268.3677971959</c:v>
                </c:pt>
                <c:pt idx="118">
                  <c:v>-4797959.5653813481</c:v>
                </c:pt>
                <c:pt idx="119">
                  <c:v>-4882134.004604876</c:v>
                </c:pt>
                <c:pt idx="120">
                  <c:v>-5394104.2042048573</c:v>
                </c:pt>
                <c:pt idx="121">
                  <c:v>-6024031.7222848237</c:v>
                </c:pt>
                <c:pt idx="122">
                  <c:v>-5655509.3232447207</c:v>
                </c:pt>
                <c:pt idx="123">
                  <c:v>-5563539.2865568101</c:v>
                </c:pt>
                <c:pt idx="124">
                  <c:v>-5353947.5275167823</c:v>
                </c:pt>
                <c:pt idx="125">
                  <c:v>-5298895.3670368195</c:v>
                </c:pt>
                <c:pt idx="126">
                  <c:v>-5440511.6865568161</c:v>
                </c:pt>
                <c:pt idx="127">
                  <c:v>-5727991.727996707</c:v>
                </c:pt>
                <c:pt idx="128">
                  <c:v>-5712765.0917008221</c:v>
                </c:pt>
                <c:pt idx="129">
                  <c:v>-5756071.81146878</c:v>
                </c:pt>
                <c:pt idx="130">
                  <c:v>-5688101.8057278991</c:v>
                </c:pt>
                <c:pt idx="131">
                  <c:v>-6076768.7653279006</c:v>
                </c:pt>
                <c:pt idx="132">
                  <c:v>-6347332.6467678845</c:v>
                </c:pt>
                <c:pt idx="133">
                  <c:v>-6267901.2906558216</c:v>
                </c:pt>
                <c:pt idx="134">
                  <c:v>-6204903.6853758395</c:v>
                </c:pt>
                <c:pt idx="135">
                  <c:v>-6233730.3196160197</c:v>
                </c:pt>
                <c:pt idx="136">
                  <c:v>-6356966.39871189</c:v>
                </c:pt>
                <c:pt idx="137">
                  <c:v>-6335308.0775358677</c:v>
                </c:pt>
                <c:pt idx="138">
                  <c:v>-6162700.3928958774</c:v>
                </c:pt>
                <c:pt idx="139">
                  <c:v>-5697566.7140958607</c:v>
                </c:pt>
                <c:pt idx="140">
                  <c:v>-5806912.7999155223</c:v>
                </c:pt>
                <c:pt idx="141">
                  <c:v>-5918972.7207475007</c:v>
                </c:pt>
                <c:pt idx="142">
                  <c:v>-6209229.9239394367</c:v>
                </c:pt>
                <c:pt idx="143">
                  <c:v>-7097874.8859234154</c:v>
                </c:pt>
                <c:pt idx="144">
                  <c:v>-6993255.6060834229</c:v>
                </c:pt>
                <c:pt idx="145">
                  <c:v>-6516149.4460674226</c:v>
                </c:pt>
                <c:pt idx="146">
                  <c:v>-5416041.9803153574</c:v>
                </c:pt>
                <c:pt idx="147">
                  <c:v>-5475041.8986353278</c:v>
                </c:pt>
                <c:pt idx="148">
                  <c:v>-5383463.3411153555</c:v>
                </c:pt>
                <c:pt idx="149">
                  <c:v>-5471858.4596753716</c:v>
                </c:pt>
                <c:pt idx="150">
                  <c:v>-5370038.4618353546</c:v>
                </c:pt>
                <c:pt idx="151">
                  <c:v>-5162269.0981554091</c:v>
                </c:pt>
                <c:pt idx="152">
                  <c:v>-3013688.6584431529</c:v>
                </c:pt>
                <c:pt idx="153">
                  <c:v>-2827131.3358709812</c:v>
                </c:pt>
                <c:pt idx="154">
                  <c:v>-2768858.6537049413</c:v>
                </c:pt>
                <c:pt idx="155">
                  <c:v>-2624758.8926559985</c:v>
                </c:pt>
                <c:pt idx="156">
                  <c:v>-2544380.054123491</c:v>
                </c:pt>
                <c:pt idx="157">
                  <c:v>-2243613.3033468723</c:v>
                </c:pt>
                <c:pt idx="158">
                  <c:v>-2253158.1387018859</c:v>
                </c:pt>
                <c:pt idx="159">
                  <c:v>-2862841.7800049484</c:v>
                </c:pt>
                <c:pt idx="160">
                  <c:v>-2942962.9806568623</c:v>
                </c:pt>
                <c:pt idx="161">
                  <c:v>-2104592.5779448748</c:v>
                </c:pt>
                <c:pt idx="162">
                  <c:v>-1837094.4582568109</c:v>
                </c:pt>
                <c:pt idx="163">
                  <c:v>-1795493.5076248944</c:v>
                </c:pt>
                <c:pt idx="164">
                  <c:v>-1217659.2125480771</c:v>
                </c:pt>
                <c:pt idx="165">
                  <c:v>-1128238.0181409121</c:v>
                </c:pt>
                <c:pt idx="166">
                  <c:v>-458416.21406802535</c:v>
                </c:pt>
                <c:pt idx="167">
                  <c:v>-490885.13456484675</c:v>
                </c:pt>
                <c:pt idx="168">
                  <c:v>-449434.28556397557</c:v>
                </c:pt>
                <c:pt idx="169">
                  <c:v>-651937.96503692865</c:v>
                </c:pt>
                <c:pt idx="170">
                  <c:v>-612707.28584489226</c:v>
                </c:pt>
                <c:pt idx="171">
                  <c:v>-706973.88433295488</c:v>
                </c:pt>
                <c:pt idx="172">
                  <c:v>-120037.77989757061</c:v>
                </c:pt>
                <c:pt idx="173">
                  <c:v>27763.3809928298</c:v>
                </c:pt>
                <c:pt idx="174">
                  <c:v>-290001.14055362344</c:v>
                </c:pt>
                <c:pt idx="175">
                  <c:v>705996.90356636047</c:v>
                </c:pt>
                <c:pt idx="176">
                  <c:v>1536691.5905663967</c:v>
                </c:pt>
                <c:pt idx="177">
                  <c:v>1449672.1514543593</c:v>
                </c:pt>
                <c:pt idx="178">
                  <c:v>1883234.4400706291</c:v>
                </c:pt>
                <c:pt idx="179">
                  <c:v>2250664.5533183813</c:v>
                </c:pt>
                <c:pt idx="180">
                  <c:v>2146874.4182304144</c:v>
                </c:pt>
                <c:pt idx="181">
                  <c:v>2562340.7171903551</c:v>
                </c:pt>
                <c:pt idx="182">
                  <c:v>3463348.2824062407</c:v>
                </c:pt>
                <c:pt idx="183">
                  <c:v>3534548.8842468858</c:v>
                </c:pt>
                <c:pt idx="184">
                  <c:v>3824298.5230353475</c:v>
                </c:pt>
                <c:pt idx="185">
                  <c:v>4052075.8033491671</c:v>
                </c:pt>
                <c:pt idx="186">
                  <c:v>4155973.0428892076</c:v>
                </c:pt>
                <c:pt idx="187">
                  <c:v>4828634.9265772402</c:v>
                </c:pt>
                <c:pt idx="188">
                  <c:v>5187151.2487131953</c:v>
                </c:pt>
                <c:pt idx="189">
                  <c:v>5859019.8526781201</c:v>
                </c:pt>
                <c:pt idx="190">
                  <c:v>6293594.8621659875</c:v>
                </c:pt>
                <c:pt idx="191">
                  <c:v>6355934.8996059597</c:v>
                </c:pt>
                <c:pt idx="192">
                  <c:v>6738261.2493956089</c:v>
                </c:pt>
                <c:pt idx="193">
                  <c:v>6732192.8843261302</c:v>
                </c:pt>
                <c:pt idx="194">
                  <c:v>6885645.6520807445</c:v>
                </c:pt>
                <c:pt idx="195">
                  <c:v>6471836.1315966845</c:v>
                </c:pt>
                <c:pt idx="196">
                  <c:v>5751841.6508767307</c:v>
                </c:pt>
                <c:pt idx="197">
                  <c:v>6081221.7301567495</c:v>
                </c:pt>
                <c:pt idx="198">
                  <c:v>6200176.0691527724</c:v>
                </c:pt>
                <c:pt idx="199">
                  <c:v>5562122.9299207032</c:v>
                </c:pt>
                <c:pt idx="200">
                  <c:v>5768006.1291006804</c:v>
                </c:pt>
                <c:pt idx="201">
                  <c:v>5980698.5310007334</c:v>
                </c:pt>
                <c:pt idx="202">
                  <c:v>5912335.1358494461</c:v>
                </c:pt>
                <c:pt idx="203">
                  <c:v>5723191.575699091</c:v>
                </c:pt>
                <c:pt idx="204">
                  <c:v>6022790.7267078161</c:v>
                </c:pt>
                <c:pt idx="205">
                  <c:v>6096986.1006092131</c:v>
                </c:pt>
                <c:pt idx="206">
                  <c:v>6620901.4465493858</c:v>
                </c:pt>
                <c:pt idx="207">
                  <c:v>6604627.2056914866</c:v>
                </c:pt>
                <c:pt idx="208">
                  <c:v>6743401.9439806044</c:v>
                </c:pt>
                <c:pt idx="209">
                  <c:v>6918349.9068163037</c:v>
                </c:pt>
                <c:pt idx="210">
                  <c:v>7223979.7463444471</c:v>
                </c:pt>
                <c:pt idx="211">
                  <c:v>7103510.9462203681</c:v>
                </c:pt>
                <c:pt idx="212">
                  <c:v>7536568.5453763008</c:v>
                </c:pt>
                <c:pt idx="213">
                  <c:v>7223550.4115847051</c:v>
                </c:pt>
                <c:pt idx="214">
                  <c:v>7200501.571290642</c:v>
                </c:pt>
                <c:pt idx="215">
                  <c:v>7049569.2826385498</c:v>
                </c:pt>
                <c:pt idx="216">
                  <c:v>7217099.0893507898</c:v>
                </c:pt>
                <c:pt idx="217">
                  <c:v>7634616.2965597808</c:v>
                </c:pt>
                <c:pt idx="218">
                  <c:v>7095544.5215162039</c:v>
                </c:pt>
                <c:pt idx="219">
                  <c:v>7755586.2560525537</c:v>
                </c:pt>
                <c:pt idx="220">
                  <c:v>7646748.9300185442</c:v>
                </c:pt>
                <c:pt idx="221">
                  <c:v>6694887.3296464086</c:v>
                </c:pt>
                <c:pt idx="222">
                  <c:v>7295352.4561085105</c:v>
                </c:pt>
                <c:pt idx="223">
                  <c:v>7642570.9459627271</c:v>
                </c:pt>
                <c:pt idx="224">
                  <c:v>8898106.1270368695</c:v>
                </c:pt>
                <c:pt idx="225">
                  <c:v>8901208.6111389697</c:v>
                </c:pt>
                <c:pt idx="226">
                  <c:v>8980463.6903666854</c:v>
                </c:pt>
                <c:pt idx="227">
                  <c:v>9116227.3982548714</c:v>
                </c:pt>
                <c:pt idx="228">
                  <c:v>9737386.1429313719</c:v>
                </c:pt>
                <c:pt idx="229">
                  <c:v>9523334.3709569275</c:v>
                </c:pt>
                <c:pt idx="230">
                  <c:v>9529552.6481128335</c:v>
                </c:pt>
                <c:pt idx="231">
                  <c:v>9657710.6023448706</c:v>
                </c:pt>
                <c:pt idx="232">
                  <c:v>9661045.6915543079</c:v>
                </c:pt>
                <c:pt idx="233">
                  <c:v>9735223.9585463107</c:v>
                </c:pt>
                <c:pt idx="234">
                  <c:v>10009456.92644456</c:v>
                </c:pt>
                <c:pt idx="235">
                  <c:v>10348794.435351044</c:v>
                </c:pt>
                <c:pt idx="236">
                  <c:v>10400895.402826607</c:v>
                </c:pt>
                <c:pt idx="237">
                  <c:v>10251126.85086903</c:v>
                </c:pt>
                <c:pt idx="238">
                  <c:v>10184016.590774119</c:v>
                </c:pt>
                <c:pt idx="239">
                  <c:v>10070206.362534076</c:v>
                </c:pt>
                <c:pt idx="240">
                  <c:v>10410016.086518914</c:v>
                </c:pt>
                <c:pt idx="241">
                  <c:v>10200230.646518946</c:v>
                </c:pt>
                <c:pt idx="242">
                  <c:v>10665713.578940779</c:v>
                </c:pt>
                <c:pt idx="243">
                  <c:v>11017585.631385863</c:v>
                </c:pt>
                <c:pt idx="244">
                  <c:v>10879177.939149678</c:v>
                </c:pt>
                <c:pt idx="245">
                  <c:v>10981067.216222078</c:v>
                </c:pt>
                <c:pt idx="246">
                  <c:v>12037020.428260416</c:v>
                </c:pt>
                <c:pt idx="247">
                  <c:v>12399661.580648392</c:v>
                </c:pt>
                <c:pt idx="248">
                  <c:v>13148169.948613763</c:v>
                </c:pt>
                <c:pt idx="249">
                  <c:v>13137068.036869049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25-47B1-900D-B49BBB6E6A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49365968"/>
        <c:axId val="749366528"/>
      </c:lineChart>
      <c:dateAx>
        <c:axId val="749365968"/>
        <c:scaling>
          <c:orientation val="minMax"/>
        </c:scaling>
        <c:delete val="0"/>
        <c:axPos val="b"/>
        <c:numFmt formatCode="[$-416]dd\-mmm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6528"/>
        <c:crosses val="autoZero"/>
        <c:auto val="1"/>
        <c:lblOffset val="100"/>
        <c:baseTimeUnit val="days"/>
      </c:dateAx>
      <c:valAx>
        <c:axId val="7493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9365968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0"/>
                <c:y val="0.29455344124035659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50000"/>
                          <a:lumOff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pt-BR" sz="1050"/>
                    <a:t>Thous</a:t>
                  </a:r>
                  <a:r>
                    <a:rPr lang="pt-BR"/>
                    <a:t>ands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144771377262055E-2"/>
          <c:y val="5.0416756728938299E-2"/>
          <c:w val="0.95168370401068292"/>
          <c:h val="0.715847139107611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'GPH-VAR PAR'!$O$9</c:f>
              <c:strCache>
                <c:ptCount val="1"/>
                <c:pt idx="0">
                  <c:v>Book Value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tint val="50000"/>
                    <a:satMod val="300000"/>
                  </a:schemeClr>
                </a:gs>
                <a:gs pos="35000">
                  <a:schemeClr val="accent4">
                    <a:tint val="37000"/>
                    <a:satMod val="300000"/>
                  </a:schemeClr>
                </a:gs>
                <a:gs pos="100000">
                  <a:schemeClr val="accent4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4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numRef>
              <c:f>'GPH-VAR PAR'!$P$10:$P$30</c:f>
              <c:numCache>
                <c:formatCode>_-* #,##0_-;\-* #,##0_-;_-* "-"??_-;_-@_-</c:formatCode>
                <c:ptCount val="21"/>
                <c:pt idx="0">
                  <c:v>7226</c:v>
                </c:pt>
                <c:pt idx="1">
                  <c:v>7727</c:v>
                </c:pt>
                <c:pt idx="2">
                  <c:v>8228</c:v>
                </c:pt>
                <c:pt idx="3">
                  <c:v>8729</c:v>
                </c:pt>
                <c:pt idx="4">
                  <c:v>9231</c:v>
                </c:pt>
                <c:pt idx="5">
                  <c:v>9732</c:v>
                </c:pt>
                <c:pt idx="6">
                  <c:v>10233</c:v>
                </c:pt>
                <c:pt idx="7">
                  <c:v>10734</c:v>
                </c:pt>
                <c:pt idx="8">
                  <c:v>11235</c:v>
                </c:pt>
                <c:pt idx="9">
                  <c:v>11736</c:v>
                </c:pt>
                <c:pt idx="10">
                  <c:v>12237</c:v>
                </c:pt>
                <c:pt idx="11">
                  <c:v>12738</c:v>
                </c:pt>
                <c:pt idx="12">
                  <c:v>13239</c:v>
                </c:pt>
                <c:pt idx="13">
                  <c:v>13741</c:v>
                </c:pt>
                <c:pt idx="14">
                  <c:v>14242</c:v>
                </c:pt>
                <c:pt idx="15">
                  <c:v>14743</c:v>
                </c:pt>
                <c:pt idx="16">
                  <c:v>15244</c:v>
                </c:pt>
                <c:pt idx="17">
                  <c:v>15745</c:v>
                </c:pt>
                <c:pt idx="18">
                  <c:v>16246</c:v>
                </c:pt>
                <c:pt idx="19">
                  <c:v>16747</c:v>
                </c:pt>
                <c:pt idx="20">
                  <c:v>17248</c:v>
                </c:pt>
              </c:numCache>
            </c:numRef>
          </c:cat>
          <c:val>
            <c:numRef>
              <c:f>'GPH-VAR PAR'!$R$10:$R$30</c:f>
              <c:numCache>
                <c:formatCode>#,##0</c:formatCode>
                <c:ptCount val="21"/>
                <c:pt idx="0" formatCode="General">
                  <c:v>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2.6999999999999997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27-48B4-A564-D425D5047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751525360"/>
        <c:axId val="751525920"/>
      </c:barChart>
      <c:catAx>
        <c:axId val="751525360"/>
        <c:scaling>
          <c:orientation val="minMax"/>
        </c:scaling>
        <c:delete val="0"/>
        <c:axPos val="b"/>
        <c:numFmt formatCode="_-* #,##0_-;\-* #,##0_-;_-* &quot;-&quot;??_-;_-@_-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1525920"/>
        <c:crosses val="autoZero"/>
        <c:auto val="1"/>
        <c:lblAlgn val="ctr"/>
        <c:lblOffset val="100"/>
        <c:tickLblSkip val="3"/>
        <c:noMultiLvlLbl val="1"/>
      </c:catAx>
      <c:valAx>
        <c:axId val="75152592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51525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92638453174885"/>
          <c:y val="4.900931936888623E-2"/>
          <c:w val="0.84544740614547187"/>
          <c:h val="0.6540258258934231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pREFs!$B$119</c:f>
              <c:strCache>
                <c:ptCount val="1"/>
                <c:pt idx="0">
                  <c:v>d-1</c:v>
                </c:pt>
              </c:strCache>
            </c:strRef>
          </c:tx>
          <c:spPr>
            <a:solidFill>
              <a:schemeClr val="bg1">
                <a:lumMod val="50000"/>
                <a:alpha val="72000"/>
              </a:schemeClr>
            </a:solidFill>
            <a:ln>
              <a:noFill/>
              <a:prstDash val="dash"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pREFs!$C$117:$K$117</c15:sqref>
                  </c15:fullRef>
                </c:ext>
              </c:extLst>
              <c:f>pREFs!$C$117:$I$117</c:f>
              <c:strCache>
                <c:ptCount val="7"/>
                <c:pt idx="0">
                  <c:v>Dec-22</c:v>
                </c:pt>
                <c:pt idx="1">
                  <c:v>Jan-23</c:v>
                </c:pt>
                <c:pt idx="2">
                  <c:v>Feb-23</c:v>
                </c:pt>
                <c:pt idx="3">
                  <c:v>Mar-23</c:v>
                </c:pt>
                <c:pt idx="4">
                  <c:v>Abr-Dez 23</c:v>
                </c:pt>
                <c:pt idx="5">
                  <c:v>2024</c:v>
                </c:pt>
                <c:pt idx="6">
                  <c:v>2025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pREFs!$C$119:$K$119</c15:sqref>
                  </c15:fullRef>
                </c:ext>
              </c:extLst>
              <c:f>pREFs!$C$119:$I$119</c:f>
              <c:numCache>
                <c:formatCode>0</c:formatCode>
                <c:ptCount val="7"/>
                <c:pt idx="0">
                  <c:v>55.7</c:v>
                </c:pt>
                <c:pt idx="1">
                  <c:v>69</c:v>
                </c:pt>
                <c:pt idx="2">
                  <c:v>69.67</c:v>
                </c:pt>
                <c:pt idx="3">
                  <c:v>69.67</c:v>
                </c:pt>
                <c:pt idx="4">
                  <c:v>76.916727272727272</c:v>
                </c:pt>
                <c:pt idx="5">
                  <c:v>98.500218579234982</c:v>
                </c:pt>
                <c:pt idx="6">
                  <c:v>121.32999999999998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0C-4604-866F-112D6E0C8664}"/>
            </c:ext>
          </c:extLst>
        </c:ser>
        <c:ser>
          <c:idx val="0"/>
          <c:order val="1"/>
          <c:tx>
            <c:strRef>
              <c:f>pREFs!$B$118</c:f>
              <c:strCache>
                <c:ptCount val="1"/>
                <c:pt idx="0">
                  <c:v>d0</c:v>
                </c:pt>
              </c:strCache>
            </c:strRef>
          </c:tx>
          <c:spPr>
            <a:solidFill>
              <a:srgbClr val="6F51A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pREFs!$C$117:$K$117</c15:sqref>
                  </c15:fullRef>
                </c:ext>
              </c:extLst>
              <c:f>pREFs!$C$117:$I$117</c:f>
              <c:strCache>
                <c:ptCount val="7"/>
                <c:pt idx="0">
                  <c:v>Dec-22</c:v>
                </c:pt>
                <c:pt idx="1">
                  <c:v>Jan-23</c:v>
                </c:pt>
                <c:pt idx="2">
                  <c:v>Feb-23</c:v>
                </c:pt>
                <c:pt idx="3">
                  <c:v>Mar-23</c:v>
                </c:pt>
                <c:pt idx="4">
                  <c:v>Abr-Dez 23</c:v>
                </c:pt>
                <c:pt idx="5">
                  <c:v>2024</c:v>
                </c:pt>
                <c:pt idx="6">
                  <c:v>2025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pREFs!$C$118:$K$118</c15:sqref>
                  </c15:fullRef>
                </c:ext>
              </c:extLst>
              <c:f>pREFs!$C$118:$I$118</c:f>
              <c:numCache>
                <c:formatCode>0</c:formatCode>
                <c:ptCount val="7"/>
                <c:pt idx="0">
                  <c:v>55.7</c:v>
                </c:pt>
                <c:pt idx="1">
                  <c:v>68.72</c:v>
                </c:pt>
                <c:pt idx="2">
                  <c:v>69.25</c:v>
                </c:pt>
                <c:pt idx="3">
                  <c:v>69.3</c:v>
                </c:pt>
                <c:pt idx="4">
                  <c:v>76.150545454545451</c:v>
                </c:pt>
                <c:pt idx="5">
                  <c:v>100.10000000000001</c:v>
                </c:pt>
                <c:pt idx="6">
                  <c:v>112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0C-4604-866F-112D6E0C86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3"/>
        <c:axId val="1333380336"/>
        <c:axId val="1333380896"/>
      </c:barChart>
      <c:catAx>
        <c:axId val="133338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380896"/>
        <c:crosses val="autoZero"/>
        <c:auto val="1"/>
        <c:lblAlgn val="ctr"/>
        <c:lblOffset val="100"/>
        <c:noMultiLvlLbl val="0"/>
      </c:catAx>
      <c:valAx>
        <c:axId val="1333380896"/>
        <c:scaling>
          <c:orientation val="minMax"/>
          <c:min val="5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0"/>
        <c:majorTickMark val="out"/>
        <c:minorTickMark val="none"/>
        <c:tickLblPos val="nextTo"/>
        <c:crossAx val="1333380336"/>
        <c:crosses val="autoZero"/>
        <c:crossBetween val="between"/>
        <c:majorUnit val="4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791838117009569"/>
          <c:y val="5.9459484766752405E-2"/>
          <c:w val="0.82476979087291513"/>
          <c:h val="0.64640759583213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'GPH-VOL'!$B$24</c:f>
              <c:strCache>
                <c:ptCount val="1"/>
                <c:pt idx="0">
                  <c:v>Monthly</c:v>
                </c:pt>
              </c:strCache>
            </c:strRef>
          </c:tx>
          <c:spPr>
            <a:solidFill>
              <a:srgbClr val="6F51A2"/>
            </a:solidFill>
            <a:ln>
              <a:noFill/>
            </a:ln>
            <a:effectLst/>
          </c:spPr>
          <c:invertIfNegative val="0"/>
          <c:cat>
            <c:numRef>
              <c:f>'GPH-VOL'!$C$21:$BJ$21</c:f>
              <c:numCache>
                <c:formatCode>mmm\-yy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'GPH-VOL'!$C$24:$BJ$24</c:f>
              <c:numCache>
                <c:formatCode>0.0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3.3703199999999924</c:v>
                </c:pt>
                <c:pt idx="12">
                  <c:v>-10.168000247999998</c:v>
                </c:pt>
                <c:pt idx="13">
                  <c:v>-1.9264002240000337</c:v>
                </c:pt>
                <c:pt idx="14">
                  <c:v>-0.12400024800000153</c:v>
                </c:pt>
                <c:pt idx="15">
                  <c:v>-11.102399999999996</c:v>
                </c:pt>
                <c:pt idx="16">
                  <c:v>-25.772160000000003</c:v>
                </c:pt>
                <c:pt idx="17">
                  <c:v>-23.040000000000003</c:v>
                </c:pt>
                <c:pt idx="18">
                  <c:v>-19.716000000000001</c:v>
                </c:pt>
                <c:pt idx="19">
                  <c:v>-15.995999999999995</c:v>
                </c:pt>
                <c:pt idx="20">
                  <c:v>-15.48</c:v>
                </c:pt>
                <c:pt idx="21">
                  <c:v>-5.208000000000002</c:v>
                </c:pt>
                <c:pt idx="22">
                  <c:v>-5.0399999999999991</c:v>
                </c:pt>
                <c:pt idx="23">
                  <c:v>-5.2079999999999966</c:v>
                </c:pt>
                <c:pt idx="24">
                  <c:v>-10.416</c:v>
                </c:pt>
                <c:pt idx="25">
                  <c:v>-9.7440000000000015</c:v>
                </c:pt>
                <c:pt idx="26">
                  <c:v>-10.416</c:v>
                </c:pt>
                <c:pt idx="27">
                  <c:v>-10.079999999999998</c:v>
                </c:pt>
                <c:pt idx="28">
                  <c:v>-10.416</c:v>
                </c:pt>
                <c:pt idx="29">
                  <c:v>-10.079999999999998</c:v>
                </c:pt>
                <c:pt idx="30">
                  <c:v>-10.416</c:v>
                </c:pt>
                <c:pt idx="31">
                  <c:v>-10.416</c:v>
                </c:pt>
                <c:pt idx="32">
                  <c:v>-10.079999999999998</c:v>
                </c:pt>
                <c:pt idx="33">
                  <c:v>-10.416</c:v>
                </c:pt>
                <c:pt idx="34">
                  <c:v>-10.079999999999998</c:v>
                </c:pt>
                <c:pt idx="35">
                  <c:v>-10.416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3-4823-9663-75690BAAB7D2}"/>
            </c:ext>
          </c:extLst>
        </c:ser>
        <c:ser>
          <c:idx val="2"/>
          <c:order val="2"/>
          <c:tx>
            <c:strRef>
              <c:f>'GPH-VOL'!$B$25</c:f>
              <c:strCache>
                <c:ptCount val="1"/>
                <c:pt idx="0">
                  <c:v>Cumulative</c:v>
                </c:pt>
              </c:strCache>
            </c:strRef>
          </c:tx>
          <c:spPr>
            <a:pattFill prst="ltUpDiag">
              <a:fgClr>
                <a:schemeClr val="bg1">
                  <a:lumMod val="65000"/>
                </a:schemeClr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C2B3-4823-9663-75690BAAB7D2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C2B3-4823-9663-75690BAAB7D2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C2B3-4823-9663-75690BAAB7D2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C2B3-4823-9663-75690BAAB7D2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C2B3-4823-9663-75690BAAB7D2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C2B3-4823-9663-75690BAAB7D2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C2B3-4823-9663-75690BAAB7D2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C2B3-4823-9663-75690BAAB7D2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C2B3-4823-9663-75690BAAB7D2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C2B3-4823-9663-75690BAAB7D2}"/>
              </c:ext>
            </c:extLst>
          </c:dPt>
          <c:cat>
            <c:numRef>
              <c:f>'GPH-VOL'!$C$21:$BJ$21</c:f>
              <c:numCache>
                <c:formatCode>mmm\-yy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'GPH-VOL'!$C$25:$BJ$25</c:f>
              <c:numCache>
                <c:formatCode>0.0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-258.38664071999995</c:v>
                </c:pt>
                <c:pt idx="12">
                  <c:v>-261.75696071999994</c:v>
                </c:pt>
                <c:pt idx="13">
                  <c:v>-251.58896047199994</c:v>
                </c:pt>
                <c:pt idx="14">
                  <c:v>-249.66256024799992</c:v>
                </c:pt>
                <c:pt idx="15">
                  <c:v>-249.5385599999999</c:v>
                </c:pt>
                <c:pt idx="16">
                  <c:v>-238.43615999999992</c:v>
                </c:pt>
                <c:pt idx="17">
                  <c:v>-212.66399999999993</c:v>
                </c:pt>
                <c:pt idx="18">
                  <c:v>-189.62399999999997</c:v>
                </c:pt>
                <c:pt idx="19">
                  <c:v>-169.90799999999996</c:v>
                </c:pt>
                <c:pt idx="20">
                  <c:v>-153.91199999999998</c:v>
                </c:pt>
                <c:pt idx="21">
                  <c:v>-138.43199999999996</c:v>
                </c:pt>
                <c:pt idx="22">
                  <c:v>-133.22399999999999</c:v>
                </c:pt>
                <c:pt idx="23">
                  <c:v>-128.184</c:v>
                </c:pt>
                <c:pt idx="24">
                  <c:v>-122.97599999999998</c:v>
                </c:pt>
                <c:pt idx="25">
                  <c:v>-112.55999999999999</c:v>
                </c:pt>
                <c:pt idx="26">
                  <c:v>-102.81599999999999</c:v>
                </c:pt>
                <c:pt idx="27">
                  <c:v>-92.399999999999991</c:v>
                </c:pt>
                <c:pt idx="28">
                  <c:v>-82.32</c:v>
                </c:pt>
                <c:pt idx="29">
                  <c:v>-71.903999999999996</c:v>
                </c:pt>
                <c:pt idx="30">
                  <c:v>-61.823999999999998</c:v>
                </c:pt>
                <c:pt idx="31">
                  <c:v>-51.408000000000001</c:v>
                </c:pt>
                <c:pt idx="32">
                  <c:v>-40.991999999999997</c:v>
                </c:pt>
                <c:pt idx="33">
                  <c:v>-30.911999999999999</c:v>
                </c:pt>
                <c:pt idx="34">
                  <c:v>-20.495999999999999</c:v>
                </c:pt>
                <c:pt idx="35">
                  <c:v>-10.416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2B3-4823-9663-75690BAAB7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6"/>
        <c:axId val="1333321664"/>
        <c:axId val="1333322224"/>
      </c:barChart>
      <c:lineChart>
        <c:grouping val="standard"/>
        <c:varyColors val="0"/>
        <c:ser>
          <c:idx val="1"/>
          <c:order val="1"/>
          <c:tx>
            <c:strRef>
              <c:f>'GPH-VOL'!$B$22</c:f>
              <c:strCache>
                <c:ptCount val="1"/>
                <c:pt idx="0">
                  <c:v>#N/A</c:v>
                </c:pt>
              </c:strCache>
            </c:strRef>
          </c:tx>
          <c:spPr>
            <a:ln w="2032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'GPH-VOL'!$C$21:$BJ$21</c:f>
              <c:numCache>
                <c:formatCode>mmm\-yy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'GPH-VOL'!$C$22:$BJ$22</c:f>
              <c:numCache>
                <c:formatCode>0.0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C2B3-4823-9663-75690BAAB7D2}"/>
            </c:ext>
          </c:extLst>
        </c:ser>
        <c:ser>
          <c:idx val="3"/>
          <c:order val="3"/>
          <c:tx>
            <c:strRef>
              <c:f>'GPH-VOL'!$B$27</c:f>
              <c:strCache>
                <c:ptCount val="1"/>
                <c:pt idx="0">
                  <c:v>Limit FY Short</c:v>
                </c:pt>
              </c:strCache>
            </c:strRef>
          </c:tx>
          <c:spPr>
            <a:ln w="20320" cap="rnd">
              <a:solidFill>
                <a:srgbClr val="FF0000">
                  <a:alpha val="99000"/>
                </a:srgb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'GPH-VOL'!$C$21:$BJ$21</c:f>
              <c:numCache>
                <c:formatCode>mmm\-yy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'GPH-VOL'!$C$27:$BJ$27</c:f>
              <c:numCache>
                <c:formatCode>0.0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-525.6</c:v>
                </c:pt>
                <c:pt idx="12">
                  <c:v>-525.6</c:v>
                </c:pt>
                <c:pt idx="13">
                  <c:v>-525.6</c:v>
                </c:pt>
                <c:pt idx="14">
                  <c:v>-525.6</c:v>
                </c:pt>
                <c:pt idx="15">
                  <c:v>-525.6</c:v>
                </c:pt>
                <c:pt idx="16">
                  <c:v>-525.6</c:v>
                </c:pt>
                <c:pt idx="17">
                  <c:v>-525.6</c:v>
                </c:pt>
                <c:pt idx="18">
                  <c:v>-525.6</c:v>
                </c:pt>
                <c:pt idx="19">
                  <c:v>-525.6</c:v>
                </c:pt>
                <c:pt idx="20">
                  <c:v>-525.6</c:v>
                </c:pt>
                <c:pt idx="21">
                  <c:v>-525.6</c:v>
                </c:pt>
                <c:pt idx="22">
                  <c:v>-525.6</c:v>
                </c:pt>
                <c:pt idx="23">
                  <c:v>-525.6</c:v>
                </c:pt>
                <c:pt idx="24">
                  <c:v>-525.6</c:v>
                </c:pt>
                <c:pt idx="25">
                  <c:v>-525.6</c:v>
                </c:pt>
                <c:pt idx="26">
                  <c:v>-525.6</c:v>
                </c:pt>
                <c:pt idx="27">
                  <c:v>-525.6</c:v>
                </c:pt>
                <c:pt idx="28">
                  <c:v>-525.6</c:v>
                </c:pt>
                <c:pt idx="29">
                  <c:v>-525.6</c:v>
                </c:pt>
                <c:pt idx="30">
                  <c:v>-525.6</c:v>
                </c:pt>
                <c:pt idx="31">
                  <c:v>-525.6</c:v>
                </c:pt>
                <c:pt idx="32">
                  <c:v>-525.6</c:v>
                </c:pt>
                <c:pt idx="33">
                  <c:v>-525.6</c:v>
                </c:pt>
                <c:pt idx="34">
                  <c:v>-525.6</c:v>
                </c:pt>
                <c:pt idx="35">
                  <c:v>-525.6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C2B3-4823-9663-75690BAAB7D2}"/>
            </c:ext>
          </c:extLst>
        </c:ser>
        <c:ser>
          <c:idx val="4"/>
          <c:order val="4"/>
          <c:tx>
            <c:strRef>
              <c:f>'GPH-VOL'!$B$23</c:f>
              <c:strCache>
                <c:ptCount val="1"/>
                <c:pt idx="0">
                  <c:v>#N/A</c:v>
                </c:pt>
              </c:strCache>
            </c:strRef>
          </c:tx>
          <c:spPr>
            <a:ln w="2032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'GPH-VOL'!$C$21:$BJ$21</c:f>
              <c:numCache>
                <c:formatCode>mmm\-yy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'GPH-VOL'!$C$23:$BJ$23</c:f>
              <c:numCache>
                <c:formatCode>0.0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5FD5-484A-BABF-A49AA187EA3B}"/>
            </c:ext>
          </c:extLst>
        </c:ser>
        <c:ser>
          <c:idx val="5"/>
          <c:order val="5"/>
          <c:tx>
            <c:strRef>
              <c:f>'GPH-VOL'!$B$26</c:f>
              <c:strCache>
                <c:ptCount val="1"/>
                <c:pt idx="0">
                  <c:v>#N/A</c:v>
                </c:pt>
              </c:strCache>
            </c:strRef>
          </c:tx>
          <c:spPr>
            <a:ln w="20320" cap="rnd">
              <a:solidFill>
                <a:srgbClr val="C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'GPH-VOL'!$C$21:$BJ$21</c:f>
              <c:numCache>
                <c:formatCode>mmm\-yy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44896</c:v>
                </c:pt>
                <c:pt idx="12">
                  <c:v>44927</c:v>
                </c:pt>
                <c:pt idx="13">
                  <c:v>44958</c:v>
                </c:pt>
                <c:pt idx="14">
                  <c:v>44986</c:v>
                </c:pt>
                <c:pt idx="15">
                  <c:v>45017</c:v>
                </c:pt>
                <c:pt idx="16">
                  <c:v>45047</c:v>
                </c:pt>
                <c:pt idx="17">
                  <c:v>45078</c:v>
                </c:pt>
                <c:pt idx="18">
                  <c:v>45108</c:v>
                </c:pt>
                <c:pt idx="19">
                  <c:v>45139</c:v>
                </c:pt>
                <c:pt idx="20">
                  <c:v>45170</c:v>
                </c:pt>
                <c:pt idx="21">
                  <c:v>45200</c:v>
                </c:pt>
                <c:pt idx="22">
                  <c:v>45231</c:v>
                </c:pt>
                <c:pt idx="23">
                  <c:v>45261</c:v>
                </c:pt>
                <c:pt idx="24">
                  <c:v>45292</c:v>
                </c:pt>
                <c:pt idx="25">
                  <c:v>45323</c:v>
                </c:pt>
                <c:pt idx="26">
                  <c:v>45352</c:v>
                </c:pt>
                <c:pt idx="27">
                  <c:v>45383</c:v>
                </c:pt>
                <c:pt idx="28">
                  <c:v>45413</c:v>
                </c:pt>
                <c:pt idx="29">
                  <c:v>45444</c:v>
                </c:pt>
                <c:pt idx="30">
                  <c:v>45474</c:v>
                </c:pt>
                <c:pt idx="31">
                  <c:v>45505</c:v>
                </c:pt>
                <c:pt idx="32">
                  <c:v>45536</c:v>
                </c:pt>
                <c:pt idx="33">
                  <c:v>45566</c:v>
                </c:pt>
                <c:pt idx="34">
                  <c:v>45597</c:v>
                </c:pt>
                <c:pt idx="35">
                  <c:v>45627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cat>
          <c:val>
            <c:numRef>
              <c:f>'GPH-VOL'!$C$26:$BJ$26</c:f>
              <c:numCache>
                <c:formatCode>0.0</c:formatCode>
                <c:ptCount val="6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5FD5-484A-BABF-A49AA187EA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33321664"/>
        <c:axId val="1333322224"/>
      </c:lineChart>
      <c:dateAx>
        <c:axId val="133332166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322224"/>
        <c:crosses val="autoZero"/>
        <c:auto val="1"/>
        <c:lblOffset val="100"/>
        <c:baseTimeUnit val="months"/>
        <c:majorUnit val="1"/>
        <c:majorTimeUnit val="months"/>
      </c:dateAx>
      <c:valAx>
        <c:axId val="133332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321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27817509995624884"/>
          <c:y val="0.8448985346308554"/>
          <c:w val="0.42342645811038121"/>
          <c:h val="7.99593471307973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Frequência</a:t>
            </a:r>
            <a:r>
              <a:rPr lang="en-US" baseline="0"/>
              <a:t> Acumulada - Book Value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'GPH-VAR PAR'!$A$2:$A$101</c:f>
              <c:numCache>
                <c:formatCode>0%</c:formatCode>
                <c:ptCount val="100"/>
                <c:pt idx="0">
                  <c:v>1E-4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</c:numCache>
            </c:numRef>
          </c:xVal>
          <c:yVal>
            <c:numRef>
              <c:f>'GPH-VAR PAR'!$D$2:$D$101</c:f>
              <c:numCache>
                <c:formatCode>#,##0</c:formatCode>
                <c:ptCount val="100"/>
                <c:pt idx="1">
                  <c:v>7226070.4381674267</c:v>
                </c:pt>
                <c:pt idx="2">
                  <c:v>8223741.7467958815</c:v>
                </c:pt>
                <c:pt idx="3">
                  <c:v>8786085.9867021758</c:v>
                </c:pt>
                <c:pt idx="4">
                  <c:v>9179110.3898670636</c:v>
                </c:pt>
                <c:pt idx="5">
                  <c:v>9482169.555703219</c:v>
                </c:pt>
                <c:pt idx="6">
                  <c:v>9729558.2061313074</c:v>
                </c:pt>
                <c:pt idx="7">
                  <c:v>9939177.8289406262</c:v>
                </c:pt>
                <c:pt idx="8">
                  <c:v>10121536.929480491</c:v>
                </c:pt>
                <c:pt idx="9">
                  <c:v>10283323.331799388</c:v>
                </c:pt>
                <c:pt idx="10">
                  <c:v>10429053.167216921</c:v>
                </c:pt>
                <c:pt idx="11">
                  <c:v>10561917.831087425</c:v>
                </c:pt>
                <c:pt idx="12">
                  <c:v>10684255.240777111</c:v>
                </c:pt>
                <c:pt idx="13">
                  <c:v>10797828.941594057</c:v>
                </c:pt>
                <c:pt idx="14">
                  <c:v>10904001.914676957</c:v>
                </c:pt>
                <c:pt idx="15">
                  <c:v>11003849.372077499</c:v>
                </c:pt>
                <c:pt idx="16">
                  <c:v>11098234.531245587</c:v>
                </c:pt>
                <c:pt idx="17">
                  <c:v>11187861.038282372</c:v>
                </c:pt>
                <c:pt idx="18">
                  <c:v>11273310.166286288</c:v>
                </c:pt>
                <c:pt idx="19">
                  <c:v>11355067.799042853</c:v>
                </c:pt>
                <c:pt idx="20">
                  <c:v>11433544.388197588</c:v>
                </c:pt>
                <c:pt idx="21">
                  <c:v>11509089.969467511</c:v>
                </c:pt>
                <c:pt idx="22">
                  <c:v>11582005.635906173</c:v>
                </c:pt>
                <c:pt idx="23">
                  <c:v>11652552.425946858</c:v>
                </c:pt>
                <c:pt idx="24">
                  <c:v>11720958.295226457</c:v>
                </c:pt>
                <c:pt idx="25">
                  <c:v>11787423.647786992</c:v>
                </c:pt>
                <c:pt idx="26">
                  <c:v>11852125.770182315</c:v>
                </c:pt>
                <c:pt idx="27">
                  <c:v>11915222.420245213</c:v>
                </c:pt>
                <c:pt idx="28">
                  <c:v>11976854.757478548</c:v>
                </c:pt>
                <c:pt idx="29">
                  <c:v>12037149.755620021</c:v>
                </c:pt>
                <c:pt idx="30">
                  <c:v>12096222.204234665</c:v>
                </c:pt>
                <c:pt idx="31">
                  <c:v>12154176.381423049</c:v>
                </c:pt>
                <c:pt idx="32">
                  <c:v>12211107.461323608</c:v>
                </c:pt>
                <c:pt idx="33">
                  <c:v>12267102.706256023</c:v>
                </c:pt>
                <c:pt idx="34">
                  <c:v>12322242.482861038</c:v>
                </c:pt>
                <c:pt idx="35">
                  <c:v>12376601.133559898</c:v>
                </c:pt>
                <c:pt idx="36">
                  <c:v>12430247.728456475</c:v>
                </c:pt>
                <c:pt idx="37">
                  <c:v>12483246.717981182</c:v>
                </c:pt>
                <c:pt idx="38">
                  <c:v>12535658.502796471</c:v>
                </c:pt>
                <c:pt idx="39">
                  <c:v>12587539.934502212</c:v>
                </c:pt>
                <c:pt idx="40">
                  <c:v>12638944.758314788</c:v>
                </c:pt>
                <c:pt idx="41">
                  <c:v>12689924.007006699</c:v>
                </c:pt>
                <c:pt idx="42">
                  <c:v>12740526.353884369</c:v>
                </c:pt>
                <c:pt idx="43">
                  <c:v>12790798.431365937</c:v>
                </c:pt>
                <c:pt idx="44">
                  <c:v>12840785.120744452</c:v>
                </c:pt>
                <c:pt idx="45">
                  <c:v>12890529.81793276</c:v>
                </c:pt>
                <c:pt idx="46">
                  <c:v>12940074.679353064</c:v>
                </c:pt>
                <c:pt idx="47">
                  <c:v>12989460.851625886</c:v>
                </c:pt>
                <c:pt idx="48">
                  <c:v>13038728.688310632</c:v>
                </c:pt>
                <c:pt idx="49">
                  <c:v>13087917.956635648</c:v>
                </c:pt>
                <c:pt idx="50">
                  <c:v>13137068.036868621</c:v>
                </c:pt>
                <c:pt idx="51">
                  <c:v>13183385.899202056</c:v>
                </c:pt>
                <c:pt idx="52">
                  <c:v>13229740.69145795</c:v>
                </c:pt>
                <c:pt idx="53">
                  <c:v>13276169.524660533</c:v>
                </c:pt>
                <c:pt idx="54">
                  <c:v>13322709.874496499</c:v>
                </c:pt>
                <c:pt idx="55">
                  <c:v>13369399.769196922</c:v>
                </c:pt>
                <c:pt idx="56">
                  <c:v>13416277.98435476</c:v>
                </c:pt>
                <c:pt idx="57">
                  <c:v>13463384.247175967</c:v>
                </c:pt>
                <c:pt idx="58">
                  <c:v>13510759.452932928</c:v>
                </c:pt>
                <c:pt idx="59">
                  <c:v>13558445.896684771</c:v>
                </c:pt>
                <c:pt idx="60">
                  <c:v>13606487.523709219</c:v>
                </c:pt>
                <c:pt idx="61">
                  <c:v>13654930.202568296</c:v>
                </c:pt>
                <c:pt idx="62">
                  <c:v>13703822.025328688</c:v>
                </c:pt>
                <c:pt idx="63">
                  <c:v>13753213.640199238</c:v>
                </c:pt>
                <c:pt idx="64">
                  <c:v>13803158.622770594</c:v>
                </c:pt>
                <c:pt idx="65">
                  <c:v>13853713.893185182</c:v>
                </c:pt>
                <c:pt idx="66">
                  <c:v>13904940.187990138</c:v>
                </c:pt>
                <c:pt idx="67">
                  <c:v>13956902.59720253</c:v>
                </c:pt>
                <c:pt idx="68">
                  <c:v>14009671.179345485</c:v>
                </c:pt>
                <c:pt idx="69">
                  <c:v>14063321.670022774</c:v>
                </c:pt>
                <c:pt idx="70">
                  <c:v>14117936.303161442</c:v>
                </c:pt>
                <c:pt idx="71">
                  <c:v>14173604.768597556</c:v>
                </c:pt>
                <c:pt idx="72">
                  <c:v>14230425.335523896</c:v>
                </c:pt>
                <c:pt idx="73">
                  <c:v>14288506.178886307</c:v>
                </c:pt>
                <c:pt idx="74">
                  <c:v>14347966.955704208</c:v>
                </c:pt>
                <c:pt idx="75">
                  <c:v>14408940.691323388</c:v>
                </c:pt>
                <c:pt idx="76">
                  <c:v>14471576.052959621</c:v>
                </c:pt>
                <c:pt idx="77">
                  <c:v>14536040.111229172</c:v>
                </c:pt>
                <c:pt idx="78">
                  <c:v>14602521.72211732</c:v>
                </c:pt>
                <c:pt idx="79">
                  <c:v>14671235.705574699</c:v>
                </c:pt>
                <c:pt idx="80">
                  <c:v>14742428.057989458</c:v>
                </c:pt>
                <c:pt idx="81">
                  <c:v>14812503.509597555</c:v>
                </c:pt>
                <c:pt idx="82">
                  <c:v>14883298.090868844</c:v>
                </c:pt>
                <c:pt idx="83">
                  <c:v>14957289.167090988</c:v>
                </c:pt>
                <c:pt idx="84">
                  <c:v>15034897.468879413</c:v>
                </c:pt>
                <c:pt idx="85">
                  <c:v>15116626.325210471</c:v>
                </c:pt>
                <c:pt idx="86">
                  <c:v>15201904.359218877</c:v>
                </c:pt>
                <c:pt idx="87">
                  <c:v>15292543.165476896</c:v>
                </c:pt>
                <c:pt idx="88">
                  <c:v>15389499.899054609</c:v>
                </c:pt>
                <c:pt idx="89">
                  <c:v>15493898.737820446</c:v>
                </c:pt>
                <c:pt idx="90">
                  <c:v>15607234.931868795</c:v>
                </c:pt>
                <c:pt idx="91">
                  <c:v>15731545.37246583</c:v>
                </c:pt>
                <c:pt idx="92">
                  <c:v>15869552.383159574</c:v>
                </c:pt>
                <c:pt idx="93">
                  <c:v>16025108.313556634</c:v>
                </c:pt>
                <c:pt idx="94">
                  <c:v>16184243.683576763</c:v>
                </c:pt>
                <c:pt idx="95">
                  <c:v>16355346.763723586</c:v>
                </c:pt>
                <c:pt idx="96">
                  <c:v>16537403.918472048</c:v>
                </c:pt>
                <c:pt idx="97">
                  <c:v>16768290.971016437</c:v>
                </c:pt>
                <c:pt idx="98">
                  <c:v>16984852.731601216</c:v>
                </c:pt>
                <c:pt idx="99">
                  <c:v>17248397.658715528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D6-4AAC-9BD6-2C00C167E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280304"/>
        <c:axId val="1347280864"/>
      </c:scatterChart>
      <c:valAx>
        <c:axId val="1347280304"/>
        <c:scaling>
          <c:orientation val="minMax"/>
          <c:max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280864"/>
        <c:crosses val="autoZero"/>
        <c:crossBetween val="midCat"/>
        <c:majorUnit val="0.1"/>
      </c:valAx>
      <c:valAx>
        <c:axId val="134728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280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Book Value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928400624766749E-2"/>
          <c:y val="0.13930555555555557"/>
          <c:w val="0.90490016863173317"/>
          <c:h val="0.6056248177311169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'GPH-VAR PAR'!$O$9</c:f>
              <c:strCache>
                <c:ptCount val="1"/>
                <c:pt idx="0">
                  <c:v>Book Value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satMod val="300000"/>
                  </a:schemeClr>
                </a:gs>
                <a:gs pos="35000">
                  <a:schemeClr val="accent1">
                    <a:tint val="37000"/>
                    <a:satMod val="300000"/>
                  </a:schemeClr>
                </a:gs>
                <a:gs pos="100000">
                  <a:schemeClr val="accent1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cat>
            <c:numRef>
              <c:f>'GPH-VAR PAR'!$P$10:$P$30</c:f>
              <c:numCache>
                <c:formatCode>_-* #,##0_-;\-* #,##0_-;_-* "-"??_-;_-@_-</c:formatCode>
                <c:ptCount val="21"/>
                <c:pt idx="0">
                  <c:v>7226</c:v>
                </c:pt>
                <c:pt idx="1">
                  <c:v>7727</c:v>
                </c:pt>
                <c:pt idx="2">
                  <c:v>8228</c:v>
                </c:pt>
                <c:pt idx="3">
                  <c:v>8729</c:v>
                </c:pt>
                <c:pt idx="4">
                  <c:v>9231</c:v>
                </c:pt>
                <c:pt idx="5">
                  <c:v>9732</c:v>
                </c:pt>
                <c:pt idx="6">
                  <c:v>10233</c:v>
                </c:pt>
                <c:pt idx="7">
                  <c:v>10734</c:v>
                </c:pt>
                <c:pt idx="8">
                  <c:v>11235</c:v>
                </c:pt>
                <c:pt idx="9">
                  <c:v>11736</c:v>
                </c:pt>
                <c:pt idx="10">
                  <c:v>12237</c:v>
                </c:pt>
                <c:pt idx="11">
                  <c:v>12738</c:v>
                </c:pt>
                <c:pt idx="12">
                  <c:v>13239</c:v>
                </c:pt>
                <c:pt idx="13">
                  <c:v>13741</c:v>
                </c:pt>
                <c:pt idx="14">
                  <c:v>14242</c:v>
                </c:pt>
                <c:pt idx="15">
                  <c:v>14743</c:v>
                </c:pt>
                <c:pt idx="16">
                  <c:v>15244</c:v>
                </c:pt>
                <c:pt idx="17">
                  <c:v>15745</c:v>
                </c:pt>
                <c:pt idx="18">
                  <c:v>16246</c:v>
                </c:pt>
                <c:pt idx="19">
                  <c:v>16747</c:v>
                </c:pt>
                <c:pt idx="20">
                  <c:v>17248</c:v>
                </c:pt>
              </c:numCache>
            </c:numRef>
          </c:cat>
          <c:val>
            <c:numRef>
              <c:f>'GPH-VAR PAR'!$R$10:$R$30</c:f>
              <c:numCache>
                <c:formatCode>#,##0</c:formatCode>
                <c:ptCount val="21"/>
                <c:pt idx="0" formatCode="General">
                  <c:v>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2.6999999999999997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75-4830-AEA8-ED26EF72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9"/>
        <c:axId val="1347283664"/>
        <c:axId val="1333932912"/>
      </c:barChart>
      <c:barChart>
        <c:barDir val="col"/>
        <c:grouping val="clustered"/>
        <c:varyColors val="0"/>
        <c:ser>
          <c:idx val="1"/>
          <c:order val="1"/>
          <c:tx>
            <c:strRef>
              <c:f>'GPH-VAR PAR'!$S$9</c:f>
              <c:strCache>
                <c:ptCount val="1"/>
                <c:pt idx="0">
                  <c:v>Expected Value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50000"/>
                    <a:satMod val="300000"/>
                  </a:schemeClr>
                </a:gs>
                <a:gs pos="35000">
                  <a:schemeClr val="accent2">
                    <a:tint val="37000"/>
                    <a:satMod val="300000"/>
                  </a:schemeClr>
                </a:gs>
                <a:gs pos="100000">
                  <a:schemeClr val="accent2"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2"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invertIfNegative val="0"/>
          <c:dPt>
            <c:idx val="6"/>
            <c:invertIfNegative val="0"/>
            <c:bubble3D val="0"/>
            <c:spPr>
              <a:gradFill rotWithShape="1">
                <a:gsLst>
                  <a:gs pos="0">
                    <a:schemeClr val="accent1">
                      <a:lumMod val="5000"/>
                      <a:lumOff val="95000"/>
                    </a:schemeClr>
                  </a:gs>
                  <a:gs pos="74000">
                    <a:schemeClr val="accent1">
                      <a:lumMod val="45000"/>
                      <a:lumOff val="55000"/>
                    </a:schemeClr>
                  </a:gs>
                  <a:gs pos="83000">
                    <a:schemeClr val="accent1">
                      <a:lumMod val="45000"/>
                      <a:lumOff val="55000"/>
                    </a:schemeClr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n w="9525" cap="flat" cmpd="sng" algn="ctr">
                <a:solidFill>
                  <a:schemeClr val="tx1">
                    <a:lumMod val="75000"/>
                    <a:lumOff val="2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4F75-4830-AEA8-ED26EF72D808}"/>
              </c:ext>
            </c:extLst>
          </c:dPt>
          <c:cat>
            <c:numRef>
              <c:f>'GPH-VAR PAR'!$P$10:$P$30</c:f>
              <c:numCache>
                <c:formatCode>_-* #,##0_-;\-* #,##0_-;_-* "-"??_-;_-@_-</c:formatCode>
                <c:ptCount val="21"/>
                <c:pt idx="0">
                  <c:v>7226</c:v>
                </c:pt>
                <c:pt idx="1">
                  <c:v>7727</c:v>
                </c:pt>
                <c:pt idx="2">
                  <c:v>8228</c:v>
                </c:pt>
                <c:pt idx="3">
                  <c:v>8729</c:v>
                </c:pt>
                <c:pt idx="4">
                  <c:v>9231</c:v>
                </c:pt>
                <c:pt idx="5">
                  <c:v>9732</c:v>
                </c:pt>
                <c:pt idx="6">
                  <c:v>10233</c:v>
                </c:pt>
                <c:pt idx="7">
                  <c:v>10734</c:v>
                </c:pt>
                <c:pt idx="8">
                  <c:v>11235</c:v>
                </c:pt>
                <c:pt idx="9">
                  <c:v>11736</c:v>
                </c:pt>
                <c:pt idx="10">
                  <c:v>12237</c:v>
                </c:pt>
                <c:pt idx="11">
                  <c:v>12738</c:v>
                </c:pt>
                <c:pt idx="12">
                  <c:v>13239</c:v>
                </c:pt>
                <c:pt idx="13">
                  <c:v>13741</c:v>
                </c:pt>
                <c:pt idx="14">
                  <c:v>14242</c:v>
                </c:pt>
                <c:pt idx="15">
                  <c:v>14743</c:v>
                </c:pt>
                <c:pt idx="16">
                  <c:v>15244</c:v>
                </c:pt>
                <c:pt idx="17">
                  <c:v>15745</c:v>
                </c:pt>
                <c:pt idx="18">
                  <c:v>16246</c:v>
                </c:pt>
                <c:pt idx="19">
                  <c:v>16747</c:v>
                </c:pt>
                <c:pt idx="20">
                  <c:v>17248</c:v>
                </c:pt>
              </c:numCache>
            </c:numRef>
          </c:cat>
          <c:val>
            <c:numRef>
              <c:f>'GPH-VAR PAR'!$R$10:$R$30</c:f>
              <c:numCache>
                <c:formatCode>#,##0</c:formatCode>
                <c:ptCount val="21"/>
                <c:pt idx="0" formatCode="General">
                  <c:v>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2.6999999999999997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F75-4830-AEA8-ED26EF72D8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333934032"/>
        <c:axId val="1333933472"/>
      </c:barChart>
      <c:catAx>
        <c:axId val="1347283664"/>
        <c:scaling>
          <c:orientation val="minMax"/>
        </c:scaling>
        <c:delete val="0"/>
        <c:axPos val="b"/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932912"/>
        <c:crosses val="autoZero"/>
        <c:auto val="1"/>
        <c:lblAlgn val="ctr"/>
        <c:lblOffset val="100"/>
        <c:noMultiLvlLbl val="1"/>
      </c:catAx>
      <c:valAx>
        <c:axId val="133393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7283664"/>
        <c:crosses val="autoZero"/>
        <c:crossBetween val="between"/>
      </c:valAx>
      <c:valAx>
        <c:axId val="1333933472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33934032"/>
        <c:crosses val="max"/>
        <c:crossBetween val="between"/>
      </c:valAx>
      <c:catAx>
        <c:axId val="1333934032"/>
        <c:scaling>
          <c:orientation val="minMax"/>
        </c:scaling>
        <c:delete val="1"/>
        <c:axPos val="b"/>
        <c:numFmt formatCode="_-* #,##0_-;\-* #,##0_-;_-* &quot;-&quot;??_-;_-@_-" sourceLinked="1"/>
        <c:majorTickMark val="none"/>
        <c:minorTickMark val="none"/>
        <c:tickLblPos val="nextTo"/>
        <c:crossAx val="1333933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'GPH-VAR PAR'!$G$49:$G$51</c:f>
              <c:strCache>
                <c:ptCount val="3"/>
                <c:pt idx="0">
                  <c:v>Fixed Price</c:v>
                </c:pt>
                <c:pt idx="1">
                  <c:v>PLD+</c:v>
                </c:pt>
                <c:pt idx="2">
                  <c:v>PLD%</c:v>
                </c:pt>
              </c:strCache>
            </c:strRef>
          </c:cat>
          <c:val>
            <c:numRef>
              <c:f>'GPH-VAR PAR'!$H$49:$H$51</c:f>
              <c:numCache>
                <c:formatCode>#,##0</c:formatCode>
                <c:ptCount val="3"/>
                <c:pt idx="0">
                  <c:v>-271.03500000000003</c:v>
                </c:pt>
                <c:pt idx="1">
                  <c:v>12.648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F-459D-BD35-57E77FCE1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54051600"/>
        <c:axId val="1354052160"/>
      </c:barChart>
      <c:catAx>
        <c:axId val="1354051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052160"/>
        <c:crosses val="autoZero"/>
        <c:auto val="1"/>
        <c:lblAlgn val="ctr"/>
        <c:lblOffset val="100"/>
        <c:noMultiLvlLbl val="0"/>
      </c:catAx>
      <c:valAx>
        <c:axId val="1354052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05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Book Value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928400624766749E-2"/>
          <c:y val="0.13930555555555557"/>
          <c:w val="0.90490016863173317"/>
          <c:h val="0.60562481773111698"/>
        </c:manualLayout>
      </c:layout>
      <c:lineChart>
        <c:grouping val="standard"/>
        <c:varyColors val="0"/>
        <c:ser>
          <c:idx val="0"/>
          <c:order val="0"/>
          <c:tx>
            <c:strRef>
              <c:f>'GPH-VAR PAR'!$O$9</c:f>
              <c:strCache>
                <c:ptCount val="1"/>
                <c:pt idx="0">
                  <c:v>Book Value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cat>
            <c:numRef>
              <c:f>'GPH-VAR PAR'!$P$10:$P$30</c:f>
              <c:numCache>
                <c:formatCode>_-* #,##0_-;\-* #,##0_-;_-* "-"??_-;_-@_-</c:formatCode>
                <c:ptCount val="21"/>
                <c:pt idx="0">
                  <c:v>7226</c:v>
                </c:pt>
                <c:pt idx="1">
                  <c:v>7727</c:v>
                </c:pt>
                <c:pt idx="2">
                  <c:v>8228</c:v>
                </c:pt>
                <c:pt idx="3">
                  <c:v>8729</c:v>
                </c:pt>
                <c:pt idx="4">
                  <c:v>9231</c:v>
                </c:pt>
                <c:pt idx="5">
                  <c:v>9732</c:v>
                </c:pt>
                <c:pt idx="6">
                  <c:v>10233</c:v>
                </c:pt>
                <c:pt idx="7">
                  <c:v>10734</c:v>
                </c:pt>
                <c:pt idx="8">
                  <c:v>11235</c:v>
                </c:pt>
                <c:pt idx="9">
                  <c:v>11736</c:v>
                </c:pt>
                <c:pt idx="10">
                  <c:v>12237</c:v>
                </c:pt>
                <c:pt idx="11">
                  <c:v>12738</c:v>
                </c:pt>
                <c:pt idx="12">
                  <c:v>13239</c:v>
                </c:pt>
                <c:pt idx="13">
                  <c:v>13741</c:v>
                </c:pt>
                <c:pt idx="14">
                  <c:v>14242</c:v>
                </c:pt>
                <c:pt idx="15">
                  <c:v>14743</c:v>
                </c:pt>
                <c:pt idx="16">
                  <c:v>15244</c:v>
                </c:pt>
                <c:pt idx="17">
                  <c:v>15745</c:v>
                </c:pt>
                <c:pt idx="18">
                  <c:v>16246</c:v>
                </c:pt>
                <c:pt idx="19">
                  <c:v>16747</c:v>
                </c:pt>
                <c:pt idx="20">
                  <c:v>17248</c:v>
                </c:pt>
              </c:numCache>
            </c:numRef>
          </c:cat>
          <c:val>
            <c:numRef>
              <c:f>'GPH-VAR PAR'!$R$10:$R$30</c:f>
              <c:numCache>
                <c:formatCode>#,##0</c:formatCode>
                <c:ptCount val="21"/>
                <c:pt idx="0" formatCode="General">
                  <c:v>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2.6999999999999997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5</c:v>
                </c:pt>
                <c:pt idx="9">
                  <c:v>7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10</c:v>
                </c:pt>
                <c:pt idx="14">
                  <c:v>10</c:v>
                </c:pt>
                <c:pt idx="15">
                  <c:v>8</c:v>
                </c:pt>
                <c:pt idx="16">
                  <c:v>6</c:v>
                </c:pt>
                <c:pt idx="17">
                  <c:v>5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17D-983D-A594890174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54054400"/>
        <c:axId val="1354054960"/>
      </c:lineChart>
      <c:catAx>
        <c:axId val="1354054400"/>
        <c:scaling>
          <c:orientation val="minMax"/>
        </c:scaling>
        <c:delete val="0"/>
        <c:axPos val="b"/>
        <c:numFmt formatCode="_-* #,##0_-;\-* #,##0_-;_-* &quot;-&quot;??_-;_-@_-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054960"/>
        <c:crosses val="autoZero"/>
        <c:auto val="1"/>
        <c:lblAlgn val="ctr"/>
        <c:lblOffset val="100"/>
        <c:tickLblSkip val="2"/>
        <c:noMultiLvlLbl val="1"/>
      </c:catAx>
      <c:valAx>
        <c:axId val="135405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405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7651316312733629E-2"/>
          <c:y val="0.10622672165979252"/>
          <c:w val="0.83964686232402763"/>
          <c:h val="0.81196619653312563"/>
        </c:manualLayout>
      </c:layout>
      <c:doughnutChart>
        <c:varyColors val="1"/>
        <c:ser>
          <c:idx val="0"/>
          <c:order val="0"/>
          <c:tx>
            <c:v>Value</c:v>
          </c:tx>
          <c:dPt>
            <c:idx val="0"/>
            <c:bubble3D val="0"/>
            <c:spPr>
              <a:solidFill>
                <a:srgbClr val="F9BF9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3B1-491F-9E4B-71CDDAD5C153}"/>
              </c:ext>
            </c:extLst>
          </c:dPt>
          <c:dPt>
            <c:idx val="1"/>
            <c:bubble3D val="0"/>
            <c:spPr>
              <a:solidFill>
                <a:srgbClr val="F7A86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3B1-491F-9E4B-71CDDAD5C153}"/>
              </c:ext>
            </c:extLst>
          </c:dPt>
          <c:dPt>
            <c:idx val="2"/>
            <c:bubble3D val="0"/>
            <c:spPr>
              <a:solidFill>
                <a:srgbClr val="F5924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3B1-491F-9E4B-71CDDAD5C153}"/>
              </c:ext>
            </c:extLst>
          </c:dPt>
          <c:dPt>
            <c:idx val="3"/>
            <c:bubble3D val="0"/>
            <c:spPr>
              <a:solidFill>
                <a:srgbClr val="F37B21"/>
              </a:solidFill>
              <a:ln w="19050">
                <a:solidFill>
                  <a:schemeClr val="bg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3B1-491F-9E4B-71CDDAD5C153}"/>
              </c:ext>
            </c:extLst>
          </c:dPt>
          <c:dPt>
            <c:idx val="4"/>
            <c:bubble3D val="0"/>
            <c:spPr>
              <a:solidFill>
                <a:srgbClr val="E0670C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3B1-491F-9E4B-71CDDAD5C153}"/>
              </c:ext>
            </c:extLst>
          </c:dPt>
          <c:dPt>
            <c:idx val="5"/>
            <c:bubble3D val="0"/>
            <c:spPr>
              <a:solidFill>
                <a:srgbClr val="BA550A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3B1-491F-9E4B-71CDDAD5C153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3B1-491F-9E4B-71CDDAD5C153}"/>
              </c:ext>
            </c:extLst>
          </c:dPt>
          <c:dLbls>
            <c:dLbl>
              <c:idx val="0"/>
              <c:layout>
                <c:manualLayout>
                  <c:x val="-3.9048109750776452E-2"/>
                  <c:y val="-0.190323517252651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25%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13B1-491F-9E4B-71CDDAD5C153}"/>
                </c:ext>
              </c:extLst>
            </c:dLbl>
            <c:dLbl>
              <c:idx val="1"/>
              <c:layout>
                <c:manualLayout>
                  <c:x val="0.1006369763234452"/>
                  <c:y val="-0.1620370530606751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13B1-491F-9E4B-71CDDAD5C153}"/>
                </c:ext>
              </c:extLst>
            </c:dLbl>
            <c:dLbl>
              <c:idx val="2"/>
              <c:layout>
                <c:manualLayout>
                  <c:x val="0.18036082731023867"/>
                  <c:y val="-4.8840048840048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75%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13B1-491F-9E4B-71CDDAD5C153}"/>
                </c:ext>
              </c:extLst>
            </c:dLbl>
            <c:dLbl>
              <c:idx val="3"/>
              <c:layout>
                <c:manualLayout>
                  <c:x val="0.14393137199504222"/>
                  <c:y val="-4.88400488400488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85%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13B1-491F-9E4B-71CDDAD5C153}"/>
                </c:ext>
              </c:extLst>
            </c:dLbl>
            <c:dLbl>
              <c:idx val="4"/>
              <c:layout>
                <c:manualLayout>
                  <c:x val="0.15660811629315566"/>
                  <c:y val="9.76800976800976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90%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13B1-491F-9E4B-71CDDAD5C153}"/>
                </c:ext>
              </c:extLst>
            </c:dLbl>
            <c:dLbl>
              <c:idx val="5"/>
              <c:layout>
                <c:manualLayout>
                  <c:x val="0.14916836444395498"/>
                  <c:y val="9.768009768009768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100%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13B1-491F-9E4B-71CDDAD5C15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3B1-491F-9E4B-71CDDAD5C15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Lit>
              <c:formatCode>General</c:formatCode>
              <c:ptCount val="6"/>
              <c:pt idx="0">
                <c:v>0.25</c:v>
              </c:pt>
              <c:pt idx="1">
                <c:v>0.5</c:v>
              </c:pt>
              <c:pt idx="2">
                <c:v>0.75</c:v>
              </c:pt>
              <c:pt idx="3">
                <c:v>0.85</c:v>
              </c:pt>
              <c:pt idx="4">
                <c:v>0.95</c:v>
              </c:pt>
              <c:pt idx="5">
                <c:v>1</c:v>
              </c:pt>
            </c:numLit>
          </c:cat>
          <c:val>
            <c:numLit>
              <c:formatCode>General</c:formatCode>
              <c:ptCount val="7"/>
              <c:pt idx="0">
                <c:v>0.25</c:v>
              </c:pt>
              <c:pt idx="1">
                <c:v>0.25</c:v>
              </c:pt>
              <c:pt idx="2">
                <c:v>0.25</c:v>
              </c:pt>
              <c:pt idx="3">
                <c:v>0.1</c:v>
              </c:pt>
              <c:pt idx="4">
                <c:v>0.1</c:v>
              </c:pt>
              <c:pt idx="5">
                <c:v>0.05</c:v>
              </c:pt>
              <c:pt idx="6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0E-13B1-491F-9E4B-71CDDAD5C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1"/>
        <c:holeSize val="50"/>
      </c:doughnutChart>
      <c:pieChart>
        <c:varyColors val="1"/>
        <c:ser>
          <c:idx val="1"/>
          <c:order val="1"/>
          <c:explosion val="295"/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13B1-491F-9E4B-71CDDAD5C153}"/>
              </c:ext>
            </c:extLst>
          </c:dPt>
          <c:dPt>
            <c:idx val="1"/>
            <c:bubble3D val="0"/>
            <c:spPr>
              <a:solidFill>
                <a:schemeClr val="tx1">
                  <a:lumMod val="50000"/>
                  <a:lumOff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2-13B1-491F-9E4B-71CDDAD5C15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4-13B1-491F-9E4B-71CDDAD5C153}"/>
              </c:ext>
            </c:extLst>
          </c:dPt>
          <c:val>
            <c:numRef>
              <c:f>'GPH-SL'!$C$5:$C$7</c:f>
              <c:numCache>
                <c:formatCode>0.0%</c:formatCode>
                <c:ptCount val="3"/>
                <c:pt idx="0" formatCode="0%">
                  <c:v>5.5509558723568914E-4</c:v>
                </c:pt>
                <c:pt idx="1">
                  <c:v>1.4999999999999999E-2</c:v>
                </c:pt>
                <c:pt idx="2">
                  <c:v>1.9844449044127643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13B1-491F-9E4B-71CDDAD5C1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change to FPC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992638453174885"/>
          <c:y val="0.18460251046025108"/>
          <c:w val="0.84544740614547187"/>
          <c:h val="0.4336867305812714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'GPH-SL'!$H$28</c:f>
              <c:strCache>
                <c:ptCount val="1"/>
              </c:strCache>
            </c:strRef>
          </c:tx>
          <c:spPr>
            <a:solidFill>
              <a:schemeClr val="bg1">
                <a:lumMod val="75000"/>
                <a:alpha val="80000"/>
              </a:schemeClr>
            </a:solidFill>
            <a:ln>
              <a:noFill/>
              <a:prstDash val="dash"/>
            </a:ln>
            <a:effectLst/>
          </c:spPr>
          <c:invertIfNegative val="0"/>
          <c:cat>
            <c:numRef>
              <c:f>'GPH-SL'!$I$25:$N$25</c:f>
              <c:numCache>
                <c:formatCode>General</c:formatCode>
                <c:ptCount val="6"/>
              </c:numCache>
            </c:numRef>
          </c:cat>
          <c:val>
            <c:numRef>
              <c:f>'GPH-SL'!$I$28:$N$28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052E-4FE4-BC7A-EB6C7314D3C7}"/>
            </c:ext>
          </c:extLst>
        </c:ser>
        <c:ser>
          <c:idx val="0"/>
          <c:order val="1"/>
          <c:tx>
            <c:strRef>
              <c:f>'GPH-SL'!$H$27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'GPH-SL'!$I$25:$N$25</c:f>
              <c:numCache>
                <c:formatCode>General</c:formatCode>
                <c:ptCount val="6"/>
              </c:numCache>
            </c:numRef>
          </c:cat>
          <c:val>
            <c:numRef>
              <c:f>'GPH-SL'!$I$27:$N$27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052E-4FE4-BC7A-EB6C7314D3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3"/>
        <c:overlap val="45"/>
        <c:axId val="1353422160"/>
        <c:axId val="1353422720"/>
      </c:barChart>
      <c:catAx>
        <c:axId val="1353422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422720"/>
        <c:crosses val="autoZero"/>
        <c:auto val="1"/>
        <c:lblAlgn val="ctr"/>
        <c:lblOffset val="100"/>
        <c:noMultiLvlLbl val="0"/>
      </c:catAx>
      <c:valAx>
        <c:axId val="1353422720"/>
        <c:scaling>
          <c:orientation val="minMax"/>
          <c:max val="220"/>
          <c:min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3422160"/>
        <c:crosses val="autoZero"/>
        <c:crossBetween val="between"/>
        <c:majorUnit val="20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322834645669293"/>
          <c:y val="0.88354187944080209"/>
          <c:w val="0.17354330708661417"/>
          <c:h val="9.414291832767766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80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12" dropStyle="combo" dx="16" fmlaLink="$S$1" fmlaRange="MESES" noThreeD="1" sel="25" val="23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4</xdr:row>
          <xdr:rowOff>180975</xdr:rowOff>
        </xdr:from>
        <xdr:to>
          <xdr:col>6</xdr:col>
          <xdr:colOff>333375</xdr:colOff>
          <xdr:row>9</xdr:row>
          <xdr:rowOff>123825</xdr:rowOff>
        </xdr:to>
        <xdr:sp macro="" textlink="">
          <xdr:nvSpPr>
            <xdr:cNvPr id="29697" name="Group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0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Rotina Completa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419100</xdr:colOff>
          <xdr:row>5</xdr:row>
          <xdr:rowOff>161925</xdr:rowOff>
        </xdr:from>
        <xdr:to>
          <xdr:col>4</xdr:col>
          <xdr:colOff>457200</xdr:colOff>
          <xdr:row>8</xdr:row>
          <xdr:rowOff>19050</xdr:rowOff>
        </xdr:to>
        <xdr:sp macro="" textlink="">
          <xdr:nvSpPr>
            <xdr:cNvPr id="29698" name="Button 2" descr="GERA ROTINA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0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571500</xdr:colOff>
          <xdr:row>6</xdr:row>
          <xdr:rowOff>47625</xdr:rowOff>
        </xdr:from>
        <xdr:to>
          <xdr:col>6</xdr:col>
          <xdr:colOff>247650</xdr:colOff>
          <xdr:row>7</xdr:row>
          <xdr:rowOff>142875</xdr:rowOff>
        </xdr:to>
        <xdr:sp macro="" textlink="">
          <xdr:nvSpPr>
            <xdr:cNvPr id="29699" name="Drop Down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0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5</xdr:row>
          <xdr:rowOff>0</xdr:rowOff>
        </xdr:from>
        <xdr:to>
          <xdr:col>11</xdr:col>
          <xdr:colOff>161925</xdr:colOff>
          <xdr:row>24</xdr:row>
          <xdr:rowOff>38100</xdr:rowOff>
        </xdr:to>
        <xdr:sp macro="" textlink="">
          <xdr:nvSpPr>
            <xdr:cNvPr id="29700" name="Group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0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Rotinas Secundárias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6</xdr:row>
          <xdr:rowOff>19050</xdr:rowOff>
        </xdr:from>
        <xdr:to>
          <xdr:col>11</xdr:col>
          <xdr:colOff>9525</xdr:colOff>
          <xdr:row>8</xdr:row>
          <xdr:rowOff>66675</xdr:rowOff>
        </xdr:to>
        <xdr:sp macro="" textlink="">
          <xdr:nvSpPr>
            <xdr:cNvPr id="29701" name="Button 5" descr="GERA ROTINA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0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Distribuição do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304800</xdr:colOff>
          <xdr:row>9</xdr:row>
          <xdr:rowOff>19050</xdr:rowOff>
        </xdr:from>
        <xdr:to>
          <xdr:col>11</xdr:col>
          <xdr:colOff>9525</xdr:colOff>
          <xdr:row>11</xdr:row>
          <xdr:rowOff>66675</xdr:rowOff>
        </xdr:to>
        <xdr:sp macro="" textlink="">
          <xdr:nvSpPr>
            <xdr:cNvPr id="29702" name="Button 6" descr="GERA ROTINA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0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HWM e Cross Checks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342900</xdr:colOff>
          <xdr:row>10</xdr:row>
          <xdr:rowOff>57150</xdr:rowOff>
        </xdr:from>
        <xdr:to>
          <xdr:col>6</xdr:col>
          <xdr:colOff>333375</xdr:colOff>
          <xdr:row>24</xdr:row>
          <xdr:rowOff>28575</xdr:rowOff>
        </xdr:to>
        <xdr:sp macro="" textlink="">
          <xdr:nvSpPr>
            <xdr:cNvPr id="29705" name="Group Box 9" hidden="1">
              <a:extLst>
                <a:ext uri="{63B3BB69-23CF-44E3-9099-C40C66FF867C}">
                  <a14:compatExt spid="_x0000_s29705"/>
                </a:ext>
                <a:ext uri="{FF2B5EF4-FFF2-40B4-BE49-F238E27FC236}">
                  <a16:creationId xmlns:a16="http://schemas.microsoft.com/office/drawing/2014/main" id="{00000000-0008-0000-0000-000009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Rotinas Primárias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19050</xdr:colOff>
      <xdr:row>0</xdr:row>
      <xdr:rowOff>28575</xdr:rowOff>
    </xdr:from>
    <xdr:to>
      <xdr:col>16</xdr:col>
      <xdr:colOff>600075</xdr:colOff>
      <xdr:row>25</xdr:row>
      <xdr:rowOff>190499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9050" y="28575"/>
          <a:ext cx="8734425" cy="3943349"/>
        </a:xfrm>
        <a:prstGeom prst="rect">
          <a:avLst/>
        </a:prstGeom>
        <a:noFill/>
        <a:ln w="19050">
          <a:solidFill>
            <a:schemeClr val="tx2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5</xdr:row>
          <xdr:rowOff>0</xdr:rowOff>
        </xdr:from>
        <xdr:to>
          <xdr:col>15</xdr:col>
          <xdr:colOff>600075</xdr:colOff>
          <xdr:row>24</xdr:row>
          <xdr:rowOff>47625</xdr:rowOff>
        </xdr:to>
        <xdr:sp macro="" textlink="">
          <xdr:nvSpPr>
            <xdr:cNvPr id="29707" name="Group Box 11" hidden="1">
              <a:extLst>
                <a:ext uri="{63B3BB69-23CF-44E3-9099-C40C66FF867C}">
                  <a14:compatExt spid="_x0000_s29707"/>
                </a:ext>
                <a:ext uri="{FF2B5EF4-FFF2-40B4-BE49-F238E27FC236}">
                  <a16:creationId xmlns:a16="http://schemas.microsoft.com/office/drawing/2014/main" id="{00000000-0008-0000-0000-00000B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Parâmetros</a:t>
              </a:r>
            </a:p>
          </xdr:txBody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0</xdr:rowOff>
    </xdr:from>
    <xdr:to>
      <xdr:col>5</xdr:col>
      <xdr:colOff>323850</xdr:colOff>
      <xdr:row>4</xdr:row>
      <xdr:rowOff>47625</xdr:rowOff>
    </xdr:to>
    <xdr:sp macro="" textlink="">
      <xdr:nvSpPr>
        <xdr:cNvPr id="18" name="Retângulo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2152650" cy="80962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  <xdr:twoCellAnchor>
    <xdr:from>
      <xdr:col>5</xdr:col>
      <xdr:colOff>504825</xdr:colOff>
      <xdr:row>1</xdr:row>
      <xdr:rowOff>0</xdr:rowOff>
    </xdr:from>
    <xdr:to>
      <xdr:col>13</xdr:col>
      <xdr:colOff>0</xdr:colOff>
      <xdr:row>4</xdr:row>
      <xdr:rowOff>28575</xdr:rowOff>
    </xdr:to>
    <xdr:sp macro="" textlink="$S$6">
      <xdr:nvSpPr>
        <xdr:cNvPr id="5" name="Rectang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333625" y="190500"/>
          <a:ext cx="4371975" cy="6000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marL="0" indent="0" algn="ctr"/>
          <a:fld id="{AC5ADBA6-0856-4241-B3B6-6519514E73DD}" type="TxLink">
            <a:rPr lang="en-US" sz="2000" b="1" u="none">
              <a:solidFill>
                <a:schemeClr val="tx2">
                  <a:lumMod val="75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pPr marL="0" indent="0" algn="ctr"/>
            <a:t>Book de Trading 2022</a:t>
          </a:fld>
          <a:endParaRPr lang="pt-BR" sz="2000" b="1" u="none">
            <a:solidFill>
              <a:schemeClr val="tx2">
                <a:lumMod val="75000"/>
              </a:schemeClr>
            </a:solidFill>
            <a:latin typeface="Arial Black" panose="020B0A04020102020204" pitchFamily="34" charset="0"/>
            <a:ea typeface="+mn-ea"/>
            <a:cs typeface="+mn-cs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12</xdr:row>
          <xdr:rowOff>28575</xdr:rowOff>
        </xdr:from>
        <xdr:to>
          <xdr:col>11</xdr:col>
          <xdr:colOff>19050</xdr:colOff>
          <xdr:row>14</xdr:row>
          <xdr:rowOff>76200</xdr:rowOff>
        </xdr:to>
        <xdr:sp macro="" textlink="">
          <xdr:nvSpPr>
            <xdr:cNvPr id="29709" name="Button 13" descr="GERA ROTINA" hidden="1">
              <a:extLst>
                <a:ext uri="{63B3BB69-23CF-44E3-9099-C40C66FF867C}">
                  <a14:compatExt spid="_x0000_s29709"/>
                </a:ext>
                <a:ext uri="{FF2B5EF4-FFF2-40B4-BE49-F238E27FC236}">
                  <a16:creationId xmlns:a16="http://schemas.microsoft.com/office/drawing/2014/main" id="{00000000-0008-0000-0000-00000D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Resumo Book de Trading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314325</xdr:colOff>
          <xdr:row>15</xdr:row>
          <xdr:rowOff>28575</xdr:rowOff>
        </xdr:from>
        <xdr:to>
          <xdr:col>11</xdr:col>
          <xdr:colOff>19050</xdr:colOff>
          <xdr:row>17</xdr:row>
          <xdr:rowOff>76200</xdr:rowOff>
        </xdr:to>
        <xdr:sp macro="" textlink="">
          <xdr:nvSpPr>
            <xdr:cNvPr id="29710" name="Button 14" descr="GERA ROTINA" hidden="1">
              <a:extLst>
                <a:ext uri="{63B3BB69-23CF-44E3-9099-C40C66FF867C}">
                  <a14:compatExt spid="_x0000_s29710"/>
                </a:ext>
                <a:ext uri="{FF2B5EF4-FFF2-40B4-BE49-F238E27FC236}">
                  <a16:creationId xmlns:a16="http://schemas.microsoft.com/office/drawing/2014/main" id="{00000000-0008-0000-0000-00000E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Simulador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323850</xdr:colOff>
          <xdr:row>18</xdr:row>
          <xdr:rowOff>47625</xdr:rowOff>
        </xdr:from>
        <xdr:to>
          <xdr:col>11</xdr:col>
          <xdr:colOff>28575</xdr:colOff>
          <xdr:row>20</xdr:row>
          <xdr:rowOff>95250</xdr:rowOff>
        </xdr:to>
        <xdr:sp macro="" textlink="">
          <xdr:nvSpPr>
            <xdr:cNvPr id="29711" name="Button 15" descr="GERA ROTINA" hidden="1">
              <a:extLst>
                <a:ext uri="{63B3BB69-23CF-44E3-9099-C40C66FF867C}">
                  <a14:compatExt spid="_x0000_s29711"/>
                </a:ext>
                <a:ext uri="{FF2B5EF4-FFF2-40B4-BE49-F238E27FC236}">
                  <a16:creationId xmlns:a16="http://schemas.microsoft.com/office/drawing/2014/main" id="{00000000-0008-0000-0000-00000F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Salva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495300</xdr:colOff>
          <xdr:row>11</xdr:row>
          <xdr:rowOff>66675</xdr:rowOff>
        </xdr:from>
        <xdr:to>
          <xdr:col>6</xdr:col>
          <xdr:colOff>200025</xdr:colOff>
          <xdr:row>13</xdr:row>
          <xdr:rowOff>114300</xdr:rowOff>
        </xdr:to>
        <xdr:sp macro="" textlink="">
          <xdr:nvSpPr>
            <xdr:cNvPr id="29712" name="Button 16" descr="GERA ROTINA" hidden="1">
              <a:extLst>
                <a:ext uri="{63B3BB69-23CF-44E3-9099-C40C66FF867C}">
                  <a14:compatExt spid="_x0000_s29712"/>
                </a:ext>
                <a:ext uri="{FF2B5EF4-FFF2-40B4-BE49-F238E27FC236}">
                  <a16:creationId xmlns:a16="http://schemas.microsoft.com/office/drawing/2014/main" id="{00000000-0008-0000-0000-000010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Captura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495300</xdr:colOff>
          <xdr:row>14</xdr:row>
          <xdr:rowOff>76200</xdr:rowOff>
        </xdr:from>
        <xdr:to>
          <xdr:col>6</xdr:col>
          <xdr:colOff>200025</xdr:colOff>
          <xdr:row>16</xdr:row>
          <xdr:rowOff>123825</xdr:rowOff>
        </xdr:to>
        <xdr:sp macro="" textlink="">
          <xdr:nvSpPr>
            <xdr:cNvPr id="29713" name="Button 17" descr="GERA ROTINA" hidden="1">
              <a:extLst>
                <a:ext uri="{63B3BB69-23CF-44E3-9099-C40C66FF867C}">
                  <a14:compatExt spid="_x0000_s29713"/>
                </a:ext>
                <a:ext uri="{FF2B5EF4-FFF2-40B4-BE49-F238E27FC236}">
                  <a16:creationId xmlns:a16="http://schemas.microsoft.com/office/drawing/2014/main" id="{00000000-0008-0000-0000-00001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Monta Releases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17</xdr:row>
          <xdr:rowOff>95250</xdr:rowOff>
        </xdr:from>
        <xdr:to>
          <xdr:col>6</xdr:col>
          <xdr:colOff>209550</xdr:colOff>
          <xdr:row>19</xdr:row>
          <xdr:rowOff>142875</xdr:rowOff>
        </xdr:to>
        <xdr:sp macro="" textlink="">
          <xdr:nvSpPr>
            <xdr:cNvPr id="29714" name="Button 18" descr="GERA ROTINA" hidden="1">
              <a:extLst>
                <a:ext uri="{63B3BB69-23CF-44E3-9099-C40C66FF867C}">
                  <a14:compatExt spid="_x0000_s29714"/>
                </a:ext>
                <a:ext uri="{FF2B5EF4-FFF2-40B4-BE49-F238E27FC236}">
                  <a16:creationId xmlns:a16="http://schemas.microsoft.com/office/drawing/2014/main" id="{00000000-0008-0000-0000-00001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Monta MtM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504825</xdr:colOff>
          <xdr:row>20</xdr:row>
          <xdr:rowOff>104775</xdr:rowOff>
        </xdr:from>
        <xdr:to>
          <xdr:col>6</xdr:col>
          <xdr:colOff>209550</xdr:colOff>
          <xdr:row>22</xdr:row>
          <xdr:rowOff>152400</xdr:rowOff>
        </xdr:to>
        <xdr:sp macro="" textlink="">
          <xdr:nvSpPr>
            <xdr:cNvPr id="29715" name="Button 19" descr="GERA ROTINA" hidden="1">
              <a:extLst>
                <a:ext uri="{63B3BB69-23CF-44E3-9099-C40C66FF867C}">
                  <a14:compatExt spid="_x0000_s29715"/>
                </a:ext>
                <a:ext uri="{FF2B5EF4-FFF2-40B4-BE49-F238E27FC236}">
                  <a16:creationId xmlns:a16="http://schemas.microsoft.com/office/drawing/2014/main" id="{00000000-0008-0000-0000-00001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Monta MtM Releases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333375</xdr:colOff>
          <xdr:row>21</xdr:row>
          <xdr:rowOff>57150</xdr:rowOff>
        </xdr:from>
        <xdr:to>
          <xdr:col>11</xdr:col>
          <xdr:colOff>38100</xdr:colOff>
          <xdr:row>23</xdr:row>
          <xdr:rowOff>104775</xdr:rowOff>
        </xdr:to>
        <xdr:sp macro="" textlink="">
          <xdr:nvSpPr>
            <xdr:cNvPr id="29717" name="Button 21" descr="GERA ROTINA" hidden="1">
              <a:extLst>
                <a:ext uri="{63B3BB69-23CF-44E3-9099-C40C66FF867C}">
                  <a14:compatExt spid="_x0000_s29717"/>
                </a:ext>
                <a:ext uri="{FF2B5EF4-FFF2-40B4-BE49-F238E27FC236}">
                  <a16:creationId xmlns:a16="http://schemas.microsoft.com/office/drawing/2014/main" id="{00000000-0008-0000-0000-00001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514350</xdr:colOff>
          <xdr:row>23</xdr:row>
          <xdr:rowOff>47625</xdr:rowOff>
        </xdr:from>
        <xdr:to>
          <xdr:col>4</xdr:col>
          <xdr:colOff>352425</xdr:colOff>
          <xdr:row>25</xdr:row>
          <xdr:rowOff>95250</xdr:rowOff>
        </xdr:to>
        <xdr:sp macro="" textlink="">
          <xdr:nvSpPr>
            <xdr:cNvPr id="29718" name="Button 22" descr="GERA ROTINA" hidden="1">
              <a:extLst>
                <a:ext uri="{63B3BB69-23CF-44E3-9099-C40C66FF867C}">
                  <a14:compatExt spid="_x0000_s29718"/>
                </a:ext>
                <a:ext uri="{FF2B5EF4-FFF2-40B4-BE49-F238E27FC236}">
                  <a16:creationId xmlns:a16="http://schemas.microsoft.com/office/drawing/2014/main" id="{00000000-0008-0000-0000-00001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Oculta as Abas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371475</xdr:colOff>
          <xdr:row>23</xdr:row>
          <xdr:rowOff>47625</xdr:rowOff>
        </xdr:from>
        <xdr:to>
          <xdr:col>6</xdr:col>
          <xdr:colOff>209550</xdr:colOff>
          <xdr:row>25</xdr:row>
          <xdr:rowOff>95250</xdr:rowOff>
        </xdr:to>
        <xdr:sp macro="" textlink="">
          <xdr:nvSpPr>
            <xdr:cNvPr id="29719" name="Button 23" descr="GERA ROTINA" hidden="1">
              <a:extLst>
                <a:ext uri="{63B3BB69-23CF-44E3-9099-C40C66FF867C}">
                  <a14:compatExt spid="_x0000_s29719"/>
                </a:ext>
                <a:ext uri="{FF2B5EF4-FFF2-40B4-BE49-F238E27FC236}">
                  <a16:creationId xmlns:a16="http://schemas.microsoft.com/office/drawing/2014/main" id="{00000000-0008-0000-0000-000017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Desoculta as Abas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751416</xdr:colOff>
      <xdr:row>146</xdr:row>
      <xdr:rowOff>137584</xdr:rowOff>
    </xdr:from>
    <xdr:to>
      <xdr:col>15</xdr:col>
      <xdr:colOff>169333</xdr:colOff>
      <xdr:row>150</xdr:row>
      <xdr:rowOff>148166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361083" y="27357917"/>
          <a:ext cx="1926167" cy="783166"/>
        </a:xfrm>
        <a:prstGeom prst="rect">
          <a:avLst/>
        </a:prstGeom>
        <a:noFill/>
        <a:ln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147076</xdr:colOff>
      <xdr:row>0</xdr:row>
      <xdr:rowOff>29317</xdr:rowOff>
    </xdr:from>
    <xdr:to>
      <xdr:col>18</xdr:col>
      <xdr:colOff>515878</xdr:colOff>
      <xdr:row>41</xdr:row>
      <xdr:rowOff>168187</xdr:rowOff>
    </xdr:to>
    <xdr:sp macro="" textlink="">
      <xdr:nvSpPr>
        <xdr:cNvPr id="41" name="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147076" y="29317"/>
          <a:ext cx="11401237" cy="7949370"/>
        </a:xfrm>
        <a:prstGeom prst="rect">
          <a:avLst/>
        </a:prstGeom>
        <a:solidFill>
          <a:srgbClr val="E7E2EE"/>
        </a:solidFill>
        <a:ln>
          <a:solidFill>
            <a:srgbClr val="7443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575243</xdr:colOff>
      <xdr:row>11</xdr:row>
      <xdr:rowOff>148160</xdr:rowOff>
    </xdr:from>
    <xdr:to>
      <xdr:col>19</xdr:col>
      <xdr:colOff>46097</xdr:colOff>
      <xdr:row>30</xdr:row>
      <xdr:rowOff>133424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7280843" y="2243660"/>
          <a:ext cx="4290504" cy="3604764"/>
          <a:chOff x="4566050" y="233918"/>
          <a:chExt cx="2710296" cy="2631498"/>
        </a:xfrm>
      </xdr:grpSpPr>
      <xdr:graphicFrame macro="">
        <xdr:nvGraphicFramePr>
          <xdr:cNvPr id="26" name="Chart 25">
            <a:extLst>
              <a:ext uri="{FF2B5EF4-FFF2-40B4-BE49-F238E27FC236}">
                <a16:creationId xmlns:a16="http://schemas.microsoft.com/office/drawing/2014/main" id="{00000000-0008-0000-0200-00001A000000}"/>
              </a:ext>
            </a:extLst>
          </xdr:cNvPr>
          <xdr:cNvGraphicFramePr>
            <a:graphicFrameLocks/>
          </xdr:cNvGraphicFramePr>
        </xdr:nvGraphicFramePr>
        <xdr:xfrm>
          <a:off x="4566050" y="233918"/>
          <a:ext cx="2710296" cy="263149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'GPH-SL'!$C$4">
        <xdr:nvSpPr>
          <xdr:cNvPr id="27" name="Flowchart: Connector 26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/>
        </xdr:nvSpPr>
        <xdr:spPr>
          <a:xfrm>
            <a:off x="5691916" y="1331380"/>
            <a:ext cx="454874" cy="453041"/>
          </a:xfrm>
          <a:prstGeom prst="flowChartConnector">
            <a:avLst/>
          </a:prstGeom>
          <a:solidFill>
            <a:srgbClr val="7443A4"/>
          </a:solidFill>
          <a:ln>
            <a:noFill/>
          </a:ln>
        </xdr:spPr>
        <xdr:style>
          <a:lnRef idx="1">
            <a:schemeClr val="dk1"/>
          </a:lnRef>
          <a:fillRef idx="2">
            <a:schemeClr val="dk1"/>
          </a:fillRef>
          <a:effectRef idx="1">
            <a:schemeClr val="dk1"/>
          </a:effectRef>
          <a:fontRef idx="minor">
            <a:schemeClr val="dk1"/>
          </a:fontRef>
        </xdr:style>
        <xdr:txBody>
          <a:bodyPr vertOverflow="overflow" horzOverflow="overflow" wrap="none" rtlCol="0" anchor="ctr"/>
          <a:lstStyle/>
          <a:p>
            <a:pPr algn="ctr"/>
            <a:fld id="{DC889251-C1EC-48FB-9C37-6E143007E2B5}" type="TxLink">
              <a:rPr lang="en-US" sz="1100" b="1" i="0" u="none" strike="noStrike">
                <a:solidFill>
                  <a:schemeClr val="bg1"/>
                </a:solidFill>
                <a:latin typeface="Calibri"/>
                <a:cs typeface="Arial"/>
              </a:rPr>
              <a:pPr algn="ctr"/>
              <a:t>0,1%</a:t>
            </a:fld>
            <a:endParaRPr lang="en-US" sz="24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absolute">
    <xdr:from>
      <xdr:col>12</xdr:col>
      <xdr:colOff>450916</xdr:colOff>
      <xdr:row>10</xdr:row>
      <xdr:rowOff>9584</xdr:rowOff>
    </xdr:from>
    <xdr:to>
      <xdr:col>16</xdr:col>
      <xdr:colOff>116478</xdr:colOff>
      <xdr:row>12</xdr:row>
      <xdr:rowOff>2932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7737541" y="1914584"/>
          <a:ext cx="2094437" cy="37434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US" sz="1800" b="1">
              <a:solidFill>
                <a:schemeClr val="accent4">
                  <a:lumMod val="75000"/>
                </a:schemeClr>
              </a:solidFill>
            </a:rPr>
            <a:t>Stop-Loss limit (R$):</a:t>
          </a:r>
        </a:p>
      </xdr:txBody>
    </xdr:sp>
    <xdr:clientData/>
  </xdr:twoCellAnchor>
  <xdr:twoCellAnchor editAs="absolute">
    <xdr:from>
      <xdr:col>16</xdr:col>
      <xdr:colOff>145274</xdr:colOff>
      <xdr:row>10</xdr:row>
      <xdr:rowOff>60600</xdr:rowOff>
    </xdr:from>
    <xdr:to>
      <xdr:col>18</xdr:col>
      <xdr:colOff>90116</xdr:colOff>
      <xdr:row>11</xdr:row>
      <xdr:rowOff>158112</xdr:rowOff>
    </xdr:to>
    <xdr:sp macro="" textlink="HWM!$C$2">
      <xdr:nvSpPr>
        <xdr:cNvPr id="7" name="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9860774" y="1965600"/>
          <a:ext cx="1159280" cy="288012"/>
        </a:xfrm>
        <a:prstGeom prst="rect">
          <a:avLst/>
        </a:prstGeom>
        <a:solidFill>
          <a:srgbClr val="E2D7EE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B953F21-74DC-4671-B8B7-4857F90967A9}" type="TxLink">
            <a:rPr lang="en-US" sz="1400" b="1" i="0" u="none" strike="noStrike">
              <a:solidFill>
                <a:schemeClr val="accent4">
                  <a:lumMod val="75000"/>
                </a:schemeClr>
              </a:solidFill>
              <a:latin typeface="Calibri"/>
            </a:rPr>
            <a:pPr algn="ctr"/>
            <a:t> 20.000.000 </a:t>
          </a:fld>
          <a:endParaRPr lang="en-US" sz="14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12</xdr:col>
      <xdr:colOff>387232</xdr:colOff>
      <xdr:row>9</xdr:row>
      <xdr:rowOff>155301</xdr:rowOff>
    </xdr:from>
    <xdr:to>
      <xdr:col>18</xdr:col>
      <xdr:colOff>356895</xdr:colOff>
      <xdr:row>25</xdr:row>
      <xdr:rowOff>63804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7673857" y="1869801"/>
          <a:ext cx="3612976" cy="2956503"/>
        </a:xfrm>
        <a:prstGeom prst="rect">
          <a:avLst/>
        </a:prstGeom>
        <a:noFill/>
        <a:ln w="9525">
          <a:solidFill>
            <a:srgbClr val="7443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309463</xdr:colOff>
      <xdr:row>11</xdr:row>
      <xdr:rowOff>123263</xdr:rowOff>
    </xdr:from>
    <xdr:to>
      <xdr:col>12</xdr:col>
      <xdr:colOff>326665</xdr:colOff>
      <xdr:row>18</xdr:row>
      <xdr:rowOff>180295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6</xdr:col>
      <xdr:colOff>403138</xdr:colOff>
      <xdr:row>9</xdr:row>
      <xdr:rowOff>183294</xdr:rowOff>
    </xdr:from>
    <xdr:to>
      <xdr:col>12</xdr:col>
      <xdr:colOff>94017</xdr:colOff>
      <xdr:row>11</xdr:row>
      <xdr:rowOff>176435</xdr:rowOff>
    </xdr:to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4080616" y="1897794"/>
          <a:ext cx="3368358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800" b="1" baseline="0">
              <a:solidFill>
                <a:schemeClr val="accent4">
                  <a:lumMod val="75000"/>
                </a:schemeClr>
              </a:solidFill>
            </a:rPr>
            <a:t>P&amp;L breakdown by year (R$ MM)</a:t>
          </a:r>
          <a:endParaRPr lang="en-US" sz="1800" b="1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6</xdr:col>
      <xdr:colOff>296563</xdr:colOff>
      <xdr:row>9</xdr:row>
      <xdr:rowOff>153659</xdr:rowOff>
    </xdr:from>
    <xdr:to>
      <xdr:col>12</xdr:col>
      <xdr:colOff>315715</xdr:colOff>
      <xdr:row>25</xdr:row>
      <xdr:rowOff>77010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3954163" y="1868159"/>
          <a:ext cx="3676752" cy="2971351"/>
        </a:xfrm>
        <a:prstGeom prst="rect">
          <a:avLst/>
        </a:prstGeom>
        <a:noFill/>
        <a:ln w="9525">
          <a:solidFill>
            <a:srgbClr val="7443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253848</xdr:colOff>
      <xdr:row>9</xdr:row>
      <xdr:rowOff>158955</xdr:rowOff>
    </xdr:from>
    <xdr:to>
      <xdr:col>6</xdr:col>
      <xdr:colOff>226748</xdr:colOff>
      <xdr:row>25</xdr:row>
      <xdr:rowOff>67458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pSpPr/>
      </xdr:nvGrpSpPr>
      <xdr:grpSpPr>
        <a:xfrm>
          <a:off x="253848" y="1873455"/>
          <a:ext cx="3630500" cy="2956503"/>
          <a:chOff x="233847" y="1365575"/>
          <a:chExt cx="3619366" cy="2954867"/>
        </a:xfrm>
      </xdr:grpSpPr>
      <xdr:graphicFrame macro="">
        <xdr:nvGraphicFramePr>
          <xdr:cNvPr id="24" name="Chart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GraphicFramePr>
            <a:graphicFrameLocks/>
          </xdr:cNvGraphicFramePr>
        </xdr:nvGraphicFramePr>
        <xdr:xfrm>
          <a:off x="235324" y="1664678"/>
          <a:ext cx="3616412" cy="25601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/>
        </xdr:nvSpPr>
        <xdr:spPr>
          <a:xfrm>
            <a:off x="233847" y="1365575"/>
            <a:ext cx="3619366" cy="2954867"/>
          </a:xfrm>
          <a:prstGeom prst="rect">
            <a:avLst/>
          </a:prstGeom>
          <a:noFill/>
          <a:ln w="9525">
            <a:solidFill>
              <a:srgbClr val="7443A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 txBox="1"/>
        </xdr:nvSpPr>
        <xdr:spPr>
          <a:xfrm>
            <a:off x="1370574" y="1367722"/>
            <a:ext cx="1469663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>
                <a:solidFill>
                  <a:schemeClr val="accent4">
                    <a:lumMod val="75000"/>
                  </a:schemeClr>
                </a:solidFill>
              </a:rPr>
              <a:t>Historical</a:t>
            </a:r>
            <a:r>
              <a:rPr lang="en-US" sz="1800" b="1" baseline="0">
                <a:solidFill>
                  <a:schemeClr val="accent4">
                    <a:lumMod val="75000"/>
                  </a:schemeClr>
                </a:solidFill>
              </a:rPr>
              <a:t> P/L</a:t>
            </a:r>
            <a:endParaRPr lang="en-US" sz="1800" b="1">
              <a:solidFill>
                <a:schemeClr val="accent4">
                  <a:lumMod val="7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0</xdr:col>
      <xdr:colOff>251424</xdr:colOff>
      <xdr:row>25</xdr:row>
      <xdr:rowOff>140194</xdr:rowOff>
    </xdr:from>
    <xdr:to>
      <xdr:col>6</xdr:col>
      <xdr:colOff>224324</xdr:colOff>
      <xdr:row>1048576</xdr:row>
      <xdr:rowOff>89647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251424" y="4902694"/>
          <a:ext cx="3630500" cy="3226053"/>
          <a:chOff x="239203" y="4400033"/>
          <a:chExt cx="3597817" cy="3224268"/>
        </a:xfrm>
      </xdr:grpSpPr>
      <xdr:graphicFrame macro="">
        <xdr:nvGraphicFramePr>
          <xdr:cNvPr id="30" name="Chart 29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GraphicFramePr>
            <a:graphicFrameLocks/>
          </xdr:cNvGraphicFramePr>
        </xdr:nvGraphicFramePr>
        <xdr:xfrm>
          <a:off x="246474" y="4750353"/>
          <a:ext cx="3583275" cy="287394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 txBox="1"/>
        </xdr:nvSpPr>
        <xdr:spPr>
          <a:xfrm>
            <a:off x="412299" y="4456195"/>
            <a:ext cx="3420112" cy="38904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800" b="1">
                <a:solidFill>
                  <a:schemeClr val="accent4">
                    <a:lumMod val="75000"/>
                  </a:schemeClr>
                </a:solidFill>
              </a:rPr>
              <a:t>Book</a:t>
            </a:r>
            <a:r>
              <a:rPr lang="en-US" sz="1800" b="1" baseline="0">
                <a:solidFill>
                  <a:schemeClr val="accent4">
                    <a:lumMod val="75000"/>
                  </a:schemeClr>
                </a:solidFill>
              </a:rPr>
              <a:t> Value Prob. Dist in (R$k)</a:t>
            </a:r>
            <a:endParaRPr lang="en-US" sz="1800" b="1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">
        <xdr:nvSpPr>
          <xdr:cNvPr id="42" name="Rectangle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239203" y="4400033"/>
            <a:ext cx="3597817" cy="2954867"/>
          </a:xfrm>
          <a:prstGeom prst="rect">
            <a:avLst/>
          </a:prstGeom>
          <a:noFill/>
          <a:ln w="9525">
            <a:solidFill>
              <a:srgbClr val="7443A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6</xdr:col>
      <xdr:colOff>174445</xdr:colOff>
      <xdr:row>25</xdr:row>
      <xdr:rowOff>142178</xdr:rowOff>
    </xdr:from>
    <xdr:to>
      <xdr:col>12</xdr:col>
      <xdr:colOff>301438</xdr:colOff>
      <xdr:row>41</xdr:row>
      <xdr:rowOff>45716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pSpPr/>
      </xdr:nvGrpSpPr>
      <xdr:grpSpPr>
        <a:xfrm>
          <a:off x="3832045" y="4904678"/>
          <a:ext cx="3784593" cy="2951538"/>
          <a:chOff x="3765177" y="4413222"/>
          <a:chExt cx="3750522" cy="2949905"/>
        </a:xfrm>
      </xdr:grpSpPr>
      <xdr:sp macro="" textlink="">
        <xdr:nvSpPr>
          <xdr:cNvPr id="35" name="TextBox 34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 txBox="1"/>
        </xdr:nvSpPr>
        <xdr:spPr>
          <a:xfrm>
            <a:off x="4693501" y="4451411"/>
            <a:ext cx="2027768" cy="3153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pPr algn="ctr"/>
            <a:r>
              <a:rPr lang="en-US" sz="1800" b="1">
                <a:solidFill>
                  <a:schemeClr val="accent4">
                    <a:lumMod val="75000"/>
                  </a:schemeClr>
                </a:solidFill>
              </a:rPr>
              <a:t>Daily change to FPC</a:t>
            </a:r>
          </a:p>
        </xdr:txBody>
      </xdr:sp>
      <xdr:graphicFrame macro="">
        <xdr:nvGraphicFramePr>
          <xdr:cNvPr id="34" name="Chart 33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GraphicFramePr>
            <a:graphicFrameLocks/>
          </xdr:cNvGraphicFramePr>
        </xdr:nvGraphicFramePr>
        <xdr:xfrm>
          <a:off x="3765177" y="4736430"/>
          <a:ext cx="3750522" cy="257540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sp macro="" textlink="">
        <xdr:nvSpPr>
          <xdr:cNvPr id="43" name="Rectangle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/>
        </xdr:nvSpPr>
        <xdr:spPr>
          <a:xfrm>
            <a:off x="3886776" y="4413222"/>
            <a:ext cx="3628721" cy="2949905"/>
          </a:xfrm>
          <a:prstGeom prst="rect">
            <a:avLst/>
          </a:prstGeom>
          <a:noFill/>
          <a:ln w="9525">
            <a:solidFill>
              <a:srgbClr val="7443A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12</xdr:col>
      <xdr:colOff>380110</xdr:colOff>
      <xdr:row>25</xdr:row>
      <xdr:rowOff>149511</xdr:rowOff>
    </xdr:from>
    <xdr:to>
      <xdr:col>18</xdr:col>
      <xdr:colOff>396248</xdr:colOff>
      <xdr:row>1048576</xdr:row>
      <xdr:rowOff>59039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695310" y="4912011"/>
          <a:ext cx="3673738" cy="3186128"/>
          <a:chOff x="7616075" y="4420550"/>
          <a:chExt cx="3640665" cy="3184365"/>
        </a:xfrm>
      </xdr:grpSpPr>
      <xdr:graphicFrame macro="">
        <xdr:nvGraphicFramePr>
          <xdr:cNvPr id="32" name="Chart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GraphicFramePr>
            <a:graphicFrameLocks/>
          </xdr:cNvGraphicFramePr>
        </xdr:nvGraphicFramePr>
        <xdr:xfrm>
          <a:off x="7616075" y="4736832"/>
          <a:ext cx="3640665" cy="286808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 txBox="1"/>
        </xdr:nvSpPr>
        <xdr:spPr>
          <a:xfrm>
            <a:off x="7687235" y="4464242"/>
            <a:ext cx="3563471" cy="3783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en-US" sz="1800" b="1">
                <a:solidFill>
                  <a:schemeClr val="accent4">
                    <a:lumMod val="75000"/>
                  </a:schemeClr>
                </a:solidFill>
              </a:rPr>
              <a:t>Volume</a:t>
            </a:r>
            <a:r>
              <a:rPr lang="en-US" sz="1800" b="1" baseline="0">
                <a:solidFill>
                  <a:schemeClr val="accent4">
                    <a:lumMod val="75000"/>
                  </a:schemeClr>
                </a:solidFill>
              </a:rPr>
              <a:t> Exposure - </a:t>
            </a:r>
            <a:r>
              <a:rPr lang="en-US" sz="1100" b="0" i="1" baseline="0">
                <a:solidFill>
                  <a:schemeClr val="accent4">
                    <a:lumMod val="75000"/>
                  </a:schemeClr>
                </a:solidFill>
              </a:rPr>
              <a:t>Excludes monthly balancing</a:t>
            </a:r>
            <a:endParaRPr lang="en-US" sz="1800" b="0" i="1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">
        <xdr:nvSpPr>
          <xdr:cNvPr id="44" name="Rectangle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/>
        </xdr:nvSpPr>
        <xdr:spPr>
          <a:xfrm>
            <a:off x="7634418" y="4420550"/>
            <a:ext cx="3603979" cy="2942578"/>
          </a:xfrm>
          <a:prstGeom prst="rect">
            <a:avLst/>
          </a:prstGeom>
          <a:noFill/>
          <a:ln w="9525">
            <a:solidFill>
              <a:srgbClr val="7443A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 editAs="absolute">
    <xdr:from>
      <xdr:col>0</xdr:col>
      <xdr:colOff>258816</xdr:colOff>
      <xdr:row>3</xdr:row>
      <xdr:rowOff>152968</xdr:rowOff>
    </xdr:from>
    <xdr:to>
      <xdr:col>6</xdr:col>
      <xdr:colOff>242759</xdr:colOff>
      <xdr:row>9</xdr:row>
      <xdr:rowOff>67204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258816" y="724468"/>
          <a:ext cx="3641543" cy="1057236"/>
          <a:chOff x="14870204" y="2879912"/>
          <a:chExt cx="3608760" cy="1056651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14870204" y="2879912"/>
            <a:ext cx="3608760" cy="1056651"/>
            <a:chOff x="15329645" y="1636059"/>
            <a:chExt cx="3608760" cy="1056651"/>
          </a:xfrm>
        </xdr:grpSpPr>
        <xdr:sp macro="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0200-000036000000}"/>
                </a:ext>
              </a:extLst>
            </xdr:cNvPr>
            <xdr:cNvSpPr/>
          </xdr:nvSpPr>
          <xdr:spPr>
            <a:xfrm>
              <a:off x="15329647" y="1636059"/>
              <a:ext cx="3608758" cy="1053353"/>
            </a:xfrm>
            <a:prstGeom prst="rect">
              <a:avLst/>
            </a:prstGeom>
            <a:noFill/>
            <a:ln w="9525">
              <a:solidFill>
                <a:srgbClr val="7443A4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13" name="TextBox 12">
              <a:extLst>
                <a:ext uri="{FF2B5EF4-FFF2-40B4-BE49-F238E27FC236}">
                  <a16:creationId xmlns:a16="http://schemas.microsoft.com/office/drawing/2014/main" id="{00000000-0008-0000-0200-00000D000000}"/>
                </a:ext>
              </a:extLst>
            </xdr:cNvPr>
            <xdr:cNvSpPr txBox="1"/>
          </xdr:nvSpPr>
          <xdr:spPr>
            <a:xfrm>
              <a:off x="15329648" y="2084052"/>
              <a:ext cx="1994646" cy="31376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2000" b="1">
                  <a:solidFill>
                    <a:schemeClr val="accent4">
                      <a:lumMod val="75000"/>
                    </a:schemeClr>
                  </a:solidFill>
                </a:rPr>
                <a:t>Current P/L</a:t>
              </a:r>
            </a:p>
          </xdr:txBody>
        </xdr:sp>
        <xdr:sp macro="" textlink="">
          <xdr:nvSpPr>
            <xdr:cNvPr id="50" name="TextBox 49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 txBox="1"/>
          </xdr:nvSpPr>
          <xdr:spPr>
            <a:xfrm>
              <a:off x="17335499" y="2079570"/>
              <a:ext cx="1591235" cy="31376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400" b="1">
                  <a:solidFill>
                    <a:schemeClr val="accent4">
                      <a:lumMod val="75000"/>
                    </a:schemeClr>
                  </a:solidFill>
                </a:rPr>
                <a:t>Incentive Balance</a:t>
              </a:r>
            </a:p>
          </xdr:txBody>
        </xdr:sp>
        <xdr:sp macro="" textlink="$V$5">
          <xdr:nvSpPr>
            <xdr:cNvPr id="20" name="Rectangle 19">
              <a:extLst>
                <a:ext uri="{FF2B5EF4-FFF2-40B4-BE49-F238E27FC236}">
                  <a16:creationId xmlns:a16="http://schemas.microsoft.com/office/drawing/2014/main" id="{00000000-0008-0000-0200-000014000000}"/>
                </a:ext>
              </a:extLst>
            </xdr:cNvPr>
            <xdr:cNvSpPr/>
          </xdr:nvSpPr>
          <xdr:spPr>
            <a:xfrm>
              <a:off x="15329645" y="1669826"/>
              <a:ext cx="2005853" cy="45944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62B98CF4-4D38-467C-9880-14600C759A68}" type="TxLink">
                <a:rPr lang="en-US" sz="2400" b="1" i="0" u="none" strike="noStrike">
                  <a:solidFill>
                    <a:schemeClr val="accent4">
                      <a:lumMod val="75000"/>
                    </a:schemeClr>
                  </a:solidFill>
                  <a:latin typeface="Calibri"/>
                  <a:cs typeface="Calibri"/>
                </a:rPr>
                <a:pPr algn="ctr"/>
                <a:t>R$13,14MM</a:t>
              </a:fld>
              <a:endParaRPr lang="pt-BR" sz="2400">
                <a:solidFill>
                  <a:schemeClr val="accent4">
                    <a:lumMod val="75000"/>
                  </a:schemeClr>
                </a:solidFill>
              </a:endParaRPr>
            </a:p>
          </xdr:txBody>
        </xdr:sp>
        <xdr:sp macro="" textlink="$V$7">
          <xdr:nvSpPr>
            <xdr:cNvPr id="51" name="Rectangle 50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>
              <a:off x="17331019" y="1676546"/>
              <a:ext cx="1606923" cy="452719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D6017054-6546-4EF8-81FC-E50249A22705}" type="TxLink">
                <a:rPr lang="en-US" sz="2400" b="1" i="0" u="none" strike="noStrike">
                  <a:solidFill>
                    <a:schemeClr val="accent4">
                      <a:lumMod val="75000"/>
                    </a:schemeClr>
                  </a:solidFill>
                  <a:latin typeface="Calibri"/>
                  <a:cs typeface="Calibri"/>
                </a:rPr>
                <a:pPr algn="ctr"/>
                <a:t>R$0,44MM</a:t>
              </a:fld>
              <a:endParaRPr lang="pt-BR" sz="1800">
                <a:solidFill>
                  <a:schemeClr val="accent4">
                    <a:lumMod val="75000"/>
                  </a:schemeClr>
                </a:solidFill>
              </a:endParaRPr>
            </a:p>
          </xdr:txBody>
        </xdr:sp>
        <xdr:sp macro="" textlink="$V$8">
          <xdr:nvSpPr>
            <xdr:cNvPr id="52" name="Rectangle 51">
              <a:extLst>
                <a:ext uri="{FF2B5EF4-FFF2-40B4-BE49-F238E27FC236}">
                  <a16:creationId xmlns:a16="http://schemas.microsoft.com/office/drawing/2014/main" id="{00000000-0008-0000-0200-000034000000}"/>
                </a:ext>
              </a:extLst>
            </xdr:cNvPr>
            <xdr:cNvSpPr/>
          </xdr:nvSpPr>
          <xdr:spPr>
            <a:xfrm>
              <a:off x="15331888" y="2422710"/>
              <a:ext cx="1992406" cy="270000"/>
            </a:xfrm>
            <a:prstGeom prst="rect">
              <a:avLst/>
            </a:prstGeom>
            <a:solidFill>
              <a:srgbClr val="7443A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FB1A6E08-3615-4AD8-8E0C-488791CE1A8F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Actual: -R$1,71 MM</a:t>
              </a:fld>
              <a:endParaRPr lang="pt-BR" sz="1600">
                <a:solidFill>
                  <a:schemeClr val="bg1"/>
                </a:solidFill>
              </a:endParaRPr>
            </a:p>
          </xdr:txBody>
        </xdr:sp>
        <xdr:sp macro="" textlink="$V$9">
          <xdr:nvSpPr>
            <xdr:cNvPr id="53" name="Rectangle 52">
              <a:extLst>
                <a:ext uri="{FF2B5EF4-FFF2-40B4-BE49-F238E27FC236}">
                  <a16:creationId xmlns:a16="http://schemas.microsoft.com/office/drawing/2014/main" id="{00000000-0008-0000-0200-000035000000}"/>
                </a:ext>
              </a:extLst>
            </xdr:cNvPr>
            <xdr:cNvSpPr/>
          </xdr:nvSpPr>
          <xdr:spPr>
            <a:xfrm>
              <a:off x="17324294" y="2420470"/>
              <a:ext cx="1613647" cy="270000"/>
            </a:xfrm>
            <a:prstGeom prst="rect">
              <a:avLst/>
            </a:prstGeom>
            <a:solidFill>
              <a:srgbClr val="7443A4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fld id="{487F9232-9680-4A35-B63C-2AD54A4DC785}" type="TxLink">
                <a:rPr lang="en-US" sz="1200" b="1" i="0" u="none" strike="noStrike">
                  <a:solidFill>
                    <a:schemeClr val="bg1"/>
                  </a:solidFill>
                  <a:latin typeface="Calibri"/>
                  <a:cs typeface="Calibri"/>
                </a:rPr>
                <a:pPr algn="ctr"/>
                <a:t>Forecast:R$14,85 MM</a:t>
              </a:fld>
              <a:endParaRPr lang="pt-BR" sz="1200">
                <a:solidFill>
                  <a:schemeClr val="bg1"/>
                </a:solidFill>
              </a:endParaRPr>
            </a:p>
          </xdr:txBody>
        </xdr:sp>
      </xdr:grpSp>
      <xdr:cxnSp macro="">
        <xdr:nvCxnSpPr>
          <xdr:cNvPr id="3" name="Straight Connector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CxnSpPr/>
        </xdr:nvCxnSpPr>
        <xdr:spPr>
          <a:xfrm>
            <a:off x="16876059" y="2931460"/>
            <a:ext cx="0" cy="654422"/>
          </a:xfrm>
          <a:prstGeom prst="line">
            <a:avLst/>
          </a:prstGeom>
          <a:ln>
            <a:solidFill>
              <a:schemeClr val="tx2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16880915" y="3682254"/>
            <a:ext cx="0" cy="239804"/>
          </a:xfrm>
          <a:prstGeom prst="line">
            <a:avLst/>
          </a:prstGeom>
          <a:ln>
            <a:solidFill>
              <a:schemeClr val="bg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12</xdr:col>
      <xdr:colOff>397638</xdr:colOff>
      <xdr:row>3</xdr:row>
      <xdr:rowOff>166422</xdr:rowOff>
    </xdr:from>
    <xdr:to>
      <xdr:col>18</xdr:col>
      <xdr:colOff>385634</xdr:colOff>
      <xdr:row>9</xdr:row>
      <xdr:rowOff>80658</xdr:rowOff>
    </xdr:to>
    <xdr:grpSp>
      <xdr:nvGrpSpPr>
        <xdr:cNvPr id="67" name="Group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7712838" y="737922"/>
          <a:ext cx="3645596" cy="1057236"/>
          <a:chOff x="18597282" y="2886635"/>
          <a:chExt cx="3612777" cy="1056651"/>
        </a:xfrm>
      </xdr:grpSpPr>
      <xdr:grpSp>
        <xdr:nvGrpSpPr>
          <xdr:cNvPr id="68" name="Group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GrpSpPr/>
        </xdr:nvGrpSpPr>
        <xdr:grpSpPr>
          <a:xfrm>
            <a:off x="18597282" y="2886635"/>
            <a:ext cx="3612777" cy="1056651"/>
            <a:chOff x="14870206" y="2879912"/>
            <a:chExt cx="3612777" cy="1056651"/>
          </a:xfrm>
        </xdr:grpSpPr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GrpSpPr/>
          </xdr:nvGrpSpPr>
          <xdr:grpSpPr>
            <a:xfrm>
              <a:off x="14870206" y="2879912"/>
              <a:ext cx="3612777" cy="1056651"/>
              <a:chOff x="15329647" y="1636059"/>
              <a:chExt cx="3612777" cy="1056651"/>
            </a:xfrm>
          </xdr:grpSpPr>
          <xdr:sp macro="" textlink="">
            <xdr:nvSpPr>
              <xdr:cNvPr id="72" name="Rectangle 71">
                <a:extLst>
                  <a:ext uri="{FF2B5EF4-FFF2-40B4-BE49-F238E27FC236}">
                    <a16:creationId xmlns:a16="http://schemas.microsoft.com/office/drawing/2014/main" id="{00000000-0008-0000-0200-000048000000}"/>
                  </a:ext>
                </a:extLst>
              </xdr:cNvPr>
              <xdr:cNvSpPr/>
            </xdr:nvSpPr>
            <xdr:spPr>
              <a:xfrm>
                <a:off x="15329647" y="1636059"/>
                <a:ext cx="3608758" cy="1053353"/>
              </a:xfrm>
              <a:prstGeom prst="rect">
                <a:avLst/>
              </a:prstGeom>
              <a:noFill/>
              <a:ln w="9525">
                <a:solidFill>
                  <a:srgbClr val="7443A4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US" sz="1100"/>
              </a:p>
            </xdr:txBody>
          </xdr:sp>
          <xdr:sp macro="" textlink="$V$15">
            <xdr:nvSpPr>
              <xdr:cNvPr id="73" name="Rectangle 72">
                <a:extLst>
                  <a:ext uri="{FF2B5EF4-FFF2-40B4-BE49-F238E27FC236}">
                    <a16:creationId xmlns:a16="http://schemas.microsoft.com/office/drawing/2014/main" id="{00000000-0008-0000-0200-000049000000}"/>
                  </a:ext>
                </a:extLst>
              </xdr:cNvPr>
              <xdr:cNvSpPr/>
            </xdr:nvSpPr>
            <xdr:spPr>
              <a:xfrm>
                <a:off x="15329647" y="1640710"/>
                <a:ext cx="3612777" cy="477371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23491AC6-806C-4B64-A602-A6E641DFB568}" type="TxLink">
                  <a:rPr lang="en-US" sz="2400" b="1" i="0" u="none" strike="noStrike">
                    <a:solidFill>
                      <a:srgbClr val="C0504D"/>
                    </a:solidFill>
                    <a:latin typeface="Calibri"/>
                    <a:cs typeface="Calibri"/>
                  </a:rPr>
                  <a:pPr algn="ctr"/>
                  <a:t>VaR: -R$3,65MM</a:t>
                </a:fld>
                <a:endParaRPr lang="pt-BR" sz="3200">
                  <a:solidFill>
                    <a:schemeClr val="tx2">
                      <a:lumMod val="75000"/>
                    </a:schemeClr>
                  </a:solidFill>
                </a:endParaRPr>
              </a:p>
            </xdr:txBody>
          </xdr:sp>
          <xdr:sp macro="" textlink="$V$16">
            <xdr:nvSpPr>
              <xdr:cNvPr id="74" name="Rectangle 73">
                <a:extLst>
                  <a:ext uri="{FF2B5EF4-FFF2-40B4-BE49-F238E27FC236}">
                    <a16:creationId xmlns:a16="http://schemas.microsoft.com/office/drawing/2014/main" id="{00000000-0008-0000-0200-00004A000000}"/>
                  </a:ext>
                </a:extLst>
              </xdr:cNvPr>
              <xdr:cNvSpPr/>
            </xdr:nvSpPr>
            <xdr:spPr>
              <a:xfrm>
                <a:off x="15331888" y="2422710"/>
                <a:ext cx="1992406" cy="270000"/>
              </a:xfrm>
              <a:prstGeom prst="rect">
                <a:avLst/>
              </a:prstGeom>
              <a:solidFill>
                <a:srgbClr val="7443A4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6139D2E7-009C-470B-B511-3F39E2D5BD3D}" type="TxLink">
                  <a:rPr lang="en-US" sz="1400" b="1" i="0" u="none" strike="noStrike">
                    <a:solidFill>
                      <a:srgbClr val="FFFFFF"/>
                    </a:solidFill>
                    <a:latin typeface="Calibri"/>
                    <a:cs typeface="Calibri"/>
                  </a:rPr>
                  <a:pPr algn="ctr"/>
                  <a:t>Limit: R$30MM</a:t>
                </a:fld>
                <a:endParaRPr lang="pt-BR" sz="1400">
                  <a:solidFill>
                    <a:schemeClr val="bg1"/>
                  </a:solidFill>
                </a:endParaRPr>
              </a:p>
            </xdr:txBody>
          </xdr:sp>
          <xdr:sp macro="" textlink="$V$17">
            <xdr:nvSpPr>
              <xdr:cNvPr id="75" name="Rectangle 74">
                <a:extLst>
                  <a:ext uri="{FF2B5EF4-FFF2-40B4-BE49-F238E27FC236}">
                    <a16:creationId xmlns:a16="http://schemas.microsoft.com/office/drawing/2014/main" id="{00000000-0008-0000-0200-00004B000000}"/>
                  </a:ext>
                </a:extLst>
              </xdr:cNvPr>
              <xdr:cNvSpPr/>
            </xdr:nvSpPr>
            <xdr:spPr>
              <a:xfrm>
                <a:off x="17324294" y="2420470"/>
                <a:ext cx="1613647" cy="270000"/>
              </a:xfrm>
              <a:prstGeom prst="rect">
                <a:avLst/>
              </a:prstGeom>
              <a:solidFill>
                <a:srgbClr val="7443A4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4875D8CC-A951-45DE-87B6-8B2DA8C55BFF}" type="TxLink">
                  <a:rPr lang="en-US" sz="1400" b="1" i="0" u="none" strike="noStrike">
                    <a:solidFill>
                      <a:srgbClr val="FFFFFF"/>
                    </a:solidFill>
                    <a:latin typeface="Calibri"/>
                    <a:cs typeface="Calibri"/>
                  </a:rPr>
                  <a:pPr algn="ctr"/>
                  <a:t>Usage: 12,2%</a:t>
                </a:fld>
                <a:endParaRPr lang="pt-BR" sz="1200">
                  <a:solidFill>
                    <a:schemeClr val="bg1"/>
                  </a:solidFill>
                </a:endParaRPr>
              </a:p>
            </xdr:txBody>
          </xdr:sp>
        </xdr:grpSp>
        <xdr:cxnSp macro="">
          <xdr:nvCxnSpPr>
            <xdr:cNvPr id="71" name="Straight Connector 70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CxnSpPr/>
          </xdr:nvCxnSpPr>
          <xdr:spPr>
            <a:xfrm>
              <a:off x="16880915" y="3682254"/>
              <a:ext cx="0" cy="239804"/>
            </a:xfrm>
            <a:prstGeom prst="line">
              <a:avLst/>
            </a:prstGeom>
            <a:ln>
              <a:solidFill>
                <a:schemeClr val="bg1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$V$14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/>
        </xdr:nvSpPr>
        <xdr:spPr>
          <a:xfrm>
            <a:off x="18597282" y="3312224"/>
            <a:ext cx="3612777" cy="307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C3D403A6-EF42-4899-895E-EFBA79A8BEBC}" type="TxLink">
              <a:rPr lang="en-US" sz="2000" b="1" i="0" u="none" strike="noStrike">
                <a:solidFill>
                  <a:schemeClr val="accent4">
                    <a:lumMod val="75000"/>
                  </a:schemeClr>
                </a:solidFill>
                <a:latin typeface="Calibri"/>
                <a:cs typeface="Calibri"/>
              </a:rPr>
              <a:pPr algn="ctr"/>
              <a:t>FPC @ 5,00% tail</a:t>
            </a:fld>
            <a:endParaRPr lang="pt-BR" sz="4000">
              <a:solidFill>
                <a:schemeClr val="accent4">
                  <a:lumMod val="75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6</xdr:col>
      <xdr:colOff>4828</xdr:colOff>
      <xdr:row>0</xdr:row>
      <xdr:rowOff>29317</xdr:rowOff>
    </xdr:from>
    <xdr:to>
      <xdr:col>12</xdr:col>
      <xdr:colOff>564993</xdr:colOff>
      <xdr:row>3</xdr:row>
      <xdr:rowOff>108119</xdr:rowOff>
    </xdr:to>
    <xdr:sp macro="" textlink="$V$2">
      <xdr:nvSpPr>
        <xdr:cNvPr id="76" name="Rectangle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>
        <a:xfrm>
          <a:off x="3662428" y="29317"/>
          <a:ext cx="4217765" cy="65030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8A1645C0-4ED9-4026-AE22-B8A2063B431D}" type="TxLink">
            <a:rPr lang="en-US" sz="3200" b="1" i="0" u="none" strike="noStrike">
              <a:solidFill>
                <a:srgbClr val="7443A4"/>
              </a:solidFill>
              <a:latin typeface="Calibri"/>
              <a:cs typeface="Calibri"/>
            </a:rPr>
            <a:pPr algn="ctr"/>
            <a:t>Trading Book </a:t>
          </a:fld>
          <a:endParaRPr lang="pt-BR" sz="6000" b="1">
            <a:solidFill>
              <a:srgbClr val="7443A4"/>
            </a:solidFill>
          </a:endParaRPr>
        </a:p>
      </xdr:txBody>
    </xdr:sp>
    <xdr:clientData/>
  </xdr:twoCellAnchor>
  <xdr:twoCellAnchor editAs="absolute">
    <xdr:from>
      <xdr:col>17</xdr:col>
      <xdr:colOff>36342</xdr:colOff>
      <xdr:row>2</xdr:row>
      <xdr:rowOff>49711</xdr:rowOff>
    </xdr:from>
    <xdr:to>
      <xdr:col>18</xdr:col>
      <xdr:colOff>390158</xdr:colOff>
      <xdr:row>3</xdr:row>
      <xdr:rowOff>166422</xdr:rowOff>
    </xdr:to>
    <xdr:sp macro="" textlink="$V$3">
      <xdr:nvSpPr>
        <xdr:cNvPr id="77" name="Rectangle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>
        <a:xfrm>
          <a:off x="10399542" y="430711"/>
          <a:ext cx="963416" cy="30721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DD14E82-9061-4352-84F9-B04F12F14FD9}" type="TxLink">
            <a:rPr lang="en-US" sz="1800" b="1" i="0" u="none" strike="noStrike">
              <a:solidFill>
                <a:srgbClr val="7443A4"/>
              </a:solidFill>
              <a:latin typeface="Calibri"/>
              <a:cs typeface="Calibri"/>
            </a:rPr>
            <a:pPr algn="ctr"/>
            <a:t>Dec-22</a:t>
          </a:fld>
          <a:endParaRPr lang="pt-BR" sz="6000" b="1">
            <a:solidFill>
              <a:srgbClr val="7443A4"/>
            </a:solidFill>
          </a:endParaRPr>
        </a:p>
      </xdr:txBody>
    </xdr:sp>
    <xdr:clientData/>
  </xdr:twoCellAnchor>
  <xdr:twoCellAnchor>
    <xdr:from>
      <xdr:col>6</xdr:col>
      <xdr:colOff>316920</xdr:colOff>
      <xdr:row>3</xdr:row>
      <xdr:rowOff>159694</xdr:rowOff>
    </xdr:from>
    <xdr:to>
      <xdr:col>12</xdr:col>
      <xdr:colOff>304916</xdr:colOff>
      <xdr:row>9</xdr:row>
      <xdr:rowOff>74542</xdr:rowOff>
    </xdr:to>
    <xdr:grpSp>
      <xdr:nvGrpSpPr>
        <xdr:cNvPr id="195" name="Group 194">
          <a:extLst>
            <a:ext uri="{FF2B5EF4-FFF2-40B4-BE49-F238E27FC236}">
              <a16:creationId xmlns:a16="http://schemas.microsoft.com/office/drawing/2014/main" id="{00000000-0008-0000-0200-0000C3000000}"/>
            </a:ext>
          </a:extLst>
        </xdr:cNvPr>
        <xdr:cNvGrpSpPr/>
      </xdr:nvGrpSpPr>
      <xdr:grpSpPr>
        <a:xfrm>
          <a:off x="3974520" y="731194"/>
          <a:ext cx="3645596" cy="1057848"/>
          <a:chOff x="3947626" y="731194"/>
          <a:chExt cx="3618702" cy="1057848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/>
        </xdr:nvSpPr>
        <xdr:spPr>
          <a:xfrm>
            <a:off x="3947626" y="731194"/>
            <a:ext cx="3614646" cy="1053936"/>
          </a:xfrm>
          <a:prstGeom prst="rect">
            <a:avLst/>
          </a:prstGeom>
          <a:noFill/>
          <a:ln w="9525">
            <a:solidFill>
              <a:srgbClr val="7443A4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tx1">
                  <a:lumMod val="85000"/>
                  <a:lumOff val="15000"/>
                </a:schemeClr>
              </a:solidFill>
            </a:endParaRPr>
          </a:p>
        </xdr:txBody>
      </xdr:sp>
      <xdr:sp macro="" textlink="$V$11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3947626" y="734046"/>
            <a:ext cx="3618702" cy="47763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1C96075B-5B7C-427D-9FA4-77AEB614DD7A}" type="TxLink">
              <a:rPr lang="en-US" sz="2400" b="1" i="0" u="none" strike="noStrike">
                <a:solidFill>
                  <a:schemeClr val="accent4">
                    <a:lumMod val="75000"/>
                  </a:schemeClr>
                </a:solidFill>
                <a:latin typeface="Calibri"/>
                <a:cs typeface="Calibri"/>
              </a:rPr>
              <a:pPr algn="ctr"/>
              <a:t>Market Position: SHORT</a:t>
            </a:fld>
            <a:endParaRPr lang="pt-BR" sz="2800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$V$12">
        <xdr:nvSpPr>
          <xdr:cNvPr id="189" name="Rectangle 188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SpPr/>
        </xdr:nvSpPr>
        <xdr:spPr>
          <a:xfrm>
            <a:off x="3953727" y="1509671"/>
            <a:ext cx="1987708" cy="278911"/>
          </a:xfrm>
          <a:prstGeom prst="rect">
            <a:avLst/>
          </a:prstGeom>
          <a:solidFill>
            <a:srgbClr val="7443A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6090C6B-BEED-4943-8F21-6CB73C35C23A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Limit: 526 GWh</a:t>
            </a:fld>
            <a:endParaRPr lang="pt-BR" sz="1400">
              <a:solidFill>
                <a:schemeClr val="bg1"/>
              </a:solidFill>
            </a:endParaRPr>
          </a:p>
        </xdr:txBody>
      </xdr:sp>
      <xdr:sp macro="" textlink="$V$13">
        <xdr:nvSpPr>
          <xdr:cNvPr id="190" name="Rectangle 189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/>
        </xdr:nvSpPr>
        <xdr:spPr>
          <a:xfrm>
            <a:off x="5938732" y="1507435"/>
            <a:ext cx="1627480" cy="281607"/>
          </a:xfrm>
          <a:prstGeom prst="rect">
            <a:avLst/>
          </a:prstGeom>
          <a:solidFill>
            <a:srgbClr val="7443A4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EF6330AF-492E-4201-81F1-39A35A9ECC42}" type="TxLink">
              <a:rPr lang="en-US" sz="1400" b="1" i="0" u="none" strike="noStrike">
                <a:solidFill>
                  <a:schemeClr val="bg1"/>
                </a:solidFill>
                <a:latin typeface="Calibri"/>
                <a:cs typeface="Calibri"/>
              </a:rPr>
              <a:pPr algn="ctr"/>
              <a:t>Usage: 49,2%</a:t>
            </a:fld>
            <a:endParaRPr lang="pt-BR" sz="1200">
              <a:solidFill>
                <a:schemeClr val="bg1"/>
              </a:solidFill>
            </a:endParaRPr>
          </a:p>
        </xdr:txBody>
      </xdr:sp>
      <xdr:cxnSp macro="">
        <xdr:nvCxnSpPr>
          <xdr:cNvPr id="191" name="Straight Connector 190">
            <a:extLst>
              <a:ext uri="{FF2B5EF4-FFF2-40B4-BE49-F238E27FC236}">
                <a16:creationId xmlns:a16="http://schemas.microsoft.com/office/drawing/2014/main" id="{00000000-0008-0000-0200-0000BF000000}"/>
              </a:ext>
            </a:extLst>
          </xdr:cNvPr>
          <xdr:cNvCxnSpPr/>
        </xdr:nvCxnSpPr>
        <xdr:spPr>
          <a:xfrm>
            <a:off x="5938797" y="1525365"/>
            <a:ext cx="0" cy="243127"/>
          </a:xfrm>
          <a:prstGeom prst="line">
            <a:avLst/>
          </a:prstGeom>
          <a:ln>
            <a:solidFill>
              <a:schemeClr val="bg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$V$10">
        <xdr:nvSpPr>
          <xdr:cNvPr id="193" name="Rectangle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/>
        </xdr:nvSpPr>
        <xdr:spPr>
          <a:xfrm>
            <a:off x="3951758" y="1170310"/>
            <a:ext cx="3606641" cy="307041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0075668-6121-4DFF-8877-EA40D5258F1B}" type="TxLink">
              <a:rPr lang="en-US" sz="1600" b="1" i="0" u="none" strike="noStrike">
                <a:solidFill>
                  <a:schemeClr val="accent4">
                    <a:lumMod val="75000"/>
                  </a:schemeClr>
                </a:solidFill>
                <a:latin typeface="Calibri"/>
                <a:cs typeface="Calibri"/>
              </a:rPr>
              <a:pPr algn="ctr"/>
              <a:t>Open energy volume: - 258 GWh</a:t>
            </a:fld>
            <a:endParaRPr lang="pt-BR" sz="3200">
              <a:solidFill>
                <a:schemeClr val="accent4">
                  <a:lumMod val="75000"/>
                </a:schemeClr>
              </a:solidFill>
            </a:endParaRPr>
          </a:p>
        </xdr:txBody>
      </xdr:sp>
    </xdr:grpSp>
    <xdr:clientData/>
  </xdr:twoCellAnchor>
  <xdr:twoCellAnchor editAs="oneCell">
    <xdr:from>
      <xdr:col>0</xdr:col>
      <xdr:colOff>244928</xdr:colOff>
      <xdr:row>0</xdr:row>
      <xdr:rowOff>40822</xdr:rowOff>
    </xdr:from>
    <xdr:to>
      <xdr:col>4</xdr:col>
      <xdr:colOff>126183</xdr:colOff>
      <xdr:row>4</xdr:row>
      <xdr:rowOff>79010</xdr:rowOff>
    </xdr:to>
    <xdr:pic>
      <xdr:nvPicPr>
        <xdr:cNvPr id="83" name="Imagem 8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273"/>
        <a:stretch/>
      </xdr:blipFill>
      <xdr:spPr>
        <a:xfrm>
          <a:off x="244928" y="40822"/>
          <a:ext cx="2330541" cy="800188"/>
        </a:xfrm>
        <a:prstGeom prst="rect">
          <a:avLst/>
        </a:prstGeom>
      </xdr:spPr>
    </xdr:pic>
    <xdr:clientData/>
  </xdr:twoCellAnchor>
  <xdr:twoCellAnchor>
    <xdr:from>
      <xdr:col>6</xdr:col>
      <xdr:colOff>298154</xdr:colOff>
      <xdr:row>19</xdr:row>
      <xdr:rowOff>96514</xdr:rowOff>
    </xdr:from>
    <xdr:to>
      <xdr:col>8</xdr:col>
      <xdr:colOff>174327</xdr:colOff>
      <xdr:row>20</xdr:row>
      <xdr:rowOff>158014</xdr:rowOff>
    </xdr:to>
    <xdr:sp macro="" textlink="">
      <xdr:nvSpPr>
        <xdr:cNvPr id="160" name="Rectangle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SpPr/>
      </xdr:nvSpPr>
      <xdr:spPr>
        <a:xfrm>
          <a:off x="3963637" y="3716014"/>
          <a:ext cx="1098000" cy="252000"/>
        </a:xfrm>
        <a:prstGeom prst="rect">
          <a:avLst/>
        </a:prstGeom>
        <a:solidFill>
          <a:srgbClr val="7443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bg1"/>
              </a:solidFill>
            </a:rPr>
            <a:t>GWh</a:t>
          </a:r>
        </a:p>
      </xdr:txBody>
    </xdr:sp>
    <xdr:clientData/>
  </xdr:twoCellAnchor>
  <xdr:twoCellAnchor>
    <xdr:from>
      <xdr:col>8</xdr:col>
      <xdr:colOff>168951</xdr:colOff>
      <xdr:row>19</xdr:row>
      <xdr:rowOff>96514</xdr:rowOff>
    </xdr:from>
    <xdr:to>
      <xdr:col>9</xdr:col>
      <xdr:colOff>422037</xdr:colOff>
      <xdr:row>20</xdr:row>
      <xdr:rowOff>158014</xdr:rowOff>
    </xdr:to>
    <xdr:sp macro="" textlink="$V$21">
      <xdr:nvSpPr>
        <xdr:cNvPr id="161" name="Rectangle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SpPr/>
      </xdr:nvSpPr>
      <xdr:spPr>
        <a:xfrm>
          <a:off x="5052678" y="3716014"/>
          <a:ext cx="863552" cy="252000"/>
        </a:xfrm>
        <a:prstGeom prst="rect">
          <a:avLst/>
        </a:prstGeom>
        <a:solidFill>
          <a:srgbClr val="7443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C946D0A-C744-4A24-A3A5-E01EABA4448C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2022</a:t>
          </a:fld>
          <a:endParaRPr lang="en-US" sz="2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9</xdr:col>
      <xdr:colOff>420267</xdr:colOff>
      <xdr:row>19</xdr:row>
      <xdr:rowOff>96514</xdr:rowOff>
    </xdr:from>
    <xdr:to>
      <xdr:col>11</xdr:col>
      <xdr:colOff>62439</xdr:colOff>
      <xdr:row>20</xdr:row>
      <xdr:rowOff>158014</xdr:rowOff>
    </xdr:to>
    <xdr:sp macro="" textlink="$V$22">
      <xdr:nvSpPr>
        <xdr:cNvPr id="162" name="Rectangle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SpPr/>
      </xdr:nvSpPr>
      <xdr:spPr>
        <a:xfrm>
          <a:off x="5914460" y="3716014"/>
          <a:ext cx="863104" cy="252000"/>
        </a:xfrm>
        <a:prstGeom prst="rect">
          <a:avLst/>
        </a:prstGeom>
        <a:solidFill>
          <a:srgbClr val="7443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E5B8A8B1-0C9C-4130-9810-F66F96F0BCAB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2023</a:t>
          </a:fld>
          <a:endParaRPr lang="en-US" sz="28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6</xdr:col>
      <xdr:colOff>305425</xdr:colOff>
      <xdr:row>20</xdr:row>
      <xdr:rowOff>176555</xdr:rowOff>
    </xdr:from>
    <xdr:to>
      <xdr:col>8</xdr:col>
      <xdr:colOff>163598</xdr:colOff>
      <xdr:row>22</xdr:row>
      <xdr:rowOff>47555</xdr:rowOff>
    </xdr:to>
    <xdr:sp macro="" textlink="">
      <xdr:nvSpPr>
        <xdr:cNvPr id="156" name="Rectangle 155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/>
      </xdr:nvSpPr>
      <xdr:spPr>
        <a:xfrm>
          <a:off x="3968220" y="3986555"/>
          <a:ext cx="1079105" cy="252000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4">
                  <a:lumMod val="75000"/>
                </a:schemeClr>
              </a:solidFill>
              <a:latin typeface="+mn-lt"/>
            </a:rPr>
            <a:t>Usage</a:t>
          </a:r>
        </a:p>
      </xdr:txBody>
    </xdr:sp>
    <xdr:clientData/>
  </xdr:twoCellAnchor>
  <xdr:twoCellAnchor>
    <xdr:from>
      <xdr:col>8</xdr:col>
      <xdr:colOff>164621</xdr:colOff>
      <xdr:row>22</xdr:row>
      <xdr:rowOff>74692</xdr:rowOff>
    </xdr:from>
    <xdr:to>
      <xdr:col>9</xdr:col>
      <xdr:colOff>417707</xdr:colOff>
      <xdr:row>23</xdr:row>
      <xdr:rowOff>136192</xdr:rowOff>
    </xdr:to>
    <xdr:sp macro="" textlink="$V$24">
      <xdr:nvSpPr>
        <xdr:cNvPr id="148" name="Rectangle 147">
          <a:extLst>
            <a:ext uri="{FF2B5EF4-FFF2-40B4-BE49-F238E27FC236}">
              <a16:creationId xmlns:a16="http://schemas.microsoft.com/office/drawing/2014/main" id="{00000000-0008-0000-0200-000094000000}"/>
            </a:ext>
          </a:extLst>
        </xdr:cNvPr>
        <xdr:cNvSpPr/>
      </xdr:nvSpPr>
      <xdr:spPr>
        <a:xfrm>
          <a:off x="5051931" y="4265692"/>
          <a:ext cx="864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0AB9D3C7-0151-49FB-A5C2-8A6A04309CC3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172</a:t>
          </a:fld>
          <a:endParaRPr lang="en-US" sz="18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62102</xdr:colOff>
      <xdr:row>22</xdr:row>
      <xdr:rowOff>74692</xdr:rowOff>
    </xdr:from>
    <xdr:to>
      <xdr:col>12</xdr:col>
      <xdr:colOff>315188</xdr:colOff>
      <xdr:row>23</xdr:row>
      <xdr:rowOff>136192</xdr:rowOff>
    </xdr:to>
    <xdr:sp macro="" textlink="$V$26">
      <xdr:nvSpPr>
        <xdr:cNvPr id="149" name="Rectangle 148">
          <a:extLst>
            <a:ext uri="{FF2B5EF4-FFF2-40B4-BE49-F238E27FC236}">
              <a16:creationId xmlns:a16="http://schemas.microsoft.com/office/drawing/2014/main" id="{00000000-0008-0000-0200-000095000000}"/>
            </a:ext>
          </a:extLst>
        </xdr:cNvPr>
        <xdr:cNvSpPr/>
      </xdr:nvSpPr>
      <xdr:spPr>
        <a:xfrm>
          <a:off x="6782154" y="4265692"/>
          <a:ext cx="864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0DD277C-599E-42E5-90D7-13A33CA1EC11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52</a:t>
          </a:fld>
          <a:endParaRPr lang="en-US" sz="18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415937</xdr:colOff>
      <xdr:row>20</xdr:row>
      <xdr:rowOff>167747</xdr:rowOff>
    </xdr:from>
    <xdr:to>
      <xdr:col>11</xdr:col>
      <xdr:colOff>58109</xdr:colOff>
      <xdr:row>22</xdr:row>
      <xdr:rowOff>38747</xdr:rowOff>
    </xdr:to>
    <xdr:sp macro="" textlink="$V$19">
      <xdr:nvSpPr>
        <xdr:cNvPr id="157" name="Rectangle 156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/>
      </xdr:nvSpPr>
      <xdr:spPr>
        <a:xfrm>
          <a:off x="5914161" y="3977747"/>
          <a:ext cx="864000" cy="252000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42B0E9D-9874-4D79-8F9A-014FC52332D1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cs typeface="Calibri"/>
            </a:rPr>
            <a:pPr algn="ctr"/>
            <a:t>- 139</a:t>
          </a:fld>
          <a:endParaRPr lang="en-US" sz="3200" b="0">
            <a:solidFill>
              <a:schemeClr val="accent4">
                <a:lumMod val="75000"/>
              </a:schemeClr>
            </a:solidFill>
            <a:latin typeface="+mn-lt"/>
          </a:endParaRPr>
        </a:p>
      </xdr:txBody>
    </xdr:sp>
    <xdr:clientData/>
  </xdr:twoCellAnchor>
  <xdr:twoCellAnchor>
    <xdr:from>
      <xdr:col>8</xdr:col>
      <xdr:colOff>164621</xdr:colOff>
      <xdr:row>20</xdr:row>
      <xdr:rowOff>167747</xdr:rowOff>
    </xdr:from>
    <xdr:to>
      <xdr:col>9</xdr:col>
      <xdr:colOff>417707</xdr:colOff>
      <xdr:row>22</xdr:row>
      <xdr:rowOff>38747</xdr:rowOff>
    </xdr:to>
    <xdr:sp macro="" textlink="$V$18">
      <xdr:nvSpPr>
        <xdr:cNvPr id="158" name="Rectangle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/>
      </xdr:nvSpPr>
      <xdr:spPr>
        <a:xfrm>
          <a:off x="5051931" y="3977747"/>
          <a:ext cx="864000" cy="252000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87EA142-6C1B-470E-B638-A3F6E5A8E83F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cs typeface="Calibri"/>
            </a:rPr>
            <a:pPr algn="ctr"/>
            <a:t>3</a:t>
          </a:fld>
          <a:endParaRPr lang="en-US" sz="1800" b="0">
            <a:solidFill>
              <a:schemeClr val="accent4">
                <a:lumMod val="75000"/>
              </a:schemeClr>
            </a:solidFill>
          </a:endParaRPr>
        </a:p>
      </xdr:txBody>
    </xdr:sp>
    <xdr:clientData/>
  </xdr:twoCellAnchor>
  <xdr:twoCellAnchor>
    <xdr:from>
      <xdr:col>6</xdr:col>
      <xdr:colOff>305425</xdr:colOff>
      <xdr:row>22</xdr:row>
      <xdr:rowOff>87830</xdr:rowOff>
    </xdr:from>
    <xdr:to>
      <xdr:col>8</xdr:col>
      <xdr:colOff>163598</xdr:colOff>
      <xdr:row>23</xdr:row>
      <xdr:rowOff>149330</xdr:rowOff>
    </xdr:to>
    <xdr:sp macro="" textlink="">
      <xdr:nvSpPr>
        <xdr:cNvPr id="64" name="Rectangle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3970908" y="4278830"/>
          <a:ext cx="1080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chemeClr val="accent4">
                  <a:lumMod val="75000"/>
                </a:schemeClr>
              </a:solidFill>
              <a:latin typeface="+mn-lt"/>
            </a:rPr>
            <a:t>Available</a:t>
          </a:r>
        </a:p>
      </xdr:txBody>
    </xdr:sp>
    <xdr:clientData/>
  </xdr:twoCellAnchor>
  <xdr:twoCellAnchor>
    <xdr:from>
      <xdr:col>8</xdr:col>
      <xdr:colOff>165739</xdr:colOff>
      <xdr:row>19</xdr:row>
      <xdr:rowOff>121883</xdr:rowOff>
    </xdr:from>
    <xdr:to>
      <xdr:col>8</xdr:col>
      <xdr:colOff>165739</xdr:colOff>
      <xdr:row>25</xdr:row>
      <xdr:rowOff>79896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>
        <a:xfrm>
          <a:off x="5049466" y="3741383"/>
          <a:ext cx="0" cy="1101013"/>
        </a:xfrm>
        <a:prstGeom prst="line">
          <a:avLst/>
        </a:prstGeom>
        <a:ln>
          <a:solidFill>
            <a:srgbClr val="7443A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62102</xdr:colOff>
      <xdr:row>23</xdr:row>
      <xdr:rowOff>187738</xdr:rowOff>
    </xdr:from>
    <xdr:to>
      <xdr:col>12</xdr:col>
      <xdr:colOff>315188</xdr:colOff>
      <xdr:row>25</xdr:row>
      <xdr:rowOff>58738</xdr:rowOff>
    </xdr:to>
    <xdr:sp macro="" textlink="$V$29">
      <xdr:nvSpPr>
        <xdr:cNvPr id="80" name="Rectangle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6782154" y="4569238"/>
          <a:ext cx="864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A4FCE42D-BB8B-4F3E-A63F-747C1304AC8F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70%</a:t>
          </a:fld>
          <a:endParaRPr lang="en-US" sz="24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305425</xdr:colOff>
      <xdr:row>23</xdr:row>
      <xdr:rowOff>181317</xdr:rowOff>
    </xdr:from>
    <xdr:to>
      <xdr:col>8</xdr:col>
      <xdr:colOff>163598</xdr:colOff>
      <xdr:row>25</xdr:row>
      <xdr:rowOff>52317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>
        <a:xfrm>
          <a:off x="3968220" y="4562817"/>
          <a:ext cx="1079105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accent4">
                  <a:lumMod val="75000"/>
                </a:schemeClr>
              </a:solidFill>
              <a:latin typeface="+mn-lt"/>
            </a:rPr>
            <a:t>% </a:t>
          </a:r>
          <a:r>
            <a:rPr lang="en-US" sz="1400" b="1">
              <a:solidFill>
                <a:schemeClr val="accent4">
                  <a:lumMod val="75000"/>
                </a:schemeClr>
              </a:solidFill>
              <a:latin typeface="+mn-lt"/>
            </a:rPr>
            <a:t>Usage</a:t>
          </a:r>
          <a:endParaRPr lang="en-US" sz="1200" b="1">
            <a:solidFill>
              <a:schemeClr val="accent4">
                <a:lumMod val="75000"/>
              </a:schemeClr>
            </a:solidFill>
            <a:latin typeface="+mn-lt"/>
          </a:endParaRPr>
        </a:p>
      </xdr:txBody>
    </xdr:sp>
    <xdr:clientData/>
  </xdr:twoCellAnchor>
  <xdr:twoCellAnchor>
    <xdr:from>
      <xdr:col>11</xdr:col>
      <xdr:colOff>55950</xdr:colOff>
      <xdr:row>19</xdr:row>
      <xdr:rowOff>135559</xdr:rowOff>
    </xdr:from>
    <xdr:to>
      <xdr:col>11</xdr:col>
      <xdr:colOff>55950</xdr:colOff>
      <xdr:row>25</xdr:row>
      <xdr:rowOff>79896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>
        <a:xfrm>
          <a:off x="6771075" y="3755059"/>
          <a:ext cx="0" cy="1087337"/>
        </a:xfrm>
        <a:prstGeom prst="line">
          <a:avLst/>
        </a:prstGeom>
        <a:ln>
          <a:solidFill>
            <a:srgbClr val="7443A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164621</xdr:colOff>
      <xdr:row>23</xdr:row>
      <xdr:rowOff>187738</xdr:rowOff>
    </xdr:from>
    <xdr:to>
      <xdr:col>9</xdr:col>
      <xdr:colOff>417707</xdr:colOff>
      <xdr:row>25</xdr:row>
      <xdr:rowOff>58738</xdr:rowOff>
    </xdr:to>
    <xdr:sp macro="" textlink="$V$27">
      <xdr:nvSpPr>
        <xdr:cNvPr id="103" name="Rectangle 102">
          <a:extLst>
            <a:ext uri="{FF2B5EF4-FFF2-40B4-BE49-F238E27FC236}">
              <a16:creationId xmlns:a16="http://schemas.microsoft.com/office/drawing/2014/main" id="{00000000-0008-0000-0200-000067000000}"/>
            </a:ext>
          </a:extLst>
        </xdr:cNvPr>
        <xdr:cNvSpPr/>
      </xdr:nvSpPr>
      <xdr:spPr>
        <a:xfrm>
          <a:off x="5051931" y="4569238"/>
          <a:ext cx="864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F84ABD72-31D5-40AE-AE9A-798CA16F7D9A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2%</a:t>
          </a:fld>
          <a:endParaRPr lang="en-US" sz="18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62102</xdr:colOff>
      <xdr:row>20</xdr:row>
      <xdr:rowOff>167747</xdr:rowOff>
    </xdr:from>
    <xdr:to>
      <xdr:col>12</xdr:col>
      <xdr:colOff>315188</xdr:colOff>
      <xdr:row>22</xdr:row>
      <xdr:rowOff>38747</xdr:rowOff>
    </xdr:to>
    <xdr:sp macro="" textlink="$V$20">
      <xdr:nvSpPr>
        <xdr:cNvPr id="98" name="Rectangle 156">
          <a:extLs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>
        <a:xfrm>
          <a:off x="6782154" y="3977747"/>
          <a:ext cx="864000" cy="252000"/>
        </a:xfrm>
        <a:prstGeom prst="rect">
          <a:avLst/>
        </a:prstGeom>
        <a:noFill/>
        <a:ln w="127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20C0BCDE-9021-46B9-835F-46D59D9CF15A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cs typeface="Calibri"/>
            </a:rPr>
            <a:pPr algn="ctr"/>
            <a:t>- 123</a:t>
          </a:fld>
          <a:endParaRPr lang="en-US" sz="3200" b="0">
            <a:solidFill>
              <a:schemeClr val="accent4">
                <a:lumMod val="75000"/>
              </a:schemeClr>
            </a:solidFill>
            <a:latin typeface="+mn-lt"/>
          </a:endParaRPr>
        </a:p>
      </xdr:txBody>
    </xdr:sp>
    <xdr:clientData/>
  </xdr:twoCellAnchor>
  <xdr:twoCellAnchor>
    <xdr:from>
      <xdr:col>9</xdr:col>
      <xdr:colOff>423692</xdr:colOff>
      <xdr:row>19</xdr:row>
      <xdr:rowOff>121883</xdr:rowOff>
    </xdr:from>
    <xdr:to>
      <xdr:col>9</xdr:col>
      <xdr:colOff>423692</xdr:colOff>
      <xdr:row>25</xdr:row>
      <xdr:rowOff>79896</xdr:rowOff>
    </xdr:to>
    <xdr:cxnSp macro="">
      <xdr:nvCxnSpPr>
        <xdr:cNvPr id="100" name="Straight Connector 163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CxnSpPr/>
      </xdr:nvCxnSpPr>
      <xdr:spPr>
        <a:xfrm>
          <a:off x="5917885" y="3741383"/>
          <a:ext cx="0" cy="1101013"/>
        </a:xfrm>
        <a:prstGeom prst="line">
          <a:avLst/>
        </a:prstGeom>
        <a:ln>
          <a:solidFill>
            <a:srgbClr val="7443A4"/>
          </a:solidFill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415937</xdr:colOff>
      <xdr:row>22</xdr:row>
      <xdr:rowOff>74692</xdr:rowOff>
    </xdr:from>
    <xdr:to>
      <xdr:col>11</xdr:col>
      <xdr:colOff>58109</xdr:colOff>
      <xdr:row>23</xdr:row>
      <xdr:rowOff>136192</xdr:rowOff>
    </xdr:to>
    <xdr:sp macro="" textlink="$V$25">
      <xdr:nvSpPr>
        <xdr:cNvPr id="101" name="Rectangle 148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SpPr/>
      </xdr:nvSpPr>
      <xdr:spPr>
        <a:xfrm>
          <a:off x="5914161" y="4265692"/>
          <a:ext cx="864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E5894AD4-DE2F-46BA-9545-A89FB844DEEB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36</a:t>
          </a:fld>
          <a:endParaRPr lang="en-US" sz="14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9</xdr:col>
      <xdr:colOff>415937</xdr:colOff>
      <xdr:row>23</xdr:row>
      <xdr:rowOff>187738</xdr:rowOff>
    </xdr:from>
    <xdr:to>
      <xdr:col>11</xdr:col>
      <xdr:colOff>58109</xdr:colOff>
      <xdr:row>25</xdr:row>
      <xdr:rowOff>58738</xdr:rowOff>
    </xdr:to>
    <xdr:sp macro="" textlink="$V$28">
      <xdr:nvSpPr>
        <xdr:cNvPr id="102" name="Rectangle 79">
          <a:extLst>
            <a:ext uri="{FF2B5EF4-FFF2-40B4-BE49-F238E27FC236}">
              <a16:creationId xmlns:a16="http://schemas.microsoft.com/office/drawing/2014/main" id="{00000000-0008-0000-0200-000066000000}"/>
            </a:ext>
          </a:extLst>
        </xdr:cNvPr>
        <xdr:cNvSpPr/>
      </xdr:nvSpPr>
      <xdr:spPr>
        <a:xfrm>
          <a:off x="5914161" y="4569238"/>
          <a:ext cx="864000" cy="2520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fld id="{4F2C7596-E5F6-49C2-8C45-52D4351A265B}" type="TxLink">
            <a:rPr lang="en-US" sz="1400" b="0" i="0" u="none" strike="noStrike">
              <a:solidFill>
                <a:schemeClr val="accent4">
                  <a:lumMod val="75000"/>
                </a:schemeClr>
              </a:solidFill>
              <a:latin typeface="Calibri"/>
              <a:ea typeface="+mn-ea"/>
              <a:cs typeface="Calibri"/>
            </a:rPr>
            <a:pPr marL="0" indent="0" algn="ctr"/>
            <a:t>79%</a:t>
          </a:fld>
          <a:endParaRPr lang="en-US" sz="1800" b="0" i="0" u="none" strike="noStrike">
            <a:solidFill>
              <a:schemeClr val="accent4">
                <a:lumMod val="75000"/>
              </a:schemeClr>
            </a:solidFill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11</xdr:col>
      <xdr:colOff>62102</xdr:colOff>
      <xdr:row>19</xdr:row>
      <xdr:rowOff>96514</xdr:rowOff>
    </xdr:from>
    <xdr:to>
      <xdr:col>12</xdr:col>
      <xdr:colOff>315188</xdr:colOff>
      <xdr:row>20</xdr:row>
      <xdr:rowOff>158014</xdr:rowOff>
    </xdr:to>
    <xdr:sp macro="" textlink="$V$23">
      <xdr:nvSpPr>
        <xdr:cNvPr id="104" name="Rectangle 16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SpPr/>
      </xdr:nvSpPr>
      <xdr:spPr>
        <a:xfrm>
          <a:off x="6782154" y="3716014"/>
          <a:ext cx="864000" cy="252000"/>
        </a:xfrm>
        <a:prstGeom prst="rect">
          <a:avLst/>
        </a:prstGeom>
        <a:solidFill>
          <a:srgbClr val="7443A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BBAD7480-D274-4C42-B481-B25F4899CC85}" type="TxLink">
            <a:rPr lang="en-US" sz="14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2024</a:t>
          </a:fld>
          <a:endParaRPr lang="en-US" sz="3600" b="1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6</xdr:col>
      <xdr:colOff>290080</xdr:colOff>
      <xdr:row>22</xdr:row>
      <xdr:rowOff>65819</xdr:rowOff>
    </xdr:from>
    <xdr:to>
      <xdr:col>12</xdr:col>
      <xdr:colOff>317284</xdr:colOff>
      <xdr:row>22</xdr:row>
      <xdr:rowOff>65819</xdr:rowOff>
    </xdr:to>
    <xdr:cxnSp macro="">
      <xdr:nvCxnSpPr>
        <xdr:cNvPr id="16" name="Conector ret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CxnSpPr/>
      </xdr:nvCxnSpPr>
      <xdr:spPr>
        <a:xfrm>
          <a:off x="3947680" y="4256819"/>
          <a:ext cx="3684804" cy="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290080</xdr:colOff>
      <xdr:row>23</xdr:row>
      <xdr:rowOff>163665</xdr:rowOff>
    </xdr:from>
    <xdr:to>
      <xdr:col>12</xdr:col>
      <xdr:colOff>317284</xdr:colOff>
      <xdr:row>23</xdr:row>
      <xdr:rowOff>163665</xdr:rowOff>
    </xdr:to>
    <xdr:cxnSp macro="">
      <xdr:nvCxnSpPr>
        <xdr:cNvPr id="107" name="Conector reto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CxnSpPr/>
      </xdr:nvCxnSpPr>
      <xdr:spPr>
        <a:xfrm>
          <a:off x="3952875" y="4545165"/>
          <a:ext cx="3690000" cy="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290080</xdr:colOff>
      <xdr:row>20</xdr:row>
      <xdr:rowOff>158473</xdr:rowOff>
    </xdr:from>
    <xdr:to>
      <xdr:col>12</xdr:col>
      <xdr:colOff>317284</xdr:colOff>
      <xdr:row>20</xdr:row>
      <xdr:rowOff>158473</xdr:rowOff>
    </xdr:to>
    <xdr:cxnSp macro="">
      <xdr:nvCxnSpPr>
        <xdr:cNvPr id="109" name="Conector reto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CxnSpPr/>
      </xdr:nvCxnSpPr>
      <xdr:spPr>
        <a:xfrm>
          <a:off x="3952875" y="3968473"/>
          <a:ext cx="3690000" cy="0"/>
        </a:xfrm>
        <a:prstGeom prst="line">
          <a:avLst/>
        </a:prstGeom>
      </xdr:spPr>
      <xdr:style>
        <a:lnRef idx="1">
          <a:schemeClr val="accent4"/>
        </a:lnRef>
        <a:fillRef idx="0">
          <a:schemeClr val="accent4"/>
        </a:fillRef>
        <a:effectRef idx="0">
          <a:schemeClr val="accent4"/>
        </a:effectRef>
        <a:fontRef idx="minor">
          <a:schemeClr val="tx1"/>
        </a:fontRef>
      </xdr:style>
    </xdr:cxnSp>
    <xdr:clientData/>
  </xdr:twoCellAnchor>
  <xdr:twoCellAnchor>
    <xdr:from>
      <xdr:col>6</xdr:col>
      <xdr:colOff>292722</xdr:colOff>
      <xdr:row>19</xdr:row>
      <xdr:rowOff>44512</xdr:rowOff>
    </xdr:from>
    <xdr:to>
      <xdr:col>12</xdr:col>
      <xdr:colOff>319926</xdr:colOff>
      <xdr:row>19</xdr:row>
      <xdr:rowOff>44512</xdr:rowOff>
    </xdr:to>
    <xdr:cxnSp macro="">
      <xdr:nvCxnSpPr>
        <xdr:cNvPr id="18" name="Conector ret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CxnSpPr/>
      </xdr:nvCxnSpPr>
      <xdr:spPr>
        <a:xfrm>
          <a:off x="3950322" y="3664012"/>
          <a:ext cx="3684804" cy="0"/>
        </a:xfrm>
        <a:prstGeom prst="line">
          <a:avLst/>
        </a:prstGeom>
        <a:ln>
          <a:solidFill>
            <a:srgbClr val="7443A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256011</xdr:colOff>
      <xdr:row>19</xdr:row>
      <xdr:rowOff>58627</xdr:rowOff>
    </xdr:from>
    <xdr:to>
      <xdr:col>6</xdr:col>
      <xdr:colOff>472888</xdr:colOff>
      <xdr:row>19</xdr:row>
      <xdr:rowOff>91027</xdr:rowOff>
    </xdr:to>
    <xdr:sp macro="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3886717" y="3678127"/>
          <a:ext cx="216877" cy="32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'</a:t>
          </a:r>
        </a:p>
      </xdr:txBody>
    </xdr:sp>
    <xdr:clientData/>
  </xdr:twoCellAnchor>
  <xdr:twoCellAnchor>
    <xdr:from>
      <xdr:col>12</xdr:col>
      <xdr:colOff>120620</xdr:colOff>
      <xdr:row>19</xdr:row>
      <xdr:rowOff>58627</xdr:rowOff>
    </xdr:from>
    <xdr:to>
      <xdr:col>12</xdr:col>
      <xdr:colOff>337497</xdr:colOff>
      <xdr:row>19</xdr:row>
      <xdr:rowOff>91027</xdr:rowOff>
    </xdr:to>
    <xdr:sp macro="" textlink="">
      <xdr:nvSpPr>
        <xdr:cNvPr id="28" name="Retângulo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7382032" y="3678127"/>
          <a:ext cx="216877" cy="324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'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95250</xdr:rowOff>
    </xdr:from>
    <xdr:to>
      <xdr:col>12</xdr:col>
      <xdr:colOff>323850</xdr:colOff>
      <xdr:row>15</xdr:row>
      <xdr:rowOff>171450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19050</xdr:colOff>
      <xdr:row>16</xdr:row>
      <xdr:rowOff>9525</xdr:rowOff>
    </xdr:from>
    <xdr:to>
      <xdr:col>12</xdr:col>
      <xdr:colOff>333375</xdr:colOff>
      <xdr:row>30</xdr:row>
      <xdr:rowOff>85725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497417</xdr:colOff>
      <xdr:row>32</xdr:row>
      <xdr:rowOff>10584</xdr:rowOff>
    </xdr:from>
    <xdr:to>
      <xdr:col>11</xdr:col>
      <xdr:colOff>116417</xdr:colOff>
      <xdr:row>45</xdr:row>
      <xdr:rowOff>42334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577167" y="6106584"/>
          <a:ext cx="2688167" cy="2508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Inserir gráfico termometro</a:t>
          </a:r>
        </a:p>
      </xdr:txBody>
    </xdr:sp>
    <xdr:clientData/>
  </xdr:twoCellAnchor>
  <xdr:twoCellAnchor>
    <xdr:from>
      <xdr:col>10</xdr:col>
      <xdr:colOff>11907</xdr:colOff>
      <xdr:row>46</xdr:row>
      <xdr:rowOff>92869</xdr:rowOff>
    </xdr:from>
    <xdr:to>
      <xdr:col>15</xdr:col>
      <xdr:colOff>523876</xdr:colOff>
      <xdr:row>60</xdr:row>
      <xdr:rowOff>169069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733425</xdr:colOff>
      <xdr:row>31</xdr:row>
      <xdr:rowOff>19050</xdr:rowOff>
    </xdr:from>
    <xdr:to>
      <xdr:col>21</xdr:col>
      <xdr:colOff>371475</xdr:colOff>
      <xdr:row>45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200026</xdr:colOff>
      <xdr:row>0</xdr:row>
      <xdr:rowOff>76200</xdr:rowOff>
    </xdr:from>
    <xdr:to>
      <xdr:col>8</xdr:col>
      <xdr:colOff>323851</xdr:colOff>
      <xdr:row>12</xdr:row>
      <xdr:rowOff>40698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23209</xdr:colOff>
      <xdr:row>5</xdr:row>
      <xdr:rowOff>55030</xdr:rowOff>
    </xdr:from>
    <xdr:to>
      <xdr:col>6</xdr:col>
      <xdr:colOff>455456</xdr:colOff>
      <xdr:row>7</xdr:row>
      <xdr:rowOff>61478</xdr:rowOff>
    </xdr:to>
    <xdr:sp macro="" textlink="$C$5">
      <xdr:nvSpPr>
        <xdr:cNvPr id="7" name="Flowchart: Connector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>
        <a:xfrm>
          <a:off x="4106535" y="1007530"/>
          <a:ext cx="432247" cy="387448"/>
        </a:xfrm>
        <a:prstGeom prst="flowChartConnector">
          <a:avLst/>
        </a:prstGeom>
        <a:solidFill>
          <a:schemeClr val="accent6"/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BEFB5DFE-D70C-4172-B4EF-B274FECCD2D5}" type="TxLink">
            <a:rPr lang="en-US" sz="1100" b="1" i="0" u="none" strike="noStrike">
              <a:solidFill>
                <a:schemeClr val="bg1"/>
              </a:solidFill>
              <a:latin typeface="Calibri"/>
              <a:cs typeface="Arial"/>
            </a:rPr>
            <a:pPr algn="ctr"/>
            <a:t>0%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133349</xdr:colOff>
      <xdr:row>39</xdr:row>
      <xdr:rowOff>28574</xdr:rowOff>
    </xdr:from>
    <xdr:to>
      <xdr:col>15</xdr:col>
      <xdr:colOff>538274</xdr:colOff>
      <xdr:row>51</xdr:row>
      <xdr:rowOff>118574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20</xdr:col>
      <xdr:colOff>379904</xdr:colOff>
      <xdr:row>11</xdr:row>
      <xdr:rowOff>127658</xdr:rowOff>
    </xdr:from>
    <xdr:to>
      <xdr:col>21</xdr:col>
      <xdr:colOff>201509</xdr:colOff>
      <xdr:row>13</xdr:row>
      <xdr:rowOff>134106</xdr:rowOff>
    </xdr:to>
    <xdr:sp macro="" textlink="$C$5">
      <xdr:nvSpPr>
        <xdr:cNvPr id="10" name="Flowchart: Connector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>
        <a:xfrm>
          <a:off x="13000529" y="2223158"/>
          <a:ext cx="428824" cy="387448"/>
        </a:xfrm>
        <a:prstGeom prst="flowChartConnector">
          <a:avLst/>
        </a:prstGeom>
        <a:solidFill>
          <a:schemeClr val="tx1">
            <a:lumMod val="50000"/>
            <a:lumOff val="50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overflow" horzOverflow="overflow" wrap="none" rtlCol="0" anchor="ctr"/>
        <a:lstStyle/>
        <a:p>
          <a:pPr algn="ctr"/>
          <a:fld id="{BEFB5DFE-D70C-4172-B4EF-B274FECCD2D5}" type="TxLink">
            <a:rPr lang="en-US" sz="1100" b="1" i="0" u="none" strike="noStrike">
              <a:solidFill>
                <a:schemeClr val="bg1"/>
              </a:solidFill>
              <a:latin typeface="Calibri"/>
              <a:cs typeface="Arial"/>
            </a:rPr>
            <a:pPr algn="ctr"/>
            <a:t>0%</a:t>
          </a:fld>
          <a:endParaRPr lang="en-US" sz="2400" b="1">
            <a:solidFill>
              <a:schemeClr val="bg1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142875</xdr:colOff>
      <xdr:row>0</xdr:row>
      <xdr:rowOff>66675</xdr:rowOff>
    </xdr:from>
    <xdr:ext cx="2943225" cy="838200"/>
    <xdr:sp macro="" textlink="">
      <xdr:nvSpPr>
        <xdr:cNvPr id="3" name="CaixaDeTexto 1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6248400" y="66675"/>
          <a:ext cx="2943225" cy="838200"/>
        </a:xfrm>
        <a:prstGeom prst="roundRect">
          <a:avLst>
            <a:gd name="adj" fmla="val 674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100"/>
            <a:t>Use &lt;b&gt; e &lt;/b&gt; para delimitar texto em negrito; </a:t>
          </a:r>
        </a:p>
        <a:p>
          <a:r>
            <a:rPr lang="pt-BR" sz="1100"/>
            <a:t>&lt;u&gt; e &lt;/u&gt; para sublinhado;</a:t>
          </a:r>
        </a:p>
        <a:p>
          <a:r>
            <a:rPr lang="pt-BR" sz="1100"/>
            <a:t> &lt;i&gt; e &lt;/i&gt; para itálico</a:t>
          </a:r>
        </a:p>
        <a:p>
          <a:r>
            <a:rPr lang="pt-BR" sz="1100"/>
            <a:t>&lt;br&gt;</a:t>
          </a:r>
          <a:r>
            <a:rPr lang="pt-BR" sz="1100" baseline="0"/>
            <a:t> para adicionar uma linha</a:t>
          </a:r>
          <a:endParaRPr lang="pt-BR" sz="1100"/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42</xdr:col>
      <xdr:colOff>0</xdr:colOff>
      <xdr:row>39</xdr:row>
      <xdr:rowOff>47625</xdr:rowOff>
    </xdr:from>
    <xdr:ext cx="3886200" cy="4667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E00-000002000000}"/>
                </a:ext>
              </a:extLst>
            </xdr:cNvPr>
            <xdr:cNvSpPr txBox="1"/>
          </xdr:nvSpPr>
          <xdr:spPr>
            <a:xfrm>
              <a:off x="12620625" y="4124325"/>
              <a:ext cx="3886200" cy="46672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pt-BR" sz="2000" b="0" i="1">
                        <a:latin typeface="Cambria Math" panose="02040503050406030204" pitchFamily="18" charset="0"/>
                      </a:rPr>
                      <m:t>𝑉𝑎𝑅</m:t>
                    </m:r>
                    <m:r>
                      <a:rPr lang="pt-BR" sz="2000" b="0" i="1" baseline="-25000">
                        <a:latin typeface="Cambria Math" panose="02040503050406030204" pitchFamily="18" charset="0"/>
                      </a:rPr>
                      <m:t>𝑝</m:t>
                    </m:r>
                    <m:r>
                      <a:rPr lang="pt-BR" sz="2000" b="0" i="1">
                        <a:latin typeface="Cambria Math" panose="02040503050406030204" pitchFamily="18" charset="0"/>
                      </a:rPr>
                      <m:t>= 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∗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𝜎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∗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𝑀𝑡𝑀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𝛼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∗√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𝑋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  <m:r>
                      <m:rPr>
                        <m:sty m:val="p"/>
                      </m:rPr>
                      <a:rPr lang="el-G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Σ</m:t>
                    </m:r>
                    <m:r>
                      <a:rPr lang="pt-BR" sz="20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𝑋</m:t>
                    </m:r>
                  </m:oMath>
                </m:oMathPara>
              </a14:m>
              <a:endParaRPr lang="en-US" sz="2000"/>
            </a:p>
          </xdr:txBody>
        </xdr:sp>
      </mc:Choice>
      <mc:Fallback xmlns="">
        <xdr:sp macro="" textlink="">
          <xdr:nvSpPr>
            <xdr:cNvPr id="2" name="TextBox 1"/>
            <xdr:cNvSpPr txBox="1"/>
          </xdr:nvSpPr>
          <xdr:spPr>
            <a:xfrm>
              <a:off x="12620625" y="4124325"/>
              <a:ext cx="3886200" cy="466725"/>
            </a:xfrm>
            <a:prstGeom prst="rect">
              <a:avLst/>
            </a:prstGeom>
            <a:solidFill>
              <a:schemeClr val="accent6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pt-BR" sz="2000" b="0" i="0">
                  <a:latin typeface="Cambria Math" panose="02040503050406030204" pitchFamily="18" charset="0"/>
                </a:rPr>
                <a:t>𝑉𝑎𝑅</a:t>
              </a:r>
              <a:r>
                <a:rPr lang="pt-BR" sz="2000" b="0" i="0" baseline="-25000">
                  <a:latin typeface="Cambria Math" panose="02040503050406030204" pitchFamily="18" charset="0"/>
                </a:rPr>
                <a:t>𝑝</a:t>
              </a:r>
              <a:r>
                <a:rPr lang="pt-BR" sz="2000" b="0" i="0">
                  <a:latin typeface="Cambria Math" panose="02040503050406030204" pitchFamily="18" charset="0"/>
                </a:rPr>
                <a:t>= 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𝛼∗𝜎∗𝑀𝑡𝑀= 𝛼∗√𝑋′</a:t>
              </a:r>
              <a:r>
                <a:rPr lang="el-G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Σ</a:t>
              </a:r>
              <a:r>
                <a:rPr lang="pt-BR" sz="20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𝑋</a:t>
              </a:r>
              <a:endParaRPr lang="en-US" sz="2000"/>
            </a:p>
          </xdr:txBody>
        </xdr:sp>
      </mc:Fallback>
    </mc:AlternateContent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400050</xdr:colOff>
      <xdr:row>21</xdr:row>
      <xdr:rowOff>133350</xdr:rowOff>
    </xdr:from>
    <xdr:to>
      <xdr:col>11</xdr:col>
      <xdr:colOff>180975</xdr:colOff>
      <xdr:row>27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400050" y="3943350"/>
          <a:ext cx="10648950" cy="10096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/>
            <a:t>Essa aba é utilizada</a:t>
          </a:r>
          <a:r>
            <a:rPr lang="en-US" sz="1400" baseline="0"/>
            <a:t> pelas macros de captura e transportE do BD. Atenção para não deletar a aba ou mexer em sua estrutura. Permitido apenas incluir linhas com novos de-para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Book%20de%20Trading_2022%20-%20Abas%20Visivei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INEL DE CONTROLE"/>
      <sheetName val="RESULTADO"/>
      <sheetName val="DASHBOARD"/>
      <sheetName val="BI"/>
      <sheetName val="MtM"/>
      <sheetName val="MtM Releases"/>
      <sheetName val="HWM"/>
      <sheetName val="GPH-VOL"/>
      <sheetName val="GPH-VAR PAR"/>
      <sheetName val="GPH-SL"/>
      <sheetName val="pREFs"/>
      <sheetName val="pREFs_VaR"/>
      <sheetName val="DB"/>
      <sheetName val="RELEASES"/>
      <sheetName val="Email"/>
      <sheetName val="VaR-Covar Matrix_FPC BER"/>
      <sheetName val="CrossChecks"/>
      <sheetName val="Dates"/>
      <sheetName val="lookups"/>
    </sheetNames>
    <sheetDataSet>
      <sheetData sheetId="0">
        <row r="2">
          <cell r="T2">
            <v>44197</v>
          </cell>
        </row>
        <row r="3">
          <cell r="T3">
            <v>44228</v>
          </cell>
        </row>
        <row r="4">
          <cell r="T4">
            <v>44256</v>
          </cell>
        </row>
        <row r="5">
          <cell r="T5">
            <v>44287</v>
          </cell>
        </row>
        <row r="6">
          <cell r="T6">
            <v>44317</v>
          </cell>
        </row>
        <row r="7">
          <cell r="T7">
            <v>44348</v>
          </cell>
        </row>
        <row r="8">
          <cell r="T8">
            <v>44378</v>
          </cell>
        </row>
        <row r="9">
          <cell r="T9">
            <v>44409</v>
          </cell>
        </row>
        <row r="10">
          <cell r="T10">
            <v>44440</v>
          </cell>
        </row>
        <row r="11">
          <cell r="T11">
            <v>44470</v>
          </cell>
        </row>
        <row r="12">
          <cell r="T12">
            <v>44501</v>
          </cell>
        </row>
        <row r="13">
          <cell r="T13">
            <v>44531</v>
          </cell>
        </row>
        <row r="14">
          <cell r="T14">
            <v>44562</v>
          </cell>
        </row>
        <row r="15">
          <cell r="T15">
            <v>44593</v>
          </cell>
        </row>
        <row r="16">
          <cell r="T16">
            <v>44621</v>
          </cell>
        </row>
        <row r="17">
          <cell r="T17">
            <v>44652</v>
          </cell>
        </row>
        <row r="18">
          <cell r="T18">
            <v>44682</v>
          </cell>
        </row>
        <row r="19">
          <cell r="T19">
            <v>44713</v>
          </cell>
        </row>
        <row r="20">
          <cell r="T20">
            <v>44743</v>
          </cell>
        </row>
        <row r="21">
          <cell r="T21">
            <v>44774</v>
          </cell>
        </row>
        <row r="22">
          <cell r="T22">
            <v>44805</v>
          </cell>
        </row>
        <row r="23">
          <cell r="T23">
            <v>44835</v>
          </cell>
        </row>
        <row r="24">
          <cell r="T24">
            <v>44866</v>
          </cell>
        </row>
        <row r="25">
          <cell r="T25">
            <v>44896</v>
          </cell>
        </row>
        <row r="26">
          <cell r="T26">
            <v>44927</v>
          </cell>
        </row>
        <row r="27">
          <cell r="T27">
            <v>44958</v>
          </cell>
        </row>
        <row r="28">
          <cell r="T28">
            <v>44986</v>
          </cell>
        </row>
        <row r="29">
          <cell r="T29">
            <v>45017</v>
          </cell>
        </row>
        <row r="30">
          <cell r="T30">
            <v>45047</v>
          </cell>
        </row>
        <row r="31">
          <cell r="T31">
            <v>45078</v>
          </cell>
        </row>
        <row r="32">
          <cell r="T32">
            <v>45108</v>
          </cell>
        </row>
        <row r="33">
          <cell r="T33">
            <v>45139</v>
          </cell>
        </row>
        <row r="34">
          <cell r="T34">
            <v>45170</v>
          </cell>
        </row>
        <row r="35">
          <cell r="T35">
            <v>45200</v>
          </cell>
        </row>
        <row r="36">
          <cell r="T36">
            <v>45231</v>
          </cell>
        </row>
        <row r="37">
          <cell r="T37">
            <v>45261</v>
          </cell>
        </row>
        <row r="38">
          <cell r="T38">
            <v>45292</v>
          </cell>
        </row>
        <row r="39">
          <cell r="T39">
            <v>45323</v>
          </cell>
        </row>
        <row r="40">
          <cell r="T40">
            <v>45352</v>
          </cell>
        </row>
        <row r="41">
          <cell r="T41">
            <v>45383</v>
          </cell>
        </row>
        <row r="42">
          <cell r="T42">
            <v>45413</v>
          </cell>
        </row>
        <row r="43">
          <cell r="T43">
            <v>45444</v>
          </cell>
        </row>
        <row r="44">
          <cell r="T44">
            <v>45474</v>
          </cell>
        </row>
        <row r="45">
          <cell r="T45">
            <v>45505</v>
          </cell>
        </row>
        <row r="46">
          <cell r="T46">
            <v>45536</v>
          </cell>
        </row>
        <row r="47">
          <cell r="T47">
            <v>45566</v>
          </cell>
        </row>
        <row r="48">
          <cell r="T48">
            <v>45597</v>
          </cell>
        </row>
        <row r="49">
          <cell r="T49">
            <v>45627</v>
          </cell>
        </row>
        <row r="50">
          <cell r="T50">
            <v>45658</v>
          </cell>
        </row>
        <row r="51">
          <cell r="T51">
            <v>45689</v>
          </cell>
        </row>
        <row r="52">
          <cell r="T52">
            <v>45717</v>
          </cell>
        </row>
        <row r="53">
          <cell r="T53">
            <v>45748</v>
          </cell>
        </row>
        <row r="54">
          <cell r="T54">
            <v>45778</v>
          </cell>
        </row>
        <row r="55">
          <cell r="T55">
            <v>45809</v>
          </cell>
        </row>
        <row r="56">
          <cell r="T56">
            <v>45839</v>
          </cell>
        </row>
        <row r="57">
          <cell r="T57">
            <v>45870</v>
          </cell>
        </row>
        <row r="58">
          <cell r="T58">
            <v>45901</v>
          </cell>
        </row>
        <row r="59">
          <cell r="T59">
            <v>45931</v>
          </cell>
        </row>
        <row r="60">
          <cell r="T60">
            <v>45962</v>
          </cell>
        </row>
        <row r="61">
          <cell r="T61">
            <v>45992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4.bin"/><Relationship Id="rId2" Type="http://schemas.openxmlformats.org/officeDocument/2006/relationships/hyperlink" Target="mailto:portfolio@brookfieldenergia.com,estudos.mercado@brookfieldenergia.com,analise.risco@brookfieldenergia.com,natascha.padis@brookfieldenergia.com," TargetMode="External"/><Relationship Id="rId1" Type="http://schemas.openxmlformats.org/officeDocument/2006/relationships/hyperlink" Target="mailto:trading@brookfieldenergia.com" TargetMode="External"/><Relationship Id="rId4" Type="http://schemas.openxmlformats.org/officeDocument/2006/relationships/drawing" Target="../drawings/drawing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tabColor rgb="FF00B050"/>
  </sheetPr>
  <dimension ref="A1:T61"/>
  <sheetViews>
    <sheetView showGridLines="0" showRowColHeaders="0" topLeftCell="C1" zoomScaleNormal="100" workbookViewId="0">
      <selection activeCell="O21" sqref="O21"/>
    </sheetView>
  </sheetViews>
  <sheetFormatPr defaultColWidth="0" defaultRowHeight="15" customHeight="1" zeroHeight="1" x14ac:dyDescent="0.25"/>
  <cols>
    <col min="1" max="2" width="9.140625" hidden="1" customWidth="1"/>
    <col min="3" max="11" width="9.140625" customWidth="1"/>
    <col min="12" max="12" width="6.140625" customWidth="1"/>
    <col min="13" max="13" width="9.140625" customWidth="1"/>
    <col min="14" max="14" width="10.140625" customWidth="1"/>
    <col min="15" max="15" width="11.85546875" customWidth="1"/>
    <col min="16" max="17" width="9.140625" customWidth="1"/>
    <col min="18" max="18" width="9.140625" hidden="1" customWidth="1"/>
    <col min="19" max="19" width="9.140625" style="2" hidden="1" customWidth="1"/>
    <col min="20" max="20" width="9.140625" style="457" hidden="1" customWidth="1"/>
    <col min="21" max="16384" width="9.140625" hidden="1"/>
  </cols>
  <sheetData>
    <row r="1" spans="1:20" ht="15" customHeight="1" x14ac:dyDescent="0.25">
      <c r="A1" s="508"/>
      <c r="B1" s="508"/>
      <c r="C1" s="508"/>
      <c r="D1" s="508"/>
      <c r="E1" s="508"/>
      <c r="F1" s="508"/>
      <c r="G1" s="508"/>
      <c r="H1" s="508"/>
      <c r="I1" s="508"/>
      <c r="J1" s="508"/>
      <c r="K1" s="508"/>
      <c r="L1" s="508"/>
      <c r="M1" s="508"/>
      <c r="N1" s="508"/>
      <c r="O1" s="508"/>
      <c r="P1" s="508"/>
      <c r="Q1" s="508"/>
      <c r="S1" s="459">
        <v>25</v>
      </c>
    </row>
    <row r="2" spans="1:20" ht="15" customHeight="1" x14ac:dyDescent="0.25">
      <c r="A2" s="508"/>
      <c r="B2" s="508"/>
      <c r="C2" s="508"/>
      <c r="D2" s="508"/>
      <c r="E2" s="508"/>
      <c r="F2" s="508"/>
      <c r="G2" s="508"/>
      <c r="H2" s="508"/>
      <c r="I2" s="508"/>
      <c r="J2" s="508"/>
      <c r="K2" s="508"/>
      <c r="L2" s="508"/>
      <c r="M2" s="508"/>
      <c r="N2" s="508"/>
      <c r="O2" s="508"/>
      <c r="P2" s="508"/>
      <c r="Q2" s="508"/>
      <c r="S2" s="458">
        <f>INDEX(MESES,$S$1)</f>
        <v>44896</v>
      </c>
      <c r="T2" s="457">
        <v>44197</v>
      </c>
    </row>
    <row r="3" spans="1:20" ht="15" customHeight="1" x14ac:dyDescent="0.25">
      <c r="A3" s="508"/>
      <c r="B3" s="508"/>
      <c r="C3" s="508"/>
      <c r="D3" s="508"/>
      <c r="E3" s="508"/>
      <c r="F3" s="508"/>
      <c r="G3" s="508"/>
      <c r="H3" s="508"/>
      <c r="I3" s="508"/>
      <c r="J3" s="508"/>
      <c r="K3" s="508"/>
      <c r="L3" s="508"/>
      <c r="M3" s="508"/>
      <c r="N3" s="508"/>
      <c r="O3" s="508"/>
      <c r="P3" s="508"/>
      <c r="Q3" s="508"/>
      <c r="T3" s="457">
        <v>44228</v>
      </c>
    </row>
    <row r="4" spans="1:20" ht="15" customHeight="1" x14ac:dyDescent="0.25">
      <c r="A4" s="508"/>
      <c r="B4" s="508"/>
      <c r="C4" s="508"/>
      <c r="D4" s="508"/>
      <c r="E4" s="509"/>
      <c r="F4" s="508"/>
      <c r="G4" s="508"/>
      <c r="H4" s="508"/>
      <c r="I4" s="508"/>
      <c r="J4" s="508"/>
      <c r="K4" s="508"/>
      <c r="L4" s="508"/>
      <c r="M4" s="508"/>
      <c r="N4" s="508"/>
      <c r="O4" s="508"/>
      <c r="P4" s="508"/>
      <c r="Q4" s="508"/>
      <c r="S4" s="2" t="s">
        <v>291</v>
      </c>
      <c r="T4" s="457">
        <v>44256</v>
      </c>
    </row>
    <row r="5" spans="1:20" ht="15" customHeight="1" x14ac:dyDescent="0.25">
      <c r="A5" s="508"/>
      <c r="B5" s="508"/>
      <c r="C5" s="508"/>
      <c r="D5" s="508"/>
      <c r="E5" s="508"/>
      <c r="F5" s="508"/>
      <c r="G5" s="508"/>
      <c r="H5" s="508"/>
      <c r="I5" s="508"/>
      <c r="J5" s="508"/>
      <c r="K5" s="508"/>
      <c r="L5" s="508"/>
      <c r="M5" s="508"/>
      <c r="N5" s="508"/>
      <c r="O5" s="508"/>
      <c r="P5" s="508"/>
      <c r="Q5" s="508"/>
      <c r="S5" s="2" t="s">
        <v>292</v>
      </c>
      <c r="T5" s="457">
        <v>44287</v>
      </c>
    </row>
    <row r="6" spans="1:20" ht="15" customHeight="1" x14ac:dyDescent="0.25">
      <c r="A6" s="508"/>
      <c r="B6" s="508"/>
      <c r="C6" s="508"/>
      <c r="D6" s="508"/>
      <c r="E6" s="508"/>
      <c r="F6" s="508"/>
      <c r="G6" s="508"/>
      <c r="H6" s="508"/>
      <c r="I6" s="508"/>
      <c r="J6" s="508"/>
      <c r="K6" s="508"/>
      <c r="L6" s="508"/>
      <c r="M6" s="508"/>
      <c r="N6" s="508"/>
      <c r="O6" s="508"/>
      <c r="P6" s="508"/>
      <c r="Q6" s="508"/>
      <c r="S6" s="2" t="str">
        <f>"Book de Trading "&amp;YEAR(S2)</f>
        <v>Book de Trading 2022</v>
      </c>
      <c r="T6" s="457">
        <v>44317</v>
      </c>
    </row>
    <row r="7" spans="1:20" ht="15" customHeight="1" x14ac:dyDescent="0.25">
      <c r="A7" s="508"/>
      <c r="B7" s="508"/>
      <c r="C7" s="508"/>
      <c r="D7" s="508"/>
      <c r="E7" s="508"/>
      <c r="F7" s="508"/>
      <c r="G7" s="508"/>
      <c r="H7" s="508"/>
      <c r="I7" s="508"/>
      <c r="J7" s="508"/>
      <c r="K7" s="508"/>
      <c r="L7" s="508"/>
      <c r="M7" s="508"/>
      <c r="N7" s="778" t="s">
        <v>9</v>
      </c>
      <c r="O7" s="778"/>
      <c r="P7" s="508"/>
      <c r="Q7" s="508"/>
      <c r="T7" s="457">
        <v>44348</v>
      </c>
    </row>
    <row r="8" spans="1:20" ht="15" customHeight="1" x14ac:dyDescent="0.25">
      <c r="A8" s="508"/>
      <c r="B8" s="508"/>
      <c r="C8" s="508"/>
      <c r="D8" s="508"/>
      <c r="E8" s="508"/>
      <c r="F8" s="508"/>
      <c r="G8" s="508"/>
      <c r="H8" s="508"/>
      <c r="I8" s="508"/>
      <c r="J8" s="508"/>
      <c r="K8" s="508"/>
      <c r="L8" s="508"/>
      <c r="M8" s="508"/>
      <c r="N8" s="508"/>
      <c r="O8" s="508"/>
      <c r="P8" s="508"/>
      <c r="Q8" s="508"/>
      <c r="T8" s="457">
        <v>44378</v>
      </c>
    </row>
    <row r="9" spans="1:20" ht="15" customHeight="1" x14ac:dyDescent="0.25">
      <c r="A9" s="508"/>
      <c r="B9" s="508"/>
      <c r="C9" s="508"/>
      <c r="D9" s="513" t="s">
        <v>342</v>
      </c>
      <c r="E9" s="508"/>
      <c r="F9" s="508"/>
      <c r="G9" s="508"/>
      <c r="H9" s="508"/>
      <c r="I9" s="508"/>
      <c r="J9" s="508"/>
      <c r="K9" s="508"/>
      <c r="L9" s="508"/>
      <c r="M9" s="508"/>
      <c r="N9" s="510" t="s">
        <v>136</v>
      </c>
      <c r="O9" s="511">
        <v>55.7</v>
      </c>
      <c r="P9" s="508"/>
      <c r="Q9" s="508"/>
      <c r="T9" s="457">
        <v>44409</v>
      </c>
    </row>
    <row r="10" spans="1:20" ht="15" customHeight="1" x14ac:dyDescent="0.25">
      <c r="A10" s="508"/>
      <c r="B10" s="508"/>
      <c r="C10" s="508"/>
      <c r="D10" s="513"/>
      <c r="E10" s="508"/>
      <c r="F10" s="508"/>
      <c r="G10" s="508"/>
      <c r="H10" s="508"/>
      <c r="I10" s="508"/>
      <c r="J10" s="508"/>
      <c r="K10" s="508"/>
      <c r="L10" s="508"/>
      <c r="M10" s="508"/>
      <c r="N10" s="512"/>
      <c r="O10" s="508"/>
      <c r="P10" s="508"/>
      <c r="Q10" s="508"/>
      <c r="T10" s="457">
        <v>44440</v>
      </c>
    </row>
    <row r="11" spans="1:20" ht="15" customHeight="1" x14ac:dyDescent="0.25">
      <c r="A11" s="508"/>
      <c r="B11" s="508"/>
      <c r="C11" s="508"/>
      <c r="D11" s="508"/>
      <c r="E11" s="508"/>
      <c r="F11" s="508"/>
      <c r="G11" s="508"/>
      <c r="H11" s="508"/>
      <c r="I11" s="508"/>
      <c r="J11" s="508"/>
      <c r="K11" s="508"/>
      <c r="L11" s="508"/>
      <c r="M11" s="508"/>
      <c r="N11" s="510" t="s">
        <v>285</v>
      </c>
      <c r="O11" s="511">
        <v>646.58000000000004</v>
      </c>
      <c r="P11" s="508"/>
      <c r="Q11" s="508"/>
      <c r="T11" s="457">
        <v>44470</v>
      </c>
    </row>
    <row r="12" spans="1:20" ht="15" customHeight="1" x14ac:dyDescent="0.25">
      <c r="A12" s="508"/>
      <c r="B12" s="508"/>
      <c r="C12" s="508"/>
      <c r="D12" s="508"/>
      <c r="E12" s="508"/>
      <c r="F12" s="513"/>
      <c r="G12" s="508"/>
      <c r="H12" s="508"/>
      <c r="I12" s="508"/>
      <c r="J12" s="508"/>
      <c r="K12" s="508"/>
      <c r="L12" s="508"/>
      <c r="M12" s="508"/>
      <c r="N12" s="508"/>
      <c r="O12" s="508"/>
      <c r="P12" s="508"/>
      <c r="Q12" s="508"/>
      <c r="T12" s="457">
        <v>44501</v>
      </c>
    </row>
    <row r="13" spans="1:20" ht="15" customHeight="1" x14ac:dyDescent="0.25">
      <c r="A13" s="508"/>
      <c r="B13" s="508"/>
      <c r="C13" s="508"/>
      <c r="D13" s="508"/>
      <c r="E13" s="508"/>
      <c r="F13" s="508"/>
      <c r="G13" s="508"/>
      <c r="H13" s="508"/>
      <c r="I13" s="508"/>
      <c r="J13" s="508"/>
      <c r="K13" s="508"/>
      <c r="L13" s="508"/>
      <c r="M13" s="508"/>
      <c r="N13" s="778" t="s">
        <v>290</v>
      </c>
      <c r="O13" s="778"/>
      <c r="P13" s="508"/>
      <c r="Q13" s="508"/>
      <c r="T13" s="457">
        <v>44531</v>
      </c>
    </row>
    <row r="14" spans="1:20" ht="15" customHeight="1" x14ac:dyDescent="0.25">
      <c r="A14" s="508"/>
      <c r="B14" s="508"/>
      <c r="C14" s="508"/>
      <c r="D14" s="508"/>
      <c r="E14" s="508"/>
      <c r="F14" s="508"/>
      <c r="G14" s="508"/>
      <c r="H14" s="508"/>
      <c r="I14" s="508"/>
      <c r="J14" s="508"/>
      <c r="K14" s="508"/>
      <c r="L14" s="508"/>
      <c r="M14" s="508"/>
      <c r="N14" s="508"/>
      <c r="O14" s="508"/>
      <c r="P14" s="508"/>
      <c r="Q14" s="508"/>
      <c r="T14" s="457">
        <v>44562</v>
      </c>
    </row>
    <row r="15" spans="1:20" ht="15" customHeight="1" x14ac:dyDescent="0.25">
      <c r="A15" s="508"/>
      <c r="B15" s="508"/>
      <c r="C15" s="508"/>
      <c r="D15" s="508"/>
      <c r="E15" s="508"/>
      <c r="F15" s="508"/>
      <c r="G15" s="508"/>
      <c r="H15" s="508"/>
      <c r="I15" s="508"/>
      <c r="J15" s="508"/>
      <c r="K15" s="508"/>
      <c r="L15" s="508"/>
      <c r="M15" s="508"/>
      <c r="N15" s="514" t="s">
        <v>286</v>
      </c>
      <c r="O15" s="515">
        <f>RESULTADO!$K$150</f>
        <v>0.05</v>
      </c>
      <c r="P15" s="508"/>
      <c r="Q15" s="508"/>
      <c r="T15" s="457">
        <v>44593</v>
      </c>
    </row>
    <row r="16" spans="1:20" ht="15" customHeight="1" x14ac:dyDescent="0.25">
      <c r="A16" s="508"/>
      <c r="B16" s="508"/>
      <c r="C16" s="508"/>
      <c r="D16" s="508"/>
      <c r="E16" s="508"/>
      <c r="F16" s="508"/>
      <c r="G16" s="508"/>
      <c r="H16" s="508"/>
      <c r="I16" s="508"/>
      <c r="J16" s="508"/>
      <c r="K16" s="508"/>
      <c r="L16" s="508"/>
      <c r="M16" s="508"/>
      <c r="N16" s="512"/>
      <c r="O16" s="508"/>
      <c r="P16" s="508"/>
      <c r="Q16" s="508"/>
      <c r="T16" s="457">
        <v>44621</v>
      </c>
    </row>
    <row r="17" spans="1:20" ht="15" customHeight="1" x14ac:dyDescent="0.25">
      <c r="A17" s="508"/>
      <c r="B17" s="508"/>
      <c r="C17" s="508"/>
      <c r="D17" s="508"/>
      <c r="E17" s="508"/>
      <c r="F17" s="508"/>
      <c r="G17" s="508"/>
      <c r="H17" s="508"/>
      <c r="I17" s="508"/>
      <c r="J17" s="508"/>
      <c r="K17" s="508"/>
      <c r="L17" s="508"/>
      <c r="M17" s="508"/>
      <c r="N17" s="514" t="s">
        <v>289</v>
      </c>
      <c r="O17" s="515" t="s">
        <v>291</v>
      </c>
      <c r="P17" s="508"/>
      <c r="Q17" s="508"/>
      <c r="T17" s="457">
        <v>44652</v>
      </c>
    </row>
    <row r="18" spans="1:20" ht="15" customHeight="1" x14ac:dyDescent="0.25">
      <c r="A18" s="508"/>
      <c r="B18" s="508"/>
      <c r="C18" s="508"/>
      <c r="D18" s="508"/>
      <c r="E18" s="508"/>
      <c r="F18" s="508"/>
      <c r="G18" s="508"/>
      <c r="H18" s="508"/>
      <c r="I18" s="508"/>
      <c r="J18" s="508"/>
      <c r="K18" s="508"/>
      <c r="L18" s="508"/>
      <c r="M18" s="508"/>
      <c r="N18" s="508"/>
      <c r="O18" s="508"/>
      <c r="P18" s="508"/>
      <c r="Q18" s="508"/>
      <c r="T18" s="457">
        <v>44682</v>
      </c>
    </row>
    <row r="19" spans="1:20" ht="15" customHeight="1" x14ac:dyDescent="0.25">
      <c r="A19" s="508"/>
      <c r="B19" s="508"/>
      <c r="C19" s="508"/>
      <c r="D19" s="508"/>
      <c r="E19" s="508"/>
      <c r="F19" s="508"/>
      <c r="G19" s="508"/>
      <c r="H19" s="508"/>
      <c r="I19" s="508"/>
      <c r="J19" s="508"/>
      <c r="K19" s="508"/>
      <c r="L19" s="508"/>
      <c r="M19" s="508"/>
      <c r="N19" s="778" t="s">
        <v>287</v>
      </c>
      <c r="O19" s="778"/>
      <c r="P19" s="508"/>
      <c r="Q19" s="508"/>
      <c r="T19" s="457">
        <v>44713</v>
      </c>
    </row>
    <row r="20" spans="1:20" ht="15" customHeight="1" x14ac:dyDescent="0.25">
      <c r="A20" s="508"/>
      <c r="B20" s="508"/>
      <c r="C20" s="508"/>
      <c r="D20" s="508"/>
      <c r="E20" s="508"/>
      <c r="F20" s="508"/>
      <c r="G20" s="508"/>
      <c r="H20" s="508"/>
      <c r="I20" s="508"/>
      <c r="J20" s="508"/>
      <c r="K20" s="508"/>
      <c r="L20" s="508"/>
      <c r="M20" s="508"/>
      <c r="N20" s="508"/>
      <c r="O20" s="508"/>
      <c r="P20" s="508"/>
      <c r="Q20" s="508"/>
      <c r="T20" s="457">
        <v>44743</v>
      </c>
    </row>
    <row r="21" spans="1:20" ht="15" customHeight="1" x14ac:dyDescent="0.25">
      <c r="A21" s="508"/>
      <c r="B21" s="508"/>
      <c r="C21" s="508"/>
      <c r="D21" s="508"/>
      <c r="E21" s="508"/>
      <c r="F21" s="508"/>
      <c r="G21" s="508"/>
      <c r="H21" s="508"/>
      <c r="I21" s="508"/>
      <c r="J21" s="508"/>
      <c r="K21" s="508"/>
      <c r="L21" s="508"/>
      <c r="M21" s="508"/>
      <c r="N21" s="510" t="s">
        <v>288</v>
      </c>
      <c r="O21" s="516">
        <v>20000000</v>
      </c>
      <c r="P21" s="508"/>
      <c r="Q21" s="508"/>
      <c r="T21" s="457">
        <v>44774</v>
      </c>
    </row>
    <row r="22" spans="1:20" ht="15" customHeight="1" x14ac:dyDescent="0.25">
      <c r="A22" s="508"/>
      <c r="B22" s="508"/>
      <c r="C22" s="508"/>
      <c r="D22" s="508"/>
      <c r="E22" s="508"/>
      <c r="F22" s="508"/>
      <c r="G22" s="508"/>
      <c r="H22" s="508"/>
      <c r="I22" s="508"/>
      <c r="J22" s="508"/>
      <c r="K22" s="508"/>
      <c r="L22" s="508"/>
      <c r="M22" s="508"/>
      <c r="N22" s="512"/>
      <c r="O22" s="508"/>
      <c r="P22" s="508"/>
      <c r="Q22" s="508"/>
      <c r="T22" s="457">
        <v>44805</v>
      </c>
    </row>
    <row r="23" spans="1:20" ht="15" customHeight="1" x14ac:dyDescent="0.25">
      <c r="A23" s="508"/>
      <c r="B23" s="508"/>
      <c r="C23" s="508"/>
      <c r="D23" s="508"/>
      <c r="E23" s="508"/>
      <c r="F23" s="508"/>
      <c r="G23" s="508"/>
      <c r="H23" s="508"/>
      <c r="I23" s="508"/>
      <c r="J23" s="508"/>
      <c r="K23" s="508"/>
      <c r="L23" s="508"/>
      <c r="M23" s="508"/>
      <c r="N23" s="510" t="s">
        <v>157</v>
      </c>
      <c r="O23" s="516">
        <v>30000000</v>
      </c>
      <c r="P23" s="508"/>
      <c r="Q23" s="508"/>
      <c r="T23" s="457">
        <v>44835</v>
      </c>
    </row>
    <row r="24" spans="1:20" ht="15" customHeight="1" x14ac:dyDescent="0.25">
      <c r="A24" s="508"/>
      <c r="B24" s="508"/>
      <c r="C24" s="508"/>
      <c r="D24" s="508"/>
      <c r="E24" s="508"/>
      <c r="F24" s="508"/>
      <c r="G24" s="508"/>
      <c r="H24" s="508"/>
      <c r="I24" s="508"/>
      <c r="J24" s="508"/>
      <c r="K24" s="508"/>
      <c r="L24" s="508"/>
      <c r="M24" s="508"/>
      <c r="N24" s="508"/>
      <c r="O24" s="508"/>
      <c r="P24" s="508"/>
      <c r="Q24" s="508"/>
      <c r="T24" s="457">
        <v>44866</v>
      </c>
    </row>
    <row r="25" spans="1:20" ht="15" customHeight="1" x14ac:dyDescent="0.25">
      <c r="A25" s="508"/>
      <c r="B25" s="508"/>
      <c r="C25" s="508"/>
      <c r="D25" s="508"/>
      <c r="E25" s="508"/>
      <c r="F25" s="508"/>
      <c r="G25" s="508"/>
      <c r="H25" s="508"/>
      <c r="I25" s="508"/>
      <c r="J25" s="508"/>
      <c r="K25" s="508"/>
      <c r="L25" s="508"/>
      <c r="M25" s="508"/>
      <c r="N25" s="508"/>
      <c r="O25" s="508"/>
      <c r="P25" s="508"/>
      <c r="Q25" s="508"/>
      <c r="T25" s="457">
        <v>44896</v>
      </c>
    </row>
    <row r="26" spans="1:20" ht="15" customHeight="1" x14ac:dyDescent="0.25">
      <c r="A26" s="508"/>
      <c r="B26" s="508"/>
      <c r="C26" s="508"/>
      <c r="D26" s="508"/>
      <c r="E26" s="508"/>
      <c r="F26" s="508"/>
      <c r="G26" s="508"/>
      <c r="H26" s="508"/>
      <c r="I26" s="508"/>
      <c r="J26" s="508"/>
      <c r="K26" s="508"/>
      <c r="L26" s="508"/>
      <c r="M26" s="508"/>
      <c r="N26" s="508"/>
      <c r="O26" s="517" t="s">
        <v>230</v>
      </c>
      <c r="P26" s="508"/>
      <c r="Q26" s="508"/>
      <c r="T26" s="457">
        <v>44927</v>
      </c>
    </row>
    <row r="27" spans="1:20" ht="15" hidden="1" customHeight="1" x14ac:dyDescent="0.25">
      <c r="T27" s="457">
        <v>44958</v>
      </c>
    </row>
    <row r="28" spans="1:20" ht="15" hidden="1" customHeight="1" x14ac:dyDescent="0.25">
      <c r="T28" s="457">
        <v>44986</v>
      </c>
    </row>
    <row r="29" spans="1:20" ht="15" hidden="1" customHeight="1" x14ac:dyDescent="0.25">
      <c r="T29" s="457">
        <v>45017</v>
      </c>
    </row>
    <row r="30" spans="1:20" ht="15" hidden="1" customHeight="1" x14ac:dyDescent="0.25">
      <c r="T30" s="457">
        <v>45047</v>
      </c>
    </row>
    <row r="31" spans="1:20" ht="15" hidden="1" customHeight="1" x14ac:dyDescent="0.25">
      <c r="T31" s="457">
        <v>45078</v>
      </c>
    </row>
    <row r="32" spans="1:20" ht="15" hidden="1" customHeight="1" x14ac:dyDescent="0.25">
      <c r="T32" s="457">
        <v>45108</v>
      </c>
    </row>
    <row r="33" spans="20:20" ht="15" hidden="1" customHeight="1" x14ac:dyDescent="0.25">
      <c r="T33" s="457">
        <v>45139</v>
      </c>
    </row>
    <row r="34" spans="20:20" ht="15" hidden="1" customHeight="1" x14ac:dyDescent="0.25">
      <c r="T34" s="457">
        <v>45170</v>
      </c>
    </row>
    <row r="35" spans="20:20" ht="15" hidden="1" customHeight="1" x14ac:dyDescent="0.25">
      <c r="T35" s="457">
        <v>45200</v>
      </c>
    </row>
    <row r="36" spans="20:20" ht="15" hidden="1" customHeight="1" x14ac:dyDescent="0.25">
      <c r="T36" s="457">
        <v>45231</v>
      </c>
    </row>
    <row r="37" spans="20:20" ht="15" hidden="1" customHeight="1" x14ac:dyDescent="0.25">
      <c r="T37" s="457">
        <v>45261</v>
      </c>
    </row>
    <row r="38" spans="20:20" ht="15" hidden="1" customHeight="1" x14ac:dyDescent="0.25">
      <c r="T38" s="457">
        <v>45292</v>
      </c>
    </row>
    <row r="39" spans="20:20" ht="15" hidden="1" customHeight="1" x14ac:dyDescent="0.25">
      <c r="T39" s="457">
        <v>45323</v>
      </c>
    </row>
    <row r="40" spans="20:20" ht="15" hidden="1" customHeight="1" x14ac:dyDescent="0.25">
      <c r="T40" s="457">
        <v>45352</v>
      </c>
    </row>
    <row r="41" spans="20:20" ht="15" hidden="1" customHeight="1" x14ac:dyDescent="0.25">
      <c r="T41" s="457">
        <v>45383</v>
      </c>
    </row>
    <row r="42" spans="20:20" ht="15" hidden="1" customHeight="1" x14ac:dyDescent="0.25">
      <c r="T42" s="457">
        <v>45413</v>
      </c>
    </row>
    <row r="43" spans="20:20" ht="15" hidden="1" customHeight="1" x14ac:dyDescent="0.25">
      <c r="T43" s="457">
        <v>45444</v>
      </c>
    </row>
    <row r="44" spans="20:20" ht="15" hidden="1" customHeight="1" x14ac:dyDescent="0.25">
      <c r="T44" s="457">
        <v>45474</v>
      </c>
    </row>
    <row r="45" spans="20:20" ht="15" hidden="1" customHeight="1" x14ac:dyDescent="0.25">
      <c r="T45" s="457">
        <v>45505</v>
      </c>
    </row>
    <row r="46" spans="20:20" ht="15" hidden="1" customHeight="1" x14ac:dyDescent="0.25">
      <c r="T46" s="457">
        <v>45536</v>
      </c>
    </row>
    <row r="47" spans="20:20" ht="15" hidden="1" customHeight="1" x14ac:dyDescent="0.25">
      <c r="T47" s="457">
        <v>45566</v>
      </c>
    </row>
    <row r="48" spans="20:20" ht="15" hidden="1" customHeight="1" x14ac:dyDescent="0.25">
      <c r="T48" s="457">
        <v>45597</v>
      </c>
    </row>
    <row r="49" spans="20:20" ht="15" hidden="1" customHeight="1" x14ac:dyDescent="0.25">
      <c r="T49" s="457">
        <v>45627</v>
      </c>
    </row>
    <row r="50" spans="20:20" ht="15" hidden="1" customHeight="1" x14ac:dyDescent="0.25">
      <c r="T50" s="457">
        <v>45658</v>
      </c>
    </row>
    <row r="51" spans="20:20" ht="15" hidden="1" customHeight="1" x14ac:dyDescent="0.25">
      <c r="T51" s="457">
        <v>45689</v>
      </c>
    </row>
    <row r="52" spans="20:20" ht="15" hidden="1" customHeight="1" x14ac:dyDescent="0.25">
      <c r="T52" s="457">
        <v>45717</v>
      </c>
    </row>
    <row r="53" spans="20:20" ht="15" hidden="1" customHeight="1" x14ac:dyDescent="0.25">
      <c r="T53" s="457">
        <v>45748</v>
      </c>
    </row>
    <row r="54" spans="20:20" ht="15" hidden="1" customHeight="1" x14ac:dyDescent="0.25">
      <c r="T54" s="457">
        <v>45778</v>
      </c>
    </row>
    <row r="55" spans="20:20" ht="15" hidden="1" customHeight="1" x14ac:dyDescent="0.25">
      <c r="T55" s="457">
        <v>45809</v>
      </c>
    </row>
    <row r="56" spans="20:20" ht="15" hidden="1" customHeight="1" x14ac:dyDescent="0.25">
      <c r="T56" s="457">
        <v>45839</v>
      </c>
    </row>
    <row r="57" spans="20:20" ht="15" hidden="1" customHeight="1" x14ac:dyDescent="0.25">
      <c r="T57" s="457">
        <v>45870</v>
      </c>
    </row>
    <row r="58" spans="20:20" ht="15" hidden="1" customHeight="1" x14ac:dyDescent="0.25">
      <c r="T58" s="457">
        <v>45901</v>
      </c>
    </row>
    <row r="59" spans="20:20" ht="15" hidden="1" customHeight="1" x14ac:dyDescent="0.25">
      <c r="T59" s="457">
        <v>45931</v>
      </c>
    </row>
    <row r="60" spans="20:20" ht="15" hidden="1" customHeight="1" x14ac:dyDescent="0.25">
      <c r="T60" s="457">
        <v>45962</v>
      </c>
    </row>
    <row r="61" spans="20:20" ht="15" hidden="1" customHeight="1" x14ac:dyDescent="0.25">
      <c r="T61" s="457">
        <v>45992</v>
      </c>
    </row>
  </sheetData>
  <sheetProtection algorithmName="SHA-512" hashValue="nNNZ52vS9NoMtVSSyjMNqaM0uYgaSy7fR0aD3Q5kCsON3MfGngp5iDe+Kf+g+G3IiidOoZM7OiR4mKs8s5bdcg==" saltValue="l6bAK6yOEAjI/b5rzakf+A==" spinCount="100000" sheet="1" selectLockedCells="1"/>
  <protectedRanges>
    <protectedRange sqref="O23" name="VaRlimit"/>
    <protectedRange sqref="O21" name="stoploss_limit"/>
    <protectedRange sqref="S1" name="mes_ref"/>
    <protectedRange sqref="O9" name="Floor"/>
    <protectedRange sqref="O11" name="cap"/>
    <protectedRange sqref="O17" name="distrib"/>
  </protectedRanges>
  <mergeCells count="3">
    <mergeCell ref="N7:O7"/>
    <mergeCell ref="N13:O13"/>
    <mergeCell ref="N19:O19"/>
  </mergeCells>
  <dataValidations disablePrompts="1" count="1">
    <dataValidation type="list" allowBlank="1" showInputMessage="1" showErrorMessage="1" sqref="O17" xr:uid="{00000000-0002-0000-0000-000000000000}">
      <formula1>$S$4:$S$5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Group Box 1">
              <controlPr defaultSize="0" autoFill="0" autoPict="0">
                <anchor moveWithCells="1">
                  <from>
                    <xdr:col>2</xdr:col>
                    <xdr:colOff>342900</xdr:colOff>
                    <xdr:row>4</xdr:row>
                    <xdr:rowOff>180975</xdr:rowOff>
                  </from>
                  <to>
                    <xdr:col>6</xdr:col>
                    <xdr:colOff>333375</xdr:colOff>
                    <xdr:row>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Run_Todas" altText="GERA ROTINA">
                <anchor>
                  <from>
                    <xdr:col>2</xdr:col>
                    <xdr:colOff>419100</xdr:colOff>
                    <xdr:row>5</xdr:row>
                    <xdr:rowOff>161925</xdr:rowOff>
                  </from>
                  <to>
                    <xdr:col>4</xdr:col>
                    <xdr:colOff>457200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Drop Down 3">
              <controlPr locked="0" defaultSize="0" autoLine="0" autoPict="0">
                <anchor moveWithCells="1">
                  <from>
                    <xdr:col>4</xdr:col>
                    <xdr:colOff>571500</xdr:colOff>
                    <xdr:row>6</xdr:row>
                    <xdr:rowOff>47625</xdr:rowOff>
                  </from>
                  <to>
                    <xdr:col>6</xdr:col>
                    <xdr:colOff>247650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Group Box 4">
              <controlPr defaultSize="0" autoFill="0" autoPict="0">
                <anchor moveWithCells="1">
                  <from>
                    <xdr:col>7</xdr:col>
                    <xdr:colOff>171450</xdr:colOff>
                    <xdr:row>5</xdr:row>
                    <xdr:rowOff>0</xdr:rowOff>
                  </from>
                  <to>
                    <xdr:col>11</xdr:col>
                    <xdr:colOff>161925</xdr:colOff>
                    <xdr:row>24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Button 5">
              <controlPr defaultSize="0" print="0" autoFill="0" autoPict="0" macro="[0]!Dist_Prob_Var" altText="GERA ROTINA">
                <anchor>
                  <from>
                    <xdr:col>7</xdr:col>
                    <xdr:colOff>304800</xdr:colOff>
                    <xdr:row>6</xdr:row>
                    <xdr:rowOff>19050</xdr:rowOff>
                  </from>
                  <to>
                    <xdr:col>11</xdr:col>
                    <xdr:colOff>9525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Button 6">
              <controlPr defaultSize="0" print="0" autoFill="0" autoPict="0" macro="[0]!HWM" altText="GERA ROTINA">
                <anchor>
                  <from>
                    <xdr:col>7</xdr:col>
                    <xdr:colOff>304800</xdr:colOff>
                    <xdr:row>9</xdr:row>
                    <xdr:rowOff>19050</xdr:rowOff>
                  </from>
                  <to>
                    <xdr:col>11</xdr:col>
                    <xdr:colOff>9525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10" name="Group Box 9">
              <controlPr defaultSize="0" autoFill="0" autoPict="0">
                <anchor moveWithCells="1">
                  <from>
                    <xdr:col>2</xdr:col>
                    <xdr:colOff>342900</xdr:colOff>
                    <xdr:row>10</xdr:row>
                    <xdr:rowOff>57150</xdr:rowOff>
                  </from>
                  <to>
                    <xdr:col>6</xdr:col>
                    <xdr:colOff>333375</xdr:colOff>
                    <xdr:row>24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11" name="Group Box 11">
              <controlPr defaultSize="0" autoFill="0" autoPict="0">
                <anchor moveWithCells="1">
                  <from>
                    <xdr:col>12</xdr:col>
                    <xdr:colOff>247650</xdr:colOff>
                    <xdr:row>5</xdr:row>
                    <xdr:rowOff>0</xdr:rowOff>
                  </from>
                  <to>
                    <xdr:col>15</xdr:col>
                    <xdr:colOff>600075</xdr:colOff>
                    <xdr:row>24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12" name="Button 13">
              <controlPr defaultSize="0" print="0" autoFill="0" autoPict="0" macro="[0]!Resumo_Book" altText="GERA ROTINA">
                <anchor>
                  <from>
                    <xdr:col>7</xdr:col>
                    <xdr:colOff>314325</xdr:colOff>
                    <xdr:row>12</xdr:row>
                    <xdr:rowOff>28575</xdr:rowOff>
                  </from>
                  <to>
                    <xdr:col>11</xdr:col>
                    <xdr:colOff>19050</xdr:colOff>
                    <xdr:row>14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13" name="Button 14">
              <controlPr defaultSize="0" print="0" autoFill="0" autoPict="0" macro="[0]!Simulador" altText="GERA ROTINA">
                <anchor>
                  <from>
                    <xdr:col>7</xdr:col>
                    <xdr:colOff>314325</xdr:colOff>
                    <xdr:row>15</xdr:row>
                    <xdr:rowOff>28575</xdr:rowOff>
                  </from>
                  <to>
                    <xdr:col>11</xdr:col>
                    <xdr:colOff>19050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4" name="Button 15">
              <controlPr defaultSize="0" print="0" autoFill="0" autoPict="0" macro="[0]!Salva_Report" altText="GERA ROTINA">
                <anchor>
                  <from>
                    <xdr:col>7</xdr:col>
                    <xdr:colOff>323850</xdr:colOff>
                    <xdr:row>18</xdr:row>
                    <xdr:rowOff>47625</xdr:rowOff>
                  </from>
                  <to>
                    <xdr:col>11</xdr:col>
                    <xdr:colOff>28575</xdr:colOff>
                    <xdr:row>20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5" name="Button 16">
              <controlPr defaultSize="0" print="0" autoFill="0" autoPict="0" macro="[0]!Captura_DB" altText="GERA ROTINA">
                <anchor>
                  <from>
                    <xdr:col>2</xdr:col>
                    <xdr:colOff>495300</xdr:colOff>
                    <xdr:row>11</xdr:row>
                    <xdr:rowOff>66675</xdr:rowOff>
                  </from>
                  <to>
                    <xdr:col>6</xdr:col>
                    <xdr:colOff>200025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6" name="Button 17">
              <controlPr defaultSize="0" print="0" autoFill="0" autoPict="0" macro="[0]!Monta_Releases" altText="GERA ROTINA">
                <anchor>
                  <from>
                    <xdr:col>2</xdr:col>
                    <xdr:colOff>495300</xdr:colOff>
                    <xdr:row>14</xdr:row>
                    <xdr:rowOff>76200</xdr:rowOff>
                  </from>
                  <to>
                    <xdr:col>6</xdr:col>
                    <xdr:colOff>200025</xdr:colOff>
                    <xdr:row>16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7" name="Button 18">
              <controlPr defaultSize="0" print="0" autoFill="0" autoPict="0" macro="[0]!Monta_MTM" altText="GERA ROTINA">
                <anchor>
                  <from>
                    <xdr:col>2</xdr:col>
                    <xdr:colOff>504825</xdr:colOff>
                    <xdr:row>17</xdr:row>
                    <xdr:rowOff>95250</xdr:rowOff>
                  </from>
                  <to>
                    <xdr:col>6</xdr:col>
                    <xdr:colOff>209550</xdr:colOff>
                    <xdr:row>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8" name="Button 19">
              <controlPr defaultSize="0" print="0" autoFill="0" autoPict="0" macro="[0]!Monta_MTM_Releases" altText="GERA ROTINA">
                <anchor>
                  <from>
                    <xdr:col>2</xdr:col>
                    <xdr:colOff>504825</xdr:colOff>
                    <xdr:row>20</xdr:row>
                    <xdr:rowOff>104775</xdr:rowOff>
                  </from>
                  <to>
                    <xdr:col>6</xdr:col>
                    <xdr:colOff>209550</xdr:colOff>
                    <xdr:row>22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9" name="Button 21">
              <controlPr defaultSize="0" print="0" autoFill="0" autoPict="0" macro="[0]!Envia_email" altText="GERA ROTINA">
                <anchor>
                  <from>
                    <xdr:col>7</xdr:col>
                    <xdr:colOff>333375</xdr:colOff>
                    <xdr:row>21</xdr:row>
                    <xdr:rowOff>57150</xdr:rowOff>
                  </from>
                  <to>
                    <xdr:col>11</xdr:col>
                    <xdr:colOff>38100</xdr:colOff>
                    <xdr:row>23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20" name="Button 22">
              <controlPr defaultSize="0" print="0" autoFill="0" autoPict="0" macro="[0]!Oculta_Todas_Abas" altText="GERA ROTINA">
                <anchor>
                  <from>
                    <xdr:col>2</xdr:col>
                    <xdr:colOff>514350</xdr:colOff>
                    <xdr:row>23</xdr:row>
                    <xdr:rowOff>47625</xdr:rowOff>
                  </from>
                  <to>
                    <xdr:col>4</xdr:col>
                    <xdr:colOff>352425</xdr:colOff>
                    <xdr:row>25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21" name="Button 23">
              <controlPr defaultSize="0" print="0" autoFill="0" autoPict="0" macro="[0]!Desoculta_Todas_Abas" altText="GERA ROTINA">
                <anchor>
                  <from>
                    <xdr:col>4</xdr:col>
                    <xdr:colOff>371475</xdr:colOff>
                    <xdr:row>23</xdr:row>
                    <xdr:rowOff>47625</xdr:rowOff>
                  </from>
                  <to>
                    <xdr:col>6</xdr:col>
                    <xdr:colOff>209550</xdr:colOff>
                    <xdr:row>25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rgb="FF00B050"/>
  </sheetPr>
  <dimension ref="A1:ED175"/>
  <sheetViews>
    <sheetView showGridLines="0" topLeftCell="A4" zoomScale="90" zoomScaleNormal="90" workbookViewId="0">
      <selection activeCell="G158" sqref="G158"/>
    </sheetView>
  </sheetViews>
  <sheetFormatPr defaultRowHeight="15" x14ac:dyDescent="0.25"/>
  <cols>
    <col min="1" max="1" width="2.42578125" customWidth="1"/>
    <col min="2" max="2" width="12.42578125" bestFit="1" customWidth="1"/>
    <col min="3" max="3" width="13.42578125" customWidth="1"/>
    <col min="4" max="4" width="13.28515625" bestFit="1" customWidth="1"/>
    <col min="5" max="5" width="12.42578125" bestFit="1" customWidth="1"/>
    <col min="6" max="6" width="14.140625" bestFit="1" customWidth="1"/>
    <col min="7" max="7" width="12" customWidth="1"/>
    <col min="8" max="8" width="13.28515625" bestFit="1" customWidth="1"/>
    <col min="9" max="9" width="12.28515625" customWidth="1"/>
    <col min="10" max="10" width="14.5703125" bestFit="1" customWidth="1"/>
    <col min="11" max="11" width="12.42578125" bestFit="1" customWidth="1"/>
    <col min="12" max="12" width="13.42578125" customWidth="1"/>
    <col min="13" max="13" width="13.28515625" bestFit="1" customWidth="1"/>
    <col min="14" max="14" width="13.85546875" customWidth="1"/>
    <col min="15" max="15" width="12.140625" bestFit="1" customWidth="1"/>
    <col min="16" max="16" width="12.7109375" bestFit="1" customWidth="1"/>
    <col min="17" max="26" width="11.42578125" bestFit="1" customWidth="1"/>
    <col min="27" max="27" width="13.42578125" customWidth="1"/>
    <col min="28" max="28" width="13.28515625" bestFit="1" customWidth="1"/>
    <col min="29" max="29" width="12.42578125" bestFit="1" customWidth="1"/>
    <col min="30" max="30" width="14.140625" bestFit="1" customWidth="1"/>
    <col min="31" max="31" width="12" customWidth="1"/>
    <col min="32" max="32" width="13.28515625" bestFit="1" customWidth="1"/>
    <col min="33" max="33" width="12.28515625" customWidth="1"/>
    <col min="34" max="34" width="14.5703125" bestFit="1" customWidth="1"/>
    <col min="35" max="35" width="12.42578125" bestFit="1" customWidth="1"/>
    <col min="36" max="36" width="13.42578125" customWidth="1"/>
    <col min="37" max="37" width="13.28515625" bestFit="1" customWidth="1"/>
    <col min="38" max="38" width="13.85546875" customWidth="1"/>
    <col min="39" max="39" width="12.140625" bestFit="1" customWidth="1"/>
    <col min="40" max="40" width="12.7109375" bestFit="1" customWidth="1"/>
    <col min="41" max="50" width="11.42578125" bestFit="1" customWidth="1"/>
    <col min="51" max="51" width="12.140625" bestFit="1" customWidth="1"/>
    <col min="52" max="52" width="12.7109375" bestFit="1" customWidth="1"/>
    <col min="53" max="62" width="11.42578125" bestFit="1" customWidth="1"/>
    <col min="63" max="63" width="5.28515625" customWidth="1"/>
    <col min="64" max="64" width="0.28515625" customWidth="1"/>
    <col min="65" max="65" width="5.28515625" customWidth="1"/>
    <col min="66" max="66" width="12.42578125" bestFit="1" customWidth="1"/>
    <col min="67" max="78" width="12" customWidth="1"/>
    <col min="91" max="102" width="12" customWidth="1"/>
    <col min="132" max="132" width="11.5703125" bestFit="1" customWidth="1"/>
  </cols>
  <sheetData>
    <row r="1" spans="2:132" x14ac:dyDescent="0.25">
      <c r="B1" s="780" t="s">
        <v>140</v>
      </c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780"/>
      <c r="U1" s="780"/>
      <c r="V1" s="780"/>
      <c r="W1" s="780"/>
      <c r="X1" s="780"/>
      <c r="Y1" s="780"/>
      <c r="Z1" s="780"/>
      <c r="AA1" s="780"/>
      <c r="AB1" s="780"/>
      <c r="AC1" s="780"/>
      <c r="AD1" s="780"/>
      <c r="AE1" s="780"/>
      <c r="AF1" s="780"/>
      <c r="AG1" s="780"/>
      <c r="AH1" s="780"/>
      <c r="AI1" s="780"/>
      <c r="AJ1" s="780"/>
      <c r="AK1" s="780"/>
      <c r="AL1" s="780"/>
      <c r="AM1" s="780"/>
      <c r="AN1" s="780"/>
      <c r="AO1" s="780"/>
      <c r="AP1" s="780"/>
      <c r="AQ1" s="780"/>
      <c r="AR1" s="780"/>
      <c r="AS1" s="780"/>
      <c r="AT1" s="780"/>
      <c r="AU1" s="780"/>
      <c r="AV1" s="780"/>
      <c r="AW1" s="780"/>
      <c r="AX1" s="780"/>
      <c r="AY1" s="780"/>
      <c r="AZ1" s="780"/>
      <c r="BA1" s="780"/>
      <c r="BB1" s="780"/>
      <c r="BC1" s="780"/>
      <c r="BD1" s="780"/>
      <c r="BE1" s="780"/>
      <c r="BF1" s="780"/>
      <c r="BG1" s="780"/>
      <c r="BH1" s="780"/>
      <c r="BI1" s="780"/>
      <c r="BJ1" s="780"/>
      <c r="BL1" s="120"/>
      <c r="BN1" s="780" t="s">
        <v>198</v>
      </c>
      <c r="BO1" s="780"/>
      <c r="BP1" s="780"/>
      <c r="BQ1" s="780"/>
      <c r="BR1" s="780"/>
      <c r="BS1" s="780"/>
      <c r="BT1" s="780"/>
      <c r="BU1" s="780"/>
      <c r="BV1" s="780"/>
      <c r="BW1" s="780"/>
      <c r="BX1" s="780"/>
      <c r="BY1" s="780"/>
      <c r="BZ1" s="780"/>
      <c r="CA1" s="780"/>
      <c r="CB1" s="780"/>
      <c r="CC1" s="780"/>
      <c r="CD1" s="780"/>
      <c r="CE1" s="780"/>
      <c r="CF1" s="780"/>
      <c r="CG1" s="780"/>
      <c r="CH1" s="780"/>
      <c r="CI1" s="780"/>
      <c r="CJ1" s="780"/>
      <c r="CK1" s="780"/>
      <c r="CL1" s="780"/>
      <c r="CM1" s="780"/>
      <c r="CN1" s="780"/>
      <c r="CO1" s="780"/>
      <c r="CP1" s="780"/>
      <c r="CQ1" s="780"/>
      <c r="CR1" s="780"/>
      <c r="CS1" s="780"/>
      <c r="CT1" s="780"/>
      <c r="CU1" s="780"/>
      <c r="CV1" s="780"/>
      <c r="CW1" s="780"/>
      <c r="CX1" s="780"/>
      <c r="CY1" s="780"/>
      <c r="CZ1" s="780"/>
      <c r="DA1" s="780"/>
      <c r="DB1" s="780"/>
      <c r="DC1" s="780"/>
      <c r="DD1" s="780"/>
      <c r="DE1" s="780"/>
      <c r="DF1" s="780"/>
      <c r="DG1" s="780"/>
      <c r="DH1" s="780"/>
      <c r="DI1" s="780"/>
      <c r="DJ1" s="780"/>
      <c r="DK1" s="780"/>
      <c r="DL1" s="780"/>
      <c r="DM1" s="780"/>
      <c r="DN1" s="780"/>
      <c r="DO1" s="780"/>
      <c r="DP1" s="780"/>
      <c r="DQ1" s="780"/>
      <c r="DR1" s="780"/>
      <c r="DS1" s="780"/>
      <c r="DT1" s="780"/>
      <c r="DU1" s="780"/>
      <c r="DV1" s="780"/>
      <c r="EB1" s="11"/>
    </row>
    <row r="2" spans="2:132" x14ac:dyDescent="0.25">
      <c r="C2" s="52">
        <f>(D3-C3)*24</f>
        <v>744</v>
      </c>
      <c r="D2" s="52">
        <f t="shared" ref="D2:BI2" si="0">(E3-D3)*24</f>
        <v>672</v>
      </c>
      <c r="E2" s="52">
        <f t="shared" si="0"/>
        <v>744</v>
      </c>
      <c r="F2" s="52">
        <f t="shared" si="0"/>
        <v>720</v>
      </c>
      <c r="G2" s="52">
        <f t="shared" si="0"/>
        <v>744</v>
      </c>
      <c r="H2" s="52">
        <f t="shared" si="0"/>
        <v>720</v>
      </c>
      <c r="I2" s="52">
        <f t="shared" si="0"/>
        <v>744</v>
      </c>
      <c r="J2" s="52">
        <f t="shared" si="0"/>
        <v>744</v>
      </c>
      <c r="K2" s="52">
        <f t="shared" si="0"/>
        <v>720</v>
      </c>
      <c r="L2" s="52">
        <f t="shared" si="0"/>
        <v>744</v>
      </c>
      <c r="M2" s="52">
        <f t="shared" si="0"/>
        <v>720</v>
      </c>
      <c r="N2" s="52">
        <f t="shared" si="0"/>
        <v>744</v>
      </c>
      <c r="O2" s="52">
        <f>(P3-O3)*24</f>
        <v>744</v>
      </c>
      <c r="P2" s="52">
        <f>(Q3-P3)*24</f>
        <v>672</v>
      </c>
      <c r="Q2" s="52">
        <f>(R3-Q3)*24</f>
        <v>744</v>
      </c>
      <c r="R2" s="52">
        <f t="shared" si="0"/>
        <v>720</v>
      </c>
      <c r="S2" s="52">
        <f t="shared" si="0"/>
        <v>744</v>
      </c>
      <c r="T2" s="52">
        <f t="shared" si="0"/>
        <v>720</v>
      </c>
      <c r="U2" s="52">
        <f t="shared" si="0"/>
        <v>744</v>
      </c>
      <c r="V2" s="52">
        <f t="shared" si="0"/>
        <v>744</v>
      </c>
      <c r="W2" s="52">
        <f t="shared" si="0"/>
        <v>720</v>
      </c>
      <c r="X2" s="52">
        <f t="shared" si="0"/>
        <v>744</v>
      </c>
      <c r="Y2" s="52">
        <f t="shared" si="0"/>
        <v>720</v>
      </c>
      <c r="Z2" s="62">
        <f t="shared" si="0"/>
        <v>744</v>
      </c>
      <c r="AA2" s="52">
        <f t="shared" si="0"/>
        <v>744</v>
      </c>
      <c r="AB2" s="52">
        <f t="shared" si="0"/>
        <v>696</v>
      </c>
      <c r="AC2" s="52">
        <f t="shared" si="0"/>
        <v>744</v>
      </c>
      <c r="AD2" s="52">
        <f t="shared" si="0"/>
        <v>720</v>
      </c>
      <c r="AE2" s="52">
        <f t="shared" si="0"/>
        <v>744</v>
      </c>
      <c r="AF2" s="52">
        <f t="shared" si="0"/>
        <v>720</v>
      </c>
      <c r="AG2" s="52">
        <f t="shared" si="0"/>
        <v>744</v>
      </c>
      <c r="AH2" s="52">
        <f t="shared" si="0"/>
        <v>744</v>
      </c>
      <c r="AI2" s="52">
        <f t="shared" si="0"/>
        <v>720</v>
      </c>
      <c r="AJ2" s="52">
        <f t="shared" si="0"/>
        <v>744</v>
      </c>
      <c r="AK2" s="52">
        <f t="shared" si="0"/>
        <v>720</v>
      </c>
      <c r="AL2" s="52">
        <f t="shared" si="0"/>
        <v>744</v>
      </c>
      <c r="AM2" s="52">
        <f t="shared" si="0"/>
        <v>744</v>
      </c>
      <c r="AN2" s="52">
        <f t="shared" si="0"/>
        <v>672</v>
      </c>
      <c r="AO2" s="52">
        <f t="shared" si="0"/>
        <v>744</v>
      </c>
      <c r="AP2" s="52">
        <f t="shared" si="0"/>
        <v>720</v>
      </c>
      <c r="AQ2" s="52">
        <f t="shared" si="0"/>
        <v>744</v>
      </c>
      <c r="AR2" s="52">
        <f t="shared" si="0"/>
        <v>720</v>
      </c>
      <c r="AS2" s="52">
        <f t="shared" si="0"/>
        <v>744</v>
      </c>
      <c r="AT2" s="52">
        <f t="shared" si="0"/>
        <v>744</v>
      </c>
      <c r="AU2" s="52">
        <f t="shared" si="0"/>
        <v>720</v>
      </c>
      <c r="AV2" s="52">
        <f t="shared" si="0"/>
        <v>744</v>
      </c>
      <c r="AW2" s="52">
        <f t="shared" si="0"/>
        <v>720</v>
      </c>
      <c r="AX2" s="62">
        <f t="shared" si="0"/>
        <v>744</v>
      </c>
      <c r="AY2" s="52">
        <f t="shared" si="0"/>
        <v>744</v>
      </c>
      <c r="AZ2" s="52">
        <f t="shared" si="0"/>
        <v>672</v>
      </c>
      <c r="BA2" s="52">
        <f t="shared" si="0"/>
        <v>744</v>
      </c>
      <c r="BB2" s="52">
        <f t="shared" si="0"/>
        <v>720</v>
      </c>
      <c r="BC2" s="52">
        <f t="shared" si="0"/>
        <v>744</v>
      </c>
      <c r="BD2" s="52">
        <f t="shared" si="0"/>
        <v>720</v>
      </c>
      <c r="BE2" s="52">
        <f t="shared" si="0"/>
        <v>744</v>
      </c>
      <c r="BF2" s="52">
        <f t="shared" si="0"/>
        <v>744</v>
      </c>
      <c r="BG2" s="52">
        <f t="shared" si="0"/>
        <v>720</v>
      </c>
      <c r="BH2" s="52">
        <f t="shared" si="0"/>
        <v>744</v>
      </c>
      <c r="BI2" s="52">
        <f t="shared" si="0"/>
        <v>720</v>
      </c>
      <c r="BJ2" s="62">
        <v>744</v>
      </c>
      <c r="BL2" s="120"/>
      <c r="BO2" s="52">
        <f>C2</f>
        <v>744</v>
      </c>
      <c r="BP2" s="52">
        <f t="shared" ref="BP2:DV2" si="1">D2</f>
        <v>672</v>
      </c>
      <c r="BQ2" s="52">
        <f t="shared" si="1"/>
        <v>744</v>
      </c>
      <c r="BR2" s="52">
        <f t="shared" si="1"/>
        <v>720</v>
      </c>
      <c r="BS2" s="52">
        <f t="shared" si="1"/>
        <v>744</v>
      </c>
      <c r="BT2" s="52">
        <f t="shared" si="1"/>
        <v>720</v>
      </c>
      <c r="BU2" s="52">
        <f t="shared" si="1"/>
        <v>744</v>
      </c>
      <c r="BV2" s="52">
        <f t="shared" si="1"/>
        <v>744</v>
      </c>
      <c r="BW2" s="52">
        <f t="shared" si="1"/>
        <v>720</v>
      </c>
      <c r="BX2" s="52">
        <f t="shared" si="1"/>
        <v>744</v>
      </c>
      <c r="BY2" s="52">
        <f t="shared" si="1"/>
        <v>720</v>
      </c>
      <c r="BZ2" s="52">
        <f t="shared" si="1"/>
        <v>744</v>
      </c>
      <c r="CA2" s="52">
        <f t="shared" si="1"/>
        <v>744</v>
      </c>
      <c r="CB2" s="52">
        <f t="shared" si="1"/>
        <v>672</v>
      </c>
      <c r="CC2" s="52">
        <f t="shared" si="1"/>
        <v>744</v>
      </c>
      <c r="CD2" s="52">
        <f t="shared" si="1"/>
        <v>720</v>
      </c>
      <c r="CE2" s="52">
        <f t="shared" si="1"/>
        <v>744</v>
      </c>
      <c r="CF2" s="52">
        <f t="shared" si="1"/>
        <v>720</v>
      </c>
      <c r="CG2" s="52">
        <f t="shared" si="1"/>
        <v>744</v>
      </c>
      <c r="CH2" s="52">
        <f t="shared" si="1"/>
        <v>744</v>
      </c>
      <c r="CI2" s="52">
        <f t="shared" si="1"/>
        <v>720</v>
      </c>
      <c r="CJ2" s="52">
        <f t="shared" si="1"/>
        <v>744</v>
      </c>
      <c r="CK2" s="52">
        <f t="shared" si="1"/>
        <v>720</v>
      </c>
      <c r="CL2" s="62">
        <f t="shared" si="1"/>
        <v>744</v>
      </c>
      <c r="CM2" s="52">
        <f t="shared" si="1"/>
        <v>744</v>
      </c>
      <c r="CN2" s="52">
        <f t="shared" si="1"/>
        <v>696</v>
      </c>
      <c r="CO2" s="52">
        <f t="shared" si="1"/>
        <v>744</v>
      </c>
      <c r="CP2" s="52">
        <f t="shared" si="1"/>
        <v>720</v>
      </c>
      <c r="CQ2" s="52">
        <f t="shared" si="1"/>
        <v>744</v>
      </c>
      <c r="CR2" s="52">
        <f t="shared" si="1"/>
        <v>720</v>
      </c>
      <c r="CS2" s="52">
        <f t="shared" si="1"/>
        <v>744</v>
      </c>
      <c r="CT2" s="52">
        <f t="shared" si="1"/>
        <v>744</v>
      </c>
      <c r="CU2" s="52">
        <f t="shared" si="1"/>
        <v>720</v>
      </c>
      <c r="CV2" s="52">
        <f t="shared" si="1"/>
        <v>744</v>
      </c>
      <c r="CW2" s="52">
        <f t="shared" si="1"/>
        <v>720</v>
      </c>
      <c r="CX2" s="52">
        <f t="shared" si="1"/>
        <v>744</v>
      </c>
      <c r="CY2" s="52">
        <f t="shared" si="1"/>
        <v>744</v>
      </c>
      <c r="CZ2" s="52">
        <f t="shared" si="1"/>
        <v>672</v>
      </c>
      <c r="DA2" s="52">
        <f t="shared" si="1"/>
        <v>744</v>
      </c>
      <c r="DB2" s="52">
        <f t="shared" si="1"/>
        <v>720</v>
      </c>
      <c r="DC2" s="52">
        <f t="shared" si="1"/>
        <v>744</v>
      </c>
      <c r="DD2" s="52">
        <f t="shared" si="1"/>
        <v>720</v>
      </c>
      <c r="DE2" s="52">
        <f t="shared" si="1"/>
        <v>744</v>
      </c>
      <c r="DF2" s="52">
        <f t="shared" si="1"/>
        <v>744</v>
      </c>
      <c r="DG2" s="52">
        <f t="shared" si="1"/>
        <v>720</v>
      </c>
      <c r="DH2" s="52">
        <f t="shared" si="1"/>
        <v>744</v>
      </c>
      <c r="DI2" s="52">
        <f t="shared" si="1"/>
        <v>720</v>
      </c>
      <c r="DJ2" s="62">
        <f t="shared" si="1"/>
        <v>744</v>
      </c>
      <c r="DK2" s="52">
        <f t="shared" si="1"/>
        <v>744</v>
      </c>
      <c r="DL2" s="52">
        <f t="shared" si="1"/>
        <v>672</v>
      </c>
      <c r="DM2" s="52">
        <f t="shared" si="1"/>
        <v>744</v>
      </c>
      <c r="DN2" s="52">
        <f t="shared" si="1"/>
        <v>720</v>
      </c>
      <c r="DO2" s="52">
        <f t="shared" si="1"/>
        <v>744</v>
      </c>
      <c r="DP2" s="52">
        <f t="shared" si="1"/>
        <v>720</v>
      </c>
      <c r="DQ2" s="52">
        <f t="shared" si="1"/>
        <v>744</v>
      </c>
      <c r="DR2" s="52">
        <f t="shared" si="1"/>
        <v>744</v>
      </c>
      <c r="DS2" s="52">
        <f t="shared" si="1"/>
        <v>720</v>
      </c>
      <c r="DT2" s="52">
        <f t="shared" si="1"/>
        <v>744</v>
      </c>
      <c r="DU2" s="52">
        <f t="shared" si="1"/>
        <v>720</v>
      </c>
      <c r="DV2" s="62">
        <f t="shared" si="1"/>
        <v>744</v>
      </c>
      <c r="EB2" s="11"/>
    </row>
    <row r="3" spans="2:132" ht="15.75" thickBot="1" x14ac:dyDescent="0.3">
      <c r="B3" s="59" t="s">
        <v>16</v>
      </c>
      <c r="C3" s="55">
        <v>44562</v>
      </c>
      <c r="D3" s="55">
        <v>44593</v>
      </c>
      <c r="E3" s="55">
        <v>44621</v>
      </c>
      <c r="F3" s="55">
        <v>44652</v>
      </c>
      <c r="G3" s="55">
        <v>44682</v>
      </c>
      <c r="H3" s="55">
        <v>44713</v>
      </c>
      <c r="I3" s="55">
        <v>44743</v>
      </c>
      <c r="J3" s="55">
        <v>44774</v>
      </c>
      <c r="K3" s="55">
        <v>44805</v>
      </c>
      <c r="L3" s="55">
        <v>44835</v>
      </c>
      <c r="M3" s="55">
        <v>44866</v>
      </c>
      <c r="N3" s="58">
        <v>44896</v>
      </c>
      <c r="O3" s="55">
        <v>44927</v>
      </c>
      <c r="P3" s="55">
        <v>44958</v>
      </c>
      <c r="Q3" s="55">
        <v>44986</v>
      </c>
      <c r="R3" s="55">
        <v>45017</v>
      </c>
      <c r="S3" s="55">
        <v>45047</v>
      </c>
      <c r="T3" s="55">
        <v>45078</v>
      </c>
      <c r="U3" s="55">
        <v>45108</v>
      </c>
      <c r="V3" s="55">
        <v>45139</v>
      </c>
      <c r="W3" s="55">
        <v>45170</v>
      </c>
      <c r="X3" s="55">
        <v>45200</v>
      </c>
      <c r="Y3" s="55">
        <v>45231</v>
      </c>
      <c r="Z3" s="58">
        <v>45261</v>
      </c>
      <c r="AA3" s="55">
        <v>45292</v>
      </c>
      <c r="AB3" s="55">
        <v>45323</v>
      </c>
      <c r="AC3" s="55">
        <v>45352</v>
      </c>
      <c r="AD3" s="55">
        <v>45383</v>
      </c>
      <c r="AE3" s="55">
        <v>45413</v>
      </c>
      <c r="AF3" s="55">
        <v>45444</v>
      </c>
      <c r="AG3" s="55">
        <v>45474</v>
      </c>
      <c r="AH3" s="55">
        <v>45505</v>
      </c>
      <c r="AI3" s="55">
        <v>45536</v>
      </c>
      <c r="AJ3" s="55">
        <v>45566</v>
      </c>
      <c r="AK3" s="55">
        <v>45597</v>
      </c>
      <c r="AL3" s="58">
        <v>45627</v>
      </c>
      <c r="AM3" s="55">
        <v>45658</v>
      </c>
      <c r="AN3" s="55">
        <v>45689</v>
      </c>
      <c r="AO3" s="55">
        <v>45717</v>
      </c>
      <c r="AP3" s="55">
        <v>45748</v>
      </c>
      <c r="AQ3" s="55">
        <v>45778</v>
      </c>
      <c r="AR3" s="55">
        <v>45809</v>
      </c>
      <c r="AS3" s="55">
        <v>45839</v>
      </c>
      <c r="AT3" s="55">
        <v>45870</v>
      </c>
      <c r="AU3" s="55">
        <v>45901</v>
      </c>
      <c r="AV3" s="55">
        <v>45931</v>
      </c>
      <c r="AW3" s="55">
        <v>45962</v>
      </c>
      <c r="AX3" s="58">
        <v>45992</v>
      </c>
      <c r="AY3" s="55">
        <v>46023</v>
      </c>
      <c r="AZ3" s="55">
        <v>46054</v>
      </c>
      <c r="BA3" s="55">
        <v>46082</v>
      </c>
      <c r="BB3" s="55">
        <v>46113</v>
      </c>
      <c r="BC3" s="55">
        <v>46143</v>
      </c>
      <c r="BD3" s="55">
        <v>46174</v>
      </c>
      <c r="BE3" s="55">
        <v>46204</v>
      </c>
      <c r="BF3" s="55">
        <v>46235</v>
      </c>
      <c r="BG3" s="55">
        <v>46266</v>
      </c>
      <c r="BH3" s="55">
        <v>46296</v>
      </c>
      <c r="BI3" s="55">
        <v>46327</v>
      </c>
      <c r="BJ3" s="58">
        <v>46357</v>
      </c>
      <c r="BK3" s="51"/>
      <c r="BL3" s="121"/>
      <c r="BM3" s="51"/>
      <c r="BN3" s="59" t="s">
        <v>16</v>
      </c>
      <c r="BO3" s="55">
        <f>C3</f>
        <v>44562</v>
      </c>
      <c r="BP3" s="55">
        <f t="shared" ref="BP3:DV3" si="2">D3</f>
        <v>44593</v>
      </c>
      <c r="BQ3" s="55">
        <f t="shared" si="2"/>
        <v>44621</v>
      </c>
      <c r="BR3" s="55">
        <f t="shared" si="2"/>
        <v>44652</v>
      </c>
      <c r="BS3" s="55">
        <f t="shared" si="2"/>
        <v>44682</v>
      </c>
      <c r="BT3" s="55">
        <f t="shared" si="2"/>
        <v>44713</v>
      </c>
      <c r="BU3" s="55">
        <f t="shared" si="2"/>
        <v>44743</v>
      </c>
      <c r="BV3" s="55">
        <f t="shared" si="2"/>
        <v>44774</v>
      </c>
      <c r="BW3" s="55">
        <f t="shared" si="2"/>
        <v>44805</v>
      </c>
      <c r="BX3" s="55">
        <f t="shared" si="2"/>
        <v>44835</v>
      </c>
      <c r="BY3" s="55">
        <f t="shared" si="2"/>
        <v>44866</v>
      </c>
      <c r="BZ3" s="58">
        <f t="shared" si="2"/>
        <v>44896</v>
      </c>
      <c r="CA3" s="55">
        <f t="shared" si="2"/>
        <v>44927</v>
      </c>
      <c r="CB3" s="55">
        <f t="shared" si="2"/>
        <v>44958</v>
      </c>
      <c r="CC3" s="55">
        <f t="shared" si="2"/>
        <v>44986</v>
      </c>
      <c r="CD3" s="55">
        <f t="shared" si="2"/>
        <v>45017</v>
      </c>
      <c r="CE3" s="55">
        <f t="shared" si="2"/>
        <v>45047</v>
      </c>
      <c r="CF3" s="55">
        <f t="shared" si="2"/>
        <v>45078</v>
      </c>
      <c r="CG3" s="55">
        <f t="shared" si="2"/>
        <v>45108</v>
      </c>
      <c r="CH3" s="55">
        <f t="shared" si="2"/>
        <v>45139</v>
      </c>
      <c r="CI3" s="55">
        <f t="shared" si="2"/>
        <v>45170</v>
      </c>
      <c r="CJ3" s="55">
        <f t="shared" si="2"/>
        <v>45200</v>
      </c>
      <c r="CK3" s="55">
        <f t="shared" si="2"/>
        <v>45231</v>
      </c>
      <c r="CL3" s="58">
        <f t="shared" si="2"/>
        <v>45261</v>
      </c>
      <c r="CM3" s="55">
        <f t="shared" si="2"/>
        <v>45292</v>
      </c>
      <c r="CN3" s="55">
        <f t="shared" si="2"/>
        <v>45323</v>
      </c>
      <c r="CO3" s="55">
        <f t="shared" si="2"/>
        <v>45352</v>
      </c>
      <c r="CP3" s="55">
        <f t="shared" si="2"/>
        <v>45383</v>
      </c>
      <c r="CQ3" s="55">
        <f t="shared" si="2"/>
        <v>45413</v>
      </c>
      <c r="CR3" s="55">
        <f t="shared" si="2"/>
        <v>45444</v>
      </c>
      <c r="CS3" s="55">
        <f t="shared" si="2"/>
        <v>45474</v>
      </c>
      <c r="CT3" s="55">
        <f t="shared" si="2"/>
        <v>45505</v>
      </c>
      <c r="CU3" s="55">
        <f t="shared" si="2"/>
        <v>45536</v>
      </c>
      <c r="CV3" s="55">
        <f t="shared" si="2"/>
        <v>45566</v>
      </c>
      <c r="CW3" s="55">
        <f t="shared" si="2"/>
        <v>45597</v>
      </c>
      <c r="CX3" s="58">
        <f t="shared" si="2"/>
        <v>45627</v>
      </c>
      <c r="CY3" s="55">
        <f t="shared" si="2"/>
        <v>45658</v>
      </c>
      <c r="CZ3" s="55">
        <f t="shared" si="2"/>
        <v>45689</v>
      </c>
      <c r="DA3" s="55">
        <f t="shared" si="2"/>
        <v>45717</v>
      </c>
      <c r="DB3" s="55">
        <f t="shared" si="2"/>
        <v>45748</v>
      </c>
      <c r="DC3" s="55">
        <f t="shared" si="2"/>
        <v>45778</v>
      </c>
      <c r="DD3" s="55">
        <f t="shared" si="2"/>
        <v>45809</v>
      </c>
      <c r="DE3" s="55">
        <f t="shared" si="2"/>
        <v>45839</v>
      </c>
      <c r="DF3" s="55">
        <f t="shared" si="2"/>
        <v>45870</v>
      </c>
      <c r="DG3" s="55">
        <f t="shared" si="2"/>
        <v>45901</v>
      </c>
      <c r="DH3" s="55">
        <f t="shared" si="2"/>
        <v>45931</v>
      </c>
      <c r="DI3" s="55">
        <f t="shared" si="2"/>
        <v>45962</v>
      </c>
      <c r="DJ3" s="58">
        <f t="shared" si="2"/>
        <v>45992</v>
      </c>
      <c r="DK3" s="55">
        <f t="shared" si="2"/>
        <v>46023</v>
      </c>
      <c r="DL3" s="55">
        <f t="shared" si="2"/>
        <v>46054</v>
      </c>
      <c r="DM3" s="55">
        <f t="shared" si="2"/>
        <v>46082</v>
      </c>
      <c r="DN3" s="55">
        <f t="shared" si="2"/>
        <v>46113</v>
      </c>
      <c r="DO3" s="55">
        <f t="shared" si="2"/>
        <v>46143</v>
      </c>
      <c r="DP3" s="55">
        <f t="shared" si="2"/>
        <v>46174</v>
      </c>
      <c r="DQ3" s="55">
        <f t="shared" si="2"/>
        <v>46204</v>
      </c>
      <c r="DR3" s="55">
        <f t="shared" si="2"/>
        <v>46235</v>
      </c>
      <c r="DS3" s="55">
        <f t="shared" si="2"/>
        <v>46266</v>
      </c>
      <c r="DT3" s="55">
        <f t="shared" si="2"/>
        <v>46296</v>
      </c>
      <c r="DU3" s="55">
        <f t="shared" si="2"/>
        <v>46327</v>
      </c>
      <c r="DV3" s="58">
        <f t="shared" si="2"/>
        <v>46357</v>
      </c>
      <c r="EB3" s="11"/>
    </row>
    <row r="4" spans="2:132" ht="15.75" thickTop="1" x14ac:dyDescent="0.25">
      <c r="B4" s="56" t="s">
        <v>3</v>
      </c>
      <c r="C4" s="68">
        <f>SUM(C5:C8)</f>
        <v>-76.699999999999989</v>
      </c>
      <c r="D4" s="68">
        <f t="shared" ref="D4:BJ4" si="3">SUM(D5:D8)</f>
        <v>-83.700000000000017</v>
      </c>
      <c r="E4" s="68">
        <f t="shared" si="3"/>
        <v>-182</v>
      </c>
      <c r="F4" s="68">
        <f t="shared" si="3"/>
        <v>-127.6</v>
      </c>
      <c r="G4" s="68">
        <f t="shared" si="3"/>
        <v>-102.10000000000002</v>
      </c>
      <c r="H4" s="68">
        <f t="shared" si="3"/>
        <v>-11.300000000000026</v>
      </c>
      <c r="I4" s="68">
        <f t="shared" si="3"/>
        <v>52.599999999999994</v>
      </c>
      <c r="J4" s="68">
        <f t="shared" si="3"/>
        <v>-15.099999999999994</v>
      </c>
      <c r="K4" s="68">
        <f t="shared" si="3"/>
        <v>-54.80555499999997</v>
      </c>
      <c r="L4" s="68">
        <f t="shared" si="3"/>
        <v>-143.880728</v>
      </c>
      <c r="M4" s="68">
        <f t="shared" si="3"/>
        <v>-180.20000000000002</v>
      </c>
      <c r="N4" s="69">
        <f t="shared" si="3"/>
        <v>-149.4</v>
      </c>
      <c r="O4" s="68">
        <f t="shared" si="3"/>
        <v>-121.416667</v>
      </c>
      <c r="P4" s="68">
        <f t="shared" si="3"/>
        <v>-109.91666700000002</v>
      </c>
      <c r="Q4" s="68">
        <f t="shared" si="3"/>
        <v>-119.21666700000002</v>
      </c>
      <c r="R4" s="68">
        <f t="shared" si="3"/>
        <v>-91.67</v>
      </c>
      <c r="S4" s="68">
        <f t="shared" si="3"/>
        <v>-76.89</v>
      </c>
      <c r="T4" s="68">
        <f t="shared" si="3"/>
        <v>-20.250000000000004</v>
      </c>
      <c r="U4" s="68">
        <f t="shared" si="3"/>
        <v>-60.75</v>
      </c>
      <c r="V4" s="68">
        <f t="shared" si="3"/>
        <v>-43.75</v>
      </c>
      <c r="W4" s="68">
        <f t="shared" si="3"/>
        <v>-55.75</v>
      </c>
      <c r="X4" s="68">
        <f t="shared" si="3"/>
        <v>-48.25</v>
      </c>
      <c r="Y4" s="68">
        <f t="shared" si="3"/>
        <v>-56.25</v>
      </c>
      <c r="Z4" s="70">
        <f t="shared" si="3"/>
        <v>1.5887100000000032</v>
      </c>
      <c r="AA4" s="68">
        <f t="shared" si="3"/>
        <v>-24</v>
      </c>
      <c r="AB4" s="68">
        <f t="shared" si="3"/>
        <v>-24</v>
      </c>
      <c r="AC4" s="68">
        <f t="shared" si="3"/>
        <v>-24</v>
      </c>
      <c r="AD4" s="68">
        <f t="shared" si="3"/>
        <v>-24</v>
      </c>
      <c r="AE4" s="68">
        <f t="shared" si="3"/>
        <v>-24</v>
      </c>
      <c r="AF4" s="68">
        <f t="shared" si="3"/>
        <v>-24</v>
      </c>
      <c r="AG4" s="68">
        <f t="shared" si="3"/>
        <v>-24</v>
      </c>
      <c r="AH4" s="68">
        <f t="shared" si="3"/>
        <v>-24</v>
      </c>
      <c r="AI4" s="68">
        <f t="shared" si="3"/>
        <v>-24</v>
      </c>
      <c r="AJ4" s="68">
        <f t="shared" si="3"/>
        <v>-24</v>
      </c>
      <c r="AK4" s="68">
        <f t="shared" si="3"/>
        <v>-24</v>
      </c>
      <c r="AL4" s="69">
        <f t="shared" si="3"/>
        <v>-24</v>
      </c>
      <c r="AM4" s="68">
        <f t="shared" si="3"/>
        <v>-35</v>
      </c>
      <c r="AN4" s="68">
        <f t="shared" si="3"/>
        <v>-35</v>
      </c>
      <c r="AO4" s="68">
        <f t="shared" si="3"/>
        <v>-35</v>
      </c>
      <c r="AP4" s="68">
        <f t="shared" si="3"/>
        <v>-35</v>
      </c>
      <c r="AQ4" s="68">
        <f t="shared" si="3"/>
        <v>-35</v>
      </c>
      <c r="AR4" s="68">
        <f t="shared" si="3"/>
        <v>-35</v>
      </c>
      <c r="AS4" s="68">
        <f t="shared" si="3"/>
        <v>-35</v>
      </c>
      <c r="AT4" s="68">
        <f t="shared" si="3"/>
        <v>-35</v>
      </c>
      <c r="AU4" s="68">
        <f t="shared" si="3"/>
        <v>-35</v>
      </c>
      <c r="AV4" s="68">
        <f t="shared" si="3"/>
        <v>-35</v>
      </c>
      <c r="AW4" s="68">
        <f t="shared" si="3"/>
        <v>-35</v>
      </c>
      <c r="AX4" s="70">
        <f t="shared" si="3"/>
        <v>-35</v>
      </c>
      <c r="AY4" s="68">
        <f t="shared" si="3"/>
        <v>0</v>
      </c>
      <c r="AZ4" s="68">
        <f t="shared" si="3"/>
        <v>0</v>
      </c>
      <c r="BA4" s="68">
        <f t="shared" si="3"/>
        <v>0</v>
      </c>
      <c r="BB4" s="68">
        <f t="shared" si="3"/>
        <v>0</v>
      </c>
      <c r="BC4" s="68">
        <f t="shared" si="3"/>
        <v>0</v>
      </c>
      <c r="BD4" s="68">
        <f t="shared" si="3"/>
        <v>0</v>
      </c>
      <c r="BE4" s="68">
        <f t="shared" si="3"/>
        <v>0</v>
      </c>
      <c r="BF4" s="68">
        <f t="shared" si="3"/>
        <v>0</v>
      </c>
      <c r="BG4" s="68">
        <f t="shared" si="3"/>
        <v>0</v>
      </c>
      <c r="BH4" s="68">
        <f t="shared" si="3"/>
        <v>0</v>
      </c>
      <c r="BI4" s="68">
        <f t="shared" si="3"/>
        <v>0</v>
      </c>
      <c r="BJ4" s="70">
        <f t="shared" si="3"/>
        <v>0</v>
      </c>
      <c r="BL4" s="120"/>
      <c r="BN4" s="56" t="s">
        <v>3</v>
      </c>
      <c r="BO4" s="68">
        <f>SUM(BO5:BO8)</f>
        <v>76.73</v>
      </c>
      <c r="BP4" s="68">
        <f t="shared" ref="BP4:DV4" si="4">SUM(BP5:BP8)</f>
        <v>83.72999999999999</v>
      </c>
      <c r="BQ4" s="68">
        <f t="shared" si="4"/>
        <v>162.03</v>
      </c>
      <c r="BR4" s="68">
        <f t="shared" si="4"/>
        <v>97.63</v>
      </c>
      <c r="BS4" s="68">
        <f t="shared" si="4"/>
        <v>93.13</v>
      </c>
      <c r="BT4" s="68">
        <f t="shared" si="4"/>
        <v>11.329999999999998</v>
      </c>
      <c r="BU4" s="68">
        <f t="shared" si="4"/>
        <v>-52.570000000000007</v>
      </c>
      <c r="BV4" s="68">
        <f t="shared" si="4"/>
        <v>15.130000000000003</v>
      </c>
      <c r="BW4" s="68">
        <f t="shared" si="4"/>
        <v>54.563333</v>
      </c>
      <c r="BX4" s="68">
        <f t="shared" si="4"/>
        <v>144.79129</v>
      </c>
      <c r="BY4" s="68">
        <f t="shared" si="4"/>
        <v>180.23</v>
      </c>
      <c r="BZ4" s="69">
        <f t="shared" si="4"/>
        <v>153.93</v>
      </c>
      <c r="CA4" s="68">
        <f t="shared" si="4"/>
        <v>107.75</v>
      </c>
      <c r="CB4" s="68">
        <f t="shared" si="4"/>
        <v>107.05</v>
      </c>
      <c r="CC4" s="68">
        <f t="shared" si="4"/>
        <v>119.05</v>
      </c>
      <c r="CD4" s="68">
        <f t="shared" si="4"/>
        <v>76.25</v>
      </c>
      <c r="CE4" s="68">
        <f t="shared" si="4"/>
        <v>42.25</v>
      </c>
      <c r="CF4" s="68">
        <f t="shared" si="4"/>
        <v>-11.75</v>
      </c>
      <c r="CG4" s="68">
        <f t="shared" si="4"/>
        <v>34.25</v>
      </c>
      <c r="CH4" s="68">
        <f t="shared" si="4"/>
        <v>22.250000000000004</v>
      </c>
      <c r="CI4" s="68">
        <f t="shared" si="4"/>
        <v>34.25</v>
      </c>
      <c r="CJ4" s="68">
        <f t="shared" si="4"/>
        <v>41.25</v>
      </c>
      <c r="CK4" s="68">
        <f t="shared" si="4"/>
        <v>49.25</v>
      </c>
      <c r="CL4" s="70">
        <f t="shared" si="4"/>
        <v>-8.588709999999999</v>
      </c>
      <c r="CM4" s="68">
        <f t="shared" si="4"/>
        <v>15</v>
      </c>
      <c r="CN4" s="68">
        <f t="shared" si="4"/>
        <v>15</v>
      </c>
      <c r="CO4" s="68">
        <f t="shared" si="4"/>
        <v>15</v>
      </c>
      <c r="CP4" s="68">
        <f t="shared" si="4"/>
        <v>15</v>
      </c>
      <c r="CQ4" s="68">
        <f t="shared" si="4"/>
        <v>15</v>
      </c>
      <c r="CR4" s="68">
        <f t="shared" si="4"/>
        <v>15</v>
      </c>
      <c r="CS4" s="68">
        <f t="shared" si="4"/>
        <v>15</v>
      </c>
      <c r="CT4" s="68">
        <f t="shared" si="4"/>
        <v>15</v>
      </c>
      <c r="CU4" s="68">
        <f t="shared" si="4"/>
        <v>15</v>
      </c>
      <c r="CV4" s="68">
        <f t="shared" si="4"/>
        <v>15</v>
      </c>
      <c r="CW4" s="68">
        <f t="shared" si="4"/>
        <v>15</v>
      </c>
      <c r="CX4" s="69">
        <f t="shared" si="4"/>
        <v>15</v>
      </c>
      <c r="CY4" s="68">
        <f t="shared" si="4"/>
        <v>35</v>
      </c>
      <c r="CZ4" s="68">
        <f t="shared" si="4"/>
        <v>35</v>
      </c>
      <c r="DA4" s="68">
        <f t="shared" si="4"/>
        <v>35</v>
      </c>
      <c r="DB4" s="68">
        <f t="shared" si="4"/>
        <v>35</v>
      </c>
      <c r="DC4" s="68">
        <f t="shared" si="4"/>
        <v>35</v>
      </c>
      <c r="DD4" s="68">
        <f t="shared" si="4"/>
        <v>35</v>
      </c>
      <c r="DE4" s="68">
        <f t="shared" si="4"/>
        <v>35</v>
      </c>
      <c r="DF4" s="68">
        <f t="shared" si="4"/>
        <v>35</v>
      </c>
      <c r="DG4" s="68">
        <f t="shared" si="4"/>
        <v>35</v>
      </c>
      <c r="DH4" s="68">
        <f t="shared" si="4"/>
        <v>35</v>
      </c>
      <c r="DI4" s="68">
        <f t="shared" si="4"/>
        <v>35</v>
      </c>
      <c r="DJ4" s="70">
        <f t="shared" si="4"/>
        <v>35</v>
      </c>
      <c r="DK4" s="68">
        <f t="shared" si="4"/>
        <v>0</v>
      </c>
      <c r="DL4" s="68">
        <f t="shared" si="4"/>
        <v>0</v>
      </c>
      <c r="DM4" s="68">
        <f t="shared" si="4"/>
        <v>0</v>
      </c>
      <c r="DN4" s="68">
        <f t="shared" si="4"/>
        <v>0</v>
      </c>
      <c r="DO4" s="68">
        <f t="shared" si="4"/>
        <v>0</v>
      </c>
      <c r="DP4" s="68">
        <f t="shared" si="4"/>
        <v>0</v>
      </c>
      <c r="DQ4" s="68">
        <f t="shared" si="4"/>
        <v>0</v>
      </c>
      <c r="DR4" s="68">
        <f t="shared" si="4"/>
        <v>0</v>
      </c>
      <c r="DS4" s="68">
        <f t="shared" si="4"/>
        <v>0</v>
      </c>
      <c r="DT4" s="68">
        <f t="shared" si="4"/>
        <v>0</v>
      </c>
      <c r="DU4" s="68">
        <f t="shared" si="4"/>
        <v>0</v>
      </c>
      <c r="DV4" s="70">
        <f t="shared" si="4"/>
        <v>0</v>
      </c>
      <c r="EB4" s="11"/>
    </row>
    <row r="5" spans="2:132" x14ac:dyDescent="0.25">
      <c r="B5" s="57" t="s">
        <v>44</v>
      </c>
      <c r="C5" s="53">
        <f>(SUMIFS(MtM!$M:$M,MtM!$I:$I,RESULTADO!$B5,MtM!$H:$H,RESULTADO!$B$4,MtM!$E:$E,RESULTADO!C$3)-SUMIFS(MtM!$N:$N,MtM!$I:$I,RESULTADO!$B5,MtM!$H:$H,RESULTADO!$B$4,MtM!$E:$E,RESULTADO!C$3))</f>
        <v>-21.699999999999989</v>
      </c>
      <c r="D5" s="53">
        <f>(SUMIFS(MtM!$M:$M,MtM!$I:$I,RESULTADO!$B5,MtM!$H:$H,RESULTADO!$B$4,MtM!$E:$E,RESULTADO!D$3)-SUMIFS(MtM!$N:$N,MtM!$I:$I,RESULTADO!$B5,MtM!$H:$H,RESULTADO!$B$4,MtM!$E:$E,RESULTADO!D$3))</f>
        <v>-28.700000000000017</v>
      </c>
      <c r="E5" s="53">
        <f>(SUMIFS(MtM!$M:$M,MtM!$I:$I,RESULTADO!$B5,MtM!$H:$H,RESULTADO!$B$4,MtM!$E:$E,RESULTADO!E$3)-SUMIFS(MtM!$N:$N,MtM!$I:$I,RESULTADO!$B5,MtM!$H:$H,RESULTADO!$B$4,MtM!$E:$E,RESULTADO!E$3))</f>
        <v>-127</v>
      </c>
      <c r="F5" s="53">
        <f>(SUMIFS(MtM!$M:$M,MtM!$I:$I,RESULTADO!$B5,MtM!$H:$H,RESULTADO!$B$4,MtM!$E:$E,RESULTADO!F$3)-SUMIFS(MtM!$N:$N,MtM!$I:$I,RESULTADO!$B5,MtM!$H:$H,RESULTADO!$B$4,MtM!$E:$E,RESULTADO!F$3))</f>
        <v>-72.599999999999994</v>
      </c>
      <c r="G5" s="53">
        <f>(SUMIFS(MtM!$M:$M,MtM!$I:$I,RESULTADO!$B5,MtM!$H:$H,RESULTADO!$B$4,MtM!$E:$E,RESULTADO!G$3)-SUMIFS(MtM!$N:$N,MtM!$I:$I,RESULTADO!$B5,MtM!$H:$H,RESULTADO!$B$4,MtM!$E:$E,RESULTADO!G$3))</f>
        <v>-47.100000000000023</v>
      </c>
      <c r="H5" s="53">
        <f>(SUMIFS(MtM!$M:$M,MtM!$I:$I,RESULTADO!$B5,MtM!$H:$H,RESULTADO!$B$4,MtM!$E:$E,RESULTADO!H$3)-SUMIFS(MtM!$N:$N,MtM!$I:$I,RESULTADO!$B5,MtM!$H:$H,RESULTADO!$B$4,MtM!$E:$E,RESULTADO!H$3))</f>
        <v>43.699999999999974</v>
      </c>
      <c r="I5" s="53">
        <f>(SUMIFS(MtM!$M:$M,MtM!$I:$I,RESULTADO!$B5,MtM!$H:$H,RESULTADO!$B$4,MtM!$E:$E,RESULTADO!I$3)-SUMIFS(MtM!$N:$N,MtM!$I:$I,RESULTADO!$B5,MtM!$H:$H,RESULTADO!$B$4,MtM!$E:$E,RESULTADO!I$3))</f>
        <v>117.6</v>
      </c>
      <c r="J5" s="53">
        <f>(SUMIFS(MtM!$M:$M,MtM!$I:$I,RESULTADO!$B5,MtM!$H:$H,RESULTADO!$B$4,MtM!$E:$E,RESULTADO!J$3)-SUMIFS(MtM!$N:$N,MtM!$I:$I,RESULTADO!$B5,MtM!$H:$H,RESULTADO!$B$4,MtM!$E:$E,RESULTADO!J$3))</f>
        <v>49.900000000000006</v>
      </c>
      <c r="K5" s="53">
        <f>(SUMIFS(MtM!$M:$M,MtM!$I:$I,RESULTADO!$B5,MtM!$H:$H,RESULTADO!$B$4,MtM!$E:$E,RESULTADO!K$3)-SUMIFS(MtM!$N:$N,MtM!$I:$I,RESULTADO!$B5,MtM!$H:$H,RESULTADO!$B$4,MtM!$E:$E,RESULTADO!K$3))</f>
        <v>10.19444500000003</v>
      </c>
      <c r="L5" s="53">
        <f>(SUMIFS(MtM!$M:$M,MtM!$I:$I,RESULTADO!$B5,MtM!$H:$H,RESULTADO!$B$4,MtM!$E:$E,RESULTADO!L$3)-SUMIFS(MtM!$N:$N,MtM!$I:$I,RESULTADO!$B5,MtM!$H:$H,RESULTADO!$B$4,MtM!$E:$E,RESULTADO!L$3))</f>
        <v>-78.880728000000005</v>
      </c>
      <c r="M5" s="53">
        <f>(SUMIFS(MtM!$M:$M,MtM!$I:$I,RESULTADO!$B5,MtM!$H:$H,RESULTADO!$B$4,MtM!$E:$E,RESULTADO!M$3)-SUMIFS(MtM!$N:$N,MtM!$I:$I,RESULTADO!$B5,MtM!$H:$H,RESULTADO!$B$4,MtM!$E:$E,RESULTADO!M$3))</f>
        <v>-115.20000000000002</v>
      </c>
      <c r="N5" s="54">
        <f>(SUMIFS(MtM!$M:$M,MtM!$I:$I,RESULTADO!$B5,MtM!$H:$H,RESULTADO!$B$4,MtM!$E:$E,RESULTADO!N$3)-SUMIFS(MtM!$N:$N,MtM!$I:$I,RESULTADO!$B5,MtM!$H:$H,RESULTADO!$B$4,MtM!$E:$E,RESULTADO!N$3))</f>
        <v>-84.4</v>
      </c>
      <c r="O5" s="53">
        <f>(SUMIFS(MtM!$M:$M,MtM!$I:$I,RESULTADO!$B5,MtM!$H:$H,RESULTADO!$B$4,MtM!$E:$E,RESULTADO!O$3)-SUMIFS(MtM!$N:$N,MtM!$I:$I,RESULTADO!$B5,MtM!$H:$H,RESULTADO!$B$4,MtM!$E:$E,RESULTADO!O$3))</f>
        <v>-123.11666700000001</v>
      </c>
      <c r="P5" s="53">
        <f>(SUMIFS(MtM!$M:$M,MtM!$I:$I,RESULTADO!$B5,MtM!$H:$H,RESULTADO!$B$4,MtM!$E:$E,RESULTADO!P$3)-SUMIFS(MtM!$N:$N,MtM!$I:$I,RESULTADO!$B5,MtM!$H:$H,RESULTADO!$B$4,MtM!$E:$E,RESULTADO!P$3))</f>
        <v>-111.61666700000002</v>
      </c>
      <c r="Q5" s="53">
        <f>(SUMIFS(MtM!$M:$M,MtM!$I:$I,RESULTADO!$B5,MtM!$H:$H,RESULTADO!$B$4,MtM!$E:$E,RESULTADO!Q$3)-SUMIFS(MtM!$N:$N,MtM!$I:$I,RESULTADO!$B5,MtM!$H:$H,RESULTADO!$B$4,MtM!$E:$E,RESULTADO!Q$3))</f>
        <v>-120.91666700000002</v>
      </c>
      <c r="R5" s="53">
        <f>(SUMIFS(MtM!$M:$M,MtM!$I:$I,RESULTADO!$B5,MtM!$H:$H,RESULTADO!$B$4,MtM!$E:$E,RESULTADO!R$3)-SUMIFS(MtM!$N:$N,MtM!$I:$I,RESULTADO!$B5,MtM!$H:$H,RESULTADO!$B$4,MtM!$E:$E,RESULTADO!R$3))</f>
        <v>-93.37</v>
      </c>
      <c r="S5" s="53">
        <f>(SUMIFS(MtM!$M:$M,MtM!$I:$I,RESULTADO!$B5,MtM!$H:$H,RESULTADO!$B$4,MtM!$E:$E,RESULTADO!S$3)-SUMIFS(MtM!$N:$N,MtM!$I:$I,RESULTADO!$B5,MtM!$H:$H,RESULTADO!$B$4,MtM!$E:$E,RESULTADO!S$3))</f>
        <v>-78.59</v>
      </c>
      <c r="T5" s="53">
        <f>(SUMIFS(MtM!$M:$M,MtM!$I:$I,RESULTADO!$B5,MtM!$H:$H,RESULTADO!$B$4,MtM!$E:$E,RESULTADO!T$3)-SUMIFS(MtM!$N:$N,MtM!$I:$I,RESULTADO!$B5,MtM!$H:$H,RESULTADO!$B$4,MtM!$E:$E,RESULTADO!T$3))</f>
        <v>-21.950000000000003</v>
      </c>
      <c r="U5" s="53">
        <f>(SUMIFS(MtM!$M:$M,MtM!$I:$I,RESULTADO!$B5,MtM!$H:$H,RESULTADO!$B$4,MtM!$E:$E,RESULTADO!U$3)-SUMIFS(MtM!$N:$N,MtM!$I:$I,RESULTADO!$B5,MtM!$H:$H,RESULTADO!$B$4,MtM!$E:$E,RESULTADO!U$3))</f>
        <v>-62.45</v>
      </c>
      <c r="V5" s="53">
        <f>(SUMIFS(MtM!$M:$M,MtM!$I:$I,RESULTADO!$B5,MtM!$H:$H,RESULTADO!$B$4,MtM!$E:$E,RESULTADO!V$3)-SUMIFS(MtM!$N:$N,MtM!$I:$I,RESULTADO!$B5,MtM!$H:$H,RESULTADO!$B$4,MtM!$E:$E,RESULTADO!V$3))</f>
        <v>-45.45</v>
      </c>
      <c r="W5" s="53">
        <f>(SUMIFS(MtM!$M:$M,MtM!$I:$I,RESULTADO!$B5,MtM!$H:$H,RESULTADO!$B$4,MtM!$E:$E,RESULTADO!W$3)-SUMIFS(MtM!$N:$N,MtM!$I:$I,RESULTADO!$B5,MtM!$H:$H,RESULTADO!$B$4,MtM!$E:$E,RESULTADO!W$3))</f>
        <v>-57.45</v>
      </c>
      <c r="X5" s="53">
        <f>(SUMIFS(MtM!$M:$M,MtM!$I:$I,RESULTADO!$B5,MtM!$H:$H,RESULTADO!$B$4,MtM!$E:$E,RESULTADO!X$3)-SUMIFS(MtM!$N:$N,MtM!$I:$I,RESULTADO!$B5,MtM!$H:$H,RESULTADO!$B$4,MtM!$E:$E,RESULTADO!X$3))</f>
        <v>-49.95</v>
      </c>
      <c r="Y5" s="53">
        <f>(SUMIFS(MtM!$M:$M,MtM!$I:$I,RESULTADO!$B5,MtM!$H:$H,RESULTADO!$B$4,MtM!$E:$E,RESULTADO!Y$3)-SUMIFS(MtM!$N:$N,MtM!$I:$I,RESULTADO!$B5,MtM!$H:$H,RESULTADO!$B$4,MtM!$E:$E,RESULTADO!Y$3))</f>
        <v>-57.95</v>
      </c>
      <c r="Z5" s="63">
        <f>(SUMIFS(MtM!$M:$M,MtM!$I:$I,RESULTADO!$B5,MtM!$H:$H,RESULTADO!$B$4,MtM!$E:$E,RESULTADO!Z$3)-SUMIFS(MtM!$N:$N,MtM!$I:$I,RESULTADO!$B5,MtM!$H:$H,RESULTADO!$B$4,MtM!$E:$E,RESULTADO!Z$3))</f>
        <v>-0.11128999999999678</v>
      </c>
      <c r="AA5" s="53">
        <f>(SUMIFS(MtM!$M:$M,MtM!$I:$I,RESULTADO!$B5,MtM!$H:$H,RESULTADO!$B$4,MtM!$E:$E,RESULTADO!AA$3)-SUMIFS(MtM!$N:$N,MtM!$I:$I,RESULTADO!$B5,MtM!$H:$H,RESULTADO!$B$4,MtM!$E:$E,RESULTADO!AA$3))</f>
        <v>-24</v>
      </c>
      <c r="AB5" s="53">
        <f>(SUMIFS(MtM!$M:$M,MtM!$I:$I,RESULTADO!$B5,MtM!$H:$H,RESULTADO!$B$4,MtM!$E:$E,RESULTADO!AB$3)-SUMIFS(MtM!$N:$N,MtM!$I:$I,RESULTADO!$B5,MtM!$H:$H,RESULTADO!$B$4,MtM!$E:$E,RESULTADO!AB$3))</f>
        <v>-24</v>
      </c>
      <c r="AC5" s="53">
        <f>(SUMIFS(MtM!$M:$M,MtM!$I:$I,RESULTADO!$B5,MtM!$H:$H,RESULTADO!$B$4,MtM!$E:$E,RESULTADO!AC$3)-SUMIFS(MtM!$N:$N,MtM!$I:$I,RESULTADO!$B5,MtM!$H:$H,RESULTADO!$B$4,MtM!$E:$E,RESULTADO!AC$3))</f>
        <v>-24</v>
      </c>
      <c r="AD5" s="53">
        <f>(SUMIFS(MtM!$M:$M,MtM!$I:$I,RESULTADO!$B5,MtM!$H:$H,RESULTADO!$B$4,MtM!$E:$E,RESULTADO!AD$3)-SUMIFS(MtM!$N:$N,MtM!$I:$I,RESULTADO!$B5,MtM!$H:$H,RESULTADO!$B$4,MtM!$E:$E,RESULTADO!AD$3))</f>
        <v>-24</v>
      </c>
      <c r="AE5" s="53">
        <f>(SUMIFS(MtM!$M:$M,MtM!$I:$I,RESULTADO!$B5,MtM!$H:$H,RESULTADO!$B$4,MtM!$E:$E,RESULTADO!AE$3)-SUMIFS(MtM!$N:$N,MtM!$I:$I,RESULTADO!$B5,MtM!$H:$H,RESULTADO!$B$4,MtM!$E:$E,RESULTADO!AE$3))</f>
        <v>-24</v>
      </c>
      <c r="AF5" s="53">
        <f>(SUMIFS(MtM!$M:$M,MtM!$I:$I,RESULTADO!$B5,MtM!$H:$H,RESULTADO!$B$4,MtM!$E:$E,RESULTADO!AF$3)-SUMIFS(MtM!$N:$N,MtM!$I:$I,RESULTADO!$B5,MtM!$H:$H,RESULTADO!$B$4,MtM!$E:$E,RESULTADO!AF$3))</f>
        <v>-24</v>
      </c>
      <c r="AG5" s="53">
        <f>(SUMIFS(MtM!$M:$M,MtM!$I:$I,RESULTADO!$B5,MtM!$H:$H,RESULTADO!$B$4,MtM!$E:$E,RESULTADO!AG$3)-SUMIFS(MtM!$N:$N,MtM!$I:$I,RESULTADO!$B5,MtM!$H:$H,RESULTADO!$B$4,MtM!$E:$E,RESULTADO!AG$3))</f>
        <v>-24</v>
      </c>
      <c r="AH5" s="53">
        <f>(SUMIFS(MtM!$M:$M,MtM!$I:$I,RESULTADO!$B5,MtM!$H:$H,RESULTADO!$B$4,MtM!$E:$E,RESULTADO!AH$3)-SUMIFS(MtM!$N:$N,MtM!$I:$I,RESULTADO!$B5,MtM!$H:$H,RESULTADO!$B$4,MtM!$E:$E,RESULTADO!AH$3))</f>
        <v>-24</v>
      </c>
      <c r="AI5" s="53">
        <f>(SUMIFS(MtM!$M:$M,MtM!$I:$I,RESULTADO!$B5,MtM!$H:$H,RESULTADO!$B$4,MtM!$E:$E,RESULTADO!AI$3)-SUMIFS(MtM!$N:$N,MtM!$I:$I,RESULTADO!$B5,MtM!$H:$H,RESULTADO!$B$4,MtM!$E:$E,RESULTADO!AI$3))</f>
        <v>-24</v>
      </c>
      <c r="AJ5" s="53">
        <f>(SUMIFS(MtM!$M:$M,MtM!$I:$I,RESULTADO!$B5,MtM!$H:$H,RESULTADO!$B$4,MtM!$E:$E,RESULTADO!AJ$3)-SUMIFS(MtM!$N:$N,MtM!$I:$I,RESULTADO!$B5,MtM!$H:$H,RESULTADO!$B$4,MtM!$E:$E,RESULTADO!AJ$3))</f>
        <v>-24</v>
      </c>
      <c r="AK5" s="53">
        <f>(SUMIFS(MtM!$M:$M,MtM!$I:$I,RESULTADO!$B5,MtM!$H:$H,RESULTADO!$B$4,MtM!$E:$E,RESULTADO!AK$3)-SUMIFS(MtM!$N:$N,MtM!$I:$I,RESULTADO!$B5,MtM!$H:$H,RESULTADO!$B$4,MtM!$E:$E,RESULTADO!AK$3))</f>
        <v>-24</v>
      </c>
      <c r="AL5" s="54">
        <f>(SUMIFS(MtM!$M:$M,MtM!$I:$I,RESULTADO!$B5,MtM!$H:$H,RESULTADO!$B$4,MtM!$E:$E,RESULTADO!AL$3)-SUMIFS(MtM!$N:$N,MtM!$I:$I,RESULTADO!$B5,MtM!$H:$H,RESULTADO!$B$4,MtM!$E:$E,RESULTADO!AL$3))</f>
        <v>-24</v>
      </c>
      <c r="AM5" s="53">
        <f>(SUMIFS(MtM!$M:$M,MtM!$I:$I,RESULTADO!$B5,MtM!$H:$H,RESULTADO!$B$4,MtM!$E:$E,RESULTADO!AM$3)-SUMIFS(MtM!$N:$N,MtM!$I:$I,RESULTADO!$B5,MtM!$H:$H,RESULTADO!$B$4,MtM!$E:$E,RESULTADO!AM$3))</f>
        <v>0</v>
      </c>
      <c r="AN5" s="53">
        <f>(SUMIFS(MtM!$M:$M,MtM!$I:$I,RESULTADO!$B5,MtM!$H:$H,RESULTADO!$B$4,MtM!$E:$E,RESULTADO!AN$3)-SUMIFS(MtM!$N:$N,MtM!$I:$I,RESULTADO!$B5,MtM!$H:$H,RESULTADO!$B$4,MtM!$E:$E,RESULTADO!AN$3))</f>
        <v>0</v>
      </c>
      <c r="AO5" s="53">
        <f>(SUMIFS(MtM!$M:$M,MtM!$I:$I,RESULTADO!$B5,MtM!$H:$H,RESULTADO!$B$4,MtM!$E:$E,RESULTADO!AO$3)-SUMIFS(MtM!$N:$N,MtM!$I:$I,RESULTADO!$B5,MtM!$H:$H,RESULTADO!$B$4,MtM!$E:$E,RESULTADO!AO$3))</f>
        <v>0</v>
      </c>
      <c r="AP5" s="53">
        <f>(SUMIFS(MtM!$M:$M,MtM!$I:$I,RESULTADO!$B5,MtM!$H:$H,RESULTADO!$B$4,MtM!$E:$E,RESULTADO!AP$3)-SUMIFS(MtM!$N:$N,MtM!$I:$I,RESULTADO!$B5,MtM!$H:$H,RESULTADO!$B$4,MtM!$E:$E,RESULTADO!AP$3))</f>
        <v>0</v>
      </c>
      <c r="AQ5" s="53">
        <f>(SUMIFS(MtM!$M:$M,MtM!$I:$I,RESULTADO!$B5,MtM!$H:$H,RESULTADO!$B$4,MtM!$E:$E,RESULTADO!AQ$3)-SUMIFS(MtM!$N:$N,MtM!$I:$I,RESULTADO!$B5,MtM!$H:$H,RESULTADO!$B$4,MtM!$E:$E,RESULTADO!AQ$3))</f>
        <v>0</v>
      </c>
      <c r="AR5" s="53">
        <f>(SUMIFS(MtM!$M:$M,MtM!$I:$I,RESULTADO!$B5,MtM!$H:$H,RESULTADO!$B$4,MtM!$E:$E,RESULTADO!AR$3)-SUMIFS(MtM!$N:$N,MtM!$I:$I,RESULTADO!$B5,MtM!$H:$H,RESULTADO!$B$4,MtM!$E:$E,RESULTADO!AR$3))</f>
        <v>0</v>
      </c>
      <c r="AS5" s="53">
        <f>(SUMIFS(MtM!$M:$M,MtM!$I:$I,RESULTADO!$B5,MtM!$H:$H,RESULTADO!$B$4,MtM!$E:$E,RESULTADO!AS$3)-SUMIFS(MtM!$N:$N,MtM!$I:$I,RESULTADO!$B5,MtM!$H:$H,RESULTADO!$B$4,MtM!$E:$E,RESULTADO!AS$3))</f>
        <v>0</v>
      </c>
      <c r="AT5" s="53">
        <f>(SUMIFS(MtM!$M:$M,MtM!$I:$I,RESULTADO!$B5,MtM!$H:$H,RESULTADO!$B$4,MtM!$E:$E,RESULTADO!AT$3)-SUMIFS(MtM!$N:$N,MtM!$I:$I,RESULTADO!$B5,MtM!$H:$H,RESULTADO!$B$4,MtM!$E:$E,RESULTADO!AT$3))</f>
        <v>0</v>
      </c>
      <c r="AU5" s="53">
        <f>(SUMIFS(MtM!$M:$M,MtM!$I:$I,RESULTADO!$B5,MtM!$H:$H,RESULTADO!$B$4,MtM!$E:$E,RESULTADO!AU$3)-SUMIFS(MtM!$N:$N,MtM!$I:$I,RESULTADO!$B5,MtM!$H:$H,RESULTADO!$B$4,MtM!$E:$E,RESULTADO!AU$3))</f>
        <v>0</v>
      </c>
      <c r="AV5" s="53">
        <f>(SUMIFS(MtM!$M:$M,MtM!$I:$I,RESULTADO!$B5,MtM!$H:$H,RESULTADO!$B$4,MtM!$E:$E,RESULTADO!AV$3)-SUMIFS(MtM!$N:$N,MtM!$I:$I,RESULTADO!$B5,MtM!$H:$H,RESULTADO!$B$4,MtM!$E:$E,RESULTADO!AV$3))</f>
        <v>0</v>
      </c>
      <c r="AW5" s="53">
        <f>(SUMIFS(MtM!$M:$M,MtM!$I:$I,RESULTADO!$B5,MtM!$H:$H,RESULTADO!$B$4,MtM!$E:$E,RESULTADO!AW$3)-SUMIFS(MtM!$N:$N,MtM!$I:$I,RESULTADO!$B5,MtM!$H:$H,RESULTADO!$B$4,MtM!$E:$E,RESULTADO!AW$3))</f>
        <v>0</v>
      </c>
      <c r="AX5" s="63">
        <f>(SUMIFS(MtM!$M:$M,MtM!$I:$I,RESULTADO!$B5,MtM!$H:$H,RESULTADO!$B$4,MtM!$E:$E,RESULTADO!AX$3)-SUMIFS(MtM!$N:$N,MtM!$I:$I,RESULTADO!$B5,MtM!$H:$H,RESULTADO!$B$4,MtM!$E:$E,RESULTADO!AX$3))</f>
        <v>0</v>
      </c>
      <c r="AY5" s="53">
        <f>(SUMIFS(MtM!$M:$M,MtM!$I:$I,RESULTADO!$B5,MtM!$H:$H,RESULTADO!$B$4,MtM!$E:$E,RESULTADO!AY$3)-SUMIFS(MtM!$N:$N,MtM!$I:$I,RESULTADO!$B5,MtM!$H:$H,RESULTADO!$B$4,MtM!$E:$E,RESULTADO!AY$3))</f>
        <v>0</v>
      </c>
      <c r="AZ5" s="53">
        <f>(SUMIFS(MtM!$M:$M,MtM!$I:$I,RESULTADO!$B5,MtM!$H:$H,RESULTADO!$B$4,MtM!$E:$E,RESULTADO!AZ$3)-SUMIFS(MtM!$N:$N,MtM!$I:$I,RESULTADO!$B5,MtM!$H:$H,RESULTADO!$B$4,MtM!$E:$E,RESULTADO!AZ$3))</f>
        <v>0</v>
      </c>
      <c r="BA5" s="53">
        <f>(SUMIFS(MtM!$M:$M,MtM!$I:$I,RESULTADO!$B5,MtM!$H:$H,RESULTADO!$B$4,MtM!$E:$E,RESULTADO!BA$3)-SUMIFS(MtM!$N:$N,MtM!$I:$I,RESULTADO!$B5,MtM!$H:$H,RESULTADO!$B$4,MtM!$E:$E,RESULTADO!BA$3))</f>
        <v>0</v>
      </c>
      <c r="BB5" s="53">
        <f>(SUMIFS(MtM!$M:$M,MtM!$I:$I,RESULTADO!$B5,MtM!$H:$H,RESULTADO!$B$4,MtM!$E:$E,RESULTADO!BB$3)-SUMIFS(MtM!$N:$N,MtM!$I:$I,RESULTADO!$B5,MtM!$H:$H,RESULTADO!$B$4,MtM!$E:$E,RESULTADO!BB$3))</f>
        <v>0</v>
      </c>
      <c r="BC5" s="53">
        <f>(SUMIFS(MtM!$M:$M,MtM!$I:$I,RESULTADO!$B5,MtM!$H:$H,RESULTADO!$B$4,MtM!$E:$E,RESULTADO!BC$3)-SUMIFS(MtM!$N:$N,MtM!$I:$I,RESULTADO!$B5,MtM!$H:$H,RESULTADO!$B$4,MtM!$E:$E,RESULTADO!BC$3))</f>
        <v>0</v>
      </c>
      <c r="BD5" s="53">
        <f>(SUMIFS(MtM!$M:$M,MtM!$I:$I,RESULTADO!$B5,MtM!$H:$H,RESULTADO!$B$4,MtM!$E:$E,RESULTADO!BD$3)-SUMIFS(MtM!$N:$N,MtM!$I:$I,RESULTADO!$B5,MtM!$H:$H,RESULTADO!$B$4,MtM!$E:$E,RESULTADO!BD$3))</f>
        <v>0</v>
      </c>
      <c r="BE5" s="53">
        <f>(SUMIFS(MtM!$M:$M,MtM!$I:$I,RESULTADO!$B5,MtM!$H:$H,RESULTADO!$B$4,MtM!$E:$E,RESULTADO!BE$3)-SUMIFS(MtM!$N:$N,MtM!$I:$I,RESULTADO!$B5,MtM!$H:$H,RESULTADO!$B$4,MtM!$E:$E,RESULTADO!BE$3))</f>
        <v>0</v>
      </c>
      <c r="BF5" s="53">
        <f>(SUMIFS(MtM!$M:$M,MtM!$I:$I,RESULTADO!$B5,MtM!$H:$H,RESULTADO!$B$4,MtM!$E:$E,RESULTADO!BF$3)-SUMIFS(MtM!$N:$N,MtM!$I:$I,RESULTADO!$B5,MtM!$H:$H,RESULTADO!$B$4,MtM!$E:$E,RESULTADO!BF$3))</f>
        <v>0</v>
      </c>
      <c r="BG5" s="53">
        <f>(SUMIFS(MtM!$M:$M,MtM!$I:$I,RESULTADO!$B5,MtM!$H:$H,RESULTADO!$B$4,MtM!$E:$E,RESULTADO!BG$3)-SUMIFS(MtM!$N:$N,MtM!$I:$I,RESULTADO!$B5,MtM!$H:$H,RESULTADO!$B$4,MtM!$E:$E,RESULTADO!BG$3))</f>
        <v>0</v>
      </c>
      <c r="BH5" s="53">
        <f>(SUMIFS(MtM!$M:$M,MtM!$I:$I,RESULTADO!$B5,MtM!$H:$H,RESULTADO!$B$4,MtM!$E:$E,RESULTADO!BH$3)-SUMIFS(MtM!$N:$N,MtM!$I:$I,RESULTADO!$B5,MtM!$H:$H,RESULTADO!$B$4,MtM!$E:$E,RESULTADO!BH$3))</f>
        <v>0</v>
      </c>
      <c r="BI5" s="53">
        <f>(SUMIFS(MtM!$M:$M,MtM!$I:$I,RESULTADO!$B5,MtM!$H:$H,RESULTADO!$B$4,MtM!$E:$E,RESULTADO!BI$3)-SUMIFS(MtM!$N:$N,MtM!$I:$I,RESULTADO!$B5,MtM!$H:$H,RESULTADO!$B$4,MtM!$E:$E,RESULTADO!BI$3))</f>
        <v>0</v>
      </c>
      <c r="BJ5" s="63">
        <f>(SUMIFS(MtM!$M:$M,MtM!$I:$I,RESULTADO!$B5,MtM!$H:$H,RESULTADO!$B$4,MtM!$E:$E,RESULTADO!BJ$3)-SUMIFS(MtM!$N:$N,MtM!$I:$I,RESULTADO!$B5,MtM!$H:$H,RESULTADO!$B$4,MtM!$E:$E,RESULTADO!BJ$3))</f>
        <v>0</v>
      </c>
      <c r="BL5" s="120"/>
      <c r="BN5" s="57" t="s">
        <v>44</v>
      </c>
      <c r="BO5" s="53">
        <f>SUMIFS('MtM Releases'!$H:$H,'MtM Releases'!$G:$G,RESULTADO!$BN5,'MtM Releases'!$F:$F,RESULTADO!$BN4,'MtM Releases'!$D:$D,RESULTADO!BO$3)</f>
        <v>21.73</v>
      </c>
      <c r="BP5" s="53">
        <f>SUMIFS('MtM Releases'!$H:$H,'MtM Releases'!$G:$G,RESULTADO!$BN5,'MtM Releases'!$F:$F,RESULTADO!$BN4,'MtM Releases'!$D:$D,RESULTADO!BP$3)</f>
        <v>28.729999999999997</v>
      </c>
      <c r="BQ5" s="53">
        <f>SUMIFS('MtM Releases'!$H:$H,'MtM Releases'!$G:$G,RESULTADO!$BN5,'MtM Releases'!$F:$F,RESULTADO!$BN4,'MtM Releases'!$D:$D,RESULTADO!BQ$3)</f>
        <v>107.03</v>
      </c>
      <c r="BR5" s="53">
        <f>SUMIFS('MtM Releases'!$H:$H,'MtM Releases'!$G:$G,RESULTADO!$BN5,'MtM Releases'!$F:$F,RESULTADO!$BN4,'MtM Releases'!$D:$D,RESULTADO!BR$3)</f>
        <v>42.63</v>
      </c>
      <c r="BS5" s="53">
        <f>SUMIFS('MtM Releases'!$H:$H,'MtM Releases'!$G:$G,RESULTADO!$BN5,'MtM Releases'!$F:$F,RESULTADO!$BN4,'MtM Releases'!$D:$D,RESULTADO!BS$3)</f>
        <v>38.130000000000003</v>
      </c>
      <c r="BT5" s="53">
        <f>SUMIFS('MtM Releases'!$H:$H,'MtM Releases'!$G:$G,RESULTADO!$BN5,'MtM Releases'!$F:$F,RESULTADO!$BN4,'MtM Releases'!$D:$D,RESULTADO!BT$3)</f>
        <v>-43.67</v>
      </c>
      <c r="BU5" s="53">
        <f>SUMIFS('MtM Releases'!$H:$H,'MtM Releases'!$G:$G,RESULTADO!$BN5,'MtM Releases'!$F:$F,RESULTADO!$BN4,'MtM Releases'!$D:$D,RESULTADO!BU$3)</f>
        <v>-117.57000000000001</v>
      </c>
      <c r="BV5" s="53">
        <f>SUMIFS('MtM Releases'!$H:$H,'MtM Releases'!$G:$G,RESULTADO!$BN5,'MtM Releases'!$F:$F,RESULTADO!$BN4,'MtM Releases'!$D:$D,RESULTADO!BV$3)</f>
        <v>-49.87</v>
      </c>
      <c r="BW5" s="53">
        <f>SUMIFS('MtM Releases'!$H:$H,'MtM Releases'!$G:$G,RESULTADO!$BN5,'MtM Releases'!$F:$F,RESULTADO!$BN4,'MtM Releases'!$D:$D,RESULTADO!BW$3)</f>
        <v>-10.436666999999996</v>
      </c>
      <c r="BX5" s="53">
        <f>SUMIFS('MtM Releases'!$H:$H,'MtM Releases'!$G:$G,RESULTADO!$BN5,'MtM Releases'!$F:$F,RESULTADO!$BN4,'MtM Releases'!$D:$D,RESULTADO!BX$3)</f>
        <v>79.791290000000004</v>
      </c>
      <c r="BY5" s="53">
        <f>SUMIFS('MtM Releases'!$H:$H,'MtM Releases'!$G:$G,RESULTADO!$BN5,'MtM Releases'!$F:$F,RESULTADO!$BN4,'MtM Releases'!$D:$D,RESULTADO!BY$3)</f>
        <v>115.22999999999999</v>
      </c>
      <c r="BZ5" s="54">
        <f>SUMIFS('MtM Releases'!$H:$H,'MtM Releases'!$G:$G,RESULTADO!$BN5,'MtM Releases'!$F:$F,RESULTADO!$BN4,'MtM Releases'!$D:$D,RESULTADO!BZ$3)</f>
        <v>88.93</v>
      </c>
      <c r="CA5" s="53">
        <f>SUMIFS('MtM Releases'!$H:$H,'MtM Releases'!$G:$G,RESULTADO!$BN5,'MtM Releases'!$F:$F,RESULTADO!$BN4,'MtM Releases'!$D:$D,RESULTADO!CA$3)</f>
        <v>109.45</v>
      </c>
      <c r="CB5" s="53">
        <f>SUMIFS('MtM Releases'!$H:$H,'MtM Releases'!$G:$G,RESULTADO!$BN5,'MtM Releases'!$F:$F,RESULTADO!$BN4,'MtM Releases'!$D:$D,RESULTADO!CB$3)</f>
        <v>108.75</v>
      </c>
      <c r="CC5" s="53">
        <f>SUMIFS('MtM Releases'!$H:$H,'MtM Releases'!$G:$G,RESULTADO!$BN5,'MtM Releases'!$F:$F,RESULTADO!$BN4,'MtM Releases'!$D:$D,RESULTADO!CC$3)</f>
        <v>120.75</v>
      </c>
      <c r="CD5" s="53">
        <f>SUMIFS('MtM Releases'!$H:$H,'MtM Releases'!$G:$G,RESULTADO!$BN5,'MtM Releases'!$F:$F,RESULTADO!$BN4,'MtM Releases'!$D:$D,RESULTADO!CD$3)</f>
        <v>77.95</v>
      </c>
      <c r="CE5" s="53">
        <f>SUMIFS('MtM Releases'!$H:$H,'MtM Releases'!$G:$G,RESULTADO!$BN5,'MtM Releases'!$F:$F,RESULTADO!$BN4,'MtM Releases'!$D:$D,RESULTADO!CE$3)</f>
        <v>43.95</v>
      </c>
      <c r="CF5" s="53">
        <f>SUMIFS('MtM Releases'!$H:$H,'MtM Releases'!$G:$G,RESULTADO!$BN5,'MtM Releases'!$F:$F,RESULTADO!$BN4,'MtM Releases'!$D:$D,RESULTADO!CF$3)</f>
        <v>-10.050000000000001</v>
      </c>
      <c r="CG5" s="53">
        <f>SUMIFS('MtM Releases'!$H:$H,'MtM Releases'!$G:$G,RESULTADO!$BN5,'MtM Releases'!$F:$F,RESULTADO!$BN4,'MtM Releases'!$D:$D,RESULTADO!CG$3)</f>
        <v>35.950000000000003</v>
      </c>
      <c r="CH5" s="53">
        <f>SUMIFS('MtM Releases'!$H:$H,'MtM Releases'!$G:$G,RESULTADO!$BN5,'MtM Releases'!$F:$F,RESULTADO!$BN4,'MtM Releases'!$D:$D,RESULTADO!CH$3)</f>
        <v>23.950000000000003</v>
      </c>
      <c r="CI5" s="53">
        <f>SUMIFS('MtM Releases'!$H:$H,'MtM Releases'!$G:$G,RESULTADO!$BN5,'MtM Releases'!$F:$F,RESULTADO!$BN4,'MtM Releases'!$D:$D,RESULTADO!CI$3)</f>
        <v>35.950000000000003</v>
      </c>
      <c r="CJ5" s="53">
        <f>SUMIFS('MtM Releases'!$H:$H,'MtM Releases'!$G:$G,RESULTADO!$BN5,'MtM Releases'!$F:$F,RESULTADO!$BN4,'MtM Releases'!$D:$D,RESULTADO!CJ$3)</f>
        <v>42.95</v>
      </c>
      <c r="CK5" s="53">
        <f>SUMIFS('MtM Releases'!$H:$H,'MtM Releases'!$G:$G,RESULTADO!$BN5,'MtM Releases'!$F:$F,RESULTADO!$BN4,'MtM Releases'!$D:$D,RESULTADO!CK$3)</f>
        <v>50.95</v>
      </c>
      <c r="CL5" s="63">
        <f>SUMIFS('MtM Releases'!$H:$H,'MtM Releases'!$G:$G,RESULTADO!$BN5,'MtM Releases'!$F:$F,RESULTADO!$BN4,'MtM Releases'!$D:$D,RESULTADO!CL$3)</f>
        <v>-6.8887099999999997</v>
      </c>
      <c r="CM5" s="53">
        <f>SUMIFS('MtM Releases'!$H:$H,'MtM Releases'!$G:$G,RESULTADO!$BN5,'MtM Releases'!$F:$F,RESULTADO!$BN4,'MtM Releases'!$D:$D,RESULTADO!CM$3)</f>
        <v>15</v>
      </c>
      <c r="CN5" s="53">
        <f>SUMIFS('MtM Releases'!$H:$H,'MtM Releases'!$G:$G,RESULTADO!$BN5,'MtM Releases'!$F:$F,RESULTADO!$BN4,'MtM Releases'!$D:$D,RESULTADO!CN$3)</f>
        <v>15</v>
      </c>
      <c r="CO5" s="53">
        <f>SUMIFS('MtM Releases'!$H:$H,'MtM Releases'!$G:$G,RESULTADO!$BN5,'MtM Releases'!$F:$F,RESULTADO!$BN4,'MtM Releases'!$D:$D,RESULTADO!CO$3)</f>
        <v>15</v>
      </c>
      <c r="CP5" s="53">
        <f>SUMIFS('MtM Releases'!$H:$H,'MtM Releases'!$G:$G,RESULTADO!$BN5,'MtM Releases'!$F:$F,RESULTADO!$BN4,'MtM Releases'!$D:$D,RESULTADO!CP$3)</f>
        <v>15</v>
      </c>
      <c r="CQ5" s="53">
        <f>SUMIFS('MtM Releases'!$H:$H,'MtM Releases'!$G:$G,RESULTADO!$BN5,'MtM Releases'!$F:$F,RESULTADO!$BN4,'MtM Releases'!$D:$D,RESULTADO!CQ$3)</f>
        <v>15</v>
      </c>
      <c r="CR5" s="53">
        <f>SUMIFS('MtM Releases'!$H:$H,'MtM Releases'!$G:$G,RESULTADO!$BN5,'MtM Releases'!$F:$F,RESULTADO!$BN4,'MtM Releases'!$D:$D,RESULTADO!CR$3)</f>
        <v>15</v>
      </c>
      <c r="CS5" s="53">
        <f>SUMIFS('MtM Releases'!$H:$H,'MtM Releases'!$G:$G,RESULTADO!$BN5,'MtM Releases'!$F:$F,RESULTADO!$BN4,'MtM Releases'!$D:$D,RESULTADO!CS$3)</f>
        <v>15</v>
      </c>
      <c r="CT5" s="53">
        <f>SUMIFS('MtM Releases'!$H:$H,'MtM Releases'!$G:$G,RESULTADO!$BN5,'MtM Releases'!$F:$F,RESULTADO!$BN4,'MtM Releases'!$D:$D,RESULTADO!CT$3)</f>
        <v>15</v>
      </c>
      <c r="CU5" s="53">
        <f>SUMIFS('MtM Releases'!$H:$H,'MtM Releases'!$G:$G,RESULTADO!$BN5,'MtM Releases'!$F:$F,RESULTADO!$BN4,'MtM Releases'!$D:$D,RESULTADO!CU$3)</f>
        <v>15</v>
      </c>
      <c r="CV5" s="53">
        <f>SUMIFS('MtM Releases'!$H:$H,'MtM Releases'!$G:$G,RESULTADO!$BN5,'MtM Releases'!$F:$F,RESULTADO!$BN4,'MtM Releases'!$D:$D,RESULTADO!CV$3)</f>
        <v>15</v>
      </c>
      <c r="CW5" s="53">
        <f>SUMIFS('MtM Releases'!$H:$H,'MtM Releases'!$G:$G,RESULTADO!$BN5,'MtM Releases'!$F:$F,RESULTADO!$BN4,'MtM Releases'!$D:$D,RESULTADO!CW$3)</f>
        <v>15</v>
      </c>
      <c r="CX5" s="54">
        <f>SUMIFS('MtM Releases'!$H:$H,'MtM Releases'!$G:$G,RESULTADO!$BN5,'MtM Releases'!$F:$F,RESULTADO!$BN4,'MtM Releases'!$D:$D,RESULTADO!CX$3)</f>
        <v>15</v>
      </c>
      <c r="CY5" s="53">
        <f>SUMIFS('MtM Releases'!$H:$H,'MtM Releases'!$G:$G,RESULTADO!$BN5,'MtM Releases'!$F:$F,RESULTADO!$BN4,'MtM Releases'!$D:$D,RESULTADO!CY$3)</f>
        <v>0</v>
      </c>
      <c r="CZ5" s="53">
        <f>SUMIFS('MtM Releases'!$H:$H,'MtM Releases'!$G:$G,RESULTADO!$BN5,'MtM Releases'!$F:$F,RESULTADO!$BN4,'MtM Releases'!$D:$D,RESULTADO!CZ$3)</f>
        <v>0</v>
      </c>
      <c r="DA5" s="53">
        <f>SUMIFS('MtM Releases'!$H:$H,'MtM Releases'!$G:$G,RESULTADO!$BN5,'MtM Releases'!$F:$F,RESULTADO!$BN4,'MtM Releases'!$D:$D,RESULTADO!DA$3)</f>
        <v>0</v>
      </c>
      <c r="DB5" s="53">
        <f>SUMIFS('MtM Releases'!$H:$H,'MtM Releases'!$G:$G,RESULTADO!$BN5,'MtM Releases'!$F:$F,RESULTADO!$BN4,'MtM Releases'!$D:$D,RESULTADO!DB$3)</f>
        <v>0</v>
      </c>
      <c r="DC5" s="53">
        <f>SUMIFS('MtM Releases'!$H:$H,'MtM Releases'!$G:$G,RESULTADO!$BN5,'MtM Releases'!$F:$F,RESULTADO!$BN4,'MtM Releases'!$D:$D,RESULTADO!DC$3)</f>
        <v>0</v>
      </c>
      <c r="DD5" s="53">
        <f>SUMIFS('MtM Releases'!$H:$H,'MtM Releases'!$G:$G,RESULTADO!$BN5,'MtM Releases'!$F:$F,RESULTADO!$BN4,'MtM Releases'!$D:$D,RESULTADO!DD$3)</f>
        <v>0</v>
      </c>
      <c r="DE5" s="53">
        <f>SUMIFS('MtM Releases'!$H:$H,'MtM Releases'!$G:$G,RESULTADO!$BN5,'MtM Releases'!$F:$F,RESULTADO!$BN4,'MtM Releases'!$D:$D,RESULTADO!DE$3)</f>
        <v>0</v>
      </c>
      <c r="DF5" s="53">
        <f>SUMIFS('MtM Releases'!$H:$H,'MtM Releases'!$G:$G,RESULTADO!$BN5,'MtM Releases'!$F:$F,RESULTADO!$BN4,'MtM Releases'!$D:$D,RESULTADO!DF$3)</f>
        <v>0</v>
      </c>
      <c r="DG5" s="53">
        <f>SUMIFS('MtM Releases'!$H:$H,'MtM Releases'!$G:$G,RESULTADO!$BN5,'MtM Releases'!$F:$F,RESULTADO!$BN4,'MtM Releases'!$D:$D,RESULTADO!DG$3)</f>
        <v>0</v>
      </c>
      <c r="DH5" s="53">
        <f>SUMIFS('MtM Releases'!$H:$H,'MtM Releases'!$G:$G,RESULTADO!$BN5,'MtM Releases'!$F:$F,RESULTADO!$BN4,'MtM Releases'!$D:$D,RESULTADO!DH$3)</f>
        <v>0</v>
      </c>
      <c r="DI5" s="53">
        <f>SUMIFS('MtM Releases'!$H:$H,'MtM Releases'!$G:$G,RESULTADO!$BN5,'MtM Releases'!$F:$F,RESULTADO!$BN4,'MtM Releases'!$D:$D,RESULTADO!DI$3)</f>
        <v>0</v>
      </c>
      <c r="DJ5" s="63">
        <f>SUMIFS('MtM Releases'!$H:$H,'MtM Releases'!$G:$G,RESULTADO!$BN5,'MtM Releases'!$F:$F,RESULTADO!$BN4,'MtM Releases'!$D:$D,RESULTADO!DJ$3)</f>
        <v>0</v>
      </c>
      <c r="DK5" s="53">
        <f>SUMIFS('MtM Releases'!$H:$H,'MtM Releases'!$G:$G,RESULTADO!$BN5,'MtM Releases'!$F:$F,RESULTADO!$BN4,'MtM Releases'!$D:$D,RESULTADO!DK$3)</f>
        <v>0</v>
      </c>
      <c r="DL5" s="53">
        <f>SUMIFS('MtM Releases'!$H:$H,'MtM Releases'!$G:$G,RESULTADO!$BN5,'MtM Releases'!$F:$F,RESULTADO!$BN4,'MtM Releases'!$D:$D,RESULTADO!DL$3)</f>
        <v>0</v>
      </c>
      <c r="DM5" s="53">
        <f>SUMIFS('MtM Releases'!$H:$H,'MtM Releases'!$G:$G,RESULTADO!$BN5,'MtM Releases'!$F:$F,RESULTADO!$BN4,'MtM Releases'!$D:$D,RESULTADO!DM$3)</f>
        <v>0</v>
      </c>
      <c r="DN5" s="53">
        <f>SUMIFS('MtM Releases'!$H:$H,'MtM Releases'!$G:$G,RESULTADO!$BN5,'MtM Releases'!$F:$F,RESULTADO!$BN4,'MtM Releases'!$D:$D,RESULTADO!DN$3)</f>
        <v>0</v>
      </c>
      <c r="DO5" s="53">
        <f>SUMIFS('MtM Releases'!$H:$H,'MtM Releases'!$G:$G,RESULTADO!$BN5,'MtM Releases'!$F:$F,RESULTADO!$BN4,'MtM Releases'!$D:$D,RESULTADO!DO$3)</f>
        <v>0</v>
      </c>
      <c r="DP5" s="53">
        <f>SUMIFS('MtM Releases'!$H:$H,'MtM Releases'!$G:$G,RESULTADO!$BN5,'MtM Releases'!$F:$F,RESULTADO!$BN4,'MtM Releases'!$D:$D,RESULTADO!DP$3)</f>
        <v>0</v>
      </c>
      <c r="DQ5" s="53">
        <f>SUMIFS('MtM Releases'!$H:$H,'MtM Releases'!$G:$G,RESULTADO!$BN5,'MtM Releases'!$F:$F,RESULTADO!$BN4,'MtM Releases'!$D:$D,RESULTADO!DQ$3)</f>
        <v>0</v>
      </c>
      <c r="DR5" s="53">
        <f>SUMIFS('MtM Releases'!$H:$H,'MtM Releases'!$G:$G,RESULTADO!$BN5,'MtM Releases'!$F:$F,RESULTADO!$BN4,'MtM Releases'!$D:$D,RESULTADO!DR$3)</f>
        <v>0</v>
      </c>
      <c r="DS5" s="53">
        <f>SUMIFS('MtM Releases'!$H:$H,'MtM Releases'!$G:$G,RESULTADO!$BN5,'MtM Releases'!$F:$F,RESULTADO!$BN4,'MtM Releases'!$D:$D,RESULTADO!DS$3)</f>
        <v>0</v>
      </c>
      <c r="DT5" s="53">
        <f>SUMIFS('MtM Releases'!$H:$H,'MtM Releases'!$G:$G,RESULTADO!$BN5,'MtM Releases'!$F:$F,RESULTADO!$BN4,'MtM Releases'!$D:$D,RESULTADO!DT$3)</f>
        <v>0</v>
      </c>
      <c r="DU5" s="53">
        <f>SUMIFS('MtM Releases'!$H:$H,'MtM Releases'!$G:$G,RESULTADO!$BN5,'MtM Releases'!$F:$F,RESULTADO!$BN4,'MtM Releases'!$D:$D,RESULTADO!DU$3)</f>
        <v>0</v>
      </c>
      <c r="DV5" s="63">
        <f>SUMIFS('MtM Releases'!$H:$H,'MtM Releases'!$G:$G,RESULTADO!$BN5,'MtM Releases'!$F:$F,RESULTADO!$BN4,'MtM Releases'!$D:$D,RESULTADO!DV$3)</f>
        <v>0</v>
      </c>
      <c r="EB5" s="11"/>
    </row>
    <row r="6" spans="2:132" x14ac:dyDescent="0.25">
      <c r="B6" s="57" t="s">
        <v>12</v>
      </c>
      <c r="C6" s="53">
        <f>(SUMIFS(MtM!$M:$M,MtM!$I:$I,RESULTADO!$B6,MtM!$H:$H,RESULTADO!$B$4,MtM!$E:$E,RESULTADO!C$3)-SUMIFS(MtM!$N:$N,MtM!$I:$I,RESULTADO!$B6,MtM!$H:$H,RESULTADO!$B$4,MtM!$E:$E,RESULTADO!C$3))</f>
        <v>0</v>
      </c>
      <c r="D6" s="53">
        <f>(SUMIFS(MtM!$M:$M,MtM!$I:$I,RESULTADO!$B6,MtM!$H:$H,RESULTADO!$B$4,MtM!$E:$E,RESULTADO!D$3)-SUMIFS(MtM!$N:$N,MtM!$I:$I,RESULTADO!$B6,MtM!$H:$H,RESULTADO!$B$4,MtM!$E:$E,RESULTADO!D$3))</f>
        <v>0</v>
      </c>
      <c r="E6" s="53">
        <f>(SUMIFS(MtM!$M:$M,MtM!$I:$I,RESULTADO!$B6,MtM!$H:$H,RESULTADO!$B$4,MtM!$E:$E,RESULTADO!E$3)-SUMIFS(MtM!$N:$N,MtM!$I:$I,RESULTADO!$B6,MtM!$H:$H,RESULTADO!$B$4,MtM!$E:$E,RESULTADO!E$3))</f>
        <v>0</v>
      </c>
      <c r="F6" s="53">
        <f>(SUMIFS(MtM!$M:$M,MtM!$I:$I,RESULTADO!$B6,MtM!$H:$H,RESULTADO!$B$4,MtM!$E:$E,RESULTADO!F$3)-SUMIFS(MtM!$N:$N,MtM!$I:$I,RESULTADO!$B6,MtM!$H:$H,RESULTADO!$B$4,MtM!$E:$E,RESULTADO!F$3))</f>
        <v>0</v>
      </c>
      <c r="G6" s="53">
        <f>(SUMIFS(MtM!$M:$M,MtM!$I:$I,RESULTADO!$B6,MtM!$H:$H,RESULTADO!$B$4,MtM!$E:$E,RESULTADO!G$3)-SUMIFS(MtM!$N:$N,MtM!$I:$I,RESULTADO!$B6,MtM!$H:$H,RESULTADO!$B$4,MtM!$E:$E,RESULTADO!G$3))</f>
        <v>0</v>
      </c>
      <c r="H6" s="53">
        <f>(SUMIFS(MtM!$M:$M,MtM!$I:$I,RESULTADO!$B6,MtM!$H:$H,RESULTADO!$B$4,MtM!$E:$E,RESULTADO!H$3)-SUMIFS(MtM!$N:$N,MtM!$I:$I,RESULTADO!$B6,MtM!$H:$H,RESULTADO!$B$4,MtM!$E:$E,RESULTADO!H$3))</f>
        <v>0</v>
      </c>
      <c r="I6" s="53">
        <f>(SUMIFS(MtM!$M:$M,MtM!$I:$I,RESULTADO!$B6,MtM!$H:$H,RESULTADO!$B$4,MtM!$E:$E,RESULTADO!I$3)-SUMIFS(MtM!$N:$N,MtM!$I:$I,RESULTADO!$B6,MtM!$H:$H,RESULTADO!$B$4,MtM!$E:$E,RESULTADO!I$3))</f>
        <v>0</v>
      </c>
      <c r="J6" s="53">
        <f>(SUMIFS(MtM!$M:$M,MtM!$I:$I,RESULTADO!$B6,MtM!$H:$H,RESULTADO!$B$4,MtM!$E:$E,RESULTADO!J$3)-SUMIFS(MtM!$N:$N,MtM!$I:$I,RESULTADO!$B6,MtM!$H:$H,RESULTADO!$B$4,MtM!$E:$E,RESULTADO!J$3))</f>
        <v>0</v>
      </c>
      <c r="K6" s="53">
        <f>(SUMIFS(MtM!$M:$M,MtM!$I:$I,RESULTADO!$B6,MtM!$H:$H,RESULTADO!$B$4,MtM!$E:$E,RESULTADO!K$3)-SUMIFS(MtM!$N:$N,MtM!$I:$I,RESULTADO!$B6,MtM!$H:$H,RESULTADO!$B$4,MtM!$E:$E,RESULTADO!K$3))</f>
        <v>0</v>
      </c>
      <c r="L6" s="53">
        <f>(SUMIFS(MtM!$M:$M,MtM!$I:$I,RESULTADO!$B6,MtM!$H:$H,RESULTADO!$B$4,MtM!$E:$E,RESULTADO!L$3)-SUMIFS(MtM!$N:$N,MtM!$I:$I,RESULTADO!$B6,MtM!$H:$H,RESULTADO!$B$4,MtM!$E:$E,RESULTADO!L$3))</f>
        <v>0</v>
      </c>
      <c r="M6" s="53">
        <f>(SUMIFS(MtM!$M:$M,MtM!$I:$I,RESULTADO!$B6,MtM!$H:$H,RESULTADO!$B$4,MtM!$E:$E,RESULTADO!M$3)-SUMIFS(MtM!$N:$N,MtM!$I:$I,RESULTADO!$B6,MtM!$H:$H,RESULTADO!$B$4,MtM!$E:$E,RESULTADO!M$3))</f>
        <v>0</v>
      </c>
      <c r="N6" s="54">
        <f>(SUMIFS(MtM!$M:$M,MtM!$I:$I,RESULTADO!$B6,MtM!$H:$H,RESULTADO!$B$4,MtM!$E:$E,RESULTADO!N$3)-SUMIFS(MtM!$N:$N,MtM!$I:$I,RESULTADO!$B6,MtM!$H:$H,RESULTADO!$B$4,MtM!$E:$E,RESULTADO!N$3))</f>
        <v>0</v>
      </c>
      <c r="O6" s="53">
        <f>(SUMIFS(MtM!$M:$M,MtM!$I:$I,RESULTADO!$B6,MtM!$H:$H,RESULTADO!$B$4,MtM!$E:$E,RESULTADO!O$3)-SUMIFS(MtM!$N:$N,MtM!$I:$I,RESULTADO!$B6,MtM!$H:$H,RESULTADO!$B$4,MtM!$E:$E,RESULTADO!O$3))</f>
        <v>0</v>
      </c>
      <c r="P6" s="53">
        <f>(SUMIFS(MtM!$M:$M,MtM!$I:$I,RESULTADO!$B6,MtM!$H:$H,RESULTADO!$B$4,MtM!$E:$E,RESULTADO!P$3)-SUMIFS(MtM!$N:$N,MtM!$I:$I,RESULTADO!$B6,MtM!$H:$H,RESULTADO!$B$4,MtM!$E:$E,RESULTADO!P$3))</f>
        <v>0</v>
      </c>
      <c r="Q6" s="53">
        <f>(SUMIFS(MtM!$M:$M,MtM!$I:$I,RESULTADO!$B6,MtM!$H:$H,RESULTADO!$B$4,MtM!$E:$E,RESULTADO!Q$3)-SUMIFS(MtM!$N:$N,MtM!$I:$I,RESULTADO!$B6,MtM!$H:$H,RESULTADO!$B$4,MtM!$E:$E,RESULTADO!Q$3))</f>
        <v>0</v>
      </c>
      <c r="R6" s="53">
        <f>(SUMIFS(MtM!$M:$M,MtM!$I:$I,RESULTADO!$B6,MtM!$H:$H,RESULTADO!$B$4,MtM!$E:$E,RESULTADO!R$3)-SUMIFS(MtM!$N:$N,MtM!$I:$I,RESULTADO!$B6,MtM!$H:$H,RESULTADO!$B$4,MtM!$E:$E,RESULTADO!R$3))</f>
        <v>0</v>
      </c>
      <c r="S6" s="53">
        <f>(SUMIFS(MtM!$M:$M,MtM!$I:$I,RESULTADO!$B6,MtM!$H:$H,RESULTADO!$B$4,MtM!$E:$E,RESULTADO!S$3)-SUMIFS(MtM!$N:$N,MtM!$I:$I,RESULTADO!$B6,MtM!$H:$H,RESULTADO!$B$4,MtM!$E:$E,RESULTADO!S$3))</f>
        <v>0</v>
      </c>
      <c r="T6" s="53">
        <f>(SUMIFS(MtM!$M:$M,MtM!$I:$I,RESULTADO!$B6,MtM!$H:$H,RESULTADO!$B$4,MtM!$E:$E,RESULTADO!T$3)-SUMIFS(MtM!$N:$N,MtM!$I:$I,RESULTADO!$B6,MtM!$H:$H,RESULTADO!$B$4,MtM!$E:$E,RESULTADO!T$3))</f>
        <v>0</v>
      </c>
      <c r="U6" s="53">
        <f>(SUMIFS(MtM!$M:$M,MtM!$I:$I,RESULTADO!$B6,MtM!$H:$H,RESULTADO!$B$4,MtM!$E:$E,RESULTADO!U$3)-SUMIFS(MtM!$N:$N,MtM!$I:$I,RESULTADO!$B6,MtM!$H:$H,RESULTADO!$B$4,MtM!$E:$E,RESULTADO!U$3))</f>
        <v>0</v>
      </c>
      <c r="V6" s="53">
        <f>(SUMIFS(MtM!$M:$M,MtM!$I:$I,RESULTADO!$B6,MtM!$H:$H,RESULTADO!$B$4,MtM!$E:$E,RESULTADO!V$3)-SUMIFS(MtM!$N:$N,MtM!$I:$I,RESULTADO!$B6,MtM!$H:$H,RESULTADO!$B$4,MtM!$E:$E,RESULTADO!V$3))</f>
        <v>0</v>
      </c>
      <c r="W6" s="53">
        <f>(SUMIFS(MtM!$M:$M,MtM!$I:$I,RESULTADO!$B6,MtM!$H:$H,RESULTADO!$B$4,MtM!$E:$E,RESULTADO!W$3)-SUMIFS(MtM!$N:$N,MtM!$I:$I,RESULTADO!$B6,MtM!$H:$H,RESULTADO!$B$4,MtM!$E:$E,RESULTADO!W$3))</f>
        <v>0</v>
      </c>
      <c r="X6" s="53">
        <f>(SUMIFS(MtM!$M:$M,MtM!$I:$I,RESULTADO!$B6,MtM!$H:$H,RESULTADO!$B$4,MtM!$E:$E,RESULTADO!X$3)-SUMIFS(MtM!$N:$N,MtM!$I:$I,RESULTADO!$B6,MtM!$H:$H,RESULTADO!$B$4,MtM!$E:$E,RESULTADO!X$3))</f>
        <v>0</v>
      </c>
      <c r="Y6" s="53">
        <f>(SUMIFS(MtM!$M:$M,MtM!$I:$I,RESULTADO!$B6,MtM!$H:$H,RESULTADO!$B$4,MtM!$E:$E,RESULTADO!Y$3)-SUMIFS(MtM!$N:$N,MtM!$I:$I,RESULTADO!$B6,MtM!$H:$H,RESULTADO!$B$4,MtM!$E:$E,RESULTADO!Y$3))</f>
        <v>0</v>
      </c>
      <c r="Z6" s="63">
        <f>(SUMIFS(MtM!$M:$M,MtM!$I:$I,RESULTADO!$B6,MtM!$H:$H,RESULTADO!$B$4,MtM!$E:$E,RESULTADO!Z$3)-SUMIFS(MtM!$N:$N,MtM!$I:$I,RESULTADO!$B6,MtM!$H:$H,RESULTADO!$B$4,MtM!$E:$E,RESULTADO!Z$3))</f>
        <v>0</v>
      </c>
      <c r="AA6" s="53">
        <f>(SUMIFS(MtM!$M:$M,MtM!$I:$I,RESULTADO!$B6,MtM!$H:$H,RESULTADO!$B$4,MtM!$E:$E,RESULTADO!AA$3)-SUMIFS(MtM!$N:$N,MtM!$I:$I,RESULTADO!$B6,MtM!$H:$H,RESULTADO!$B$4,MtM!$E:$E,RESULTADO!AA$3))</f>
        <v>0</v>
      </c>
      <c r="AB6" s="53">
        <f>(SUMIFS(MtM!$M:$M,MtM!$I:$I,RESULTADO!$B6,MtM!$H:$H,RESULTADO!$B$4,MtM!$E:$E,RESULTADO!AB$3)-SUMIFS(MtM!$N:$N,MtM!$I:$I,RESULTADO!$B6,MtM!$H:$H,RESULTADO!$B$4,MtM!$E:$E,RESULTADO!AB$3))</f>
        <v>0</v>
      </c>
      <c r="AC6" s="53">
        <f>(SUMIFS(MtM!$M:$M,MtM!$I:$I,RESULTADO!$B6,MtM!$H:$H,RESULTADO!$B$4,MtM!$E:$E,RESULTADO!AC$3)-SUMIFS(MtM!$N:$N,MtM!$I:$I,RESULTADO!$B6,MtM!$H:$H,RESULTADO!$B$4,MtM!$E:$E,RESULTADO!AC$3))</f>
        <v>0</v>
      </c>
      <c r="AD6" s="53">
        <f>(SUMIFS(MtM!$M:$M,MtM!$I:$I,RESULTADO!$B6,MtM!$H:$H,RESULTADO!$B$4,MtM!$E:$E,RESULTADO!AD$3)-SUMIFS(MtM!$N:$N,MtM!$I:$I,RESULTADO!$B6,MtM!$H:$H,RESULTADO!$B$4,MtM!$E:$E,RESULTADO!AD$3))</f>
        <v>0</v>
      </c>
      <c r="AE6" s="53">
        <f>(SUMIFS(MtM!$M:$M,MtM!$I:$I,RESULTADO!$B6,MtM!$H:$H,RESULTADO!$B$4,MtM!$E:$E,RESULTADO!AE$3)-SUMIFS(MtM!$N:$N,MtM!$I:$I,RESULTADO!$B6,MtM!$H:$H,RESULTADO!$B$4,MtM!$E:$E,RESULTADO!AE$3))</f>
        <v>0</v>
      </c>
      <c r="AF6" s="53">
        <f>(SUMIFS(MtM!$M:$M,MtM!$I:$I,RESULTADO!$B6,MtM!$H:$H,RESULTADO!$B$4,MtM!$E:$E,RESULTADO!AF$3)-SUMIFS(MtM!$N:$N,MtM!$I:$I,RESULTADO!$B6,MtM!$H:$H,RESULTADO!$B$4,MtM!$E:$E,RESULTADO!AF$3))</f>
        <v>0</v>
      </c>
      <c r="AG6" s="53">
        <f>(SUMIFS(MtM!$M:$M,MtM!$I:$I,RESULTADO!$B6,MtM!$H:$H,RESULTADO!$B$4,MtM!$E:$E,RESULTADO!AG$3)-SUMIFS(MtM!$N:$N,MtM!$I:$I,RESULTADO!$B6,MtM!$H:$H,RESULTADO!$B$4,MtM!$E:$E,RESULTADO!AG$3))</f>
        <v>0</v>
      </c>
      <c r="AH6" s="53">
        <f>(SUMIFS(MtM!$M:$M,MtM!$I:$I,RESULTADO!$B6,MtM!$H:$H,RESULTADO!$B$4,MtM!$E:$E,RESULTADO!AH$3)-SUMIFS(MtM!$N:$N,MtM!$I:$I,RESULTADO!$B6,MtM!$H:$H,RESULTADO!$B$4,MtM!$E:$E,RESULTADO!AH$3))</f>
        <v>0</v>
      </c>
      <c r="AI6" s="53">
        <f>(SUMIFS(MtM!$M:$M,MtM!$I:$I,RESULTADO!$B6,MtM!$H:$H,RESULTADO!$B$4,MtM!$E:$E,RESULTADO!AI$3)-SUMIFS(MtM!$N:$N,MtM!$I:$I,RESULTADO!$B6,MtM!$H:$H,RESULTADO!$B$4,MtM!$E:$E,RESULTADO!AI$3))</f>
        <v>0</v>
      </c>
      <c r="AJ6" s="53">
        <f>(SUMIFS(MtM!$M:$M,MtM!$I:$I,RESULTADO!$B6,MtM!$H:$H,RESULTADO!$B$4,MtM!$E:$E,RESULTADO!AJ$3)-SUMIFS(MtM!$N:$N,MtM!$I:$I,RESULTADO!$B6,MtM!$H:$H,RESULTADO!$B$4,MtM!$E:$E,RESULTADO!AJ$3))</f>
        <v>0</v>
      </c>
      <c r="AK6" s="53">
        <f>(SUMIFS(MtM!$M:$M,MtM!$I:$I,RESULTADO!$B6,MtM!$H:$H,RESULTADO!$B$4,MtM!$E:$E,RESULTADO!AK$3)-SUMIFS(MtM!$N:$N,MtM!$I:$I,RESULTADO!$B6,MtM!$H:$H,RESULTADO!$B$4,MtM!$E:$E,RESULTADO!AK$3))</f>
        <v>0</v>
      </c>
      <c r="AL6" s="54">
        <f>(SUMIFS(MtM!$M:$M,MtM!$I:$I,RESULTADO!$B6,MtM!$H:$H,RESULTADO!$B$4,MtM!$E:$E,RESULTADO!AL$3)-SUMIFS(MtM!$N:$N,MtM!$I:$I,RESULTADO!$B6,MtM!$H:$H,RESULTADO!$B$4,MtM!$E:$E,RESULTADO!AL$3))</f>
        <v>0</v>
      </c>
      <c r="AM6" s="53">
        <f>(SUMIFS(MtM!$M:$M,MtM!$I:$I,RESULTADO!$B6,MtM!$H:$H,RESULTADO!$B$4,MtM!$E:$E,RESULTADO!AM$3)-SUMIFS(MtM!$N:$N,MtM!$I:$I,RESULTADO!$B6,MtM!$H:$H,RESULTADO!$B$4,MtM!$E:$E,RESULTADO!AM$3))</f>
        <v>0</v>
      </c>
      <c r="AN6" s="53">
        <f>(SUMIFS(MtM!$M:$M,MtM!$I:$I,RESULTADO!$B6,MtM!$H:$H,RESULTADO!$B$4,MtM!$E:$E,RESULTADO!AN$3)-SUMIFS(MtM!$N:$N,MtM!$I:$I,RESULTADO!$B6,MtM!$H:$H,RESULTADO!$B$4,MtM!$E:$E,RESULTADO!AN$3))</f>
        <v>0</v>
      </c>
      <c r="AO6" s="53">
        <f>(SUMIFS(MtM!$M:$M,MtM!$I:$I,RESULTADO!$B6,MtM!$H:$H,RESULTADO!$B$4,MtM!$E:$E,RESULTADO!AO$3)-SUMIFS(MtM!$N:$N,MtM!$I:$I,RESULTADO!$B6,MtM!$H:$H,RESULTADO!$B$4,MtM!$E:$E,RESULTADO!AO$3))</f>
        <v>0</v>
      </c>
      <c r="AP6" s="53">
        <f>(SUMIFS(MtM!$M:$M,MtM!$I:$I,RESULTADO!$B6,MtM!$H:$H,RESULTADO!$B$4,MtM!$E:$E,RESULTADO!AP$3)-SUMIFS(MtM!$N:$N,MtM!$I:$I,RESULTADO!$B6,MtM!$H:$H,RESULTADO!$B$4,MtM!$E:$E,RESULTADO!AP$3))</f>
        <v>0</v>
      </c>
      <c r="AQ6" s="53">
        <f>(SUMIFS(MtM!$M:$M,MtM!$I:$I,RESULTADO!$B6,MtM!$H:$H,RESULTADO!$B$4,MtM!$E:$E,RESULTADO!AQ$3)-SUMIFS(MtM!$N:$N,MtM!$I:$I,RESULTADO!$B6,MtM!$H:$H,RESULTADO!$B$4,MtM!$E:$E,RESULTADO!AQ$3))</f>
        <v>0</v>
      </c>
      <c r="AR6" s="53">
        <f>(SUMIFS(MtM!$M:$M,MtM!$I:$I,RESULTADO!$B6,MtM!$H:$H,RESULTADO!$B$4,MtM!$E:$E,RESULTADO!AR$3)-SUMIFS(MtM!$N:$N,MtM!$I:$I,RESULTADO!$B6,MtM!$H:$H,RESULTADO!$B$4,MtM!$E:$E,RESULTADO!AR$3))</f>
        <v>0</v>
      </c>
      <c r="AS6" s="53">
        <f>(SUMIFS(MtM!$M:$M,MtM!$I:$I,RESULTADO!$B6,MtM!$H:$H,RESULTADO!$B$4,MtM!$E:$E,RESULTADO!AS$3)-SUMIFS(MtM!$N:$N,MtM!$I:$I,RESULTADO!$B6,MtM!$H:$H,RESULTADO!$B$4,MtM!$E:$E,RESULTADO!AS$3))</f>
        <v>0</v>
      </c>
      <c r="AT6" s="53">
        <f>(SUMIFS(MtM!$M:$M,MtM!$I:$I,RESULTADO!$B6,MtM!$H:$H,RESULTADO!$B$4,MtM!$E:$E,RESULTADO!AT$3)-SUMIFS(MtM!$N:$N,MtM!$I:$I,RESULTADO!$B6,MtM!$H:$H,RESULTADO!$B$4,MtM!$E:$E,RESULTADO!AT$3))</f>
        <v>0</v>
      </c>
      <c r="AU6" s="53">
        <f>(SUMIFS(MtM!$M:$M,MtM!$I:$I,RESULTADO!$B6,MtM!$H:$H,RESULTADO!$B$4,MtM!$E:$E,RESULTADO!AU$3)-SUMIFS(MtM!$N:$N,MtM!$I:$I,RESULTADO!$B6,MtM!$H:$H,RESULTADO!$B$4,MtM!$E:$E,RESULTADO!AU$3))</f>
        <v>0</v>
      </c>
      <c r="AV6" s="53">
        <f>(SUMIFS(MtM!$M:$M,MtM!$I:$I,RESULTADO!$B6,MtM!$H:$H,RESULTADO!$B$4,MtM!$E:$E,RESULTADO!AV$3)-SUMIFS(MtM!$N:$N,MtM!$I:$I,RESULTADO!$B6,MtM!$H:$H,RESULTADO!$B$4,MtM!$E:$E,RESULTADO!AV$3))</f>
        <v>0</v>
      </c>
      <c r="AW6" s="53">
        <f>(SUMIFS(MtM!$M:$M,MtM!$I:$I,RESULTADO!$B6,MtM!$H:$H,RESULTADO!$B$4,MtM!$E:$E,RESULTADO!AW$3)-SUMIFS(MtM!$N:$N,MtM!$I:$I,RESULTADO!$B6,MtM!$H:$H,RESULTADO!$B$4,MtM!$E:$E,RESULTADO!AW$3))</f>
        <v>0</v>
      </c>
      <c r="AX6" s="63">
        <f>(SUMIFS(MtM!$M:$M,MtM!$I:$I,RESULTADO!$B6,MtM!$H:$H,RESULTADO!$B$4,MtM!$E:$E,RESULTADO!AX$3)-SUMIFS(MtM!$N:$N,MtM!$I:$I,RESULTADO!$B6,MtM!$H:$H,RESULTADO!$B$4,MtM!$E:$E,RESULTADO!AX$3))</f>
        <v>0</v>
      </c>
      <c r="AY6" s="53">
        <f>(SUMIFS(MtM!$M:$M,MtM!$I:$I,RESULTADO!$B6,MtM!$H:$H,RESULTADO!$B$4,MtM!$E:$E,RESULTADO!AY$3)-SUMIFS(MtM!$N:$N,MtM!$I:$I,RESULTADO!$B6,MtM!$H:$H,RESULTADO!$B$4,MtM!$E:$E,RESULTADO!AY$3))</f>
        <v>0</v>
      </c>
      <c r="AZ6" s="53">
        <f>(SUMIFS(MtM!$M:$M,MtM!$I:$I,RESULTADO!$B6,MtM!$H:$H,RESULTADO!$B$4,MtM!$E:$E,RESULTADO!AZ$3)-SUMIFS(MtM!$N:$N,MtM!$I:$I,RESULTADO!$B6,MtM!$H:$H,RESULTADO!$B$4,MtM!$E:$E,RESULTADO!AZ$3))</f>
        <v>0</v>
      </c>
      <c r="BA6" s="53">
        <f>(SUMIFS(MtM!$M:$M,MtM!$I:$I,RESULTADO!$B6,MtM!$H:$H,RESULTADO!$B$4,MtM!$E:$E,RESULTADO!BA$3)-SUMIFS(MtM!$N:$N,MtM!$I:$I,RESULTADO!$B6,MtM!$H:$H,RESULTADO!$B$4,MtM!$E:$E,RESULTADO!BA$3))</f>
        <v>0</v>
      </c>
      <c r="BB6" s="53">
        <f>(SUMIFS(MtM!$M:$M,MtM!$I:$I,RESULTADO!$B6,MtM!$H:$H,RESULTADO!$B$4,MtM!$E:$E,RESULTADO!BB$3)-SUMIFS(MtM!$N:$N,MtM!$I:$I,RESULTADO!$B6,MtM!$H:$H,RESULTADO!$B$4,MtM!$E:$E,RESULTADO!BB$3))</f>
        <v>0</v>
      </c>
      <c r="BC6" s="53">
        <f>(SUMIFS(MtM!$M:$M,MtM!$I:$I,RESULTADO!$B6,MtM!$H:$H,RESULTADO!$B$4,MtM!$E:$E,RESULTADO!BC$3)-SUMIFS(MtM!$N:$N,MtM!$I:$I,RESULTADO!$B6,MtM!$H:$H,RESULTADO!$B$4,MtM!$E:$E,RESULTADO!BC$3))</f>
        <v>0</v>
      </c>
      <c r="BD6" s="53">
        <f>(SUMIFS(MtM!$M:$M,MtM!$I:$I,RESULTADO!$B6,MtM!$H:$H,RESULTADO!$B$4,MtM!$E:$E,RESULTADO!BD$3)-SUMIFS(MtM!$N:$N,MtM!$I:$I,RESULTADO!$B6,MtM!$H:$H,RESULTADO!$B$4,MtM!$E:$E,RESULTADO!BD$3))</f>
        <v>0</v>
      </c>
      <c r="BE6" s="53">
        <f>(SUMIFS(MtM!$M:$M,MtM!$I:$I,RESULTADO!$B6,MtM!$H:$H,RESULTADO!$B$4,MtM!$E:$E,RESULTADO!BE$3)-SUMIFS(MtM!$N:$N,MtM!$I:$I,RESULTADO!$B6,MtM!$H:$H,RESULTADO!$B$4,MtM!$E:$E,RESULTADO!BE$3))</f>
        <v>0</v>
      </c>
      <c r="BF6" s="53">
        <f>(SUMIFS(MtM!$M:$M,MtM!$I:$I,RESULTADO!$B6,MtM!$H:$H,RESULTADO!$B$4,MtM!$E:$E,RESULTADO!BF$3)-SUMIFS(MtM!$N:$N,MtM!$I:$I,RESULTADO!$B6,MtM!$H:$H,RESULTADO!$B$4,MtM!$E:$E,RESULTADO!BF$3))</f>
        <v>0</v>
      </c>
      <c r="BG6" s="53">
        <f>(SUMIFS(MtM!$M:$M,MtM!$I:$I,RESULTADO!$B6,MtM!$H:$H,RESULTADO!$B$4,MtM!$E:$E,RESULTADO!BG$3)-SUMIFS(MtM!$N:$N,MtM!$I:$I,RESULTADO!$B6,MtM!$H:$H,RESULTADO!$B$4,MtM!$E:$E,RESULTADO!BG$3))</f>
        <v>0</v>
      </c>
      <c r="BH6" s="53">
        <f>(SUMIFS(MtM!$M:$M,MtM!$I:$I,RESULTADO!$B6,MtM!$H:$H,RESULTADO!$B$4,MtM!$E:$E,RESULTADO!BH$3)-SUMIFS(MtM!$N:$N,MtM!$I:$I,RESULTADO!$B6,MtM!$H:$H,RESULTADO!$B$4,MtM!$E:$E,RESULTADO!BH$3))</f>
        <v>0</v>
      </c>
      <c r="BI6" s="53">
        <f>(SUMIFS(MtM!$M:$M,MtM!$I:$I,RESULTADO!$B6,MtM!$H:$H,RESULTADO!$B$4,MtM!$E:$E,RESULTADO!BI$3)-SUMIFS(MtM!$N:$N,MtM!$I:$I,RESULTADO!$B6,MtM!$H:$H,RESULTADO!$B$4,MtM!$E:$E,RESULTADO!BI$3))</f>
        <v>0</v>
      </c>
      <c r="BJ6" s="63">
        <f>(SUMIFS(MtM!$M:$M,MtM!$I:$I,RESULTADO!$B6,MtM!$H:$H,RESULTADO!$B$4,MtM!$E:$E,RESULTADO!BJ$3)-SUMIFS(MtM!$N:$N,MtM!$I:$I,RESULTADO!$B6,MtM!$H:$H,RESULTADO!$B$4,MtM!$E:$E,RESULTADO!BJ$3))</f>
        <v>0</v>
      </c>
      <c r="BL6" s="120"/>
      <c r="BN6" s="57" t="s">
        <v>12</v>
      </c>
      <c r="BO6" s="53">
        <f>SUMIFS('MtM Releases'!$H:$H,'MtM Releases'!$G:$G,RESULTADO!$BN6,'MtM Releases'!$F:$F,RESULTADO!$BN4,'MtM Releases'!$D:$D,RESULTADO!BO$3)</f>
        <v>0</v>
      </c>
      <c r="BP6" s="53">
        <f>SUMIFS('MtM Releases'!$H:$H,'MtM Releases'!$G:$G,RESULTADO!$BN6,'MtM Releases'!$F:$F,RESULTADO!$BN4,'MtM Releases'!$D:$D,RESULTADO!BP$3)</f>
        <v>0</v>
      </c>
      <c r="BQ6" s="53">
        <f>SUMIFS('MtM Releases'!$H:$H,'MtM Releases'!$G:$G,RESULTADO!$BN6,'MtM Releases'!$F:$F,RESULTADO!$BN4,'MtM Releases'!$D:$D,RESULTADO!BQ$3)</f>
        <v>0</v>
      </c>
      <c r="BR6" s="53">
        <f>SUMIFS('MtM Releases'!$H:$H,'MtM Releases'!$G:$G,RESULTADO!$BN6,'MtM Releases'!$F:$F,RESULTADO!$BN4,'MtM Releases'!$D:$D,RESULTADO!BR$3)</f>
        <v>0</v>
      </c>
      <c r="BS6" s="53">
        <f>SUMIFS('MtM Releases'!$H:$H,'MtM Releases'!$G:$G,RESULTADO!$BN6,'MtM Releases'!$F:$F,RESULTADO!$BN4,'MtM Releases'!$D:$D,RESULTADO!BS$3)</f>
        <v>0</v>
      </c>
      <c r="BT6" s="53">
        <f>SUMIFS('MtM Releases'!$H:$H,'MtM Releases'!$G:$G,RESULTADO!$BN6,'MtM Releases'!$F:$F,RESULTADO!$BN4,'MtM Releases'!$D:$D,RESULTADO!BT$3)</f>
        <v>0</v>
      </c>
      <c r="BU6" s="53">
        <f>SUMIFS('MtM Releases'!$H:$H,'MtM Releases'!$G:$G,RESULTADO!$BN6,'MtM Releases'!$F:$F,RESULTADO!$BN4,'MtM Releases'!$D:$D,RESULTADO!BU$3)</f>
        <v>0</v>
      </c>
      <c r="BV6" s="53">
        <f>SUMIFS('MtM Releases'!$H:$H,'MtM Releases'!$G:$G,RESULTADO!$BN6,'MtM Releases'!$F:$F,RESULTADO!$BN4,'MtM Releases'!$D:$D,RESULTADO!BV$3)</f>
        <v>0</v>
      </c>
      <c r="BW6" s="53">
        <f>SUMIFS('MtM Releases'!$H:$H,'MtM Releases'!$G:$G,RESULTADO!$BN6,'MtM Releases'!$F:$F,RESULTADO!$BN4,'MtM Releases'!$D:$D,RESULTADO!BW$3)</f>
        <v>0</v>
      </c>
      <c r="BX6" s="53">
        <f>SUMIFS('MtM Releases'!$H:$H,'MtM Releases'!$G:$G,RESULTADO!$BN6,'MtM Releases'!$F:$F,RESULTADO!$BN4,'MtM Releases'!$D:$D,RESULTADO!BX$3)</f>
        <v>0</v>
      </c>
      <c r="BY6" s="53">
        <f>SUMIFS('MtM Releases'!$H:$H,'MtM Releases'!$G:$G,RESULTADO!$BN6,'MtM Releases'!$F:$F,RESULTADO!$BN4,'MtM Releases'!$D:$D,RESULTADO!BY$3)</f>
        <v>0</v>
      </c>
      <c r="BZ6" s="54">
        <f>SUMIFS('MtM Releases'!$H:$H,'MtM Releases'!$G:$G,RESULTADO!$BN6,'MtM Releases'!$F:$F,RESULTADO!$BN4,'MtM Releases'!$D:$D,RESULTADO!BZ$3)</f>
        <v>0</v>
      </c>
      <c r="CA6" s="53">
        <f>SUMIFS('MtM Releases'!$H:$H,'MtM Releases'!$G:$G,RESULTADO!$BN6,'MtM Releases'!$F:$F,RESULTADO!$BN4,'MtM Releases'!$D:$D,RESULTADO!CA$3)</f>
        <v>0</v>
      </c>
      <c r="CB6" s="53">
        <f>SUMIFS('MtM Releases'!$H:$H,'MtM Releases'!$G:$G,RESULTADO!$BN6,'MtM Releases'!$F:$F,RESULTADO!$BN4,'MtM Releases'!$D:$D,RESULTADO!CB$3)</f>
        <v>0</v>
      </c>
      <c r="CC6" s="53">
        <f>SUMIFS('MtM Releases'!$H:$H,'MtM Releases'!$G:$G,RESULTADO!$BN6,'MtM Releases'!$F:$F,RESULTADO!$BN4,'MtM Releases'!$D:$D,RESULTADO!CC$3)</f>
        <v>0</v>
      </c>
      <c r="CD6" s="53">
        <f>SUMIFS('MtM Releases'!$H:$H,'MtM Releases'!$G:$G,RESULTADO!$BN6,'MtM Releases'!$F:$F,RESULTADO!$BN4,'MtM Releases'!$D:$D,RESULTADO!CD$3)</f>
        <v>0</v>
      </c>
      <c r="CE6" s="53">
        <f>SUMIFS('MtM Releases'!$H:$H,'MtM Releases'!$G:$G,RESULTADO!$BN6,'MtM Releases'!$F:$F,RESULTADO!$BN4,'MtM Releases'!$D:$D,RESULTADO!CE$3)</f>
        <v>0</v>
      </c>
      <c r="CF6" s="53">
        <f>SUMIFS('MtM Releases'!$H:$H,'MtM Releases'!$G:$G,RESULTADO!$BN6,'MtM Releases'!$F:$F,RESULTADO!$BN4,'MtM Releases'!$D:$D,RESULTADO!CF$3)</f>
        <v>0</v>
      </c>
      <c r="CG6" s="53">
        <f>SUMIFS('MtM Releases'!$H:$H,'MtM Releases'!$G:$G,RESULTADO!$BN6,'MtM Releases'!$F:$F,RESULTADO!$BN4,'MtM Releases'!$D:$D,RESULTADO!CG$3)</f>
        <v>0</v>
      </c>
      <c r="CH6" s="53">
        <f>SUMIFS('MtM Releases'!$H:$H,'MtM Releases'!$G:$G,RESULTADO!$BN6,'MtM Releases'!$F:$F,RESULTADO!$BN4,'MtM Releases'!$D:$D,RESULTADO!CH$3)</f>
        <v>0</v>
      </c>
      <c r="CI6" s="53">
        <f>SUMIFS('MtM Releases'!$H:$H,'MtM Releases'!$G:$G,RESULTADO!$BN6,'MtM Releases'!$F:$F,RESULTADO!$BN4,'MtM Releases'!$D:$D,RESULTADO!CI$3)</f>
        <v>0</v>
      </c>
      <c r="CJ6" s="53">
        <f>SUMIFS('MtM Releases'!$H:$H,'MtM Releases'!$G:$G,RESULTADO!$BN6,'MtM Releases'!$F:$F,RESULTADO!$BN4,'MtM Releases'!$D:$D,RESULTADO!CJ$3)</f>
        <v>0</v>
      </c>
      <c r="CK6" s="53">
        <f>SUMIFS('MtM Releases'!$H:$H,'MtM Releases'!$G:$G,RESULTADO!$BN6,'MtM Releases'!$F:$F,RESULTADO!$BN4,'MtM Releases'!$D:$D,RESULTADO!CK$3)</f>
        <v>0</v>
      </c>
      <c r="CL6" s="63">
        <f>SUMIFS('MtM Releases'!$H:$H,'MtM Releases'!$G:$G,RESULTADO!$BN6,'MtM Releases'!$F:$F,RESULTADO!$BN4,'MtM Releases'!$D:$D,RESULTADO!CL$3)</f>
        <v>0</v>
      </c>
      <c r="CM6" s="53">
        <f>SUMIFS('MtM Releases'!$H:$H,'MtM Releases'!$G:$G,RESULTADO!$BN6,'MtM Releases'!$F:$F,RESULTADO!$BN4,'MtM Releases'!$D:$D,RESULTADO!CM$3)</f>
        <v>0</v>
      </c>
      <c r="CN6" s="53">
        <f>SUMIFS('MtM Releases'!$H:$H,'MtM Releases'!$G:$G,RESULTADO!$BN6,'MtM Releases'!$F:$F,RESULTADO!$BN4,'MtM Releases'!$D:$D,RESULTADO!CN$3)</f>
        <v>0</v>
      </c>
      <c r="CO6" s="53">
        <f>SUMIFS('MtM Releases'!$H:$H,'MtM Releases'!$G:$G,RESULTADO!$BN6,'MtM Releases'!$F:$F,RESULTADO!$BN4,'MtM Releases'!$D:$D,RESULTADO!CO$3)</f>
        <v>0</v>
      </c>
      <c r="CP6" s="53">
        <f>SUMIFS('MtM Releases'!$H:$H,'MtM Releases'!$G:$G,RESULTADO!$BN6,'MtM Releases'!$F:$F,RESULTADO!$BN4,'MtM Releases'!$D:$D,RESULTADO!CP$3)</f>
        <v>0</v>
      </c>
      <c r="CQ6" s="53">
        <f>SUMIFS('MtM Releases'!$H:$H,'MtM Releases'!$G:$G,RESULTADO!$BN6,'MtM Releases'!$F:$F,RESULTADO!$BN4,'MtM Releases'!$D:$D,RESULTADO!CQ$3)</f>
        <v>0</v>
      </c>
      <c r="CR6" s="53">
        <f>SUMIFS('MtM Releases'!$H:$H,'MtM Releases'!$G:$G,RESULTADO!$BN6,'MtM Releases'!$F:$F,RESULTADO!$BN4,'MtM Releases'!$D:$D,RESULTADO!CR$3)</f>
        <v>0</v>
      </c>
      <c r="CS6" s="53">
        <f>SUMIFS('MtM Releases'!$H:$H,'MtM Releases'!$G:$G,RESULTADO!$BN6,'MtM Releases'!$F:$F,RESULTADO!$BN4,'MtM Releases'!$D:$D,RESULTADO!CS$3)</f>
        <v>0</v>
      </c>
      <c r="CT6" s="53">
        <f>SUMIFS('MtM Releases'!$H:$H,'MtM Releases'!$G:$G,RESULTADO!$BN6,'MtM Releases'!$F:$F,RESULTADO!$BN4,'MtM Releases'!$D:$D,RESULTADO!CT$3)</f>
        <v>0</v>
      </c>
      <c r="CU6" s="53">
        <f>SUMIFS('MtM Releases'!$H:$H,'MtM Releases'!$G:$G,RESULTADO!$BN6,'MtM Releases'!$F:$F,RESULTADO!$BN4,'MtM Releases'!$D:$D,RESULTADO!CU$3)</f>
        <v>0</v>
      </c>
      <c r="CV6" s="53">
        <f>SUMIFS('MtM Releases'!$H:$H,'MtM Releases'!$G:$G,RESULTADO!$BN6,'MtM Releases'!$F:$F,RESULTADO!$BN4,'MtM Releases'!$D:$D,RESULTADO!CV$3)</f>
        <v>0</v>
      </c>
      <c r="CW6" s="53">
        <f>SUMIFS('MtM Releases'!$H:$H,'MtM Releases'!$G:$G,RESULTADO!$BN6,'MtM Releases'!$F:$F,RESULTADO!$BN4,'MtM Releases'!$D:$D,RESULTADO!CW$3)</f>
        <v>0</v>
      </c>
      <c r="CX6" s="54">
        <f>SUMIFS('MtM Releases'!$H:$H,'MtM Releases'!$G:$G,RESULTADO!$BN6,'MtM Releases'!$F:$F,RESULTADO!$BN4,'MtM Releases'!$D:$D,RESULTADO!CX$3)</f>
        <v>0</v>
      </c>
      <c r="CY6" s="53">
        <f>SUMIFS('MtM Releases'!$H:$H,'MtM Releases'!$G:$G,RESULTADO!$BN6,'MtM Releases'!$F:$F,RESULTADO!$BN4,'MtM Releases'!$D:$D,RESULTADO!CY$3)</f>
        <v>0</v>
      </c>
      <c r="CZ6" s="53">
        <f>SUMIFS('MtM Releases'!$H:$H,'MtM Releases'!$G:$G,RESULTADO!$BN6,'MtM Releases'!$F:$F,RESULTADO!$BN4,'MtM Releases'!$D:$D,RESULTADO!CZ$3)</f>
        <v>0</v>
      </c>
      <c r="DA6" s="53">
        <f>SUMIFS('MtM Releases'!$H:$H,'MtM Releases'!$G:$G,RESULTADO!$BN6,'MtM Releases'!$F:$F,RESULTADO!$BN4,'MtM Releases'!$D:$D,RESULTADO!DA$3)</f>
        <v>0</v>
      </c>
      <c r="DB6" s="53">
        <f>SUMIFS('MtM Releases'!$H:$H,'MtM Releases'!$G:$G,RESULTADO!$BN6,'MtM Releases'!$F:$F,RESULTADO!$BN4,'MtM Releases'!$D:$D,RESULTADO!DB$3)</f>
        <v>0</v>
      </c>
      <c r="DC6" s="53">
        <f>SUMIFS('MtM Releases'!$H:$H,'MtM Releases'!$G:$G,RESULTADO!$BN6,'MtM Releases'!$F:$F,RESULTADO!$BN4,'MtM Releases'!$D:$D,RESULTADO!DC$3)</f>
        <v>0</v>
      </c>
      <c r="DD6" s="53">
        <f>SUMIFS('MtM Releases'!$H:$H,'MtM Releases'!$G:$G,RESULTADO!$BN6,'MtM Releases'!$F:$F,RESULTADO!$BN4,'MtM Releases'!$D:$D,RESULTADO!DD$3)</f>
        <v>0</v>
      </c>
      <c r="DE6" s="53">
        <f>SUMIFS('MtM Releases'!$H:$H,'MtM Releases'!$G:$G,RESULTADO!$BN6,'MtM Releases'!$F:$F,RESULTADO!$BN4,'MtM Releases'!$D:$D,RESULTADO!DE$3)</f>
        <v>0</v>
      </c>
      <c r="DF6" s="53">
        <f>SUMIFS('MtM Releases'!$H:$H,'MtM Releases'!$G:$G,RESULTADO!$BN6,'MtM Releases'!$F:$F,RESULTADO!$BN4,'MtM Releases'!$D:$D,RESULTADO!DF$3)</f>
        <v>0</v>
      </c>
      <c r="DG6" s="53">
        <f>SUMIFS('MtM Releases'!$H:$H,'MtM Releases'!$G:$G,RESULTADO!$BN6,'MtM Releases'!$F:$F,RESULTADO!$BN4,'MtM Releases'!$D:$D,RESULTADO!DG$3)</f>
        <v>0</v>
      </c>
      <c r="DH6" s="53">
        <f>SUMIFS('MtM Releases'!$H:$H,'MtM Releases'!$G:$G,RESULTADO!$BN6,'MtM Releases'!$F:$F,RESULTADO!$BN4,'MtM Releases'!$D:$D,RESULTADO!DH$3)</f>
        <v>0</v>
      </c>
      <c r="DI6" s="53">
        <f>SUMIFS('MtM Releases'!$H:$H,'MtM Releases'!$G:$G,RESULTADO!$BN6,'MtM Releases'!$F:$F,RESULTADO!$BN4,'MtM Releases'!$D:$D,RESULTADO!DI$3)</f>
        <v>0</v>
      </c>
      <c r="DJ6" s="63">
        <f>SUMIFS('MtM Releases'!$H:$H,'MtM Releases'!$G:$G,RESULTADO!$BN6,'MtM Releases'!$F:$F,RESULTADO!$BN4,'MtM Releases'!$D:$D,RESULTADO!DJ$3)</f>
        <v>0</v>
      </c>
      <c r="DK6" s="53">
        <f>SUMIFS('MtM Releases'!$H:$H,'MtM Releases'!$G:$G,RESULTADO!$BN6,'MtM Releases'!$F:$F,RESULTADO!$BN4,'MtM Releases'!$D:$D,RESULTADO!DK$3)</f>
        <v>0</v>
      </c>
      <c r="DL6" s="53">
        <f>SUMIFS('MtM Releases'!$H:$H,'MtM Releases'!$G:$G,RESULTADO!$BN6,'MtM Releases'!$F:$F,RESULTADO!$BN4,'MtM Releases'!$D:$D,RESULTADO!DL$3)</f>
        <v>0</v>
      </c>
      <c r="DM6" s="53">
        <f>SUMIFS('MtM Releases'!$H:$H,'MtM Releases'!$G:$G,RESULTADO!$BN6,'MtM Releases'!$F:$F,RESULTADO!$BN4,'MtM Releases'!$D:$D,RESULTADO!DM$3)</f>
        <v>0</v>
      </c>
      <c r="DN6" s="53">
        <f>SUMIFS('MtM Releases'!$H:$H,'MtM Releases'!$G:$G,RESULTADO!$BN6,'MtM Releases'!$F:$F,RESULTADO!$BN4,'MtM Releases'!$D:$D,RESULTADO!DN$3)</f>
        <v>0</v>
      </c>
      <c r="DO6" s="53">
        <f>SUMIFS('MtM Releases'!$H:$H,'MtM Releases'!$G:$G,RESULTADO!$BN6,'MtM Releases'!$F:$F,RESULTADO!$BN4,'MtM Releases'!$D:$D,RESULTADO!DO$3)</f>
        <v>0</v>
      </c>
      <c r="DP6" s="53">
        <f>SUMIFS('MtM Releases'!$H:$H,'MtM Releases'!$G:$G,RESULTADO!$BN6,'MtM Releases'!$F:$F,RESULTADO!$BN4,'MtM Releases'!$D:$D,RESULTADO!DP$3)</f>
        <v>0</v>
      </c>
      <c r="DQ6" s="53">
        <f>SUMIFS('MtM Releases'!$H:$H,'MtM Releases'!$G:$G,RESULTADO!$BN6,'MtM Releases'!$F:$F,RESULTADO!$BN4,'MtM Releases'!$D:$D,RESULTADO!DQ$3)</f>
        <v>0</v>
      </c>
      <c r="DR6" s="53">
        <f>SUMIFS('MtM Releases'!$H:$H,'MtM Releases'!$G:$G,RESULTADO!$BN6,'MtM Releases'!$F:$F,RESULTADO!$BN4,'MtM Releases'!$D:$D,RESULTADO!DR$3)</f>
        <v>0</v>
      </c>
      <c r="DS6" s="53">
        <f>SUMIFS('MtM Releases'!$H:$H,'MtM Releases'!$G:$G,RESULTADO!$BN6,'MtM Releases'!$F:$F,RESULTADO!$BN4,'MtM Releases'!$D:$D,RESULTADO!DS$3)</f>
        <v>0</v>
      </c>
      <c r="DT6" s="53">
        <f>SUMIFS('MtM Releases'!$H:$H,'MtM Releases'!$G:$G,RESULTADO!$BN6,'MtM Releases'!$F:$F,RESULTADO!$BN4,'MtM Releases'!$D:$D,RESULTADO!DT$3)</f>
        <v>0</v>
      </c>
      <c r="DU6" s="53">
        <f>SUMIFS('MtM Releases'!$H:$H,'MtM Releases'!$G:$G,RESULTADO!$BN6,'MtM Releases'!$F:$F,RESULTADO!$BN4,'MtM Releases'!$D:$D,RESULTADO!DU$3)</f>
        <v>0</v>
      </c>
      <c r="DV6" s="63">
        <f>SUMIFS('MtM Releases'!$H:$H,'MtM Releases'!$G:$G,RESULTADO!$BN6,'MtM Releases'!$F:$F,RESULTADO!$BN4,'MtM Releases'!$D:$D,RESULTADO!DV$3)</f>
        <v>0</v>
      </c>
      <c r="EB6" s="11"/>
    </row>
    <row r="7" spans="2:132" x14ac:dyDescent="0.25">
      <c r="B7" s="57" t="s">
        <v>13</v>
      </c>
      <c r="C7" s="53">
        <f>(SUMIFS(MtM!$M:$M,MtM!$I:$I,RESULTADO!$B7,MtM!$H:$H,RESULTADO!$B$4,MtM!$E:$E,RESULTADO!C$3)-SUMIFS(MtM!$N:$N,MtM!$I:$I,RESULTADO!$B7,MtM!$H:$H,RESULTADO!$B$4,MtM!$E:$E,RESULTADO!C$3))</f>
        <v>-55</v>
      </c>
      <c r="D7" s="53">
        <f>(SUMIFS(MtM!$M:$M,MtM!$I:$I,RESULTADO!$B7,MtM!$H:$H,RESULTADO!$B$4,MtM!$E:$E,RESULTADO!D$3)-SUMIFS(MtM!$N:$N,MtM!$I:$I,RESULTADO!$B7,MtM!$H:$H,RESULTADO!$B$4,MtM!$E:$E,RESULTADO!D$3))</f>
        <v>-55</v>
      </c>
      <c r="E7" s="53">
        <f>(SUMIFS(MtM!$M:$M,MtM!$I:$I,RESULTADO!$B7,MtM!$H:$H,RESULTADO!$B$4,MtM!$E:$E,RESULTADO!E$3)-SUMIFS(MtM!$N:$N,MtM!$I:$I,RESULTADO!$B7,MtM!$H:$H,RESULTADO!$B$4,MtM!$E:$E,RESULTADO!E$3))</f>
        <v>-55</v>
      </c>
      <c r="F7" s="53">
        <f>(SUMIFS(MtM!$M:$M,MtM!$I:$I,RESULTADO!$B7,MtM!$H:$H,RESULTADO!$B$4,MtM!$E:$E,RESULTADO!F$3)-SUMIFS(MtM!$N:$N,MtM!$I:$I,RESULTADO!$B7,MtM!$H:$H,RESULTADO!$B$4,MtM!$E:$E,RESULTADO!F$3))</f>
        <v>-55</v>
      </c>
      <c r="G7" s="53">
        <f>(SUMIFS(MtM!$M:$M,MtM!$I:$I,RESULTADO!$B7,MtM!$H:$H,RESULTADO!$B$4,MtM!$E:$E,RESULTADO!G$3)-SUMIFS(MtM!$N:$N,MtM!$I:$I,RESULTADO!$B7,MtM!$H:$H,RESULTADO!$B$4,MtM!$E:$E,RESULTADO!G$3))</f>
        <v>-55</v>
      </c>
      <c r="H7" s="53">
        <f>(SUMIFS(MtM!$M:$M,MtM!$I:$I,RESULTADO!$B7,MtM!$H:$H,RESULTADO!$B$4,MtM!$E:$E,RESULTADO!H$3)-SUMIFS(MtM!$N:$N,MtM!$I:$I,RESULTADO!$B7,MtM!$H:$H,RESULTADO!$B$4,MtM!$E:$E,RESULTADO!H$3))</f>
        <v>-55</v>
      </c>
      <c r="I7" s="53">
        <f>(SUMIFS(MtM!$M:$M,MtM!$I:$I,RESULTADO!$B7,MtM!$H:$H,RESULTADO!$B$4,MtM!$E:$E,RESULTADO!I$3)-SUMIFS(MtM!$N:$N,MtM!$I:$I,RESULTADO!$B7,MtM!$H:$H,RESULTADO!$B$4,MtM!$E:$E,RESULTADO!I$3))</f>
        <v>-65</v>
      </c>
      <c r="J7" s="53">
        <f>(SUMIFS(MtM!$M:$M,MtM!$I:$I,RESULTADO!$B7,MtM!$H:$H,RESULTADO!$B$4,MtM!$E:$E,RESULTADO!J$3)-SUMIFS(MtM!$N:$N,MtM!$I:$I,RESULTADO!$B7,MtM!$H:$H,RESULTADO!$B$4,MtM!$E:$E,RESULTADO!J$3))</f>
        <v>-65</v>
      </c>
      <c r="K7" s="53">
        <f>(SUMIFS(MtM!$M:$M,MtM!$I:$I,RESULTADO!$B7,MtM!$H:$H,RESULTADO!$B$4,MtM!$E:$E,RESULTADO!K$3)-SUMIFS(MtM!$N:$N,MtM!$I:$I,RESULTADO!$B7,MtM!$H:$H,RESULTADO!$B$4,MtM!$E:$E,RESULTADO!K$3))</f>
        <v>-65</v>
      </c>
      <c r="L7" s="53">
        <f>(SUMIFS(MtM!$M:$M,MtM!$I:$I,RESULTADO!$B7,MtM!$H:$H,RESULTADO!$B$4,MtM!$E:$E,RESULTADO!L$3)-SUMIFS(MtM!$N:$N,MtM!$I:$I,RESULTADO!$B7,MtM!$H:$H,RESULTADO!$B$4,MtM!$E:$E,RESULTADO!L$3))</f>
        <v>-65</v>
      </c>
      <c r="M7" s="53">
        <f>(SUMIFS(MtM!$M:$M,MtM!$I:$I,RESULTADO!$B7,MtM!$H:$H,RESULTADO!$B$4,MtM!$E:$E,RESULTADO!M$3)-SUMIFS(MtM!$N:$N,MtM!$I:$I,RESULTADO!$B7,MtM!$H:$H,RESULTADO!$B$4,MtM!$E:$E,RESULTADO!M$3))</f>
        <v>-65</v>
      </c>
      <c r="N7" s="54">
        <f>(SUMIFS(MtM!$M:$M,MtM!$I:$I,RESULTADO!$B7,MtM!$H:$H,RESULTADO!$B$4,MtM!$E:$E,RESULTADO!N$3)-SUMIFS(MtM!$N:$N,MtM!$I:$I,RESULTADO!$B7,MtM!$H:$H,RESULTADO!$B$4,MtM!$E:$E,RESULTADO!N$3))</f>
        <v>-65</v>
      </c>
      <c r="O7" s="53">
        <f>(SUMIFS(MtM!$M:$M,MtM!$I:$I,RESULTADO!$B7,MtM!$H:$H,RESULTADO!$B$4,MtM!$E:$E,RESULTADO!O$3)-SUMIFS(MtM!$N:$N,MtM!$I:$I,RESULTADO!$B7,MtM!$H:$H,RESULTADO!$B$4,MtM!$E:$E,RESULTADO!O$3))</f>
        <v>0.7</v>
      </c>
      <c r="P7" s="53">
        <f>(SUMIFS(MtM!$M:$M,MtM!$I:$I,RESULTADO!$B7,MtM!$H:$H,RESULTADO!$B$4,MtM!$E:$E,RESULTADO!P$3)-SUMIFS(MtM!$N:$N,MtM!$I:$I,RESULTADO!$B7,MtM!$H:$H,RESULTADO!$B$4,MtM!$E:$E,RESULTADO!P$3))</f>
        <v>0.7</v>
      </c>
      <c r="Q7" s="53">
        <f>(SUMIFS(MtM!$M:$M,MtM!$I:$I,RESULTADO!$B7,MtM!$H:$H,RESULTADO!$B$4,MtM!$E:$E,RESULTADO!Q$3)-SUMIFS(MtM!$N:$N,MtM!$I:$I,RESULTADO!$B7,MtM!$H:$H,RESULTADO!$B$4,MtM!$E:$E,RESULTADO!Q$3))</f>
        <v>0.7</v>
      </c>
      <c r="R7" s="53">
        <f>(SUMIFS(MtM!$M:$M,MtM!$I:$I,RESULTADO!$B7,MtM!$H:$H,RESULTADO!$B$4,MtM!$E:$E,RESULTADO!R$3)-SUMIFS(MtM!$N:$N,MtM!$I:$I,RESULTADO!$B7,MtM!$H:$H,RESULTADO!$B$4,MtM!$E:$E,RESULTADO!R$3))</f>
        <v>0.7</v>
      </c>
      <c r="S7" s="53">
        <f>(SUMIFS(MtM!$M:$M,MtM!$I:$I,RESULTADO!$B7,MtM!$H:$H,RESULTADO!$B$4,MtM!$E:$E,RESULTADO!S$3)-SUMIFS(MtM!$N:$N,MtM!$I:$I,RESULTADO!$B7,MtM!$H:$H,RESULTADO!$B$4,MtM!$E:$E,RESULTADO!S$3))</f>
        <v>0.7</v>
      </c>
      <c r="T7" s="53">
        <f>(SUMIFS(MtM!$M:$M,MtM!$I:$I,RESULTADO!$B7,MtM!$H:$H,RESULTADO!$B$4,MtM!$E:$E,RESULTADO!T$3)-SUMIFS(MtM!$N:$N,MtM!$I:$I,RESULTADO!$B7,MtM!$H:$H,RESULTADO!$B$4,MtM!$E:$E,RESULTADO!T$3))</f>
        <v>0.7</v>
      </c>
      <c r="U7" s="53">
        <f>(SUMIFS(MtM!$M:$M,MtM!$I:$I,RESULTADO!$B7,MtM!$H:$H,RESULTADO!$B$4,MtM!$E:$E,RESULTADO!U$3)-SUMIFS(MtM!$N:$N,MtM!$I:$I,RESULTADO!$B7,MtM!$H:$H,RESULTADO!$B$4,MtM!$E:$E,RESULTADO!U$3))</f>
        <v>0.7</v>
      </c>
      <c r="V7" s="53">
        <f>(SUMIFS(MtM!$M:$M,MtM!$I:$I,RESULTADO!$B7,MtM!$H:$H,RESULTADO!$B$4,MtM!$E:$E,RESULTADO!V$3)-SUMIFS(MtM!$N:$N,MtM!$I:$I,RESULTADO!$B7,MtM!$H:$H,RESULTADO!$B$4,MtM!$E:$E,RESULTADO!V$3))</f>
        <v>0.7</v>
      </c>
      <c r="W7" s="53">
        <f>(SUMIFS(MtM!$M:$M,MtM!$I:$I,RESULTADO!$B7,MtM!$H:$H,RESULTADO!$B$4,MtM!$E:$E,RESULTADO!W$3)-SUMIFS(MtM!$N:$N,MtM!$I:$I,RESULTADO!$B7,MtM!$H:$H,RESULTADO!$B$4,MtM!$E:$E,RESULTADO!W$3))</f>
        <v>0.7</v>
      </c>
      <c r="X7" s="53">
        <f>(SUMIFS(MtM!$M:$M,MtM!$I:$I,RESULTADO!$B7,MtM!$H:$H,RESULTADO!$B$4,MtM!$E:$E,RESULTADO!X$3)-SUMIFS(MtM!$N:$N,MtM!$I:$I,RESULTADO!$B7,MtM!$H:$H,RESULTADO!$B$4,MtM!$E:$E,RESULTADO!X$3))</f>
        <v>0.7</v>
      </c>
      <c r="Y7" s="53">
        <f>(SUMIFS(MtM!$M:$M,MtM!$I:$I,RESULTADO!$B7,MtM!$H:$H,RESULTADO!$B$4,MtM!$E:$E,RESULTADO!Y$3)-SUMIFS(MtM!$N:$N,MtM!$I:$I,RESULTADO!$B7,MtM!$H:$H,RESULTADO!$B$4,MtM!$E:$E,RESULTADO!Y$3))</f>
        <v>0.7</v>
      </c>
      <c r="Z7" s="63">
        <f>(SUMIFS(MtM!$M:$M,MtM!$I:$I,RESULTADO!$B7,MtM!$H:$H,RESULTADO!$B$4,MtM!$E:$E,RESULTADO!Z$3)-SUMIFS(MtM!$N:$N,MtM!$I:$I,RESULTADO!$B7,MtM!$H:$H,RESULTADO!$B$4,MtM!$E:$E,RESULTADO!Z$3))</f>
        <v>0.7</v>
      </c>
      <c r="AA7" s="53">
        <f>(SUMIFS(MtM!$M:$M,MtM!$I:$I,RESULTADO!$B7,MtM!$H:$H,RESULTADO!$B$4,MtM!$E:$E,RESULTADO!AA$3)-SUMIFS(MtM!$N:$N,MtM!$I:$I,RESULTADO!$B7,MtM!$H:$H,RESULTADO!$B$4,MtM!$E:$E,RESULTADO!AA$3))</f>
        <v>0</v>
      </c>
      <c r="AB7" s="53">
        <f>(SUMIFS(MtM!$M:$M,MtM!$I:$I,RESULTADO!$B7,MtM!$H:$H,RESULTADO!$B$4,MtM!$E:$E,RESULTADO!AB$3)-SUMIFS(MtM!$N:$N,MtM!$I:$I,RESULTADO!$B7,MtM!$H:$H,RESULTADO!$B$4,MtM!$E:$E,RESULTADO!AB$3))</f>
        <v>0</v>
      </c>
      <c r="AC7" s="53">
        <f>(SUMIFS(MtM!$M:$M,MtM!$I:$I,RESULTADO!$B7,MtM!$H:$H,RESULTADO!$B$4,MtM!$E:$E,RESULTADO!AC$3)-SUMIFS(MtM!$N:$N,MtM!$I:$I,RESULTADO!$B7,MtM!$H:$H,RESULTADO!$B$4,MtM!$E:$E,RESULTADO!AC$3))</f>
        <v>0</v>
      </c>
      <c r="AD7" s="53">
        <f>(SUMIFS(MtM!$M:$M,MtM!$I:$I,RESULTADO!$B7,MtM!$H:$H,RESULTADO!$B$4,MtM!$E:$E,RESULTADO!AD$3)-SUMIFS(MtM!$N:$N,MtM!$I:$I,RESULTADO!$B7,MtM!$H:$H,RESULTADO!$B$4,MtM!$E:$E,RESULTADO!AD$3))</f>
        <v>0</v>
      </c>
      <c r="AE7" s="53">
        <f>(SUMIFS(MtM!$M:$M,MtM!$I:$I,RESULTADO!$B7,MtM!$H:$H,RESULTADO!$B$4,MtM!$E:$E,RESULTADO!AE$3)-SUMIFS(MtM!$N:$N,MtM!$I:$I,RESULTADO!$B7,MtM!$H:$H,RESULTADO!$B$4,MtM!$E:$E,RESULTADO!AE$3))</f>
        <v>0</v>
      </c>
      <c r="AF7" s="53">
        <f>(SUMIFS(MtM!$M:$M,MtM!$I:$I,RESULTADO!$B7,MtM!$H:$H,RESULTADO!$B$4,MtM!$E:$E,RESULTADO!AF$3)-SUMIFS(MtM!$N:$N,MtM!$I:$I,RESULTADO!$B7,MtM!$H:$H,RESULTADO!$B$4,MtM!$E:$E,RESULTADO!AF$3))</f>
        <v>0</v>
      </c>
      <c r="AG7" s="53">
        <f>(SUMIFS(MtM!$M:$M,MtM!$I:$I,RESULTADO!$B7,MtM!$H:$H,RESULTADO!$B$4,MtM!$E:$E,RESULTADO!AG$3)-SUMIFS(MtM!$N:$N,MtM!$I:$I,RESULTADO!$B7,MtM!$H:$H,RESULTADO!$B$4,MtM!$E:$E,RESULTADO!AG$3))</f>
        <v>0</v>
      </c>
      <c r="AH7" s="53">
        <f>(SUMIFS(MtM!$M:$M,MtM!$I:$I,RESULTADO!$B7,MtM!$H:$H,RESULTADO!$B$4,MtM!$E:$E,RESULTADO!AH$3)-SUMIFS(MtM!$N:$N,MtM!$I:$I,RESULTADO!$B7,MtM!$H:$H,RESULTADO!$B$4,MtM!$E:$E,RESULTADO!AH$3))</f>
        <v>0</v>
      </c>
      <c r="AI7" s="53">
        <f>(SUMIFS(MtM!$M:$M,MtM!$I:$I,RESULTADO!$B7,MtM!$H:$H,RESULTADO!$B$4,MtM!$E:$E,RESULTADO!AI$3)-SUMIFS(MtM!$N:$N,MtM!$I:$I,RESULTADO!$B7,MtM!$H:$H,RESULTADO!$B$4,MtM!$E:$E,RESULTADO!AI$3))</f>
        <v>0</v>
      </c>
      <c r="AJ7" s="53">
        <f>(SUMIFS(MtM!$M:$M,MtM!$I:$I,RESULTADO!$B7,MtM!$H:$H,RESULTADO!$B$4,MtM!$E:$E,RESULTADO!AJ$3)-SUMIFS(MtM!$N:$N,MtM!$I:$I,RESULTADO!$B7,MtM!$H:$H,RESULTADO!$B$4,MtM!$E:$E,RESULTADO!AJ$3))</f>
        <v>0</v>
      </c>
      <c r="AK7" s="53">
        <f>(SUMIFS(MtM!$M:$M,MtM!$I:$I,RESULTADO!$B7,MtM!$H:$H,RESULTADO!$B$4,MtM!$E:$E,RESULTADO!AK$3)-SUMIFS(MtM!$N:$N,MtM!$I:$I,RESULTADO!$B7,MtM!$H:$H,RESULTADO!$B$4,MtM!$E:$E,RESULTADO!AK$3))</f>
        <v>0</v>
      </c>
      <c r="AL7" s="54">
        <f>(SUMIFS(MtM!$M:$M,MtM!$I:$I,RESULTADO!$B7,MtM!$H:$H,RESULTADO!$B$4,MtM!$E:$E,RESULTADO!AL$3)-SUMIFS(MtM!$N:$N,MtM!$I:$I,RESULTADO!$B7,MtM!$H:$H,RESULTADO!$B$4,MtM!$E:$E,RESULTADO!AL$3))</f>
        <v>0</v>
      </c>
      <c r="AM7" s="53">
        <f>(SUMIFS(MtM!$M:$M,MtM!$I:$I,RESULTADO!$B7,MtM!$H:$H,RESULTADO!$B$4,MtM!$E:$E,RESULTADO!AM$3)-SUMIFS(MtM!$N:$N,MtM!$I:$I,RESULTADO!$B7,MtM!$H:$H,RESULTADO!$B$4,MtM!$E:$E,RESULTADO!AM$3))</f>
        <v>0</v>
      </c>
      <c r="AN7" s="53">
        <f>(SUMIFS(MtM!$M:$M,MtM!$I:$I,RESULTADO!$B7,MtM!$H:$H,RESULTADO!$B$4,MtM!$E:$E,RESULTADO!AN$3)-SUMIFS(MtM!$N:$N,MtM!$I:$I,RESULTADO!$B7,MtM!$H:$H,RESULTADO!$B$4,MtM!$E:$E,RESULTADO!AN$3))</f>
        <v>0</v>
      </c>
      <c r="AO7" s="53">
        <f>(SUMIFS(MtM!$M:$M,MtM!$I:$I,RESULTADO!$B7,MtM!$H:$H,RESULTADO!$B$4,MtM!$E:$E,RESULTADO!AO$3)-SUMIFS(MtM!$N:$N,MtM!$I:$I,RESULTADO!$B7,MtM!$H:$H,RESULTADO!$B$4,MtM!$E:$E,RESULTADO!AO$3))</f>
        <v>0</v>
      </c>
      <c r="AP7" s="53">
        <f>(SUMIFS(MtM!$M:$M,MtM!$I:$I,RESULTADO!$B7,MtM!$H:$H,RESULTADO!$B$4,MtM!$E:$E,RESULTADO!AP$3)-SUMIFS(MtM!$N:$N,MtM!$I:$I,RESULTADO!$B7,MtM!$H:$H,RESULTADO!$B$4,MtM!$E:$E,RESULTADO!AP$3))</f>
        <v>0</v>
      </c>
      <c r="AQ7" s="53">
        <f>(SUMIFS(MtM!$M:$M,MtM!$I:$I,RESULTADO!$B7,MtM!$H:$H,RESULTADO!$B$4,MtM!$E:$E,RESULTADO!AQ$3)-SUMIFS(MtM!$N:$N,MtM!$I:$I,RESULTADO!$B7,MtM!$H:$H,RESULTADO!$B$4,MtM!$E:$E,RESULTADO!AQ$3))</f>
        <v>0</v>
      </c>
      <c r="AR7" s="53">
        <f>(SUMIFS(MtM!$M:$M,MtM!$I:$I,RESULTADO!$B7,MtM!$H:$H,RESULTADO!$B$4,MtM!$E:$E,RESULTADO!AR$3)-SUMIFS(MtM!$N:$N,MtM!$I:$I,RESULTADO!$B7,MtM!$H:$H,RESULTADO!$B$4,MtM!$E:$E,RESULTADO!AR$3))</f>
        <v>0</v>
      </c>
      <c r="AS7" s="53">
        <f>(SUMIFS(MtM!$M:$M,MtM!$I:$I,RESULTADO!$B7,MtM!$H:$H,RESULTADO!$B$4,MtM!$E:$E,RESULTADO!AS$3)-SUMIFS(MtM!$N:$N,MtM!$I:$I,RESULTADO!$B7,MtM!$H:$H,RESULTADO!$B$4,MtM!$E:$E,RESULTADO!AS$3))</f>
        <v>0</v>
      </c>
      <c r="AT7" s="53">
        <f>(SUMIFS(MtM!$M:$M,MtM!$I:$I,RESULTADO!$B7,MtM!$H:$H,RESULTADO!$B$4,MtM!$E:$E,RESULTADO!AT$3)-SUMIFS(MtM!$N:$N,MtM!$I:$I,RESULTADO!$B7,MtM!$H:$H,RESULTADO!$B$4,MtM!$E:$E,RESULTADO!AT$3))</f>
        <v>0</v>
      </c>
      <c r="AU7" s="53">
        <f>(SUMIFS(MtM!$M:$M,MtM!$I:$I,RESULTADO!$B7,MtM!$H:$H,RESULTADO!$B$4,MtM!$E:$E,RESULTADO!AU$3)-SUMIFS(MtM!$N:$N,MtM!$I:$I,RESULTADO!$B7,MtM!$H:$H,RESULTADO!$B$4,MtM!$E:$E,RESULTADO!AU$3))</f>
        <v>0</v>
      </c>
      <c r="AV7" s="53">
        <f>(SUMIFS(MtM!$M:$M,MtM!$I:$I,RESULTADO!$B7,MtM!$H:$H,RESULTADO!$B$4,MtM!$E:$E,RESULTADO!AV$3)-SUMIFS(MtM!$N:$N,MtM!$I:$I,RESULTADO!$B7,MtM!$H:$H,RESULTADO!$B$4,MtM!$E:$E,RESULTADO!AV$3))</f>
        <v>0</v>
      </c>
      <c r="AW7" s="53">
        <f>(SUMIFS(MtM!$M:$M,MtM!$I:$I,RESULTADO!$B7,MtM!$H:$H,RESULTADO!$B$4,MtM!$E:$E,RESULTADO!AW$3)-SUMIFS(MtM!$N:$N,MtM!$I:$I,RESULTADO!$B7,MtM!$H:$H,RESULTADO!$B$4,MtM!$E:$E,RESULTADO!AW$3))</f>
        <v>0</v>
      </c>
      <c r="AX7" s="63">
        <f>(SUMIFS(MtM!$M:$M,MtM!$I:$I,RESULTADO!$B7,MtM!$H:$H,RESULTADO!$B$4,MtM!$E:$E,RESULTADO!AX$3)-SUMIFS(MtM!$N:$N,MtM!$I:$I,RESULTADO!$B7,MtM!$H:$H,RESULTADO!$B$4,MtM!$E:$E,RESULTADO!AX$3))</f>
        <v>0</v>
      </c>
      <c r="AY7" s="53">
        <f>(SUMIFS(MtM!$M:$M,MtM!$I:$I,RESULTADO!$B7,MtM!$H:$H,RESULTADO!$B$4,MtM!$E:$E,RESULTADO!AY$3)-SUMIFS(MtM!$N:$N,MtM!$I:$I,RESULTADO!$B7,MtM!$H:$H,RESULTADO!$B$4,MtM!$E:$E,RESULTADO!AY$3))</f>
        <v>0</v>
      </c>
      <c r="AZ7" s="53">
        <f>(SUMIFS(MtM!$M:$M,MtM!$I:$I,RESULTADO!$B7,MtM!$H:$H,RESULTADO!$B$4,MtM!$E:$E,RESULTADO!AZ$3)-SUMIFS(MtM!$N:$N,MtM!$I:$I,RESULTADO!$B7,MtM!$H:$H,RESULTADO!$B$4,MtM!$E:$E,RESULTADO!AZ$3))</f>
        <v>0</v>
      </c>
      <c r="BA7" s="53">
        <f>(SUMIFS(MtM!$M:$M,MtM!$I:$I,RESULTADO!$B7,MtM!$H:$H,RESULTADO!$B$4,MtM!$E:$E,RESULTADO!BA$3)-SUMIFS(MtM!$N:$N,MtM!$I:$I,RESULTADO!$B7,MtM!$H:$H,RESULTADO!$B$4,MtM!$E:$E,RESULTADO!BA$3))</f>
        <v>0</v>
      </c>
      <c r="BB7" s="53">
        <f>(SUMIFS(MtM!$M:$M,MtM!$I:$I,RESULTADO!$B7,MtM!$H:$H,RESULTADO!$B$4,MtM!$E:$E,RESULTADO!BB$3)-SUMIFS(MtM!$N:$N,MtM!$I:$I,RESULTADO!$B7,MtM!$H:$H,RESULTADO!$B$4,MtM!$E:$E,RESULTADO!BB$3))</f>
        <v>0</v>
      </c>
      <c r="BC7" s="53">
        <f>(SUMIFS(MtM!$M:$M,MtM!$I:$I,RESULTADO!$B7,MtM!$H:$H,RESULTADO!$B$4,MtM!$E:$E,RESULTADO!BC$3)-SUMIFS(MtM!$N:$N,MtM!$I:$I,RESULTADO!$B7,MtM!$H:$H,RESULTADO!$B$4,MtM!$E:$E,RESULTADO!BC$3))</f>
        <v>0</v>
      </c>
      <c r="BD7" s="53">
        <f>(SUMIFS(MtM!$M:$M,MtM!$I:$I,RESULTADO!$B7,MtM!$H:$H,RESULTADO!$B$4,MtM!$E:$E,RESULTADO!BD$3)-SUMIFS(MtM!$N:$N,MtM!$I:$I,RESULTADO!$B7,MtM!$H:$H,RESULTADO!$B$4,MtM!$E:$E,RESULTADO!BD$3))</f>
        <v>0</v>
      </c>
      <c r="BE7" s="53">
        <f>(SUMIFS(MtM!$M:$M,MtM!$I:$I,RESULTADO!$B7,MtM!$H:$H,RESULTADO!$B$4,MtM!$E:$E,RESULTADO!BE$3)-SUMIFS(MtM!$N:$N,MtM!$I:$I,RESULTADO!$B7,MtM!$H:$H,RESULTADO!$B$4,MtM!$E:$E,RESULTADO!BE$3))</f>
        <v>0</v>
      </c>
      <c r="BF7" s="53">
        <f>(SUMIFS(MtM!$M:$M,MtM!$I:$I,RESULTADO!$B7,MtM!$H:$H,RESULTADO!$B$4,MtM!$E:$E,RESULTADO!BF$3)-SUMIFS(MtM!$N:$N,MtM!$I:$I,RESULTADO!$B7,MtM!$H:$H,RESULTADO!$B$4,MtM!$E:$E,RESULTADO!BF$3))</f>
        <v>0</v>
      </c>
      <c r="BG7" s="53">
        <f>(SUMIFS(MtM!$M:$M,MtM!$I:$I,RESULTADO!$B7,MtM!$H:$H,RESULTADO!$B$4,MtM!$E:$E,RESULTADO!BG$3)-SUMIFS(MtM!$N:$N,MtM!$I:$I,RESULTADO!$B7,MtM!$H:$H,RESULTADO!$B$4,MtM!$E:$E,RESULTADO!BG$3))</f>
        <v>0</v>
      </c>
      <c r="BH7" s="53">
        <f>(SUMIFS(MtM!$M:$M,MtM!$I:$I,RESULTADO!$B7,MtM!$H:$H,RESULTADO!$B$4,MtM!$E:$E,RESULTADO!BH$3)-SUMIFS(MtM!$N:$N,MtM!$I:$I,RESULTADO!$B7,MtM!$H:$H,RESULTADO!$B$4,MtM!$E:$E,RESULTADO!BH$3))</f>
        <v>0</v>
      </c>
      <c r="BI7" s="53">
        <f>(SUMIFS(MtM!$M:$M,MtM!$I:$I,RESULTADO!$B7,MtM!$H:$H,RESULTADO!$B$4,MtM!$E:$E,RESULTADO!BI$3)-SUMIFS(MtM!$N:$N,MtM!$I:$I,RESULTADO!$B7,MtM!$H:$H,RESULTADO!$B$4,MtM!$E:$E,RESULTADO!BI$3))</f>
        <v>0</v>
      </c>
      <c r="BJ7" s="63">
        <f>(SUMIFS(MtM!$M:$M,MtM!$I:$I,RESULTADO!$B7,MtM!$H:$H,RESULTADO!$B$4,MtM!$E:$E,RESULTADO!BJ$3)-SUMIFS(MtM!$N:$N,MtM!$I:$I,RESULTADO!$B7,MtM!$H:$H,RESULTADO!$B$4,MtM!$E:$E,RESULTADO!BJ$3))</f>
        <v>0</v>
      </c>
      <c r="BL7" s="120"/>
      <c r="BN7" s="57" t="s">
        <v>13</v>
      </c>
      <c r="BO7" s="53">
        <f>SUMIFS('MtM Releases'!$H:$H,'MtM Releases'!$G:$G,RESULTADO!$BN7,'MtM Releases'!$F:$F,RESULTADO!$BN4,'MtM Releases'!$D:$D,RESULTADO!BO$3)</f>
        <v>55</v>
      </c>
      <c r="BP7" s="53">
        <f>SUMIFS('MtM Releases'!$H:$H,'MtM Releases'!$G:$G,RESULTADO!$BN7,'MtM Releases'!$F:$F,RESULTADO!$BN4,'MtM Releases'!$D:$D,RESULTADO!BP$3)</f>
        <v>55</v>
      </c>
      <c r="BQ7" s="53">
        <f>SUMIFS('MtM Releases'!$H:$H,'MtM Releases'!$G:$G,RESULTADO!$BN7,'MtM Releases'!$F:$F,RESULTADO!$BN4,'MtM Releases'!$D:$D,RESULTADO!BQ$3)</f>
        <v>55</v>
      </c>
      <c r="BR7" s="53">
        <f>SUMIFS('MtM Releases'!$H:$H,'MtM Releases'!$G:$G,RESULTADO!$BN7,'MtM Releases'!$F:$F,RESULTADO!$BN4,'MtM Releases'!$D:$D,RESULTADO!BR$3)</f>
        <v>55</v>
      </c>
      <c r="BS7" s="53">
        <f>SUMIFS('MtM Releases'!$H:$H,'MtM Releases'!$G:$G,RESULTADO!$BN7,'MtM Releases'!$F:$F,RESULTADO!$BN4,'MtM Releases'!$D:$D,RESULTADO!BS$3)</f>
        <v>55</v>
      </c>
      <c r="BT7" s="53">
        <f>SUMIFS('MtM Releases'!$H:$H,'MtM Releases'!$G:$G,RESULTADO!$BN7,'MtM Releases'!$F:$F,RESULTADO!$BN4,'MtM Releases'!$D:$D,RESULTADO!BT$3)</f>
        <v>55</v>
      </c>
      <c r="BU7" s="53">
        <f>SUMIFS('MtM Releases'!$H:$H,'MtM Releases'!$G:$G,RESULTADO!$BN7,'MtM Releases'!$F:$F,RESULTADO!$BN4,'MtM Releases'!$D:$D,RESULTADO!BU$3)</f>
        <v>65</v>
      </c>
      <c r="BV7" s="53">
        <f>SUMIFS('MtM Releases'!$H:$H,'MtM Releases'!$G:$G,RESULTADO!$BN7,'MtM Releases'!$F:$F,RESULTADO!$BN4,'MtM Releases'!$D:$D,RESULTADO!BV$3)</f>
        <v>65</v>
      </c>
      <c r="BW7" s="53">
        <f>SUMIFS('MtM Releases'!$H:$H,'MtM Releases'!$G:$G,RESULTADO!$BN7,'MtM Releases'!$F:$F,RESULTADO!$BN4,'MtM Releases'!$D:$D,RESULTADO!BW$3)</f>
        <v>65</v>
      </c>
      <c r="BX7" s="53">
        <f>SUMIFS('MtM Releases'!$H:$H,'MtM Releases'!$G:$G,RESULTADO!$BN7,'MtM Releases'!$F:$F,RESULTADO!$BN4,'MtM Releases'!$D:$D,RESULTADO!BX$3)</f>
        <v>65</v>
      </c>
      <c r="BY7" s="53">
        <f>SUMIFS('MtM Releases'!$H:$H,'MtM Releases'!$G:$G,RESULTADO!$BN7,'MtM Releases'!$F:$F,RESULTADO!$BN4,'MtM Releases'!$D:$D,RESULTADO!BY$3)</f>
        <v>65</v>
      </c>
      <c r="BZ7" s="54">
        <f>SUMIFS('MtM Releases'!$H:$H,'MtM Releases'!$G:$G,RESULTADO!$BN7,'MtM Releases'!$F:$F,RESULTADO!$BN4,'MtM Releases'!$D:$D,RESULTADO!BZ$3)</f>
        <v>65</v>
      </c>
      <c r="CA7" s="53">
        <f>SUMIFS('MtM Releases'!$H:$H,'MtM Releases'!$G:$G,RESULTADO!$BN7,'MtM Releases'!$F:$F,RESULTADO!$BN4,'MtM Releases'!$D:$D,RESULTADO!CA$3)</f>
        <v>-0.7</v>
      </c>
      <c r="CB7" s="53">
        <f>SUMIFS('MtM Releases'!$H:$H,'MtM Releases'!$G:$G,RESULTADO!$BN7,'MtM Releases'!$F:$F,RESULTADO!$BN4,'MtM Releases'!$D:$D,RESULTADO!CB$3)</f>
        <v>-0.7</v>
      </c>
      <c r="CC7" s="53">
        <f>SUMIFS('MtM Releases'!$H:$H,'MtM Releases'!$G:$G,RESULTADO!$BN7,'MtM Releases'!$F:$F,RESULTADO!$BN4,'MtM Releases'!$D:$D,RESULTADO!CC$3)</f>
        <v>-0.7</v>
      </c>
      <c r="CD7" s="53">
        <f>SUMIFS('MtM Releases'!$H:$H,'MtM Releases'!$G:$G,RESULTADO!$BN7,'MtM Releases'!$F:$F,RESULTADO!$BN4,'MtM Releases'!$D:$D,RESULTADO!CD$3)</f>
        <v>-0.7</v>
      </c>
      <c r="CE7" s="53">
        <f>SUMIFS('MtM Releases'!$H:$H,'MtM Releases'!$G:$G,RESULTADO!$BN7,'MtM Releases'!$F:$F,RESULTADO!$BN4,'MtM Releases'!$D:$D,RESULTADO!CE$3)</f>
        <v>-0.7</v>
      </c>
      <c r="CF7" s="53">
        <f>SUMIFS('MtM Releases'!$H:$H,'MtM Releases'!$G:$G,RESULTADO!$BN7,'MtM Releases'!$F:$F,RESULTADO!$BN4,'MtM Releases'!$D:$D,RESULTADO!CF$3)</f>
        <v>-0.7</v>
      </c>
      <c r="CG7" s="53">
        <f>SUMIFS('MtM Releases'!$H:$H,'MtM Releases'!$G:$G,RESULTADO!$BN7,'MtM Releases'!$F:$F,RESULTADO!$BN4,'MtM Releases'!$D:$D,RESULTADO!CG$3)</f>
        <v>-0.7</v>
      </c>
      <c r="CH7" s="53">
        <f>SUMIFS('MtM Releases'!$H:$H,'MtM Releases'!$G:$G,RESULTADO!$BN7,'MtM Releases'!$F:$F,RESULTADO!$BN4,'MtM Releases'!$D:$D,RESULTADO!CH$3)</f>
        <v>-0.7</v>
      </c>
      <c r="CI7" s="53">
        <f>SUMIFS('MtM Releases'!$H:$H,'MtM Releases'!$G:$G,RESULTADO!$BN7,'MtM Releases'!$F:$F,RESULTADO!$BN4,'MtM Releases'!$D:$D,RESULTADO!CI$3)</f>
        <v>-0.7</v>
      </c>
      <c r="CJ7" s="53">
        <f>SUMIFS('MtM Releases'!$H:$H,'MtM Releases'!$G:$G,RESULTADO!$BN7,'MtM Releases'!$F:$F,RESULTADO!$BN4,'MtM Releases'!$D:$D,RESULTADO!CJ$3)</f>
        <v>-0.7</v>
      </c>
      <c r="CK7" s="53">
        <f>SUMIFS('MtM Releases'!$H:$H,'MtM Releases'!$G:$G,RESULTADO!$BN7,'MtM Releases'!$F:$F,RESULTADO!$BN4,'MtM Releases'!$D:$D,RESULTADO!CK$3)</f>
        <v>-0.7</v>
      </c>
      <c r="CL7" s="63">
        <f>SUMIFS('MtM Releases'!$H:$H,'MtM Releases'!$G:$G,RESULTADO!$BN7,'MtM Releases'!$F:$F,RESULTADO!$BN4,'MtM Releases'!$D:$D,RESULTADO!CL$3)</f>
        <v>-0.7</v>
      </c>
      <c r="CM7" s="53">
        <f>SUMIFS('MtM Releases'!$H:$H,'MtM Releases'!$G:$G,RESULTADO!$BN7,'MtM Releases'!$F:$F,RESULTADO!$BN4,'MtM Releases'!$D:$D,RESULTADO!CM$3)</f>
        <v>0</v>
      </c>
      <c r="CN7" s="53">
        <f>SUMIFS('MtM Releases'!$H:$H,'MtM Releases'!$G:$G,RESULTADO!$BN7,'MtM Releases'!$F:$F,RESULTADO!$BN4,'MtM Releases'!$D:$D,RESULTADO!CN$3)</f>
        <v>0</v>
      </c>
      <c r="CO7" s="53">
        <f>SUMIFS('MtM Releases'!$H:$H,'MtM Releases'!$G:$G,RESULTADO!$BN7,'MtM Releases'!$F:$F,RESULTADO!$BN4,'MtM Releases'!$D:$D,RESULTADO!CO$3)</f>
        <v>0</v>
      </c>
      <c r="CP7" s="53">
        <f>SUMIFS('MtM Releases'!$H:$H,'MtM Releases'!$G:$G,RESULTADO!$BN7,'MtM Releases'!$F:$F,RESULTADO!$BN4,'MtM Releases'!$D:$D,RESULTADO!CP$3)</f>
        <v>0</v>
      </c>
      <c r="CQ7" s="53">
        <f>SUMIFS('MtM Releases'!$H:$H,'MtM Releases'!$G:$G,RESULTADO!$BN7,'MtM Releases'!$F:$F,RESULTADO!$BN4,'MtM Releases'!$D:$D,RESULTADO!CQ$3)</f>
        <v>0</v>
      </c>
      <c r="CR7" s="53">
        <f>SUMIFS('MtM Releases'!$H:$H,'MtM Releases'!$G:$G,RESULTADO!$BN7,'MtM Releases'!$F:$F,RESULTADO!$BN4,'MtM Releases'!$D:$D,RESULTADO!CR$3)</f>
        <v>0</v>
      </c>
      <c r="CS7" s="53">
        <f>SUMIFS('MtM Releases'!$H:$H,'MtM Releases'!$G:$G,RESULTADO!$BN7,'MtM Releases'!$F:$F,RESULTADO!$BN4,'MtM Releases'!$D:$D,RESULTADO!CS$3)</f>
        <v>0</v>
      </c>
      <c r="CT7" s="53">
        <f>SUMIFS('MtM Releases'!$H:$H,'MtM Releases'!$G:$G,RESULTADO!$BN7,'MtM Releases'!$F:$F,RESULTADO!$BN4,'MtM Releases'!$D:$D,RESULTADO!CT$3)</f>
        <v>0</v>
      </c>
      <c r="CU7" s="53">
        <f>SUMIFS('MtM Releases'!$H:$H,'MtM Releases'!$G:$G,RESULTADO!$BN7,'MtM Releases'!$F:$F,RESULTADO!$BN4,'MtM Releases'!$D:$D,RESULTADO!CU$3)</f>
        <v>0</v>
      </c>
      <c r="CV7" s="53">
        <f>SUMIFS('MtM Releases'!$H:$H,'MtM Releases'!$G:$G,RESULTADO!$BN7,'MtM Releases'!$F:$F,RESULTADO!$BN4,'MtM Releases'!$D:$D,RESULTADO!CV$3)</f>
        <v>0</v>
      </c>
      <c r="CW7" s="53">
        <f>SUMIFS('MtM Releases'!$H:$H,'MtM Releases'!$G:$G,RESULTADO!$BN7,'MtM Releases'!$F:$F,RESULTADO!$BN4,'MtM Releases'!$D:$D,RESULTADO!CW$3)</f>
        <v>0</v>
      </c>
      <c r="CX7" s="54">
        <f>SUMIFS('MtM Releases'!$H:$H,'MtM Releases'!$G:$G,RESULTADO!$BN7,'MtM Releases'!$F:$F,RESULTADO!$BN4,'MtM Releases'!$D:$D,RESULTADO!CX$3)</f>
        <v>0</v>
      </c>
      <c r="CY7" s="53">
        <f>SUMIFS('MtM Releases'!$H:$H,'MtM Releases'!$G:$G,RESULTADO!$BN7,'MtM Releases'!$F:$F,RESULTADO!$BN4,'MtM Releases'!$D:$D,RESULTADO!CY$3)</f>
        <v>0</v>
      </c>
      <c r="CZ7" s="53">
        <f>SUMIFS('MtM Releases'!$H:$H,'MtM Releases'!$G:$G,RESULTADO!$BN7,'MtM Releases'!$F:$F,RESULTADO!$BN4,'MtM Releases'!$D:$D,RESULTADO!CZ$3)</f>
        <v>0</v>
      </c>
      <c r="DA7" s="53">
        <f>SUMIFS('MtM Releases'!$H:$H,'MtM Releases'!$G:$G,RESULTADO!$BN7,'MtM Releases'!$F:$F,RESULTADO!$BN4,'MtM Releases'!$D:$D,RESULTADO!DA$3)</f>
        <v>0</v>
      </c>
      <c r="DB7" s="53">
        <f>SUMIFS('MtM Releases'!$H:$H,'MtM Releases'!$G:$G,RESULTADO!$BN7,'MtM Releases'!$F:$F,RESULTADO!$BN4,'MtM Releases'!$D:$D,RESULTADO!DB$3)</f>
        <v>0</v>
      </c>
      <c r="DC7" s="53">
        <f>SUMIFS('MtM Releases'!$H:$H,'MtM Releases'!$G:$G,RESULTADO!$BN7,'MtM Releases'!$F:$F,RESULTADO!$BN4,'MtM Releases'!$D:$D,RESULTADO!DC$3)</f>
        <v>0</v>
      </c>
      <c r="DD7" s="53">
        <f>SUMIFS('MtM Releases'!$H:$H,'MtM Releases'!$G:$G,RESULTADO!$BN7,'MtM Releases'!$F:$F,RESULTADO!$BN4,'MtM Releases'!$D:$D,RESULTADO!DD$3)</f>
        <v>0</v>
      </c>
      <c r="DE7" s="53">
        <f>SUMIFS('MtM Releases'!$H:$H,'MtM Releases'!$G:$G,RESULTADO!$BN7,'MtM Releases'!$F:$F,RESULTADO!$BN4,'MtM Releases'!$D:$D,RESULTADO!DE$3)</f>
        <v>0</v>
      </c>
      <c r="DF7" s="53">
        <f>SUMIFS('MtM Releases'!$H:$H,'MtM Releases'!$G:$G,RESULTADO!$BN7,'MtM Releases'!$F:$F,RESULTADO!$BN4,'MtM Releases'!$D:$D,RESULTADO!DF$3)</f>
        <v>0</v>
      </c>
      <c r="DG7" s="53">
        <f>SUMIFS('MtM Releases'!$H:$H,'MtM Releases'!$G:$G,RESULTADO!$BN7,'MtM Releases'!$F:$F,RESULTADO!$BN4,'MtM Releases'!$D:$D,RESULTADO!DG$3)</f>
        <v>0</v>
      </c>
      <c r="DH7" s="53">
        <f>SUMIFS('MtM Releases'!$H:$H,'MtM Releases'!$G:$G,RESULTADO!$BN7,'MtM Releases'!$F:$F,RESULTADO!$BN4,'MtM Releases'!$D:$D,RESULTADO!DH$3)</f>
        <v>0</v>
      </c>
      <c r="DI7" s="53">
        <f>SUMIFS('MtM Releases'!$H:$H,'MtM Releases'!$G:$G,RESULTADO!$BN7,'MtM Releases'!$F:$F,RESULTADO!$BN4,'MtM Releases'!$D:$D,RESULTADO!DI$3)</f>
        <v>0</v>
      </c>
      <c r="DJ7" s="63">
        <f>SUMIFS('MtM Releases'!$H:$H,'MtM Releases'!$G:$G,RESULTADO!$BN7,'MtM Releases'!$F:$F,RESULTADO!$BN4,'MtM Releases'!$D:$D,RESULTADO!DJ$3)</f>
        <v>0</v>
      </c>
      <c r="DK7" s="53">
        <f>SUMIFS('MtM Releases'!$H:$H,'MtM Releases'!$G:$G,RESULTADO!$BN7,'MtM Releases'!$F:$F,RESULTADO!$BN4,'MtM Releases'!$D:$D,RESULTADO!DK$3)</f>
        <v>0</v>
      </c>
      <c r="DL7" s="53">
        <f>SUMIFS('MtM Releases'!$H:$H,'MtM Releases'!$G:$G,RESULTADO!$BN7,'MtM Releases'!$F:$F,RESULTADO!$BN4,'MtM Releases'!$D:$D,RESULTADO!DL$3)</f>
        <v>0</v>
      </c>
      <c r="DM7" s="53">
        <f>SUMIFS('MtM Releases'!$H:$H,'MtM Releases'!$G:$G,RESULTADO!$BN7,'MtM Releases'!$F:$F,RESULTADO!$BN4,'MtM Releases'!$D:$D,RESULTADO!DM$3)</f>
        <v>0</v>
      </c>
      <c r="DN7" s="53">
        <f>SUMIFS('MtM Releases'!$H:$H,'MtM Releases'!$G:$G,RESULTADO!$BN7,'MtM Releases'!$F:$F,RESULTADO!$BN4,'MtM Releases'!$D:$D,RESULTADO!DN$3)</f>
        <v>0</v>
      </c>
      <c r="DO7" s="53">
        <f>SUMIFS('MtM Releases'!$H:$H,'MtM Releases'!$G:$G,RESULTADO!$BN7,'MtM Releases'!$F:$F,RESULTADO!$BN4,'MtM Releases'!$D:$D,RESULTADO!DO$3)</f>
        <v>0</v>
      </c>
      <c r="DP7" s="53">
        <f>SUMIFS('MtM Releases'!$H:$H,'MtM Releases'!$G:$G,RESULTADO!$BN7,'MtM Releases'!$F:$F,RESULTADO!$BN4,'MtM Releases'!$D:$D,RESULTADO!DP$3)</f>
        <v>0</v>
      </c>
      <c r="DQ7" s="53">
        <f>SUMIFS('MtM Releases'!$H:$H,'MtM Releases'!$G:$G,RESULTADO!$BN7,'MtM Releases'!$F:$F,RESULTADO!$BN4,'MtM Releases'!$D:$D,RESULTADO!DQ$3)</f>
        <v>0</v>
      </c>
      <c r="DR7" s="53">
        <f>SUMIFS('MtM Releases'!$H:$H,'MtM Releases'!$G:$G,RESULTADO!$BN7,'MtM Releases'!$F:$F,RESULTADO!$BN4,'MtM Releases'!$D:$D,RESULTADO!DR$3)</f>
        <v>0</v>
      </c>
      <c r="DS7" s="53">
        <f>SUMIFS('MtM Releases'!$H:$H,'MtM Releases'!$G:$G,RESULTADO!$BN7,'MtM Releases'!$F:$F,RESULTADO!$BN4,'MtM Releases'!$D:$D,RESULTADO!DS$3)</f>
        <v>0</v>
      </c>
      <c r="DT7" s="53">
        <f>SUMIFS('MtM Releases'!$H:$H,'MtM Releases'!$G:$G,RESULTADO!$BN7,'MtM Releases'!$F:$F,RESULTADO!$BN4,'MtM Releases'!$D:$D,RESULTADO!DT$3)</f>
        <v>0</v>
      </c>
      <c r="DU7" s="53">
        <f>SUMIFS('MtM Releases'!$H:$H,'MtM Releases'!$G:$G,RESULTADO!$BN7,'MtM Releases'!$F:$F,RESULTADO!$BN4,'MtM Releases'!$D:$D,RESULTADO!DU$3)</f>
        <v>0</v>
      </c>
      <c r="DV7" s="63">
        <f>SUMIFS('MtM Releases'!$H:$H,'MtM Releases'!$G:$G,RESULTADO!$BN7,'MtM Releases'!$F:$F,RESULTADO!$BN4,'MtM Releases'!$D:$D,RESULTADO!DV$3)</f>
        <v>0</v>
      </c>
      <c r="EB7" s="11"/>
    </row>
    <row r="8" spans="2:132" x14ac:dyDescent="0.25">
      <c r="B8" s="57" t="s">
        <v>11</v>
      </c>
      <c r="C8" s="53">
        <f>(SUMIFS(MtM!$M:$M,MtM!$I:$I,RESULTADO!$B8,MtM!$H:$H,RESULTADO!$B$4,MtM!$E:$E,RESULTADO!C$3)-SUMIFS(MtM!$N:$N,MtM!$I:$I,RESULTADO!$B8,MtM!$H:$H,RESULTADO!$B$4,MtM!$E:$E,RESULTADO!C$3))</f>
        <v>0</v>
      </c>
      <c r="D8" s="53">
        <f>(SUMIFS(MtM!$M:$M,MtM!$I:$I,RESULTADO!$B8,MtM!$H:$H,RESULTADO!$B$4,MtM!$E:$E,RESULTADO!D$3)-SUMIFS(MtM!$N:$N,MtM!$I:$I,RESULTADO!$B8,MtM!$H:$H,RESULTADO!$B$4,MtM!$E:$E,RESULTADO!D$3))</f>
        <v>0</v>
      </c>
      <c r="E8" s="53">
        <f>(SUMIFS(MtM!$M:$M,MtM!$I:$I,RESULTADO!$B8,MtM!$H:$H,RESULTADO!$B$4,MtM!$E:$E,RESULTADO!E$3)-SUMIFS(MtM!$N:$N,MtM!$I:$I,RESULTADO!$B8,MtM!$H:$H,RESULTADO!$B$4,MtM!$E:$E,RESULTADO!E$3))</f>
        <v>0</v>
      </c>
      <c r="F8" s="53">
        <f>(SUMIFS(MtM!$M:$M,MtM!$I:$I,RESULTADO!$B8,MtM!$H:$H,RESULTADO!$B$4,MtM!$E:$E,RESULTADO!F$3)-SUMIFS(MtM!$N:$N,MtM!$I:$I,RESULTADO!$B8,MtM!$H:$H,RESULTADO!$B$4,MtM!$E:$E,RESULTADO!F$3))</f>
        <v>0</v>
      </c>
      <c r="G8" s="53">
        <f>(SUMIFS(MtM!$M:$M,MtM!$I:$I,RESULTADO!$B8,MtM!$H:$H,RESULTADO!$B$4,MtM!$E:$E,RESULTADO!G$3)-SUMIFS(MtM!$N:$N,MtM!$I:$I,RESULTADO!$B8,MtM!$H:$H,RESULTADO!$B$4,MtM!$E:$E,RESULTADO!G$3))</f>
        <v>0</v>
      </c>
      <c r="H8" s="53">
        <f>(SUMIFS(MtM!$M:$M,MtM!$I:$I,RESULTADO!$B8,MtM!$H:$H,RESULTADO!$B$4,MtM!$E:$E,RESULTADO!H$3)-SUMIFS(MtM!$N:$N,MtM!$I:$I,RESULTADO!$B8,MtM!$H:$H,RESULTADO!$B$4,MtM!$E:$E,RESULTADO!H$3))</f>
        <v>0</v>
      </c>
      <c r="I8" s="53">
        <f>(SUMIFS(MtM!$M:$M,MtM!$I:$I,RESULTADO!$B8,MtM!$H:$H,RESULTADO!$B$4,MtM!$E:$E,RESULTADO!I$3)-SUMIFS(MtM!$N:$N,MtM!$I:$I,RESULTADO!$B8,MtM!$H:$H,RESULTADO!$B$4,MtM!$E:$E,RESULTADO!I$3))</f>
        <v>0</v>
      </c>
      <c r="J8" s="53">
        <f>(SUMIFS(MtM!$M:$M,MtM!$I:$I,RESULTADO!$B8,MtM!$H:$H,RESULTADO!$B$4,MtM!$E:$E,RESULTADO!J$3)-SUMIFS(MtM!$N:$N,MtM!$I:$I,RESULTADO!$B8,MtM!$H:$H,RESULTADO!$B$4,MtM!$E:$E,RESULTADO!J$3))</f>
        <v>0</v>
      </c>
      <c r="K8" s="53">
        <f>(SUMIFS(MtM!$M:$M,MtM!$I:$I,RESULTADO!$B8,MtM!$H:$H,RESULTADO!$B$4,MtM!$E:$E,RESULTADO!K$3)-SUMIFS(MtM!$N:$N,MtM!$I:$I,RESULTADO!$B8,MtM!$H:$H,RESULTADO!$B$4,MtM!$E:$E,RESULTADO!K$3))</f>
        <v>0</v>
      </c>
      <c r="L8" s="53">
        <f>(SUMIFS(MtM!$M:$M,MtM!$I:$I,RESULTADO!$B8,MtM!$H:$H,RESULTADO!$B$4,MtM!$E:$E,RESULTADO!L$3)-SUMIFS(MtM!$N:$N,MtM!$I:$I,RESULTADO!$B8,MtM!$H:$H,RESULTADO!$B$4,MtM!$E:$E,RESULTADO!L$3))</f>
        <v>0</v>
      </c>
      <c r="M8" s="53">
        <f>(SUMIFS(MtM!$M:$M,MtM!$I:$I,RESULTADO!$B8,MtM!$H:$H,RESULTADO!$B$4,MtM!$E:$E,RESULTADO!M$3)-SUMIFS(MtM!$N:$N,MtM!$I:$I,RESULTADO!$B8,MtM!$H:$H,RESULTADO!$B$4,MtM!$E:$E,RESULTADO!M$3))</f>
        <v>0</v>
      </c>
      <c r="N8" s="54">
        <f>(SUMIFS(MtM!$M:$M,MtM!$I:$I,RESULTADO!$B8,MtM!$H:$H,RESULTADO!$B$4,MtM!$E:$E,RESULTADO!N$3)-SUMIFS(MtM!$N:$N,MtM!$I:$I,RESULTADO!$B8,MtM!$H:$H,RESULTADO!$B$4,MtM!$E:$E,RESULTADO!N$3))</f>
        <v>0</v>
      </c>
      <c r="O8" s="53">
        <f>(SUMIFS(MtM!$M:$M,MtM!$I:$I,RESULTADO!$B8,MtM!$H:$H,RESULTADO!$B$4,MtM!$E:$E,RESULTADO!O$3)-SUMIFS(MtM!$N:$N,MtM!$I:$I,RESULTADO!$B8,MtM!$H:$H,RESULTADO!$B$4,MtM!$E:$E,RESULTADO!O$3))</f>
        <v>1</v>
      </c>
      <c r="P8" s="53">
        <f>(SUMIFS(MtM!$M:$M,MtM!$I:$I,RESULTADO!$B8,MtM!$H:$H,RESULTADO!$B$4,MtM!$E:$E,RESULTADO!P$3)-SUMIFS(MtM!$N:$N,MtM!$I:$I,RESULTADO!$B8,MtM!$H:$H,RESULTADO!$B$4,MtM!$E:$E,RESULTADO!P$3))</f>
        <v>1</v>
      </c>
      <c r="Q8" s="53">
        <f>(SUMIFS(MtM!$M:$M,MtM!$I:$I,RESULTADO!$B8,MtM!$H:$H,RESULTADO!$B$4,MtM!$E:$E,RESULTADO!Q$3)-SUMIFS(MtM!$N:$N,MtM!$I:$I,RESULTADO!$B8,MtM!$H:$H,RESULTADO!$B$4,MtM!$E:$E,RESULTADO!Q$3))</f>
        <v>1</v>
      </c>
      <c r="R8" s="53">
        <f>(SUMIFS(MtM!$M:$M,MtM!$I:$I,RESULTADO!$B8,MtM!$H:$H,RESULTADO!$B$4,MtM!$E:$E,RESULTADO!R$3)-SUMIFS(MtM!$N:$N,MtM!$I:$I,RESULTADO!$B8,MtM!$H:$H,RESULTADO!$B$4,MtM!$E:$E,RESULTADO!R$3))</f>
        <v>1</v>
      </c>
      <c r="S8" s="53">
        <f>(SUMIFS(MtM!$M:$M,MtM!$I:$I,RESULTADO!$B8,MtM!$H:$H,RESULTADO!$B$4,MtM!$E:$E,RESULTADO!S$3)-SUMIFS(MtM!$N:$N,MtM!$I:$I,RESULTADO!$B8,MtM!$H:$H,RESULTADO!$B$4,MtM!$E:$E,RESULTADO!S$3))</f>
        <v>1</v>
      </c>
      <c r="T8" s="53">
        <f>(SUMIFS(MtM!$M:$M,MtM!$I:$I,RESULTADO!$B8,MtM!$H:$H,RESULTADO!$B$4,MtM!$E:$E,RESULTADO!T$3)-SUMIFS(MtM!$N:$N,MtM!$I:$I,RESULTADO!$B8,MtM!$H:$H,RESULTADO!$B$4,MtM!$E:$E,RESULTADO!T$3))</f>
        <v>1</v>
      </c>
      <c r="U8" s="53">
        <f>(SUMIFS(MtM!$M:$M,MtM!$I:$I,RESULTADO!$B8,MtM!$H:$H,RESULTADO!$B$4,MtM!$E:$E,RESULTADO!U$3)-SUMIFS(MtM!$N:$N,MtM!$I:$I,RESULTADO!$B8,MtM!$H:$H,RESULTADO!$B$4,MtM!$E:$E,RESULTADO!U$3))</f>
        <v>1</v>
      </c>
      <c r="V8" s="53">
        <f>(SUMIFS(MtM!$M:$M,MtM!$I:$I,RESULTADO!$B8,MtM!$H:$H,RESULTADO!$B$4,MtM!$E:$E,RESULTADO!V$3)-SUMIFS(MtM!$N:$N,MtM!$I:$I,RESULTADO!$B8,MtM!$H:$H,RESULTADO!$B$4,MtM!$E:$E,RESULTADO!V$3))</f>
        <v>1</v>
      </c>
      <c r="W8" s="53">
        <f>(SUMIFS(MtM!$M:$M,MtM!$I:$I,RESULTADO!$B8,MtM!$H:$H,RESULTADO!$B$4,MtM!$E:$E,RESULTADO!W$3)-SUMIFS(MtM!$N:$N,MtM!$I:$I,RESULTADO!$B8,MtM!$H:$H,RESULTADO!$B$4,MtM!$E:$E,RESULTADO!W$3))</f>
        <v>1</v>
      </c>
      <c r="X8" s="53">
        <f>(SUMIFS(MtM!$M:$M,MtM!$I:$I,RESULTADO!$B8,MtM!$H:$H,RESULTADO!$B$4,MtM!$E:$E,RESULTADO!X$3)-SUMIFS(MtM!$N:$N,MtM!$I:$I,RESULTADO!$B8,MtM!$H:$H,RESULTADO!$B$4,MtM!$E:$E,RESULTADO!X$3))</f>
        <v>1</v>
      </c>
      <c r="Y8" s="53">
        <f>(SUMIFS(MtM!$M:$M,MtM!$I:$I,RESULTADO!$B8,MtM!$H:$H,RESULTADO!$B$4,MtM!$E:$E,RESULTADO!Y$3)-SUMIFS(MtM!$N:$N,MtM!$I:$I,RESULTADO!$B8,MtM!$H:$H,RESULTADO!$B$4,MtM!$E:$E,RESULTADO!Y$3))</f>
        <v>1</v>
      </c>
      <c r="Z8" s="63">
        <f>(SUMIFS(MtM!$M:$M,MtM!$I:$I,RESULTADO!$B8,MtM!$H:$H,RESULTADO!$B$4,MtM!$E:$E,RESULTADO!Z$3)-SUMIFS(MtM!$N:$N,MtM!$I:$I,RESULTADO!$B8,MtM!$H:$H,RESULTADO!$B$4,MtM!$E:$E,RESULTADO!Z$3))</f>
        <v>1</v>
      </c>
      <c r="AA8" s="53">
        <f>(SUMIFS(MtM!$M:$M,MtM!$I:$I,RESULTADO!$B8,MtM!$H:$H,RESULTADO!$B$4,MtM!$E:$E,RESULTADO!AA$3)-SUMIFS(MtM!$N:$N,MtM!$I:$I,RESULTADO!$B8,MtM!$H:$H,RESULTADO!$B$4,MtM!$E:$E,RESULTADO!AA$3))</f>
        <v>0</v>
      </c>
      <c r="AB8" s="53">
        <f>(SUMIFS(MtM!$M:$M,MtM!$I:$I,RESULTADO!$B8,MtM!$H:$H,RESULTADO!$B$4,MtM!$E:$E,RESULTADO!AB$3)-SUMIFS(MtM!$N:$N,MtM!$I:$I,RESULTADO!$B8,MtM!$H:$H,RESULTADO!$B$4,MtM!$E:$E,RESULTADO!AB$3))</f>
        <v>0</v>
      </c>
      <c r="AC8" s="53">
        <f>(SUMIFS(MtM!$M:$M,MtM!$I:$I,RESULTADO!$B8,MtM!$H:$H,RESULTADO!$B$4,MtM!$E:$E,RESULTADO!AC$3)-SUMIFS(MtM!$N:$N,MtM!$I:$I,RESULTADO!$B8,MtM!$H:$H,RESULTADO!$B$4,MtM!$E:$E,RESULTADO!AC$3))</f>
        <v>0</v>
      </c>
      <c r="AD8" s="53">
        <f>(SUMIFS(MtM!$M:$M,MtM!$I:$I,RESULTADO!$B8,MtM!$H:$H,RESULTADO!$B$4,MtM!$E:$E,RESULTADO!AD$3)-SUMIFS(MtM!$N:$N,MtM!$I:$I,RESULTADO!$B8,MtM!$H:$H,RESULTADO!$B$4,MtM!$E:$E,RESULTADO!AD$3))</f>
        <v>0</v>
      </c>
      <c r="AE8" s="53">
        <f>(SUMIFS(MtM!$M:$M,MtM!$I:$I,RESULTADO!$B8,MtM!$H:$H,RESULTADO!$B$4,MtM!$E:$E,RESULTADO!AE$3)-SUMIFS(MtM!$N:$N,MtM!$I:$I,RESULTADO!$B8,MtM!$H:$H,RESULTADO!$B$4,MtM!$E:$E,RESULTADO!AE$3))</f>
        <v>0</v>
      </c>
      <c r="AF8" s="53">
        <f>(SUMIFS(MtM!$M:$M,MtM!$I:$I,RESULTADO!$B8,MtM!$H:$H,RESULTADO!$B$4,MtM!$E:$E,RESULTADO!AF$3)-SUMIFS(MtM!$N:$N,MtM!$I:$I,RESULTADO!$B8,MtM!$H:$H,RESULTADO!$B$4,MtM!$E:$E,RESULTADO!AF$3))</f>
        <v>0</v>
      </c>
      <c r="AG8" s="53">
        <f>(SUMIFS(MtM!$M:$M,MtM!$I:$I,RESULTADO!$B8,MtM!$H:$H,RESULTADO!$B$4,MtM!$E:$E,RESULTADO!AG$3)-SUMIFS(MtM!$N:$N,MtM!$I:$I,RESULTADO!$B8,MtM!$H:$H,RESULTADO!$B$4,MtM!$E:$E,RESULTADO!AG$3))</f>
        <v>0</v>
      </c>
      <c r="AH8" s="53">
        <f>(SUMIFS(MtM!$M:$M,MtM!$I:$I,RESULTADO!$B8,MtM!$H:$H,RESULTADO!$B$4,MtM!$E:$E,RESULTADO!AH$3)-SUMIFS(MtM!$N:$N,MtM!$I:$I,RESULTADO!$B8,MtM!$H:$H,RESULTADO!$B$4,MtM!$E:$E,RESULTADO!AH$3))</f>
        <v>0</v>
      </c>
      <c r="AI8" s="53">
        <f>(SUMIFS(MtM!$M:$M,MtM!$I:$I,RESULTADO!$B8,MtM!$H:$H,RESULTADO!$B$4,MtM!$E:$E,RESULTADO!AI$3)-SUMIFS(MtM!$N:$N,MtM!$I:$I,RESULTADO!$B8,MtM!$H:$H,RESULTADO!$B$4,MtM!$E:$E,RESULTADO!AI$3))</f>
        <v>0</v>
      </c>
      <c r="AJ8" s="53">
        <f>(SUMIFS(MtM!$M:$M,MtM!$I:$I,RESULTADO!$B8,MtM!$H:$H,RESULTADO!$B$4,MtM!$E:$E,RESULTADO!AJ$3)-SUMIFS(MtM!$N:$N,MtM!$I:$I,RESULTADO!$B8,MtM!$H:$H,RESULTADO!$B$4,MtM!$E:$E,RESULTADO!AJ$3))</f>
        <v>0</v>
      </c>
      <c r="AK8" s="53">
        <f>(SUMIFS(MtM!$M:$M,MtM!$I:$I,RESULTADO!$B8,MtM!$H:$H,RESULTADO!$B$4,MtM!$E:$E,RESULTADO!AK$3)-SUMIFS(MtM!$N:$N,MtM!$I:$I,RESULTADO!$B8,MtM!$H:$H,RESULTADO!$B$4,MtM!$E:$E,RESULTADO!AK$3))</f>
        <v>0</v>
      </c>
      <c r="AL8" s="54">
        <f>(SUMIFS(MtM!$M:$M,MtM!$I:$I,RESULTADO!$B8,MtM!$H:$H,RESULTADO!$B$4,MtM!$E:$E,RESULTADO!AL$3)-SUMIFS(MtM!$N:$N,MtM!$I:$I,RESULTADO!$B8,MtM!$H:$H,RESULTADO!$B$4,MtM!$E:$E,RESULTADO!AL$3))</f>
        <v>0</v>
      </c>
      <c r="AM8" s="53">
        <f>(SUMIFS(MtM!$M:$M,MtM!$I:$I,RESULTADO!$B8,MtM!$H:$H,RESULTADO!$B$4,MtM!$E:$E,RESULTADO!AM$3)-SUMIFS(MtM!$N:$N,MtM!$I:$I,RESULTADO!$B8,MtM!$H:$H,RESULTADO!$B$4,MtM!$E:$E,RESULTADO!AM$3))</f>
        <v>-35</v>
      </c>
      <c r="AN8" s="53">
        <f>(SUMIFS(MtM!$M:$M,MtM!$I:$I,RESULTADO!$B8,MtM!$H:$H,RESULTADO!$B$4,MtM!$E:$E,RESULTADO!AN$3)-SUMIFS(MtM!$N:$N,MtM!$I:$I,RESULTADO!$B8,MtM!$H:$H,RESULTADO!$B$4,MtM!$E:$E,RESULTADO!AN$3))</f>
        <v>-35</v>
      </c>
      <c r="AO8" s="53">
        <f>(SUMIFS(MtM!$M:$M,MtM!$I:$I,RESULTADO!$B8,MtM!$H:$H,RESULTADO!$B$4,MtM!$E:$E,RESULTADO!AO$3)-SUMIFS(MtM!$N:$N,MtM!$I:$I,RESULTADO!$B8,MtM!$H:$H,RESULTADO!$B$4,MtM!$E:$E,RESULTADO!AO$3))</f>
        <v>-35</v>
      </c>
      <c r="AP8" s="53">
        <f>(SUMIFS(MtM!$M:$M,MtM!$I:$I,RESULTADO!$B8,MtM!$H:$H,RESULTADO!$B$4,MtM!$E:$E,RESULTADO!AP$3)-SUMIFS(MtM!$N:$N,MtM!$I:$I,RESULTADO!$B8,MtM!$H:$H,RESULTADO!$B$4,MtM!$E:$E,RESULTADO!AP$3))</f>
        <v>-35</v>
      </c>
      <c r="AQ8" s="53">
        <f>(SUMIFS(MtM!$M:$M,MtM!$I:$I,RESULTADO!$B8,MtM!$H:$H,RESULTADO!$B$4,MtM!$E:$E,RESULTADO!AQ$3)-SUMIFS(MtM!$N:$N,MtM!$I:$I,RESULTADO!$B8,MtM!$H:$H,RESULTADO!$B$4,MtM!$E:$E,RESULTADO!AQ$3))</f>
        <v>-35</v>
      </c>
      <c r="AR8" s="53">
        <f>(SUMIFS(MtM!$M:$M,MtM!$I:$I,RESULTADO!$B8,MtM!$H:$H,RESULTADO!$B$4,MtM!$E:$E,RESULTADO!AR$3)-SUMIFS(MtM!$N:$N,MtM!$I:$I,RESULTADO!$B8,MtM!$H:$H,RESULTADO!$B$4,MtM!$E:$E,RESULTADO!AR$3))</f>
        <v>-35</v>
      </c>
      <c r="AS8" s="53">
        <f>(SUMIFS(MtM!$M:$M,MtM!$I:$I,RESULTADO!$B8,MtM!$H:$H,RESULTADO!$B$4,MtM!$E:$E,RESULTADO!AS$3)-SUMIFS(MtM!$N:$N,MtM!$I:$I,RESULTADO!$B8,MtM!$H:$H,RESULTADO!$B$4,MtM!$E:$E,RESULTADO!AS$3))</f>
        <v>-35</v>
      </c>
      <c r="AT8" s="53">
        <f>(SUMIFS(MtM!$M:$M,MtM!$I:$I,RESULTADO!$B8,MtM!$H:$H,RESULTADO!$B$4,MtM!$E:$E,RESULTADO!AT$3)-SUMIFS(MtM!$N:$N,MtM!$I:$I,RESULTADO!$B8,MtM!$H:$H,RESULTADO!$B$4,MtM!$E:$E,RESULTADO!AT$3))</f>
        <v>-35</v>
      </c>
      <c r="AU8" s="53">
        <f>(SUMIFS(MtM!$M:$M,MtM!$I:$I,RESULTADO!$B8,MtM!$H:$H,RESULTADO!$B$4,MtM!$E:$E,RESULTADO!AU$3)-SUMIFS(MtM!$N:$N,MtM!$I:$I,RESULTADO!$B8,MtM!$H:$H,RESULTADO!$B$4,MtM!$E:$E,RESULTADO!AU$3))</f>
        <v>-35</v>
      </c>
      <c r="AV8" s="53">
        <f>(SUMIFS(MtM!$M:$M,MtM!$I:$I,RESULTADO!$B8,MtM!$H:$H,RESULTADO!$B$4,MtM!$E:$E,RESULTADO!AV$3)-SUMIFS(MtM!$N:$N,MtM!$I:$I,RESULTADO!$B8,MtM!$H:$H,RESULTADO!$B$4,MtM!$E:$E,RESULTADO!AV$3))</f>
        <v>-35</v>
      </c>
      <c r="AW8" s="53">
        <f>(SUMIFS(MtM!$M:$M,MtM!$I:$I,RESULTADO!$B8,MtM!$H:$H,RESULTADO!$B$4,MtM!$E:$E,RESULTADO!AW$3)-SUMIFS(MtM!$N:$N,MtM!$I:$I,RESULTADO!$B8,MtM!$H:$H,RESULTADO!$B$4,MtM!$E:$E,RESULTADO!AW$3))</f>
        <v>-35</v>
      </c>
      <c r="AX8" s="63">
        <f>(SUMIFS(MtM!$M:$M,MtM!$I:$I,RESULTADO!$B8,MtM!$H:$H,RESULTADO!$B$4,MtM!$E:$E,RESULTADO!AX$3)-SUMIFS(MtM!$N:$N,MtM!$I:$I,RESULTADO!$B8,MtM!$H:$H,RESULTADO!$B$4,MtM!$E:$E,RESULTADO!AX$3))</f>
        <v>-35</v>
      </c>
      <c r="AY8" s="53">
        <f>(SUMIFS(MtM!$M:$M,MtM!$I:$I,RESULTADO!$B8,MtM!$H:$H,RESULTADO!$B$4,MtM!$E:$E,RESULTADO!AY$3)-SUMIFS(MtM!$N:$N,MtM!$I:$I,RESULTADO!$B8,MtM!$H:$H,RESULTADO!$B$4,MtM!$E:$E,RESULTADO!AY$3))</f>
        <v>0</v>
      </c>
      <c r="AZ8" s="53">
        <f>(SUMIFS(MtM!$M:$M,MtM!$I:$I,RESULTADO!$B8,MtM!$H:$H,RESULTADO!$B$4,MtM!$E:$E,RESULTADO!AZ$3)-SUMIFS(MtM!$N:$N,MtM!$I:$I,RESULTADO!$B8,MtM!$H:$H,RESULTADO!$B$4,MtM!$E:$E,RESULTADO!AZ$3))</f>
        <v>0</v>
      </c>
      <c r="BA8" s="53">
        <f>(SUMIFS(MtM!$M:$M,MtM!$I:$I,RESULTADO!$B8,MtM!$H:$H,RESULTADO!$B$4,MtM!$E:$E,RESULTADO!BA$3)-SUMIFS(MtM!$N:$N,MtM!$I:$I,RESULTADO!$B8,MtM!$H:$H,RESULTADO!$B$4,MtM!$E:$E,RESULTADO!BA$3))</f>
        <v>0</v>
      </c>
      <c r="BB8" s="53">
        <f>(SUMIFS(MtM!$M:$M,MtM!$I:$I,RESULTADO!$B8,MtM!$H:$H,RESULTADO!$B$4,MtM!$E:$E,RESULTADO!BB$3)-SUMIFS(MtM!$N:$N,MtM!$I:$I,RESULTADO!$B8,MtM!$H:$H,RESULTADO!$B$4,MtM!$E:$E,RESULTADO!BB$3))</f>
        <v>0</v>
      </c>
      <c r="BC8" s="53">
        <f>(SUMIFS(MtM!$M:$M,MtM!$I:$I,RESULTADO!$B8,MtM!$H:$H,RESULTADO!$B$4,MtM!$E:$E,RESULTADO!BC$3)-SUMIFS(MtM!$N:$N,MtM!$I:$I,RESULTADO!$B8,MtM!$H:$H,RESULTADO!$B$4,MtM!$E:$E,RESULTADO!BC$3))</f>
        <v>0</v>
      </c>
      <c r="BD8" s="53">
        <f>(SUMIFS(MtM!$M:$M,MtM!$I:$I,RESULTADO!$B8,MtM!$H:$H,RESULTADO!$B$4,MtM!$E:$E,RESULTADO!BD$3)-SUMIFS(MtM!$N:$N,MtM!$I:$I,RESULTADO!$B8,MtM!$H:$H,RESULTADO!$B$4,MtM!$E:$E,RESULTADO!BD$3))</f>
        <v>0</v>
      </c>
      <c r="BE8" s="53">
        <f>(SUMIFS(MtM!$M:$M,MtM!$I:$I,RESULTADO!$B8,MtM!$H:$H,RESULTADO!$B$4,MtM!$E:$E,RESULTADO!BE$3)-SUMIFS(MtM!$N:$N,MtM!$I:$I,RESULTADO!$B8,MtM!$H:$H,RESULTADO!$B$4,MtM!$E:$E,RESULTADO!BE$3))</f>
        <v>0</v>
      </c>
      <c r="BF8" s="53">
        <f>(SUMIFS(MtM!$M:$M,MtM!$I:$I,RESULTADO!$B8,MtM!$H:$H,RESULTADO!$B$4,MtM!$E:$E,RESULTADO!BF$3)-SUMIFS(MtM!$N:$N,MtM!$I:$I,RESULTADO!$B8,MtM!$H:$H,RESULTADO!$B$4,MtM!$E:$E,RESULTADO!BF$3))</f>
        <v>0</v>
      </c>
      <c r="BG8" s="53">
        <f>(SUMIFS(MtM!$M:$M,MtM!$I:$I,RESULTADO!$B8,MtM!$H:$H,RESULTADO!$B$4,MtM!$E:$E,RESULTADO!BG$3)-SUMIFS(MtM!$N:$N,MtM!$I:$I,RESULTADO!$B8,MtM!$H:$H,RESULTADO!$B$4,MtM!$E:$E,RESULTADO!BG$3))</f>
        <v>0</v>
      </c>
      <c r="BH8" s="53">
        <f>(SUMIFS(MtM!$M:$M,MtM!$I:$I,RESULTADO!$B8,MtM!$H:$H,RESULTADO!$B$4,MtM!$E:$E,RESULTADO!BH$3)-SUMIFS(MtM!$N:$N,MtM!$I:$I,RESULTADO!$B8,MtM!$H:$H,RESULTADO!$B$4,MtM!$E:$E,RESULTADO!BH$3))</f>
        <v>0</v>
      </c>
      <c r="BI8" s="53">
        <f>(SUMIFS(MtM!$M:$M,MtM!$I:$I,RESULTADO!$B8,MtM!$H:$H,RESULTADO!$B$4,MtM!$E:$E,RESULTADO!BI$3)-SUMIFS(MtM!$N:$N,MtM!$I:$I,RESULTADO!$B8,MtM!$H:$H,RESULTADO!$B$4,MtM!$E:$E,RESULTADO!BI$3))</f>
        <v>0</v>
      </c>
      <c r="BJ8" s="63">
        <f>(SUMIFS(MtM!$M:$M,MtM!$I:$I,RESULTADO!$B8,MtM!$H:$H,RESULTADO!$B$4,MtM!$E:$E,RESULTADO!BJ$3)-SUMIFS(MtM!$N:$N,MtM!$I:$I,RESULTADO!$B8,MtM!$H:$H,RESULTADO!$B$4,MtM!$E:$E,RESULTADO!BJ$3))</f>
        <v>0</v>
      </c>
      <c r="BL8" s="120"/>
      <c r="BN8" s="57" t="s">
        <v>11</v>
      </c>
      <c r="BO8" s="53">
        <f>SUMIFS('MtM Releases'!$H:$H,'MtM Releases'!$G:$G,RESULTADO!$BN8,'MtM Releases'!$F:$F,RESULTADO!$BN4,'MtM Releases'!$D:$D,RESULTADO!BO$3)</f>
        <v>0</v>
      </c>
      <c r="BP8" s="53">
        <f>SUMIFS('MtM Releases'!$H:$H,'MtM Releases'!$G:$G,RESULTADO!$BN8,'MtM Releases'!$F:$F,RESULTADO!$BN4,'MtM Releases'!$D:$D,RESULTADO!BP$3)</f>
        <v>0</v>
      </c>
      <c r="BQ8" s="53">
        <f>SUMIFS('MtM Releases'!$H:$H,'MtM Releases'!$G:$G,RESULTADO!$BN8,'MtM Releases'!$F:$F,RESULTADO!$BN4,'MtM Releases'!$D:$D,RESULTADO!BQ$3)</f>
        <v>0</v>
      </c>
      <c r="BR8" s="53">
        <f>SUMIFS('MtM Releases'!$H:$H,'MtM Releases'!$G:$G,RESULTADO!$BN8,'MtM Releases'!$F:$F,RESULTADO!$BN4,'MtM Releases'!$D:$D,RESULTADO!BR$3)</f>
        <v>0</v>
      </c>
      <c r="BS8" s="53">
        <f>SUMIFS('MtM Releases'!$H:$H,'MtM Releases'!$G:$G,RESULTADO!$BN8,'MtM Releases'!$F:$F,RESULTADO!$BN4,'MtM Releases'!$D:$D,RESULTADO!BS$3)</f>
        <v>0</v>
      </c>
      <c r="BT8" s="53">
        <f>SUMIFS('MtM Releases'!$H:$H,'MtM Releases'!$G:$G,RESULTADO!$BN8,'MtM Releases'!$F:$F,RESULTADO!$BN4,'MtM Releases'!$D:$D,RESULTADO!BT$3)</f>
        <v>0</v>
      </c>
      <c r="BU8" s="53">
        <f>SUMIFS('MtM Releases'!$H:$H,'MtM Releases'!$G:$G,RESULTADO!$BN8,'MtM Releases'!$F:$F,RESULTADO!$BN4,'MtM Releases'!$D:$D,RESULTADO!BU$3)</f>
        <v>0</v>
      </c>
      <c r="BV8" s="53">
        <f>SUMIFS('MtM Releases'!$H:$H,'MtM Releases'!$G:$G,RESULTADO!$BN8,'MtM Releases'!$F:$F,RESULTADO!$BN4,'MtM Releases'!$D:$D,RESULTADO!BV$3)</f>
        <v>0</v>
      </c>
      <c r="BW8" s="53">
        <f>SUMIFS('MtM Releases'!$H:$H,'MtM Releases'!$G:$G,RESULTADO!$BN8,'MtM Releases'!$F:$F,RESULTADO!$BN4,'MtM Releases'!$D:$D,RESULTADO!BW$3)</f>
        <v>0</v>
      </c>
      <c r="BX8" s="53">
        <f>SUMIFS('MtM Releases'!$H:$H,'MtM Releases'!$G:$G,RESULTADO!$BN8,'MtM Releases'!$F:$F,RESULTADO!$BN4,'MtM Releases'!$D:$D,RESULTADO!BX$3)</f>
        <v>0</v>
      </c>
      <c r="BY8" s="53">
        <f>SUMIFS('MtM Releases'!$H:$H,'MtM Releases'!$G:$G,RESULTADO!$BN8,'MtM Releases'!$F:$F,RESULTADO!$BN4,'MtM Releases'!$D:$D,RESULTADO!BY$3)</f>
        <v>0</v>
      </c>
      <c r="BZ8" s="54">
        <f>SUMIFS('MtM Releases'!$H:$H,'MtM Releases'!$G:$G,RESULTADO!$BN8,'MtM Releases'!$F:$F,RESULTADO!$BN4,'MtM Releases'!$D:$D,RESULTADO!BZ$3)</f>
        <v>0</v>
      </c>
      <c r="CA8" s="53">
        <f>SUMIFS('MtM Releases'!$H:$H,'MtM Releases'!$G:$G,RESULTADO!$BN8,'MtM Releases'!$F:$F,RESULTADO!$BN4,'MtM Releases'!$D:$D,RESULTADO!CA$3)</f>
        <v>-1</v>
      </c>
      <c r="CB8" s="53">
        <f>SUMIFS('MtM Releases'!$H:$H,'MtM Releases'!$G:$G,RESULTADO!$BN8,'MtM Releases'!$F:$F,RESULTADO!$BN4,'MtM Releases'!$D:$D,RESULTADO!CB$3)</f>
        <v>-1</v>
      </c>
      <c r="CC8" s="53">
        <f>SUMIFS('MtM Releases'!$H:$H,'MtM Releases'!$G:$G,RESULTADO!$BN8,'MtM Releases'!$F:$F,RESULTADO!$BN4,'MtM Releases'!$D:$D,RESULTADO!CC$3)</f>
        <v>-1</v>
      </c>
      <c r="CD8" s="53">
        <f>SUMIFS('MtM Releases'!$H:$H,'MtM Releases'!$G:$G,RESULTADO!$BN8,'MtM Releases'!$F:$F,RESULTADO!$BN4,'MtM Releases'!$D:$D,RESULTADO!CD$3)</f>
        <v>-1</v>
      </c>
      <c r="CE8" s="53">
        <f>SUMIFS('MtM Releases'!$H:$H,'MtM Releases'!$G:$G,RESULTADO!$BN8,'MtM Releases'!$F:$F,RESULTADO!$BN4,'MtM Releases'!$D:$D,RESULTADO!CE$3)</f>
        <v>-1</v>
      </c>
      <c r="CF8" s="53">
        <f>SUMIFS('MtM Releases'!$H:$H,'MtM Releases'!$G:$G,RESULTADO!$BN8,'MtM Releases'!$F:$F,RESULTADO!$BN4,'MtM Releases'!$D:$D,RESULTADO!CF$3)</f>
        <v>-1</v>
      </c>
      <c r="CG8" s="53">
        <f>SUMIFS('MtM Releases'!$H:$H,'MtM Releases'!$G:$G,RESULTADO!$BN8,'MtM Releases'!$F:$F,RESULTADO!$BN4,'MtM Releases'!$D:$D,RESULTADO!CG$3)</f>
        <v>-1</v>
      </c>
      <c r="CH8" s="53">
        <f>SUMIFS('MtM Releases'!$H:$H,'MtM Releases'!$G:$G,RESULTADO!$BN8,'MtM Releases'!$F:$F,RESULTADO!$BN4,'MtM Releases'!$D:$D,RESULTADO!CH$3)</f>
        <v>-1</v>
      </c>
      <c r="CI8" s="53">
        <f>SUMIFS('MtM Releases'!$H:$H,'MtM Releases'!$G:$G,RESULTADO!$BN8,'MtM Releases'!$F:$F,RESULTADO!$BN4,'MtM Releases'!$D:$D,RESULTADO!CI$3)</f>
        <v>-1</v>
      </c>
      <c r="CJ8" s="53">
        <f>SUMIFS('MtM Releases'!$H:$H,'MtM Releases'!$G:$G,RESULTADO!$BN8,'MtM Releases'!$F:$F,RESULTADO!$BN4,'MtM Releases'!$D:$D,RESULTADO!CJ$3)</f>
        <v>-1</v>
      </c>
      <c r="CK8" s="53">
        <f>SUMIFS('MtM Releases'!$H:$H,'MtM Releases'!$G:$G,RESULTADO!$BN8,'MtM Releases'!$F:$F,RESULTADO!$BN4,'MtM Releases'!$D:$D,RESULTADO!CK$3)</f>
        <v>-1</v>
      </c>
      <c r="CL8" s="63">
        <f>SUMIFS('MtM Releases'!$H:$H,'MtM Releases'!$G:$G,RESULTADO!$BN8,'MtM Releases'!$F:$F,RESULTADO!$BN4,'MtM Releases'!$D:$D,RESULTADO!CL$3)</f>
        <v>-1</v>
      </c>
      <c r="CM8" s="53">
        <f>SUMIFS('MtM Releases'!$H:$H,'MtM Releases'!$G:$G,RESULTADO!$BN8,'MtM Releases'!$F:$F,RESULTADO!$BN4,'MtM Releases'!$D:$D,RESULTADO!CM$3)</f>
        <v>0</v>
      </c>
      <c r="CN8" s="53">
        <f>SUMIFS('MtM Releases'!$H:$H,'MtM Releases'!$G:$G,RESULTADO!$BN8,'MtM Releases'!$F:$F,RESULTADO!$BN4,'MtM Releases'!$D:$D,RESULTADO!CN$3)</f>
        <v>0</v>
      </c>
      <c r="CO8" s="53">
        <f>SUMIFS('MtM Releases'!$H:$H,'MtM Releases'!$G:$G,RESULTADO!$BN8,'MtM Releases'!$F:$F,RESULTADO!$BN4,'MtM Releases'!$D:$D,RESULTADO!CO$3)</f>
        <v>0</v>
      </c>
      <c r="CP8" s="53">
        <f>SUMIFS('MtM Releases'!$H:$H,'MtM Releases'!$G:$G,RESULTADO!$BN8,'MtM Releases'!$F:$F,RESULTADO!$BN4,'MtM Releases'!$D:$D,RESULTADO!CP$3)</f>
        <v>0</v>
      </c>
      <c r="CQ8" s="53">
        <f>SUMIFS('MtM Releases'!$H:$H,'MtM Releases'!$G:$G,RESULTADO!$BN8,'MtM Releases'!$F:$F,RESULTADO!$BN4,'MtM Releases'!$D:$D,RESULTADO!CQ$3)</f>
        <v>0</v>
      </c>
      <c r="CR8" s="53">
        <f>SUMIFS('MtM Releases'!$H:$H,'MtM Releases'!$G:$G,RESULTADO!$BN8,'MtM Releases'!$F:$F,RESULTADO!$BN4,'MtM Releases'!$D:$D,RESULTADO!CR$3)</f>
        <v>0</v>
      </c>
      <c r="CS8" s="53">
        <f>SUMIFS('MtM Releases'!$H:$H,'MtM Releases'!$G:$G,RESULTADO!$BN8,'MtM Releases'!$F:$F,RESULTADO!$BN4,'MtM Releases'!$D:$D,RESULTADO!CS$3)</f>
        <v>0</v>
      </c>
      <c r="CT8" s="53">
        <f>SUMIFS('MtM Releases'!$H:$H,'MtM Releases'!$G:$G,RESULTADO!$BN8,'MtM Releases'!$F:$F,RESULTADO!$BN4,'MtM Releases'!$D:$D,RESULTADO!CT$3)</f>
        <v>0</v>
      </c>
      <c r="CU8" s="53">
        <f>SUMIFS('MtM Releases'!$H:$H,'MtM Releases'!$G:$G,RESULTADO!$BN8,'MtM Releases'!$F:$F,RESULTADO!$BN4,'MtM Releases'!$D:$D,RESULTADO!CU$3)</f>
        <v>0</v>
      </c>
      <c r="CV8" s="53">
        <f>SUMIFS('MtM Releases'!$H:$H,'MtM Releases'!$G:$G,RESULTADO!$BN8,'MtM Releases'!$F:$F,RESULTADO!$BN4,'MtM Releases'!$D:$D,RESULTADO!CV$3)</f>
        <v>0</v>
      </c>
      <c r="CW8" s="53">
        <f>SUMIFS('MtM Releases'!$H:$H,'MtM Releases'!$G:$G,RESULTADO!$BN8,'MtM Releases'!$F:$F,RESULTADO!$BN4,'MtM Releases'!$D:$D,RESULTADO!CW$3)</f>
        <v>0</v>
      </c>
      <c r="CX8" s="54">
        <f>SUMIFS('MtM Releases'!$H:$H,'MtM Releases'!$G:$G,RESULTADO!$BN8,'MtM Releases'!$F:$F,RESULTADO!$BN4,'MtM Releases'!$D:$D,RESULTADO!CX$3)</f>
        <v>0</v>
      </c>
      <c r="CY8" s="53">
        <f>SUMIFS('MtM Releases'!$H:$H,'MtM Releases'!$G:$G,RESULTADO!$BN8,'MtM Releases'!$F:$F,RESULTADO!$BN4,'MtM Releases'!$D:$D,RESULTADO!CY$3)</f>
        <v>35</v>
      </c>
      <c r="CZ8" s="53">
        <f>SUMIFS('MtM Releases'!$H:$H,'MtM Releases'!$G:$G,RESULTADO!$BN8,'MtM Releases'!$F:$F,RESULTADO!$BN4,'MtM Releases'!$D:$D,RESULTADO!CZ$3)</f>
        <v>35</v>
      </c>
      <c r="DA8" s="53">
        <f>SUMIFS('MtM Releases'!$H:$H,'MtM Releases'!$G:$G,RESULTADO!$BN8,'MtM Releases'!$F:$F,RESULTADO!$BN4,'MtM Releases'!$D:$D,RESULTADO!DA$3)</f>
        <v>35</v>
      </c>
      <c r="DB8" s="53">
        <f>SUMIFS('MtM Releases'!$H:$H,'MtM Releases'!$G:$G,RESULTADO!$BN8,'MtM Releases'!$F:$F,RESULTADO!$BN4,'MtM Releases'!$D:$D,RESULTADO!DB$3)</f>
        <v>35</v>
      </c>
      <c r="DC8" s="53">
        <f>SUMIFS('MtM Releases'!$H:$H,'MtM Releases'!$G:$G,RESULTADO!$BN8,'MtM Releases'!$F:$F,RESULTADO!$BN4,'MtM Releases'!$D:$D,RESULTADO!DC$3)</f>
        <v>35</v>
      </c>
      <c r="DD8" s="53">
        <f>SUMIFS('MtM Releases'!$H:$H,'MtM Releases'!$G:$G,RESULTADO!$BN8,'MtM Releases'!$F:$F,RESULTADO!$BN4,'MtM Releases'!$D:$D,RESULTADO!DD$3)</f>
        <v>35</v>
      </c>
      <c r="DE8" s="53">
        <f>SUMIFS('MtM Releases'!$H:$H,'MtM Releases'!$G:$G,RESULTADO!$BN8,'MtM Releases'!$F:$F,RESULTADO!$BN4,'MtM Releases'!$D:$D,RESULTADO!DE$3)</f>
        <v>35</v>
      </c>
      <c r="DF8" s="53">
        <f>SUMIFS('MtM Releases'!$H:$H,'MtM Releases'!$G:$G,RESULTADO!$BN8,'MtM Releases'!$F:$F,RESULTADO!$BN4,'MtM Releases'!$D:$D,RESULTADO!DF$3)</f>
        <v>35</v>
      </c>
      <c r="DG8" s="53">
        <f>SUMIFS('MtM Releases'!$H:$H,'MtM Releases'!$G:$G,RESULTADO!$BN8,'MtM Releases'!$F:$F,RESULTADO!$BN4,'MtM Releases'!$D:$D,RESULTADO!DG$3)</f>
        <v>35</v>
      </c>
      <c r="DH8" s="53">
        <f>SUMIFS('MtM Releases'!$H:$H,'MtM Releases'!$G:$G,RESULTADO!$BN8,'MtM Releases'!$F:$F,RESULTADO!$BN4,'MtM Releases'!$D:$D,RESULTADO!DH$3)</f>
        <v>35</v>
      </c>
      <c r="DI8" s="53">
        <f>SUMIFS('MtM Releases'!$H:$H,'MtM Releases'!$G:$G,RESULTADO!$BN8,'MtM Releases'!$F:$F,RESULTADO!$BN4,'MtM Releases'!$D:$D,RESULTADO!DI$3)</f>
        <v>35</v>
      </c>
      <c r="DJ8" s="63">
        <f>SUMIFS('MtM Releases'!$H:$H,'MtM Releases'!$G:$G,RESULTADO!$BN8,'MtM Releases'!$F:$F,RESULTADO!$BN4,'MtM Releases'!$D:$D,RESULTADO!DJ$3)</f>
        <v>35</v>
      </c>
      <c r="DK8" s="53">
        <f>SUMIFS('MtM Releases'!$H:$H,'MtM Releases'!$G:$G,RESULTADO!$BN8,'MtM Releases'!$F:$F,RESULTADO!$BN4,'MtM Releases'!$D:$D,RESULTADO!DK$3)</f>
        <v>0</v>
      </c>
      <c r="DL8" s="53">
        <f>SUMIFS('MtM Releases'!$H:$H,'MtM Releases'!$G:$G,RESULTADO!$BN8,'MtM Releases'!$F:$F,RESULTADO!$BN4,'MtM Releases'!$D:$D,RESULTADO!DL$3)</f>
        <v>0</v>
      </c>
      <c r="DM8" s="53">
        <f>SUMIFS('MtM Releases'!$H:$H,'MtM Releases'!$G:$G,RESULTADO!$BN8,'MtM Releases'!$F:$F,RESULTADO!$BN4,'MtM Releases'!$D:$D,RESULTADO!DM$3)</f>
        <v>0</v>
      </c>
      <c r="DN8" s="53">
        <f>SUMIFS('MtM Releases'!$H:$H,'MtM Releases'!$G:$G,RESULTADO!$BN8,'MtM Releases'!$F:$F,RESULTADO!$BN4,'MtM Releases'!$D:$D,RESULTADO!DN$3)</f>
        <v>0</v>
      </c>
      <c r="DO8" s="53">
        <f>SUMIFS('MtM Releases'!$H:$H,'MtM Releases'!$G:$G,RESULTADO!$BN8,'MtM Releases'!$F:$F,RESULTADO!$BN4,'MtM Releases'!$D:$D,RESULTADO!DO$3)</f>
        <v>0</v>
      </c>
      <c r="DP8" s="53">
        <f>SUMIFS('MtM Releases'!$H:$H,'MtM Releases'!$G:$G,RESULTADO!$BN8,'MtM Releases'!$F:$F,RESULTADO!$BN4,'MtM Releases'!$D:$D,RESULTADO!DP$3)</f>
        <v>0</v>
      </c>
      <c r="DQ8" s="53">
        <f>SUMIFS('MtM Releases'!$H:$H,'MtM Releases'!$G:$G,RESULTADO!$BN8,'MtM Releases'!$F:$F,RESULTADO!$BN4,'MtM Releases'!$D:$D,RESULTADO!DQ$3)</f>
        <v>0</v>
      </c>
      <c r="DR8" s="53">
        <f>SUMIFS('MtM Releases'!$H:$H,'MtM Releases'!$G:$G,RESULTADO!$BN8,'MtM Releases'!$F:$F,RESULTADO!$BN4,'MtM Releases'!$D:$D,RESULTADO!DR$3)</f>
        <v>0</v>
      </c>
      <c r="DS8" s="53">
        <f>SUMIFS('MtM Releases'!$H:$H,'MtM Releases'!$G:$G,RESULTADO!$BN8,'MtM Releases'!$F:$F,RESULTADO!$BN4,'MtM Releases'!$D:$D,RESULTADO!DS$3)</f>
        <v>0</v>
      </c>
      <c r="DT8" s="53">
        <f>SUMIFS('MtM Releases'!$H:$H,'MtM Releases'!$G:$G,RESULTADO!$BN8,'MtM Releases'!$F:$F,RESULTADO!$BN4,'MtM Releases'!$D:$D,RESULTADO!DT$3)</f>
        <v>0</v>
      </c>
      <c r="DU8" s="53">
        <f>SUMIFS('MtM Releases'!$H:$H,'MtM Releases'!$G:$G,RESULTADO!$BN8,'MtM Releases'!$F:$F,RESULTADO!$BN4,'MtM Releases'!$D:$D,RESULTADO!DU$3)</f>
        <v>0</v>
      </c>
      <c r="DV8" s="63">
        <f>SUMIFS('MtM Releases'!$H:$H,'MtM Releases'!$G:$G,RESULTADO!$BN8,'MtM Releases'!$F:$F,RESULTADO!$BN4,'MtM Releases'!$D:$D,RESULTADO!DV$3)</f>
        <v>0</v>
      </c>
      <c r="EB8" s="11"/>
    </row>
    <row r="9" spans="2:132" x14ac:dyDescent="0.25">
      <c r="B9" s="56" t="s">
        <v>24</v>
      </c>
      <c r="C9" s="68">
        <f t="shared" ref="C9" si="5">SUM(C10:C13)</f>
        <v>0</v>
      </c>
      <c r="D9" s="68">
        <f t="shared" ref="D9:BJ9" si="6">SUM(D10:D13)</f>
        <v>0</v>
      </c>
      <c r="E9" s="68">
        <f t="shared" si="6"/>
        <v>0</v>
      </c>
      <c r="F9" s="68">
        <f t="shared" si="6"/>
        <v>0</v>
      </c>
      <c r="G9" s="68">
        <f t="shared" si="6"/>
        <v>0</v>
      </c>
      <c r="H9" s="68">
        <f t="shared" si="6"/>
        <v>0</v>
      </c>
      <c r="I9" s="68">
        <f t="shared" si="6"/>
        <v>0</v>
      </c>
      <c r="J9" s="68">
        <f t="shared" si="6"/>
        <v>0</v>
      </c>
      <c r="K9" s="68">
        <f t="shared" si="6"/>
        <v>0</v>
      </c>
      <c r="L9" s="68">
        <f t="shared" si="6"/>
        <v>0</v>
      </c>
      <c r="M9" s="68">
        <f t="shared" si="6"/>
        <v>0</v>
      </c>
      <c r="N9" s="69">
        <f t="shared" si="6"/>
        <v>0</v>
      </c>
      <c r="O9" s="68">
        <f t="shared" si="6"/>
        <v>0</v>
      </c>
      <c r="P9" s="68">
        <f t="shared" si="6"/>
        <v>0</v>
      </c>
      <c r="Q9" s="68">
        <f t="shared" si="6"/>
        <v>0</v>
      </c>
      <c r="R9" s="68">
        <f t="shared" si="6"/>
        <v>0</v>
      </c>
      <c r="S9" s="68">
        <f t="shared" si="6"/>
        <v>0</v>
      </c>
      <c r="T9" s="68">
        <f t="shared" si="6"/>
        <v>0</v>
      </c>
      <c r="U9" s="68">
        <f t="shared" si="6"/>
        <v>0</v>
      </c>
      <c r="V9" s="68">
        <f t="shared" si="6"/>
        <v>0</v>
      </c>
      <c r="W9" s="68">
        <f t="shared" si="6"/>
        <v>0</v>
      </c>
      <c r="X9" s="68">
        <f t="shared" si="6"/>
        <v>0</v>
      </c>
      <c r="Y9" s="68">
        <f t="shared" si="6"/>
        <v>0</v>
      </c>
      <c r="Z9" s="70">
        <f t="shared" si="6"/>
        <v>0</v>
      </c>
      <c r="AA9" s="68">
        <f t="shared" si="6"/>
        <v>0</v>
      </c>
      <c r="AB9" s="68">
        <f t="shared" si="6"/>
        <v>0</v>
      </c>
      <c r="AC9" s="68">
        <f t="shared" si="6"/>
        <v>0</v>
      </c>
      <c r="AD9" s="68">
        <f t="shared" si="6"/>
        <v>0</v>
      </c>
      <c r="AE9" s="68">
        <f t="shared" si="6"/>
        <v>0</v>
      </c>
      <c r="AF9" s="68">
        <f t="shared" si="6"/>
        <v>0</v>
      </c>
      <c r="AG9" s="68">
        <f t="shared" si="6"/>
        <v>0</v>
      </c>
      <c r="AH9" s="68">
        <f t="shared" si="6"/>
        <v>0</v>
      </c>
      <c r="AI9" s="68">
        <f t="shared" si="6"/>
        <v>0</v>
      </c>
      <c r="AJ9" s="68">
        <f t="shared" si="6"/>
        <v>0</v>
      </c>
      <c r="AK9" s="68">
        <f t="shared" si="6"/>
        <v>0</v>
      </c>
      <c r="AL9" s="69">
        <f t="shared" si="6"/>
        <v>0</v>
      </c>
      <c r="AM9" s="68">
        <f t="shared" si="6"/>
        <v>0</v>
      </c>
      <c r="AN9" s="68">
        <f t="shared" si="6"/>
        <v>0</v>
      </c>
      <c r="AO9" s="68">
        <f t="shared" si="6"/>
        <v>0</v>
      </c>
      <c r="AP9" s="68">
        <f t="shared" si="6"/>
        <v>0</v>
      </c>
      <c r="AQ9" s="68">
        <f t="shared" si="6"/>
        <v>0</v>
      </c>
      <c r="AR9" s="68">
        <f t="shared" si="6"/>
        <v>0</v>
      </c>
      <c r="AS9" s="68">
        <f t="shared" si="6"/>
        <v>0</v>
      </c>
      <c r="AT9" s="68">
        <f t="shared" si="6"/>
        <v>0</v>
      </c>
      <c r="AU9" s="68">
        <f t="shared" si="6"/>
        <v>0</v>
      </c>
      <c r="AV9" s="68">
        <f t="shared" si="6"/>
        <v>0</v>
      </c>
      <c r="AW9" s="68">
        <f t="shared" si="6"/>
        <v>0</v>
      </c>
      <c r="AX9" s="70">
        <f t="shared" si="6"/>
        <v>0</v>
      </c>
      <c r="AY9" s="68">
        <f t="shared" si="6"/>
        <v>0</v>
      </c>
      <c r="AZ9" s="68">
        <f t="shared" si="6"/>
        <v>0</v>
      </c>
      <c r="BA9" s="68">
        <f t="shared" si="6"/>
        <v>0</v>
      </c>
      <c r="BB9" s="68">
        <f t="shared" si="6"/>
        <v>0</v>
      </c>
      <c r="BC9" s="68">
        <f t="shared" si="6"/>
        <v>0</v>
      </c>
      <c r="BD9" s="68">
        <f t="shared" si="6"/>
        <v>0</v>
      </c>
      <c r="BE9" s="68">
        <f t="shared" si="6"/>
        <v>0</v>
      </c>
      <c r="BF9" s="68">
        <f t="shared" si="6"/>
        <v>0</v>
      </c>
      <c r="BG9" s="68">
        <f t="shared" si="6"/>
        <v>0</v>
      </c>
      <c r="BH9" s="68">
        <f t="shared" si="6"/>
        <v>0</v>
      </c>
      <c r="BI9" s="68">
        <f t="shared" si="6"/>
        <v>0</v>
      </c>
      <c r="BJ9" s="70">
        <f t="shared" si="6"/>
        <v>0</v>
      </c>
      <c r="BL9" s="120"/>
      <c r="BN9" s="56" t="s">
        <v>24</v>
      </c>
      <c r="BO9" s="68">
        <f t="shared" ref="BO9" si="7">SUM(BO10:BO13)</f>
        <v>0</v>
      </c>
      <c r="BP9" s="68">
        <f t="shared" ref="BP9:DV9" si="8">SUM(BP10:BP13)</f>
        <v>0</v>
      </c>
      <c r="BQ9" s="68">
        <f t="shared" si="8"/>
        <v>0</v>
      </c>
      <c r="BR9" s="68">
        <f t="shared" si="8"/>
        <v>0</v>
      </c>
      <c r="BS9" s="68">
        <f t="shared" si="8"/>
        <v>0</v>
      </c>
      <c r="BT9" s="68">
        <f t="shared" si="8"/>
        <v>0</v>
      </c>
      <c r="BU9" s="68">
        <f t="shared" si="8"/>
        <v>0</v>
      </c>
      <c r="BV9" s="68">
        <f t="shared" si="8"/>
        <v>0</v>
      </c>
      <c r="BW9" s="68">
        <f t="shared" si="8"/>
        <v>0</v>
      </c>
      <c r="BX9" s="68">
        <f t="shared" si="8"/>
        <v>0</v>
      </c>
      <c r="BY9" s="68">
        <f t="shared" si="8"/>
        <v>0</v>
      </c>
      <c r="BZ9" s="69">
        <f t="shared" si="8"/>
        <v>0</v>
      </c>
      <c r="CA9" s="68">
        <f t="shared" si="8"/>
        <v>0</v>
      </c>
      <c r="CB9" s="68">
        <f t="shared" si="8"/>
        <v>0</v>
      </c>
      <c r="CC9" s="68">
        <f t="shared" si="8"/>
        <v>0</v>
      </c>
      <c r="CD9" s="68">
        <f t="shared" si="8"/>
        <v>0</v>
      </c>
      <c r="CE9" s="68">
        <f t="shared" si="8"/>
        <v>0</v>
      </c>
      <c r="CF9" s="68">
        <f t="shared" si="8"/>
        <v>0</v>
      </c>
      <c r="CG9" s="68">
        <f t="shared" si="8"/>
        <v>0</v>
      </c>
      <c r="CH9" s="68">
        <f t="shared" si="8"/>
        <v>0</v>
      </c>
      <c r="CI9" s="68">
        <f t="shared" si="8"/>
        <v>0</v>
      </c>
      <c r="CJ9" s="68">
        <f t="shared" si="8"/>
        <v>0</v>
      </c>
      <c r="CK9" s="68">
        <f t="shared" si="8"/>
        <v>0</v>
      </c>
      <c r="CL9" s="70">
        <f t="shared" si="8"/>
        <v>0</v>
      </c>
      <c r="CM9" s="68">
        <f t="shared" si="8"/>
        <v>0</v>
      </c>
      <c r="CN9" s="68">
        <f t="shared" si="8"/>
        <v>0</v>
      </c>
      <c r="CO9" s="68">
        <f t="shared" si="8"/>
        <v>0</v>
      </c>
      <c r="CP9" s="68">
        <f t="shared" si="8"/>
        <v>0</v>
      </c>
      <c r="CQ9" s="68">
        <f t="shared" si="8"/>
        <v>0</v>
      </c>
      <c r="CR9" s="68">
        <f t="shared" si="8"/>
        <v>0</v>
      </c>
      <c r="CS9" s="68">
        <f t="shared" si="8"/>
        <v>0</v>
      </c>
      <c r="CT9" s="68">
        <f t="shared" si="8"/>
        <v>0</v>
      </c>
      <c r="CU9" s="68">
        <f t="shared" si="8"/>
        <v>0</v>
      </c>
      <c r="CV9" s="68">
        <f t="shared" si="8"/>
        <v>0</v>
      </c>
      <c r="CW9" s="68">
        <f t="shared" si="8"/>
        <v>0</v>
      </c>
      <c r="CX9" s="69">
        <f t="shared" si="8"/>
        <v>0</v>
      </c>
      <c r="CY9" s="68">
        <f t="shared" si="8"/>
        <v>0</v>
      </c>
      <c r="CZ9" s="68">
        <f t="shared" si="8"/>
        <v>0</v>
      </c>
      <c r="DA9" s="68">
        <f t="shared" si="8"/>
        <v>0</v>
      </c>
      <c r="DB9" s="68">
        <f t="shared" si="8"/>
        <v>0</v>
      </c>
      <c r="DC9" s="68">
        <f t="shared" si="8"/>
        <v>0</v>
      </c>
      <c r="DD9" s="68">
        <f t="shared" si="8"/>
        <v>0</v>
      </c>
      <c r="DE9" s="68">
        <f t="shared" si="8"/>
        <v>0</v>
      </c>
      <c r="DF9" s="68">
        <f t="shared" si="8"/>
        <v>0</v>
      </c>
      <c r="DG9" s="68">
        <f t="shared" si="8"/>
        <v>0</v>
      </c>
      <c r="DH9" s="68">
        <f t="shared" si="8"/>
        <v>0</v>
      </c>
      <c r="DI9" s="68">
        <f t="shared" si="8"/>
        <v>0</v>
      </c>
      <c r="DJ9" s="70">
        <f t="shared" si="8"/>
        <v>0</v>
      </c>
      <c r="DK9" s="68">
        <f t="shared" si="8"/>
        <v>0</v>
      </c>
      <c r="DL9" s="68">
        <f t="shared" si="8"/>
        <v>0</v>
      </c>
      <c r="DM9" s="68">
        <f t="shared" si="8"/>
        <v>0</v>
      </c>
      <c r="DN9" s="68">
        <f t="shared" si="8"/>
        <v>0</v>
      </c>
      <c r="DO9" s="68">
        <f t="shared" si="8"/>
        <v>0</v>
      </c>
      <c r="DP9" s="68">
        <f t="shared" si="8"/>
        <v>0</v>
      </c>
      <c r="DQ9" s="68">
        <f t="shared" si="8"/>
        <v>0</v>
      </c>
      <c r="DR9" s="68">
        <f t="shared" si="8"/>
        <v>0</v>
      </c>
      <c r="DS9" s="68">
        <f t="shared" si="8"/>
        <v>0</v>
      </c>
      <c r="DT9" s="68">
        <f t="shared" si="8"/>
        <v>0</v>
      </c>
      <c r="DU9" s="68">
        <f t="shared" si="8"/>
        <v>0</v>
      </c>
      <c r="DV9" s="70">
        <f t="shared" si="8"/>
        <v>0</v>
      </c>
      <c r="EB9" s="11"/>
    </row>
    <row r="10" spans="2:132" x14ac:dyDescent="0.25">
      <c r="B10" s="57" t="s">
        <v>44</v>
      </c>
      <c r="C10" s="53">
        <f>(SUMIFS(MtM!$M:$M,MtM!$I:$I,RESULTADO!$B10,MtM!$H:$H,RESULTADO!$B$9,MtM!$E:$E,RESULTADO!C$3)-SUMIFS(MtM!$N:$N,MtM!$I:$I,RESULTADO!$B10,MtM!$H:$H,RESULTADO!$B$9,MtM!$E:$E,RESULTADO!C$3))</f>
        <v>0</v>
      </c>
      <c r="D10" s="53">
        <f>(SUMIFS(MtM!$M:$M,MtM!$I:$I,RESULTADO!$B10,MtM!$H:$H,RESULTADO!$B$9,MtM!$E:$E,RESULTADO!D$3)-SUMIFS(MtM!$N:$N,MtM!$I:$I,RESULTADO!$B10,MtM!$H:$H,RESULTADO!$B$9,MtM!$E:$E,RESULTADO!D$3))</f>
        <v>0</v>
      </c>
      <c r="E10" s="53">
        <f>(SUMIFS(MtM!$M:$M,MtM!$I:$I,RESULTADO!$B10,MtM!$H:$H,RESULTADO!$B$9,MtM!$E:$E,RESULTADO!E$3)-SUMIFS(MtM!$N:$N,MtM!$I:$I,RESULTADO!$B10,MtM!$H:$H,RESULTADO!$B$9,MtM!$E:$E,RESULTADO!E$3))</f>
        <v>0</v>
      </c>
      <c r="F10" s="53">
        <f>(SUMIFS(MtM!$M:$M,MtM!$I:$I,RESULTADO!$B10,MtM!$H:$H,RESULTADO!$B$9,MtM!$E:$E,RESULTADO!F$3)-SUMIFS(MtM!$N:$N,MtM!$I:$I,RESULTADO!$B10,MtM!$H:$H,RESULTADO!$B$9,MtM!$E:$E,RESULTADO!F$3))</f>
        <v>0</v>
      </c>
      <c r="G10" s="53">
        <f>(SUMIFS(MtM!$M:$M,MtM!$I:$I,RESULTADO!$B10,MtM!$H:$H,RESULTADO!$B$9,MtM!$E:$E,RESULTADO!G$3)-SUMIFS(MtM!$N:$N,MtM!$I:$I,RESULTADO!$B10,MtM!$H:$H,RESULTADO!$B$9,MtM!$E:$E,RESULTADO!G$3))</f>
        <v>0</v>
      </c>
      <c r="H10" s="53">
        <f>(SUMIFS(MtM!$M:$M,MtM!$I:$I,RESULTADO!$B10,MtM!$H:$H,RESULTADO!$B$9,MtM!$E:$E,RESULTADO!H$3)-SUMIFS(MtM!$N:$N,MtM!$I:$I,RESULTADO!$B10,MtM!$H:$H,RESULTADO!$B$9,MtM!$E:$E,RESULTADO!H$3))</f>
        <v>0</v>
      </c>
      <c r="I10" s="53">
        <f>(SUMIFS(MtM!$M:$M,MtM!$I:$I,RESULTADO!$B10,MtM!$H:$H,RESULTADO!$B$9,MtM!$E:$E,RESULTADO!I$3)-SUMIFS(MtM!$N:$N,MtM!$I:$I,RESULTADO!$B10,MtM!$H:$H,RESULTADO!$B$9,MtM!$E:$E,RESULTADO!I$3))</f>
        <v>0</v>
      </c>
      <c r="J10" s="53">
        <f>(SUMIFS(MtM!$M:$M,MtM!$I:$I,RESULTADO!$B10,MtM!$H:$H,RESULTADO!$B$9,MtM!$E:$E,RESULTADO!J$3)-SUMIFS(MtM!$N:$N,MtM!$I:$I,RESULTADO!$B10,MtM!$H:$H,RESULTADO!$B$9,MtM!$E:$E,RESULTADO!J$3))</f>
        <v>0</v>
      </c>
      <c r="K10" s="53">
        <f>(SUMIFS(MtM!$M:$M,MtM!$I:$I,RESULTADO!$B10,MtM!$H:$H,RESULTADO!$B$9,MtM!$E:$E,RESULTADO!K$3)-SUMIFS(MtM!$N:$N,MtM!$I:$I,RESULTADO!$B10,MtM!$H:$H,RESULTADO!$B$9,MtM!$E:$E,RESULTADO!K$3))</f>
        <v>0</v>
      </c>
      <c r="L10" s="53">
        <f>(SUMIFS(MtM!$M:$M,MtM!$I:$I,RESULTADO!$B10,MtM!$H:$H,RESULTADO!$B$9,MtM!$E:$E,RESULTADO!L$3)-SUMIFS(MtM!$N:$N,MtM!$I:$I,RESULTADO!$B10,MtM!$H:$H,RESULTADO!$B$9,MtM!$E:$E,RESULTADO!L$3))</f>
        <v>0</v>
      </c>
      <c r="M10" s="53">
        <f>(SUMIFS(MtM!$M:$M,MtM!$I:$I,RESULTADO!$B10,MtM!$H:$H,RESULTADO!$B$9,MtM!$E:$E,RESULTADO!M$3)-SUMIFS(MtM!$N:$N,MtM!$I:$I,RESULTADO!$B10,MtM!$H:$H,RESULTADO!$B$9,MtM!$E:$E,RESULTADO!M$3))</f>
        <v>0</v>
      </c>
      <c r="N10" s="54">
        <f>(SUMIFS(MtM!$M:$M,MtM!$I:$I,RESULTADO!$B10,MtM!$H:$H,RESULTADO!$B$9,MtM!$E:$E,RESULTADO!N$3)-SUMIFS(MtM!$N:$N,MtM!$I:$I,RESULTADO!$B10,MtM!$H:$H,RESULTADO!$B$9,MtM!$E:$E,RESULTADO!N$3))</f>
        <v>0</v>
      </c>
      <c r="O10" s="53">
        <f>(SUMIFS(MtM!$M:$M,MtM!$I:$I,RESULTADO!$B10,MtM!$H:$H,RESULTADO!$B$9,MtM!$E:$E,RESULTADO!O$3)-SUMIFS(MtM!$N:$N,MtM!$I:$I,RESULTADO!$B10,MtM!$H:$H,RESULTADO!$B$9,MtM!$E:$E,RESULTADO!O$3))</f>
        <v>0</v>
      </c>
      <c r="P10" s="53">
        <f>(SUMIFS(MtM!$M:$M,MtM!$I:$I,RESULTADO!$B10,MtM!$H:$H,RESULTADO!$B$9,MtM!$E:$E,RESULTADO!P$3)-SUMIFS(MtM!$N:$N,MtM!$I:$I,RESULTADO!$B10,MtM!$H:$H,RESULTADO!$B$9,MtM!$E:$E,RESULTADO!P$3))</f>
        <v>0</v>
      </c>
      <c r="Q10" s="53">
        <f>(SUMIFS(MtM!$M:$M,MtM!$I:$I,RESULTADO!$B10,MtM!$H:$H,RESULTADO!$B$9,MtM!$E:$E,RESULTADO!Q$3)-SUMIFS(MtM!$N:$N,MtM!$I:$I,RESULTADO!$B10,MtM!$H:$H,RESULTADO!$B$9,MtM!$E:$E,RESULTADO!Q$3))</f>
        <v>0</v>
      </c>
      <c r="R10" s="53">
        <f>(SUMIFS(MtM!$M:$M,MtM!$I:$I,RESULTADO!$B10,MtM!$H:$H,RESULTADO!$B$9,MtM!$E:$E,RESULTADO!R$3)-SUMIFS(MtM!$N:$N,MtM!$I:$I,RESULTADO!$B10,MtM!$H:$H,RESULTADO!$B$9,MtM!$E:$E,RESULTADO!R$3))</f>
        <v>0</v>
      </c>
      <c r="S10" s="53">
        <f>(SUMIFS(MtM!$M:$M,MtM!$I:$I,RESULTADO!$B10,MtM!$H:$H,RESULTADO!$B$9,MtM!$E:$E,RESULTADO!S$3)-SUMIFS(MtM!$N:$N,MtM!$I:$I,RESULTADO!$B10,MtM!$H:$H,RESULTADO!$B$9,MtM!$E:$E,RESULTADO!S$3))</f>
        <v>0</v>
      </c>
      <c r="T10" s="53">
        <f>(SUMIFS(MtM!$M:$M,MtM!$I:$I,RESULTADO!$B10,MtM!$H:$H,RESULTADO!$B$9,MtM!$E:$E,RESULTADO!T$3)-SUMIFS(MtM!$N:$N,MtM!$I:$I,RESULTADO!$B10,MtM!$H:$H,RESULTADO!$B$9,MtM!$E:$E,RESULTADO!T$3))</f>
        <v>0</v>
      </c>
      <c r="U10" s="53">
        <f>(SUMIFS(MtM!$M:$M,MtM!$I:$I,RESULTADO!$B10,MtM!$H:$H,RESULTADO!$B$9,MtM!$E:$E,RESULTADO!U$3)-SUMIFS(MtM!$N:$N,MtM!$I:$I,RESULTADO!$B10,MtM!$H:$H,RESULTADO!$B$9,MtM!$E:$E,RESULTADO!U$3))</f>
        <v>0</v>
      </c>
      <c r="V10" s="53">
        <f>(SUMIFS(MtM!$M:$M,MtM!$I:$I,RESULTADO!$B10,MtM!$H:$H,RESULTADO!$B$9,MtM!$E:$E,RESULTADO!V$3)-SUMIFS(MtM!$N:$N,MtM!$I:$I,RESULTADO!$B10,MtM!$H:$H,RESULTADO!$B$9,MtM!$E:$E,RESULTADO!V$3))</f>
        <v>0</v>
      </c>
      <c r="W10" s="53">
        <f>(SUMIFS(MtM!$M:$M,MtM!$I:$I,RESULTADO!$B10,MtM!$H:$H,RESULTADO!$B$9,MtM!$E:$E,RESULTADO!W$3)-SUMIFS(MtM!$N:$N,MtM!$I:$I,RESULTADO!$B10,MtM!$H:$H,RESULTADO!$B$9,MtM!$E:$E,RESULTADO!W$3))</f>
        <v>0</v>
      </c>
      <c r="X10" s="53">
        <f>(SUMIFS(MtM!$M:$M,MtM!$I:$I,RESULTADO!$B10,MtM!$H:$H,RESULTADO!$B$9,MtM!$E:$E,RESULTADO!X$3)-SUMIFS(MtM!$N:$N,MtM!$I:$I,RESULTADO!$B10,MtM!$H:$H,RESULTADO!$B$9,MtM!$E:$E,RESULTADO!X$3))</f>
        <v>0</v>
      </c>
      <c r="Y10" s="53">
        <f>(SUMIFS(MtM!$M:$M,MtM!$I:$I,RESULTADO!$B10,MtM!$H:$H,RESULTADO!$B$9,MtM!$E:$E,RESULTADO!Y$3)-SUMIFS(MtM!$N:$N,MtM!$I:$I,RESULTADO!$B10,MtM!$H:$H,RESULTADO!$B$9,MtM!$E:$E,RESULTADO!Y$3))</f>
        <v>0</v>
      </c>
      <c r="Z10" s="63">
        <f>(SUMIFS(MtM!$M:$M,MtM!$I:$I,RESULTADO!$B10,MtM!$H:$H,RESULTADO!$B$9,MtM!$E:$E,RESULTADO!Z$3)-SUMIFS(MtM!$N:$N,MtM!$I:$I,RESULTADO!$B10,MtM!$H:$H,RESULTADO!$B$9,MtM!$E:$E,RESULTADO!Z$3))</f>
        <v>0</v>
      </c>
      <c r="AA10" s="53">
        <f>(SUMIFS(MtM!$M:$M,MtM!$I:$I,RESULTADO!$B10,MtM!$H:$H,RESULTADO!$B$9,MtM!$E:$E,RESULTADO!AA$3)-SUMIFS(MtM!$N:$N,MtM!$I:$I,RESULTADO!$B10,MtM!$H:$H,RESULTADO!$B$9,MtM!$E:$E,RESULTADO!AA$3))</f>
        <v>0</v>
      </c>
      <c r="AB10" s="53">
        <f>(SUMIFS(MtM!$M:$M,MtM!$I:$I,RESULTADO!$B10,MtM!$H:$H,RESULTADO!$B$9,MtM!$E:$E,RESULTADO!AB$3)-SUMIFS(MtM!$N:$N,MtM!$I:$I,RESULTADO!$B10,MtM!$H:$H,RESULTADO!$B$9,MtM!$E:$E,RESULTADO!AB$3))</f>
        <v>0</v>
      </c>
      <c r="AC10" s="53">
        <f>(SUMIFS(MtM!$M:$M,MtM!$I:$I,RESULTADO!$B10,MtM!$H:$H,RESULTADO!$B$9,MtM!$E:$E,RESULTADO!AC$3)-SUMIFS(MtM!$N:$N,MtM!$I:$I,RESULTADO!$B10,MtM!$H:$H,RESULTADO!$B$9,MtM!$E:$E,RESULTADO!AC$3))</f>
        <v>0</v>
      </c>
      <c r="AD10" s="53">
        <f>(SUMIFS(MtM!$M:$M,MtM!$I:$I,RESULTADO!$B10,MtM!$H:$H,RESULTADO!$B$9,MtM!$E:$E,RESULTADO!AD$3)-SUMIFS(MtM!$N:$N,MtM!$I:$I,RESULTADO!$B10,MtM!$H:$H,RESULTADO!$B$9,MtM!$E:$E,RESULTADO!AD$3))</f>
        <v>0</v>
      </c>
      <c r="AE10" s="53">
        <f>(SUMIFS(MtM!$M:$M,MtM!$I:$I,RESULTADO!$B10,MtM!$H:$H,RESULTADO!$B$9,MtM!$E:$E,RESULTADO!AE$3)-SUMIFS(MtM!$N:$N,MtM!$I:$I,RESULTADO!$B10,MtM!$H:$H,RESULTADO!$B$9,MtM!$E:$E,RESULTADO!AE$3))</f>
        <v>0</v>
      </c>
      <c r="AF10" s="53">
        <f>(SUMIFS(MtM!$M:$M,MtM!$I:$I,RESULTADO!$B10,MtM!$H:$H,RESULTADO!$B$9,MtM!$E:$E,RESULTADO!AF$3)-SUMIFS(MtM!$N:$N,MtM!$I:$I,RESULTADO!$B10,MtM!$H:$H,RESULTADO!$B$9,MtM!$E:$E,RESULTADO!AF$3))</f>
        <v>0</v>
      </c>
      <c r="AG10" s="53">
        <f>(SUMIFS(MtM!$M:$M,MtM!$I:$I,RESULTADO!$B10,MtM!$H:$H,RESULTADO!$B$9,MtM!$E:$E,RESULTADO!AG$3)-SUMIFS(MtM!$N:$N,MtM!$I:$I,RESULTADO!$B10,MtM!$H:$H,RESULTADO!$B$9,MtM!$E:$E,RESULTADO!AG$3))</f>
        <v>0</v>
      </c>
      <c r="AH10" s="53">
        <f>(SUMIFS(MtM!$M:$M,MtM!$I:$I,RESULTADO!$B10,MtM!$H:$H,RESULTADO!$B$9,MtM!$E:$E,RESULTADO!AH$3)-SUMIFS(MtM!$N:$N,MtM!$I:$I,RESULTADO!$B10,MtM!$H:$H,RESULTADO!$B$9,MtM!$E:$E,RESULTADO!AH$3))</f>
        <v>0</v>
      </c>
      <c r="AI10" s="53">
        <f>(SUMIFS(MtM!$M:$M,MtM!$I:$I,RESULTADO!$B10,MtM!$H:$H,RESULTADO!$B$9,MtM!$E:$E,RESULTADO!AI$3)-SUMIFS(MtM!$N:$N,MtM!$I:$I,RESULTADO!$B10,MtM!$H:$H,RESULTADO!$B$9,MtM!$E:$E,RESULTADO!AI$3))</f>
        <v>0</v>
      </c>
      <c r="AJ10" s="53">
        <f>(SUMIFS(MtM!$M:$M,MtM!$I:$I,RESULTADO!$B10,MtM!$H:$H,RESULTADO!$B$9,MtM!$E:$E,RESULTADO!AJ$3)-SUMIFS(MtM!$N:$N,MtM!$I:$I,RESULTADO!$B10,MtM!$H:$H,RESULTADO!$B$9,MtM!$E:$E,RESULTADO!AJ$3))</f>
        <v>0</v>
      </c>
      <c r="AK10" s="53">
        <f>(SUMIFS(MtM!$M:$M,MtM!$I:$I,RESULTADO!$B10,MtM!$H:$H,RESULTADO!$B$9,MtM!$E:$E,RESULTADO!AK$3)-SUMIFS(MtM!$N:$N,MtM!$I:$I,RESULTADO!$B10,MtM!$H:$H,RESULTADO!$B$9,MtM!$E:$E,RESULTADO!AK$3))</f>
        <v>0</v>
      </c>
      <c r="AL10" s="54">
        <f>(SUMIFS(MtM!$M:$M,MtM!$I:$I,RESULTADO!$B10,MtM!$H:$H,RESULTADO!$B$9,MtM!$E:$E,RESULTADO!AL$3)-SUMIFS(MtM!$N:$N,MtM!$I:$I,RESULTADO!$B10,MtM!$H:$H,RESULTADO!$B$9,MtM!$E:$E,RESULTADO!AL$3))</f>
        <v>0</v>
      </c>
      <c r="AM10" s="53">
        <f>(SUMIFS(MtM!$M:$M,MtM!$I:$I,RESULTADO!$B10,MtM!$H:$H,RESULTADO!$B$9,MtM!$E:$E,RESULTADO!AM$3)-SUMIFS(MtM!$N:$N,MtM!$I:$I,RESULTADO!$B10,MtM!$H:$H,RESULTADO!$B$9,MtM!$E:$E,RESULTADO!AM$3))</f>
        <v>0</v>
      </c>
      <c r="AN10" s="53">
        <f>(SUMIFS(MtM!$M:$M,MtM!$I:$I,RESULTADO!$B10,MtM!$H:$H,RESULTADO!$B$9,MtM!$E:$E,RESULTADO!AN$3)-SUMIFS(MtM!$N:$N,MtM!$I:$I,RESULTADO!$B10,MtM!$H:$H,RESULTADO!$B$9,MtM!$E:$E,RESULTADO!AN$3))</f>
        <v>0</v>
      </c>
      <c r="AO10" s="53">
        <f>(SUMIFS(MtM!$M:$M,MtM!$I:$I,RESULTADO!$B10,MtM!$H:$H,RESULTADO!$B$9,MtM!$E:$E,RESULTADO!AO$3)-SUMIFS(MtM!$N:$N,MtM!$I:$I,RESULTADO!$B10,MtM!$H:$H,RESULTADO!$B$9,MtM!$E:$E,RESULTADO!AO$3))</f>
        <v>0</v>
      </c>
      <c r="AP10" s="53">
        <f>(SUMIFS(MtM!$M:$M,MtM!$I:$I,RESULTADO!$B10,MtM!$H:$H,RESULTADO!$B$9,MtM!$E:$E,RESULTADO!AP$3)-SUMIFS(MtM!$N:$N,MtM!$I:$I,RESULTADO!$B10,MtM!$H:$H,RESULTADO!$B$9,MtM!$E:$E,RESULTADO!AP$3))</f>
        <v>0</v>
      </c>
      <c r="AQ10" s="53">
        <f>(SUMIFS(MtM!$M:$M,MtM!$I:$I,RESULTADO!$B10,MtM!$H:$H,RESULTADO!$B$9,MtM!$E:$E,RESULTADO!AQ$3)-SUMIFS(MtM!$N:$N,MtM!$I:$I,RESULTADO!$B10,MtM!$H:$H,RESULTADO!$B$9,MtM!$E:$E,RESULTADO!AQ$3))</f>
        <v>0</v>
      </c>
      <c r="AR10" s="53">
        <f>(SUMIFS(MtM!$M:$M,MtM!$I:$I,RESULTADO!$B10,MtM!$H:$H,RESULTADO!$B$9,MtM!$E:$E,RESULTADO!AR$3)-SUMIFS(MtM!$N:$N,MtM!$I:$I,RESULTADO!$B10,MtM!$H:$H,RESULTADO!$B$9,MtM!$E:$E,RESULTADO!AR$3))</f>
        <v>0</v>
      </c>
      <c r="AS10" s="53">
        <f>(SUMIFS(MtM!$M:$M,MtM!$I:$I,RESULTADO!$B10,MtM!$H:$H,RESULTADO!$B$9,MtM!$E:$E,RESULTADO!AS$3)-SUMIFS(MtM!$N:$N,MtM!$I:$I,RESULTADO!$B10,MtM!$H:$H,RESULTADO!$B$9,MtM!$E:$E,RESULTADO!AS$3))</f>
        <v>0</v>
      </c>
      <c r="AT10" s="53">
        <f>(SUMIFS(MtM!$M:$M,MtM!$I:$I,RESULTADO!$B10,MtM!$H:$H,RESULTADO!$B$9,MtM!$E:$E,RESULTADO!AT$3)-SUMIFS(MtM!$N:$N,MtM!$I:$I,RESULTADO!$B10,MtM!$H:$H,RESULTADO!$B$9,MtM!$E:$E,RESULTADO!AT$3))</f>
        <v>0</v>
      </c>
      <c r="AU10" s="53">
        <f>(SUMIFS(MtM!$M:$M,MtM!$I:$I,RESULTADO!$B10,MtM!$H:$H,RESULTADO!$B$9,MtM!$E:$E,RESULTADO!AU$3)-SUMIFS(MtM!$N:$N,MtM!$I:$I,RESULTADO!$B10,MtM!$H:$H,RESULTADO!$B$9,MtM!$E:$E,RESULTADO!AU$3))</f>
        <v>0</v>
      </c>
      <c r="AV10" s="53">
        <f>(SUMIFS(MtM!$M:$M,MtM!$I:$I,RESULTADO!$B10,MtM!$H:$H,RESULTADO!$B$9,MtM!$E:$E,RESULTADO!AV$3)-SUMIFS(MtM!$N:$N,MtM!$I:$I,RESULTADO!$B10,MtM!$H:$H,RESULTADO!$B$9,MtM!$E:$E,RESULTADO!AV$3))</f>
        <v>0</v>
      </c>
      <c r="AW10" s="53">
        <f>(SUMIFS(MtM!$M:$M,MtM!$I:$I,RESULTADO!$B10,MtM!$H:$H,RESULTADO!$B$9,MtM!$E:$E,RESULTADO!AW$3)-SUMIFS(MtM!$N:$N,MtM!$I:$I,RESULTADO!$B10,MtM!$H:$H,RESULTADO!$B$9,MtM!$E:$E,RESULTADO!AW$3))</f>
        <v>0</v>
      </c>
      <c r="AX10" s="63">
        <f>(SUMIFS(MtM!$M:$M,MtM!$I:$I,RESULTADO!$B10,MtM!$H:$H,RESULTADO!$B$9,MtM!$E:$E,RESULTADO!AX$3)-SUMIFS(MtM!$N:$N,MtM!$I:$I,RESULTADO!$B10,MtM!$H:$H,RESULTADO!$B$9,MtM!$E:$E,RESULTADO!AX$3))</f>
        <v>0</v>
      </c>
      <c r="AY10" s="53">
        <f>(SUMIFS(MtM!$M:$M,MtM!$I:$I,RESULTADO!$B10,MtM!$H:$H,RESULTADO!$B$9,MtM!$E:$E,RESULTADO!AY$3)-SUMIFS(MtM!$N:$N,MtM!$I:$I,RESULTADO!$B10,MtM!$H:$H,RESULTADO!$B$9,MtM!$E:$E,RESULTADO!AY$3))</f>
        <v>0</v>
      </c>
      <c r="AZ10" s="53">
        <f>(SUMIFS(MtM!$M:$M,MtM!$I:$I,RESULTADO!$B10,MtM!$H:$H,RESULTADO!$B$9,MtM!$E:$E,RESULTADO!AZ$3)-SUMIFS(MtM!$N:$N,MtM!$I:$I,RESULTADO!$B10,MtM!$H:$H,RESULTADO!$B$9,MtM!$E:$E,RESULTADO!AZ$3))</f>
        <v>0</v>
      </c>
      <c r="BA10" s="53">
        <f>(SUMIFS(MtM!$M:$M,MtM!$I:$I,RESULTADO!$B10,MtM!$H:$H,RESULTADO!$B$9,MtM!$E:$E,RESULTADO!BA$3)-SUMIFS(MtM!$N:$N,MtM!$I:$I,RESULTADO!$B10,MtM!$H:$H,RESULTADO!$B$9,MtM!$E:$E,RESULTADO!BA$3))</f>
        <v>0</v>
      </c>
      <c r="BB10" s="53">
        <f>(SUMIFS(MtM!$M:$M,MtM!$I:$I,RESULTADO!$B10,MtM!$H:$H,RESULTADO!$B$9,MtM!$E:$E,RESULTADO!BB$3)-SUMIFS(MtM!$N:$N,MtM!$I:$I,RESULTADO!$B10,MtM!$H:$H,RESULTADO!$B$9,MtM!$E:$E,RESULTADO!BB$3))</f>
        <v>0</v>
      </c>
      <c r="BC10" s="53">
        <f>(SUMIFS(MtM!$M:$M,MtM!$I:$I,RESULTADO!$B10,MtM!$H:$H,RESULTADO!$B$9,MtM!$E:$E,RESULTADO!BC$3)-SUMIFS(MtM!$N:$N,MtM!$I:$I,RESULTADO!$B10,MtM!$H:$H,RESULTADO!$B$9,MtM!$E:$E,RESULTADO!BC$3))</f>
        <v>0</v>
      </c>
      <c r="BD10" s="53">
        <f>(SUMIFS(MtM!$M:$M,MtM!$I:$I,RESULTADO!$B10,MtM!$H:$H,RESULTADO!$B$9,MtM!$E:$E,RESULTADO!BD$3)-SUMIFS(MtM!$N:$N,MtM!$I:$I,RESULTADO!$B10,MtM!$H:$H,RESULTADO!$B$9,MtM!$E:$E,RESULTADO!BD$3))</f>
        <v>0</v>
      </c>
      <c r="BE10" s="53">
        <f>(SUMIFS(MtM!$M:$M,MtM!$I:$I,RESULTADO!$B10,MtM!$H:$H,RESULTADO!$B$9,MtM!$E:$E,RESULTADO!BE$3)-SUMIFS(MtM!$N:$N,MtM!$I:$I,RESULTADO!$B10,MtM!$H:$H,RESULTADO!$B$9,MtM!$E:$E,RESULTADO!BE$3))</f>
        <v>0</v>
      </c>
      <c r="BF10" s="53">
        <f>(SUMIFS(MtM!$M:$M,MtM!$I:$I,RESULTADO!$B10,MtM!$H:$H,RESULTADO!$B$9,MtM!$E:$E,RESULTADO!BF$3)-SUMIFS(MtM!$N:$N,MtM!$I:$I,RESULTADO!$B10,MtM!$H:$H,RESULTADO!$B$9,MtM!$E:$E,RESULTADO!BF$3))</f>
        <v>0</v>
      </c>
      <c r="BG10" s="53">
        <f>(SUMIFS(MtM!$M:$M,MtM!$I:$I,RESULTADO!$B10,MtM!$H:$H,RESULTADO!$B$9,MtM!$E:$E,RESULTADO!BG$3)-SUMIFS(MtM!$N:$N,MtM!$I:$I,RESULTADO!$B10,MtM!$H:$H,RESULTADO!$B$9,MtM!$E:$E,RESULTADO!BG$3))</f>
        <v>0</v>
      </c>
      <c r="BH10" s="53">
        <f>(SUMIFS(MtM!$M:$M,MtM!$I:$I,RESULTADO!$B10,MtM!$H:$H,RESULTADO!$B$9,MtM!$E:$E,RESULTADO!BH$3)-SUMIFS(MtM!$N:$N,MtM!$I:$I,RESULTADO!$B10,MtM!$H:$H,RESULTADO!$B$9,MtM!$E:$E,RESULTADO!BH$3))</f>
        <v>0</v>
      </c>
      <c r="BI10" s="53">
        <f>(SUMIFS(MtM!$M:$M,MtM!$I:$I,RESULTADO!$B10,MtM!$H:$H,RESULTADO!$B$9,MtM!$E:$E,RESULTADO!BI$3)-SUMIFS(MtM!$N:$N,MtM!$I:$I,RESULTADO!$B10,MtM!$H:$H,RESULTADO!$B$9,MtM!$E:$E,RESULTADO!BI$3))</f>
        <v>0</v>
      </c>
      <c r="BJ10" s="63">
        <f>(SUMIFS(MtM!$M:$M,MtM!$I:$I,RESULTADO!$B10,MtM!$H:$H,RESULTADO!$B$9,MtM!$E:$E,RESULTADO!BJ$3)-SUMIFS(MtM!$N:$N,MtM!$I:$I,RESULTADO!$B10,MtM!$H:$H,RESULTADO!$B$9,MtM!$E:$E,RESULTADO!BJ$3))</f>
        <v>0</v>
      </c>
      <c r="BL10" s="120"/>
      <c r="BN10" s="57" t="s">
        <v>44</v>
      </c>
      <c r="BO10" s="53">
        <f>SUMIFS('MtM Releases'!$H:$H,'MtM Releases'!$G:$G,RESULTADO!$BN10,'MtM Releases'!$F:$F,RESULTADO!$BN9,'MtM Releases'!$D:$D,RESULTADO!BO$3)</f>
        <v>0</v>
      </c>
      <c r="BP10" s="53">
        <f>SUMIFS('MtM Releases'!$H:$H,'MtM Releases'!$G:$G,RESULTADO!$BN10,'MtM Releases'!$F:$F,RESULTADO!$BN9,'MtM Releases'!$D:$D,RESULTADO!BP$3)</f>
        <v>0</v>
      </c>
      <c r="BQ10" s="53">
        <f>SUMIFS('MtM Releases'!$H:$H,'MtM Releases'!$G:$G,RESULTADO!$BN10,'MtM Releases'!$F:$F,RESULTADO!$BN9,'MtM Releases'!$D:$D,RESULTADO!BQ$3)</f>
        <v>0</v>
      </c>
      <c r="BR10" s="53">
        <f>SUMIFS('MtM Releases'!$H:$H,'MtM Releases'!$G:$G,RESULTADO!$BN10,'MtM Releases'!$F:$F,RESULTADO!$BN9,'MtM Releases'!$D:$D,RESULTADO!BR$3)</f>
        <v>0</v>
      </c>
      <c r="BS10" s="53">
        <f>SUMIFS('MtM Releases'!$H:$H,'MtM Releases'!$G:$G,RESULTADO!$BN10,'MtM Releases'!$F:$F,RESULTADO!$BN9,'MtM Releases'!$D:$D,RESULTADO!BS$3)</f>
        <v>0</v>
      </c>
      <c r="BT10" s="53">
        <f>SUMIFS('MtM Releases'!$H:$H,'MtM Releases'!$G:$G,RESULTADO!$BN10,'MtM Releases'!$F:$F,RESULTADO!$BN9,'MtM Releases'!$D:$D,RESULTADO!BT$3)</f>
        <v>0</v>
      </c>
      <c r="BU10" s="53">
        <f>SUMIFS('MtM Releases'!$H:$H,'MtM Releases'!$G:$G,RESULTADO!$BN10,'MtM Releases'!$F:$F,RESULTADO!$BN9,'MtM Releases'!$D:$D,RESULTADO!BU$3)</f>
        <v>0</v>
      </c>
      <c r="BV10" s="53">
        <f>SUMIFS('MtM Releases'!$H:$H,'MtM Releases'!$G:$G,RESULTADO!$BN10,'MtM Releases'!$F:$F,RESULTADO!$BN9,'MtM Releases'!$D:$D,RESULTADO!BV$3)</f>
        <v>0</v>
      </c>
      <c r="BW10" s="53">
        <f>SUMIFS('MtM Releases'!$H:$H,'MtM Releases'!$G:$G,RESULTADO!$BN10,'MtM Releases'!$F:$F,RESULTADO!$BN9,'MtM Releases'!$D:$D,RESULTADO!BW$3)</f>
        <v>0</v>
      </c>
      <c r="BX10" s="53">
        <f>SUMIFS('MtM Releases'!$H:$H,'MtM Releases'!$G:$G,RESULTADO!$BN10,'MtM Releases'!$F:$F,RESULTADO!$BN9,'MtM Releases'!$D:$D,RESULTADO!BX$3)</f>
        <v>0</v>
      </c>
      <c r="BY10" s="53">
        <f>SUMIFS('MtM Releases'!$H:$H,'MtM Releases'!$G:$G,RESULTADO!$BN10,'MtM Releases'!$F:$F,RESULTADO!$BN9,'MtM Releases'!$D:$D,RESULTADO!BY$3)</f>
        <v>0</v>
      </c>
      <c r="BZ10" s="54">
        <f>SUMIFS('MtM Releases'!$H:$H,'MtM Releases'!$G:$G,RESULTADO!$BN10,'MtM Releases'!$F:$F,RESULTADO!$BN9,'MtM Releases'!$D:$D,RESULTADO!BZ$3)</f>
        <v>0</v>
      </c>
      <c r="CA10" s="53">
        <f>SUMIFS('MtM Releases'!$H:$H,'MtM Releases'!$G:$G,RESULTADO!$BN10,'MtM Releases'!$F:$F,RESULTADO!$BN9,'MtM Releases'!$D:$D,RESULTADO!CA$3)</f>
        <v>0</v>
      </c>
      <c r="CB10" s="53">
        <f>SUMIFS('MtM Releases'!$H:$H,'MtM Releases'!$G:$G,RESULTADO!$BN10,'MtM Releases'!$F:$F,RESULTADO!$BN9,'MtM Releases'!$D:$D,RESULTADO!CB$3)</f>
        <v>0</v>
      </c>
      <c r="CC10" s="53">
        <f>SUMIFS('MtM Releases'!$H:$H,'MtM Releases'!$G:$G,RESULTADO!$BN10,'MtM Releases'!$F:$F,RESULTADO!$BN9,'MtM Releases'!$D:$D,RESULTADO!CC$3)</f>
        <v>0</v>
      </c>
      <c r="CD10" s="53">
        <f>SUMIFS('MtM Releases'!$H:$H,'MtM Releases'!$G:$G,RESULTADO!$BN10,'MtM Releases'!$F:$F,RESULTADO!$BN9,'MtM Releases'!$D:$D,RESULTADO!CD$3)</f>
        <v>0</v>
      </c>
      <c r="CE10" s="53">
        <f>SUMIFS('MtM Releases'!$H:$H,'MtM Releases'!$G:$G,RESULTADO!$BN10,'MtM Releases'!$F:$F,RESULTADO!$BN9,'MtM Releases'!$D:$D,RESULTADO!CE$3)</f>
        <v>0</v>
      </c>
      <c r="CF10" s="53">
        <f>SUMIFS('MtM Releases'!$H:$H,'MtM Releases'!$G:$G,RESULTADO!$BN10,'MtM Releases'!$F:$F,RESULTADO!$BN9,'MtM Releases'!$D:$D,RESULTADO!CF$3)</f>
        <v>0</v>
      </c>
      <c r="CG10" s="53">
        <f>SUMIFS('MtM Releases'!$H:$H,'MtM Releases'!$G:$G,RESULTADO!$BN10,'MtM Releases'!$F:$F,RESULTADO!$BN9,'MtM Releases'!$D:$D,RESULTADO!CG$3)</f>
        <v>0</v>
      </c>
      <c r="CH10" s="53">
        <f>SUMIFS('MtM Releases'!$H:$H,'MtM Releases'!$G:$G,RESULTADO!$BN10,'MtM Releases'!$F:$F,RESULTADO!$BN9,'MtM Releases'!$D:$D,RESULTADO!CH$3)</f>
        <v>0</v>
      </c>
      <c r="CI10" s="53">
        <f>SUMIFS('MtM Releases'!$H:$H,'MtM Releases'!$G:$G,RESULTADO!$BN10,'MtM Releases'!$F:$F,RESULTADO!$BN9,'MtM Releases'!$D:$D,RESULTADO!CI$3)</f>
        <v>0</v>
      </c>
      <c r="CJ10" s="53">
        <f>SUMIFS('MtM Releases'!$H:$H,'MtM Releases'!$G:$G,RESULTADO!$BN10,'MtM Releases'!$F:$F,RESULTADO!$BN9,'MtM Releases'!$D:$D,RESULTADO!CJ$3)</f>
        <v>0</v>
      </c>
      <c r="CK10" s="53">
        <f>SUMIFS('MtM Releases'!$H:$H,'MtM Releases'!$G:$G,RESULTADO!$BN10,'MtM Releases'!$F:$F,RESULTADO!$BN9,'MtM Releases'!$D:$D,RESULTADO!CK$3)</f>
        <v>0</v>
      </c>
      <c r="CL10" s="63">
        <f>SUMIFS('MtM Releases'!$H:$H,'MtM Releases'!$G:$G,RESULTADO!$BN10,'MtM Releases'!$F:$F,RESULTADO!$BN9,'MtM Releases'!$D:$D,RESULTADO!CL$3)</f>
        <v>0</v>
      </c>
      <c r="CM10" s="53">
        <f>SUMIFS('MtM Releases'!$H:$H,'MtM Releases'!$G:$G,RESULTADO!$BN10,'MtM Releases'!$F:$F,RESULTADO!$BN9,'MtM Releases'!$D:$D,RESULTADO!CM$3)</f>
        <v>0</v>
      </c>
      <c r="CN10" s="53">
        <f>SUMIFS('MtM Releases'!$H:$H,'MtM Releases'!$G:$G,RESULTADO!$BN10,'MtM Releases'!$F:$F,RESULTADO!$BN9,'MtM Releases'!$D:$D,RESULTADO!CN$3)</f>
        <v>0</v>
      </c>
      <c r="CO10" s="53">
        <f>SUMIFS('MtM Releases'!$H:$H,'MtM Releases'!$G:$G,RESULTADO!$BN10,'MtM Releases'!$F:$F,RESULTADO!$BN9,'MtM Releases'!$D:$D,RESULTADO!CO$3)</f>
        <v>0</v>
      </c>
      <c r="CP10" s="53">
        <f>SUMIFS('MtM Releases'!$H:$H,'MtM Releases'!$G:$G,RESULTADO!$BN10,'MtM Releases'!$F:$F,RESULTADO!$BN9,'MtM Releases'!$D:$D,RESULTADO!CP$3)</f>
        <v>0</v>
      </c>
      <c r="CQ10" s="53">
        <f>SUMIFS('MtM Releases'!$H:$H,'MtM Releases'!$G:$G,RESULTADO!$BN10,'MtM Releases'!$F:$F,RESULTADO!$BN9,'MtM Releases'!$D:$D,RESULTADO!CQ$3)</f>
        <v>0</v>
      </c>
      <c r="CR10" s="53">
        <f>SUMIFS('MtM Releases'!$H:$H,'MtM Releases'!$G:$G,RESULTADO!$BN10,'MtM Releases'!$F:$F,RESULTADO!$BN9,'MtM Releases'!$D:$D,RESULTADO!CR$3)</f>
        <v>0</v>
      </c>
      <c r="CS10" s="53">
        <f>SUMIFS('MtM Releases'!$H:$H,'MtM Releases'!$G:$G,RESULTADO!$BN10,'MtM Releases'!$F:$F,RESULTADO!$BN9,'MtM Releases'!$D:$D,RESULTADO!CS$3)</f>
        <v>0</v>
      </c>
      <c r="CT10" s="53">
        <f>SUMIFS('MtM Releases'!$H:$H,'MtM Releases'!$G:$G,RESULTADO!$BN10,'MtM Releases'!$F:$F,RESULTADO!$BN9,'MtM Releases'!$D:$D,RESULTADO!CT$3)</f>
        <v>0</v>
      </c>
      <c r="CU10" s="53">
        <f>SUMIFS('MtM Releases'!$H:$H,'MtM Releases'!$G:$G,RESULTADO!$BN10,'MtM Releases'!$F:$F,RESULTADO!$BN9,'MtM Releases'!$D:$D,RESULTADO!CU$3)</f>
        <v>0</v>
      </c>
      <c r="CV10" s="53">
        <f>SUMIFS('MtM Releases'!$H:$H,'MtM Releases'!$G:$G,RESULTADO!$BN10,'MtM Releases'!$F:$F,RESULTADO!$BN9,'MtM Releases'!$D:$D,RESULTADO!CV$3)</f>
        <v>0</v>
      </c>
      <c r="CW10" s="53">
        <f>SUMIFS('MtM Releases'!$H:$H,'MtM Releases'!$G:$G,RESULTADO!$BN10,'MtM Releases'!$F:$F,RESULTADO!$BN9,'MtM Releases'!$D:$D,RESULTADO!CW$3)</f>
        <v>0</v>
      </c>
      <c r="CX10" s="54">
        <f>SUMIFS('MtM Releases'!$H:$H,'MtM Releases'!$G:$G,RESULTADO!$BN10,'MtM Releases'!$F:$F,RESULTADO!$BN9,'MtM Releases'!$D:$D,RESULTADO!CX$3)</f>
        <v>0</v>
      </c>
      <c r="CY10" s="53">
        <f>SUMIFS('MtM Releases'!$H:$H,'MtM Releases'!$G:$G,RESULTADO!$BN10,'MtM Releases'!$F:$F,RESULTADO!$BN9,'MtM Releases'!$D:$D,RESULTADO!CY$3)</f>
        <v>0</v>
      </c>
      <c r="CZ10" s="53">
        <f>SUMIFS('MtM Releases'!$H:$H,'MtM Releases'!$G:$G,RESULTADO!$BN10,'MtM Releases'!$F:$F,RESULTADO!$BN9,'MtM Releases'!$D:$D,RESULTADO!CZ$3)</f>
        <v>0</v>
      </c>
      <c r="DA10" s="53">
        <f>SUMIFS('MtM Releases'!$H:$H,'MtM Releases'!$G:$G,RESULTADO!$BN10,'MtM Releases'!$F:$F,RESULTADO!$BN9,'MtM Releases'!$D:$D,RESULTADO!DA$3)</f>
        <v>0</v>
      </c>
      <c r="DB10" s="53">
        <f>SUMIFS('MtM Releases'!$H:$H,'MtM Releases'!$G:$G,RESULTADO!$BN10,'MtM Releases'!$F:$F,RESULTADO!$BN9,'MtM Releases'!$D:$D,RESULTADO!DB$3)</f>
        <v>0</v>
      </c>
      <c r="DC10" s="53">
        <f>SUMIFS('MtM Releases'!$H:$H,'MtM Releases'!$G:$G,RESULTADO!$BN10,'MtM Releases'!$F:$F,RESULTADO!$BN9,'MtM Releases'!$D:$D,RESULTADO!DC$3)</f>
        <v>0</v>
      </c>
      <c r="DD10" s="53">
        <f>SUMIFS('MtM Releases'!$H:$H,'MtM Releases'!$G:$G,RESULTADO!$BN10,'MtM Releases'!$F:$F,RESULTADO!$BN9,'MtM Releases'!$D:$D,RESULTADO!DD$3)</f>
        <v>0</v>
      </c>
      <c r="DE10" s="53">
        <f>SUMIFS('MtM Releases'!$H:$H,'MtM Releases'!$G:$G,RESULTADO!$BN10,'MtM Releases'!$F:$F,RESULTADO!$BN9,'MtM Releases'!$D:$D,RESULTADO!DE$3)</f>
        <v>0</v>
      </c>
      <c r="DF10" s="53">
        <f>SUMIFS('MtM Releases'!$H:$H,'MtM Releases'!$G:$G,RESULTADO!$BN10,'MtM Releases'!$F:$F,RESULTADO!$BN9,'MtM Releases'!$D:$D,RESULTADO!DF$3)</f>
        <v>0</v>
      </c>
      <c r="DG10" s="53">
        <f>SUMIFS('MtM Releases'!$H:$H,'MtM Releases'!$G:$G,RESULTADO!$BN10,'MtM Releases'!$F:$F,RESULTADO!$BN9,'MtM Releases'!$D:$D,RESULTADO!DG$3)</f>
        <v>0</v>
      </c>
      <c r="DH10" s="53">
        <f>SUMIFS('MtM Releases'!$H:$H,'MtM Releases'!$G:$G,RESULTADO!$BN10,'MtM Releases'!$F:$F,RESULTADO!$BN9,'MtM Releases'!$D:$D,RESULTADO!DH$3)</f>
        <v>0</v>
      </c>
      <c r="DI10" s="53">
        <f>SUMIFS('MtM Releases'!$H:$H,'MtM Releases'!$G:$G,RESULTADO!$BN10,'MtM Releases'!$F:$F,RESULTADO!$BN9,'MtM Releases'!$D:$D,RESULTADO!DI$3)</f>
        <v>0</v>
      </c>
      <c r="DJ10" s="63">
        <f>SUMIFS('MtM Releases'!$H:$H,'MtM Releases'!$G:$G,RESULTADO!$BN10,'MtM Releases'!$F:$F,RESULTADO!$BN9,'MtM Releases'!$D:$D,RESULTADO!DJ$3)</f>
        <v>0</v>
      </c>
      <c r="DK10" s="53">
        <f>SUMIFS('MtM Releases'!$H:$H,'MtM Releases'!$G:$G,RESULTADO!$BN10,'MtM Releases'!$F:$F,RESULTADO!$BN9,'MtM Releases'!$D:$D,RESULTADO!DK$3)</f>
        <v>0</v>
      </c>
      <c r="DL10" s="53">
        <f>SUMIFS('MtM Releases'!$H:$H,'MtM Releases'!$G:$G,RESULTADO!$BN10,'MtM Releases'!$F:$F,RESULTADO!$BN9,'MtM Releases'!$D:$D,RESULTADO!DL$3)</f>
        <v>0</v>
      </c>
      <c r="DM10" s="53">
        <f>SUMIFS('MtM Releases'!$H:$H,'MtM Releases'!$G:$G,RESULTADO!$BN10,'MtM Releases'!$F:$F,RESULTADO!$BN9,'MtM Releases'!$D:$D,RESULTADO!DM$3)</f>
        <v>0</v>
      </c>
      <c r="DN10" s="53">
        <f>SUMIFS('MtM Releases'!$H:$H,'MtM Releases'!$G:$G,RESULTADO!$BN10,'MtM Releases'!$F:$F,RESULTADO!$BN9,'MtM Releases'!$D:$D,RESULTADO!DN$3)</f>
        <v>0</v>
      </c>
      <c r="DO10" s="53">
        <f>SUMIFS('MtM Releases'!$H:$H,'MtM Releases'!$G:$G,RESULTADO!$BN10,'MtM Releases'!$F:$F,RESULTADO!$BN9,'MtM Releases'!$D:$D,RESULTADO!DO$3)</f>
        <v>0</v>
      </c>
      <c r="DP10" s="53">
        <f>SUMIFS('MtM Releases'!$H:$H,'MtM Releases'!$G:$G,RESULTADO!$BN10,'MtM Releases'!$F:$F,RESULTADO!$BN9,'MtM Releases'!$D:$D,RESULTADO!DP$3)</f>
        <v>0</v>
      </c>
      <c r="DQ10" s="53">
        <f>SUMIFS('MtM Releases'!$H:$H,'MtM Releases'!$G:$G,RESULTADO!$BN10,'MtM Releases'!$F:$F,RESULTADO!$BN9,'MtM Releases'!$D:$D,RESULTADO!DQ$3)</f>
        <v>0</v>
      </c>
      <c r="DR10" s="53">
        <f>SUMIFS('MtM Releases'!$H:$H,'MtM Releases'!$G:$G,RESULTADO!$BN10,'MtM Releases'!$F:$F,RESULTADO!$BN9,'MtM Releases'!$D:$D,RESULTADO!DR$3)</f>
        <v>0</v>
      </c>
      <c r="DS10" s="53">
        <f>SUMIFS('MtM Releases'!$H:$H,'MtM Releases'!$G:$G,RESULTADO!$BN10,'MtM Releases'!$F:$F,RESULTADO!$BN9,'MtM Releases'!$D:$D,RESULTADO!DS$3)</f>
        <v>0</v>
      </c>
      <c r="DT10" s="53">
        <f>SUMIFS('MtM Releases'!$H:$H,'MtM Releases'!$G:$G,RESULTADO!$BN10,'MtM Releases'!$F:$F,RESULTADO!$BN9,'MtM Releases'!$D:$D,RESULTADO!DT$3)</f>
        <v>0</v>
      </c>
      <c r="DU10" s="53">
        <f>SUMIFS('MtM Releases'!$H:$H,'MtM Releases'!$G:$G,RESULTADO!$BN10,'MtM Releases'!$F:$F,RESULTADO!$BN9,'MtM Releases'!$D:$D,RESULTADO!DU$3)</f>
        <v>0</v>
      </c>
      <c r="DV10" s="63">
        <f>SUMIFS('MtM Releases'!$H:$H,'MtM Releases'!$G:$G,RESULTADO!$BN10,'MtM Releases'!$F:$F,RESULTADO!$BN9,'MtM Releases'!$D:$D,RESULTADO!DV$3)</f>
        <v>0</v>
      </c>
      <c r="EB10" s="11"/>
    </row>
    <row r="11" spans="2:132" x14ac:dyDescent="0.25">
      <c r="B11" s="57" t="s">
        <v>12</v>
      </c>
      <c r="C11" s="53">
        <f>(SUMIFS(MtM!$M:$M,MtM!$I:$I,RESULTADO!$B11,MtM!$H:$H,RESULTADO!$B$9,MtM!$E:$E,RESULTADO!C$3)-SUMIFS(MtM!$N:$N,MtM!$I:$I,RESULTADO!$B11,MtM!$H:$H,RESULTADO!$B$9,MtM!$E:$E,RESULTADO!C$3))</f>
        <v>0</v>
      </c>
      <c r="D11" s="53">
        <f>(SUMIFS(MtM!$M:$M,MtM!$I:$I,RESULTADO!$B11,MtM!$H:$H,RESULTADO!$B$9,MtM!$E:$E,RESULTADO!D$3)-SUMIFS(MtM!$N:$N,MtM!$I:$I,RESULTADO!$B11,MtM!$H:$H,RESULTADO!$B$9,MtM!$E:$E,RESULTADO!D$3))</f>
        <v>0</v>
      </c>
      <c r="E11" s="53">
        <f>(SUMIFS(MtM!$M:$M,MtM!$I:$I,RESULTADO!$B11,MtM!$H:$H,RESULTADO!$B$9,MtM!$E:$E,RESULTADO!E$3)-SUMIFS(MtM!$N:$N,MtM!$I:$I,RESULTADO!$B11,MtM!$H:$H,RESULTADO!$B$9,MtM!$E:$E,RESULTADO!E$3))</f>
        <v>0</v>
      </c>
      <c r="F11" s="53">
        <f>(SUMIFS(MtM!$M:$M,MtM!$I:$I,RESULTADO!$B11,MtM!$H:$H,RESULTADO!$B$9,MtM!$E:$E,RESULTADO!F$3)-SUMIFS(MtM!$N:$N,MtM!$I:$I,RESULTADO!$B11,MtM!$H:$H,RESULTADO!$B$9,MtM!$E:$E,RESULTADO!F$3))</f>
        <v>0</v>
      </c>
      <c r="G11" s="53">
        <f>(SUMIFS(MtM!$M:$M,MtM!$I:$I,RESULTADO!$B11,MtM!$H:$H,RESULTADO!$B$9,MtM!$E:$E,RESULTADO!G$3)-SUMIFS(MtM!$N:$N,MtM!$I:$I,RESULTADO!$B11,MtM!$H:$H,RESULTADO!$B$9,MtM!$E:$E,RESULTADO!G$3))</f>
        <v>0</v>
      </c>
      <c r="H11" s="53">
        <f>(SUMIFS(MtM!$M:$M,MtM!$I:$I,RESULTADO!$B11,MtM!$H:$H,RESULTADO!$B$9,MtM!$E:$E,RESULTADO!H$3)-SUMIFS(MtM!$N:$N,MtM!$I:$I,RESULTADO!$B11,MtM!$H:$H,RESULTADO!$B$9,MtM!$E:$E,RESULTADO!H$3))</f>
        <v>0</v>
      </c>
      <c r="I11" s="53">
        <f>(SUMIFS(MtM!$M:$M,MtM!$I:$I,RESULTADO!$B11,MtM!$H:$H,RESULTADO!$B$9,MtM!$E:$E,RESULTADO!I$3)-SUMIFS(MtM!$N:$N,MtM!$I:$I,RESULTADO!$B11,MtM!$H:$H,RESULTADO!$B$9,MtM!$E:$E,RESULTADO!I$3))</f>
        <v>0</v>
      </c>
      <c r="J11" s="53">
        <f>(SUMIFS(MtM!$M:$M,MtM!$I:$I,RESULTADO!$B11,MtM!$H:$H,RESULTADO!$B$9,MtM!$E:$E,RESULTADO!J$3)-SUMIFS(MtM!$N:$N,MtM!$I:$I,RESULTADO!$B11,MtM!$H:$H,RESULTADO!$B$9,MtM!$E:$E,RESULTADO!J$3))</f>
        <v>0</v>
      </c>
      <c r="K11" s="53">
        <f>(SUMIFS(MtM!$M:$M,MtM!$I:$I,RESULTADO!$B11,MtM!$H:$H,RESULTADO!$B$9,MtM!$E:$E,RESULTADO!K$3)-SUMIFS(MtM!$N:$N,MtM!$I:$I,RESULTADO!$B11,MtM!$H:$H,RESULTADO!$B$9,MtM!$E:$E,RESULTADO!K$3))</f>
        <v>0</v>
      </c>
      <c r="L11" s="53">
        <f>(SUMIFS(MtM!$M:$M,MtM!$I:$I,RESULTADO!$B11,MtM!$H:$H,RESULTADO!$B$9,MtM!$E:$E,RESULTADO!L$3)-SUMIFS(MtM!$N:$N,MtM!$I:$I,RESULTADO!$B11,MtM!$H:$H,RESULTADO!$B$9,MtM!$E:$E,RESULTADO!L$3))</f>
        <v>0</v>
      </c>
      <c r="M11" s="53">
        <f>(SUMIFS(MtM!$M:$M,MtM!$I:$I,RESULTADO!$B11,MtM!$H:$H,RESULTADO!$B$9,MtM!$E:$E,RESULTADO!M$3)-SUMIFS(MtM!$N:$N,MtM!$I:$I,RESULTADO!$B11,MtM!$H:$H,RESULTADO!$B$9,MtM!$E:$E,RESULTADO!M$3))</f>
        <v>0</v>
      </c>
      <c r="N11" s="54">
        <f>(SUMIFS(MtM!$M:$M,MtM!$I:$I,RESULTADO!$B11,MtM!$H:$H,RESULTADO!$B$9,MtM!$E:$E,RESULTADO!N$3)-SUMIFS(MtM!$N:$N,MtM!$I:$I,RESULTADO!$B11,MtM!$H:$H,RESULTADO!$B$9,MtM!$E:$E,RESULTADO!N$3))</f>
        <v>0</v>
      </c>
      <c r="O11" s="53">
        <f>(SUMIFS(MtM!$M:$M,MtM!$I:$I,RESULTADO!$B11,MtM!$H:$H,RESULTADO!$B$9,MtM!$E:$E,RESULTADO!O$3)-SUMIFS(MtM!$N:$N,MtM!$I:$I,RESULTADO!$B11,MtM!$H:$H,RESULTADO!$B$9,MtM!$E:$E,RESULTADO!O$3))</f>
        <v>0</v>
      </c>
      <c r="P11" s="53">
        <f>(SUMIFS(MtM!$M:$M,MtM!$I:$I,RESULTADO!$B11,MtM!$H:$H,RESULTADO!$B$9,MtM!$E:$E,RESULTADO!P$3)-SUMIFS(MtM!$N:$N,MtM!$I:$I,RESULTADO!$B11,MtM!$H:$H,RESULTADO!$B$9,MtM!$E:$E,RESULTADO!P$3))</f>
        <v>0</v>
      </c>
      <c r="Q11" s="53">
        <f>(SUMIFS(MtM!$M:$M,MtM!$I:$I,RESULTADO!$B11,MtM!$H:$H,RESULTADO!$B$9,MtM!$E:$E,RESULTADO!Q$3)-SUMIFS(MtM!$N:$N,MtM!$I:$I,RESULTADO!$B11,MtM!$H:$H,RESULTADO!$B$9,MtM!$E:$E,RESULTADO!Q$3))</f>
        <v>0</v>
      </c>
      <c r="R11" s="53">
        <f>(SUMIFS(MtM!$M:$M,MtM!$I:$I,RESULTADO!$B11,MtM!$H:$H,RESULTADO!$B$9,MtM!$E:$E,RESULTADO!R$3)-SUMIFS(MtM!$N:$N,MtM!$I:$I,RESULTADO!$B11,MtM!$H:$H,RESULTADO!$B$9,MtM!$E:$E,RESULTADO!R$3))</f>
        <v>0</v>
      </c>
      <c r="S11" s="53">
        <f>(SUMIFS(MtM!$M:$M,MtM!$I:$I,RESULTADO!$B11,MtM!$H:$H,RESULTADO!$B$9,MtM!$E:$E,RESULTADO!S$3)-SUMIFS(MtM!$N:$N,MtM!$I:$I,RESULTADO!$B11,MtM!$H:$H,RESULTADO!$B$9,MtM!$E:$E,RESULTADO!S$3))</f>
        <v>0</v>
      </c>
      <c r="T11" s="53">
        <f>(SUMIFS(MtM!$M:$M,MtM!$I:$I,RESULTADO!$B11,MtM!$H:$H,RESULTADO!$B$9,MtM!$E:$E,RESULTADO!T$3)-SUMIFS(MtM!$N:$N,MtM!$I:$I,RESULTADO!$B11,MtM!$H:$H,RESULTADO!$B$9,MtM!$E:$E,RESULTADO!T$3))</f>
        <v>0</v>
      </c>
      <c r="U11" s="53">
        <f>(SUMIFS(MtM!$M:$M,MtM!$I:$I,RESULTADO!$B11,MtM!$H:$H,RESULTADO!$B$9,MtM!$E:$E,RESULTADO!U$3)-SUMIFS(MtM!$N:$N,MtM!$I:$I,RESULTADO!$B11,MtM!$H:$H,RESULTADO!$B$9,MtM!$E:$E,RESULTADO!U$3))</f>
        <v>0</v>
      </c>
      <c r="V11" s="53">
        <f>(SUMIFS(MtM!$M:$M,MtM!$I:$I,RESULTADO!$B11,MtM!$H:$H,RESULTADO!$B$9,MtM!$E:$E,RESULTADO!V$3)-SUMIFS(MtM!$N:$N,MtM!$I:$I,RESULTADO!$B11,MtM!$H:$H,RESULTADO!$B$9,MtM!$E:$E,RESULTADO!V$3))</f>
        <v>0</v>
      </c>
      <c r="W11" s="53">
        <f>(SUMIFS(MtM!$M:$M,MtM!$I:$I,RESULTADO!$B11,MtM!$H:$H,RESULTADO!$B$9,MtM!$E:$E,RESULTADO!W$3)-SUMIFS(MtM!$N:$N,MtM!$I:$I,RESULTADO!$B11,MtM!$H:$H,RESULTADO!$B$9,MtM!$E:$E,RESULTADO!W$3))</f>
        <v>0</v>
      </c>
      <c r="X11" s="53">
        <f>(SUMIFS(MtM!$M:$M,MtM!$I:$I,RESULTADO!$B11,MtM!$H:$H,RESULTADO!$B$9,MtM!$E:$E,RESULTADO!X$3)-SUMIFS(MtM!$N:$N,MtM!$I:$I,RESULTADO!$B11,MtM!$H:$H,RESULTADO!$B$9,MtM!$E:$E,RESULTADO!X$3))</f>
        <v>0</v>
      </c>
      <c r="Y11" s="53">
        <f>(SUMIFS(MtM!$M:$M,MtM!$I:$I,RESULTADO!$B11,MtM!$H:$H,RESULTADO!$B$9,MtM!$E:$E,RESULTADO!Y$3)-SUMIFS(MtM!$N:$N,MtM!$I:$I,RESULTADO!$B11,MtM!$H:$H,RESULTADO!$B$9,MtM!$E:$E,RESULTADO!Y$3))</f>
        <v>0</v>
      </c>
      <c r="Z11" s="63">
        <f>(SUMIFS(MtM!$M:$M,MtM!$I:$I,RESULTADO!$B11,MtM!$H:$H,RESULTADO!$B$9,MtM!$E:$E,RESULTADO!Z$3)-SUMIFS(MtM!$N:$N,MtM!$I:$I,RESULTADO!$B11,MtM!$H:$H,RESULTADO!$B$9,MtM!$E:$E,RESULTADO!Z$3))</f>
        <v>0</v>
      </c>
      <c r="AA11" s="53">
        <f>(SUMIFS(MtM!$M:$M,MtM!$I:$I,RESULTADO!$B11,MtM!$H:$H,RESULTADO!$B$9,MtM!$E:$E,RESULTADO!AA$3)-SUMIFS(MtM!$N:$N,MtM!$I:$I,RESULTADO!$B11,MtM!$H:$H,RESULTADO!$B$9,MtM!$E:$E,RESULTADO!AA$3))</f>
        <v>0</v>
      </c>
      <c r="AB11" s="53">
        <f>(SUMIFS(MtM!$M:$M,MtM!$I:$I,RESULTADO!$B11,MtM!$H:$H,RESULTADO!$B$9,MtM!$E:$E,RESULTADO!AB$3)-SUMIFS(MtM!$N:$N,MtM!$I:$I,RESULTADO!$B11,MtM!$H:$H,RESULTADO!$B$9,MtM!$E:$E,RESULTADO!AB$3))</f>
        <v>0</v>
      </c>
      <c r="AC11" s="53">
        <f>(SUMIFS(MtM!$M:$M,MtM!$I:$I,RESULTADO!$B11,MtM!$H:$H,RESULTADO!$B$9,MtM!$E:$E,RESULTADO!AC$3)-SUMIFS(MtM!$N:$N,MtM!$I:$I,RESULTADO!$B11,MtM!$H:$H,RESULTADO!$B$9,MtM!$E:$E,RESULTADO!AC$3))</f>
        <v>0</v>
      </c>
      <c r="AD11" s="53">
        <f>(SUMIFS(MtM!$M:$M,MtM!$I:$I,RESULTADO!$B11,MtM!$H:$H,RESULTADO!$B$9,MtM!$E:$E,RESULTADO!AD$3)-SUMIFS(MtM!$N:$N,MtM!$I:$I,RESULTADO!$B11,MtM!$H:$H,RESULTADO!$B$9,MtM!$E:$E,RESULTADO!AD$3))</f>
        <v>0</v>
      </c>
      <c r="AE11" s="53">
        <f>(SUMIFS(MtM!$M:$M,MtM!$I:$I,RESULTADO!$B11,MtM!$H:$H,RESULTADO!$B$9,MtM!$E:$E,RESULTADO!AE$3)-SUMIFS(MtM!$N:$N,MtM!$I:$I,RESULTADO!$B11,MtM!$H:$H,RESULTADO!$B$9,MtM!$E:$E,RESULTADO!AE$3))</f>
        <v>0</v>
      </c>
      <c r="AF11" s="53">
        <f>(SUMIFS(MtM!$M:$M,MtM!$I:$I,RESULTADO!$B11,MtM!$H:$H,RESULTADO!$B$9,MtM!$E:$E,RESULTADO!AF$3)-SUMIFS(MtM!$N:$N,MtM!$I:$I,RESULTADO!$B11,MtM!$H:$H,RESULTADO!$B$9,MtM!$E:$E,RESULTADO!AF$3))</f>
        <v>0</v>
      </c>
      <c r="AG11" s="53">
        <f>(SUMIFS(MtM!$M:$M,MtM!$I:$I,RESULTADO!$B11,MtM!$H:$H,RESULTADO!$B$9,MtM!$E:$E,RESULTADO!AG$3)-SUMIFS(MtM!$N:$N,MtM!$I:$I,RESULTADO!$B11,MtM!$H:$H,RESULTADO!$B$9,MtM!$E:$E,RESULTADO!AG$3))</f>
        <v>0</v>
      </c>
      <c r="AH11" s="53">
        <f>(SUMIFS(MtM!$M:$M,MtM!$I:$I,RESULTADO!$B11,MtM!$H:$H,RESULTADO!$B$9,MtM!$E:$E,RESULTADO!AH$3)-SUMIFS(MtM!$N:$N,MtM!$I:$I,RESULTADO!$B11,MtM!$H:$H,RESULTADO!$B$9,MtM!$E:$E,RESULTADO!AH$3))</f>
        <v>0</v>
      </c>
      <c r="AI11" s="53">
        <f>(SUMIFS(MtM!$M:$M,MtM!$I:$I,RESULTADO!$B11,MtM!$H:$H,RESULTADO!$B$9,MtM!$E:$E,RESULTADO!AI$3)-SUMIFS(MtM!$N:$N,MtM!$I:$I,RESULTADO!$B11,MtM!$H:$H,RESULTADO!$B$9,MtM!$E:$E,RESULTADO!AI$3))</f>
        <v>0</v>
      </c>
      <c r="AJ11" s="53">
        <f>(SUMIFS(MtM!$M:$M,MtM!$I:$I,RESULTADO!$B11,MtM!$H:$H,RESULTADO!$B$9,MtM!$E:$E,RESULTADO!AJ$3)-SUMIFS(MtM!$N:$N,MtM!$I:$I,RESULTADO!$B11,MtM!$H:$H,RESULTADO!$B$9,MtM!$E:$E,RESULTADO!AJ$3))</f>
        <v>0</v>
      </c>
      <c r="AK11" s="53">
        <f>(SUMIFS(MtM!$M:$M,MtM!$I:$I,RESULTADO!$B11,MtM!$H:$H,RESULTADO!$B$9,MtM!$E:$E,RESULTADO!AK$3)-SUMIFS(MtM!$N:$N,MtM!$I:$I,RESULTADO!$B11,MtM!$H:$H,RESULTADO!$B$9,MtM!$E:$E,RESULTADO!AK$3))</f>
        <v>0</v>
      </c>
      <c r="AL11" s="54">
        <f>(SUMIFS(MtM!$M:$M,MtM!$I:$I,RESULTADO!$B11,MtM!$H:$H,RESULTADO!$B$9,MtM!$E:$E,RESULTADO!AL$3)-SUMIFS(MtM!$N:$N,MtM!$I:$I,RESULTADO!$B11,MtM!$H:$H,RESULTADO!$B$9,MtM!$E:$E,RESULTADO!AL$3))</f>
        <v>0</v>
      </c>
      <c r="AM11" s="53">
        <f>(SUMIFS(MtM!$M:$M,MtM!$I:$I,RESULTADO!$B11,MtM!$H:$H,RESULTADO!$B$9,MtM!$E:$E,RESULTADO!AM$3)-SUMIFS(MtM!$N:$N,MtM!$I:$I,RESULTADO!$B11,MtM!$H:$H,RESULTADO!$B$9,MtM!$E:$E,RESULTADO!AM$3))</f>
        <v>0</v>
      </c>
      <c r="AN11" s="53">
        <f>(SUMIFS(MtM!$M:$M,MtM!$I:$I,RESULTADO!$B11,MtM!$H:$H,RESULTADO!$B$9,MtM!$E:$E,RESULTADO!AN$3)-SUMIFS(MtM!$N:$N,MtM!$I:$I,RESULTADO!$B11,MtM!$H:$H,RESULTADO!$B$9,MtM!$E:$E,RESULTADO!AN$3))</f>
        <v>0</v>
      </c>
      <c r="AO11" s="53">
        <f>(SUMIFS(MtM!$M:$M,MtM!$I:$I,RESULTADO!$B11,MtM!$H:$H,RESULTADO!$B$9,MtM!$E:$E,RESULTADO!AO$3)-SUMIFS(MtM!$N:$N,MtM!$I:$I,RESULTADO!$B11,MtM!$H:$H,RESULTADO!$B$9,MtM!$E:$E,RESULTADO!AO$3))</f>
        <v>0</v>
      </c>
      <c r="AP11" s="53">
        <f>(SUMIFS(MtM!$M:$M,MtM!$I:$I,RESULTADO!$B11,MtM!$H:$H,RESULTADO!$B$9,MtM!$E:$E,RESULTADO!AP$3)-SUMIFS(MtM!$N:$N,MtM!$I:$I,RESULTADO!$B11,MtM!$H:$H,RESULTADO!$B$9,MtM!$E:$E,RESULTADO!AP$3))</f>
        <v>0</v>
      </c>
      <c r="AQ11" s="53">
        <f>(SUMIFS(MtM!$M:$M,MtM!$I:$I,RESULTADO!$B11,MtM!$H:$H,RESULTADO!$B$9,MtM!$E:$E,RESULTADO!AQ$3)-SUMIFS(MtM!$N:$N,MtM!$I:$I,RESULTADO!$B11,MtM!$H:$H,RESULTADO!$B$9,MtM!$E:$E,RESULTADO!AQ$3))</f>
        <v>0</v>
      </c>
      <c r="AR11" s="53">
        <f>(SUMIFS(MtM!$M:$M,MtM!$I:$I,RESULTADO!$B11,MtM!$H:$H,RESULTADO!$B$9,MtM!$E:$E,RESULTADO!AR$3)-SUMIFS(MtM!$N:$N,MtM!$I:$I,RESULTADO!$B11,MtM!$H:$H,RESULTADO!$B$9,MtM!$E:$E,RESULTADO!AR$3))</f>
        <v>0</v>
      </c>
      <c r="AS11" s="53">
        <f>(SUMIFS(MtM!$M:$M,MtM!$I:$I,RESULTADO!$B11,MtM!$H:$H,RESULTADO!$B$9,MtM!$E:$E,RESULTADO!AS$3)-SUMIFS(MtM!$N:$N,MtM!$I:$I,RESULTADO!$B11,MtM!$H:$H,RESULTADO!$B$9,MtM!$E:$E,RESULTADO!AS$3))</f>
        <v>0</v>
      </c>
      <c r="AT11" s="53">
        <f>(SUMIFS(MtM!$M:$M,MtM!$I:$I,RESULTADO!$B11,MtM!$H:$H,RESULTADO!$B$9,MtM!$E:$E,RESULTADO!AT$3)-SUMIFS(MtM!$N:$N,MtM!$I:$I,RESULTADO!$B11,MtM!$H:$H,RESULTADO!$B$9,MtM!$E:$E,RESULTADO!AT$3))</f>
        <v>0</v>
      </c>
      <c r="AU11" s="53">
        <f>(SUMIFS(MtM!$M:$M,MtM!$I:$I,RESULTADO!$B11,MtM!$H:$H,RESULTADO!$B$9,MtM!$E:$E,RESULTADO!AU$3)-SUMIFS(MtM!$N:$N,MtM!$I:$I,RESULTADO!$B11,MtM!$H:$H,RESULTADO!$B$9,MtM!$E:$E,RESULTADO!AU$3))</f>
        <v>0</v>
      </c>
      <c r="AV11" s="53">
        <f>(SUMIFS(MtM!$M:$M,MtM!$I:$I,RESULTADO!$B11,MtM!$H:$H,RESULTADO!$B$9,MtM!$E:$E,RESULTADO!AV$3)-SUMIFS(MtM!$N:$N,MtM!$I:$I,RESULTADO!$B11,MtM!$H:$H,RESULTADO!$B$9,MtM!$E:$E,RESULTADO!AV$3))</f>
        <v>0</v>
      </c>
      <c r="AW11" s="53">
        <f>(SUMIFS(MtM!$M:$M,MtM!$I:$I,RESULTADO!$B11,MtM!$H:$H,RESULTADO!$B$9,MtM!$E:$E,RESULTADO!AW$3)-SUMIFS(MtM!$N:$N,MtM!$I:$I,RESULTADO!$B11,MtM!$H:$H,RESULTADO!$B$9,MtM!$E:$E,RESULTADO!AW$3))</f>
        <v>0</v>
      </c>
      <c r="AX11" s="63">
        <f>(SUMIFS(MtM!$M:$M,MtM!$I:$I,RESULTADO!$B11,MtM!$H:$H,RESULTADO!$B$9,MtM!$E:$E,RESULTADO!AX$3)-SUMIFS(MtM!$N:$N,MtM!$I:$I,RESULTADO!$B11,MtM!$H:$H,RESULTADO!$B$9,MtM!$E:$E,RESULTADO!AX$3))</f>
        <v>0</v>
      </c>
      <c r="AY11" s="53">
        <f>(SUMIFS(MtM!$M:$M,MtM!$I:$I,RESULTADO!$B11,MtM!$H:$H,RESULTADO!$B$9,MtM!$E:$E,RESULTADO!AY$3)-SUMIFS(MtM!$N:$N,MtM!$I:$I,RESULTADO!$B11,MtM!$H:$H,RESULTADO!$B$9,MtM!$E:$E,RESULTADO!AY$3))</f>
        <v>0</v>
      </c>
      <c r="AZ11" s="53">
        <f>(SUMIFS(MtM!$M:$M,MtM!$I:$I,RESULTADO!$B11,MtM!$H:$H,RESULTADO!$B$9,MtM!$E:$E,RESULTADO!AZ$3)-SUMIFS(MtM!$N:$N,MtM!$I:$I,RESULTADO!$B11,MtM!$H:$H,RESULTADO!$B$9,MtM!$E:$E,RESULTADO!AZ$3))</f>
        <v>0</v>
      </c>
      <c r="BA11" s="53">
        <f>(SUMIFS(MtM!$M:$M,MtM!$I:$I,RESULTADO!$B11,MtM!$H:$H,RESULTADO!$B$9,MtM!$E:$E,RESULTADO!BA$3)-SUMIFS(MtM!$N:$N,MtM!$I:$I,RESULTADO!$B11,MtM!$H:$H,RESULTADO!$B$9,MtM!$E:$E,RESULTADO!BA$3))</f>
        <v>0</v>
      </c>
      <c r="BB11" s="53">
        <f>(SUMIFS(MtM!$M:$M,MtM!$I:$I,RESULTADO!$B11,MtM!$H:$H,RESULTADO!$B$9,MtM!$E:$E,RESULTADO!BB$3)-SUMIFS(MtM!$N:$N,MtM!$I:$I,RESULTADO!$B11,MtM!$H:$H,RESULTADO!$B$9,MtM!$E:$E,RESULTADO!BB$3))</f>
        <v>0</v>
      </c>
      <c r="BC11" s="53">
        <f>(SUMIFS(MtM!$M:$M,MtM!$I:$I,RESULTADO!$B11,MtM!$H:$H,RESULTADO!$B$9,MtM!$E:$E,RESULTADO!BC$3)-SUMIFS(MtM!$N:$N,MtM!$I:$I,RESULTADO!$B11,MtM!$H:$H,RESULTADO!$B$9,MtM!$E:$E,RESULTADO!BC$3))</f>
        <v>0</v>
      </c>
      <c r="BD11" s="53">
        <f>(SUMIFS(MtM!$M:$M,MtM!$I:$I,RESULTADO!$B11,MtM!$H:$H,RESULTADO!$B$9,MtM!$E:$E,RESULTADO!BD$3)-SUMIFS(MtM!$N:$N,MtM!$I:$I,RESULTADO!$B11,MtM!$H:$H,RESULTADO!$B$9,MtM!$E:$E,RESULTADO!BD$3))</f>
        <v>0</v>
      </c>
      <c r="BE11" s="53">
        <f>(SUMIFS(MtM!$M:$M,MtM!$I:$I,RESULTADO!$B11,MtM!$H:$H,RESULTADO!$B$9,MtM!$E:$E,RESULTADO!BE$3)-SUMIFS(MtM!$N:$N,MtM!$I:$I,RESULTADO!$B11,MtM!$H:$H,RESULTADO!$B$9,MtM!$E:$E,RESULTADO!BE$3))</f>
        <v>0</v>
      </c>
      <c r="BF11" s="53">
        <f>(SUMIFS(MtM!$M:$M,MtM!$I:$I,RESULTADO!$B11,MtM!$H:$H,RESULTADO!$B$9,MtM!$E:$E,RESULTADO!BF$3)-SUMIFS(MtM!$N:$N,MtM!$I:$I,RESULTADO!$B11,MtM!$H:$H,RESULTADO!$B$9,MtM!$E:$E,RESULTADO!BF$3))</f>
        <v>0</v>
      </c>
      <c r="BG11" s="53">
        <f>(SUMIFS(MtM!$M:$M,MtM!$I:$I,RESULTADO!$B11,MtM!$H:$H,RESULTADO!$B$9,MtM!$E:$E,RESULTADO!BG$3)-SUMIFS(MtM!$N:$N,MtM!$I:$I,RESULTADO!$B11,MtM!$H:$H,RESULTADO!$B$9,MtM!$E:$E,RESULTADO!BG$3))</f>
        <v>0</v>
      </c>
      <c r="BH11" s="53">
        <f>(SUMIFS(MtM!$M:$M,MtM!$I:$I,RESULTADO!$B11,MtM!$H:$H,RESULTADO!$B$9,MtM!$E:$E,RESULTADO!BH$3)-SUMIFS(MtM!$N:$N,MtM!$I:$I,RESULTADO!$B11,MtM!$H:$H,RESULTADO!$B$9,MtM!$E:$E,RESULTADO!BH$3))</f>
        <v>0</v>
      </c>
      <c r="BI11" s="53">
        <f>(SUMIFS(MtM!$M:$M,MtM!$I:$I,RESULTADO!$B11,MtM!$H:$H,RESULTADO!$B$9,MtM!$E:$E,RESULTADO!BI$3)-SUMIFS(MtM!$N:$N,MtM!$I:$I,RESULTADO!$B11,MtM!$H:$H,RESULTADO!$B$9,MtM!$E:$E,RESULTADO!BI$3))</f>
        <v>0</v>
      </c>
      <c r="BJ11" s="63">
        <f>(SUMIFS(MtM!$M:$M,MtM!$I:$I,RESULTADO!$B11,MtM!$H:$H,RESULTADO!$B$9,MtM!$E:$E,RESULTADO!BJ$3)-SUMIFS(MtM!$N:$N,MtM!$I:$I,RESULTADO!$B11,MtM!$H:$H,RESULTADO!$B$9,MtM!$E:$E,RESULTADO!BJ$3))</f>
        <v>0</v>
      </c>
      <c r="BL11" s="120"/>
      <c r="BN11" s="57" t="s">
        <v>12</v>
      </c>
      <c r="BO11" s="53">
        <f>SUMIFS('MtM Releases'!$H:$H,'MtM Releases'!$G:$G,RESULTADO!$BN11,'MtM Releases'!$F:$F,RESULTADO!$BN9,'MtM Releases'!$D:$D,RESULTADO!BO$3)</f>
        <v>0</v>
      </c>
      <c r="BP11" s="53">
        <f>SUMIFS('MtM Releases'!$H:$H,'MtM Releases'!$G:$G,RESULTADO!$BN11,'MtM Releases'!$F:$F,RESULTADO!$BN9,'MtM Releases'!$D:$D,RESULTADO!BP$3)</f>
        <v>0</v>
      </c>
      <c r="BQ11" s="53">
        <f>SUMIFS('MtM Releases'!$H:$H,'MtM Releases'!$G:$G,RESULTADO!$BN11,'MtM Releases'!$F:$F,RESULTADO!$BN9,'MtM Releases'!$D:$D,RESULTADO!BQ$3)</f>
        <v>0</v>
      </c>
      <c r="BR11" s="53">
        <f>SUMIFS('MtM Releases'!$H:$H,'MtM Releases'!$G:$G,RESULTADO!$BN11,'MtM Releases'!$F:$F,RESULTADO!$BN9,'MtM Releases'!$D:$D,RESULTADO!BR$3)</f>
        <v>0</v>
      </c>
      <c r="BS11" s="53">
        <f>SUMIFS('MtM Releases'!$H:$H,'MtM Releases'!$G:$G,RESULTADO!$BN11,'MtM Releases'!$F:$F,RESULTADO!$BN9,'MtM Releases'!$D:$D,RESULTADO!BS$3)</f>
        <v>0</v>
      </c>
      <c r="BT11" s="53">
        <f>SUMIFS('MtM Releases'!$H:$H,'MtM Releases'!$G:$G,RESULTADO!$BN11,'MtM Releases'!$F:$F,RESULTADO!$BN9,'MtM Releases'!$D:$D,RESULTADO!BT$3)</f>
        <v>0</v>
      </c>
      <c r="BU11" s="53">
        <f>SUMIFS('MtM Releases'!$H:$H,'MtM Releases'!$G:$G,RESULTADO!$BN11,'MtM Releases'!$F:$F,RESULTADO!$BN9,'MtM Releases'!$D:$D,RESULTADO!BU$3)</f>
        <v>0</v>
      </c>
      <c r="BV11" s="53">
        <f>SUMIFS('MtM Releases'!$H:$H,'MtM Releases'!$G:$G,RESULTADO!$BN11,'MtM Releases'!$F:$F,RESULTADO!$BN9,'MtM Releases'!$D:$D,RESULTADO!BV$3)</f>
        <v>0</v>
      </c>
      <c r="BW11" s="53">
        <f>SUMIFS('MtM Releases'!$H:$H,'MtM Releases'!$G:$G,RESULTADO!$BN11,'MtM Releases'!$F:$F,RESULTADO!$BN9,'MtM Releases'!$D:$D,RESULTADO!BW$3)</f>
        <v>0</v>
      </c>
      <c r="BX11" s="53">
        <f>SUMIFS('MtM Releases'!$H:$H,'MtM Releases'!$G:$G,RESULTADO!$BN11,'MtM Releases'!$F:$F,RESULTADO!$BN9,'MtM Releases'!$D:$D,RESULTADO!BX$3)</f>
        <v>0</v>
      </c>
      <c r="BY11" s="53">
        <f>SUMIFS('MtM Releases'!$H:$H,'MtM Releases'!$G:$G,RESULTADO!$BN11,'MtM Releases'!$F:$F,RESULTADO!$BN9,'MtM Releases'!$D:$D,RESULTADO!BY$3)</f>
        <v>0</v>
      </c>
      <c r="BZ11" s="54">
        <f>SUMIFS('MtM Releases'!$H:$H,'MtM Releases'!$G:$G,RESULTADO!$BN11,'MtM Releases'!$F:$F,RESULTADO!$BN9,'MtM Releases'!$D:$D,RESULTADO!BZ$3)</f>
        <v>0</v>
      </c>
      <c r="CA11" s="53">
        <f>SUMIFS('MtM Releases'!$H:$H,'MtM Releases'!$G:$G,RESULTADO!$BN11,'MtM Releases'!$F:$F,RESULTADO!$BN9,'MtM Releases'!$D:$D,RESULTADO!CA$3)</f>
        <v>0</v>
      </c>
      <c r="CB11" s="53">
        <f>SUMIFS('MtM Releases'!$H:$H,'MtM Releases'!$G:$G,RESULTADO!$BN11,'MtM Releases'!$F:$F,RESULTADO!$BN9,'MtM Releases'!$D:$D,RESULTADO!CB$3)</f>
        <v>0</v>
      </c>
      <c r="CC11" s="53">
        <f>SUMIFS('MtM Releases'!$H:$H,'MtM Releases'!$G:$G,RESULTADO!$BN11,'MtM Releases'!$F:$F,RESULTADO!$BN9,'MtM Releases'!$D:$D,RESULTADO!CC$3)</f>
        <v>0</v>
      </c>
      <c r="CD11" s="53">
        <f>SUMIFS('MtM Releases'!$H:$H,'MtM Releases'!$G:$G,RESULTADO!$BN11,'MtM Releases'!$F:$F,RESULTADO!$BN9,'MtM Releases'!$D:$D,RESULTADO!CD$3)</f>
        <v>0</v>
      </c>
      <c r="CE11" s="53">
        <f>SUMIFS('MtM Releases'!$H:$H,'MtM Releases'!$G:$G,RESULTADO!$BN11,'MtM Releases'!$F:$F,RESULTADO!$BN9,'MtM Releases'!$D:$D,RESULTADO!CE$3)</f>
        <v>0</v>
      </c>
      <c r="CF11" s="53">
        <f>SUMIFS('MtM Releases'!$H:$H,'MtM Releases'!$G:$G,RESULTADO!$BN11,'MtM Releases'!$F:$F,RESULTADO!$BN9,'MtM Releases'!$D:$D,RESULTADO!CF$3)</f>
        <v>0</v>
      </c>
      <c r="CG11" s="53">
        <f>SUMIFS('MtM Releases'!$H:$H,'MtM Releases'!$G:$G,RESULTADO!$BN11,'MtM Releases'!$F:$F,RESULTADO!$BN9,'MtM Releases'!$D:$D,RESULTADO!CG$3)</f>
        <v>0</v>
      </c>
      <c r="CH11" s="53">
        <f>SUMIFS('MtM Releases'!$H:$H,'MtM Releases'!$G:$G,RESULTADO!$BN11,'MtM Releases'!$F:$F,RESULTADO!$BN9,'MtM Releases'!$D:$D,RESULTADO!CH$3)</f>
        <v>0</v>
      </c>
      <c r="CI11" s="53">
        <f>SUMIFS('MtM Releases'!$H:$H,'MtM Releases'!$G:$G,RESULTADO!$BN11,'MtM Releases'!$F:$F,RESULTADO!$BN9,'MtM Releases'!$D:$D,RESULTADO!CI$3)</f>
        <v>0</v>
      </c>
      <c r="CJ11" s="53">
        <f>SUMIFS('MtM Releases'!$H:$H,'MtM Releases'!$G:$G,RESULTADO!$BN11,'MtM Releases'!$F:$F,RESULTADO!$BN9,'MtM Releases'!$D:$D,RESULTADO!CJ$3)</f>
        <v>0</v>
      </c>
      <c r="CK11" s="53">
        <f>SUMIFS('MtM Releases'!$H:$H,'MtM Releases'!$G:$G,RESULTADO!$BN11,'MtM Releases'!$F:$F,RESULTADO!$BN9,'MtM Releases'!$D:$D,RESULTADO!CK$3)</f>
        <v>0</v>
      </c>
      <c r="CL11" s="63">
        <f>SUMIFS('MtM Releases'!$H:$H,'MtM Releases'!$G:$G,RESULTADO!$BN11,'MtM Releases'!$F:$F,RESULTADO!$BN9,'MtM Releases'!$D:$D,RESULTADO!CL$3)</f>
        <v>0</v>
      </c>
      <c r="CM11" s="53">
        <f>SUMIFS('MtM Releases'!$H:$H,'MtM Releases'!$G:$G,RESULTADO!$BN11,'MtM Releases'!$F:$F,RESULTADO!$BN9,'MtM Releases'!$D:$D,RESULTADO!CM$3)</f>
        <v>0</v>
      </c>
      <c r="CN11" s="53">
        <f>SUMIFS('MtM Releases'!$H:$H,'MtM Releases'!$G:$G,RESULTADO!$BN11,'MtM Releases'!$F:$F,RESULTADO!$BN9,'MtM Releases'!$D:$D,RESULTADO!CN$3)</f>
        <v>0</v>
      </c>
      <c r="CO11" s="53">
        <f>SUMIFS('MtM Releases'!$H:$H,'MtM Releases'!$G:$G,RESULTADO!$BN11,'MtM Releases'!$F:$F,RESULTADO!$BN9,'MtM Releases'!$D:$D,RESULTADO!CO$3)</f>
        <v>0</v>
      </c>
      <c r="CP11" s="53">
        <f>SUMIFS('MtM Releases'!$H:$H,'MtM Releases'!$G:$G,RESULTADO!$BN11,'MtM Releases'!$F:$F,RESULTADO!$BN9,'MtM Releases'!$D:$D,RESULTADO!CP$3)</f>
        <v>0</v>
      </c>
      <c r="CQ11" s="53">
        <f>SUMIFS('MtM Releases'!$H:$H,'MtM Releases'!$G:$G,RESULTADO!$BN11,'MtM Releases'!$F:$F,RESULTADO!$BN9,'MtM Releases'!$D:$D,RESULTADO!CQ$3)</f>
        <v>0</v>
      </c>
      <c r="CR11" s="53">
        <f>SUMIFS('MtM Releases'!$H:$H,'MtM Releases'!$G:$G,RESULTADO!$BN11,'MtM Releases'!$F:$F,RESULTADO!$BN9,'MtM Releases'!$D:$D,RESULTADO!CR$3)</f>
        <v>0</v>
      </c>
      <c r="CS11" s="53">
        <f>SUMIFS('MtM Releases'!$H:$H,'MtM Releases'!$G:$G,RESULTADO!$BN11,'MtM Releases'!$F:$F,RESULTADO!$BN9,'MtM Releases'!$D:$D,RESULTADO!CS$3)</f>
        <v>0</v>
      </c>
      <c r="CT11" s="53">
        <f>SUMIFS('MtM Releases'!$H:$H,'MtM Releases'!$G:$G,RESULTADO!$BN11,'MtM Releases'!$F:$F,RESULTADO!$BN9,'MtM Releases'!$D:$D,RESULTADO!CT$3)</f>
        <v>0</v>
      </c>
      <c r="CU11" s="53">
        <f>SUMIFS('MtM Releases'!$H:$H,'MtM Releases'!$G:$G,RESULTADO!$BN11,'MtM Releases'!$F:$F,RESULTADO!$BN9,'MtM Releases'!$D:$D,RESULTADO!CU$3)</f>
        <v>0</v>
      </c>
      <c r="CV11" s="53">
        <f>SUMIFS('MtM Releases'!$H:$H,'MtM Releases'!$G:$G,RESULTADO!$BN11,'MtM Releases'!$F:$F,RESULTADO!$BN9,'MtM Releases'!$D:$D,RESULTADO!CV$3)</f>
        <v>0</v>
      </c>
      <c r="CW11" s="53">
        <f>SUMIFS('MtM Releases'!$H:$H,'MtM Releases'!$G:$G,RESULTADO!$BN11,'MtM Releases'!$F:$F,RESULTADO!$BN9,'MtM Releases'!$D:$D,RESULTADO!CW$3)</f>
        <v>0</v>
      </c>
      <c r="CX11" s="54">
        <f>SUMIFS('MtM Releases'!$H:$H,'MtM Releases'!$G:$G,RESULTADO!$BN11,'MtM Releases'!$F:$F,RESULTADO!$BN9,'MtM Releases'!$D:$D,RESULTADO!CX$3)</f>
        <v>0</v>
      </c>
      <c r="CY11" s="53">
        <f>SUMIFS('MtM Releases'!$H:$H,'MtM Releases'!$G:$G,RESULTADO!$BN11,'MtM Releases'!$F:$F,RESULTADO!$BN9,'MtM Releases'!$D:$D,RESULTADO!CY$3)</f>
        <v>0</v>
      </c>
      <c r="CZ11" s="53">
        <f>SUMIFS('MtM Releases'!$H:$H,'MtM Releases'!$G:$G,RESULTADO!$BN11,'MtM Releases'!$F:$F,RESULTADO!$BN9,'MtM Releases'!$D:$D,RESULTADO!CZ$3)</f>
        <v>0</v>
      </c>
      <c r="DA11" s="53">
        <f>SUMIFS('MtM Releases'!$H:$H,'MtM Releases'!$G:$G,RESULTADO!$BN11,'MtM Releases'!$F:$F,RESULTADO!$BN9,'MtM Releases'!$D:$D,RESULTADO!DA$3)</f>
        <v>0</v>
      </c>
      <c r="DB11" s="53">
        <f>SUMIFS('MtM Releases'!$H:$H,'MtM Releases'!$G:$G,RESULTADO!$BN11,'MtM Releases'!$F:$F,RESULTADO!$BN9,'MtM Releases'!$D:$D,RESULTADO!DB$3)</f>
        <v>0</v>
      </c>
      <c r="DC11" s="53">
        <f>SUMIFS('MtM Releases'!$H:$H,'MtM Releases'!$G:$G,RESULTADO!$BN11,'MtM Releases'!$F:$F,RESULTADO!$BN9,'MtM Releases'!$D:$D,RESULTADO!DC$3)</f>
        <v>0</v>
      </c>
      <c r="DD11" s="53">
        <f>SUMIFS('MtM Releases'!$H:$H,'MtM Releases'!$G:$G,RESULTADO!$BN11,'MtM Releases'!$F:$F,RESULTADO!$BN9,'MtM Releases'!$D:$D,RESULTADO!DD$3)</f>
        <v>0</v>
      </c>
      <c r="DE11" s="53">
        <f>SUMIFS('MtM Releases'!$H:$H,'MtM Releases'!$G:$G,RESULTADO!$BN11,'MtM Releases'!$F:$F,RESULTADO!$BN9,'MtM Releases'!$D:$D,RESULTADO!DE$3)</f>
        <v>0</v>
      </c>
      <c r="DF11" s="53">
        <f>SUMIFS('MtM Releases'!$H:$H,'MtM Releases'!$G:$G,RESULTADO!$BN11,'MtM Releases'!$F:$F,RESULTADO!$BN9,'MtM Releases'!$D:$D,RESULTADO!DF$3)</f>
        <v>0</v>
      </c>
      <c r="DG11" s="53">
        <f>SUMIFS('MtM Releases'!$H:$H,'MtM Releases'!$G:$G,RESULTADO!$BN11,'MtM Releases'!$F:$F,RESULTADO!$BN9,'MtM Releases'!$D:$D,RESULTADO!DG$3)</f>
        <v>0</v>
      </c>
      <c r="DH11" s="53">
        <f>SUMIFS('MtM Releases'!$H:$H,'MtM Releases'!$G:$G,RESULTADO!$BN11,'MtM Releases'!$F:$F,RESULTADO!$BN9,'MtM Releases'!$D:$D,RESULTADO!DH$3)</f>
        <v>0</v>
      </c>
      <c r="DI11" s="53">
        <f>SUMIFS('MtM Releases'!$H:$H,'MtM Releases'!$G:$G,RESULTADO!$BN11,'MtM Releases'!$F:$F,RESULTADO!$BN9,'MtM Releases'!$D:$D,RESULTADO!DI$3)</f>
        <v>0</v>
      </c>
      <c r="DJ11" s="63">
        <f>SUMIFS('MtM Releases'!$H:$H,'MtM Releases'!$G:$G,RESULTADO!$BN11,'MtM Releases'!$F:$F,RESULTADO!$BN9,'MtM Releases'!$D:$D,RESULTADO!DJ$3)</f>
        <v>0</v>
      </c>
      <c r="DK11" s="53">
        <f>SUMIFS('MtM Releases'!$H:$H,'MtM Releases'!$G:$G,RESULTADO!$BN11,'MtM Releases'!$F:$F,RESULTADO!$BN9,'MtM Releases'!$D:$D,RESULTADO!DK$3)</f>
        <v>0</v>
      </c>
      <c r="DL11" s="53">
        <f>SUMIFS('MtM Releases'!$H:$H,'MtM Releases'!$G:$G,RESULTADO!$BN11,'MtM Releases'!$F:$F,RESULTADO!$BN9,'MtM Releases'!$D:$D,RESULTADO!DL$3)</f>
        <v>0</v>
      </c>
      <c r="DM11" s="53">
        <f>SUMIFS('MtM Releases'!$H:$H,'MtM Releases'!$G:$G,RESULTADO!$BN11,'MtM Releases'!$F:$F,RESULTADO!$BN9,'MtM Releases'!$D:$D,RESULTADO!DM$3)</f>
        <v>0</v>
      </c>
      <c r="DN11" s="53">
        <f>SUMIFS('MtM Releases'!$H:$H,'MtM Releases'!$G:$G,RESULTADO!$BN11,'MtM Releases'!$F:$F,RESULTADO!$BN9,'MtM Releases'!$D:$D,RESULTADO!DN$3)</f>
        <v>0</v>
      </c>
      <c r="DO11" s="53">
        <f>SUMIFS('MtM Releases'!$H:$H,'MtM Releases'!$G:$G,RESULTADO!$BN11,'MtM Releases'!$F:$F,RESULTADO!$BN9,'MtM Releases'!$D:$D,RESULTADO!DO$3)</f>
        <v>0</v>
      </c>
      <c r="DP11" s="53">
        <f>SUMIFS('MtM Releases'!$H:$H,'MtM Releases'!$G:$G,RESULTADO!$BN11,'MtM Releases'!$F:$F,RESULTADO!$BN9,'MtM Releases'!$D:$D,RESULTADO!DP$3)</f>
        <v>0</v>
      </c>
      <c r="DQ11" s="53">
        <f>SUMIFS('MtM Releases'!$H:$H,'MtM Releases'!$G:$G,RESULTADO!$BN11,'MtM Releases'!$F:$F,RESULTADO!$BN9,'MtM Releases'!$D:$D,RESULTADO!DQ$3)</f>
        <v>0</v>
      </c>
      <c r="DR11" s="53">
        <f>SUMIFS('MtM Releases'!$H:$H,'MtM Releases'!$G:$G,RESULTADO!$BN11,'MtM Releases'!$F:$F,RESULTADO!$BN9,'MtM Releases'!$D:$D,RESULTADO!DR$3)</f>
        <v>0</v>
      </c>
      <c r="DS11" s="53">
        <f>SUMIFS('MtM Releases'!$H:$H,'MtM Releases'!$G:$G,RESULTADO!$BN11,'MtM Releases'!$F:$F,RESULTADO!$BN9,'MtM Releases'!$D:$D,RESULTADO!DS$3)</f>
        <v>0</v>
      </c>
      <c r="DT11" s="53">
        <f>SUMIFS('MtM Releases'!$H:$H,'MtM Releases'!$G:$G,RESULTADO!$BN11,'MtM Releases'!$F:$F,RESULTADO!$BN9,'MtM Releases'!$D:$D,RESULTADO!DT$3)</f>
        <v>0</v>
      </c>
      <c r="DU11" s="53">
        <f>SUMIFS('MtM Releases'!$H:$H,'MtM Releases'!$G:$G,RESULTADO!$BN11,'MtM Releases'!$F:$F,RESULTADO!$BN9,'MtM Releases'!$D:$D,RESULTADO!DU$3)</f>
        <v>0</v>
      </c>
      <c r="DV11" s="63">
        <f>SUMIFS('MtM Releases'!$H:$H,'MtM Releases'!$G:$G,RESULTADO!$BN11,'MtM Releases'!$F:$F,RESULTADO!$BN9,'MtM Releases'!$D:$D,RESULTADO!DV$3)</f>
        <v>0</v>
      </c>
      <c r="EB11" s="11"/>
    </row>
    <row r="12" spans="2:132" x14ac:dyDescent="0.25">
      <c r="B12" s="57" t="s">
        <v>13</v>
      </c>
      <c r="C12" s="53">
        <f>(SUMIFS(MtM!$M:$M,MtM!$I:$I,RESULTADO!$B12,MtM!$H:$H,RESULTADO!$B$9,MtM!$E:$E,RESULTADO!C$3)-SUMIFS(MtM!$N:$N,MtM!$I:$I,RESULTADO!$B12,MtM!$H:$H,RESULTADO!$B$9,MtM!$E:$E,RESULTADO!C$3))</f>
        <v>0</v>
      </c>
      <c r="D12" s="53">
        <f>(SUMIFS(MtM!$M:$M,MtM!$I:$I,RESULTADO!$B12,MtM!$H:$H,RESULTADO!$B$9,MtM!$E:$E,RESULTADO!D$3)-SUMIFS(MtM!$N:$N,MtM!$I:$I,RESULTADO!$B12,MtM!$H:$H,RESULTADO!$B$9,MtM!$E:$E,RESULTADO!D$3))</f>
        <v>0</v>
      </c>
      <c r="E12" s="53">
        <f>(SUMIFS(MtM!$M:$M,MtM!$I:$I,RESULTADO!$B12,MtM!$H:$H,RESULTADO!$B$9,MtM!$E:$E,RESULTADO!E$3)-SUMIFS(MtM!$N:$N,MtM!$I:$I,RESULTADO!$B12,MtM!$H:$H,RESULTADO!$B$9,MtM!$E:$E,RESULTADO!E$3))</f>
        <v>0</v>
      </c>
      <c r="F12" s="53">
        <f>(SUMIFS(MtM!$M:$M,MtM!$I:$I,RESULTADO!$B12,MtM!$H:$H,RESULTADO!$B$9,MtM!$E:$E,RESULTADO!F$3)-SUMIFS(MtM!$N:$N,MtM!$I:$I,RESULTADO!$B12,MtM!$H:$H,RESULTADO!$B$9,MtM!$E:$E,RESULTADO!F$3))</f>
        <v>0</v>
      </c>
      <c r="G12" s="53">
        <f>(SUMIFS(MtM!$M:$M,MtM!$I:$I,RESULTADO!$B12,MtM!$H:$H,RESULTADO!$B$9,MtM!$E:$E,RESULTADO!G$3)-SUMIFS(MtM!$N:$N,MtM!$I:$I,RESULTADO!$B12,MtM!$H:$H,RESULTADO!$B$9,MtM!$E:$E,RESULTADO!G$3))</f>
        <v>0</v>
      </c>
      <c r="H12" s="53">
        <f>(SUMIFS(MtM!$M:$M,MtM!$I:$I,RESULTADO!$B12,MtM!$H:$H,RESULTADO!$B$9,MtM!$E:$E,RESULTADO!H$3)-SUMIFS(MtM!$N:$N,MtM!$I:$I,RESULTADO!$B12,MtM!$H:$H,RESULTADO!$B$9,MtM!$E:$E,RESULTADO!H$3))</f>
        <v>0</v>
      </c>
      <c r="I12" s="53">
        <f>(SUMIFS(MtM!$M:$M,MtM!$I:$I,RESULTADO!$B12,MtM!$H:$H,RESULTADO!$B$9,MtM!$E:$E,RESULTADO!I$3)-SUMIFS(MtM!$N:$N,MtM!$I:$I,RESULTADO!$B12,MtM!$H:$H,RESULTADO!$B$9,MtM!$E:$E,RESULTADO!I$3))</f>
        <v>0</v>
      </c>
      <c r="J12" s="53">
        <f>(SUMIFS(MtM!$M:$M,MtM!$I:$I,RESULTADO!$B12,MtM!$H:$H,RESULTADO!$B$9,MtM!$E:$E,RESULTADO!J$3)-SUMIFS(MtM!$N:$N,MtM!$I:$I,RESULTADO!$B12,MtM!$H:$H,RESULTADO!$B$9,MtM!$E:$E,RESULTADO!J$3))</f>
        <v>0</v>
      </c>
      <c r="K12" s="53">
        <f>(SUMIFS(MtM!$M:$M,MtM!$I:$I,RESULTADO!$B12,MtM!$H:$H,RESULTADO!$B$9,MtM!$E:$E,RESULTADO!K$3)-SUMIFS(MtM!$N:$N,MtM!$I:$I,RESULTADO!$B12,MtM!$H:$H,RESULTADO!$B$9,MtM!$E:$E,RESULTADO!K$3))</f>
        <v>0</v>
      </c>
      <c r="L12" s="53">
        <f>(SUMIFS(MtM!$M:$M,MtM!$I:$I,RESULTADO!$B12,MtM!$H:$H,RESULTADO!$B$9,MtM!$E:$E,RESULTADO!L$3)-SUMIFS(MtM!$N:$N,MtM!$I:$I,RESULTADO!$B12,MtM!$H:$H,RESULTADO!$B$9,MtM!$E:$E,RESULTADO!L$3))</f>
        <v>0</v>
      </c>
      <c r="M12" s="53">
        <f>(SUMIFS(MtM!$M:$M,MtM!$I:$I,RESULTADO!$B12,MtM!$H:$H,RESULTADO!$B$9,MtM!$E:$E,RESULTADO!M$3)-SUMIFS(MtM!$N:$N,MtM!$I:$I,RESULTADO!$B12,MtM!$H:$H,RESULTADO!$B$9,MtM!$E:$E,RESULTADO!M$3))</f>
        <v>0</v>
      </c>
      <c r="N12" s="54">
        <f>(SUMIFS(MtM!$M:$M,MtM!$I:$I,RESULTADO!$B12,MtM!$H:$H,RESULTADO!$B$9,MtM!$E:$E,RESULTADO!N$3)-SUMIFS(MtM!$N:$N,MtM!$I:$I,RESULTADO!$B12,MtM!$H:$H,RESULTADO!$B$9,MtM!$E:$E,RESULTADO!N$3))</f>
        <v>0</v>
      </c>
      <c r="O12" s="53">
        <f>(SUMIFS(MtM!$M:$M,MtM!$I:$I,RESULTADO!$B12,MtM!$H:$H,RESULTADO!$B$9,MtM!$E:$E,RESULTADO!O$3)-SUMIFS(MtM!$N:$N,MtM!$I:$I,RESULTADO!$B12,MtM!$H:$H,RESULTADO!$B$9,MtM!$E:$E,RESULTADO!O$3))</f>
        <v>0</v>
      </c>
      <c r="P12" s="53">
        <f>(SUMIFS(MtM!$M:$M,MtM!$I:$I,RESULTADO!$B12,MtM!$H:$H,RESULTADO!$B$9,MtM!$E:$E,RESULTADO!P$3)-SUMIFS(MtM!$N:$N,MtM!$I:$I,RESULTADO!$B12,MtM!$H:$H,RESULTADO!$B$9,MtM!$E:$E,RESULTADO!P$3))</f>
        <v>0</v>
      </c>
      <c r="Q12" s="53">
        <f>(SUMIFS(MtM!$M:$M,MtM!$I:$I,RESULTADO!$B12,MtM!$H:$H,RESULTADO!$B$9,MtM!$E:$E,RESULTADO!Q$3)-SUMIFS(MtM!$N:$N,MtM!$I:$I,RESULTADO!$B12,MtM!$H:$H,RESULTADO!$B$9,MtM!$E:$E,RESULTADO!Q$3))</f>
        <v>0</v>
      </c>
      <c r="R12" s="53">
        <f>(SUMIFS(MtM!$M:$M,MtM!$I:$I,RESULTADO!$B12,MtM!$H:$H,RESULTADO!$B$9,MtM!$E:$E,RESULTADO!R$3)-SUMIFS(MtM!$N:$N,MtM!$I:$I,RESULTADO!$B12,MtM!$H:$H,RESULTADO!$B$9,MtM!$E:$E,RESULTADO!R$3))</f>
        <v>0</v>
      </c>
      <c r="S12" s="53">
        <f>(SUMIFS(MtM!$M:$M,MtM!$I:$I,RESULTADO!$B12,MtM!$H:$H,RESULTADO!$B$9,MtM!$E:$E,RESULTADO!S$3)-SUMIFS(MtM!$N:$N,MtM!$I:$I,RESULTADO!$B12,MtM!$H:$H,RESULTADO!$B$9,MtM!$E:$E,RESULTADO!S$3))</f>
        <v>0</v>
      </c>
      <c r="T12" s="53">
        <f>(SUMIFS(MtM!$M:$M,MtM!$I:$I,RESULTADO!$B12,MtM!$H:$H,RESULTADO!$B$9,MtM!$E:$E,RESULTADO!T$3)-SUMIFS(MtM!$N:$N,MtM!$I:$I,RESULTADO!$B12,MtM!$H:$H,RESULTADO!$B$9,MtM!$E:$E,RESULTADO!T$3))</f>
        <v>0</v>
      </c>
      <c r="U12" s="53">
        <f>(SUMIFS(MtM!$M:$M,MtM!$I:$I,RESULTADO!$B12,MtM!$H:$H,RESULTADO!$B$9,MtM!$E:$E,RESULTADO!U$3)-SUMIFS(MtM!$N:$N,MtM!$I:$I,RESULTADO!$B12,MtM!$H:$H,RESULTADO!$B$9,MtM!$E:$E,RESULTADO!U$3))</f>
        <v>0</v>
      </c>
      <c r="V12" s="53">
        <f>(SUMIFS(MtM!$M:$M,MtM!$I:$I,RESULTADO!$B12,MtM!$H:$H,RESULTADO!$B$9,MtM!$E:$E,RESULTADO!V$3)-SUMIFS(MtM!$N:$N,MtM!$I:$I,RESULTADO!$B12,MtM!$H:$H,RESULTADO!$B$9,MtM!$E:$E,RESULTADO!V$3))</f>
        <v>0</v>
      </c>
      <c r="W12" s="53">
        <f>(SUMIFS(MtM!$M:$M,MtM!$I:$I,RESULTADO!$B12,MtM!$H:$H,RESULTADO!$B$9,MtM!$E:$E,RESULTADO!W$3)-SUMIFS(MtM!$N:$N,MtM!$I:$I,RESULTADO!$B12,MtM!$H:$H,RESULTADO!$B$9,MtM!$E:$E,RESULTADO!W$3))</f>
        <v>0</v>
      </c>
      <c r="X12" s="53">
        <f>(SUMIFS(MtM!$M:$M,MtM!$I:$I,RESULTADO!$B12,MtM!$H:$H,RESULTADO!$B$9,MtM!$E:$E,RESULTADO!X$3)-SUMIFS(MtM!$N:$N,MtM!$I:$I,RESULTADO!$B12,MtM!$H:$H,RESULTADO!$B$9,MtM!$E:$E,RESULTADO!X$3))</f>
        <v>0</v>
      </c>
      <c r="Y12" s="53">
        <f>(SUMIFS(MtM!$M:$M,MtM!$I:$I,RESULTADO!$B12,MtM!$H:$H,RESULTADO!$B$9,MtM!$E:$E,RESULTADO!Y$3)-SUMIFS(MtM!$N:$N,MtM!$I:$I,RESULTADO!$B12,MtM!$H:$H,RESULTADO!$B$9,MtM!$E:$E,RESULTADO!Y$3))</f>
        <v>0</v>
      </c>
      <c r="Z12" s="63">
        <f>(SUMIFS(MtM!$M:$M,MtM!$I:$I,RESULTADO!$B12,MtM!$H:$H,RESULTADO!$B$9,MtM!$E:$E,RESULTADO!Z$3)-SUMIFS(MtM!$N:$N,MtM!$I:$I,RESULTADO!$B12,MtM!$H:$H,RESULTADO!$B$9,MtM!$E:$E,RESULTADO!Z$3))</f>
        <v>0</v>
      </c>
      <c r="AA12" s="53">
        <f>(SUMIFS(MtM!$M:$M,MtM!$I:$I,RESULTADO!$B12,MtM!$H:$H,RESULTADO!$B$9,MtM!$E:$E,RESULTADO!AA$3)-SUMIFS(MtM!$N:$N,MtM!$I:$I,RESULTADO!$B12,MtM!$H:$H,RESULTADO!$B$9,MtM!$E:$E,RESULTADO!AA$3))</f>
        <v>0</v>
      </c>
      <c r="AB12" s="53">
        <f>(SUMIFS(MtM!$M:$M,MtM!$I:$I,RESULTADO!$B12,MtM!$H:$H,RESULTADO!$B$9,MtM!$E:$E,RESULTADO!AB$3)-SUMIFS(MtM!$N:$N,MtM!$I:$I,RESULTADO!$B12,MtM!$H:$H,RESULTADO!$B$9,MtM!$E:$E,RESULTADO!AB$3))</f>
        <v>0</v>
      </c>
      <c r="AC12" s="53">
        <f>(SUMIFS(MtM!$M:$M,MtM!$I:$I,RESULTADO!$B12,MtM!$H:$H,RESULTADO!$B$9,MtM!$E:$E,RESULTADO!AC$3)-SUMIFS(MtM!$N:$N,MtM!$I:$I,RESULTADO!$B12,MtM!$H:$H,RESULTADO!$B$9,MtM!$E:$E,RESULTADO!AC$3))</f>
        <v>0</v>
      </c>
      <c r="AD12" s="53">
        <f>(SUMIFS(MtM!$M:$M,MtM!$I:$I,RESULTADO!$B12,MtM!$H:$H,RESULTADO!$B$9,MtM!$E:$E,RESULTADO!AD$3)-SUMIFS(MtM!$N:$N,MtM!$I:$I,RESULTADO!$B12,MtM!$H:$H,RESULTADO!$B$9,MtM!$E:$E,RESULTADO!AD$3))</f>
        <v>0</v>
      </c>
      <c r="AE12" s="53">
        <f>(SUMIFS(MtM!$M:$M,MtM!$I:$I,RESULTADO!$B12,MtM!$H:$H,RESULTADO!$B$9,MtM!$E:$E,RESULTADO!AE$3)-SUMIFS(MtM!$N:$N,MtM!$I:$I,RESULTADO!$B12,MtM!$H:$H,RESULTADO!$B$9,MtM!$E:$E,RESULTADO!AE$3))</f>
        <v>0</v>
      </c>
      <c r="AF12" s="53">
        <f>(SUMIFS(MtM!$M:$M,MtM!$I:$I,RESULTADO!$B12,MtM!$H:$H,RESULTADO!$B$9,MtM!$E:$E,RESULTADO!AF$3)-SUMIFS(MtM!$N:$N,MtM!$I:$I,RESULTADO!$B12,MtM!$H:$H,RESULTADO!$B$9,MtM!$E:$E,RESULTADO!AF$3))</f>
        <v>0</v>
      </c>
      <c r="AG12" s="53">
        <f>(SUMIFS(MtM!$M:$M,MtM!$I:$I,RESULTADO!$B12,MtM!$H:$H,RESULTADO!$B$9,MtM!$E:$E,RESULTADO!AG$3)-SUMIFS(MtM!$N:$N,MtM!$I:$I,RESULTADO!$B12,MtM!$H:$H,RESULTADO!$B$9,MtM!$E:$E,RESULTADO!AG$3))</f>
        <v>0</v>
      </c>
      <c r="AH12" s="53">
        <f>(SUMIFS(MtM!$M:$M,MtM!$I:$I,RESULTADO!$B12,MtM!$H:$H,RESULTADO!$B$9,MtM!$E:$E,RESULTADO!AH$3)-SUMIFS(MtM!$N:$N,MtM!$I:$I,RESULTADO!$B12,MtM!$H:$H,RESULTADO!$B$9,MtM!$E:$E,RESULTADO!AH$3))</f>
        <v>0</v>
      </c>
      <c r="AI12" s="53">
        <f>(SUMIFS(MtM!$M:$M,MtM!$I:$I,RESULTADO!$B12,MtM!$H:$H,RESULTADO!$B$9,MtM!$E:$E,RESULTADO!AI$3)-SUMIFS(MtM!$N:$N,MtM!$I:$I,RESULTADO!$B12,MtM!$H:$H,RESULTADO!$B$9,MtM!$E:$E,RESULTADO!AI$3))</f>
        <v>0</v>
      </c>
      <c r="AJ12" s="53">
        <f>(SUMIFS(MtM!$M:$M,MtM!$I:$I,RESULTADO!$B12,MtM!$H:$H,RESULTADO!$B$9,MtM!$E:$E,RESULTADO!AJ$3)-SUMIFS(MtM!$N:$N,MtM!$I:$I,RESULTADO!$B12,MtM!$H:$H,RESULTADO!$B$9,MtM!$E:$E,RESULTADO!AJ$3))</f>
        <v>0</v>
      </c>
      <c r="AK12" s="53">
        <f>(SUMIFS(MtM!$M:$M,MtM!$I:$I,RESULTADO!$B12,MtM!$H:$H,RESULTADO!$B$9,MtM!$E:$E,RESULTADO!AK$3)-SUMIFS(MtM!$N:$N,MtM!$I:$I,RESULTADO!$B12,MtM!$H:$H,RESULTADO!$B$9,MtM!$E:$E,RESULTADO!AK$3))</f>
        <v>0</v>
      </c>
      <c r="AL12" s="54">
        <f>(SUMIFS(MtM!$M:$M,MtM!$I:$I,RESULTADO!$B12,MtM!$H:$H,RESULTADO!$B$9,MtM!$E:$E,RESULTADO!AL$3)-SUMIFS(MtM!$N:$N,MtM!$I:$I,RESULTADO!$B12,MtM!$H:$H,RESULTADO!$B$9,MtM!$E:$E,RESULTADO!AL$3))</f>
        <v>0</v>
      </c>
      <c r="AM12" s="53">
        <f>(SUMIFS(MtM!$M:$M,MtM!$I:$I,RESULTADO!$B12,MtM!$H:$H,RESULTADO!$B$9,MtM!$E:$E,RESULTADO!AM$3)-SUMIFS(MtM!$N:$N,MtM!$I:$I,RESULTADO!$B12,MtM!$H:$H,RESULTADO!$B$9,MtM!$E:$E,RESULTADO!AM$3))</f>
        <v>0</v>
      </c>
      <c r="AN12" s="53">
        <f>(SUMIFS(MtM!$M:$M,MtM!$I:$I,RESULTADO!$B12,MtM!$H:$H,RESULTADO!$B$9,MtM!$E:$E,RESULTADO!AN$3)-SUMIFS(MtM!$N:$N,MtM!$I:$I,RESULTADO!$B12,MtM!$H:$H,RESULTADO!$B$9,MtM!$E:$E,RESULTADO!AN$3))</f>
        <v>0</v>
      </c>
      <c r="AO12" s="53">
        <f>(SUMIFS(MtM!$M:$M,MtM!$I:$I,RESULTADO!$B12,MtM!$H:$H,RESULTADO!$B$9,MtM!$E:$E,RESULTADO!AO$3)-SUMIFS(MtM!$N:$N,MtM!$I:$I,RESULTADO!$B12,MtM!$H:$H,RESULTADO!$B$9,MtM!$E:$E,RESULTADO!AO$3))</f>
        <v>0</v>
      </c>
      <c r="AP12" s="53">
        <f>(SUMIFS(MtM!$M:$M,MtM!$I:$I,RESULTADO!$B12,MtM!$H:$H,RESULTADO!$B$9,MtM!$E:$E,RESULTADO!AP$3)-SUMIFS(MtM!$N:$N,MtM!$I:$I,RESULTADO!$B12,MtM!$H:$H,RESULTADO!$B$9,MtM!$E:$E,RESULTADO!AP$3))</f>
        <v>0</v>
      </c>
      <c r="AQ12" s="53">
        <f>(SUMIFS(MtM!$M:$M,MtM!$I:$I,RESULTADO!$B12,MtM!$H:$H,RESULTADO!$B$9,MtM!$E:$E,RESULTADO!AQ$3)-SUMIFS(MtM!$N:$N,MtM!$I:$I,RESULTADO!$B12,MtM!$H:$H,RESULTADO!$B$9,MtM!$E:$E,RESULTADO!AQ$3))</f>
        <v>0</v>
      </c>
      <c r="AR12" s="53">
        <f>(SUMIFS(MtM!$M:$M,MtM!$I:$I,RESULTADO!$B12,MtM!$H:$H,RESULTADO!$B$9,MtM!$E:$E,RESULTADO!AR$3)-SUMIFS(MtM!$N:$N,MtM!$I:$I,RESULTADO!$B12,MtM!$H:$H,RESULTADO!$B$9,MtM!$E:$E,RESULTADO!AR$3))</f>
        <v>0</v>
      </c>
      <c r="AS12" s="53">
        <f>(SUMIFS(MtM!$M:$M,MtM!$I:$I,RESULTADO!$B12,MtM!$H:$H,RESULTADO!$B$9,MtM!$E:$E,RESULTADO!AS$3)-SUMIFS(MtM!$N:$N,MtM!$I:$I,RESULTADO!$B12,MtM!$H:$H,RESULTADO!$B$9,MtM!$E:$E,RESULTADO!AS$3))</f>
        <v>0</v>
      </c>
      <c r="AT12" s="53">
        <f>(SUMIFS(MtM!$M:$M,MtM!$I:$I,RESULTADO!$B12,MtM!$H:$H,RESULTADO!$B$9,MtM!$E:$E,RESULTADO!AT$3)-SUMIFS(MtM!$N:$N,MtM!$I:$I,RESULTADO!$B12,MtM!$H:$H,RESULTADO!$B$9,MtM!$E:$E,RESULTADO!AT$3))</f>
        <v>0</v>
      </c>
      <c r="AU12" s="53">
        <f>(SUMIFS(MtM!$M:$M,MtM!$I:$I,RESULTADO!$B12,MtM!$H:$H,RESULTADO!$B$9,MtM!$E:$E,RESULTADO!AU$3)-SUMIFS(MtM!$N:$N,MtM!$I:$I,RESULTADO!$B12,MtM!$H:$H,RESULTADO!$B$9,MtM!$E:$E,RESULTADO!AU$3))</f>
        <v>0</v>
      </c>
      <c r="AV12" s="53">
        <f>(SUMIFS(MtM!$M:$M,MtM!$I:$I,RESULTADO!$B12,MtM!$H:$H,RESULTADO!$B$9,MtM!$E:$E,RESULTADO!AV$3)-SUMIFS(MtM!$N:$N,MtM!$I:$I,RESULTADO!$B12,MtM!$H:$H,RESULTADO!$B$9,MtM!$E:$E,RESULTADO!AV$3))</f>
        <v>0</v>
      </c>
      <c r="AW12" s="53">
        <f>(SUMIFS(MtM!$M:$M,MtM!$I:$I,RESULTADO!$B12,MtM!$H:$H,RESULTADO!$B$9,MtM!$E:$E,RESULTADO!AW$3)-SUMIFS(MtM!$N:$N,MtM!$I:$I,RESULTADO!$B12,MtM!$H:$H,RESULTADO!$B$9,MtM!$E:$E,RESULTADO!AW$3))</f>
        <v>0</v>
      </c>
      <c r="AX12" s="63">
        <f>(SUMIFS(MtM!$M:$M,MtM!$I:$I,RESULTADO!$B12,MtM!$H:$H,RESULTADO!$B$9,MtM!$E:$E,RESULTADO!AX$3)-SUMIFS(MtM!$N:$N,MtM!$I:$I,RESULTADO!$B12,MtM!$H:$H,RESULTADO!$B$9,MtM!$E:$E,RESULTADO!AX$3))</f>
        <v>0</v>
      </c>
      <c r="AY12" s="53">
        <f>(SUMIFS(MtM!$M:$M,MtM!$I:$I,RESULTADO!$B12,MtM!$H:$H,RESULTADO!$B$9,MtM!$E:$E,RESULTADO!AY$3)-SUMIFS(MtM!$N:$N,MtM!$I:$I,RESULTADO!$B12,MtM!$H:$H,RESULTADO!$B$9,MtM!$E:$E,RESULTADO!AY$3))</f>
        <v>0</v>
      </c>
      <c r="AZ12" s="53">
        <f>(SUMIFS(MtM!$M:$M,MtM!$I:$I,RESULTADO!$B12,MtM!$H:$H,RESULTADO!$B$9,MtM!$E:$E,RESULTADO!AZ$3)-SUMIFS(MtM!$N:$N,MtM!$I:$I,RESULTADO!$B12,MtM!$H:$H,RESULTADO!$B$9,MtM!$E:$E,RESULTADO!AZ$3))</f>
        <v>0</v>
      </c>
      <c r="BA12" s="53">
        <f>(SUMIFS(MtM!$M:$M,MtM!$I:$I,RESULTADO!$B12,MtM!$H:$H,RESULTADO!$B$9,MtM!$E:$E,RESULTADO!BA$3)-SUMIFS(MtM!$N:$N,MtM!$I:$I,RESULTADO!$B12,MtM!$H:$H,RESULTADO!$B$9,MtM!$E:$E,RESULTADO!BA$3))</f>
        <v>0</v>
      </c>
      <c r="BB12" s="53">
        <f>(SUMIFS(MtM!$M:$M,MtM!$I:$I,RESULTADO!$B12,MtM!$H:$H,RESULTADO!$B$9,MtM!$E:$E,RESULTADO!BB$3)-SUMIFS(MtM!$N:$N,MtM!$I:$I,RESULTADO!$B12,MtM!$H:$H,RESULTADO!$B$9,MtM!$E:$E,RESULTADO!BB$3))</f>
        <v>0</v>
      </c>
      <c r="BC12" s="53">
        <f>(SUMIFS(MtM!$M:$M,MtM!$I:$I,RESULTADO!$B12,MtM!$H:$H,RESULTADO!$B$9,MtM!$E:$E,RESULTADO!BC$3)-SUMIFS(MtM!$N:$N,MtM!$I:$I,RESULTADO!$B12,MtM!$H:$H,RESULTADO!$B$9,MtM!$E:$E,RESULTADO!BC$3))</f>
        <v>0</v>
      </c>
      <c r="BD12" s="53">
        <f>(SUMIFS(MtM!$M:$M,MtM!$I:$I,RESULTADO!$B12,MtM!$H:$H,RESULTADO!$B$9,MtM!$E:$E,RESULTADO!BD$3)-SUMIFS(MtM!$N:$N,MtM!$I:$I,RESULTADO!$B12,MtM!$H:$H,RESULTADO!$B$9,MtM!$E:$E,RESULTADO!BD$3))</f>
        <v>0</v>
      </c>
      <c r="BE12" s="53">
        <f>(SUMIFS(MtM!$M:$M,MtM!$I:$I,RESULTADO!$B12,MtM!$H:$H,RESULTADO!$B$9,MtM!$E:$E,RESULTADO!BE$3)-SUMIFS(MtM!$N:$N,MtM!$I:$I,RESULTADO!$B12,MtM!$H:$H,RESULTADO!$B$9,MtM!$E:$E,RESULTADO!BE$3))</f>
        <v>0</v>
      </c>
      <c r="BF12" s="53">
        <f>(SUMIFS(MtM!$M:$M,MtM!$I:$I,RESULTADO!$B12,MtM!$H:$H,RESULTADO!$B$9,MtM!$E:$E,RESULTADO!BF$3)-SUMIFS(MtM!$N:$N,MtM!$I:$I,RESULTADO!$B12,MtM!$H:$H,RESULTADO!$B$9,MtM!$E:$E,RESULTADO!BF$3))</f>
        <v>0</v>
      </c>
      <c r="BG12" s="53">
        <f>(SUMIFS(MtM!$M:$M,MtM!$I:$I,RESULTADO!$B12,MtM!$H:$H,RESULTADO!$B$9,MtM!$E:$E,RESULTADO!BG$3)-SUMIFS(MtM!$N:$N,MtM!$I:$I,RESULTADO!$B12,MtM!$H:$H,RESULTADO!$B$9,MtM!$E:$E,RESULTADO!BG$3))</f>
        <v>0</v>
      </c>
      <c r="BH12" s="53">
        <f>(SUMIFS(MtM!$M:$M,MtM!$I:$I,RESULTADO!$B12,MtM!$H:$H,RESULTADO!$B$9,MtM!$E:$E,RESULTADO!BH$3)-SUMIFS(MtM!$N:$N,MtM!$I:$I,RESULTADO!$B12,MtM!$H:$H,RESULTADO!$B$9,MtM!$E:$E,RESULTADO!BH$3))</f>
        <v>0</v>
      </c>
      <c r="BI12" s="53">
        <f>(SUMIFS(MtM!$M:$M,MtM!$I:$I,RESULTADO!$B12,MtM!$H:$H,RESULTADO!$B$9,MtM!$E:$E,RESULTADO!BI$3)-SUMIFS(MtM!$N:$N,MtM!$I:$I,RESULTADO!$B12,MtM!$H:$H,RESULTADO!$B$9,MtM!$E:$E,RESULTADO!BI$3))</f>
        <v>0</v>
      </c>
      <c r="BJ12" s="63">
        <f>(SUMIFS(MtM!$M:$M,MtM!$I:$I,RESULTADO!$B12,MtM!$H:$H,RESULTADO!$B$9,MtM!$E:$E,RESULTADO!BJ$3)-SUMIFS(MtM!$N:$N,MtM!$I:$I,RESULTADO!$B12,MtM!$H:$H,RESULTADO!$B$9,MtM!$E:$E,RESULTADO!BJ$3))</f>
        <v>0</v>
      </c>
      <c r="BL12" s="120"/>
      <c r="BN12" s="57" t="s">
        <v>13</v>
      </c>
      <c r="BO12" s="53">
        <f>SUMIFS('MtM Releases'!$H:$H,'MtM Releases'!$G:$G,RESULTADO!$BN12,'MtM Releases'!$F:$F,RESULTADO!$BN9,'MtM Releases'!$D:$D,RESULTADO!BO$3)</f>
        <v>0</v>
      </c>
      <c r="BP12" s="53">
        <f>SUMIFS('MtM Releases'!$H:$H,'MtM Releases'!$G:$G,RESULTADO!$BN12,'MtM Releases'!$F:$F,RESULTADO!$BN9,'MtM Releases'!$D:$D,RESULTADO!BP$3)</f>
        <v>0</v>
      </c>
      <c r="BQ12" s="53">
        <f>SUMIFS('MtM Releases'!$H:$H,'MtM Releases'!$G:$G,RESULTADO!$BN12,'MtM Releases'!$F:$F,RESULTADO!$BN9,'MtM Releases'!$D:$D,RESULTADO!BQ$3)</f>
        <v>0</v>
      </c>
      <c r="BR12" s="53">
        <f>SUMIFS('MtM Releases'!$H:$H,'MtM Releases'!$G:$G,RESULTADO!$BN12,'MtM Releases'!$F:$F,RESULTADO!$BN9,'MtM Releases'!$D:$D,RESULTADO!BR$3)</f>
        <v>0</v>
      </c>
      <c r="BS12" s="53">
        <f>SUMIFS('MtM Releases'!$H:$H,'MtM Releases'!$G:$G,RESULTADO!$BN12,'MtM Releases'!$F:$F,RESULTADO!$BN9,'MtM Releases'!$D:$D,RESULTADO!BS$3)</f>
        <v>0</v>
      </c>
      <c r="BT12" s="53">
        <f>SUMIFS('MtM Releases'!$H:$H,'MtM Releases'!$G:$G,RESULTADO!$BN12,'MtM Releases'!$F:$F,RESULTADO!$BN9,'MtM Releases'!$D:$D,RESULTADO!BT$3)</f>
        <v>0</v>
      </c>
      <c r="BU12" s="53">
        <f>SUMIFS('MtM Releases'!$H:$H,'MtM Releases'!$G:$G,RESULTADO!$BN12,'MtM Releases'!$F:$F,RESULTADO!$BN9,'MtM Releases'!$D:$D,RESULTADO!BU$3)</f>
        <v>0</v>
      </c>
      <c r="BV12" s="53">
        <f>SUMIFS('MtM Releases'!$H:$H,'MtM Releases'!$G:$G,RESULTADO!$BN12,'MtM Releases'!$F:$F,RESULTADO!$BN9,'MtM Releases'!$D:$D,RESULTADO!BV$3)</f>
        <v>0</v>
      </c>
      <c r="BW12" s="53">
        <f>SUMIFS('MtM Releases'!$H:$H,'MtM Releases'!$G:$G,RESULTADO!$BN12,'MtM Releases'!$F:$F,RESULTADO!$BN9,'MtM Releases'!$D:$D,RESULTADO!BW$3)</f>
        <v>0</v>
      </c>
      <c r="BX12" s="53">
        <f>SUMIFS('MtM Releases'!$H:$H,'MtM Releases'!$G:$G,RESULTADO!$BN12,'MtM Releases'!$F:$F,RESULTADO!$BN9,'MtM Releases'!$D:$D,RESULTADO!BX$3)</f>
        <v>0</v>
      </c>
      <c r="BY12" s="53">
        <f>SUMIFS('MtM Releases'!$H:$H,'MtM Releases'!$G:$G,RESULTADO!$BN12,'MtM Releases'!$F:$F,RESULTADO!$BN9,'MtM Releases'!$D:$D,RESULTADO!BY$3)</f>
        <v>0</v>
      </c>
      <c r="BZ12" s="54">
        <f>SUMIFS('MtM Releases'!$H:$H,'MtM Releases'!$G:$G,RESULTADO!$BN12,'MtM Releases'!$F:$F,RESULTADO!$BN9,'MtM Releases'!$D:$D,RESULTADO!BZ$3)</f>
        <v>0</v>
      </c>
      <c r="CA12" s="53">
        <f>SUMIFS('MtM Releases'!$H:$H,'MtM Releases'!$G:$G,RESULTADO!$BN12,'MtM Releases'!$F:$F,RESULTADO!$BN9,'MtM Releases'!$D:$D,RESULTADO!CA$3)</f>
        <v>0</v>
      </c>
      <c r="CB12" s="53">
        <f>SUMIFS('MtM Releases'!$H:$H,'MtM Releases'!$G:$G,RESULTADO!$BN12,'MtM Releases'!$F:$F,RESULTADO!$BN9,'MtM Releases'!$D:$D,RESULTADO!CB$3)</f>
        <v>0</v>
      </c>
      <c r="CC12" s="53">
        <f>SUMIFS('MtM Releases'!$H:$H,'MtM Releases'!$G:$G,RESULTADO!$BN12,'MtM Releases'!$F:$F,RESULTADO!$BN9,'MtM Releases'!$D:$D,RESULTADO!CC$3)</f>
        <v>0</v>
      </c>
      <c r="CD12" s="53">
        <f>SUMIFS('MtM Releases'!$H:$H,'MtM Releases'!$G:$G,RESULTADO!$BN12,'MtM Releases'!$F:$F,RESULTADO!$BN9,'MtM Releases'!$D:$D,RESULTADO!CD$3)</f>
        <v>0</v>
      </c>
      <c r="CE12" s="53">
        <f>SUMIFS('MtM Releases'!$H:$H,'MtM Releases'!$G:$G,RESULTADO!$BN12,'MtM Releases'!$F:$F,RESULTADO!$BN9,'MtM Releases'!$D:$D,RESULTADO!CE$3)</f>
        <v>0</v>
      </c>
      <c r="CF12" s="53">
        <f>SUMIFS('MtM Releases'!$H:$H,'MtM Releases'!$G:$G,RESULTADO!$BN12,'MtM Releases'!$F:$F,RESULTADO!$BN9,'MtM Releases'!$D:$D,RESULTADO!CF$3)</f>
        <v>0</v>
      </c>
      <c r="CG12" s="53">
        <f>SUMIFS('MtM Releases'!$H:$H,'MtM Releases'!$G:$G,RESULTADO!$BN12,'MtM Releases'!$F:$F,RESULTADO!$BN9,'MtM Releases'!$D:$D,RESULTADO!CG$3)</f>
        <v>0</v>
      </c>
      <c r="CH12" s="53">
        <f>SUMIFS('MtM Releases'!$H:$H,'MtM Releases'!$G:$G,RESULTADO!$BN12,'MtM Releases'!$F:$F,RESULTADO!$BN9,'MtM Releases'!$D:$D,RESULTADO!CH$3)</f>
        <v>0</v>
      </c>
      <c r="CI12" s="53">
        <f>SUMIFS('MtM Releases'!$H:$H,'MtM Releases'!$G:$G,RESULTADO!$BN12,'MtM Releases'!$F:$F,RESULTADO!$BN9,'MtM Releases'!$D:$D,RESULTADO!CI$3)</f>
        <v>0</v>
      </c>
      <c r="CJ12" s="53">
        <f>SUMIFS('MtM Releases'!$H:$H,'MtM Releases'!$G:$G,RESULTADO!$BN12,'MtM Releases'!$F:$F,RESULTADO!$BN9,'MtM Releases'!$D:$D,RESULTADO!CJ$3)</f>
        <v>0</v>
      </c>
      <c r="CK12" s="53">
        <f>SUMIFS('MtM Releases'!$H:$H,'MtM Releases'!$G:$G,RESULTADO!$BN12,'MtM Releases'!$F:$F,RESULTADO!$BN9,'MtM Releases'!$D:$D,RESULTADO!CK$3)</f>
        <v>0</v>
      </c>
      <c r="CL12" s="63">
        <f>SUMIFS('MtM Releases'!$H:$H,'MtM Releases'!$G:$G,RESULTADO!$BN12,'MtM Releases'!$F:$F,RESULTADO!$BN9,'MtM Releases'!$D:$D,RESULTADO!CL$3)</f>
        <v>0</v>
      </c>
      <c r="CM12" s="53">
        <f>SUMIFS('MtM Releases'!$H:$H,'MtM Releases'!$G:$G,RESULTADO!$BN12,'MtM Releases'!$F:$F,RESULTADO!$BN9,'MtM Releases'!$D:$D,RESULTADO!CM$3)</f>
        <v>0</v>
      </c>
      <c r="CN12" s="53">
        <f>SUMIFS('MtM Releases'!$H:$H,'MtM Releases'!$G:$G,RESULTADO!$BN12,'MtM Releases'!$F:$F,RESULTADO!$BN9,'MtM Releases'!$D:$D,RESULTADO!CN$3)</f>
        <v>0</v>
      </c>
      <c r="CO12" s="53">
        <f>SUMIFS('MtM Releases'!$H:$H,'MtM Releases'!$G:$G,RESULTADO!$BN12,'MtM Releases'!$F:$F,RESULTADO!$BN9,'MtM Releases'!$D:$D,RESULTADO!CO$3)</f>
        <v>0</v>
      </c>
      <c r="CP12" s="53">
        <f>SUMIFS('MtM Releases'!$H:$H,'MtM Releases'!$G:$G,RESULTADO!$BN12,'MtM Releases'!$F:$F,RESULTADO!$BN9,'MtM Releases'!$D:$D,RESULTADO!CP$3)</f>
        <v>0</v>
      </c>
      <c r="CQ12" s="53">
        <f>SUMIFS('MtM Releases'!$H:$H,'MtM Releases'!$G:$G,RESULTADO!$BN12,'MtM Releases'!$F:$F,RESULTADO!$BN9,'MtM Releases'!$D:$D,RESULTADO!CQ$3)</f>
        <v>0</v>
      </c>
      <c r="CR12" s="53">
        <f>SUMIFS('MtM Releases'!$H:$H,'MtM Releases'!$G:$G,RESULTADO!$BN12,'MtM Releases'!$F:$F,RESULTADO!$BN9,'MtM Releases'!$D:$D,RESULTADO!CR$3)</f>
        <v>0</v>
      </c>
      <c r="CS12" s="53">
        <f>SUMIFS('MtM Releases'!$H:$H,'MtM Releases'!$G:$G,RESULTADO!$BN12,'MtM Releases'!$F:$F,RESULTADO!$BN9,'MtM Releases'!$D:$D,RESULTADO!CS$3)</f>
        <v>0</v>
      </c>
      <c r="CT12" s="53">
        <f>SUMIFS('MtM Releases'!$H:$H,'MtM Releases'!$G:$G,RESULTADO!$BN12,'MtM Releases'!$F:$F,RESULTADO!$BN9,'MtM Releases'!$D:$D,RESULTADO!CT$3)</f>
        <v>0</v>
      </c>
      <c r="CU12" s="53">
        <f>SUMIFS('MtM Releases'!$H:$H,'MtM Releases'!$G:$G,RESULTADO!$BN12,'MtM Releases'!$F:$F,RESULTADO!$BN9,'MtM Releases'!$D:$D,RESULTADO!CU$3)</f>
        <v>0</v>
      </c>
      <c r="CV12" s="53">
        <f>SUMIFS('MtM Releases'!$H:$H,'MtM Releases'!$G:$G,RESULTADO!$BN12,'MtM Releases'!$F:$F,RESULTADO!$BN9,'MtM Releases'!$D:$D,RESULTADO!CV$3)</f>
        <v>0</v>
      </c>
      <c r="CW12" s="53">
        <f>SUMIFS('MtM Releases'!$H:$H,'MtM Releases'!$G:$G,RESULTADO!$BN12,'MtM Releases'!$F:$F,RESULTADO!$BN9,'MtM Releases'!$D:$D,RESULTADO!CW$3)</f>
        <v>0</v>
      </c>
      <c r="CX12" s="54">
        <f>SUMIFS('MtM Releases'!$H:$H,'MtM Releases'!$G:$G,RESULTADO!$BN12,'MtM Releases'!$F:$F,RESULTADO!$BN9,'MtM Releases'!$D:$D,RESULTADO!CX$3)</f>
        <v>0</v>
      </c>
      <c r="CY12" s="53">
        <f>SUMIFS('MtM Releases'!$H:$H,'MtM Releases'!$G:$G,RESULTADO!$BN12,'MtM Releases'!$F:$F,RESULTADO!$BN9,'MtM Releases'!$D:$D,RESULTADO!CY$3)</f>
        <v>0</v>
      </c>
      <c r="CZ12" s="53">
        <f>SUMIFS('MtM Releases'!$H:$H,'MtM Releases'!$G:$G,RESULTADO!$BN12,'MtM Releases'!$F:$F,RESULTADO!$BN9,'MtM Releases'!$D:$D,RESULTADO!CZ$3)</f>
        <v>0</v>
      </c>
      <c r="DA12" s="53">
        <f>SUMIFS('MtM Releases'!$H:$H,'MtM Releases'!$G:$G,RESULTADO!$BN12,'MtM Releases'!$F:$F,RESULTADO!$BN9,'MtM Releases'!$D:$D,RESULTADO!DA$3)</f>
        <v>0</v>
      </c>
      <c r="DB12" s="53">
        <f>SUMIFS('MtM Releases'!$H:$H,'MtM Releases'!$G:$G,RESULTADO!$BN12,'MtM Releases'!$F:$F,RESULTADO!$BN9,'MtM Releases'!$D:$D,RESULTADO!DB$3)</f>
        <v>0</v>
      </c>
      <c r="DC12" s="53">
        <f>SUMIFS('MtM Releases'!$H:$H,'MtM Releases'!$G:$G,RESULTADO!$BN12,'MtM Releases'!$F:$F,RESULTADO!$BN9,'MtM Releases'!$D:$D,RESULTADO!DC$3)</f>
        <v>0</v>
      </c>
      <c r="DD12" s="53">
        <f>SUMIFS('MtM Releases'!$H:$H,'MtM Releases'!$G:$G,RESULTADO!$BN12,'MtM Releases'!$F:$F,RESULTADO!$BN9,'MtM Releases'!$D:$D,RESULTADO!DD$3)</f>
        <v>0</v>
      </c>
      <c r="DE12" s="53">
        <f>SUMIFS('MtM Releases'!$H:$H,'MtM Releases'!$G:$G,RESULTADO!$BN12,'MtM Releases'!$F:$F,RESULTADO!$BN9,'MtM Releases'!$D:$D,RESULTADO!DE$3)</f>
        <v>0</v>
      </c>
      <c r="DF12" s="53">
        <f>SUMIFS('MtM Releases'!$H:$H,'MtM Releases'!$G:$G,RESULTADO!$BN12,'MtM Releases'!$F:$F,RESULTADO!$BN9,'MtM Releases'!$D:$D,RESULTADO!DF$3)</f>
        <v>0</v>
      </c>
      <c r="DG12" s="53">
        <f>SUMIFS('MtM Releases'!$H:$H,'MtM Releases'!$G:$G,RESULTADO!$BN12,'MtM Releases'!$F:$F,RESULTADO!$BN9,'MtM Releases'!$D:$D,RESULTADO!DG$3)</f>
        <v>0</v>
      </c>
      <c r="DH12" s="53">
        <f>SUMIFS('MtM Releases'!$H:$H,'MtM Releases'!$G:$G,RESULTADO!$BN12,'MtM Releases'!$F:$F,RESULTADO!$BN9,'MtM Releases'!$D:$D,RESULTADO!DH$3)</f>
        <v>0</v>
      </c>
      <c r="DI12" s="53">
        <f>SUMIFS('MtM Releases'!$H:$H,'MtM Releases'!$G:$G,RESULTADO!$BN12,'MtM Releases'!$F:$F,RESULTADO!$BN9,'MtM Releases'!$D:$D,RESULTADO!DI$3)</f>
        <v>0</v>
      </c>
      <c r="DJ12" s="63">
        <f>SUMIFS('MtM Releases'!$H:$H,'MtM Releases'!$G:$G,RESULTADO!$BN12,'MtM Releases'!$F:$F,RESULTADO!$BN9,'MtM Releases'!$D:$D,RESULTADO!DJ$3)</f>
        <v>0</v>
      </c>
      <c r="DK12" s="53">
        <f>SUMIFS('MtM Releases'!$H:$H,'MtM Releases'!$G:$G,RESULTADO!$BN12,'MtM Releases'!$F:$F,RESULTADO!$BN9,'MtM Releases'!$D:$D,RESULTADO!DK$3)</f>
        <v>0</v>
      </c>
      <c r="DL12" s="53">
        <f>SUMIFS('MtM Releases'!$H:$H,'MtM Releases'!$G:$G,RESULTADO!$BN12,'MtM Releases'!$F:$F,RESULTADO!$BN9,'MtM Releases'!$D:$D,RESULTADO!DL$3)</f>
        <v>0</v>
      </c>
      <c r="DM12" s="53">
        <f>SUMIFS('MtM Releases'!$H:$H,'MtM Releases'!$G:$G,RESULTADO!$BN12,'MtM Releases'!$F:$F,RESULTADO!$BN9,'MtM Releases'!$D:$D,RESULTADO!DM$3)</f>
        <v>0</v>
      </c>
      <c r="DN12" s="53">
        <f>SUMIFS('MtM Releases'!$H:$H,'MtM Releases'!$G:$G,RESULTADO!$BN12,'MtM Releases'!$F:$F,RESULTADO!$BN9,'MtM Releases'!$D:$D,RESULTADO!DN$3)</f>
        <v>0</v>
      </c>
      <c r="DO12" s="53">
        <f>SUMIFS('MtM Releases'!$H:$H,'MtM Releases'!$G:$G,RESULTADO!$BN12,'MtM Releases'!$F:$F,RESULTADO!$BN9,'MtM Releases'!$D:$D,RESULTADO!DO$3)</f>
        <v>0</v>
      </c>
      <c r="DP12" s="53">
        <f>SUMIFS('MtM Releases'!$H:$H,'MtM Releases'!$G:$G,RESULTADO!$BN12,'MtM Releases'!$F:$F,RESULTADO!$BN9,'MtM Releases'!$D:$D,RESULTADO!DP$3)</f>
        <v>0</v>
      </c>
      <c r="DQ12" s="53">
        <f>SUMIFS('MtM Releases'!$H:$H,'MtM Releases'!$G:$G,RESULTADO!$BN12,'MtM Releases'!$F:$F,RESULTADO!$BN9,'MtM Releases'!$D:$D,RESULTADO!DQ$3)</f>
        <v>0</v>
      </c>
      <c r="DR12" s="53">
        <f>SUMIFS('MtM Releases'!$H:$H,'MtM Releases'!$G:$G,RESULTADO!$BN12,'MtM Releases'!$F:$F,RESULTADO!$BN9,'MtM Releases'!$D:$D,RESULTADO!DR$3)</f>
        <v>0</v>
      </c>
      <c r="DS12" s="53">
        <f>SUMIFS('MtM Releases'!$H:$H,'MtM Releases'!$G:$G,RESULTADO!$BN12,'MtM Releases'!$F:$F,RESULTADO!$BN9,'MtM Releases'!$D:$D,RESULTADO!DS$3)</f>
        <v>0</v>
      </c>
      <c r="DT12" s="53">
        <f>SUMIFS('MtM Releases'!$H:$H,'MtM Releases'!$G:$G,RESULTADO!$BN12,'MtM Releases'!$F:$F,RESULTADO!$BN9,'MtM Releases'!$D:$D,RESULTADO!DT$3)</f>
        <v>0</v>
      </c>
      <c r="DU12" s="53">
        <f>SUMIFS('MtM Releases'!$H:$H,'MtM Releases'!$G:$G,RESULTADO!$BN12,'MtM Releases'!$F:$F,RESULTADO!$BN9,'MtM Releases'!$D:$D,RESULTADO!DU$3)</f>
        <v>0</v>
      </c>
      <c r="DV12" s="63">
        <f>SUMIFS('MtM Releases'!$H:$H,'MtM Releases'!$G:$G,RESULTADO!$BN12,'MtM Releases'!$F:$F,RESULTADO!$BN9,'MtM Releases'!$D:$D,RESULTADO!DV$3)</f>
        <v>0</v>
      </c>
      <c r="EB12" s="11"/>
    </row>
    <row r="13" spans="2:132" x14ac:dyDescent="0.25">
      <c r="B13" s="57" t="s">
        <v>11</v>
      </c>
      <c r="C13" s="53">
        <f>(SUMIFS(MtM!$M:$M,MtM!$I:$I,RESULTADO!$B13,MtM!$H:$H,RESULTADO!$B$9,MtM!$E:$E,RESULTADO!C$3)-SUMIFS(MtM!$N:$N,MtM!$I:$I,RESULTADO!$B13,MtM!$H:$H,RESULTADO!$B$9,MtM!$E:$E,RESULTADO!C$3))</f>
        <v>0</v>
      </c>
      <c r="D13" s="53">
        <f>(SUMIFS(MtM!$M:$M,MtM!$I:$I,RESULTADO!$B13,MtM!$H:$H,RESULTADO!$B$9,MtM!$E:$E,RESULTADO!D$3)-SUMIFS(MtM!$N:$N,MtM!$I:$I,RESULTADO!$B13,MtM!$H:$H,RESULTADO!$B$9,MtM!$E:$E,RESULTADO!D$3))</f>
        <v>0</v>
      </c>
      <c r="E13" s="53">
        <f>(SUMIFS(MtM!$M:$M,MtM!$I:$I,RESULTADO!$B13,MtM!$H:$H,RESULTADO!$B$9,MtM!$E:$E,RESULTADO!E$3)-SUMIFS(MtM!$N:$N,MtM!$I:$I,RESULTADO!$B13,MtM!$H:$H,RESULTADO!$B$9,MtM!$E:$E,RESULTADO!E$3))</f>
        <v>0</v>
      </c>
      <c r="F13" s="53">
        <f>(SUMIFS(MtM!$M:$M,MtM!$I:$I,RESULTADO!$B13,MtM!$H:$H,RESULTADO!$B$9,MtM!$E:$E,RESULTADO!F$3)-SUMIFS(MtM!$N:$N,MtM!$I:$I,RESULTADO!$B13,MtM!$H:$H,RESULTADO!$B$9,MtM!$E:$E,RESULTADO!F$3))</f>
        <v>0</v>
      </c>
      <c r="G13" s="53">
        <f>(SUMIFS(MtM!$M:$M,MtM!$I:$I,RESULTADO!$B13,MtM!$H:$H,RESULTADO!$B$9,MtM!$E:$E,RESULTADO!G$3)-SUMIFS(MtM!$N:$N,MtM!$I:$I,RESULTADO!$B13,MtM!$H:$H,RESULTADO!$B$9,MtM!$E:$E,RESULTADO!G$3))</f>
        <v>0</v>
      </c>
      <c r="H13" s="53">
        <f>(SUMIFS(MtM!$M:$M,MtM!$I:$I,RESULTADO!$B13,MtM!$H:$H,RESULTADO!$B$9,MtM!$E:$E,RESULTADO!H$3)-SUMIFS(MtM!$N:$N,MtM!$I:$I,RESULTADO!$B13,MtM!$H:$H,RESULTADO!$B$9,MtM!$E:$E,RESULTADO!H$3))</f>
        <v>0</v>
      </c>
      <c r="I13" s="53">
        <f>(SUMIFS(MtM!$M:$M,MtM!$I:$I,RESULTADO!$B13,MtM!$H:$H,RESULTADO!$B$9,MtM!$E:$E,RESULTADO!I$3)-SUMIFS(MtM!$N:$N,MtM!$I:$I,RESULTADO!$B13,MtM!$H:$H,RESULTADO!$B$9,MtM!$E:$E,RESULTADO!I$3))</f>
        <v>0</v>
      </c>
      <c r="J13" s="53">
        <f>(SUMIFS(MtM!$M:$M,MtM!$I:$I,RESULTADO!$B13,MtM!$H:$H,RESULTADO!$B$9,MtM!$E:$E,RESULTADO!J$3)-SUMIFS(MtM!$N:$N,MtM!$I:$I,RESULTADO!$B13,MtM!$H:$H,RESULTADO!$B$9,MtM!$E:$E,RESULTADO!J$3))</f>
        <v>0</v>
      </c>
      <c r="K13" s="53">
        <f>(SUMIFS(MtM!$M:$M,MtM!$I:$I,RESULTADO!$B13,MtM!$H:$H,RESULTADO!$B$9,MtM!$E:$E,RESULTADO!K$3)-SUMIFS(MtM!$N:$N,MtM!$I:$I,RESULTADO!$B13,MtM!$H:$H,RESULTADO!$B$9,MtM!$E:$E,RESULTADO!K$3))</f>
        <v>0</v>
      </c>
      <c r="L13" s="53">
        <f>(SUMIFS(MtM!$M:$M,MtM!$I:$I,RESULTADO!$B13,MtM!$H:$H,RESULTADO!$B$9,MtM!$E:$E,RESULTADO!L$3)-SUMIFS(MtM!$N:$N,MtM!$I:$I,RESULTADO!$B13,MtM!$H:$H,RESULTADO!$B$9,MtM!$E:$E,RESULTADO!L$3))</f>
        <v>0</v>
      </c>
      <c r="M13" s="53">
        <f>(SUMIFS(MtM!$M:$M,MtM!$I:$I,RESULTADO!$B13,MtM!$H:$H,RESULTADO!$B$9,MtM!$E:$E,RESULTADO!M$3)-SUMIFS(MtM!$N:$N,MtM!$I:$I,RESULTADO!$B13,MtM!$H:$H,RESULTADO!$B$9,MtM!$E:$E,RESULTADO!M$3))</f>
        <v>0</v>
      </c>
      <c r="N13" s="54">
        <f>(SUMIFS(MtM!$M:$M,MtM!$I:$I,RESULTADO!$B13,MtM!$H:$H,RESULTADO!$B$9,MtM!$E:$E,RESULTADO!N$3)-SUMIFS(MtM!$N:$N,MtM!$I:$I,RESULTADO!$B13,MtM!$H:$H,RESULTADO!$B$9,MtM!$E:$E,RESULTADO!N$3))</f>
        <v>0</v>
      </c>
      <c r="O13" s="53">
        <f>(SUMIFS(MtM!$M:$M,MtM!$I:$I,RESULTADO!$B13,MtM!$H:$H,RESULTADO!$B$9,MtM!$E:$E,RESULTADO!O$3)-SUMIFS(MtM!$N:$N,MtM!$I:$I,RESULTADO!$B13,MtM!$H:$H,RESULTADO!$B$9,MtM!$E:$E,RESULTADO!O$3))</f>
        <v>0</v>
      </c>
      <c r="P13" s="53">
        <f>(SUMIFS(MtM!$M:$M,MtM!$I:$I,RESULTADO!$B13,MtM!$H:$H,RESULTADO!$B$9,MtM!$E:$E,RESULTADO!P$3)-SUMIFS(MtM!$N:$N,MtM!$I:$I,RESULTADO!$B13,MtM!$H:$H,RESULTADO!$B$9,MtM!$E:$E,RESULTADO!P$3))</f>
        <v>0</v>
      </c>
      <c r="Q13" s="53">
        <f>(SUMIFS(MtM!$M:$M,MtM!$I:$I,RESULTADO!$B13,MtM!$H:$H,RESULTADO!$B$9,MtM!$E:$E,RESULTADO!Q$3)-SUMIFS(MtM!$N:$N,MtM!$I:$I,RESULTADO!$B13,MtM!$H:$H,RESULTADO!$B$9,MtM!$E:$E,RESULTADO!Q$3))</f>
        <v>0</v>
      </c>
      <c r="R13" s="53">
        <f>(SUMIFS(MtM!$M:$M,MtM!$I:$I,RESULTADO!$B13,MtM!$H:$H,RESULTADO!$B$9,MtM!$E:$E,RESULTADO!R$3)-SUMIFS(MtM!$N:$N,MtM!$I:$I,RESULTADO!$B13,MtM!$H:$H,RESULTADO!$B$9,MtM!$E:$E,RESULTADO!R$3))</f>
        <v>0</v>
      </c>
      <c r="S13" s="53">
        <f>(SUMIFS(MtM!$M:$M,MtM!$I:$I,RESULTADO!$B13,MtM!$H:$H,RESULTADO!$B$9,MtM!$E:$E,RESULTADO!S$3)-SUMIFS(MtM!$N:$N,MtM!$I:$I,RESULTADO!$B13,MtM!$H:$H,RESULTADO!$B$9,MtM!$E:$E,RESULTADO!S$3))</f>
        <v>0</v>
      </c>
      <c r="T13" s="53">
        <f>(SUMIFS(MtM!$M:$M,MtM!$I:$I,RESULTADO!$B13,MtM!$H:$H,RESULTADO!$B$9,MtM!$E:$E,RESULTADO!T$3)-SUMIFS(MtM!$N:$N,MtM!$I:$I,RESULTADO!$B13,MtM!$H:$H,RESULTADO!$B$9,MtM!$E:$E,RESULTADO!T$3))</f>
        <v>0</v>
      </c>
      <c r="U13" s="53">
        <f>(SUMIFS(MtM!$M:$M,MtM!$I:$I,RESULTADO!$B13,MtM!$H:$H,RESULTADO!$B$9,MtM!$E:$E,RESULTADO!U$3)-SUMIFS(MtM!$N:$N,MtM!$I:$I,RESULTADO!$B13,MtM!$H:$H,RESULTADO!$B$9,MtM!$E:$E,RESULTADO!U$3))</f>
        <v>0</v>
      </c>
      <c r="V13" s="53">
        <f>(SUMIFS(MtM!$M:$M,MtM!$I:$I,RESULTADO!$B13,MtM!$H:$H,RESULTADO!$B$9,MtM!$E:$E,RESULTADO!V$3)-SUMIFS(MtM!$N:$N,MtM!$I:$I,RESULTADO!$B13,MtM!$H:$H,RESULTADO!$B$9,MtM!$E:$E,RESULTADO!V$3))</f>
        <v>0</v>
      </c>
      <c r="W13" s="53">
        <f>(SUMIFS(MtM!$M:$M,MtM!$I:$I,RESULTADO!$B13,MtM!$H:$H,RESULTADO!$B$9,MtM!$E:$E,RESULTADO!W$3)-SUMIFS(MtM!$N:$N,MtM!$I:$I,RESULTADO!$B13,MtM!$H:$H,RESULTADO!$B$9,MtM!$E:$E,RESULTADO!W$3))</f>
        <v>0</v>
      </c>
      <c r="X13" s="53">
        <f>(SUMIFS(MtM!$M:$M,MtM!$I:$I,RESULTADO!$B13,MtM!$H:$H,RESULTADO!$B$9,MtM!$E:$E,RESULTADO!X$3)-SUMIFS(MtM!$N:$N,MtM!$I:$I,RESULTADO!$B13,MtM!$H:$H,RESULTADO!$B$9,MtM!$E:$E,RESULTADO!X$3))</f>
        <v>0</v>
      </c>
      <c r="Y13" s="53">
        <f>(SUMIFS(MtM!$M:$M,MtM!$I:$I,RESULTADO!$B13,MtM!$H:$H,RESULTADO!$B$9,MtM!$E:$E,RESULTADO!Y$3)-SUMIFS(MtM!$N:$N,MtM!$I:$I,RESULTADO!$B13,MtM!$H:$H,RESULTADO!$B$9,MtM!$E:$E,RESULTADO!Y$3))</f>
        <v>0</v>
      </c>
      <c r="Z13" s="63">
        <f>(SUMIFS(MtM!$M:$M,MtM!$I:$I,RESULTADO!$B13,MtM!$H:$H,RESULTADO!$B$9,MtM!$E:$E,RESULTADO!Z$3)-SUMIFS(MtM!$N:$N,MtM!$I:$I,RESULTADO!$B13,MtM!$H:$H,RESULTADO!$B$9,MtM!$E:$E,RESULTADO!Z$3))</f>
        <v>0</v>
      </c>
      <c r="AA13" s="53">
        <f>(SUMIFS(MtM!$M:$M,MtM!$I:$I,RESULTADO!$B13,MtM!$H:$H,RESULTADO!$B$9,MtM!$E:$E,RESULTADO!AA$3)-SUMIFS(MtM!$N:$N,MtM!$I:$I,RESULTADO!$B13,MtM!$H:$H,RESULTADO!$B$9,MtM!$E:$E,RESULTADO!AA$3))</f>
        <v>0</v>
      </c>
      <c r="AB13" s="53">
        <f>(SUMIFS(MtM!$M:$M,MtM!$I:$I,RESULTADO!$B13,MtM!$H:$H,RESULTADO!$B$9,MtM!$E:$E,RESULTADO!AB$3)-SUMIFS(MtM!$N:$N,MtM!$I:$I,RESULTADO!$B13,MtM!$H:$H,RESULTADO!$B$9,MtM!$E:$E,RESULTADO!AB$3))</f>
        <v>0</v>
      </c>
      <c r="AC13" s="53">
        <f>(SUMIFS(MtM!$M:$M,MtM!$I:$I,RESULTADO!$B13,MtM!$H:$H,RESULTADO!$B$9,MtM!$E:$E,RESULTADO!AC$3)-SUMIFS(MtM!$N:$N,MtM!$I:$I,RESULTADO!$B13,MtM!$H:$H,RESULTADO!$B$9,MtM!$E:$E,RESULTADO!AC$3))</f>
        <v>0</v>
      </c>
      <c r="AD13" s="53">
        <f>(SUMIFS(MtM!$M:$M,MtM!$I:$I,RESULTADO!$B13,MtM!$H:$H,RESULTADO!$B$9,MtM!$E:$E,RESULTADO!AD$3)-SUMIFS(MtM!$N:$N,MtM!$I:$I,RESULTADO!$B13,MtM!$H:$H,RESULTADO!$B$9,MtM!$E:$E,RESULTADO!AD$3))</f>
        <v>0</v>
      </c>
      <c r="AE13" s="53">
        <f>(SUMIFS(MtM!$M:$M,MtM!$I:$I,RESULTADO!$B13,MtM!$H:$H,RESULTADO!$B$9,MtM!$E:$E,RESULTADO!AE$3)-SUMIFS(MtM!$N:$N,MtM!$I:$I,RESULTADO!$B13,MtM!$H:$H,RESULTADO!$B$9,MtM!$E:$E,RESULTADO!AE$3))</f>
        <v>0</v>
      </c>
      <c r="AF13" s="53">
        <f>(SUMIFS(MtM!$M:$M,MtM!$I:$I,RESULTADO!$B13,MtM!$H:$H,RESULTADO!$B$9,MtM!$E:$E,RESULTADO!AF$3)-SUMIFS(MtM!$N:$N,MtM!$I:$I,RESULTADO!$B13,MtM!$H:$H,RESULTADO!$B$9,MtM!$E:$E,RESULTADO!AF$3))</f>
        <v>0</v>
      </c>
      <c r="AG13" s="53">
        <f>(SUMIFS(MtM!$M:$M,MtM!$I:$I,RESULTADO!$B13,MtM!$H:$H,RESULTADO!$B$9,MtM!$E:$E,RESULTADO!AG$3)-SUMIFS(MtM!$N:$N,MtM!$I:$I,RESULTADO!$B13,MtM!$H:$H,RESULTADO!$B$9,MtM!$E:$E,RESULTADO!AG$3))</f>
        <v>0</v>
      </c>
      <c r="AH13" s="53">
        <f>(SUMIFS(MtM!$M:$M,MtM!$I:$I,RESULTADO!$B13,MtM!$H:$H,RESULTADO!$B$9,MtM!$E:$E,RESULTADO!AH$3)-SUMIFS(MtM!$N:$N,MtM!$I:$I,RESULTADO!$B13,MtM!$H:$H,RESULTADO!$B$9,MtM!$E:$E,RESULTADO!AH$3))</f>
        <v>0</v>
      </c>
      <c r="AI13" s="53">
        <f>(SUMIFS(MtM!$M:$M,MtM!$I:$I,RESULTADO!$B13,MtM!$H:$H,RESULTADO!$B$9,MtM!$E:$E,RESULTADO!AI$3)-SUMIFS(MtM!$N:$N,MtM!$I:$I,RESULTADO!$B13,MtM!$H:$H,RESULTADO!$B$9,MtM!$E:$E,RESULTADO!AI$3))</f>
        <v>0</v>
      </c>
      <c r="AJ13" s="53">
        <f>(SUMIFS(MtM!$M:$M,MtM!$I:$I,RESULTADO!$B13,MtM!$H:$H,RESULTADO!$B$9,MtM!$E:$E,RESULTADO!AJ$3)-SUMIFS(MtM!$N:$N,MtM!$I:$I,RESULTADO!$B13,MtM!$H:$H,RESULTADO!$B$9,MtM!$E:$E,RESULTADO!AJ$3))</f>
        <v>0</v>
      </c>
      <c r="AK13" s="53">
        <f>(SUMIFS(MtM!$M:$M,MtM!$I:$I,RESULTADO!$B13,MtM!$H:$H,RESULTADO!$B$9,MtM!$E:$E,RESULTADO!AK$3)-SUMIFS(MtM!$N:$N,MtM!$I:$I,RESULTADO!$B13,MtM!$H:$H,RESULTADO!$B$9,MtM!$E:$E,RESULTADO!AK$3))</f>
        <v>0</v>
      </c>
      <c r="AL13" s="54">
        <f>(SUMIFS(MtM!$M:$M,MtM!$I:$I,RESULTADO!$B13,MtM!$H:$H,RESULTADO!$B$9,MtM!$E:$E,RESULTADO!AL$3)-SUMIFS(MtM!$N:$N,MtM!$I:$I,RESULTADO!$B13,MtM!$H:$H,RESULTADO!$B$9,MtM!$E:$E,RESULTADO!AL$3))</f>
        <v>0</v>
      </c>
      <c r="AM13" s="53">
        <f>(SUMIFS(MtM!$M:$M,MtM!$I:$I,RESULTADO!$B13,MtM!$H:$H,RESULTADO!$B$9,MtM!$E:$E,RESULTADO!AM$3)-SUMIFS(MtM!$N:$N,MtM!$I:$I,RESULTADO!$B13,MtM!$H:$H,RESULTADO!$B$9,MtM!$E:$E,RESULTADO!AM$3))</f>
        <v>0</v>
      </c>
      <c r="AN13" s="53">
        <f>(SUMIFS(MtM!$M:$M,MtM!$I:$I,RESULTADO!$B13,MtM!$H:$H,RESULTADO!$B$9,MtM!$E:$E,RESULTADO!AN$3)-SUMIFS(MtM!$N:$N,MtM!$I:$I,RESULTADO!$B13,MtM!$H:$H,RESULTADO!$B$9,MtM!$E:$E,RESULTADO!AN$3))</f>
        <v>0</v>
      </c>
      <c r="AO13" s="53">
        <f>(SUMIFS(MtM!$M:$M,MtM!$I:$I,RESULTADO!$B13,MtM!$H:$H,RESULTADO!$B$9,MtM!$E:$E,RESULTADO!AO$3)-SUMIFS(MtM!$N:$N,MtM!$I:$I,RESULTADO!$B13,MtM!$H:$H,RESULTADO!$B$9,MtM!$E:$E,RESULTADO!AO$3))</f>
        <v>0</v>
      </c>
      <c r="AP13" s="53">
        <f>(SUMIFS(MtM!$M:$M,MtM!$I:$I,RESULTADO!$B13,MtM!$H:$H,RESULTADO!$B$9,MtM!$E:$E,RESULTADO!AP$3)-SUMIFS(MtM!$N:$N,MtM!$I:$I,RESULTADO!$B13,MtM!$H:$H,RESULTADO!$B$9,MtM!$E:$E,RESULTADO!AP$3))</f>
        <v>0</v>
      </c>
      <c r="AQ13" s="53">
        <f>(SUMIFS(MtM!$M:$M,MtM!$I:$I,RESULTADO!$B13,MtM!$H:$H,RESULTADO!$B$9,MtM!$E:$E,RESULTADO!AQ$3)-SUMIFS(MtM!$N:$N,MtM!$I:$I,RESULTADO!$B13,MtM!$H:$H,RESULTADO!$B$9,MtM!$E:$E,RESULTADO!AQ$3))</f>
        <v>0</v>
      </c>
      <c r="AR13" s="53">
        <f>(SUMIFS(MtM!$M:$M,MtM!$I:$I,RESULTADO!$B13,MtM!$H:$H,RESULTADO!$B$9,MtM!$E:$E,RESULTADO!AR$3)-SUMIFS(MtM!$N:$N,MtM!$I:$I,RESULTADO!$B13,MtM!$H:$H,RESULTADO!$B$9,MtM!$E:$E,RESULTADO!AR$3))</f>
        <v>0</v>
      </c>
      <c r="AS13" s="53">
        <f>(SUMIFS(MtM!$M:$M,MtM!$I:$I,RESULTADO!$B13,MtM!$H:$H,RESULTADO!$B$9,MtM!$E:$E,RESULTADO!AS$3)-SUMIFS(MtM!$N:$N,MtM!$I:$I,RESULTADO!$B13,MtM!$H:$H,RESULTADO!$B$9,MtM!$E:$E,RESULTADO!AS$3))</f>
        <v>0</v>
      </c>
      <c r="AT13" s="53">
        <f>(SUMIFS(MtM!$M:$M,MtM!$I:$I,RESULTADO!$B13,MtM!$H:$H,RESULTADO!$B$9,MtM!$E:$E,RESULTADO!AT$3)-SUMIFS(MtM!$N:$N,MtM!$I:$I,RESULTADO!$B13,MtM!$H:$H,RESULTADO!$B$9,MtM!$E:$E,RESULTADO!AT$3))</f>
        <v>0</v>
      </c>
      <c r="AU13" s="53">
        <f>(SUMIFS(MtM!$M:$M,MtM!$I:$I,RESULTADO!$B13,MtM!$H:$H,RESULTADO!$B$9,MtM!$E:$E,RESULTADO!AU$3)-SUMIFS(MtM!$N:$N,MtM!$I:$I,RESULTADO!$B13,MtM!$H:$H,RESULTADO!$B$9,MtM!$E:$E,RESULTADO!AU$3))</f>
        <v>0</v>
      </c>
      <c r="AV13" s="53">
        <f>(SUMIFS(MtM!$M:$M,MtM!$I:$I,RESULTADO!$B13,MtM!$H:$H,RESULTADO!$B$9,MtM!$E:$E,RESULTADO!AV$3)-SUMIFS(MtM!$N:$N,MtM!$I:$I,RESULTADO!$B13,MtM!$H:$H,RESULTADO!$B$9,MtM!$E:$E,RESULTADO!AV$3))</f>
        <v>0</v>
      </c>
      <c r="AW13" s="53">
        <f>(SUMIFS(MtM!$M:$M,MtM!$I:$I,RESULTADO!$B13,MtM!$H:$H,RESULTADO!$B$9,MtM!$E:$E,RESULTADO!AW$3)-SUMIFS(MtM!$N:$N,MtM!$I:$I,RESULTADO!$B13,MtM!$H:$H,RESULTADO!$B$9,MtM!$E:$E,RESULTADO!AW$3))</f>
        <v>0</v>
      </c>
      <c r="AX13" s="63">
        <f>(SUMIFS(MtM!$M:$M,MtM!$I:$I,RESULTADO!$B13,MtM!$H:$H,RESULTADO!$B$9,MtM!$E:$E,RESULTADO!AX$3)-SUMIFS(MtM!$N:$N,MtM!$I:$I,RESULTADO!$B13,MtM!$H:$H,RESULTADO!$B$9,MtM!$E:$E,RESULTADO!AX$3))</f>
        <v>0</v>
      </c>
      <c r="AY13" s="53">
        <f>(SUMIFS(MtM!$M:$M,MtM!$I:$I,RESULTADO!$B13,MtM!$H:$H,RESULTADO!$B$9,MtM!$E:$E,RESULTADO!AY$3)-SUMIFS(MtM!$N:$N,MtM!$I:$I,RESULTADO!$B13,MtM!$H:$H,RESULTADO!$B$9,MtM!$E:$E,RESULTADO!AY$3))</f>
        <v>0</v>
      </c>
      <c r="AZ13" s="53">
        <f>(SUMIFS(MtM!$M:$M,MtM!$I:$I,RESULTADO!$B13,MtM!$H:$H,RESULTADO!$B$9,MtM!$E:$E,RESULTADO!AZ$3)-SUMIFS(MtM!$N:$N,MtM!$I:$I,RESULTADO!$B13,MtM!$H:$H,RESULTADO!$B$9,MtM!$E:$E,RESULTADO!AZ$3))</f>
        <v>0</v>
      </c>
      <c r="BA13" s="53">
        <f>(SUMIFS(MtM!$M:$M,MtM!$I:$I,RESULTADO!$B13,MtM!$H:$H,RESULTADO!$B$9,MtM!$E:$E,RESULTADO!BA$3)-SUMIFS(MtM!$N:$N,MtM!$I:$I,RESULTADO!$B13,MtM!$H:$H,RESULTADO!$B$9,MtM!$E:$E,RESULTADO!BA$3))</f>
        <v>0</v>
      </c>
      <c r="BB13" s="53">
        <f>(SUMIFS(MtM!$M:$M,MtM!$I:$I,RESULTADO!$B13,MtM!$H:$H,RESULTADO!$B$9,MtM!$E:$E,RESULTADO!BB$3)-SUMIFS(MtM!$N:$N,MtM!$I:$I,RESULTADO!$B13,MtM!$H:$H,RESULTADO!$B$9,MtM!$E:$E,RESULTADO!BB$3))</f>
        <v>0</v>
      </c>
      <c r="BC13" s="53">
        <f>(SUMIFS(MtM!$M:$M,MtM!$I:$I,RESULTADO!$B13,MtM!$H:$H,RESULTADO!$B$9,MtM!$E:$E,RESULTADO!BC$3)-SUMIFS(MtM!$N:$N,MtM!$I:$I,RESULTADO!$B13,MtM!$H:$H,RESULTADO!$B$9,MtM!$E:$E,RESULTADO!BC$3))</f>
        <v>0</v>
      </c>
      <c r="BD13" s="53">
        <f>(SUMIFS(MtM!$M:$M,MtM!$I:$I,RESULTADO!$B13,MtM!$H:$H,RESULTADO!$B$9,MtM!$E:$E,RESULTADO!BD$3)-SUMIFS(MtM!$N:$N,MtM!$I:$I,RESULTADO!$B13,MtM!$H:$H,RESULTADO!$B$9,MtM!$E:$E,RESULTADO!BD$3))</f>
        <v>0</v>
      </c>
      <c r="BE13" s="53">
        <f>(SUMIFS(MtM!$M:$M,MtM!$I:$I,RESULTADO!$B13,MtM!$H:$H,RESULTADO!$B$9,MtM!$E:$E,RESULTADO!BE$3)-SUMIFS(MtM!$N:$N,MtM!$I:$I,RESULTADO!$B13,MtM!$H:$H,RESULTADO!$B$9,MtM!$E:$E,RESULTADO!BE$3))</f>
        <v>0</v>
      </c>
      <c r="BF13" s="53">
        <f>(SUMIFS(MtM!$M:$M,MtM!$I:$I,RESULTADO!$B13,MtM!$H:$H,RESULTADO!$B$9,MtM!$E:$E,RESULTADO!BF$3)-SUMIFS(MtM!$N:$N,MtM!$I:$I,RESULTADO!$B13,MtM!$H:$H,RESULTADO!$B$9,MtM!$E:$E,RESULTADO!BF$3))</f>
        <v>0</v>
      </c>
      <c r="BG13" s="53">
        <f>(SUMIFS(MtM!$M:$M,MtM!$I:$I,RESULTADO!$B13,MtM!$H:$H,RESULTADO!$B$9,MtM!$E:$E,RESULTADO!BG$3)-SUMIFS(MtM!$N:$N,MtM!$I:$I,RESULTADO!$B13,MtM!$H:$H,RESULTADO!$B$9,MtM!$E:$E,RESULTADO!BG$3))</f>
        <v>0</v>
      </c>
      <c r="BH13" s="53">
        <f>(SUMIFS(MtM!$M:$M,MtM!$I:$I,RESULTADO!$B13,MtM!$H:$H,RESULTADO!$B$9,MtM!$E:$E,RESULTADO!BH$3)-SUMIFS(MtM!$N:$N,MtM!$I:$I,RESULTADO!$B13,MtM!$H:$H,RESULTADO!$B$9,MtM!$E:$E,RESULTADO!BH$3))</f>
        <v>0</v>
      </c>
      <c r="BI13" s="53">
        <f>(SUMIFS(MtM!$M:$M,MtM!$I:$I,RESULTADO!$B13,MtM!$H:$H,RESULTADO!$B$9,MtM!$E:$E,RESULTADO!BI$3)-SUMIFS(MtM!$N:$N,MtM!$I:$I,RESULTADO!$B13,MtM!$H:$H,RESULTADO!$B$9,MtM!$E:$E,RESULTADO!BI$3))</f>
        <v>0</v>
      </c>
      <c r="BJ13" s="63">
        <f>(SUMIFS(MtM!$M:$M,MtM!$I:$I,RESULTADO!$B13,MtM!$H:$H,RESULTADO!$B$9,MtM!$E:$E,RESULTADO!BJ$3)-SUMIFS(MtM!$N:$N,MtM!$I:$I,RESULTADO!$B13,MtM!$H:$H,RESULTADO!$B$9,MtM!$E:$E,RESULTADO!BJ$3))</f>
        <v>0</v>
      </c>
      <c r="BL13" s="120"/>
      <c r="BN13" s="57" t="s">
        <v>11</v>
      </c>
      <c r="BO13" s="53">
        <f>SUMIFS('MtM Releases'!$H:$H,'MtM Releases'!$G:$G,RESULTADO!$BN13,'MtM Releases'!$F:$F,RESULTADO!$BN9,'MtM Releases'!$D:$D,RESULTADO!BO$3)</f>
        <v>0</v>
      </c>
      <c r="BP13" s="53">
        <f>SUMIFS('MtM Releases'!$H:$H,'MtM Releases'!$G:$G,RESULTADO!$BN13,'MtM Releases'!$F:$F,RESULTADO!$BN9,'MtM Releases'!$D:$D,RESULTADO!BP$3)</f>
        <v>0</v>
      </c>
      <c r="BQ13" s="53">
        <f>SUMIFS('MtM Releases'!$H:$H,'MtM Releases'!$G:$G,RESULTADO!$BN13,'MtM Releases'!$F:$F,RESULTADO!$BN9,'MtM Releases'!$D:$D,RESULTADO!BQ$3)</f>
        <v>0</v>
      </c>
      <c r="BR13" s="53">
        <f>SUMIFS('MtM Releases'!$H:$H,'MtM Releases'!$G:$G,RESULTADO!$BN13,'MtM Releases'!$F:$F,RESULTADO!$BN9,'MtM Releases'!$D:$D,RESULTADO!BR$3)</f>
        <v>0</v>
      </c>
      <c r="BS13" s="53">
        <f>SUMIFS('MtM Releases'!$H:$H,'MtM Releases'!$G:$G,RESULTADO!$BN13,'MtM Releases'!$F:$F,RESULTADO!$BN9,'MtM Releases'!$D:$D,RESULTADO!BS$3)</f>
        <v>0</v>
      </c>
      <c r="BT13" s="53">
        <f>SUMIFS('MtM Releases'!$H:$H,'MtM Releases'!$G:$G,RESULTADO!$BN13,'MtM Releases'!$F:$F,RESULTADO!$BN9,'MtM Releases'!$D:$D,RESULTADO!BT$3)</f>
        <v>0</v>
      </c>
      <c r="BU13" s="53">
        <f>SUMIFS('MtM Releases'!$H:$H,'MtM Releases'!$G:$G,RESULTADO!$BN13,'MtM Releases'!$F:$F,RESULTADO!$BN9,'MtM Releases'!$D:$D,RESULTADO!BU$3)</f>
        <v>0</v>
      </c>
      <c r="BV13" s="53">
        <f>SUMIFS('MtM Releases'!$H:$H,'MtM Releases'!$G:$G,RESULTADO!$BN13,'MtM Releases'!$F:$F,RESULTADO!$BN9,'MtM Releases'!$D:$D,RESULTADO!BV$3)</f>
        <v>0</v>
      </c>
      <c r="BW13" s="53">
        <f>SUMIFS('MtM Releases'!$H:$H,'MtM Releases'!$G:$G,RESULTADO!$BN13,'MtM Releases'!$F:$F,RESULTADO!$BN9,'MtM Releases'!$D:$D,RESULTADO!BW$3)</f>
        <v>0</v>
      </c>
      <c r="BX13" s="53">
        <f>SUMIFS('MtM Releases'!$H:$H,'MtM Releases'!$G:$G,RESULTADO!$BN13,'MtM Releases'!$F:$F,RESULTADO!$BN9,'MtM Releases'!$D:$D,RESULTADO!BX$3)</f>
        <v>0</v>
      </c>
      <c r="BY13" s="53">
        <f>SUMIFS('MtM Releases'!$H:$H,'MtM Releases'!$G:$G,RESULTADO!$BN13,'MtM Releases'!$F:$F,RESULTADO!$BN9,'MtM Releases'!$D:$D,RESULTADO!BY$3)</f>
        <v>0</v>
      </c>
      <c r="BZ13" s="54">
        <f>SUMIFS('MtM Releases'!$H:$H,'MtM Releases'!$G:$G,RESULTADO!$BN13,'MtM Releases'!$F:$F,RESULTADO!$BN9,'MtM Releases'!$D:$D,RESULTADO!BZ$3)</f>
        <v>0</v>
      </c>
      <c r="CA13" s="53">
        <f>SUMIFS('MtM Releases'!$H:$H,'MtM Releases'!$G:$G,RESULTADO!$BN13,'MtM Releases'!$F:$F,RESULTADO!$BN9,'MtM Releases'!$D:$D,RESULTADO!CA$3)</f>
        <v>0</v>
      </c>
      <c r="CB13" s="53">
        <f>SUMIFS('MtM Releases'!$H:$H,'MtM Releases'!$G:$G,RESULTADO!$BN13,'MtM Releases'!$F:$F,RESULTADO!$BN9,'MtM Releases'!$D:$D,RESULTADO!CB$3)</f>
        <v>0</v>
      </c>
      <c r="CC13" s="53">
        <f>SUMIFS('MtM Releases'!$H:$H,'MtM Releases'!$G:$G,RESULTADO!$BN13,'MtM Releases'!$F:$F,RESULTADO!$BN9,'MtM Releases'!$D:$D,RESULTADO!CC$3)</f>
        <v>0</v>
      </c>
      <c r="CD13" s="53">
        <f>SUMIFS('MtM Releases'!$H:$H,'MtM Releases'!$G:$G,RESULTADO!$BN13,'MtM Releases'!$F:$F,RESULTADO!$BN9,'MtM Releases'!$D:$D,RESULTADO!CD$3)</f>
        <v>0</v>
      </c>
      <c r="CE13" s="53">
        <f>SUMIFS('MtM Releases'!$H:$H,'MtM Releases'!$G:$G,RESULTADO!$BN13,'MtM Releases'!$F:$F,RESULTADO!$BN9,'MtM Releases'!$D:$D,RESULTADO!CE$3)</f>
        <v>0</v>
      </c>
      <c r="CF13" s="53">
        <f>SUMIFS('MtM Releases'!$H:$H,'MtM Releases'!$G:$G,RESULTADO!$BN13,'MtM Releases'!$F:$F,RESULTADO!$BN9,'MtM Releases'!$D:$D,RESULTADO!CF$3)</f>
        <v>0</v>
      </c>
      <c r="CG13" s="53">
        <f>SUMIFS('MtM Releases'!$H:$H,'MtM Releases'!$G:$G,RESULTADO!$BN13,'MtM Releases'!$F:$F,RESULTADO!$BN9,'MtM Releases'!$D:$D,RESULTADO!CG$3)</f>
        <v>0</v>
      </c>
      <c r="CH13" s="53">
        <f>SUMIFS('MtM Releases'!$H:$H,'MtM Releases'!$G:$G,RESULTADO!$BN13,'MtM Releases'!$F:$F,RESULTADO!$BN9,'MtM Releases'!$D:$D,RESULTADO!CH$3)</f>
        <v>0</v>
      </c>
      <c r="CI13" s="53">
        <f>SUMIFS('MtM Releases'!$H:$H,'MtM Releases'!$G:$G,RESULTADO!$BN13,'MtM Releases'!$F:$F,RESULTADO!$BN9,'MtM Releases'!$D:$D,RESULTADO!CI$3)</f>
        <v>0</v>
      </c>
      <c r="CJ13" s="53">
        <f>SUMIFS('MtM Releases'!$H:$H,'MtM Releases'!$G:$G,RESULTADO!$BN13,'MtM Releases'!$F:$F,RESULTADO!$BN9,'MtM Releases'!$D:$D,RESULTADO!CJ$3)</f>
        <v>0</v>
      </c>
      <c r="CK13" s="53">
        <f>SUMIFS('MtM Releases'!$H:$H,'MtM Releases'!$G:$G,RESULTADO!$BN13,'MtM Releases'!$F:$F,RESULTADO!$BN9,'MtM Releases'!$D:$D,RESULTADO!CK$3)</f>
        <v>0</v>
      </c>
      <c r="CL13" s="63">
        <f>SUMIFS('MtM Releases'!$H:$H,'MtM Releases'!$G:$G,RESULTADO!$BN13,'MtM Releases'!$F:$F,RESULTADO!$BN9,'MtM Releases'!$D:$D,RESULTADO!CL$3)</f>
        <v>0</v>
      </c>
      <c r="CM13" s="53">
        <f>SUMIFS('MtM Releases'!$H:$H,'MtM Releases'!$G:$G,RESULTADO!$BN13,'MtM Releases'!$F:$F,RESULTADO!$BN9,'MtM Releases'!$D:$D,RESULTADO!CM$3)</f>
        <v>0</v>
      </c>
      <c r="CN13" s="53">
        <f>SUMIFS('MtM Releases'!$H:$H,'MtM Releases'!$G:$G,RESULTADO!$BN13,'MtM Releases'!$F:$F,RESULTADO!$BN9,'MtM Releases'!$D:$D,RESULTADO!CN$3)</f>
        <v>0</v>
      </c>
      <c r="CO13" s="53">
        <f>SUMIFS('MtM Releases'!$H:$H,'MtM Releases'!$G:$G,RESULTADO!$BN13,'MtM Releases'!$F:$F,RESULTADO!$BN9,'MtM Releases'!$D:$D,RESULTADO!CO$3)</f>
        <v>0</v>
      </c>
      <c r="CP13" s="53">
        <f>SUMIFS('MtM Releases'!$H:$H,'MtM Releases'!$G:$G,RESULTADO!$BN13,'MtM Releases'!$F:$F,RESULTADO!$BN9,'MtM Releases'!$D:$D,RESULTADO!CP$3)</f>
        <v>0</v>
      </c>
      <c r="CQ13" s="53">
        <f>SUMIFS('MtM Releases'!$H:$H,'MtM Releases'!$G:$G,RESULTADO!$BN13,'MtM Releases'!$F:$F,RESULTADO!$BN9,'MtM Releases'!$D:$D,RESULTADO!CQ$3)</f>
        <v>0</v>
      </c>
      <c r="CR13" s="53">
        <f>SUMIFS('MtM Releases'!$H:$H,'MtM Releases'!$G:$G,RESULTADO!$BN13,'MtM Releases'!$F:$F,RESULTADO!$BN9,'MtM Releases'!$D:$D,RESULTADO!CR$3)</f>
        <v>0</v>
      </c>
      <c r="CS13" s="53">
        <f>SUMIFS('MtM Releases'!$H:$H,'MtM Releases'!$G:$G,RESULTADO!$BN13,'MtM Releases'!$F:$F,RESULTADO!$BN9,'MtM Releases'!$D:$D,RESULTADO!CS$3)</f>
        <v>0</v>
      </c>
      <c r="CT13" s="53">
        <f>SUMIFS('MtM Releases'!$H:$H,'MtM Releases'!$G:$G,RESULTADO!$BN13,'MtM Releases'!$F:$F,RESULTADO!$BN9,'MtM Releases'!$D:$D,RESULTADO!CT$3)</f>
        <v>0</v>
      </c>
      <c r="CU13" s="53">
        <f>SUMIFS('MtM Releases'!$H:$H,'MtM Releases'!$G:$G,RESULTADO!$BN13,'MtM Releases'!$F:$F,RESULTADO!$BN9,'MtM Releases'!$D:$D,RESULTADO!CU$3)</f>
        <v>0</v>
      </c>
      <c r="CV13" s="53">
        <f>SUMIFS('MtM Releases'!$H:$H,'MtM Releases'!$G:$G,RESULTADO!$BN13,'MtM Releases'!$F:$F,RESULTADO!$BN9,'MtM Releases'!$D:$D,RESULTADO!CV$3)</f>
        <v>0</v>
      </c>
      <c r="CW13" s="53">
        <f>SUMIFS('MtM Releases'!$H:$H,'MtM Releases'!$G:$G,RESULTADO!$BN13,'MtM Releases'!$F:$F,RESULTADO!$BN9,'MtM Releases'!$D:$D,RESULTADO!CW$3)</f>
        <v>0</v>
      </c>
      <c r="CX13" s="54">
        <f>SUMIFS('MtM Releases'!$H:$H,'MtM Releases'!$G:$G,RESULTADO!$BN13,'MtM Releases'!$F:$F,RESULTADO!$BN9,'MtM Releases'!$D:$D,RESULTADO!CX$3)</f>
        <v>0</v>
      </c>
      <c r="CY13" s="53">
        <f>SUMIFS('MtM Releases'!$H:$H,'MtM Releases'!$G:$G,RESULTADO!$BN13,'MtM Releases'!$F:$F,RESULTADO!$BN9,'MtM Releases'!$D:$D,RESULTADO!CY$3)</f>
        <v>0</v>
      </c>
      <c r="CZ13" s="53">
        <f>SUMIFS('MtM Releases'!$H:$H,'MtM Releases'!$G:$G,RESULTADO!$BN13,'MtM Releases'!$F:$F,RESULTADO!$BN9,'MtM Releases'!$D:$D,RESULTADO!CZ$3)</f>
        <v>0</v>
      </c>
      <c r="DA13" s="53">
        <f>SUMIFS('MtM Releases'!$H:$H,'MtM Releases'!$G:$G,RESULTADO!$BN13,'MtM Releases'!$F:$F,RESULTADO!$BN9,'MtM Releases'!$D:$D,RESULTADO!DA$3)</f>
        <v>0</v>
      </c>
      <c r="DB13" s="53">
        <f>SUMIFS('MtM Releases'!$H:$H,'MtM Releases'!$G:$G,RESULTADO!$BN13,'MtM Releases'!$F:$F,RESULTADO!$BN9,'MtM Releases'!$D:$D,RESULTADO!DB$3)</f>
        <v>0</v>
      </c>
      <c r="DC13" s="53">
        <f>SUMIFS('MtM Releases'!$H:$H,'MtM Releases'!$G:$G,RESULTADO!$BN13,'MtM Releases'!$F:$F,RESULTADO!$BN9,'MtM Releases'!$D:$D,RESULTADO!DC$3)</f>
        <v>0</v>
      </c>
      <c r="DD13" s="53">
        <f>SUMIFS('MtM Releases'!$H:$H,'MtM Releases'!$G:$G,RESULTADO!$BN13,'MtM Releases'!$F:$F,RESULTADO!$BN9,'MtM Releases'!$D:$D,RESULTADO!DD$3)</f>
        <v>0</v>
      </c>
      <c r="DE13" s="53">
        <f>SUMIFS('MtM Releases'!$H:$H,'MtM Releases'!$G:$G,RESULTADO!$BN13,'MtM Releases'!$F:$F,RESULTADO!$BN9,'MtM Releases'!$D:$D,RESULTADO!DE$3)</f>
        <v>0</v>
      </c>
      <c r="DF13" s="53">
        <f>SUMIFS('MtM Releases'!$H:$H,'MtM Releases'!$G:$G,RESULTADO!$BN13,'MtM Releases'!$F:$F,RESULTADO!$BN9,'MtM Releases'!$D:$D,RESULTADO!DF$3)</f>
        <v>0</v>
      </c>
      <c r="DG13" s="53">
        <f>SUMIFS('MtM Releases'!$H:$H,'MtM Releases'!$G:$G,RESULTADO!$BN13,'MtM Releases'!$F:$F,RESULTADO!$BN9,'MtM Releases'!$D:$D,RESULTADO!DG$3)</f>
        <v>0</v>
      </c>
      <c r="DH13" s="53">
        <f>SUMIFS('MtM Releases'!$H:$H,'MtM Releases'!$G:$G,RESULTADO!$BN13,'MtM Releases'!$F:$F,RESULTADO!$BN9,'MtM Releases'!$D:$D,RESULTADO!DH$3)</f>
        <v>0</v>
      </c>
      <c r="DI13" s="53">
        <f>SUMIFS('MtM Releases'!$H:$H,'MtM Releases'!$G:$G,RESULTADO!$BN13,'MtM Releases'!$F:$F,RESULTADO!$BN9,'MtM Releases'!$D:$D,RESULTADO!DI$3)</f>
        <v>0</v>
      </c>
      <c r="DJ13" s="63">
        <f>SUMIFS('MtM Releases'!$H:$H,'MtM Releases'!$G:$G,RESULTADO!$BN13,'MtM Releases'!$F:$F,RESULTADO!$BN9,'MtM Releases'!$D:$D,RESULTADO!DJ$3)</f>
        <v>0</v>
      </c>
      <c r="DK13" s="53">
        <f>SUMIFS('MtM Releases'!$H:$H,'MtM Releases'!$G:$G,RESULTADO!$BN13,'MtM Releases'!$F:$F,RESULTADO!$BN9,'MtM Releases'!$D:$D,RESULTADO!DK$3)</f>
        <v>0</v>
      </c>
      <c r="DL13" s="53">
        <f>SUMIFS('MtM Releases'!$H:$H,'MtM Releases'!$G:$G,RESULTADO!$BN13,'MtM Releases'!$F:$F,RESULTADO!$BN9,'MtM Releases'!$D:$D,RESULTADO!DL$3)</f>
        <v>0</v>
      </c>
      <c r="DM13" s="53">
        <f>SUMIFS('MtM Releases'!$H:$H,'MtM Releases'!$G:$G,RESULTADO!$BN13,'MtM Releases'!$F:$F,RESULTADO!$BN9,'MtM Releases'!$D:$D,RESULTADO!DM$3)</f>
        <v>0</v>
      </c>
      <c r="DN13" s="53">
        <f>SUMIFS('MtM Releases'!$H:$H,'MtM Releases'!$G:$G,RESULTADO!$BN13,'MtM Releases'!$F:$F,RESULTADO!$BN9,'MtM Releases'!$D:$D,RESULTADO!DN$3)</f>
        <v>0</v>
      </c>
      <c r="DO13" s="53">
        <f>SUMIFS('MtM Releases'!$H:$H,'MtM Releases'!$G:$G,RESULTADO!$BN13,'MtM Releases'!$F:$F,RESULTADO!$BN9,'MtM Releases'!$D:$D,RESULTADO!DO$3)</f>
        <v>0</v>
      </c>
      <c r="DP13" s="53">
        <f>SUMIFS('MtM Releases'!$H:$H,'MtM Releases'!$G:$G,RESULTADO!$BN13,'MtM Releases'!$F:$F,RESULTADO!$BN9,'MtM Releases'!$D:$D,RESULTADO!DP$3)</f>
        <v>0</v>
      </c>
      <c r="DQ13" s="53">
        <f>SUMIFS('MtM Releases'!$H:$H,'MtM Releases'!$G:$G,RESULTADO!$BN13,'MtM Releases'!$F:$F,RESULTADO!$BN9,'MtM Releases'!$D:$D,RESULTADO!DQ$3)</f>
        <v>0</v>
      </c>
      <c r="DR13" s="53">
        <f>SUMIFS('MtM Releases'!$H:$H,'MtM Releases'!$G:$G,RESULTADO!$BN13,'MtM Releases'!$F:$F,RESULTADO!$BN9,'MtM Releases'!$D:$D,RESULTADO!DR$3)</f>
        <v>0</v>
      </c>
      <c r="DS13" s="53">
        <f>SUMIFS('MtM Releases'!$H:$H,'MtM Releases'!$G:$G,RESULTADO!$BN13,'MtM Releases'!$F:$F,RESULTADO!$BN9,'MtM Releases'!$D:$D,RESULTADO!DS$3)</f>
        <v>0</v>
      </c>
      <c r="DT13" s="53">
        <f>SUMIFS('MtM Releases'!$H:$H,'MtM Releases'!$G:$G,RESULTADO!$BN13,'MtM Releases'!$F:$F,RESULTADO!$BN9,'MtM Releases'!$D:$D,RESULTADO!DT$3)</f>
        <v>0</v>
      </c>
      <c r="DU13" s="53">
        <f>SUMIFS('MtM Releases'!$H:$H,'MtM Releases'!$G:$G,RESULTADO!$BN13,'MtM Releases'!$F:$F,RESULTADO!$BN9,'MtM Releases'!$D:$D,RESULTADO!DU$3)</f>
        <v>0</v>
      </c>
      <c r="DV13" s="63">
        <f>SUMIFS('MtM Releases'!$H:$H,'MtM Releases'!$G:$G,RESULTADO!$BN13,'MtM Releases'!$F:$F,RESULTADO!$BN9,'MtM Releases'!$D:$D,RESULTADO!DV$3)</f>
        <v>0</v>
      </c>
      <c r="EB13" s="11"/>
    </row>
    <row r="14" spans="2:132" x14ac:dyDescent="0.25">
      <c r="B14" s="56" t="s">
        <v>5</v>
      </c>
      <c r="C14" s="68">
        <f t="shared" ref="C14" si="9">SUM(C15:C18)</f>
        <v>0</v>
      </c>
      <c r="D14" s="68">
        <f t="shared" ref="D14:BJ14" si="10">SUM(D15:D18)</f>
        <v>-84.38</v>
      </c>
      <c r="E14" s="68">
        <f t="shared" si="10"/>
        <v>-67</v>
      </c>
      <c r="F14" s="68">
        <f t="shared" si="10"/>
        <v>-17.5</v>
      </c>
      <c r="G14" s="68">
        <f t="shared" si="10"/>
        <v>0</v>
      </c>
      <c r="H14" s="68">
        <f t="shared" si="10"/>
        <v>108.61138888888888</v>
      </c>
      <c r="I14" s="68">
        <f t="shared" si="10"/>
        <v>139.55699999999999</v>
      </c>
      <c r="J14" s="68">
        <f t="shared" si="10"/>
        <v>36.9</v>
      </c>
      <c r="K14" s="68">
        <f t="shared" si="10"/>
        <v>0</v>
      </c>
      <c r="L14" s="68">
        <f t="shared" si="10"/>
        <v>0</v>
      </c>
      <c r="M14" s="68">
        <f t="shared" si="10"/>
        <v>0</v>
      </c>
      <c r="N14" s="69">
        <f t="shared" si="10"/>
        <v>0</v>
      </c>
      <c r="O14" s="68">
        <f t="shared" si="10"/>
        <v>0</v>
      </c>
      <c r="P14" s="68">
        <f t="shared" si="10"/>
        <v>0</v>
      </c>
      <c r="Q14" s="68">
        <f t="shared" si="10"/>
        <v>0</v>
      </c>
      <c r="R14" s="68">
        <f t="shared" si="10"/>
        <v>0</v>
      </c>
      <c r="S14" s="68">
        <f t="shared" si="10"/>
        <v>0</v>
      </c>
      <c r="T14" s="68">
        <f t="shared" si="10"/>
        <v>0</v>
      </c>
      <c r="U14" s="68">
        <f t="shared" si="10"/>
        <v>0</v>
      </c>
      <c r="V14" s="68">
        <f t="shared" si="10"/>
        <v>0</v>
      </c>
      <c r="W14" s="68">
        <f t="shared" si="10"/>
        <v>0</v>
      </c>
      <c r="X14" s="68">
        <f t="shared" si="10"/>
        <v>0</v>
      </c>
      <c r="Y14" s="68">
        <f t="shared" si="10"/>
        <v>0</v>
      </c>
      <c r="Z14" s="70">
        <f t="shared" si="10"/>
        <v>0</v>
      </c>
      <c r="AA14" s="68">
        <f t="shared" si="10"/>
        <v>-5</v>
      </c>
      <c r="AB14" s="68">
        <f t="shared" si="10"/>
        <v>-5</v>
      </c>
      <c r="AC14" s="68">
        <f t="shared" si="10"/>
        <v>-5</v>
      </c>
      <c r="AD14" s="68">
        <f t="shared" si="10"/>
        <v>-5</v>
      </c>
      <c r="AE14" s="68">
        <f t="shared" si="10"/>
        <v>-5</v>
      </c>
      <c r="AF14" s="68">
        <f t="shared" si="10"/>
        <v>-5</v>
      </c>
      <c r="AG14" s="68">
        <f t="shared" si="10"/>
        <v>-5</v>
      </c>
      <c r="AH14" s="68">
        <f t="shared" si="10"/>
        <v>-5</v>
      </c>
      <c r="AI14" s="68">
        <f t="shared" si="10"/>
        <v>-5</v>
      </c>
      <c r="AJ14" s="68">
        <f t="shared" si="10"/>
        <v>-5</v>
      </c>
      <c r="AK14" s="68">
        <f t="shared" si="10"/>
        <v>-5</v>
      </c>
      <c r="AL14" s="69">
        <f t="shared" si="10"/>
        <v>-5</v>
      </c>
      <c r="AM14" s="68">
        <f t="shared" si="10"/>
        <v>0</v>
      </c>
      <c r="AN14" s="68">
        <f t="shared" si="10"/>
        <v>0</v>
      </c>
      <c r="AO14" s="68">
        <f t="shared" si="10"/>
        <v>0</v>
      </c>
      <c r="AP14" s="68">
        <f t="shared" si="10"/>
        <v>0</v>
      </c>
      <c r="AQ14" s="68">
        <f t="shared" si="10"/>
        <v>0</v>
      </c>
      <c r="AR14" s="68">
        <f t="shared" si="10"/>
        <v>0</v>
      </c>
      <c r="AS14" s="68">
        <f t="shared" si="10"/>
        <v>0</v>
      </c>
      <c r="AT14" s="68">
        <f t="shared" si="10"/>
        <v>0</v>
      </c>
      <c r="AU14" s="68">
        <f t="shared" si="10"/>
        <v>0</v>
      </c>
      <c r="AV14" s="68">
        <f t="shared" si="10"/>
        <v>0</v>
      </c>
      <c r="AW14" s="68">
        <f t="shared" si="10"/>
        <v>0</v>
      </c>
      <c r="AX14" s="70">
        <f t="shared" si="10"/>
        <v>0</v>
      </c>
      <c r="AY14" s="68">
        <f t="shared" si="10"/>
        <v>0</v>
      </c>
      <c r="AZ14" s="68">
        <f t="shared" si="10"/>
        <v>0</v>
      </c>
      <c r="BA14" s="68">
        <f t="shared" si="10"/>
        <v>0</v>
      </c>
      <c r="BB14" s="68">
        <f t="shared" si="10"/>
        <v>0</v>
      </c>
      <c r="BC14" s="68">
        <f t="shared" si="10"/>
        <v>0</v>
      </c>
      <c r="BD14" s="68">
        <f t="shared" si="10"/>
        <v>0</v>
      </c>
      <c r="BE14" s="68">
        <f t="shared" si="10"/>
        <v>0</v>
      </c>
      <c r="BF14" s="68">
        <f t="shared" si="10"/>
        <v>0</v>
      </c>
      <c r="BG14" s="68">
        <f t="shared" si="10"/>
        <v>0</v>
      </c>
      <c r="BH14" s="68">
        <f t="shared" si="10"/>
        <v>0</v>
      </c>
      <c r="BI14" s="68">
        <f t="shared" si="10"/>
        <v>0</v>
      </c>
      <c r="BJ14" s="70">
        <f t="shared" si="10"/>
        <v>0</v>
      </c>
      <c r="BL14" s="120"/>
      <c r="BN14" s="56" t="s">
        <v>5</v>
      </c>
      <c r="BO14" s="68">
        <f t="shared" ref="BO14" si="11">SUM(BO15:BO18)</f>
        <v>0</v>
      </c>
      <c r="BP14" s="68">
        <f t="shared" ref="BP14:DV14" si="12">SUM(BP15:BP18)</f>
        <v>84.38</v>
      </c>
      <c r="BQ14" s="68">
        <f t="shared" si="12"/>
        <v>67</v>
      </c>
      <c r="BR14" s="68">
        <f t="shared" si="12"/>
        <v>17.5</v>
      </c>
      <c r="BS14" s="68">
        <f t="shared" si="12"/>
        <v>0</v>
      </c>
      <c r="BT14" s="68">
        <f t="shared" si="12"/>
        <v>-108.61138888888888</v>
      </c>
      <c r="BU14" s="68">
        <f t="shared" si="12"/>
        <v>-139.55699999999999</v>
      </c>
      <c r="BV14" s="68">
        <f t="shared" si="12"/>
        <v>-26.9</v>
      </c>
      <c r="BW14" s="68">
        <f t="shared" si="12"/>
        <v>0</v>
      </c>
      <c r="BX14" s="68">
        <f t="shared" si="12"/>
        <v>0</v>
      </c>
      <c r="BY14" s="68">
        <f t="shared" si="12"/>
        <v>0</v>
      </c>
      <c r="BZ14" s="69">
        <f t="shared" si="12"/>
        <v>0</v>
      </c>
      <c r="CA14" s="68">
        <f t="shared" si="12"/>
        <v>0</v>
      </c>
      <c r="CB14" s="68">
        <f t="shared" si="12"/>
        <v>0</v>
      </c>
      <c r="CC14" s="68">
        <f t="shared" si="12"/>
        <v>0</v>
      </c>
      <c r="CD14" s="68">
        <f t="shared" si="12"/>
        <v>0</v>
      </c>
      <c r="CE14" s="68">
        <f t="shared" si="12"/>
        <v>0</v>
      </c>
      <c r="CF14" s="68">
        <f t="shared" si="12"/>
        <v>0</v>
      </c>
      <c r="CG14" s="68">
        <f t="shared" si="12"/>
        <v>0</v>
      </c>
      <c r="CH14" s="68">
        <f t="shared" si="12"/>
        <v>0</v>
      </c>
      <c r="CI14" s="68">
        <f t="shared" si="12"/>
        <v>0</v>
      </c>
      <c r="CJ14" s="68">
        <f t="shared" si="12"/>
        <v>0</v>
      </c>
      <c r="CK14" s="68">
        <f t="shared" si="12"/>
        <v>0</v>
      </c>
      <c r="CL14" s="70">
        <f t="shared" si="12"/>
        <v>0</v>
      </c>
      <c r="CM14" s="68">
        <f t="shared" si="12"/>
        <v>0</v>
      </c>
      <c r="CN14" s="68">
        <f t="shared" si="12"/>
        <v>0</v>
      </c>
      <c r="CO14" s="68">
        <f t="shared" si="12"/>
        <v>0</v>
      </c>
      <c r="CP14" s="68">
        <f t="shared" si="12"/>
        <v>0</v>
      </c>
      <c r="CQ14" s="68">
        <f t="shared" si="12"/>
        <v>0</v>
      </c>
      <c r="CR14" s="68">
        <f t="shared" si="12"/>
        <v>0</v>
      </c>
      <c r="CS14" s="68">
        <f t="shared" si="12"/>
        <v>0</v>
      </c>
      <c r="CT14" s="68">
        <f t="shared" si="12"/>
        <v>0</v>
      </c>
      <c r="CU14" s="68">
        <f t="shared" si="12"/>
        <v>0</v>
      </c>
      <c r="CV14" s="68">
        <f t="shared" si="12"/>
        <v>0</v>
      </c>
      <c r="CW14" s="68">
        <f t="shared" si="12"/>
        <v>0</v>
      </c>
      <c r="CX14" s="69">
        <f t="shared" si="12"/>
        <v>0</v>
      </c>
      <c r="CY14" s="68">
        <f t="shared" si="12"/>
        <v>0</v>
      </c>
      <c r="CZ14" s="68">
        <f t="shared" si="12"/>
        <v>0</v>
      </c>
      <c r="DA14" s="68">
        <f t="shared" si="12"/>
        <v>0</v>
      </c>
      <c r="DB14" s="68">
        <f t="shared" si="12"/>
        <v>0</v>
      </c>
      <c r="DC14" s="68">
        <f t="shared" si="12"/>
        <v>0</v>
      </c>
      <c r="DD14" s="68">
        <f t="shared" si="12"/>
        <v>0</v>
      </c>
      <c r="DE14" s="68">
        <f t="shared" si="12"/>
        <v>0</v>
      </c>
      <c r="DF14" s="68">
        <f t="shared" si="12"/>
        <v>0</v>
      </c>
      <c r="DG14" s="68">
        <f t="shared" si="12"/>
        <v>0</v>
      </c>
      <c r="DH14" s="68">
        <f t="shared" si="12"/>
        <v>0</v>
      </c>
      <c r="DI14" s="68">
        <f t="shared" si="12"/>
        <v>0</v>
      </c>
      <c r="DJ14" s="70">
        <f t="shared" si="12"/>
        <v>0</v>
      </c>
      <c r="DK14" s="68">
        <f t="shared" si="12"/>
        <v>0</v>
      </c>
      <c r="DL14" s="68">
        <f t="shared" si="12"/>
        <v>0</v>
      </c>
      <c r="DM14" s="68">
        <f t="shared" si="12"/>
        <v>0</v>
      </c>
      <c r="DN14" s="68">
        <f t="shared" si="12"/>
        <v>0</v>
      </c>
      <c r="DO14" s="68">
        <f t="shared" si="12"/>
        <v>0</v>
      </c>
      <c r="DP14" s="68">
        <f t="shared" si="12"/>
        <v>0</v>
      </c>
      <c r="DQ14" s="68">
        <f t="shared" si="12"/>
        <v>0</v>
      </c>
      <c r="DR14" s="68">
        <f t="shared" si="12"/>
        <v>0</v>
      </c>
      <c r="DS14" s="68">
        <f t="shared" si="12"/>
        <v>0</v>
      </c>
      <c r="DT14" s="68">
        <f t="shared" si="12"/>
        <v>0</v>
      </c>
      <c r="DU14" s="68">
        <f t="shared" si="12"/>
        <v>0</v>
      </c>
      <c r="DV14" s="70">
        <f t="shared" si="12"/>
        <v>0</v>
      </c>
      <c r="EB14" s="11"/>
    </row>
    <row r="15" spans="2:132" x14ac:dyDescent="0.25">
      <c r="B15" s="57" t="s">
        <v>44</v>
      </c>
      <c r="C15" s="53">
        <f>(SUMIFS(MtM!$M:$M,MtM!$I:$I,RESULTADO!$B15,MtM!$H:$H,RESULTADO!$B$14,MtM!$E:$E,RESULTADO!C$3)-SUMIFS(MtM!$N:$N,MtM!$I:$I,RESULTADO!$B15,MtM!$H:$H,RESULTADO!$B$14,MtM!$E:$E,RESULTADO!C$3))</f>
        <v>0</v>
      </c>
      <c r="D15" s="53">
        <f>(SUMIFS(MtM!$M:$M,MtM!$I:$I,RESULTADO!$B15,MtM!$H:$H,RESULTADO!$B$14,MtM!$E:$E,RESULTADO!D$3)-SUMIFS(MtM!$N:$N,MtM!$I:$I,RESULTADO!$B15,MtM!$H:$H,RESULTADO!$B$14,MtM!$E:$E,RESULTADO!D$3))</f>
        <v>-84.38</v>
      </c>
      <c r="E15" s="53">
        <f>(SUMIFS(MtM!$M:$M,MtM!$I:$I,RESULTADO!$B15,MtM!$H:$H,RESULTADO!$B$14,MtM!$E:$E,RESULTADO!E$3)-SUMIFS(MtM!$N:$N,MtM!$I:$I,RESULTADO!$B15,MtM!$H:$H,RESULTADO!$B$14,MtM!$E:$E,RESULTADO!E$3))</f>
        <v>-67</v>
      </c>
      <c r="F15" s="53">
        <f>(SUMIFS(MtM!$M:$M,MtM!$I:$I,RESULTADO!$B15,MtM!$H:$H,RESULTADO!$B$14,MtM!$E:$E,RESULTADO!F$3)-SUMIFS(MtM!$N:$N,MtM!$I:$I,RESULTADO!$B15,MtM!$H:$H,RESULTADO!$B$14,MtM!$E:$E,RESULTADO!F$3))</f>
        <v>-17.5</v>
      </c>
      <c r="G15" s="53">
        <f>(SUMIFS(MtM!$M:$M,MtM!$I:$I,RESULTADO!$B15,MtM!$H:$H,RESULTADO!$B$14,MtM!$E:$E,RESULTADO!G$3)-SUMIFS(MtM!$N:$N,MtM!$I:$I,RESULTADO!$B15,MtM!$H:$H,RESULTADO!$B$14,MtM!$E:$E,RESULTADO!G$3))</f>
        <v>0</v>
      </c>
      <c r="H15" s="53">
        <f>(SUMIFS(MtM!$M:$M,MtM!$I:$I,RESULTADO!$B15,MtM!$H:$H,RESULTADO!$B$14,MtM!$E:$E,RESULTADO!H$3)-SUMIFS(MtM!$N:$N,MtM!$I:$I,RESULTADO!$B15,MtM!$H:$H,RESULTADO!$B$14,MtM!$E:$E,RESULTADO!H$3))</f>
        <v>105.79138888888889</v>
      </c>
      <c r="I15" s="53">
        <f>(SUMIFS(MtM!$M:$M,MtM!$I:$I,RESULTADO!$B15,MtM!$H:$H,RESULTADO!$B$14,MtM!$E:$E,RESULTADO!I$3)-SUMIFS(MtM!$N:$N,MtM!$I:$I,RESULTADO!$B15,MtM!$H:$H,RESULTADO!$B$14,MtM!$E:$E,RESULTADO!I$3))</f>
        <v>119</v>
      </c>
      <c r="J15" s="53">
        <f>(SUMIFS(MtM!$M:$M,MtM!$I:$I,RESULTADO!$B15,MtM!$H:$H,RESULTADO!$B$14,MtM!$E:$E,RESULTADO!J$3)-SUMIFS(MtM!$N:$N,MtM!$I:$I,RESULTADO!$B15,MtM!$H:$H,RESULTADO!$B$14,MtM!$E:$E,RESULTADO!J$3))</f>
        <v>36.9</v>
      </c>
      <c r="K15" s="53">
        <f>(SUMIFS(MtM!$M:$M,MtM!$I:$I,RESULTADO!$B15,MtM!$H:$H,RESULTADO!$B$14,MtM!$E:$E,RESULTADO!K$3)-SUMIFS(MtM!$N:$N,MtM!$I:$I,RESULTADO!$B15,MtM!$H:$H,RESULTADO!$B$14,MtM!$E:$E,RESULTADO!K$3))</f>
        <v>0</v>
      </c>
      <c r="L15" s="53">
        <f>(SUMIFS(MtM!$M:$M,MtM!$I:$I,RESULTADO!$B15,MtM!$H:$H,RESULTADO!$B$14,MtM!$E:$E,RESULTADO!L$3)-SUMIFS(MtM!$N:$N,MtM!$I:$I,RESULTADO!$B15,MtM!$H:$H,RESULTADO!$B$14,MtM!$E:$E,RESULTADO!L$3))</f>
        <v>0</v>
      </c>
      <c r="M15" s="53">
        <f>(SUMIFS(MtM!$M:$M,MtM!$I:$I,RESULTADO!$B15,MtM!$H:$H,RESULTADO!$B$14,MtM!$E:$E,RESULTADO!M$3)-SUMIFS(MtM!$N:$N,MtM!$I:$I,RESULTADO!$B15,MtM!$H:$H,RESULTADO!$B$14,MtM!$E:$E,RESULTADO!M$3))</f>
        <v>0</v>
      </c>
      <c r="N15" s="54">
        <f>(SUMIFS(MtM!$M:$M,MtM!$I:$I,RESULTADO!$B15,MtM!$H:$H,RESULTADO!$B$14,MtM!$E:$E,RESULTADO!N$3)-SUMIFS(MtM!$N:$N,MtM!$I:$I,RESULTADO!$B15,MtM!$H:$H,RESULTADO!$B$14,MtM!$E:$E,RESULTADO!N$3))</f>
        <v>0</v>
      </c>
      <c r="O15" s="53">
        <f>(SUMIFS(MtM!$M:$M,MtM!$I:$I,RESULTADO!$B15,MtM!$H:$H,RESULTADO!$B$14,MtM!$E:$E,RESULTADO!O$3)-SUMIFS(MtM!$N:$N,MtM!$I:$I,RESULTADO!$B15,MtM!$H:$H,RESULTADO!$B$14,MtM!$E:$E,RESULTADO!O$3))</f>
        <v>0</v>
      </c>
      <c r="P15" s="53">
        <f>(SUMIFS(MtM!$M:$M,MtM!$I:$I,RESULTADO!$B15,MtM!$H:$H,RESULTADO!$B$14,MtM!$E:$E,RESULTADO!P$3)-SUMIFS(MtM!$N:$N,MtM!$I:$I,RESULTADO!$B15,MtM!$H:$H,RESULTADO!$B$14,MtM!$E:$E,RESULTADO!P$3))</f>
        <v>0</v>
      </c>
      <c r="Q15" s="53">
        <f>(SUMIFS(MtM!$M:$M,MtM!$I:$I,RESULTADO!$B15,MtM!$H:$H,RESULTADO!$B$14,MtM!$E:$E,RESULTADO!Q$3)-SUMIFS(MtM!$N:$N,MtM!$I:$I,RESULTADO!$B15,MtM!$H:$H,RESULTADO!$B$14,MtM!$E:$E,RESULTADO!Q$3))</f>
        <v>0</v>
      </c>
      <c r="R15" s="53">
        <f>(SUMIFS(MtM!$M:$M,MtM!$I:$I,RESULTADO!$B15,MtM!$H:$H,RESULTADO!$B$14,MtM!$E:$E,RESULTADO!R$3)-SUMIFS(MtM!$N:$N,MtM!$I:$I,RESULTADO!$B15,MtM!$H:$H,RESULTADO!$B$14,MtM!$E:$E,RESULTADO!R$3))</f>
        <v>0</v>
      </c>
      <c r="S15" s="53">
        <f>(SUMIFS(MtM!$M:$M,MtM!$I:$I,RESULTADO!$B15,MtM!$H:$H,RESULTADO!$B$14,MtM!$E:$E,RESULTADO!S$3)-SUMIFS(MtM!$N:$N,MtM!$I:$I,RESULTADO!$B15,MtM!$H:$H,RESULTADO!$B$14,MtM!$E:$E,RESULTADO!S$3))</f>
        <v>0</v>
      </c>
      <c r="T15" s="53">
        <f>(SUMIFS(MtM!$M:$M,MtM!$I:$I,RESULTADO!$B15,MtM!$H:$H,RESULTADO!$B$14,MtM!$E:$E,RESULTADO!T$3)-SUMIFS(MtM!$N:$N,MtM!$I:$I,RESULTADO!$B15,MtM!$H:$H,RESULTADO!$B$14,MtM!$E:$E,RESULTADO!T$3))</f>
        <v>0</v>
      </c>
      <c r="U15" s="53">
        <f>(SUMIFS(MtM!$M:$M,MtM!$I:$I,RESULTADO!$B15,MtM!$H:$H,RESULTADO!$B$14,MtM!$E:$E,RESULTADO!U$3)-SUMIFS(MtM!$N:$N,MtM!$I:$I,RESULTADO!$B15,MtM!$H:$H,RESULTADO!$B$14,MtM!$E:$E,RESULTADO!U$3))</f>
        <v>0</v>
      </c>
      <c r="V15" s="53">
        <f>(SUMIFS(MtM!$M:$M,MtM!$I:$I,RESULTADO!$B15,MtM!$H:$H,RESULTADO!$B$14,MtM!$E:$E,RESULTADO!V$3)-SUMIFS(MtM!$N:$N,MtM!$I:$I,RESULTADO!$B15,MtM!$H:$H,RESULTADO!$B$14,MtM!$E:$E,RESULTADO!V$3))</f>
        <v>0</v>
      </c>
      <c r="W15" s="53">
        <f>(SUMIFS(MtM!$M:$M,MtM!$I:$I,RESULTADO!$B15,MtM!$H:$H,RESULTADO!$B$14,MtM!$E:$E,RESULTADO!W$3)-SUMIFS(MtM!$N:$N,MtM!$I:$I,RESULTADO!$B15,MtM!$H:$H,RESULTADO!$B$14,MtM!$E:$E,RESULTADO!W$3))</f>
        <v>0</v>
      </c>
      <c r="X15" s="53">
        <f>(SUMIFS(MtM!$M:$M,MtM!$I:$I,RESULTADO!$B15,MtM!$H:$H,RESULTADO!$B$14,MtM!$E:$E,RESULTADO!X$3)-SUMIFS(MtM!$N:$N,MtM!$I:$I,RESULTADO!$B15,MtM!$H:$H,RESULTADO!$B$14,MtM!$E:$E,RESULTADO!X$3))</f>
        <v>0</v>
      </c>
      <c r="Y15" s="53">
        <f>(SUMIFS(MtM!$M:$M,MtM!$I:$I,RESULTADO!$B15,MtM!$H:$H,RESULTADO!$B$14,MtM!$E:$E,RESULTADO!Y$3)-SUMIFS(MtM!$N:$N,MtM!$I:$I,RESULTADO!$B15,MtM!$H:$H,RESULTADO!$B$14,MtM!$E:$E,RESULTADO!Y$3))</f>
        <v>0</v>
      </c>
      <c r="Z15" s="63">
        <f>(SUMIFS(MtM!$M:$M,MtM!$I:$I,RESULTADO!$B15,MtM!$H:$H,RESULTADO!$B$14,MtM!$E:$E,RESULTADO!Z$3)-SUMIFS(MtM!$N:$N,MtM!$I:$I,RESULTADO!$B15,MtM!$H:$H,RESULTADO!$B$14,MtM!$E:$E,RESULTADO!Z$3))</f>
        <v>0</v>
      </c>
      <c r="AA15" s="53">
        <f>(SUMIFS(MtM!$M:$M,MtM!$I:$I,RESULTADO!$B15,MtM!$H:$H,RESULTADO!$B$14,MtM!$E:$E,RESULTADO!AA$3)-SUMIFS(MtM!$N:$N,MtM!$I:$I,RESULTADO!$B15,MtM!$H:$H,RESULTADO!$B$14,MtM!$E:$E,RESULTADO!AA$3))</f>
        <v>-5</v>
      </c>
      <c r="AB15" s="53">
        <f>(SUMIFS(MtM!$M:$M,MtM!$I:$I,RESULTADO!$B15,MtM!$H:$H,RESULTADO!$B$14,MtM!$E:$E,RESULTADO!AB$3)-SUMIFS(MtM!$N:$N,MtM!$I:$I,RESULTADO!$B15,MtM!$H:$H,RESULTADO!$B$14,MtM!$E:$E,RESULTADO!AB$3))</f>
        <v>-5</v>
      </c>
      <c r="AC15" s="53">
        <f>(SUMIFS(MtM!$M:$M,MtM!$I:$I,RESULTADO!$B15,MtM!$H:$H,RESULTADO!$B$14,MtM!$E:$E,RESULTADO!AC$3)-SUMIFS(MtM!$N:$N,MtM!$I:$I,RESULTADO!$B15,MtM!$H:$H,RESULTADO!$B$14,MtM!$E:$E,RESULTADO!AC$3))</f>
        <v>-5</v>
      </c>
      <c r="AD15" s="53">
        <f>(SUMIFS(MtM!$M:$M,MtM!$I:$I,RESULTADO!$B15,MtM!$H:$H,RESULTADO!$B$14,MtM!$E:$E,RESULTADO!AD$3)-SUMIFS(MtM!$N:$N,MtM!$I:$I,RESULTADO!$B15,MtM!$H:$H,RESULTADO!$B$14,MtM!$E:$E,RESULTADO!AD$3))</f>
        <v>-5</v>
      </c>
      <c r="AE15" s="53">
        <f>(SUMIFS(MtM!$M:$M,MtM!$I:$I,RESULTADO!$B15,MtM!$H:$H,RESULTADO!$B$14,MtM!$E:$E,RESULTADO!AE$3)-SUMIFS(MtM!$N:$N,MtM!$I:$I,RESULTADO!$B15,MtM!$H:$H,RESULTADO!$B$14,MtM!$E:$E,RESULTADO!AE$3))</f>
        <v>-5</v>
      </c>
      <c r="AF15" s="53">
        <f>(SUMIFS(MtM!$M:$M,MtM!$I:$I,RESULTADO!$B15,MtM!$H:$H,RESULTADO!$B$14,MtM!$E:$E,RESULTADO!AF$3)-SUMIFS(MtM!$N:$N,MtM!$I:$I,RESULTADO!$B15,MtM!$H:$H,RESULTADO!$B$14,MtM!$E:$E,RESULTADO!AF$3))</f>
        <v>-5</v>
      </c>
      <c r="AG15" s="53">
        <f>(SUMIFS(MtM!$M:$M,MtM!$I:$I,RESULTADO!$B15,MtM!$H:$H,RESULTADO!$B$14,MtM!$E:$E,RESULTADO!AG$3)-SUMIFS(MtM!$N:$N,MtM!$I:$I,RESULTADO!$B15,MtM!$H:$H,RESULTADO!$B$14,MtM!$E:$E,RESULTADO!AG$3))</f>
        <v>-5</v>
      </c>
      <c r="AH15" s="53">
        <f>(SUMIFS(MtM!$M:$M,MtM!$I:$I,RESULTADO!$B15,MtM!$H:$H,RESULTADO!$B$14,MtM!$E:$E,RESULTADO!AH$3)-SUMIFS(MtM!$N:$N,MtM!$I:$I,RESULTADO!$B15,MtM!$H:$H,RESULTADO!$B$14,MtM!$E:$E,RESULTADO!AH$3))</f>
        <v>-5</v>
      </c>
      <c r="AI15" s="53">
        <f>(SUMIFS(MtM!$M:$M,MtM!$I:$I,RESULTADO!$B15,MtM!$H:$H,RESULTADO!$B$14,MtM!$E:$E,RESULTADO!AI$3)-SUMIFS(MtM!$N:$N,MtM!$I:$I,RESULTADO!$B15,MtM!$H:$H,RESULTADO!$B$14,MtM!$E:$E,RESULTADO!AI$3))</f>
        <v>-5</v>
      </c>
      <c r="AJ15" s="53">
        <f>(SUMIFS(MtM!$M:$M,MtM!$I:$I,RESULTADO!$B15,MtM!$H:$H,RESULTADO!$B$14,MtM!$E:$E,RESULTADO!AJ$3)-SUMIFS(MtM!$N:$N,MtM!$I:$I,RESULTADO!$B15,MtM!$H:$H,RESULTADO!$B$14,MtM!$E:$E,RESULTADO!AJ$3))</f>
        <v>-5</v>
      </c>
      <c r="AK15" s="53">
        <f>(SUMIFS(MtM!$M:$M,MtM!$I:$I,RESULTADO!$B15,MtM!$H:$H,RESULTADO!$B$14,MtM!$E:$E,RESULTADO!AK$3)-SUMIFS(MtM!$N:$N,MtM!$I:$I,RESULTADO!$B15,MtM!$H:$H,RESULTADO!$B$14,MtM!$E:$E,RESULTADO!AK$3))</f>
        <v>-5</v>
      </c>
      <c r="AL15" s="54">
        <f>(SUMIFS(MtM!$M:$M,MtM!$I:$I,RESULTADO!$B15,MtM!$H:$H,RESULTADO!$B$14,MtM!$E:$E,RESULTADO!AL$3)-SUMIFS(MtM!$N:$N,MtM!$I:$I,RESULTADO!$B15,MtM!$H:$H,RESULTADO!$B$14,MtM!$E:$E,RESULTADO!AL$3))</f>
        <v>-5</v>
      </c>
      <c r="AM15" s="53">
        <f>(SUMIFS(MtM!$M:$M,MtM!$I:$I,RESULTADO!$B15,MtM!$H:$H,RESULTADO!$B$14,MtM!$E:$E,RESULTADO!AM$3)-SUMIFS(MtM!$N:$N,MtM!$I:$I,RESULTADO!$B15,MtM!$H:$H,RESULTADO!$B$14,MtM!$E:$E,RESULTADO!AM$3))</f>
        <v>0</v>
      </c>
      <c r="AN15" s="53">
        <f>(SUMIFS(MtM!$M:$M,MtM!$I:$I,RESULTADO!$B15,MtM!$H:$H,RESULTADO!$B$14,MtM!$E:$E,RESULTADO!AN$3)-SUMIFS(MtM!$N:$N,MtM!$I:$I,RESULTADO!$B15,MtM!$H:$H,RESULTADO!$B$14,MtM!$E:$E,RESULTADO!AN$3))</f>
        <v>0</v>
      </c>
      <c r="AO15" s="53">
        <f>(SUMIFS(MtM!$M:$M,MtM!$I:$I,RESULTADO!$B15,MtM!$H:$H,RESULTADO!$B$14,MtM!$E:$E,RESULTADO!AO$3)-SUMIFS(MtM!$N:$N,MtM!$I:$I,RESULTADO!$B15,MtM!$H:$H,RESULTADO!$B$14,MtM!$E:$E,RESULTADO!AO$3))</f>
        <v>0</v>
      </c>
      <c r="AP15" s="53">
        <f>(SUMIFS(MtM!$M:$M,MtM!$I:$I,RESULTADO!$B15,MtM!$H:$H,RESULTADO!$B$14,MtM!$E:$E,RESULTADO!AP$3)-SUMIFS(MtM!$N:$N,MtM!$I:$I,RESULTADO!$B15,MtM!$H:$H,RESULTADO!$B$14,MtM!$E:$E,RESULTADO!AP$3))</f>
        <v>0</v>
      </c>
      <c r="AQ15" s="53">
        <f>(SUMIFS(MtM!$M:$M,MtM!$I:$I,RESULTADO!$B15,MtM!$H:$H,RESULTADO!$B$14,MtM!$E:$E,RESULTADO!AQ$3)-SUMIFS(MtM!$N:$N,MtM!$I:$I,RESULTADO!$B15,MtM!$H:$H,RESULTADO!$B$14,MtM!$E:$E,RESULTADO!AQ$3))</f>
        <v>0</v>
      </c>
      <c r="AR15" s="53">
        <f>(SUMIFS(MtM!$M:$M,MtM!$I:$I,RESULTADO!$B15,MtM!$H:$H,RESULTADO!$B$14,MtM!$E:$E,RESULTADO!AR$3)-SUMIFS(MtM!$N:$N,MtM!$I:$I,RESULTADO!$B15,MtM!$H:$H,RESULTADO!$B$14,MtM!$E:$E,RESULTADO!AR$3))</f>
        <v>0</v>
      </c>
      <c r="AS15" s="53">
        <f>(SUMIFS(MtM!$M:$M,MtM!$I:$I,RESULTADO!$B15,MtM!$H:$H,RESULTADO!$B$14,MtM!$E:$E,RESULTADO!AS$3)-SUMIFS(MtM!$N:$N,MtM!$I:$I,RESULTADO!$B15,MtM!$H:$H,RESULTADO!$B$14,MtM!$E:$E,RESULTADO!AS$3))</f>
        <v>0</v>
      </c>
      <c r="AT15" s="53">
        <f>(SUMIFS(MtM!$M:$M,MtM!$I:$I,RESULTADO!$B15,MtM!$H:$H,RESULTADO!$B$14,MtM!$E:$E,RESULTADO!AT$3)-SUMIFS(MtM!$N:$N,MtM!$I:$I,RESULTADO!$B15,MtM!$H:$H,RESULTADO!$B$14,MtM!$E:$E,RESULTADO!AT$3))</f>
        <v>0</v>
      </c>
      <c r="AU15" s="53">
        <f>(SUMIFS(MtM!$M:$M,MtM!$I:$I,RESULTADO!$B15,MtM!$H:$H,RESULTADO!$B$14,MtM!$E:$E,RESULTADO!AU$3)-SUMIFS(MtM!$N:$N,MtM!$I:$I,RESULTADO!$B15,MtM!$H:$H,RESULTADO!$B$14,MtM!$E:$E,RESULTADO!AU$3))</f>
        <v>0</v>
      </c>
      <c r="AV15" s="53">
        <f>(SUMIFS(MtM!$M:$M,MtM!$I:$I,RESULTADO!$B15,MtM!$H:$H,RESULTADO!$B$14,MtM!$E:$E,RESULTADO!AV$3)-SUMIFS(MtM!$N:$N,MtM!$I:$I,RESULTADO!$B15,MtM!$H:$H,RESULTADO!$B$14,MtM!$E:$E,RESULTADO!AV$3))</f>
        <v>0</v>
      </c>
      <c r="AW15" s="53">
        <f>(SUMIFS(MtM!$M:$M,MtM!$I:$I,RESULTADO!$B15,MtM!$H:$H,RESULTADO!$B$14,MtM!$E:$E,RESULTADO!AW$3)-SUMIFS(MtM!$N:$N,MtM!$I:$I,RESULTADO!$B15,MtM!$H:$H,RESULTADO!$B$14,MtM!$E:$E,RESULTADO!AW$3))</f>
        <v>0</v>
      </c>
      <c r="AX15" s="63">
        <f>(SUMIFS(MtM!$M:$M,MtM!$I:$I,RESULTADO!$B15,MtM!$H:$H,RESULTADO!$B$14,MtM!$E:$E,RESULTADO!AX$3)-SUMIFS(MtM!$N:$N,MtM!$I:$I,RESULTADO!$B15,MtM!$H:$H,RESULTADO!$B$14,MtM!$E:$E,RESULTADO!AX$3))</f>
        <v>0</v>
      </c>
      <c r="AY15" s="53">
        <f>(SUMIFS(MtM!$M:$M,MtM!$I:$I,RESULTADO!$B15,MtM!$H:$H,RESULTADO!$B$14,MtM!$E:$E,RESULTADO!AY$3)-SUMIFS(MtM!$N:$N,MtM!$I:$I,RESULTADO!$B15,MtM!$H:$H,RESULTADO!$B$14,MtM!$E:$E,RESULTADO!AY$3))</f>
        <v>0</v>
      </c>
      <c r="AZ15" s="53">
        <f>(SUMIFS(MtM!$M:$M,MtM!$I:$I,RESULTADO!$B15,MtM!$H:$H,RESULTADO!$B$14,MtM!$E:$E,RESULTADO!AZ$3)-SUMIFS(MtM!$N:$N,MtM!$I:$I,RESULTADO!$B15,MtM!$H:$H,RESULTADO!$B$14,MtM!$E:$E,RESULTADO!AZ$3))</f>
        <v>0</v>
      </c>
      <c r="BA15" s="53">
        <f>(SUMIFS(MtM!$M:$M,MtM!$I:$I,RESULTADO!$B15,MtM!$H:$H,RESULTADO!$B$14,MtM!$E:$E,RESULTADO!BA$3)-SUMIFS(MtM!$N:$N,MtM!$I:$I,RESULTADO!$B15,MtM!$H:$H,RESULTADO!$B$14,MtM!$E:$E,RESULTADO!BA$3))</f>
        <v>0</v>
      </c>
      <c r="BB15" s="53">
        <f>(SUMIFS(MtM!$M:$M,MtM!$I:$I,RESULTADO!$B15,MtM!$H:$H,RESULTADO!$B$14,MtM!$E:$E,RESULTADO!BB$3)-SUMIFS(MtM!$N:$N,MtM!$I:$I,RESULTADO!$B15,MtM!$H:$H,RESULTADO!$B$14,MtM!$E:$E,RESULTADO!BB$3))</f>
        <v>0</v>
      </c>
      <c r="BC15" s="53">
        <f>(SUMIFS(MtM!$M:$M,MtM!$I:$I,RESULTADO!$B15,MtM!$H:$H,RESULTADO!$B$14,MtM!$E:$E,RESULTADO!BC$3)-SUMIFS(MtM!$N:$N,MtM!$I:$I,RESULTADO!$B15,MtM!$H:$H,RESULTADO!$B$14,MtM!$E:$E,RESULTADO!BC$3))</f>
        <v>0</v>
      </c>
      <c r="BD15" s="53">
        <f>(SUMIFS(MtM!$M:$M,MtM!$I:$I,RESULTADO!$B15,MtM!$H:$H,RESULTADO!$B$14,MtM!$E:$E,RESULTADO!BD$3)-SUMIFS(MtM!$N:$N,MtM!$I:$I,RESULTADO!$B15,MtM!$H:$H,RESULTADO!$B$14,MtM!$E:$E,RESULTADO!BD$3))</f>
        <v>0</v>
      </c>
      <c r="BE15" s="53">
        <f>(SUMIFS(MtM!$M:$M,MtM!$I:$I,RESULTADO!$B15,MtM!$H:$H,RESULTADO!$B$14,MtM!$E:$E,RESULTADO!BE$3)-SUMIFS(MtM!$N:$N,MtM!$I:$I,RESULTADO!$B15,MtM!$H:$H,RESULTADO!$B$14,MtM!$E:$E,RESULTADO!BE$3))</f>
        <v>0</v>
      </c>
      <c r="BF15" s="53">
        <f>(SUMIFS(MtM!$M:$M,MtM!$I:$I,RESULTADO!$B15,MtM!$H:$H,RESULTADO!$B$14,MtM!$E:$E,RESULTADO!BF$3)-SUMIFS(MtM!$N:$N,MtM!$I:$I,RESULTADO!$B15,MtM!$H:$H,RESULTADO!$B$14,MtM!$E:$E,RESULTADO!BF$3))</f>
        <v>0</v>
      </c>
      <c r="BG15" s="53">
        <f>(SUMIFS(MtM!$M:$M,MtM!$I:$I,RESULTADO!$B15,MtM!$H:$H,RESULTADO!$B$14,MtM!$E:$E,RESULTADO!BG$3)-SUMIFS(MtM!$N:$N,MtM!$I:$I,RESULTADO!$B15,MtM!$H:$H,RESULTADO!$B$14,MtM!$E:$E,RESULTADO!BG$3))</f>
        <v>0</v>
      </c>
      <c r="BH15" s="53">
        <f>(SUMIFS(MtM!$M:$M,MtM!$I:$I,RESULTADO!$B15,MtM!$H:$H,RESULTADO!$B$14,MtM!$E:$E,RESULTADO!BH$3)-SUMIFS(MtM!$N:$N,MtM!$I:$I,RESULTADO!$B15,MtM!$H:$H,RESULTADO!$B$14,MtM!$E:$E,RESULTADO!BH$3))</f>
        <v>0</v>
      </c>
      <c r="BI15" s="53">
        <f>(SUMIFS(MtM!$M:$M,MtM!$I:$I,RESULTADO!$B15,MtM!$H:$H,RESULTADO!$B$14,MtM!$E:$E,RESULTADO!BI$3)-SUMIFS(MtM!$N:$N,MtM!$I:$I,RESULTADO!$B15,MtM!$H:$H,RESULTADO!$B$14,MtM!$E:$E,RESULTADO!BI$3))</f>
        <v>0</v>
      </c>
      <c r="BJ15" s="63">
        <f>(SUMIFS(MtM!$M:$M,MtM!$I:$I,RESULTADO!$B15,MtM!$H:$H,RESULTADO!$B$14,MtM!$E:$E,RESULTADO!BJ$3)-SUMIFS(MtM!$N:$N,MtM!$I:$I,RESULTADO!$B15,MtM!$H:$H,RESULTADO!$B$14,MtM!$E:$E,RESULTADO!BJ$3))</f>
        <v>0</v>
      </c>
      <c r="BL15" s="120"/>
      <c r="BN15" s="57" t="s">
        <v>44</v>
      </c>
      <c r="BO15" s="53">
        <f>SUMIFS('MtM Releases'!$H:$H,'MtM Releases'!$G:$G,RESULTADO!$BN15,'MtM Releases'!$F:$F,RESULTADO!$BN14,'MtM Releases'!$D:$D,RESULTADO!BO$3)</f>
        <v>0</v>
      </c>
      <c r="BP15" s="53">
        <f>SUMIFS('MtM Releases'!$H:$H,'MtM Releases'!$G:$G,RESULTADO!$BN15,'MtM Releases'!$F:$F,RESULTADO!$BN14,'MtM Releases'!$D:$D,RESULTADO!BP$3)</f>
        <v>84.38</v>
      </c>
      <c r="BQ15" s="53">
        <f>SUMIFS('MtM Releases'!$H:$H,'MtM Releases'!$G:$G,RESULTADO!$BN15,'MtM Releases'!$F:$F,RESULTADO!$BN14,'MtM Releases'!$D:$D,RESULTADO!BQ$3)</f>
        <v>67</v>
      </c>
      <c r="BR15" s="53">
        <f>SUMIFS('MtM Releases'!$H:$H,'MtM Releases'!$G:$G,RESULTADO!$BN15,'MtM Releases'!$F:$F,RESULTADO!$BN14,'MtM Releases'!$D:$D,RESULTADO!BR$3)</f>
        <v>17.5</v>
      </c>
      <c r="BS15" s="53">
        <f>SUMIFS('MtM Releases'!$H:$H,'MtM Releases'!$G:$G,RESULTADO!$BN15,'MtM Releases'!$F:$F,RESULTADO!$BN14,'MtM Releases'!$D:$D,RESULTADO!BS$3)</f>
        <v>0</v>
      </c>
      <c r="BT15" s="53">
        <f>SUMIFS('MtM Releases'!$H:$H,'MtM Releases'!$G:$G,RESULTADO!$BN15,'MtM Releases'!$F:$F,RESULTADO!$BN14,'MtM Releases'!$D:$D,RESULTADO!BT$3)</f>
        <v>-105.79138888888889</v>
      </c>
      <c r="BU15" s="53">
        <f>SUMIFS('MtM Releases'!$H:$H,'MtM Releases'!$G:$G,RESULTADO!$BN15,'MtM Releases'!$F:$F,RESULTADO!$BN14,'MtM Releases'!$D:$D,RESULTADO!BU$3)</f>
        <v>-119</v>
      </c>
      <c r="BV15" s="53">
        <f>SUMIFS('MtM Releases'!$H:$H,'MtM Releases'!$G:$G,RESULTADO!$BN15,'MtM Releases'!$F:$F,RESULTADO!$BN14,'MtM Releases'!$D:$D,RESULTADO!BV$3)</f>
        <v>-26.9</v>
      </c>
      <c r="BW15" s="53">
        <f>SUMIFS('MtM Releases'!$H:$H,'MtM Releases'!$G:$G,RESULTADO!$BN15,'MtM Releases'!$F:$F,RESULTADO!$BN14,'MtM Releases'!$D:$D,RESULTADO!BW$3)</f>
        <v>0</v>
      </c>
      <c r="BX15" s="53">
        <f>SUMIFS('MtM Releases'!$H:$H,'MtM Releases'!$G:$G,RESULTADO!$BN15,'MtM Releases'!$F:$F,RESULTADO!$BN14,'MtM Releases'!$D:$D,RESULTADO!BX$3)</f>
        <v>0</v>
      </c>
      <c r="BY15" s="53">
        <f>SUMIFS('MtM Releases'!$H:$H,'MtM Releases'!$G:$G,RESULTADO!$BN15,'MtM Releases'!$F:$F,RESULTADO!$BN14,'MtM Releases'!$D:$D,RESULTADO!BY$3)</f>
        <v>0</v>
      </c>
      <c r="BZ15" s="54">
        <f>SUMIFS('MtM Releases'!$H:$H,'MtM Releases'!$G:$G,RESULTADO!$BN15,'MtM Releases'!$F:$F,RESULTADO!$BN14,'MtM Releases'!$D:$D,RESULTADO!BZ$3)</f>
        <v>0</v>
      </c>
      <c r="CA15" s="53">
        <f>SUMIFS('MtM Releases'!$H:$H,'MtM Releases'!$G:$G,RESULTADO!$BN15,'MtM Releases'!$F:$F,RESULTADO!$BN14,'MtM Releases'!$D:$D,RESULTADO!CA$3)</f>
        <v>0</v>
      </c>
      <c r="CB15" s="53">
        <f>SUMIFS('MtM Releases'!$H:$H,'MtM Releases'!$G:$G,RESULTADO!$BN15,'MtM Releases'!$F:$F,RESULTADO!$BN14,'MtM Releases'!$D:$D,RESULTADO!CB$3)</f>
        <v>0</v>
      </c>
      <c r="CC15" s="53">
        <f>SUMIFS('MtM Releases'!$H:$H,'MtM Releases'!$G:$G,RESULTADO!$BN15,'MtM Releases'!$F:$F,RESULTADO!$BN14,'MtM Releases'!$D:$D,RESULTADO!CC$3)</f>
        <v>0</v>
      </c>
      <c r="CD15" s="53">
        <f>SUMIFS('MtM Releases'!$H:$H,'MtM Releases'!$G:$G,RESULTADO!$BN15,'MtM Releases'!$F:$F,RESULTADO!$BN14,'MtM Releases'!$D:$D,RESULTADO!CD$3)</f>
        <v>0</v>
      </c>
      <c r="CE15" s="53">
        <f>SUMIFS('MtM Releases'!$H:$H,'MtM Releases'!$G:$G,RESULTADO!$BN15,'MtM Releases'!$F:$F,RESULTADO!$BN14,'MtM Releases'!$D:$D,RESULTADO!CE$3)</f>
        <v>0</v>
      </c>
      <c r="CF15" s="53">
        <f>SUMIFS('MtM Releases'!$H:$H,'MtM Releases'!$G:$G,RESULTADO!$BN15,'MtM Releases'!$F:$F,RESULTADO!$BN14,'MtM Releases'!$D:$D,RESULTADO!CF$3)</f>
        <v>0</v>
      </c>
      <c r="CG15" s="53">
        <f>SUMIFS('MtM Releases'!$H:$H,'MtM Releases'!$G:$G,RESULTADO!$BN15,'MtM Releases'!$F:$F,RESULTADO!$BN14,'MtM Releases'!$D:$D,RESULTADO!CG$3)</f>
        <v>0</v>
      </c>
      <c r="CH15" s="53">
        <f>SUMIFS('MtM Releases'!$H:$H,'MtM Releases'!$G:$G,RESULTADO!$BN15,'MtM Releases'!$F:$F,RESULTADO!$BN14,'MtM Releases'!$D:$D,RESULTADO!CH$3)</f>
        <v>0</v>
      </c>
      <c r="CI15" s="53">
        <f>SUMIFS('MtM Releases'!$H:$H,'MtM Releases'!$G:$G,RESULTADO!$BN15,'MtM Releases'!$F:$F,RESULTADO!$BN14,'MtM Releases'!$D:$D,RESULTADO!CI$3)</f>
        <v>0</v>
      </c>
      <c r="CJ15" s="53">
        <f>SUMIFS('MtM Releases'!$H:$H,'MtM Releases'!$G:$G,RESULTADO!$BN15,'MtM Releases'!$F:$F,RESULTADO!$BN14,'MtM Releases'!$D:$D,RESULTADO!CJ$3)</f>
        <v>0</v>
      </c>
      <c r="CK15" s="53">
        <f>SUMIFS('MtM Releases'!$H:$H,'MtM Releases'!$G:$G,RESULTADO!$BN15,'MtM Releases'!$F:$F,RESULTADO!$BN14,'MtM Releases'!$D:$D,RESULTADO!CK$3)</f>
        <v>0</v>
      </c>
      <c r="CL15" s="63">
        <f>SUMIFS('MtM Releases'!$H:$H,'MtM Releases'!$G:$G,RESULTADO!$BN15,'MtM Releases'!$F:$F,RESULTADO!$BN14,'MtM Releases'!$D:$D,RESULTADO!CL$3)</f>
        <v>0</v>
      </c>
      <c r="CM15" s="53">
        <f>SUMIFS('MtM Releases'!$H:$H,'MtM Releases'!$G:$G,RESULTADO!$BN15,'MtM Releases'!$F:$F,RESULTADO!$BN14,'MtM Releases'!$D:$D,RESULTADO!CM$3)</f>
        <v>0</v>
      </c>
      <c r="CN15" s="53">
        <f>SUMIFS('MtM Releases'!$H:$H,'MtM Releases'!$G:$G,RESULTADO!$BN15,'MtM Releases'!$F:$F,RESULTADO!$BN14,'MtM Releases'!$D:$D,RESULTADO!CN$3)</f>
        <v>0</v>
      </c>
      <c r="CO15" s="53">
        <f>SUMIFS('MtM Releases'!$H:$H,'MtM Releases'!$G:$G,RESULTADO!$BN15,'MtM Releases'!$F:$F,RESULTADO!$BN14,'MtM Releases'!$D:$D,RESULTADO!CO$3)</f>
        <v>0</v>
      </c>
      <c r="CP15" s="53">
        <f>SUMIFS('MtM Releases'!$H:$H,'MtM Releases'!$G:$G,RESULTADO!$BN15,'MtM Releases'!$F:$F,RESULTADO!$BN14,'MtM Releases'!$D:$D,RESULTADO!CP$3)</f>
        <v>0</v>
      </c>
      <c r="CQ15" s="53">
        <f>SUMIFS('MtM Releases'!$H:$H,'MtM Releases'!$G:$G,RESULTADO!$BN15,'MtM Releases'!$F:$F,RESULTADO!$BN14,'MtM Releases'!$D:$D,RESULTADO!CQ$3)</f>
        <v>0</v>
      </c>
      <c r="CR15" s="53">
        <f>SUMIFS('MtM Releases'!$H:$H,'MtM Releases'!$G:$G,RESULTADO!$BN15,'MtM Releases'!$F:$F,RESULTADO!$BN14,'MtM Releases'!$D:$D,RESULTADO!CR$3)</f>
        <v>0</v>
      </c>
      <c r="CS15" s="53">
        <f>SUMIFS('MtM Releases'!$H:$H,'MtM Releases'!$G:$G,RESULTADO!$BN15,'MtM Releases'!$F:$F,RESULTADO!$BN14,'MtM Releases'!$D:$D,RESULTADO!CS$3)</f>
        <v>0</v>
      </c>
      <c r="CT15" s="53">
        <f>SUMIFS('MtM Releases'!$H:$H,'MtM Releases'!$G:$G,RESULTADO!$BN15,'MtM Releases'!$F:$F,RESULTADO!$BN14,'MtM Releases'!$D:$D,RESULTADO!CT$3)</f>
        <v>0</v>
      </c>
      <c r="CU15" s="53">
        <f>SUMIFS('MtM Releases'!$H:$H,'MtM Releases'!$G:$G,RESULTADO!$BN15,'MtM Releases'!$F:$F,RESULTADO!$BN14,'MtM Releases'!$D:$D,RESULTADO!CU$3)</f>
        <v>0</v>
      </c>
      <c r="CV15" s="53">
        <f>SUMIFS('MtM Releases'!$H:$H,'MtM Releases'!$G:$G,RESULTADO!$BN15,'MtM Releases'!$F:$F,RESULTADO!$BN14,'MtM Releases'!$D:$D,RESULTADO!CV$3)</f>
        <v>0</v>
      </c>
      <c r="CW15" s="53">
        <f>SUMIFS('MtM Releases'!$H:$H,'MtM Releases'!$G:$G,RESULTADO!$BN15,'MtM Releases'!$F:$F,RESULTADO!$BN14,'MtM Releases'!$D:$D,RESULTADO!CW$3)</f>
        <v>0</v>
      </c>
      <c r="CX15" s="54">
        <f>SUMIFS('MtM Releases'!$H:$H,'MtM Releases'!$G:$G,RESULTADO!$BN15,'MtM Releases'!$F:$F,RESULTADO!$BN14,'MtM Releases'!$D:$D,RESULTADO!CX$3)</f>
        <v>0</v>
      </c>
      <c r="CY15" s="53">
        <f>SUMIFS('MtM Releases'!$H:$H,'MtM Releases'!$G:$G,RESULTADO!$BN15,'MtM Releases'!$F:$F,RESULTADO!$BN14,'MtM Releases'!$D:$D,RESULTADO!CY$3)</f>
        <v>0</v>
      </c>
      <c r="CZ15" s="53">
        <f>SUMIFS('MtM Releases'!$H:$H,'MtM Releases'!$G:$G,RESULTADO!$BN15,'MtM Releases'!$F:$F,RESULTADO!$BN14,'MtM Releases'!$D:$D,RESULTADO!CZ$3)</f>
        <v>0</v>
      </c>
      <c r="DA15" s="53">
        <f>SUMIFS('MtM Releases'!$H:$H,'MtM Releases'!$G:$G,RESULTADO!$BN15,'MtM Releases'!$F:$F,RESULTADO!$BN14,'MtM Releases'!$D:$D,RESULTADO!DA$3)</f>
        <v>0</v>
      </c>
      <c r="DB15" s="53">
        <f>SUMIFS('MtM Releases'!$H:$H,'MtM Releases'!$G:$G,RESULTADO!$BN15,'MtM Releases'!$F:$F,RESULTADO!$BN14,'MtM Releases'!$D:$D,RESULTADO!DB$3)</f>
        <v>0</v>
      </c>
      <c r="DC15" s="53">
        <f>SUMIFS('MtM Releases'!$H:$H,'MtM Releases'!$G:$G,RESULTADO!$BN15,'MtM Releases'!$F:$F,RESULTADO!$BN14,'MtM Releases'!$D:$D,RESULTADO!DC$3)</f>
        <v>0</v>
      </c>
      <c r="DD15" s="53">
        <f>SUMIFS('MtM Releases'!$H:$H,'MtM Releases'!$G:$G,RESULTADO!$BN15,'MtM Releases'!$F:$F,RESULTADO!$BN14,'MtM Releases'!$D:$D,RESULTADO!DD$3)</f>
        <v>0</v>
      </c>
      <c r="DE15" s="53">
        <f>SUMIFS('MtM Releases'!$H:$H,'MtM Releases'!$G:$G,RESULTADO!$BN15,'MtM Releases'!$F:$F,RESULTADO!$BN14,'MtM Releases'!$D:$D,RESULTADO!DE$3)</f>
        <v>0</v>
      </c>
      <c r="DF15" s="53">
        <f>SUMIFS('MtM Releases'!$H:$H,'MtM Releases'!$G:$G,RESULTADO!$BN15,'MtM Releases'!$F:$F,RESULTADO!$BN14,'MtM Releases'!$D:$D,RESULTADO!DF$3)</f>
        <v>0</v>
      </c>
      <c r="DG15" s="53">
        <f>SUMIFS('MtM Releases'!$H:$H,'MtM Releases'!$G:$G,RESULTADO!$BN15,'MtM Releases'!$F:$F,RESULTADO!$BN14,'MtM Releases'!$D:$D,RESULTADO!DG$3)</f>
        <v>0</v>
      </c>
      <c r="DH15" s="53">
        <f>SUMIFS('MtM Releases'!$H:$H,'MtM Releases'!$G:$G,RESULTADO!$BN15,'MtM Releases'!$F:$F,RESULTADO!$BN14,'MtM Releases'!$D:$D,RESULTADO!DH$3)</f>
        <v>0</v>
      </c>
      <c r="DI15" s="53">
        <f>SUMIFS('MtM Releases'!$H:$H,'MtM Releases'!$G:$G,RESULTADO!$BN15,'MtM Releases'!$F:$F,RESULTADO!$BN14,'MtM Releases'!$D:$D,RESULTADO!DI$3)</f>
        <v>0</v>
      </c>
      <c r="DJ15" s="63">
        <f>SUMIFS('MtM Releases'!$H:$H,'MtM Releases'!$G:$G,RESULTADO!$BN15,'MtM Releases'!$F:$F,RESULTADO!$BN14,'MtM Releases'!$D:$D,RESULTADO!DJ$3)</f>
        <v>0</v>
      </c>
      <c r="DK15" s="53">
        <f>SUMIFS('MtM Releases'!$H:$H,'MtM Releases'!$G:$G,RESULTADO!$BN15,'MtM Releases'!$F:$F,RESULTADO!$BN14,'MtM Releases'!$D:$D,RESULTADO!DK$3)</f>
        <v>0</v>
      </c>
      <c r="DL15" s="53">
        <f>SUMIFS('MtM Releases'!$H:$H,'MtM Releases'!$G:$G,RESULTADO!$BN15,'MtM Releases'!$F:$F,RESULTADO!$BN14,'MtM Releases'!$D:$D,RESULTADO!DL$3)</f>
        <v>0</v>
      </c>
      <c r="DM15" s="53">
        <f>SUMIFS('MtM Releases'!$H:$H,'MtM Releases'!$G:$G,RESULTADO!$BN15,'MtM Releases'!$F:$F,RESULTADO!$BN14,'MtM Releases'!$D:$D,RESULTADO!DM$3)</f>
        <v>0</v>
      </c>
      <c r="DN15" s="53">
        <f>SUMIFS('MtM Releases'!$H:$H,'MtM Releases'!$G:$G,RESULTADO!$BN15,'MtM Releases'!$F:$F,RESULTADO!$BN14,'MtM Releases'!$D:$D,RESULTADO!DN$3)</f>
        <v>0</v>
      </c>
      <c r="DO15" s="53">
        <f>SUMIFS('MtM Releases'!$H:$H,'MtM Releases'!$G:$G,RESULTADO!$BN15,'MtM Releases'!$F:$F,RESULTADO!$BN14,'MtM Releases'!$D:$D,RESULTADO!DO$3)</f>
        <v>0</v>
      </c>
      <c r="DP15" s="53">
        <f>SUMIFS('MtM Releases'!$H:$H,'MtM Releases'!$G:$G,RESULTADO!$BN15,'MtM Releases'!$F:$F,RESULTADO!$BN14,'MtM Releases'!$D:$D,RESULTADO!DP$3)</f>
        <v>0</v>
      </c>
      <c r="DQ15" s="53">
        <f>SUMIFS('MtM Releases'!$H:$H,'MtM Releases'!$G:$G,RESULTADO!$BN15,'MtM Releases'!$F:$F,RESULTADO!$BN14,'MtM Releases'!$D:$D,RESULTADO!DQ$3)</f>
        <v>0</v>
      </c>
      <c r="DR15" s="53">
        <f>SUMIFS('MtM Releases'!$H:$H,'MtM Releases'!$G:$G,RESULTADO!$BN15,'MtM Releases'!$F:$F,RESULTADO!$BN14,'MtM Releases'!$D:$D,RESULTADO!DR$3)</f>
        <v>0</v>
      </c>
      <c r="DS15" s="53">
        <f>SUMIFS('MtM Releases'!$H:$H,'MtM Releases'!$G:$G,RESULTADO!$BN15,'MtM Releases'!$F:$F,RESULTADO!$BN14,'MtM Releases'!$D:$D,RESULTADO!DS$3)</f>
        <v>0</v>
      </c>
      <c r="DT15" s="53">
        <f>SUMIFS('MtM Releases'!$H:$H,'MtM Releases'!$G:$G,RESULTADO!$BN15,'MtM Releases'!$F:$F,RESULTADO!$BN14,'MtM Releases'!$D:$D,RESULTADO!DT$3)</f>
        <v>0</v>
      </c>
      <c r="DU15" s="53">
        <f>SUMIFS('MtM Releases'!$H:$H,'MtM Releases'!$G:$G,RESULTADO!$BN15,'MtM Releases'!$F:$F,RESULTADO!$BN14,'MtM Releases'!$D:$D,RESULTADO!DU$3)</f>
        <v>0</v>
      </c>
      <c r="DV15" s="63">
        <f>SUMIFS('MtM Releases'!$H:$H,'MtM Releases'!$G:$G,RESULTADO!$BN15,'MtM Releases'!$F:$F,RESULTADO!$BN14,'MtM Releases'!$D:$D,RESULTADO!DV$3)</f>
        <v>0</v>
      </c>
      <c r="EB15" s="11"/>
    </row>
    <row r="16" spans="2:132" x14ac:dyDescent="0.25">
      <c r="B16" s="57" t="s">
        <v>12</v>
      </c>
      <c r="C16" s="53">
        <f>(SUMIFS(MtM!$M:$M,MtM!$I:$I,RESULTADO!$B16,MtM!$H:$H,RESULTADO!$B$14,MtM!$E:$E,RESULTADO!C$3)-SUMIFS(MtM!$N:$N,MtM!$I:$I,RESULTADO!$B16,MtM!$H:$H,RESULTADO!$B$14,MtM!$E:$E,RESULTADO!C$3))</f>
        <v>0</v>
      </c>
      <c r="D16" s="53">
        <f>(SUMIFS(MtM!$M:$M,MtM!$I:$I,RESULTADO!$B16,MtM!$H:$H,RESULTADO!$B$14,MtM!$E:$E,RESULTADO!D$3)-SUMIFS(MtM!$N:$N,MtM!$I:$I,RESULTADO!$B16,MtM!$H:$H,RESULTADO!$B$14,MtM!$E:$E,RESULTADO!D$3))</f>
        <v>0</v>
      </c>
      <c r="E16" s="53">
        <f>(SUMIFS(MtM!$M:$M,MtM!$I:$I,RESULTADO!$B16,MtM!$H:$H,RESULTADO!$B$14,MtM!$E:$E,RESULTADO!E$3)-SUMIFS(MtM!$N:$N,MtM!$I:$I,RESULTADO!$B16,MtM!$H:$H,RESULTADO!$B$14,MtM!$E:$E,RESULTADO!E$3))</f>
        <v>0</v>
      </c>
      <c r="F16" s="53">
        <f>(SUMIFS(MtM!$M:$M,MtM!$I:$I,RESULTADO!$B16,MtM!$H:$H,RESULTADO!$B$14,MtM!$E:$E,RESULTADO!F$3)-SUMIFS(MtM!$N:$N,MtM!$I:$I,RESULTADO!$B16,MtM!$H:$H,RESULTADO!$B$14,MtM!$E:$E,RESULTADO!F$3))</f>
        <v>0</v>
      </c>
      <c r="G16" s="53">
        <f>(SUMIFS(MtM!$M:$M,MtM!$I:$I,RESULTADO!$B16,MtM!$H:$H,RESULTADO!$B$14,MtM!$E:$E,RESULTADO!G$3)-SUMIFS(MtM!$N:$N,MtM!$I:$I,RESULTADO!$B16,MtM!$H:$H,RESULTADO!$B$14,MtM!$E:$E,RESULTADO!G$3))</f>
        <v>0</v>
      </c>
      <c r="H16" s="53">
        <f>(SUMIFS(MtM!$M:$M,MtM!$I:$I,RESULTADO!$B16,MtM!$H:$H,RESULTADO!$B$14,MtM!$E:$E,RESULTADO!H$3)-SUMIFS(MtM!$N:$N,MtM!$I:$I,RESULTADO!$B16,MtM!$H:$H,RESULTADO!$B$14,MtM!$E:$E,RESULTADO!H$3))</f>
        <v>0</v>
      </c>
      <c r="I16" s="53">
        <f>(SUMIFS(MtM!$M:$M,MtM!$I:$I,RESULTADO!$B16,MtM!$H:$H,RESULTADO!$B$14,MtM!$E:$E,RESULTADO!I$3)-SUMIFS(MtM!$N:$N,MtM!$I:$I,RESULTADO!$B16,MtM!$H:$H,RESULTADO!$B$14,MtM!$E:$E,RESULTADO!I$3))</f>
        <v>20</v>
      </c>
      <c r="J16" s="53">
        <f>(SUMIFS(MtM!$M:$M,MtM!$I:$I,RESULTADO!$B16,MtM!$H:$H,RESULTADO!$B$14,MtM!$E:$E,RESULTADO!J$3)-SUMIFS(MtM!$N:$N,MtM!$I:$I,RESULTADO!$B16,MtM!$H:$H,RESULTADO!$B$14,MtM!$E:$E,RESULTADO!J$3))</f>
        <v>0</v>
      </c>
      <c r="K16" s="53">
        <f>(SUMIFS(MtM!$M:$M,MtM!$I:$I,RESULTADO!$B16,MtM!$H:$H,RESULTADO!$B$14,MtM!$E:$E,RESULTADO!K$3)-SUMIFS(MtM!$N:$N,MtM!$I:$I,RESULTADO!$B16,MtM!$H:$H,RESULTADO!$B$14,MtM!$E:$E,RESULTADO!K$3))</f>
        <v>0</v>
      </c>
      <c r="L16" s="53">
        <f>(SUMIFS(MtM!$M:$M,MtM!$I:$I,RESULTADO!$B16,MtM!$H:$H,RESULTADO!$B$14,MtM!$E:$E,RESULTADO!L$3)-SUMIFS(MtM!$N:$N,MtM!$I:$I,RESULTADO!$B16,MtM!$H:$H,RESULTADO!$B$14,MtM!$E:$E,RESULTADO!L$3))</f>
        <v>0</v>
      </c>
      <c r="M16" s="53">
        <f>(SUMIFS(MtM!$M:$M,MtM!$I:$I,RESULTADO!$B16,MtM!$H:$H,RESULTADO!$B$14,MtM!$E:$E,RESULTADO!M$3)-SUMIFS(MtM!$N:$N,MtM!$I:$I,RESULTADO!$B16,MtM!$H:$H,RESULTADO!$B$14,MtM!$E:$E,RESULTADO!M$3))</f>
        <v>0</v>
      </c>
      <c r="N16" s="54">
        <f>(SUMIFS(MtM!$M:$M,MtM!$I:$I,RESULTADO!$B16,MtM!$H:$H,RESULTADO!$B$14,MtM!$E:$E,RESULTADO!N$3)-SUMIFS(MtM!$N:$N,MtM!$I:$I,RESULTADO!$B16,MtM!$H:$H,RESULTADO!$B$14,MtM!$E:$E,RESULTADO!N$3))</f>
        <v>0</v>
      </c>
      <c r="O16" s="53">
        <f>(SUMIFS(MtM!$M:$M,MtM!$I:$I,RESULTADO!$B16,MtM!$H:$H,RESULTADO!$B$14,MtM!$E:$E,RESULTADO!O$3)-SUMIFS(MtM!$N:$N,MtM!$I:$I,RESULTADO!$B16,MtM!$H:$H,RESULTADO!$B$14,MtM!$E:$E,RESULTADO!O$3))</f>
        <v>0</v>
      </c>
      <c r="P16" s="53">
        <f>(SUMIFS(MtM!$M:$M,MtM!$I:$I,RESULTADO!$B16,MtM!$H:$H,RESULTADO!$B$14,MtM!$E:$E,RESULTADO!P$3)-SUMIFS(MtM!$N:$N,MtM!$I:$I,RESULTADO!$B16,MtM!$H:$H,RESULTADO!$B$14,MtM!$E:$E,RESULTADO!P$3))</f>
        <v>0</v>
      </c>
      <c r="Q16" s="53">
        <f>(SUMIFS(MtM!$M:$M,MtM!$I:$I,RESULTADO!$B16,MtM!$H:$H,RESULTADO!$B$14,MtM!$E:$E,RESULTADO!Q$3)-SUMIFS(MtM!$N:$N,MtM!$I:$I,RESULTADO!$B16,MtM!$H:$H,RESULTADO!$B$14,MtM!$E:$E,RESULTADO!Q$3))</f>
        <v>0</v>
      </c>
      <c r="R16" s="53">
        <f>(SUMIFS(MtM!$M:$M,MtM!$I:$I,RESULTADO!$B16,MtM!$H:$H,RESULTADO!$B$14,MtM!$E:$E,RESULTADO!R$3)-SUMIFS(MtM!$N:$N,MtM!$I:$I,RESULTADO!$B16,MtM!$H:$H,RESULTADO!$B$14,MtM!$E:$E,RESULTADO!R$3))</f>
        <v>0</v>
      </c>
      <c r="S16" s="53">
        <f>(SUMIFS(MtM!$M:$M,MtM!$I:$I,RESULTADO!$B16,MtM!$H:$H,RESULTADO!$B$14,MtM!$E:$E,RESULTADO!S$3)-SUMIFS(MtM!$N:$N,MtM!$I:$I,RESULTADO!$B16,MtM!$H:$H,RESULTADO!$B$14,MtM!$E:$E,RESULTADO!S$3))</f>
        <v>0</v>
      </c>
      <c r="T16" s="53">
        <f>(SUMIFS(MtM!$M:$M,MtM!$I:$I,RESULTADO!$B16,MtM!$H:$H,RESULTADO!$B$14,MtM!$E:$E,RESULTADO!T$3)-SUMIFS(MtM!$N:$N,MtM!$I:$I,RESULTADO!$B16,MtM!$H:$H,RESULTADO!$B$14,MtM!$E:$E,RESULTADO!T$3))</f>
        <v>0</v>
      </c>
      <c r="U16" s="53">
        <f>(SUMIFS(MtM!$M:$M,MtM!$I:$I,RESULTADO!$B16,MtM!$H:$H,RESULTADO!$B$14,MtM!$E:$E,RESULTADO!U$3)-SUMIFS(MtM!$N:$N,MtM!$I:$I,RESULTADO!$B16,MtM!$H:$H,RESULTADO!$B$14,MtM!$E:$E,RESULTADO!U$3))</f>
        <v>0</v>
      </c>
      <c r="V16" s="53">
        <f>(SUMIFS(MtM!$M:$M,MtM!$I:$I,RESULTADO!$B16,MtM!$H:$H,RESULTADO!$B$14,MtM!$E:$E,RESULTADO!V$3)-SUMIFS(MtM!$N:$N,MtM!$I:$I,RESULTADO!$B16,MtM!$H:$H,RESULTADO!$B$14,MtM!$E:$E,RESULTADO!V$3))</f>
        <v>0</v>
      </c>
      <c r="W16" s="53">
        <f>(SUMIFS(MtM!$M:$M,MtM!$I:$I,RESULTADO!$B16,MtM!$H:$H,RESULTADO!$B$14,MtM!$E:$E,RESULTADO!W$3)-SUMIFS(MtM!$N:$N,MtM!$I:$I,RESULTADO!$B16,MtM!$H:$H,RESULTADO!$B$14,MtM!$E:$E,RESULTADO!W$3))</f>
        <v>0</v>
      </c>
      <c r="X16" s="53">
        <f>(SUMIFS(MtM!$M:$M,MtM!$I:$I,RESULTADO!$B16,MtM!$H:$H,RESULTADO!$B$14,MtM!$E:$E,RESULTADO!X$3)-SUMIFS(MtM!$N:$N,MtM!$I:$I,RESULTADO!$B16,MtM!$H:$H,RESULTADO!$B$14,MtM!$E:$E,RESULTADO!X$3))</f>
        <v>0</v>
      </c>
      <c r="Y16" s="53">
        <f>(SUMIFS(MtM!$M:$M,MtM!$I:$I,RESULTADO!$B16,MtM!$H:$H,RESULTADO!$B$14,MtM!$E:$E,RESULTADO!Y$3)-SUMIFS(MtM!$N:$N,MtM!$I:$I,RESULTADO!$B16,MtM!$H:$H,RESULTADO!$B$14,MtM!$E:$E,RESULTADO!Y$3))</f>
        <v>0</v>
      </c>
      <c r="Z16" s="63">
        <f>(SUMIFS(MtM!$M:$M,MtM!$I:$I,RESULTADO!$B16,MtM!$H:$H,RESULTADO!$B$14,MtM!$E:$E,RESULTADO!Z$3)-SUMIFS(MtM!$N:$N,MtM!$I:$I,RESULTADO!$B16,MtM!$H:$H,RESULTADO!$B$14,MtM!$E:$E,RESULTADO!Z$3))</f>
        <v>0</v>
      </c>
      <c r="AA16" s="53">
        <f>(SUMIFS(MtM!$M:$M,MtM!$I:$I,RESULTADO!$B16,MtM!$H:$H,RESULTADO!$B$14,MtM!$E:$E,RESULTADO!AA$3)-SUMIFS(MtM!$N:$N,MtM!$I:$I,RESULTADO!$B16,MtM!$H:$H,RESULTADO!$B$14,MtM!$E:$E,RESULTADO!AA$3))</f>
        <v>0</v>
      </c>
      <c r="AB16" s="53">
        <f>(SUMIFS(MtM!$M:$M,MtM!$I:$I,RESULTADO!$B16,MtM!$H:$H,RESULTADO!$B$14,MtM!$E:$E,RESULTADO!AB$3)-SUMIFS(MtM!$N:$N,MtM!$I:$I,RESULTADO!$B16,MtM!$H:$H,RESULTADO!$B$14,MtM!$E:$E,RESULTADO!AB$3))</f>
        <v>0</v>
      </c>
      <c r="AC16" s="53">
        <f>(SUMIFS(MtM!$M:$M,MtM!$I:$I,RESULTADO!$B16,MtM!$H:$H,RESULTADO!$B$14,MtM!$E:$E,RESULTADO!AC$3)-SUMIFS(MtM!$N:$N,MtM!$I:$I,RESULTADO!$B16,MtM!$H:$H,RESULTADO!$B$14,MtM!$E:$E,RESULTADO!AC$3))</f>
        <v>0</v>
      </c>
      <c r="AD16" s="53">
        <f>(SUMIFS(MtM!$M:$M,MtM!$I:$I,RESULTADO!$B16,MtM!$H:$H,RESULTADO!$B$14,MtM!$E:$E,RESULTADO!AD$3)-SUMIFS(MtM!$N:$N,MtM!$I:$I,RESULTADO!$B16,MtM!$H:$H,RESULTADO!$B$14,MtM!$E:$E,RESULTADO!AD$3))</f>
        <v>0</v>
      </c>
      <c r="AE16" s="53">
        <f>(SUMIFS(MtM!$M:$M,MtM!$I:$I,RESULTADO!$B16,MtM!$H:$H,RESULTADO!$B$14,MtM!$E:$E,RESULTADO!AE$3)-SUMIFS(MtM!$N:$N,MtM!$I:$I,RESULTADO!$B16,MtM!$H:$H,RESULTADO!$B$14,MtM!$E:$E,RESULTADO!AE$3))</f>
        <v>0</v>
      </c>
      <c r="AF16" s="53">
        <f>(SUMIFS(MtM!$M:$M,MtM!$I:$I,RESULTADO!$B16,MtM!$H:$H,RESULTADO!$B$14,MtM!$E:$E,RESULTADO!AF$3)-SUMIFS(MtM!$N:$N,MtM!$I:$I,RESULTADO!$B16,MtM!$H:$H,RESULTADO!$B$14,MtM!$E:$E,RESULTADO!AF$3))</f>
        <v>0</v>
      </c>
      <c r="AG16" s="53">
        <f>(SUMIFS(MtM!$M:$M,MtM!$I:$I,RESULTADO!$B16,MtM!$H:$H,RESULTADO!$B$14,MtM!$E:$E,RESULTADO!AG$3)-SUMIFS(MtM!$N:$N,MtM!$I:$I,RESULTADO!$B16,MtM!$H:$H,RESULTADO!$B$14,MtM!$E:$E,RESULTADO!AG$3))</f>
        <v>0</v>
      </c>
      <c r="AH16" s="53">
        <f>(SUMIFS(MtM!$M:$M,MtM!$I:$I,RESULTADO!$B16,MtM!$H:$H,RESULTADO!$B$14,MtM!$E:$E,RESULTADO!AH$3)-SUMIFS(MtM!$N:$N,MtM!$I:$I,RESULTADO!$B16,MtM!$H:$H,RESULTADO!$B$14,MtM!$E:$E,RESULTADO!AH$3))</f>
        <v>0</v>
      </c>
      <c r="AI16" s="53">
        <f>(SUMIFS(MtM!$M:$M,MtM!$I:$I,RESULTADO!$B16,MtM!$H:$H,RESULTADO!$B$14,MtM!$E:$E,RESULTADO!AI$3)-SUMIFS(MtM!$N:$N,MtM!$I:$I,RESULTADO!$B16,MtM!$H:$H,RESULTADO!$B$14,MtM!$E:$E,RESULTADO!AI$3))</f>
        <v>0</v>
      </c>
      <c r="AJ16" s="53">
        <f>(SUMIFS(MtM!$M:$M,MtM!$I:$I,RESULTADO!$B16,MtM!$H:$H,RESULTADO!$B$14,MtM!$E:$E,RESULTADO!AJ$3)-SUMIFS(MtM!$N:$N,MtM!$I:$I,RESULTADO!$B16,MtM!$H:$H,RESULTADO!$B$14,MtM!$E:$E,RESULTADO!AJ$3))</f>
        <v>0</v>
      </c>
      <c r="AK16" s="53">
        <f>(SUMIFS(MtM!$M:$M,MtM!$I:$I,RESULTADO!$B16,MtM!$H:$H,RESULTADO!$B$14,MtM!$E:$E,RESULTADO!AK$3)-SUMIFS(MtM!$N:$N,MtM!$I:$I,RESULTADO!$B16,MtM!$H:$H,RESULTADO!$B$14,MtM!$E:$E,RESULTADO!AK$3))</f>
        <v>0</v>
      </c>
      <c r="AL16" s="54">
        <f>(SUMIFS(MtM!$M:$M,MtM!$I:$I,RESULTADO!$B16,MtM!$H:$H,RESULTADO!$B$14,MtM!$E:$E,RESULTADO!AL$3)-SUMIFS(MtM!$N:$N,MtM!$I:$I,RESULTADO!$B16,MtM!$H:$H,RESULTADO!$B$14,MtM!$E:$E,RESULTADO!AL$3))</f>
        <v>0</v>
      </c>
      <c r="AM16" s="53">
        <f>(SUMIFS(MtM!$M:$M,MtM!$I:$I,RESULTADO!$B16,MtM!$H:$H,RESULTADO!$B$14,MtM!$E:$E,RESULTADO!AM$3)-SUMIFS(MtM!$N:$N,MtM!$I:$I,RESULTADO!$B16,MtM!$H:$H,RESULTADO!$B$14,MtM!$E:$E,RESULTADO!AM$3))</f>
        <v>0</v>
      </c>
      <c r="AN16" s="53">
        <f>(SUMIFS(MtM!$M:$M,MtM!$I:$I,RESULTADO!$B16,MtM!$H:$H,RESULTADO!$B$14,MtM!$E:$E,RESULTADO!AN$3)-SUMIFS(MtM!$N:$N,MtM!$I:$I,RESULTADO!$B16,MtM!$H:$H,RESULTADO!$B$14,MtM!$E:$E,RESULTADO!AN$3))</f>
        <v>0</v>
      </c>
      <c r="AO16" s="53">
        <f>(SUMIFS(MtM!$M:$M,MtM!$I:$I,RESULTADO!$B16,MtM!$H:$H,RESULTADO!$B$14,MtM!$E:$E,RESULTADO!AO$3)-SUMIFS(MtM!$N:$N,MtM!$I:$I,RESULTADO!$B16,MtM!$H:$H,RESULTADO!$B$14,MtM!$E:$E,RESULTADO!AO$3))</f>
        <v>0</v>
      </c>
      <c r="AP16" s="53">
        <f>(SUMIFS(MtM!$M:$M,MtM!$I:$I,RESULTADO!$B16,MtM!$H:$H,RESULTADO!$B$14,MtM!$E:$E,RESULTADO!AP$3)-SUMIFS(MtM!$N:$N,MtM!$I:$I,RESULTADO!$B16,MtM!$H:$H,RESULTADO!$B$14,MtM!$E:$E,RESULTADO!AP$3))</f>
        <v>0</v>
      </c>
      <c r="AQ16" s="53">
        <f>(SUMIFS(MtM!$M:$M,MtM!$I:$I,RESULTADO!$B16,MtM!$H:$H,RESULTADO!$B$14,MtM!$E:$E,RESULTADO!AQ$3)-SUMIFS(MtM!$N:$N,MtM!$I:$I,RESULTADO!$B16,MtM!$H:$H,RESULTADO!$B$14,MtM!$E:$E,RESULTADO!AQ$3))</f>
        <v>0</v>
      </c>
      <c r="AR16" s="53">
        <f>(SUMIFS(MtM!$M:$M,MtM!$I:$I,RESULTADO!$B16,MtM!$H:$H,RESULTADO!$B$14,MtM!$E:$E,RESULTADO!AR$3)-SUMIFS(MtM!$N:$N,MtM!$I:$I,RESULTADO!$B16,MtM!$H:$H,RESULTADO!$B$14,MtM!$E:$E,RESULTADO!AR$3))</f>
        <v>0</v>
      </c>
      <c r="AS16" s="53">
        <f>(SUMIFS(MtM!$M:$M,MtM!$I:$I,RESULTADO!$B16,MtM!$H:$H,RESULTADO!$B$14,MtM!$E:$E,RESULTADO!AS$3)-SUMIFS(MtM!$N:$N,MtM!$I:$I,RESULTADO!$B16,MtM!$H:$H,RESULTADO!$B$14,MtM!$E:$E,RESULTADO!AS$3))</f>
        <v>0</v>
      </c>
      <c r="AT16" s="53">
        <f>(SUMIFS(MtM!$M:$M,MtM!$I:$I,RESULTADO!$B16,MtM!$H:$H,RESULTADO!$B$14,MtM!$E:$E,RESULTADO!AT$3)-SUMIFS(MtM!$N:$N,MtM!$I:$I,RESULTADO!$B16,MtM!$H:$H,RESULTADO!$B$14,MtM!$E:$E,RESULTADO!AT$3))</f>
        <v>0</v>
      </c>
      <c r="AU16" s="53">
        <f>(SUMIFS(MtM!$M:$M,MtM!$I:$I,RESULTADO!$B16,MtM!$H:$H,RESULTADO!$B$14,MtM!$E:$E,RESULTADO!AU$3)-SUMIFS(MtM!$N:$N,MtM!$I:$I,RESULTADO!$B16,MtM!$H:$H,RESULTADO!$B$14,MtM!$E:$E,RESULTADO!AU$3))</f>
        <v>0</v>
      </c>
      <c r="AV16" s="53">
        <f>(SUMIFS(MtM!$M:$M,MtM!$I:$I,RESULTADO!$B16,MtM!$H:$H,RESULTADO!$B$14,MtM!$E:$E,RESULTADO!AV$3)-SUMIFS(MtM!$N:$N,MtM!$I:$I,RESULTADO!$B16,MtM!$H:$H,RESULTADO!$B$14,MtM!$E:$E,RESULTADO!AV$3))</f>
        <v>0</v>
      </c>
      <c r="AW16" s="53">
        <f>(SUMIFS(MtM!$M:$M,MtM!$I:$I,RESULTADO!$B16,MtM!$H:$H,RESULTADO!$B$14,MtM!$E:$E,RESULTADO!AW$3)-SUMIFS(MtM!$N:$N,MtM!$I:$I,RESULTADO!$B16,MtM!$H:$H,RESULTADO!$B$14,MtM!$E:$E,RESULTADO!AW$3))</f>
        <v>0</v>
      </c>
      <c r="AX16" s="63">
        <f>(SUMIFS(MtM!$M:$M,MtM!$I:$I,RESULTADO!$B16,MtM!$H:$H,RESULTADO!$B$14,MtM!$E:$E,RESULTADO!AX$3)-SUMIFS(MtM!$N:$N,MtM!$I:$I,RESULTADO!$B16,MtM!$H:$H,RESULTADO!$B$14,MtM!$E:$E,RESULTADO!AX$3))</f>
        <v>0</v>
      </c>
      <c r="AY16" s="53">
        <f>(SUMIFS(MtM!$M:$M,MtM!$I:$I,RESULTADO!$B16,MtM!$H:$H,RESULTADO!$B$14,MtM!$E:$E,RESULTADO!AY$3)-SUMIFS(MtM!$N:$N,MtM!$I:$I,RESULTADO!$B16,MtM!$H:$H,RESULTADO!$B$14,MtM!$E:$E,RESULTADO!AY$3))</f>
        <v>0</v>
      </c>
      <c r="AZ16" s="53">
        <f>(SUMIFS(MtM!$M:$M,MtM!$I:$I,RESULTADO!$B16,MtM!$H:$H,RESULTADO!$B$14,MtM!$E:$E,RESULTADO!AZ$3)-SUMIFS(MtM!$N:$N,MtM!$I:$I,RESULTADO!$B16,MtM!$H:$H,RESULTADO!$B$14,MtM!$E:$E,RESULTADO!AZ$3))</f>
        <v>0</v>
      </c>
      <c r="BA16" s="53">
        <f>(SUMIFS(MtM!$M:$M,MtM!$I:$I,RESULTADO!$B16,MtM!$H:$H,RESULTADO!$B$14,MtM!$E:$E,RESULTADO!BA$3)-SUMIFS(MtM!$N:$N,MtM!$I:$I,RESULTADO!$B16,MtM!$H:$H,RESULTADO!$B$14,MtM!$E:$E,RESULTADO!BA$3))</f>
        <v>0</v>
      </c>
      <c r="BB16" s="53">
        <f>(SUMIFS(MtM!$M:$M,MtM!$I:$I,RESULTADO!$B16,MtM!$H:$H,RESULTADO!$B$14,MtM!$E:$E,RESULTADO!BB$3)-SUMIFS(MtM!$N:$N,MtM!$I:$I,RESULTADO!$B16,MtM!$H:$H,RESULTADO!$B$14,MtM!$E:$E,RESULTADO!BB$3))</f>
        <v>0</v>
      </c>
      <c r="BC16" s="53">
        <f>(SUMIFS(MtM!$M:$M,MtM!$I:$I,RESULTADO!$B16,MtM!$H:$H,RESULTADO!$B$14,MtM!$E:$E,RESULTADO!BC$3)-SUMIFS(MtM!$N:$N,MtM!$I:$I,RESULTADO!$B16,MtM!$H:$H,RESULTADO!$B$14,MtM!$E:$E,RESULTADO!BC$3))</f>
        <v>0</v>
      </c>
      <c r="BD16" s="53">
        <f>(SUMIFS(MtM!$M:$M,MtM!$I:$I,RESULTADO!$B16,MtM!$H:$H,RESULTADO!$B$14,MtM!$E:$E,RESULTADO!BD$3)-SUMIFS(MtM!$N:$N,MtM!$I:$I,RESULTADO!$B16,MtM!$H:$H,RESULTADO!$B$14,MtM!$E:$E,RESULTADO!BD$3))</f>
        <v>0</v>
      </c>
      <c r="BE16" s="53">
        <f>(SUMIFS(MtM!$M:$M,MtM!$I:$I,RESULTADO!$B16,MtM!$H:$H,RESULTADO!$B$14,MtM!$E:$E,RESULTADO!BE$3)-SUMIFS(MtM!$N:$N,MtM!$I:$I,RESULTADO!$B16,MtM!$H:$H,RESULTADO!$B$14,MtM!$E:$E,RESULTADO!BE$3))</f>
        <v>0</v>
      </c>
      <c r="BF16" s="53">
        <f>(SUMIFS(MtM!$M:$M,MtM!$I:$I,RESULTADO!$B16,MtM!$H:$H,RESULTADO!$B$14,MtM!$E:$E,RESULTADO!BF$3)-SUMIFS(MtM!$N:$N,MtM!$I:$I,RESULTADO!$B16,MtM!$H:$H,RESULTADO!$B$14,MtM!$E:$E,RESULTADO!BF$3))</f>
        <v>0</v>
      </c>
      <c r="BG16" s="53">
        <f>(SUMIFS(MtM!$M:$M,MtM!$I:$I,RESULTADO!$B16,MtM!$H:$H,RESULTADO!$B$14,MtM!$E:$E,RESULTADO!BG$3)-SUMIFS(MtM!$N:$N,MtM!$I:$I,RESULTADO!$B16,MtM!$H:$H,RESULTADO!$B$14,MtM!$E:$E,RESULTADO!BG$3))</f>
        <v>0</v>
      </c>
      <c r="BH16" s="53">
        <f>(SUMIFS(MtM!$M:$M,MtM!$I:$I,RESULTADO!$B16,MtM!$H:$H,RESULTADO!$B$14,MtM!$E:$E,RESULTADO!BH$3)-SUMIFS(MtM!$N:$N,MtM!$I:$I,RESULTADO!$B16,MtM!$H:$H,RESULTADO!$B$14,MtM!$E:$E,RESULTADO!BH$3))</f>
        <v>0</v>
      </c>
      <c r="BI16" s="53">
        <f>(SUMIFS(MtM!$M:$M,MtM!$I:$I,RESULTADO!$B16,MtM!$H:$H,RESULTADO!$B$14,MtM!$E:$E,RESULTADO!BI$3)-SUMIFS(MtM!$N:$N,MtM!$I:$I,RESULTADO!$B16,MtM!$H:$H,RESULTADO!$B$14,MtM!$E:$E,RESULTADO!BI$3))</f>
        <v>0</v>
      </c>
      <c r="BJ16" s="63">
        <f>(SUMIFS(MtM!$M:$M,MtM!$I:$I,RESULTADO!$B16,MtM!$H:$H,RESULTADO!$B$14,MtM!$E:$E,RESULTADO!BJ$3)-SUMIFS(MtM!$N:$N,MtM!$I:$I,RESULTADO!$B16,MtM!$H:$H,RESULTADO!$B$14,MtM!$E:$E,RESULTADO!BJ$3))</f>
        <v>0</v>
      </c>
      <c r="BL16" s="120"/>
      <c r="BN16" s="57" t="s">
        <v>12</v>
      </c>
      <c r="BO16" s="53">
        <f>SUMIFS('MtM Releases'!$H:$H,'MtM Releases'!$G:$G,RESULTADO!$BN16,'MtM Releases'!$F:$F,RESULTADO!$BN14,'MtM Releases'!$D:$D,RESULTADO!BO$3)</f>
        <v>0</v>
      </c>
      <c r="BP16" s="53">
        <f>SUMIFS('MtM Releases'!$H:$H,'MtM Releases'!$G:$G,RESULTADO!$BN16,'MtM Releases'!$F:$F,RESULTADO!$BN14,'MtM Releases'!$D:$D,RESULTADO!BP$3)</f>
        <v>0</v>
      </c>
      <c r="BQ16" s="53">
        <f>SUMIFS('MtM Releases'!$H:$H,'MtM Releases'!$G:$G,RESULTADO!$BN16,'MtM Releases'!$F:$F,RESULTADO!$BN14,'MtM Releases'!$D:$D,RESULTADO!BQ$3)</f>
        <v>0</v>
      </c>
      <c r="BR16" s="53">
        <f>SUMIFS('MtM Releases'!$H:$H,'MtM Releases'!$G:$G,RESULTADO!$BN16,'MtM Releases'!$F:$F,RESULTADO!$BN14,'MtM Releases'!$D:$D,RESULTADO!BR$3)</f>
        <v>0</v>
      </c>
      <c r="BS16" s="53">
        <f>SUMIFS('MtM Releases'!$H:$H,'MtM Releases'!$G:$G,RESULTADO!$BN16,'MtM Releases'!$F:$F,RESULTADO!$BN14,'MtM Releases'!$D:$D,RESULTADO!BS$3)</f>
        <v>0</v>
      </c>
      <c r="BT16" s="53">
        <f>SUMIFS('MtM Releases'!$H:$H,'MtM Releases'!$G:$G,RESULTADO!$BN16,'MtM Releases'!$F:$F,RESULTADO!$BN14,'MtM Releases'!$D:$D,RESULTADO!BT$3)</f>
        <v>0</v>
      </c>
      <c r="BU16" s="53">
        <f>SUMIFS('MtM Releases'!$H:$H,'MtM Releases'!$G:$G,RESULTADO!$BN16,'MtM Releases'!$F:$F,RESULTADO!$BN14,'MtM Releases'!$D:$D,RESULTADO!BU$3)</f>
        <v>-20</v>
      </c>
      <c r="BV16" s="53">
        <f>SUMIFS('MtM Releases'!$H:$H,'MtM Releases'!$G:$G,RESULTADO!$BN16,'MtM Releases'!$F:$F,RESULTADO!$BN14,'MtM Releases'!$D:$D,RESULTADO!BV$3)</f>
        <v>0</v>
      </c>
      <c r="BW16" s="53">
        <f>SUMIFS('MtM Releases'!$H:$H,'MtM Releases'!$G:$G,RESULTADO!$BN16,'MtM Releases'!$F:$F,RESULTADO!$BN14,'MtM Releases'!$D:$D,RESULTADO!BW$3)</f>
        <v>0</v>
      </c>
      <c r="BX16" s="53">
        <f>SUMIFS('MtM Releases'!$H:$H,'MtM Releases'!$G:$G,RESULTADO!$BN16,'MtM Releases'!$F:$F,RESULTADO!$BN14,'MtM Releases'!$D:$D,RESULTADO!BX$3)</f>
        <v>0</v>
      </c>
      <c r="BY16" s="53">
        <f>SUMIFS('MtM Releases'!$H:$H,'MtM Releases'!$G:$G,RESULTADO!$BN16,'MtM Releases'!$F:$F,RESULTADO!$BN14,'MtM Releases'!$D:$D,RESULTADO!BY$3)</f>
        <v>0</v>
      </c>
      <c r="BZ16" s="54">
        <f>SUMIFS('MtM Releases'!$H:$H,'MtM Releases'!$G:$G,RESULTADO!$BN16,'MtM Releases'!$F:$F,RESULTADO!$BN14,'MtM Releases'!$D:$D,RESULTADO!BZ$3)</f>
        <v>0</v>
      </c>
      <c r="CA16" s="53">
        <f>SUMIFS('MtM Releases'!$H:$H,'MtM Releases'!$G:$G,RESULTADO!$BN16,'MtM Releases'!$F:$F,RESULTADO!$BN14,'MtM Releases'!$D:$D,RESULTADO!CA$3)</f>
        <v>0</v>
      </c>
      <c r="CB16" s="53">
        <f>SUMIFS('MtM Releases'!$H:$H,'MtM Releases'!$G:$G,RESULTADO!$BN16,'MtM Releases'!$F:$F,RESULTADO!$BN14,'MtM Releases'!$D:$D,RESULTADO!CB$3)</f>
        <v>0</v>
      </c>
      <c r="CC16" s="53">
        <f>SUMIFS('MtM Releases'!$H:$H,'MtM Releases'!$G:$G,RESULTADO!$BN16,'MtM Releases'!$F:$F,RESULTADO!$BN14,'MtM Releases'!$D:$D,RESULTADO!CC$3)</f>
        <v>0</v>
      </c>
      <c r="CD16" s="53">
        <f>SUMIFS('MtM Releases'!$H:$H,'MtM Releases'!$G:$G,RESULTADO!$BN16,'MtM Releases'!$F:$F,RESULTADO!$BN14,'MtM Releases'!$D:$D,RESULTADO!CD$3)</f>
        <v>0</v>
      </c>
      <c r="CE16" s="53">
        <f>SUMIFS('MtM Releases'!$H:$H,'MtM Releases'!$G:$G,RESULTADO!$BN16,'MtM Releases'!$F:$F,RESULTADO!$BN14,'MtM Releases'!$D:$D,RESULTADO!CE$3)</f>
        <v>0</v>
      </c>
      <c r="CF16" s="53">
        <f>SUMIFS('MtM Releases'!$H:$H,'MtM Releases'!$G:$G,RESULTADO!$BN16,'MtM Releases'!$F:$F,RESULTADO!$BN14,'MtM Releases'!$D:$D,RESULTADO!CF$3)</f>
        <v>0</v>
      </c>
      <c r="CG16" s="53">
        <f>SUMIFS('MtM Releases'!$H:$H,'MtM Releases'!$G:$G,RESULTADO!$BN16,'MtM Releases'!$F:$F,RESULTADO!$BN14,'MtM Releases'!$D:$D,RESULTADO!CG$3)</f>
        <v>0</v>
      </c>
      <c r="CH16" s="53">
        <f>SUMIFS('MtM Releases'!$H:$H,'MtM Releases'!$G:$G,RESULTADO!$BN16,'MtM Releases'!$F:$F,RESULTADO!$BN14,'MtM Releases'!$D:$D,RESULTADO!CH$3)</f>
        <v>0</v>
      </c>
      <c r="CI16" s="53">
        <f>SUMIFS('MtM Releases'!$H:$H,'MtM Releases'!$G:$G,RESULTADO!$BN16,'MtM Releases'!$F:$F,RESULTADO!$BN14,'MtM Releases'!$D:$D,RESULTADO!CI$3)</f>
        <v>0</v>
      </c>
      <c r="CJ16" s="53">
        <f>SUMIFS('MtM Releases'!$H:$H,'MtM Releases'!$G:$G,RESULTADO!$BN16,'MtM Releases'!$F:$F,RESULTADO!$BN14,'MtM Releases'!$D:$D,RESULTADO!CJ$3)</f>
        <v>0</v>
      </c>
      <c r="CK16" s="53">
        <f>SUMIFS('MtM Releases'!$H:$H,'MtM Releases'!$G:$G,RESULTADO!$BN16,'MtM Releases'!$F:$F,RESULTADO!$BN14,'MtM Releases'!$D:$D,RESULTADO!CK$3)</f>
        <v>0</v>
      </c>
      <c r="CL16" s="63">
        <f>SUMIFS('MtM Releases'!$H:$H,'MtM Releases'!$G:$G,RESULTADO!$BN16,'MtM Releases'!$F:$F,RESULTADO!$BN14,'MtM Releases'!$D:$D,RESULTADO!CL$3)</f>
        <v>0</v>
      </c>
      <c r="CM16" s="53">
        <f>SUMIFS('MtM Releases'!$H:$H,'MtM Releases'!$G:$G,RESULTADO!$BN16,'MtM Releases'!$F:$F,RESULTADO!$BN14,'MtM Releases'!$D:$D,RESULTADO!CM$3)</f>
        <v>0</v>
      </c>
      <c r="CN16" s="53">
        <f>SUMIFS('MtM Releases'!$H:$H,'MtM Releases'!$G:$G,RESULTADO!$BN16,'MtM Releases'!$F:$F,RESULTADO!$BN14,'MtM Releases'!$D:$D,RESULTADO!CN$3)</f>
        <v>0</v>
      </c>
      <c r="CO16" s="53">
        <f>SUMIFS('MtM Releases'!$H:$H,'MtM Releases'!$G:$G,RESULTADO!$BN16,'MtM Releases'!$F:$F,RESULTADO!$BN14,'MtM Releases'!$D:$D,RESULTADO!CO$3)</f>
        <v>0</v>
      </c>
      <c r="CP16" s="53">
        <f>SUMIFS('MtM Releases'!$H:$H,'MtM Releases'!$G:$G,RESULTADO!$BN16,'MtM Releases'!$F:$F,RESULTADO!$BN14,'MtM Releases'!$D:$D,RESULTADO!CP$3)</f>
        <v>0</v>
      </c>
      <c r="CQ16" s="53">
        <f>SUMIFS('MtM Releases'!$H:$H,'MtM Releases'!$G:$G,RESULTADO!$BN16,'MtM Releases'!$F:$F,RESULTADO!$BN14,'MtM Releases'!$D:$D,RESULTADO!CQ$3)</f>
        <v>0</v>
      </c>
      <c r="CR16" s="53">
        <f>SUMIFS('MtM Releases'!$H:$H,'MtM Releases'!$G:$G,RESULTADO!$BN16,'MtM Releases'!$F:$F,RESULTADO!$BN14,'MtM Releases'!$D:$D,RESULTADO!CR$3)</f>
        <v>0</v>
      </c>
      <c r="CS16" s="53">
        <f>SUMIFS('MtM Releases'!$H:$H,'MtM Releases'!$G:$G,RESULTADO!$BN16,'MtM Releases'!$F:$F,RESULTADO!$BN14,'MtM Releases'!$D:$D,RESULTADO!CS$3)</f>
        <v>0</v>
      </c>
      <c r="CT16" s="53">
        <f>SUMIFS('MtM Releases'!$H:$H,'MtM Releases'!$G:$G,RESULTADO!$BN16,'MtM Releases'!$F:$F,RESULTADO!$BN14,'MtM Releases'!$D:$D,RESULTADO!CT$3)</f>
        <v>0</v>
      </c>
      <c r="CU16" s="53">
        <f>SUMIFS('MtM Releases'!$H:$H,'MtM Releases'!$G:$G,RESULTADO!$BN16,'MtM Releases'!$F:$F,RESULTADO!$BN14,'MtM Releases'!$D:$D,RESULTADO!CU$3)</f>
        <v>0</v>
      </c>
      <c r="CV16" s="53">
        <f>SUMIFS('MtM Releases'!$H:$H,'MtM Releases'!$G:$G,RESULTADO!$BN16,'MtM Releases'!$F:$F,RESULTADO!$BN14,'MtM Releases'!$D:$D,RESULTADO!CV$3)</f>
        <v>0</v>
      </c>
      <c r="CW16" s="53">
        <f>SUMIFS('MtM Releases'!$H:$H,'MtM Releases'!$G:$G,RESULTADO!$BN16,'MtM Releases'!$F:$F,RESULTADO!$BN14,'MtM Releases'!$D:$D,RESULTADO!CW$3)</f>
        <v>0</v>
      </c>
      <c r="CX16" s="54">
        <f>SUMIFS('MtM Releases'!$H:$H,'MtM Releases'!$G:$G,RESULTADO!$BN16,'MtM Releases'!$F:$F,RESULTADO!$BN14,'MtM Releases'!$D:$D,RESULTADO!CX$3)</f>
        <v>0</v>
      </c>
      <c r="CY16" s="53">
        <f>SUMIFS('MtM Releases'!$H:$H,'MtM Releases'!$G:$G,RESULTADO!$BN16,'MtM Releases'!$F:$F,RESULTADO!$BN14,'MtM Releases'!$D:$D,RESULTADO!CY$3)</f>
        <v>0</v>
      </c>
      <c r="CZ16" s="53">
        <f>SUMIFS('MtM Releases'!$H:$H,'MtM Releases'!$G:$G,RESULTADO!$BN16,'MtM Releases'!$F:$F,RESULTADO!$BN14,'MtM Releases'!$D:$D,RESULTADO!CZ$3)</f>
        <v>0</v>
      </c>
      <c r="DA16" s="53">
        <f>SUMIFS('MtM Releases'!$H:$H,'MtM Releases'!$G:$G,RESULTADO!$BN16,'MtM Releases'!$F:$F,RESULTADO!$BN14,'MtM Releases'!$D:$D,RESULTADO!DA$3)</f>
        <v>0</v>
      </c>
      <c r="DB16" s="53">
        <f>SUMIFS('MtM Releases'!$H:$H,'MtM Releases'!$G:$G,RESULTADO!$BN16,'MtM Releases'!$F:$F,RESULTADO!$BN14,'MtM Releases'!$D:$D,RESULTADO!DB$3)</f>
        <v>0</v>
      </c>
      <c r="DC16" s="53">
        <f>SUMIFS('MtM Releases'!$H:$H,'MtM Releases'!$G:$G,RESULTADO!$BN16,'MtM Releases'!$F:$F,RESULTADO!$BN14,'MtM Releases'!$D:$D,RESULTADO!DC$3)</f>
        <v>0</v>
      </c>
      <c r="DD16" s="53">
        <f>SUMIFS('MtM Releases'!$H:$H,'MtM Releases'!$G:$G,RESULTADO!$BN16,'MtM Releases'!$F:$F,RESULTADO!$BN14,'MtM Releases'!$D:$D,RESULTADO!DD$3)</f>
        <v>0</v>
      </c>
      <c r="DE16" s="53">
        <f>SUMIFS('MtM Releases'!$H:$H,'MtM Releases'!$G:$G,RESULTADO!$BN16,'MtM Releases'!$F:$F,RESULTADO!$BN14,'MtM Releases'!$D:$D,RESULTADO!DE$3)</f>
        <v>0</v>
      </c>
      <c r="DF16" s="53">
        <f>SUMIFS('MtM Releases'!$H:$H,'MtM Releases'!$G:$G,RESULTADO!$BN16,'MtM Releases'!$F:$F,RESULTADO!$BN14,'MtM Releases'!$D:$D,RESULTADO!DF$3)</f>
        <v>0</v>
      </c>
      <c r="DG16" s="53">
        <f>SUMIFS('MtM Releases'!$H:$H,'MtM Releases'!$G:$G,RESULTADO!$BN16,'MtM Releases'!$F:$F,RESULTADO!$BN14,'MtM Releases'!$D:$D,RESULTADO!DG$3)</f>
        <v>0</v>
      </c>
      <c r="DH16" s="53">
        <f>SUMIFS('MtM Releases'!$H:$H,'MtM Releases'!$G:$G,RESULTADO!$BN16,'MtM Releases'!$F:$F,RESULTADO!$BN14,'MtM Releases'!$D:$D,RESULTADO!DH$3)</f>
        <v>0</v>
      </c>
      <c r="DI16" s="53">
        <f>SUMIFS('MtM Releases'!$H:$H,'MtM Releases'!$G:$G,RESULTADO!$BN16,'MtM Releases'!$F:$F,RESULTADO!$BN14,'MtM Releases'!$D:$D,RESULTADO!DI$3)</f>
        <v>0</v>
      </c>
      <c r="DJ16" s="63">
        <f>SUMIFS('MtM Releases'!$H:$H,'MtM Releases'!$G:$G,RESULTADO!$BN16,'MtM Releases'!$F:$F,RESULTADO!$BN14,'MtM Releases'!$D:$D,RESULTADO!DJ$3)</f>
        <v>0</v>
      </c>
      <c r="DK16" s="53">
        <f>SUMIFS('MtM Releases'!$H:$H,'MtM Releases'!$G:$G,RESULTADO!$BN16,'MtM Releases'!$F:$F,RESULTADO!$BN14,'MtM Releases'!$D:$D,RESULTADO!DK$3)</f>
        <v>0</v>
      </c>
      <c r="DL16" s="53">
        <f>SUMIFS('MtM Releases'!$H:$H,'MtM Releases'!$G:$G,RESULTADO!$BN16,'MtM Releases'!$F:$F,RESULTADO!$BN14,'MtM Releases'!$D:$D,RESULTADO!DL$3)</f>
        <v>0</v>
      </c>
      <c r="DM16" s="53">
        <f>SUMIFS('MtM Releases'!$H:$H,'MtM Releases'!$G:$G,RESULTADO!$BN16,'MtM Releases'!$F:$F,RESULTADO!$BN14,'MtM Releases'!$D:$D,RESULTADO!DM$3)</f>
        <v>0</v>
      </c>
      <c r="DN16" s="53">
        <f>SUMIFS('MtM Releases'!$H:$H,'MtM Releases'!$G:$G,RESULTADO!$BN16,'MtM Releases'!$F:$F,RESULTADO!$BN14,'MtM Releases'!$D:$D,RESULTADO!DN$3)</f>
        <v>0</v>
      </c>
      <c r="DO16" s="53">
        <f>SUMIFS('MtM Releases'!$H:$H,'MtM Releases'!$G:$G,RESULTADO!$BN16,'MtM Releases'!$F:$F,RESULTADO!$BN14,'MtM Releases'!$D:$D,RESULTADO!DO$3)</f>
        <v>0</v>
      </c>
      <c r="DP16" s="53">
        <f>SUMIFS('MtM Releases'!$H:$H,'MtM Releases'!$G:$G,RESULTADO!$BN16,'MtM Releases'!$F:$F,RESULTADO!$BN14,'MtM Releases'!$D:$D,RESULTADO!DP$3)</f>
        <v>0</v>
      </c>
      <c r="DQ16" s="53">
        <f>SUMIFS('MtM Releases'!$H:$H,'MtM Releases'!$G:$G,RESULTADO!$BN16,'MtM Releases'!$F:$F,RESULTADO!$BN14,'MtM Releases'!$D:$D,RESULTADO!DQ$3)</f>
        <v>0</v>
      </c>
      <c r="DR16" s="53">
        <f>SUMIFS('MtM Releases'!$H:$H,'MtM Releases'!$G:$G,RESULTADO!$BN16,'MtM Releases'!$F:$F,RESULTADO!$BN14,'MtM Releases'!$D:$D,RESULTADO!DR$3)</f>
        <v>0</v>
      </c>
      <c r="DS16" s="53">
        <f>SUMIFS('MtM Releases'!$H:$H,'MtM Releases'!$G:$G,RESULTADO!$BN16,'MtM Releases'!$F:$F,RESULTADO!$BN14,'MtM Releases'!$D:$D,RESULTADO!DS$3)</f>
        <v>0</v>
      </c>
      <c r="DT16" s="53">
        <f>SUMIFS('MtM Releases'!$H:$H,'MtM Releases'!$G:$G,RESULTADO!$BN16,'MtM Releases'!$F:$F,RESULTADO!$BN14,'MtM Releases'!$D:$D,RESULTADO!DT$3)</f>
        <v>0</v>
      </c>
      <c r="DU16" s="53">
        <f>SUMIFS('MtM Releases'!$H:$H,'MtM Releases'!$G:$G,RESULTADO!$BN16,'MtM Releases'!$F:$F,RESULTADO!$BN14,'MtM Releases'!$D:$D,RESULTADO!DU$3)</f>
        <v>0</v>
      </c>
      <c r="DV16" s="63">
        <f>SUMIFS('MtM Releases'!$H:$H,'MtM Releases'!$G:$G,RESULTADO!$BN16,'MtM Releases'!$F:$F,RESULTADO!$BN14,'MtM Releases'!$D:$D,RESULTADO!DV$3)</f>
        <v>0</v>
      </c>
      <c r="EB16" s="11"/>
    </row>
    <row r="17" spans="2:132" x14ac:dyDescent="0.25">
      <c r="B17" s="57" t="s">
        <v>13</v>
      </c>
      <c r="C17" s="53">
        <f>(SUMIFS(MtM!$M:$M,MtM!$I:$I,RESULTADO!$B17,MtM!$H:$H,RESULTADO!$B$14,MtM!$E:$E,RESULTADO!C$3)-SUMIFS(MtM!$N:$N,MtM!$I:$I,RESULTADO!$B17,MtM!$H:$H,RESULTADO!$B$14,MtM!$E:$E,RESULTADO!C$3))</f>
        <v>0</v>
      </c>
      <c r="D17" s="53">
        <f>(SUMIFS(MtM!$M:$M,MtM!$I:$I,RESULTADO!$B17,MtM!$H:$H,RESULTADO!$B$14,MtM!$E:$E,RESULTADO!D$3)-SUMIFS(MtM!$N:$N,MtM!$I:$I,RESULTADO!$B17,MtM!$H:$H,RESULTADO!$B$14,MtM!$E:$E,RESULTADO!D$3))</f>
        <v>0</v>
      </c>
      <c r="E17" s="53">
        <f>(SUMIFS(MtM!$M:$M,MtM!$I:$I,RESULTADO!$B17,MtM!$H:$H,RESULTADO!$B$14,MtM!$E:$E,RESULTADO!E$3)-SUMIFS(MtM!$N:$N,MtM!$I:$I,RESULTADO!$B17,MtM!$H:$H,RESULTADO!$B$14,MtM!$E:$E,RESULTADO!E$3))</f>
        <v>0</v>
      </c>
      <c r="F17" s="53">
        <f>(SUMIFS(MtM!$M:$M,MtM!$I:$I,RESULTADO!$B17,MtM!$H:$H,RESULTADO!$B$14,MtM!$E:$E,RESULTADO!F$3)-SUMIFS(MtM!$N:$N,MtM!$I:$I,RESULTADO!$B17,MtM!$H:$H,RESULTADO!$B$14,MtM!$E:$E,RESULTADO!F$3))</f>
        <v>0</v>
      </c>
      <c r="G17" s="53">
        <f>(SUMIFS(MtM!$M:$M,MtM!$I:$I,RESULTADO!$B17,MtM!$H:$H,RESULTADO!$B$14,MtM!$E:$E,RESULTADO!G$3)-SUMIFS(MtM!$N:$N,MtM!$I:$I,RESULTADO!$B17,MtM!$H:$H,RESULTADO!$B$14,MtM!$E:$E,RESULTADO!G$3))</f>
        <v>0</v>
      </c>
      <c r="H17" s="53">
        <f>(SUMIFS(MtM!$M:$M,MtM!$I:$I,RESULTADO!$B17,MtM!$H:$H,RESULTADO!$B$14,MtM!$E:$E,RESULTADO!H$3)-SUMIFS(MtM!$N:$N,MtM!$I:$I,RESULTADO!$B17,MtM!$H:$H,RESULTADO!$B$14,MtM!$E:$E,RESULTADO!H$3))</f>
        <v>2.82</v>
      </c>
      <c r="I17" s="53">
        <f>(SUMIFS(MtM!$M:$M,MtM!$I:$I,RESULTADO!$B17,MtM!$H:$H,RESULTADO!$B$14,MtM!$E:$E,RESULTADO!I$3)-SUMIFS(MtM!$N:$N,MtM!$I:$I,RESULTADO!$B17,MtM!$H:$H,RESULTADO!$B$14,MtM!$E:$E,RESULTADO!I$3))</f>
        <v>0.55700000000000005</v>
      </c>
      <c r="J17" s="53">
        <f>(SUMIFS(MtM!$M:$M,MtM!$I:$I,RESULTADO!$B17,MtM!$H:$H,RESULTADO!$B$14,MtM!$E:$E,RESULTADO!J$3)-SUMIFS(MtM!$N:$N,MtM!$I:$I,RESULTADO!$B17,MtM!$H:$H,RESULTADO!$B$14,MtM!$E:$E,RESULTADO!J$3))</f>
        <v>0</v>
      </c>
      <c r="K17" s="53">
        <f>(SUMIFS(MtM!$M:$M,MtM!$I:$I,RESULTADO!$B17,MtM!$H:$H,RESULTADO!$B$14,MtM!$E:$E,RESULTADO!K$3)-SUMIFS(MtM!$N:$N,MtM!$I:$I,RESULTADO!$B17,MtM!$H:$H,RESULTADO!$B$14,MtM!$E:$E,RESULTADO!K$3))</f>
        <v>0</v>
      </c>
      <c r="L17" s="53">
        <f>(SUMIFS(MtM!$M:$M,MtM!$I:$I,RESULTADO!$B17,MtM!$H:$H,RESULTADO!$B$14,MtM!$E:$E,RESULTADO!L$3)-SUMIFS(MtM!$N:$N,MtM!$I:$I,RESULTADO!$B17,MtM!$H:$H,RESULTADO!$B$14,MtM!$E:$E,RESULTADO!L$3))</f>
        <v>0</v>
      </c>
      <c r="M17" s="53">
        <f>(SUMIFS(MtM!$M:$M,MtM!$I:$I,RESULTADO!$B17,MtM!$H:$H,RESULTADO!$B$14,MtM!$E:$E,RESULTADO!M$3)-SUMIFS(MtM!$N:$N,MtM!$I:$I,RESULTADO!$B17,MtM!$H:$H,RESULTADO!$B$14,MtM!$E:$E,RESULTADO!M$3))</f>
        <v>0</v>
      </c>
      <c r="N17" s="54">
        <f>(SUMIFS(MtM!$M:$M,MtM!$I:$I,RESULTADO!$B17,MtM!$H:$H,RESULTADO!$B$14,MtM!$E:$E,RESULTADO!N$3)-SUMIFS(MtM!$N:$N,MtM!$I:$I,RESULTADO!$B17,MtM!$H:$H,RESULTADO!$B$14,MtM!$E:$E,RESULTADO!N$3))</f>
        <v>0</v>
      </c>
      <c r="O17" s="53">
        <f>(SUMIFS(MtM!$M:$M,MtM!$I:$I,RESULTADO!$B17,MtM!$H:$H,RESULTADO!$B$14,MtM!$E:$E,RESULTADO!O$3)-SUMIFS(MtM!$N:$N,MtM!$I:$I,RESULTADO!$B17,MtM!$H:$H,RESULTADO!$B$14,MtM!$E:$E,RESULTADO!O$3))</f>
        <v>0</v>
      </c>
      <c r="P17" s="53">
        <f>(SUMIFS(MtM!$M:$M,MtM!$I:$I,RESULTADO!$B17,MtM!$H:$H,RESULTADO!$B$14,MtM!$E:$E,RESULTADO!P$3)-SUMIFS(MtM!$N:$N,MtM!$I:$I,RESULTADO!$B17,MtM!$H:$H,RESULTADO!$B$14,MtM!$E:$E,RESULTADO!P$3))</f>
        <v>0</v>
      </c>
      <c r="Q17" s="53">
        <f>(SUMIFS(MtM!$M:$M,MtM!$I:$I,RESULTADO!$B17,MtM!$H:$H,RESULTADO!$B$14,MtM!$E:$E,RESULTADO!Q$3)-SUMIFS(MtM!$N:$N,MtM!$I:$I,RESULTADO!$B17,MtM!$H:$H,RESULTADO!$B$14,MtM!$E:$E,RESULTADO!Q$3))</f>
        <v>0</v>
      </c>
      <c r="R17" s="53">
        <f>(SUMIFS(MtM!$M:$M,MtM!$I:$I,RESULTADO!$B17,MtM!$H:$H,RESULTADO!$B$14,MtM!$E:$E,RESULTADO!R$3)-SUMIFS(MtM!$N:$N,MtM!$I:$I,RESULTADO!$B17,MtM!$H:$H,RESULTADO!$B$14,MtM!$E:$E,RESULTADO!R$3))</f>
        <v>0</v>
      </c>
      <c r="S17" s="53">
        <f>(SUMIFS(MtM!$M:$M,MtM!$I:$I,RESULTADO!$B17,MtM!$H:$H,RESULTADO!$B$14,MtM!$E:$E,RESULTADO!S$3)-SUMIFS(MtM!$N:$N,MtM!$I:$I,RESULTADO!$B17,MtM!$H:$H,RESULTADO!$B$14,MtM!$E:$E,RESULTADO!S$3))</f>
        <v>0</v>
      </c>
      <c r="T17" s="53">
        <f>(SUMIFS(MtM!$M:$M,MtM!$I:$I,RESULTADO!$B17,MtM!$H:$H,RESULTADO!$B$14,MtM!$E:$E,RESULTADO!T$3)-SUMIFS(MtM!$N:$N,MtM!$I:$I,RESULTADO!$B17,MtM!$H:$H,RESULTADO!$B$14,MtM!$E:$E,RESULTADO!T$3))</f>
        <v>0</v>
      </c>
      <c r="U17" s="53">
        <f>(SUMIFS(MtM!$M:$M,MtM!$I:$I,RESULTADO!$B17,MtM!$H:$H,RESULTADO!$B$14,MtM!$E:$E,RESULTADO!U$3)-SUMIFS(MtM!$N:$N,MtM!$I:$I,RESULTADO!$B17,MtM!$H:$H,RESULTADO!$B$14,MtM!$E:$E,RESULTADO!U$3))</f>
        <v>0</v>
      </c>
      <c r="V17" s="53">
        <f>(SUMIFS(MtM!$M:$M,MtM!$I:$I,RESULTADO!$B17,MtM!$H:$H,RESULTADO!$B$14,MtM!$E:$E,RESULTADO!V$3)-SUMIFS(MtM!$N:$N,MtM!$I:$I,RESULTADO!$B17,MtM!$H:$H,RESULTADO!$B$14,MtM!$E:$E,RESULTADO!V$3))</f>
        <v>0</v>
      </c>
      <c r="W17" s="53">
        <f>(SUMIFS(MtM!$M:$M,MtM!$I:$I,RESULTADO!$B17,MtM!$H:$H,RESULTADO!$B$14,MtM!$E:$E,RESULTADO!W$3)-SUMIFS(MtM!$N:$N,MtM!$I:$I,RESULTADO!$B17,MtM!$H:$H,RESULTADO!$B$14,MtM!$E:$E,RESULTADO!W$3))</f>
        <v>0</v>
      </c>
      <c r="X17" s="53">
        <f>(SUMIFS(MtM!$M:$M,MtM!$I:$I,RESULTADO!$B17,MtM!$H:$H,RESULTADO!$B$14,MtM!$E:$E,RESULTADO!X$3)-SUMIFS(MtM!$N:$N,MtM!$I:$I,RESULTADO!$B17,MtM!$H:$H,RESULTADO!$B$14,MtM!$E:$E,RESULTADO!X$3))</f>
        <v>0</v>
      </c>
      <c r="Y17" s="53">
        <f>(SUMIFS(MtM!$M:$M,MtM!$I:$I,RESULTADO!$B17,MtM!$H:$H,RESULTADO!$B$14,MtM!$E:$E,RESULTADO!Y$3)-SUMIFS(MtM!$N:$N,MtM!$I:$I,RESULTADO!$B17,MtM!$H:$H,RESULTADO!$B$14,MtM!$E:$E,RESULTADO!Y$3))</f>
        <v>0</v>
      </c>
      <c r="Z17" s="63">
        <f>(SUMIFS(MtM!$M:$M,MtM!$I:$I,RESULTADO!$B17,MtM!$H:$H,RESULTADO!$B$14,MtM!$E:$E,RESULTADO!Z$3)-SUMIFS(MtM!$N:$N,MtM!$I:$I,RESULTADO!$B17,MtM!$H:$H,RESULTADO!$B$14,MtM!$E:$E,RESULTADO!Z$3))</f>
        <v>0</v>
      </c>
      <c r="AA17" s="53">
        <f>(SUMIFS(MtM!$M:$M,MtM!$I:$I,RESULTADO!$B17,MtM!$H:$H,RESULTADO!$B$14,MtM!$E:$E,RESULTADO!AA$3)-SUMIFS(MtM!$N:$N,MtM!$I:$I,RESULTADO!$B17,MtM!$H:$H,RESULTADO!$B$14,MtM!$E:$E,RESULTADO!AA$3))</f>
        <v>0</v>
      </c>
      <c r="AB17" s="53">
        <f>(SUMIFS(MtM!$M:$M,MtM!$I:$I,RESULTADO!$B17,MtM!$H:$H,RESULTADO!$B$14,MtM!$E:$E,RESULTADO!AB$3)-SUMIFS(MtM!$N:$N,MtM!$I:$I,RESULTADO!$B17,MtM!$H:$H,RESULTADO!$B$14,MtM!$E:$E,RESULTADO!AB$3))</f>
        <v>0</v>
      </c>
      <c r="AC17" s="53">
        <f>(SUMIFS(MtM!$M:$M,MtM!$I:$I,RESULTADO!$B17,MtM!$H:$H,RESULTADO!$B$14,MtM!$E:$E,RESULTADO!AC$3)-SUMIFS(MtM!$N:$N,MtM!$I:$I,RESULTADO!$B17,MtM!$H:$H,RESULTADO!$B$14,MtM!$E:$E,RESULTADO!AC$3))</f>
        <v>0</v>
      </c>
      <c r="AD17" s="53">
        <f>(SUMIFS(MtM!$M:$M,MtM!$I:$I,RESULTADO!$B17,MtM!$H:$H,RESULTADO!$B$14,MtM!$E:$E,RESULTADO!AD$3)-SUMIFS(MtM!$N:$N,MtM!$I:$I,RESULTADO!$B17,MtM!$H:$H,RESULTADO!$B$14,MtM!$E:$E,RESULTADO!AD$3))</f>
        <v>0</v>
      </c>
      <c r="AE17" s="53">
        <f>(SUMIFS(MtM!$M:$M,MtM!$I:$I,RESULTADO!$B17,MtM!$H:$H,RESULTADO!$B$14,MtM!$E:$E,RESULTADO!AE$3)-SUMIFS(MtM!$N:$N,MtM!$I:$I,RESULTADO!$B17,MtM!$H:$H,RESULTADO!$B$14,MtM!$E:$E,RESULTADO!AE$3))</f>
        <v>0</v>
      </c>
      <c r="AF17" s="53">
        <f>(SUMIFS(MtM!$M:$M,MtM!$I:$I,RESULTADO!$B17,MtM!$H:$H,RESULTADO!$B$14,MtM!$E:$E,RESULTADO!AF$3)-SUMIFS(MtM!$N:$N,MtM!$I:$I,RESULTADO!$B17,MtM!$H:$H,RESULTADO!$B$14,MtM!$E:$E,RESULTADO!AF$3))</f>
        <v>0</v>
      </c>
      <c r="AG17" s="53">
        <f>(SUMIFS(MtM!$M:$M,MtM!$I:$I,RESULTADO!$B17,MtM!$H:$H,RESULTADO!$B$14,MtM!$E:$E,RESULTADO!AG$3)-SUMIFS(MtM!$N:$N,MtM!$I:$I,RESULTADO!$B17,MtM!$H:$H,RESULTADO!$B$14,MtM!$E:$E,RESULTADO!AG$3))</f>
        <v>0</v>
      </c>
      <c r="AH17" s="53">
        <f>(SUMIFS(MtM!$M:$M,MtM!$I:$I,RESULTADO!$B17,MtM!$H:$H,RESULTADO!$B$14,MtM!$E:$E,RESULTADO!AH$3)-SUMIFS(MtM!$N:$N,MtM!$I:$I,RESULTADO!$B17,MtM!$H:$H,RESULTADO!$B$14,MtM!$E:$E,RESULTADO!AH$3))</f>
        <v>0</v>
      </c>
      <c r="AI17" s="53">
        <f>(SUMIFS(MtM!$M:$M,MtM!$I:$I,RESULTADO!$B17,MtM!$H:$H,RESULTADO!$B$14,MtM!$E:$E,RESULTADO!AI$3)-SUMIFS(MtM!$N:$N,MtM!$I:$I,RESULTADO!$B17,MtM!$H:$H,RESULTADO!$B$14,MtM!$E:$E,RESULTADO!AI$3))</f>
        <v>0</v>
      </c>
      <c r="AJ17" s="53">
        <f>(SUMIFS(MtM!$M:$M,MtM!$I:$I,RESULTADO!$B17,MtM!$H:$H,RESULTADO!$B$14,MtM!$E:$E,RESULTADO!AJ$3)-SUMIFS(MtM!$N:$N,MtM!$I:$I,RESULTADO!$B17,MtM!$H:$H,RESULTADO!$B$14,MtM!$E:$E,RESULTADO!AJ$3))</f>
        <v>0</v>
      </c>
      <c r="AK17" s="53">
        <f>(SUMIFS(MtM!$M:$M,MtM!$I:$I,RESULTADO!$B17,MtM!$H:$H,RESULTADO!$B$14,MtM!$E:$E,RESULTADO!AK$3)-SUMIFS(MtM!$N:$N,MtM!$I:$I,RESULTADO!$B17,MtM!$H:$H,RESULTADO!$B$14,MtM!$E:$E,RESULTADO!AK$3))</f>
        <v>0</v>
      </c>
      <c r="AL17" s="54">
        <f>(SUMIFS(MtM!$M:$M,MtM!$I:$I,RESULTADO!$B17,MtM!$H:$H,RESULTADO!$B$14,MtM!$E:$E,RESULTADO!AL$3)-SUMIFS(MtM!$N:$N,MtM!$I:$I,RESULTADO!$B17,MtM!$H:$H,RESULTADO!$B$14,MtM!$E:$E,RESULTADO!AL$3))</f>
        <v>0</v>
      </c>
      <c r="AM17" s="53">
        <f>(SUMIFS(MtM!$M:$M,MtM!$I:$I,RESULTADO!$B17,MtM!$H:$H,RESULTADO!$B$14,MtM!$E:$E,RESULTADO!AM$3)-SUMIFS(MtM!$N:$N,MtM!$I:$I,RESULTADO!$B17,MtM!$H:$H,RESULTADO!$B$14,MtM!$E:$E,RESULTADO!AM$3))</f>
        <v>0</v>
      </c>
      <c r="AN17" s="53">
        <f>(SUMIFS(MtM!$M:$M,MtM!$I:$I,RESULTADO!$B17,MtM!$H:$H,RESULTADO!$B$14,MtM!$E:$E,RESULTADO!AN$3)-SUMIFS(MtM!$N:$N,MtM!$I:$I,RESULTADO!$B17,MtM!$H:$H,RESULTADO!$B$14,MtM!$E:$E,RESULTADO!AN$3))</f>
        <v>0</v>
      </c>
      <c r="AO17" s="53">
        <f>(SUMIFS(MtM!$M:$M,MtM!$I:$I,RESULTADO!$B17,MtM!$H:$H,RESULTADO!$B$14,MtM!$E:$E,RESULTADO!AO$3)-SUMIFS(MtM!$N:$N,MtM!$I:$I,RESULTADO!$B17,MtM!$H:$H,RESULTADO!$B$14,MtM!$E:$E,RESULTADO!AO$3))</f>
        <v>0</v>
      </c>
      <c r="AP17" s="53">
        <f>(SUMIFS(MtM!$M:$M,MtM!$I:$I,RESULTADO!$B17,MtM!$H:$H,RESULTADO!$B$14,MtM!$E:$E,RESULTADO!AP$3)-SUMIFS(MtM!$N:$N,MtM!$I:$I,RESULTADO!$B17,MtM!$H:$H,RESULTADO!$B$14,MtM!$E:$E,RESULTADO!AP$3))</f>
        <v>0</v>
      </c>
      <c r="AQ17" s="53">
        <f>(SUMIFS(MtM!$M:$M,MtM!$I:$I,RESULTADO!$B17,MtM!$H:$H,RESULTADO!$B$14,MtM!$E:$E,RESULTADO!AQ$3)-SUMIFS(MtM!$N:$N,MtM!$I:$I,RESULTADO!$B17,MtM!$H:$H,RESULTADO!$B$14,MtM!$E:$E,RESULTADO!AQ$3))</f>
        <v>0</v>
      </c>
      <c r="AR17" s="53">
        <f>(SUMIFS(MtM!$M:$M,MtM!$I:$I,RESULTADO!$B17,MtM!$H:$H,RESULTADO!$B$14,MtM!$E:$E,RESULTADO!AR$3)-SUMIFS(MtM!$N:$N,MtM!$I:$I,RESULTADO!$B17,MtM!$H:$H,RESULTADO!$B$14,MtM!$E:$E,RESULTADO!AR$3))</f>
        <v>0</v>
      </c>
      <c r="AS17" s="53">
        <f>(SUMIFS(MtM!$M:$M,MtM!$I:$I,RESULTADO!$B17,MtM!$H:$H,RESULTADO!$B$14,MtM!$E:$E,RESULTADO!AS$3)-SUMIFS(MtM!$N:$N,MtM!$I:$I,RESULTADO!$B17,MtM!$H:$H,RESULTADO!$B$14,MtM!$E:$E,RESULTADO!AS$3))</f>
        <v>0</v>
      </c>
      <c r="AT17" s="53">
        <f>(SUMIFS(MtM!$M:$M,MtM!$I:$I,RESULTADO!$B17,MtM!$H:$H,RESULTADO!$B$14,MtM!$E:$E,RESULTADO!AT$3)-SUMIFS(MtM!$N:$N,MtM!$I:$I,RESULTADO!$B17,MtM!$H:$H,RESULTADO!$B$14,MtM!$E:$E,RESULTADO!AT$3))</f>
        <v>0</v>
      </c>
      <c r="AU17" s="53">
        <f>(SUMIFS(MtM!$M:$M,MtM!$I:$I,RESULTADO!$B17,MtM!$H:$H,RESULTADO!$B$14,MtM!$E:$E,RESULTADO!AU$3)-SUMIFS(MtM!$N:$N,MtM!$I:$I,RESULTADO!$B17,MtM!$H:$H,RESULTADO!$B$14,MtM!$E:$E,RESULTADO!AU$3))</f>
        <v>0</v>
      </c>
      <c r="AV17" s="53">
        <f>(SUMIFS(MtM!$M:$M,MtM!$I:$I,RESULTADO!$B17,MtM!$H:$H,RESULTADO!$B$14,MtM!$E:$E,RESULTADO!AV$3)-SUMIFS(MtM!$N:$N,MtM!$I:$I,RESULTADO!$B17,MtM!$H:$H,RESULTADO!$B$14,MtM!$E:$E,RESULTADO!AV$3))</f>
        <v>0</v>
      </c>
      <c r="AW17" s="53">
        <f>(SUMIFS(MtM!$M:$M,MtM!$I:$I,RESULTADO!$B17,MtM!$H:$H,RESULTADO!$B$14,MtM!$E:$E,RESULTADO!AW$3)-SUMIFS(MtM!$N:$N,MtM!$I:$I,RESULTADO!$B17,MtM!$H:$H,RESULTADO!$B$14,MtM!$E:$E,RESULTADO!AW$3))</f>
        <v>0</v>
      </c>
      <c r="AX17" s="63">
        <f>(SUMIFS(MtM!$M:$M,MtM!$I:$I,RESULTADO!$B17,MtM!$H:$H,RESULTADO!$B$14,MtM!$E:$E,RESULTADO!AX$3)-SUMIFS(MtM!$N:$N,MtM!$I:$I,RESULTADO!$B17,MtM!$H:$H,RESULTADO!$B$14,MtM!$E:$E,RESULTADO!AX$3))</f>
        <v>0</v>
      </c>
      <c r="AY17" s="53">
        <f>(SUMIFS(MtM!$M:$M,MtM!$I:$I,RESULTADO!$B17,MtM!$H:$H,RESULTADO!$B$14,MtM!$E:$E,RESULTADO!AY$3)-SUMIFS(MtM!$N:$N,MtM!$I:$I,RESULTADO!$B17,MtM!$H:$H,RESULTADO!$B$14,MtM!$E:$E,RESULTADO!AY$3))</f>
        <v>0</v>
      </c>
      <c r="AZ17" s="53">
        <f>(SUMIFS(MtM!$M:$M,MtM!$I:$I,RESULTADO!$B17,MtM!$H:$H,RESULTADO!$B$14,MtM!$E:$E,RESULTADO!AZ$3)-SUMIFS(MtM!$N:$N,MtM!$I:$I,RESULTADO!$B17,MtM!$H:$H,RESULTADO!$B$14,MtM!$E:$E,RESULTADO!AZ$3))</f>
        <v>0</v>
      </c>
      <c r="BA17" s="53">
        <f>(SUMIFS(MtM!$M:$M,MtM!$I:$I,RESULTADO!$B17,MtM!$H:$H,RESULTADO!$B$14,MtM!$E:$E,RESULTADO!BA$3)-SUMIFS(MtM!$N:$N,MtM!$I:$I,RESULTADO!$B17,MtM!$H:$H,RESULTADO!$B$14,MtM!$E:$E,RESULTADO!BA$3))</f>
        <v>0</v>
      </c>
      <c r="BB17" s="53">
        <f>(SUMIFS(MtM!$M:$M,MtM!$I:$I,RESULTADO!$B17,MtM!$H:$H,RESULTADO!$B$14,MtM!$E:$E,RESULTADO!BB$3)-SUMIFS(MtM!$N:$N,MtM!$I:$I,RESULTADO!$B17,MtM!$H:$H,RESULTADO!$B$14,MtM!$E:$E,RESULTADO!BB$3))</f>
        <v>0</v>
      </c>
      <c r="BC17" s="53">
        <f>(SUMIFS(MtM!$M:$M,MtM!$I:$I,RESULTADO!$B17,MtM!$H:$H,RESULTADO!$B$14,MtM!$E:$E,RESULTADO!BC$3)-SUMIFS(MtM!$N:$N,MtM!$I:$I,RESULTADO!$B17,MtM!$H:$H,RESULTADO!$B$14,MtM!$E:$E,RESULTADO!BC$3))</f>
        <v>0</v>
      </c>
      <c r="BD17" s="53">
        <f>(SUMIFS(MtM!$M:$M,MtM!$I:$I,RESULTADO!$B17,MtM!$H:$H,RESULTADO!$B$14,MtM!$E:$E,RESULTADO!BD$3)-SUMIFS(MtM!$N:$N,MtM!$I:$I,RESULTADO!$B17,MtM!$H:$H,RESULTADO!$B$14,MtM!$E:$E,RESULTADO!BD$3))</f>
        <v>0</v>
      </c>
      <c r="BE17" s="53">
        <f>(SUMIFS(MtM!$M:$M,MtM!$I:$I,RESULTADO!$B17,MtM!$H:$H,RESULTADO!$B$14,MtM!$E:$E,RESULTADO!BE$3)-SUMIFS(MtM!$N:$N,MtM!$I:$I,RESULTADO!$B17,MtM!$H:$H,RESULTADO!$B$14,MtM!$E:$E,RESULTADO!BE$3))</f>
        <v>0</v>
      </c>
      <c r="BF17" s="53">
        <f>(SUMIFS(MtM!$M:$M,MtM!$I:$I,RESULTADO!$B17,MtM!$H:$H,RESULTADO!$B$14,MtM!$E:$E,RESULTADO!BF$3)-SUMIFS(MtM!$N:$N,MtM!$I:$I,RESULTADO!$B17,MtM!$H:$H,RESULTADO!$B$14,MtM!$E:$E,RESULTADO!BF$3))</f>
        <v>0</v>
      </c>
      <c r="BG17" s="53">
        <f>(SUMIFS(MtM!$M:$M,MtM!$I:$I,RESULTADO!$B17,MtM!$H:$H,RESULTADO!$B$14,MtM!$E:$E,RESULTADO!BG$3)-SUMIFS(MtM!$N:$N,MtM!$I:$I,RESULTADO!$B17,MtM!$H:$H,RESULTADO!$B$14,MtM!$E:$E,RESULTADO!BG$3))</f>
        <v>0</v>
      </c>
      <c r="BH17" s="53">
        <f>(SUMIFS(MtM!$M:$M,MtM!$I:$I,RESULTADO!$B17,MtM!$H:$H,RESULTADO!$B$14,MtM!$E:$E,RESULTADO!BH$3)-SUMIFS(MtM!$N:$N,MtM!$I:$I,RESULTADO!$B17,MtM!$H:$H,RESULTADO!$B$14,MtM!$E:$E,RESULTADO!BH$3))</f>
        <v>0</v>
      </c>
      <c r="BI17" s="53">
        <f>(SUMIFS(MtM!$M:$M,MtM!$I:$I,RESULTADO!$B17,MtM!$H:$H,RESULTADO!$B$14,MtM!$E:$E,RESULTADO!BI$3)-SUMIFS(MtM!$N:$N,MtM!$I:$I,RESULTADO!$B17,MtM!$H:$H,RESULTADO!$B$14,MtM!$E:$E,RESULTADO!BI$3))</f>
        <v>0</v>
      </c>
      <c r="BJ17" s="63">
        <f>(SUMIFS(MtM!$M:$M,MtM!$I:$I,RESULTADO!$B17,MtM!$H:$H,RESULTADO!$B$14,MtM!$E:$E,RESULTADO!BJ$3)-SUMIFS(MtM!$N:$N,MtM!$I:$I,RESULTADO!$B17,MtM!$H:$H,RESULTADO!$B$14,MtM!$E:$E,RESULTADO!BJ$3))</f>
        <v>0</v>
      </c>
      <c r="BL17" s="120"/>
      <c r="BN17" s="57" t="s">
        <v>13</v>
      </c>
      <c r="BO17" s="53">
        <f>SUMIFS('MtM Releases'!$H:$H,'MtM Releases'!$G:$G,RESULTADO!$BN17,'MtM Releases'!$F:$F,RESULTADO!$BN14,'MtM Releases'!$D:$D,RESULTADO!BO$3)</f>
        <v>0</v>
      </c>
      <c r="BP17" s="53">
        <f>SUMIFS('MtM Releases'!$H:$H,'MtM Releases'!$G:$G,RESULTADO!$BN17,'MtM Releases'!$F:$F,RESULTADO!$BN14,'MtM Releases'!$D:$D,RESULTADO!BP$3)</f>
        <v>0</v>
      </c>
      <c r="BQ17" s="53">
        <f>SUMIFS('MtM Releases'!$H:$H,'MtM Releases'!$G:$G,RESULTADO!$BN17,'MtM Releases'!$F:$F,RESULTADO!$BN14,'MtM Releases'!$D:$D,RESULTADO!BQ$3)</f>
        <v>0</v>
      </c>
      <c r="BR17" s="53">
        <f>SUMIFS('MtM Releases'!$H:$H,'MtM Releases'!$G:$G,RESULTADO!$BN17,'MtM Releases'!$F:$F,RESULTADO!$BN14,'MtM Releases'!$D:$D,RESULTADO!BR$3)</f>
        <v>0</v>
      </c>
      <c r="BS17" s="53">
        <f>SUMIFS('MtM Releases'!$H:$H,'MtM Releases'!$G:$G,RESULTADO!$BN17,'MtM Releases'!$F:$F,RESULTADO!$BN14,'MtM Releases'!$D:$D,RESULTADO!BS$3)</f>
        <v>0</v>
      </c>
      <c r="BT17" s="53">
        <f>SUMIFS('MtM Releases'!$H:$H,'MtM Releases'!$G:$G,RESULTADO!$BN17,'MtM Releases'!$F:$F,RESULTADO!$BN14,'MtM Releases'!$D:$D,RESULTADO!BT$3)</f>
        <v>-2.82</v>
      </c>
      <c r="BU17" s="53">
        <f>SUMIFS('MtM Releases'!$H:$H,'MtM Releases'!$G:$G,RESULTADO!$BN17,'MtM Releases'!$F:$F,RESULTADO!$BN14,'MtM Releases'!$D:$D,RESULTADO!BU$3)</f>
        <v>-0.55700000000000005</v>
      </c>
      <c r="BV17" s="53">
        <f>SUMIFS('MtM Releases'!$H:$H,'MtM Releases'!$G:$G,RESULTADO!$BN17,'MtM Releases'!$F:$F,RESULTADO!$BN14,'MtM Releases'!$D:$D,RESULTADO!BV$3)</f>
        <v>0</v>
      </c>
      <c r="BW17" s="53">
        <f>SUMIFS('MtM Releases'!$H:$H,'MtM Releases'!$G:$G,RESULTADO!$BN17,'MtM Releases'!$F:$F,RESULTADO!$BN14,'MtM Releases'!$D:$D,RESULTADO!BW$3)</f>
        <v>0</v>
      </c>
      <c r="BX17" s="53">
        <f>SUMIFS('MtM Releases'!$H:$H,'MtM Releases'!$G:$G,RESULTADO!$BN17,'MtM Releases'!$F:$F,RESULTADO!$BN14,'MtM Releases'!$D:$D,RESULTADO!BX$3)</f>
        <v>0</v>
      </c>
      <c r="BY17" s="53">
        <f>SUMIFS('MtM Releases'!$H:$H,'MtM Releases'!$G:$G,RESULTADO!$BN17,'MtM Releases'!$F:$F,RESULTADO!$BN14,'MtM Releases'!$D:$D,RESULTADO!BY$3)</f>
        <v>0</v>
      </c>
      <c r="BZ17" s="54">
        <f>SUMIFS('MtM Releases'!$H:$H,'MtM Releases'!$G:$G,RESULTADO!$BN17,'MtM Releases'!$F:$F,RESULTADO!$BN14,'MtM Releases'!$D:$D,RESULTADO!BZ$3)</f>
        <v>0</v>
      </c>
      <c r="CA17" s="53">
        <f>SUMIFS('MtM Releases'!$H:$H,'MtM Releases'!$G:$G,RESULTADO!$BN17,'MtM Releases'!$F:$F,RESULTADO!$BN14,'MtM Releases'!$D:$D,RESULTADO!CA$3)</f>
        <v>0</v>
      </c>
      <c r="CB17" s="53">
        <f>SUMIFS('MtM Releases'!$H:$H,'MtM Releases'!$G:$G,RESULTADO!$BN17,'MtM Releases'!$F:$F,RESULTADO!$BN14,'MtM Releases'!$D:$D,RESULTADO!CB$3)</f>
        <v>0</v>
      </c>
      <c r="CC17" s="53">
        <f>SUMIFS('MtM Releases'!$H:$H,'MtM Releases'!$G:$G,RESULTADO!$BN17,'MtM Releases'!$F:$F,RESULTADO!$BN14,'MtM Releases'!$D:$D,RESULTADO!CC$3)</f>
        <v>0</v>
      </c>
      <c r="CD17" s="53">
        <f>SUMIFS('MtM Releases'!$H:$H,'MtM Releases'!$G:$G,RESULTADO!$BN17,'MtM Releases'!$F:$F,RESULTADO!$BN14,'MtM Releases'!$D:$D,RESULTADO!CD$3)</f>
        <v>0</v>
      </c>
      <c r="CE17" s="53">
        <f>SUMIFS('MtM Releases'!$H:$H,'MtM Releases'!$G:$G,RESULTADO!$BN17,'MtM Releases'!$F:$F,RESULTADO!$BN14,'MtM Releases'!$D:$D,RESULTADO!CE$3)</f>
        <v>0</v>
      </c>
      <c r="CF17" s="53">
        <f>SUMIFS('MtM Releases'!$H:$H,'MtM Releases'!$G:$G,RESULTADO!$BN17,'MtM Releases'!$F:$F,RESULTADO!$BN14,'MtM Releases'!$D:$D,RESULTADO!CF$3)</f>
        <v>0</v>
      </c>
      <c r="CG17" s="53">
        <f>SUMIFS('MtM Releases'!$H:$H,'MtM Releases'!$G:$G,RESULTADO!$BN17,'MtM Releases'!$F:$F,RESULTADO!$BN14,'MtM Releases'!$D:$D,RESULTADO!CG$3)</f>
        <v>0</v>
      </c>
      <c r="CH17" s="53">
        <f>SUMIFS('MtM Releases'!$H:$H,'MtM Releases'!$G:$G,RESULTADO!$BN17,'MtM Releases'!$F:$F,RESULTADO!$BN14,'MtM Releases'!$D:$D,RESULTADO!CH$3)</f>
        <v>0</v>
      </c>
      <c r="CI17" s="53">
        <f>SUMIFS('MtM Releases'!$H:$H,'MtM Releases'!$G:$G,RESULTADO!$BN17,'MtM Releases'!$F:$F,RESULTADO!$BN14,'MtM Releases'!$D:$D,RESULTADO!CI$3)</f>
        <v>0</v>
      </c>
      <c r="CJ17" s="53">
        <f>SUMIFS('MtM Releases'!$H:$H,'MtM Releases'!$G:$G,RESULTADO!$BN17,'MtM Releases'!$F:$F,RESULTADO!$BN14,'MtM Releases'!$D:$D,RESULTADO!CJ$3)</f>
        <v>0</v>
      </c>
      <c r="CK17" s="53">
        <f>SUMIFS('MtM Releases'!$H:$H,'MtM Releases'!$G:$G,RESULTADO!$BN17,'MtM Releases'!$F:$F,RESULTADO!$BN14,'MtM Releases'!$D:$D,RESULTADO!CK$3)</f>
        <v>0</v>
      </c>
      <c r="CL17" s="63">
        <f>SUMIFS('MtM Releases'!$H:$H,'MtM Releases'!$G:$G,RESULTADO!$BN17,'MtM Releases'!$F:$F,RESULTADO!$BN14,'MtM Releases'!$D:$D,RESULTADO!CL$3)</f>
        <v>0</v>
      </c>
      <c r="CM17" s="53">
        <f>SUMIFS('MtM Releases'!$H:$H,'MtM Releases'!$G:$G,RESULTADO!$BN17,'MtM Releases'!$F:$F,RESULTADO!$BN14,'MtM Releases'!$D:$D,RESULTADO!CM$3)</f>
        <v>0</v>
      </c>
      <c r="CN17" s="53">
        <f>SUMIFS('MtM Releases'!$H:$H,'MtM Releases'!$G:$G,RESULTADO!$BN17,'MtM Releases'!$F:$F,RESULTADO!$BN14,'MtM Releases'!$D:$D,RESULTADO!CN$3)</f>
        <v>0</v>
      </c>
      <c r="CO17" s="53">
        <f>SUMIFS('MtM Releases'!$H:$H,'MtM Releases'!$G:$G,RESULTADO!$BN17,'MtM Releases'!$F:$F,RESULTADO!$BN14,'MtM Releases'!$D:$D,RESULTADO!CO$3)</f>
        <v>0</v>
      </c>
      <c r="CP17" s="53">
        <f>SUMIFS('MtM Releases'!$H:$H,'MtM Releases'!$G:$G,RESULTADO!$BN17,'MtM Releases'!$F:$F,RESULTADO!$BN14,'MtM Releases'!$D:$D,RESULTADO!CP$3)</f>
        <v>0</v>
      </c>
      <c r="CQ17" s="53">
        <f>SUMIFS('MtM Releases'!$H:$H,'MtM Releases'!$G:$G,RESULTADO!$BN17,'MtM Releases'!$F:$F,RESULTADO!$BN14,'MtM Releases'!$D:$D,RESULTADO!CQ$3)</f>
        <v>0</v>
      </c>
      <c r="CR17" s="53">
        <f>SUMIFS('MtM Releases'!$H:$H,'MtM Releases'!$G:$G,RESULTADO!$BN17,'MtM Releases'!$F:$F,RESULTADO!$BN14,'MtM Releases'!$D:$D,RESULTADO!CR$3)</f>
        <v>0</v>
      </c>
      <c r="CS17" s="53">
        <f>SUMIFS('MtM Releases'!$H:$H,'MtM Releases'!$G:$G,RESULTADO!$BN17,'MtM Releases'!$F:$F,RESULTADO!$BN14,'MtM Releases'!$D:$D,RESULTADO!CS$3)</f>
        <v>0</v>
      </c>
      <c r="CT17" s="53">
        <f>SUMIFS('MtM Releases'!$H:$H,'MtM Releases'!$G:$G,RESULTADO!$BN17,'MtM Releases'!$F:$F,RESULTADO!$BN14,'MtM Releases'!$D:$D,RESULTADO!CT$3)</f>
        <v>0</v>
      </c>
      <c r="CU17" s="53">
        <f>SUMIFS('MtM Releases'!$H:$H,'MtM Releases'!$G:$G,RESULTADO!$BN17,'MtM Releases'!$F:$F,RESULTADO!$BN14,'MtM Releases'!$D:$D,RESULTADO!CU$3)</f>
        <v>0</v>
      </c>
      <c r="CV17" s="53">
        <f>SUMIFS('MtM Releases'!$H:$H,'MtM Releases'!$G:$G,RESULTADO!$BN17,'MtM Releases'!$F:$F,RESULTADO!$BN14,'MtM Releases'!$D:$D,RESULTADO!CV$3)</f>
        <v>0</v>
      </c>
      <c r="CW17" s="53">
        <f>SUMIFS('MtM Releases'!$H:$H,'MtM Releases'!$G:$G,RESULTADO!$BN17,'MtM Releases'!$F:$F,RESULTADO!$BN14,'MtM Releases'!$D:$D,RESULTADO!CW$3)</f>
        <v>0</v>
      </c>
      <c r="CX17" s="54">
        <f>SUMIFS('MtM Releases'!$H:$H,'MtM Releases'!$G:$G,RESULTADO!$BN17,'MtM Releases'!$F:$F,RESULTADO!$BN14,'MtM Releases'!$D:$D,RESULTADO!CX$3)</f>
        <v>0</v>
      </c>
      <c r="CY17" s="53">
        <f>SUMIFS('MtM Releases'!$H:$H,'MtM Releases'!$G:$G,RESULTADO!$BN17,'MtM Releases'!$F:$F,RESULTADO!$BN14,'MtM Releases'!$D:$D,RESULTADO!CY$3)</f>
        <v>0</v>
      </c>
      <c r="CZ17" s="53">
        <f>SUMIFS('MtM Releases'!$H:$H,'MtM Releases'!$G:$G,RESULTADO!$BN17,'MtM Releases'!$F:$F,RESULTADO!$BN14,'MtM Releases'!$D:$D,RESULTADO!CZ$3)</f>
        <v>0</v>
      </c>
      <c r="DA17" s="53">
        <f>SUMIFS('MtM Releases'!$H:$H,'MtM Releases'!$G:$G,RESULTADO!$BN17,'MtM Releases'!$F:$F,RESULTADO!$BN14,'MtM Releases'!$D:$D,RESULTADO!DA$3)</f>
        <v>0</v>
      </c>
      <c r="DB17" s="53">
        <f>SUMIFS('MtM Releases'!$H:$H,'MtM Releases'!$G:$G,RESULTADO!$BN17,'MtM Releases'!$F:$F,RESULTADO!$BN14,'MtM Releases'!$D:$D,RESULTADO!DB$3)</f>
        <v>0</v>
      </c>
      <c r="DC17" s="53">
        <f>SUMIFS('MtM Releases'!$H:$H,'MtM Releases'!$G:$G,RESULTADO!$BN17,'MtM Releases'!$F:$F,RESULTADO!$BN14,'MtM Releases'!$D:$D,RESULTADO!DC$3)</f>
        <v>0</v>
      </c>
      <c r="DD17" s="53">
        <f>SUMIFS('MtM Releases'!$H:$H,'MtM Releases'!$G:$G,RESULTADO!$BN17,'MtM Releases'!$F:$F,RESULTADO!$BN14,'MtM Releases'!$D:$D,RESULTADO!DD$3)</f>
        <v>0</v>
      </c>
      <c r="DE17" s="53">
        <f>SUMIFS('MtM Releases'!$H:$H,'MtM Releases'!$G:$G,RESULTADO!$BN17,'MtM Releases'!$F:$F,RESULTADO!$BN14,'MtM Releases'!$D:$D,RESULTADO!DE$3)</f>
        <v>0</v>
      </c>
      <c r="DF17" s="53">
        <f>SUMIFS('MtM Releases'!$H:$H,'MtM Releases'!$G:$G,RESULTADO!$BN17,'MtM Releases'!$F:$F,RESULTADO!$BN14,'MtM Releases'!$D:$D,RESULTADO!DF$3)</f>
        <v>0</v>
      </c>
      <c r="DG17" s="53">
        <f>SUMIFS('MtM Releases'!$H:$H,'MtM Releases'!$G:$G,RESULTADO!$BN17,'MtM Releases'!$F:$F,RESULTADO!$BN14,'MtM Releases'!$D:$D,RESULTADO!DG$3)</f>
        <v>0</v>
      </c>
      <c r="DH17" s="53">
        <f>SUMIFS('MtM Releases'!$H:$H,'MtM Releases'!$G:$G,RESULTADO!$BN17,'MtM Releases'!$F:$F,RESULTADO!$BN14,'MtM Releases'!$D:$D,RESULTADO!DH$3)</f>
        <v>0</v>
      </c>
      <c r="DI17" s="53">
        <f>SUMIFS('MtM Releases'!$H:$H,'MtM Releases'!$G:$G,RESULTADO!$BN17,'MtM Releases'!$F:$F,RESULTADO!$BN14,'MtM Releases'!$D:$D,RESULTADO!DI$3)</f>
        <v>0</v>
      </c>
      <c r="DJ17" s="63">
        <f>SUMIFS('MtM Releases'!$H:$H,'MtM Releases'!$G:$G,RESULTADO!$BN17,'MtM Releases'!$F:$F,RESULTADO!$BN14,'MtM Releases'!$D:$D,RESULTADO!DJ$3)</f>
        <v>0</v>
      </c>
      <c r="DK17" s="53">
        <f>SUMIFS('MtM Releases'!$H:$H,'MtM Releases'!$G:$G,RESULTADO!$BN17,'MtM Releases'!$F:$F,RESULTADO!$BN14,'MtM Releases'!$D:$D,RESULTADO!DK$3)</f>
        <v>0</v>
      </c>
      <c r="DL17" s="53">
        <f>SUMIFS('MtM Releases'!$H:$H,'MtM Releases'!$G:$G,RESULTADO!$BN17,'MtM Releases'!$F:$F,RESULTADO!$BN14,'MtM Releases'!$D:$D,RESULTADO!DL$3)</f>
        <v>0</v>
      </c>
      <c r="DM17" s="53">
        <f>SUMIFS('MtM Releases'!$H:$H,'MtM Releases'!$G:$G,RESULTADO!$BN17,'MtM Releases'!$F:$F,RESULTADO!$BN14,'MtM Releases'!$D:$D,RESULTADO!DM$3)</f>
        <v>0</v>
      </c>
      <c r="DN17" s="53">
        <f>SUMIFS('MtM Releases'!$H:$H,'MtM Releases'!$G:$G,RESULTADO!$BN17,'MtM Releases'!$F:$F,RESULTADO!$BN14,'MtM Releases'!$D:$D,RESULTADO!DN$3)</f>
        <v>0</v>
      </c>
      <c r="DO17" s="53">
        <f>SUMIFS('MtM Releases'!$H:$H,'MtM Releases'!$G:$G,RESULTADO!$BN17,'MtM Releases'!$F:$F,RESULTADO!$BN14,'MtM Releases'!$D:$D,RESULTADO!DO$3)</f>
        <v>0</v>
      </c>
      <c r="DP17" s="53">
        <f>SUMIFS('MtM Releases'!$H:$H,'MtM Releases'!$G:$G,RESULTADO!$BN17,'MtM Releases'!$F:$F,RESULTADO!$BN14,'MtM Releases'!$D:$D,RESULTADO!DP$3)</f>
        <v>0</v>
      </c>
      <c r="DQ17" s="53">
        <f>SUMIFS('MtM Releases'!$H:$H,'MtM Releases'!$G:$G,RESULTADO!$BN17,'MtM Releases'!$F:$F,RESULTADO!$BN14,'MtM Releases'!$D:$D,RESULTADO!DQ$3)</f>
        <v>0</v>
      </c>
      <c r="DR17" s="53">
        <f>SUMIFS('MtM Releases'!$H:$H,'MtM Releases'!$G:$G,RESULTADO!$BN17,'MtM Releases'!$F:$F,RESULTADO!$BN14,'MtM Releases'!$D:$D,RESULTADO!DR$3)</f>
        <v>0</v>
      </c>
      <c r="DS17" s="53">
        <f>SUMIFS('MtM Releases'!$H:$H,'MtM Releases'!$G:$G,RESULTADO!$BN17,'MtM Releases'!$F:$F,RESULTADO!$BN14,'MtM Releases'!$D:$D,RESULTADO!DS$3)</f>
        <v>0</v>
      </c>
      <c r="DT17" s="53">
        <f>SUMIFS('MtM Releases'!$H:$H,'MtM Releases'!$G:$G,RESULTADO!$BN17,'MtM Releases'!$F:$F,RESULTADO!$BN14,'MtM Releases'!$D:$D,RESULTADO!DT$3)</f>
        <v>0</v>
      </c>
      <c r="DU17" s="53">
        <f>SUMIFS('MtM Releases'!$H:$H,'MtM Releases'!$G:$G,RESULTADO!$BN17,'MtM Releases'!$F:$F,RESULTADO!$BN14,'MtM Releases'!$D:$D,RESULTADO!DU$3)</f>
        <v>0</v>
      </c>
      <c r="DV17" s="63">
        <f>SUMIFS('MtM Releases'!$H:$H,'MtM Releases'!$G:$G,RESULTADO!$BN17,'MtM Releases'!$F:$F,RESULTADO!$BN14,'MtM Releases'!$D:$D,RESULTADO!DV$3)</f>
        <v>0</v>
      </c>
      <c r="EB17" s="11"/>
    </row>
    <row r="18" spans="2:132" x14ac:dyDescent="0.25">
      <c r="B18" s="57" t="s">
        <v>11</v>
      </c>
      <c r="C18" s="53">
        <f>(SUMIFS(MtM!$M:$M,MtM!$I:$I,RESULTADO!$B18,MtM!$H:$H,RESULTADO!$B$14,MtM!$E:$E,RESULTADO!C$3)-SUMIFS(MtM!$N:$N,MtM!$I:$I,RESULTADO!$B18,MtM!$H:$H,RESULTADO!$B$14,MtM!$E:$E,RESULTADO!C$3))</f>
        <v>0</v>
      </c>
      <c r="D18" s="53">
        <f>(SUMIFS(MtM!$M:$M,MtM!$I:$I,RESULTADO!$B18,MtM!$H:$H,RESULTADO!$B$14,MtM!$E:$E,RESULTADO!D$3)-SUMIFS(MtM!$N:$N,MtM!$I:$I,RESULTADO!$B18,MtM!$H:$H,RESULTADO!$B$14,MtM!$E:$E,RESULTADO!D$3))</f>
        <v>0</v>
      </c>
      <c r="E18" s="53">
        <f>(SUMIFS(MtM!$M:$M,MtM!$I:$I,RESULTADO!$B18,MtM!$H:$H,RESULTADO!$B$14,MtM!$E:$E,RESULTADO!E$3)-SUMIFS(MtM!$N:$N,MtM!$I:$I,RESULTADO!$B18,MtM!$H:$H,RESULTADO!$B$14,MtM!$E:$E,RESULTADO!E$3))</f>
        <v>0</v>
      </c>
      <c r="F18" s="53">
        <f>(SUMIFS(MtM!$M:$M,MtM!$I:$I,RESULTADO!$B18,MtM!$H:$H,RESULTADO!$B$14,MtM!$E:$E,RESULTADO!F$3)-SUMIFS(MtM!$N:$N,MtM!$I:$I,RESULTADO!$B18,MtM!$H:$H,RESULTADO!$B$14,MtM!$E:$E,RESULTADO!F$3))</f>
        <v>0</v>
      </c>
      <c r="G18" s="53">
        <f>(SUMIFS(MtM!$M:$M,MtM!$I:$I,RESULTADO!$B18,MtM!$H:$H,RESULTADO!$B$14,MtM!$E:$E,RESULTADO!G$3)-SUMIFS(MtM!$N:$N,MtM!$I:$I,RESULTADO!$B18,MtM!$H:$H,RESULTADO!$B$14,MtM!$E:$E,RESULTADO!G$3))</f>
        <v>0</v>
      </c>
      <c r="H18" s="53">
        <f>(SUMIFS(MtM!$M:$M,MtM!$I:$I,RESULTADO!$B18,MtM!$H:$H,RESULTADO!$B$14,MtM!$E:$E,RESULTADO!H$3)-SUMIFS(MtM!$N:$N,MtM!$I:$I,RESULTADO!$B18,MtM!$H:$H,RESULTADO!$B$14,MtM!$E:$E,RESULTADO!H$3))</f>
        <v>0</v>
      </c>
      <c r="I18" s="53">
        <f>(SUMIFS(MtM!$M:$M,MtM!$I:$I,RESULTADO!$B18,MtM!$H:$H,RESULTADO!$B$14,MtM!$E:$E,RESULTADO!I$3)-SUMIFS(MtM!$N:$N,MtM!$I:$I,RESULTADO!$B18,MtM!$H:$H,RESULTADO!$B$14,MtM!$E:$E,RESULTADO!I$3))</f>
        <v>0</v>
      </c>
      <c r="J18" s="53">
        <f>(SUMIFS(MtM!$M:$M,MtM!$I:$I,RESULTADO!$B18,MtM!$H:$H,RESULTADO!$B$14,MtM!$E:$E,RESULTADO!J$3)-SUMIFS(MtM!$N:$N,MtM!$I:$I,RESULTADO!$B18,MtM!$H:$H,RESULTADO!$B$14,MtM!$E:$E,RESULTADO!J$3))</f>
        <v>0</v>
      </c>
      <c r="K18" s="53">
        <f>(SUMIFS(MtM!$M:$M,MtM!$I:$I,RESULTADO!$B18,MtM!$H:$H,RESULTADO!$B$14,MtM!$E:$E,RESULTADO!K$3)-SUMIFS(MtM!$N:$N,MtM!$I:$I,RESULTADO!$B18,MtM!$H:$H,RESULTADO!$B$14,MtM!$E:$E,RESULTADO!K$3))</f>
        <v>0</v>
      </c>
      <c r="L18" s="53">
        <f>(SUMIFS(MtM!$M:$M,MtM!$I:$I,RESULTADO!$B18,MtM!$H:$H,RESULTADO!$B$14,MtM!$E:$E,RESULTADO!L$3)-SUMIFS(MtM!$N:$N,MtM!$I:$I,RESULTADO!$B18,MtM!$H:$H,RESULTADO!$B$14,MtM!$E:$E,RESULTADO!L$3))</f>
        <v>0</v>
      </c>
      <c r="M18" s="53">
        <f>(SUMIFS(MtM!$M:$M,MtM!$I:$I,RESULTADO!$B18,MtM!$H:$H,RESULTADO!$B$14,MtM!$E:$E,RESULTADO!M$3)-SUMIFS(MtM!$N:$N,MtM!$I:$I,RESULTADO!$B18,MtM!$H:$H,RESULTADO!$B$14,MtM!$E:$E,RESULTADO!M$3))</f>
        <v>0</v>
      </c>
      <c r="N18" s="54">
        <f>(SUMIFS(MtM!$M:$M,MtM!$I:$I,RESULTADO!$B18,MtM!$H:$H,RESULTADO!$B$14,MtM!$E:$E,RESULTADO!N$3)-SUMIFS(MtM!$N:$N,MtM!$I:$I,RESULTADO!$B18,MtM!$H:$H,RESULTADO!$B$14,MtM!$E:$E,RESULTADO!N$3))</f>
        <v>0</v>
      </c>
      <c r="O18" s="53">
        <f>(SUMIFS(MtM!$M:$M,MtM!$I:$I,RESULTADO!$B18,MtM!$H:$H,RESULTADO!$B$14,MtM!$E:$E,RESULTADO!O$3)-SUMIFS(MtM!$N:$N,MtM!$I:$I,RESULTADO!$B18,MtM!$H:$H,RESULTADO!$B$14,MtM!$E:$E,RESULTADO!O$3))</f>
        <v>0</v>
      </c>
      <c r="P18" s="53">
        <f>(SUMIFS(MtM!$M:$M,MtM!$I:$I,RESULTADO!$B18,MtM!$H:$H,RESULTADO!$B$14,MtM!$E:$E,RESULTADO!P$3)-SUMIFS(MtM!$N:$N,MtM!$I:$I,RESULTADO!$B18,MtM!$H:$H,RESULTADO!$B$14,MtM!$E:$E,RESULTADO!P$3))</f>
        <v>0</v>
      </c>
      <c r="Q18" s="53">
        <f>(SUMIFS(MtM!$M:$M,MtM!$I:$I,RESULTADO!$B18,MtM!$H:$H,RESULTADO!$B$14,MtM!$E:$E,RESULTADO!Q$3)-SUMIFS(MtM!$N:$N,MtM!$I:$I,RESULTADO!$B18,MtM!$H:$H,RESULTADO!$B$14,MtM!$E:$E,RESULTADO!Q$3))</f>
        <v>0</v>
      </c>
      <c r="R18" s="53">
        <f>(SUMIFS(MtM!$M:$M,MtM!$I:$I,RESULTADO!$B18,MtM!$H:$H,RESULTADO!$B$14,MtM!$E:$E,RESULTADO!R$3)-SUMIFS(MtM!$N:$N,MtM!$I:$I,RESULTADO!$B18,MtM!$H:$H,RESULTADO!$B$14,MtM!$E:$E,RESULTADO!R$3))</f>
        <v>0</v>
      </c>
      <c r="S18" s="53">
        <f>(SUMIFS(MtM!$M:$M,MtM!$I:$I,RESULTADO!$B18,MtM!$H:$H,RESULTADO!$B$14,MtM!$E:$E,RESULTADO!S$3)-SUMIFS(MtM!$N:$N,MtM!$I:$I,RESULTADO!$B18,MtM!$H:$H,RESULTADO!$B$14,MtM!$E:$E,RESULTADO!S$3))</f>
        <v>0</v>
      </c>
      <c r="T18" s="53">
        <f>(SUMIFS(MtM!$M:$M,MtM!$I:$I,RESULTADO!$B18,MtM!$H:$H,RESULTADO!$B$14,MtM!$E:$E,RESULTADO!T$3)-SUMIFS(MtM!$N:$N,MtM!$I:$I,RESULTADO!$B18,MtM!$H:$H,RESULTADO!$B$14,MtM!$E:$E,RESULTADO!T$3))</f>
        <v>0</v>
      </c>
      <c r="U18" s="53">
        <f>(SUMIFS(MtM!$M:$M,MtM!$I:$I,RESULTADO!$B18,MtM!$H:$H,RESULTADO!$B$14,MtM!$E:$E,RESULTADO!U$3)-SUMIFS(MtM!$N:$N,MtM!$I:$I,RESULTADO!$B18,MtM!$H:$H,RESULTADO!$B$14,MtM!$E:$E,RESULTADO!U$3))</f>
        <v>0</v>
      </c>
      <c r="V18" s="53">
        <f>(SUMIFS(MtM!$M:$M,MtM!$I:$I,RESULTADO!$B18,MtM!$H:$H,RESULTADO!$B$14,MtM!$E:$E,RESULTADO!V$3)-SUMIFS(MtM!$N:$N,MtM!$I:$I,RESULTADO!$B18,MtM!$H:$H,RESULTADO!$B$14,MtM!$E:$E,RESULTADO!V$3))</f>
        <v>0</v>
      </c>
      <c r="W18" s="53">
        <f>(SUMIFS(MtM!$M:$M,MtM!$I:$I,RESULTADO!$B18,MtM!$H:$H,RESULTADO!$B$14,MtM!$E:$E,RESULTADO!W$3)-SUMIFS(MtM!$N:$N,MtM!$I:$I,RESULTADO!$B18,MtM!$H:$H,RESULTADO!$B$14,MtM!$E:$E,RESULTADO!W$3))</f>
        <v>0</v>
      </c>
      <c r="X18" s="53">
        <f>(SUMIFS(MtM!$M:$M,MtM!$I:$I,RESULTADO!$B18,MtM!$H:$H,RESULTADO!$B$14,MtM!$E:$E,RESULTADO!X$3)-SUMIFS(MtM!$N:$N,MtM!$I:$I,RESULTADO!$B18,MtM!$H:$H,RESULTADO!$B$14,MtM!$E:$E,RESULTADO!X$3))</f>
        <v>0</v>
      </c>
      <c r="Y18" s="53">
        <f>(SUMIFS(MtM!$M:$M,MtM!$I:$I,RESULTADO!$B18,MtM!$H:$H,RESULTADO!$B$14,MtM!$E:$E,RESULTADO!Y$3)-SUMIFS(MtM!$N:$N,MtM!$I:$I,RESULTADO!$B18,MtM!$H:$H,RESULTADO!$B$14,MtM!$E:$E,RESULTADO!Y$3))</f>
        <v>0</v>
      </c>
      <c r="Z18" s="63">
        <f>(SUMIFS(MtM!$M:$M,MtM!$I:$I,RESULTADO!$B18,MtM!$H:$H,RESULTADO!$B$14,MtM!$E:$E,RESULTADO!Z$3)-SUMIFS(MtM!$N:$N,MtM!$I:$I,RESULTADO!$B18,MtM!$H:$H,RESULTADO!$B$14,MtM!$E:$E,RESULTADO!Z$3))</f>
        <v>0</v>
      </c>
      <c r="AA18" s="53">
        <f>(SUMIFS(MtM!$M:$M,MtM!$I:$I,RESULTADO!$B18,MtM!$H:$H,RESULTADO!$B$14,MtM!$E:$E,RESULTADO!AA$3)-SUMIFS(MtM!$N:$N,MtM!$I:$I,RESULTADO!$B18,MtM!$H:$H,RESULTADO!$B$14,MtM!$E:$E,RESULTADO!AA$3))</f>
        <v>0</v>
      </c>
      <c r="AB18" s="53">
        <f>(SUMIFS(MtM!$M:$M,MtM!$I:$I,RESULTADO!$B18,MtM!$H:$H,RESULTADO!$B$14,MtM!$E:$E,RESULTADO!AB$3)-SUMIFS(MtM!$N:$N,MtM!$I:$I,RESULTADO!$B18,MtM!$H:$H,RESULTADO!$B$14,MtM!$E:$E,RESULTADO!AB$3))</f>
        <v>0</v>
      </c>
      <c r="AC18" s="53">
        <f>(SUMIFS(MtM!$M:$M,MtM!$I:$I,RESULTADO!$B18,MtM!$H:$H,RESULTADO!$B$14,MtM!$E:$E,RESULTADO!AC$3)-SUMIFS(MtM!$N:$N,MtM!$I:$I,RESULTADO!$B18,MtM!$H:$H,RESULTADO!$B$14,MtM!$E:$E,RESULTADO!AC$3))</f>
        <v>0</v>
      </c>
      <c r="AD18" s="53">
        <f>(SUMIFS(MtM!$M:$M,MtM!$I:$I,RESULTADO!$B18,MtM!$H:$H,RESULTADO!$B$14,MtM!$E:$E,RESULTADO!AD$3)-SUMIFS(MtM!$N:$N,MtM!$I:$I,RESULTADO!$B18,MtM!$H:$H,RESULTADO!$B$14,MtM!$E:$E,RESULTADO!AD$3))</f>
        <v>0</v>
      </c>
      <c r="AE18" s="53">
        <f>(SUMIFS(MtM!$M:$M,MtM!$I:$I,RESULTADO!$B18,MtM!$H:$H,RESULTADO!$B$14,MtM!$E:$E,RESULTADO!AE$3)-SUMIFS(MtM!$N:$N,MtM!$I:$I,RESULTADO!$B18,MtM!$H:$H,RESULTADO!$B$14,MtM!$E:$E,RESULTADO!AE$3))</f>
        <v>0</v>
      </c>
      <c r="AF18" s="53">
        <f>(SUMIFS(MtM!$M:$M,MtM!$I:$I,RESULTADO!$B18,MtM!$H:$H,RESULTADO!$B$14,MtM!$E:$E,RESULTADO!AF$3)-SUMIFS(MtM!$N:$N,MtM!$I:$I,RESULTADO!$B18,MtM!$H:$H,RESULTADO!$B$14,MtM!$E:$E,RESULTADO!AF$3))</f>
        <v>0</v>
      </c>
      <c r="AG18" s="53">
        <f>(SUMIFS(MtM!$M:$M,MtM!$I:$I,RESULTADO!$B18,MtM!$H:$H,RESULTADO!$B$14,MtM!$E:$E,RESULTADO!AG$3)-SUMIFS(MtM!$N:$N,MtM!$I:$I,RESULTADO!$B18,MtM!$H:$H,RESULTADO!$B$14,MtM!$E:$E,RESULTADO!AG$3))</f>
        <v>0</v>
      </c>
      <c r="AH18" s="53">
        <f>(SUMIFS(MtM!$M:$M,MtM!$I:$I,RESULTADO!$B18,MtM!$H:$H,RESULTADO!$B$14,MtM!$E:$E,RESULTADO!AH$3)-SUMIFS(MtM!$N:$N,MtM!$I:$I,RESULTADO!$B18,MtM!$H:$H,RESULTADO!$B$14,MtM!$E:$E,RESULTADO!AH$3))</f>
        <v>0</v>
      </c>
      <c r="AI18" s="53">
        <f>(SUMIFS(MtM!$M:$M,MtM!$I:$I,RESULTADO!$B18,MtM!$H:$H,RESULTADO!$B$14,MtM!$E:$E,RESULTADO!AI$3)-SUMIFS(MtM!$N:$N,MtM!$I:$I,RESULTADO!$B18,MtM!$H:$H,RESULTADO!$B$14,MtM!$E:$E,RESULTADO!AI$3))</f>
        <v>0</v>
      </c>
      <c r="AJ18" s="53">
        <f>(SUMIFS(MtM!$M:$M,MtM!$I:$I,RESULTADO!$B18,MtM!$H:$H,RESULTADO!$B$14,MtM!$E:$E,RESULTADO!AJ$3)-SUMIFS(MtM!$N:$N,MtM!$I:$I,RESULTADO!$B18,MtM!$H:$H,RESULTADO!$B$14,MtM!$E:$E,RESULTADO!AJ$3))</f>
        <v>0</v>
      </c>
      <c r="AK18" s="53">
        <f>(SUMIFS(MtM!$M:$M,MtM!$I:$I,RESULTADO!$B18,MtM!$H:$H,RESULTADO!$B$14,MtM!$E:$E,RESULTADO!AK$3)-SUMIFS(MtM!$N:$N,MtM!$I:$I,RESULTADO!$B18,MtM!$H:$H,RESULTADO!$B$14,MtM!$E:$E,RESULTADO!AK$3))</f>
        <v>0</v>
      </c>
      <c r="AL18" s="54">
        <f>(SUMIFS(MtM!$M:$M,MtM!$I:$I,RESULTADO!$B18,MtM!$H:$H,RESULTADO!$B$14,MtM!$E:$E,RESULTADO!AL$3)-SUMIFS(MtM!$N:$N,MtM!$I:$I,RESULTADO!$B18,MtM!$H:$H,RESULTADO!$B$14,MtM!$E:$E,RESULTADO!AL$3))</f>
        <v>0</v>
      </c>
      <c r="AM18" s="53">
        <f>(SUMIFS(MtM!$M:$M,MtM!$I:$I,RESULTADO!$B18,MtM!$H:$H,RESULTADO!$B$14,MtM!$E:$E,RESULTADO!AM$3)-SUMIFS(MtM!$N:$N,MtM!$I:$I,RESULTADO!$B18,MtM!$H:$H,RESULTADO!$B$14,MtM!$E:$E,RESULTADO!AM$3))</f>
        <v>0</v>
      </c>
      <c r="AN18" s="53">
        <f>(SUMIFS(MtM!$M:$M,MtM!$I:$I,RESULTADO!$B18,MtM!$H:$H,RESULTADO!$B$14,MtM!$E:$E,RESULTADO!AN$3)-SUMIFS(MtM!$N:$N,MtM!$I:$I,RESULTADO!$B18,MtM!$H:$H,RESULTADO!$B$14,MtM!$E:$E,RESULTADO!AN$3))</f>
        <v>0</v>
      </c>
      <c r="AO18" s="53">
        <f>(SUMIFS(MtM!$M:$M,MtM!$I:$I,RESULTADO!$B18,MtM!$H:$H,RESULTADO!$B$14,MtM!$E:$E,RESULTADO!AO$3)-SUMIFS(MtM!$N:$N,MtM!$I:$I,RESULTADO!$B18,MtM!$H:$H,RESULTADO!$B$14,MtM!$E:$E,RESULTADO!AO$3))</f>
        <v>0</v>
      </c>
      <c r="AP18" s="53">
        <f>(SUMIFS(MtM!$M:$M,MtM!$I:$I,RESULTADO!$B18,MtM!$H:$H,RESULTADO!$B$14,MtM!$E:$E,RESULTADO!AP$3)-SUMIFS(MtM!$N:$N,MtM!$I:$I,RESULTADO!$B18,MtM!$H:$H,RESULTADO!$B$14,MtM!$E:$E,RESULTADO!AP$3))</f>
        <v>0</v>
      </c>
      <c r="AQ18" s="53">
        <f>(SUMIFS(MtM!$M:$M,MtM!$I:$I,RESULTADO!$B18,MtM!$H:$H,RESULTADO!$B$14,MtM!$E:$E,RESULTADO!AQ$3)-SUMIFS(MtM!$N:$N,MtM!$I:$I,RESULTADO!$B18,MtM!$H:$H,RESULTADO!$B$14,MtM!$E:$E,RESULTADO!AQ$3))</f>
        <v>0</v>
      </c>
      <c r="AR18" s="53">
        <f>(SUMIFS(MtM!$M:$M,MtM!$I:$I,RESULTADO!$B18,MtM!$H:$H,RESULTADO!$B$14,MtM!$E:$E,RESULTADO!AR$3)-SUMIFS(MtM!$N:$N,MtM!$I:$I,RESULTADO!$B18,MtM!$H:$H,RESULTADO!$B$14,MtM!$E:$E,RESULTADO!AR$3))</f>
        <v>0</v>
      </c>
      <c r="AS18" s="53">
        <f>(SUMIFS(MtM!$M:$M,MtM!$I:$I,RESULTADO!$B18,MtM!$H:$H,RESULTADO!$B$14,MtM!$E:$E,RESULTADO!AS$3)-SUMIFS(MtM!$N:$N,MtM!$I:$I,RESULTADO!$B18,MtM!$H:$H,RESULTADO!$B$14,MtM!$E:$E,RESULTADO!AS$3))</f>
        <v>0</v>
      </c>
      <c r="AT18" s="53">
        <f>(SUMIFS(MtM!$M:$M,MtM!$I:$I,RESULTADO!$B18,MtM!$H:$H,RESULTADO!$B$14,MtM!$E:$E,RESULTADO!AT$3)-SUMIFS(MtM!$N:$N,MtM!$I:$I,RESULTADO!$B18,MtM!$H:$H,RESULTADO!$B$14,MtM!$E:$E,RESULTADO!AT$3))</f>
        <v>0</v>
      </c>
      <c r="AU18" s="53">
        <f>(SUMIFS(MtM!$M:$M,MtM!$I:$I,RESULTADO!$B18,MtM!$H:$H,RESULTADO!$B$14,MtM!$E:$E,RESULTADO!AU$3)-SUMIFS(MtM!$N:$N,MtM!$I:$I,RESULTADO!$B18,MtM!$H:$H,RESULTADO!$B$14,MtM!$E:$E,RESULTADO!AU$3))</f>
        <v>0</v>
      </c>
      <c r="AV18" s="53">
        <f>(SUMIFS(MtM!$M:$M,MtM!$I:$I,RESULTADO!$B18,MtM!$H:$H,RESULTADO!$B$14,MtM!$E:$E,RESULTADO!AV$3)-SUMIFS(MtM!$N:$N,MtM!$I:$I,RESULTADO!$B18,MtM!$H:$H,RESULTADO!$B$14,MtM!$E:$E,RESULTADO!AV$3))</f>
        <v>0</v>
      </c>
      <c r="AW18" s="53">
        <f>(SUMIFS(MtM!$M:$M,MtM!$I:$I,RESULTADO!$B18,MtM!$H:$H,RESULTADO!$B$14,MtM!$E:$E,RESULTADO!AW$3)-SUMIFS(MtM!$N:$N,MtM!$I:$I,RESULTADO!$B18,MtM!$H:$H,RESULTADO!$B$14,MtM!$E:$E,RESULTADO!AW$3))</f>
        <v>0</v>
      </c>
      <c r="AX18" s="63">
        <f>(SUMIFS(MtM!$M:$M,MtM!$I:$I,RESULTADO!$B18,MtM!$H:$H,RESULTADO!$B$14,MtM!$E:$E,RESULTADO!AX$3)-SUMIFS(MtM!$N:$N,MtM!$I:$I,RESULTADO!$B18,MtM!$H:$H,RESULTADO!$B$14,MtM!$E:$E,RESULTADO!AX$3))</f>
        <v>0</v>
      </c>
      <c r="AY18" s="53">
        <f>(SUMIFS(MtM!$M:$M,MtM!$I:$I,RESULTADO!$B18,MtM!$H:$H,RESULTADO!$B$14,MtM!$E:$E,RESULTADO!AY$3)-SUMIFS(MtM!$N:$N,MtM!$I:$I,RESULTADO!$B18,MtM!$H:$H,RESULTADO!$B$14,MtM!$E:$E,RESULTADO!AY$3))</f>
        <v>0</v>
      </c>
      <c r="AZ18" s="53">
        <f>(SUMIFS(MtM!$M:$M,MtM!$I:$I,RESULTADO!$B18,MtM!$H:$H,RESULTADO!$B$14,MtM!$E:$E,RESULTADO!AZ$3)-SUMIFS(MtM!$N:$N,MtM!$I:$I,RESULTADO!$B18,MtM!$H:$H,RESULTADO!$B$14,MtM!$E:$E,RESULTADO!AZ$3))</f>
        <v>0</v>
      </c>
      <c r="BA18" s="53">
        <f>(SUMIFS(MtM!$M:$M,MtM!$I:$I,RESULTADO!$B18,MtM!$H:$H,RESULTADO!$B$14,MtM!$E:$E,RESULTADO!BA$3)-SUMIFS(MtM!$N:$N,MtM!$I:$I,RESULTADO!$B18,MtM!$H:$H,RESULTADO!$B$14,MtM!$E:$E,RESULTADO!BA$3))</f>
        <v>0</v>
      </c>
      <c r="BB18" s="53">
        <f>(SUMIFS(MtM!$M:$M,MtM!$I:$I,RESULTADO!$B18,MtM!$H:$H,RESULTADO!$B$14,MtM!$E:$E,RESULTADO!BB$3)-SUMIFS(MtM!$N:$N,MtM!$I:$I,RESULTADO!$B18,MtM!$H:$H,RESULTADO!$B$14,MtM!$E:$E,RESULTADO!BB$3))</f>
        <v>0</v>
      </c>
      <c r="BC18" s="53">
        <f>(SUMIFS(MtM!$M:$M,MtM!$I:$I,RESULTADO!$B18,MtM!$H:$H,RESULTADO!$B$14,MtM!$E:$E,RESULTADO!BC$3)-SUMIFS(MtM!$N:$N,MtM!$I:$I,RESULTADO!$B18,MtM!$H:$H,RESULTADO!$B$14,MtM!$E:$E,RESULTADO!BC$3))</f>
        <v>0</v>
      </c>
      <c r="BD18" s="53">
        <f>(SUMIFS(MtM!$M:$M,MtM!$I:$I,RESULTADO!$B18,MtM!$H:$H,RESULTADO!$B$14,MtM!$E:$E,RESULTADO!BD$3)-SUMIFS(MtM!$N:$N,MtM!$I:$I,RESULTADO!$B18,MtM!$H:$H,RESULTADO!$B$14,MtM!$E:$E,RESULTADO!BD$3))</f>
        <v>0</v>
      </c>
      <c r="BE18" s="53">
        <f>(SUMIFS(MtM!$M:$M,MtM!$I:$I,RESULTADO!$B18,MtM!$H:$H,RESULTADO!$B$14,MtM!$E:$E,RESULTADO!BE$3)-SUMIFS(MtM!$N:$N,MtM!$I:$I,RESULTADO!$B18,MtM!$H:$H,RESULTADO!$B$14,MtM!$E:$E,RESULTADO!BE$3))</f>
        <v>0</v>
      </c>
      <c r="BF18" s="53">
        <f>(SUMIFS(MtM!$M:$M,MtM!$I:$I,RESULTADO!$B18,MtM!$H:$H,RESULTADO!$B$14,MtM!$E:$E,RESULTADO!BF$3)-SUMIFS(MtM!$N:$N,MtM!$I:$I,RESULTADO!$B18,MtM!$H:$H,RESULTADO!$B$14,MtM!$E:$E,RESULTADO!BF$3))</f>
        <v>0</v>
      </c>
      <c r="BG18" s="53">
        <f>(SUMIFS(MtM!$M:$M,MtM!$I:$I,RESULTADO!$B18,MtM!$H:$H,RESULTADO!$B$14,MtM!$E:$E,RESULTADO!BG$3)-SUMIFS(MtM!$N:$N,MtM!$I:$I,RESULTADO!$B18,MtM!$H:$H,RESULTADO!$B$14,MtM!$E:$E,RESULTADO!BG$3))</f>
        <v>0</v>
      </c>
      <c r="BH18" s="53">
        <f>(SUMIFS(MtM!$M:$M,MtM!$I:$I,RESULTADO!$B18,MtM!$H:$H,RESULTADO!$B$14,MtM!$E:$E,RESULTADO!BH$3)-SUMIFS(MtM!$N:$N,MtM!$I:$I,RESULTADO!$B18,MtM!$H:$H,RESULTADO!$B$14,MtM!$E:$E,RESULTADO!BH$3))</f>
        <v>0</v>
      </c>
      <c r="BI18" s="53">
        <f>(SUMIFS(MtM!$M:$M,MtM!$I:$I,RESULTADO!$B18,MtM!$H:$H,RESULTADO!$B$14,MtM!$E:$E,RESULTADO!BI$3)-SUMIFS(MtM!$N:$N,MtM!$I:$I,RESULTADO!$B18,MtM!$H:$H,RESULTADO!$B$14,MtM!$E:$E,RESULTADO!BI$3))</f>
        <v>0</v>
      </c>
      <c r="BJ18" s="63">
        <f>(SUMIFS(MtM!$M:$M,MtM!$I:$I,RESULTADO!$B18,MtM!$H:$H,RESULTADO!$B$14,MtM!$E:$E,RESULTADO!BJ$3)-SUMIFS(MtM!$N:$N,MtM!$I:$I,RESULTADO!$B18,MtM!$H:$H,RESULTADO!$B$14,MtM!$E:$E,RESULTADO!BJ$3))</f>
        <v>0</v>
      </c>
      <c r="BL18" s="120"/>
      <c r="BN18" s="57" t="s">
        <v>11</v>
      </c>
      <c r="BO18" s="53">
        <f>SUMIFS('MtM Releases'!$H:$H,'MtM Releases'!$G:$G,RESULTADO!$BN18,'MtM Releases'!$F:$F,RESULTADO!$BN14,'MtM Releases'!$D:$D,RESULTADO!BO$3)</f>
        <v>0</v>
      </c>
      <c r="BP18" s="53">
        <f>SUMIFS('MtM Releases'!$H:$H,'MtM Releases'!$G:$G,RESULTADO!$BN18,'MtM Releases'!$F:$F,RESULTADO!$BN14,'MtM Releases'!$D:$D,RESULTADO!BP$3)</f>
        <v>0</v>
      </c>
      <c r="BQ18" s="53">
        <f>SUMIFS('MtM Releases'!$H:$H,'MtM Releases'!$G:$G,RESULTADO!$BN18,'MtM Releases'!$F:$F,RESULTADO!$BN14,'MtM Releases'!$D:$D,RESULTADO!BQ$3)</f>
        <v>0</v>
      </c>
      <c r="BR18" s="53">
        <f>SUMIFS('MtM Releases'!$H:$H,'MtM Releases'!$G:$G,RESULTADO!$BN18,'MtM Releases'!$F:$F,RESULTADO!$BN14,'MtM Releases'!$D:$D,RESULTADO!BR$3)</f>
        <v>0</v>
      </c>
      <c r="BS18" s="53">
        <f>SUMIFS('MtM Releases'!$H:$H,'MtM Releases'!$G:$G,RESULTADO!$BN18,'MtM Releases'!$F:$F,RESULTADO!$BN14,'MtM Releases'!$D:$D,RESULTADO!BS$3)</f>
        <v>0</v>
      </c>
      <c r="BT18" s="53">
        <f>SUMIFS('MtM Releases'!$H:$H,'MtM Releases'!$G:$G,RESULTADO!$BN18,'MtM Releases'!$F:$F,RESULTADO!$BN14,'MtM Releases'!$D:$D,RESULTADO!BT$3)</f>
        <v>0</v>
      </c>
      <c r="BU18" s="53">
        <f>SUMIFS('MtM Releases'!$H:$H,'MtM Releases'!$G:$G,RESULTADO!$BN18,'MtM Releases'!$F:$F,RESULTADO!$BN14,'MtM Releases'!$D:$D,RESULTADO!BU$3)</f>
        <v>0</v>
      </c>
      <c r="BV18" s="53">
        <f>SUMIFS('MtM Releases'!$H:$H,'MtM Releases'!$G:$G,RESULTADO!$BN18,'MtM Releases'!$F:$F,RESULTADO!$BN14,'MtM Releases'!$D:$D,RESULTADO!BV$3)</f>
        <v>0</v>
      </c>
      <c r="BW18" s="53">
        <f>SUMIFS('MtM Releases'!$H:$H,'MtM Releases'!$G:$G,RESULTADO!$BN18,'MtM Releases'!$F:$F,RESULTADO!$BN14,'MtM Releases'!$D:$D,RESULTADO!BW$3)</f>
        <v>0</v>
      </c>
      <c r="BX18" s="53">
        <f>SUMIFS('MtM Releases'!$H:$H,'MtM Releases'!$G:$G,RESULTADO!$BN18,'MtM Releases'!$F:$F,RESULTADO!$BN14,'MtM Releases'!$D:$D,RESULTADO!BX$3)</f>
        <v>0</v>
      </c>
      <c r="BY18" s="53">
        <f>SUMIFS('MtM Releases'!$H:$H,'MtM Releases'!$G:$G,RESULTADO!$BN18,'MtM Releases'!$F:$F,RESULTADO!$BN14,'MtM Releases'!$D:$D,RESULTADO!BY$3)</f>
        <v>0</v>
      </c>
      <c r="BZ18" s="54">
        <f>SUMIFS('MtM Releases'!$H:$H,'MtM Releases'!$G:$G,RESULTADO!$BN18,'MtM Releases'!$F:$F,RESULTADO!$BN14,'MtM Releases'!$D:$D,RESULTADO!BZ$3)</f>
        <v>0</v>
      </c>
      <c r="CA18" s="53">
        <f>SUMIFS('MtM Releases'!$H:$H,'MtM Releases'!$G:$G,RESULTADO!$BN18,'MtM Releases'!$F:$F,RESULTADO!$BN14,'MtM Releases'!$D:$D,RESULTADO!CA$3)</f>
        <v>0</v>
      </c>
      <c r="CB18" s="53">
        <f>SUMIFS('MtM Releases'!$H:$H,'MtM Releases'!$G:$G,RESULTADO!$BN18,'MtM Releases'!$F:$F,RESULTADO!$BN14,'MtM Releases'!$D:$D,RESULTADO!CB$3)</f>
        <v>0</v>
      </c>
      <c r="CC18" s="53">
        <f>SUMIFS('MtM Releases'!$H:$H,'MtM Releases'!$G:$G,RESULTADO!$BN18,'MtM Releases'!$F:$F,RESULTADO!$BN14,'MtM Releases'!$D:$D,RESULTADO!CC$3)</f>
        <v>0</v>
      </c>
      <c r="CD18" s="53">
        <f>SUMIFS('MtM Releases'!$H:$H,'MtM Releases'!$G:$G,RESULTADO!$BN18,'MtM Releases'!$F:$F,RESULTADO!$BN14,'MtM Releases'!$D:$D,RESULTADO!CD$3)</f>
        <v>0</v>
      </c>
      <c r="CE18" s="53">
        <f>SUMIFS('MtM Releases'!$H:$H,'MtM Releases'!$G:$G,RESULTADO!$BN18,'MtM Releases'!$F:$F,RESULTADO!$BN14,'MtM Releases'!$D:$D,RESULTADO!CE$3)</f>
        <v>0</v>
      </c>
      <c r="CF18" s="53">
        <f>SUMIFS('MtM Releases'!$H:$H,'MtM Releases'!$G:$G,RESULTADO!$BN18,'MtM Releases'!$F:$F,RESULTADO!$BN14,'MtM Releases'!$D:$D,RESULTADO!CF$3)</f>
        <v>0</v>
      </c>
      <c r="CG18" s="53">
        <f>SUMIFS('MtM Releases'!$H:$H,'MtM Releases'!$G:$G,RESULTADO!$BN18,'MtM Releases'!$F:$F,RESULTADO!$BN14,'MtM Releases'!$D:$D,RESULTADO!CG$3)</f>
        <v>0</v>
      </c>
      <c r="CH18" s="53">
        <f>SUMIFS('MtM Releases'!$H:$H,'MtM Releases'!$G:$G,RESULTADO!$BN18,'MtM Releases'!$F:$F,RESULTADO!$BN14,'MtM Releases'!$D:$D,RESULTADO!CH$3)</f>
        <v>0</v>
      </c>
      <c r="CI18" s="53">
        <f>SUMIFS('MtM Releases'!$H:$H,'MtM Releases'!$G:$G,RESULTADO!$BN18,'MtM Releases'!$F:$F,RESULTADO!$BN14,'MtM Releases'!$D:$D,RESULTADO!CI$3)</f>
        <v>0</v>
      </c>
      <c r="CJ18" s="53">
        <f>SUMIFS('MtM Releases'!$H:$H,'MtM Releases'!$G:$G,RESULTADO!$BN18,'MtM Releases'!$F:$F,RESULTADO!$BN14,'MtM Releases'!$D:$D,RESULTADO!CJ$3)</f>
        <v>0</v>
      </c>
      <c r="CK18" s="53">
        <f>SUMIFS('MtM Releases'!$H:$H,'MtM Releases'!$G:$G,RESULTADO!$BN18,'MtM Releases'!$F:$F,RESULTADO!$BN14,'MtM Releases'!$D:$D,RESULTADO!CK$3)</f>
        <v>0</v>
      </c>
      <c r="CL18" s="63">
        <f>SUMIFS('MtM Releases'!$H:$H,'MtM Releases'!$G:$G,RESULTADO!$BN18,'MtM Releases'!$F:$F,RESULTADO!$BN14,'MtM Releases'!$D:$D,RESULTADO!CL$3)</f>
        <v>0</v>
      </c>
      <c r="CM18" s="53">
        <f>SUMIFS('MtM Releases'!$H:$H,'MtM Releases'!$G:$G,RESULTADO!$BN18,'MtM Releases'!$F:$F,RESULTADO!$BN14,'MtM Releases'!$D:$D,RESULTADO!CM$3)</f>
        <v>0</v>
      </c>
      <c r="CN18" s="53">
        <f>SUMIFS('MtM Releases'!$H:$H,'MtM Releases'!$G:$G,RESULTADO!$BN18,'MtM Releases'!$F:$F,RESULTADO!$BN14,'MtM Releases'!$D:$D,RESULTADO!CN$3)</f>
        <v>0</v>
      </c>
      <c r="CO18" s="53">
        <f>SUMIFS('MtM Releases'!$H:$H,'MtM Releases'!$G:$G,RESULTADO!$BN18,'MtM Releases'!$F:$F,RESULTADO!$BN14,'MtM Releases'!$D:$D,RESULTADO!CO$3)</f>
        <v>0</v>
      </c>
      <c r="CP18" s="53">
        <f>SUMIFS('MtM Releases'!$H:$H,'MtM Releases'!$G:$G,RESULTADO!$BN18,'MtM Releases'!$F:$F,RESULTADO!$BN14,'MtM Releases'!$D:$D,RESULTADO!CP$3)</f>
        <v>0</v>
      </c>
      <c r="CQ18" s="53">
        <f>SUMIFS('MtM Releases'!$H:$H,'MtM Releases'!$G:$G,RESULTADO!$BN18,'MtM Releases'!$F:$F,RESULTADO!$BN14,'MtM Releases'!$D:$D,RESULTADO!CQ$3)</f>
        <v>0</v>
      </c>
      <c r="CR18" s="53">
        <f>SUMIFS('MtM Releases'!$H:$H,'MtM Releases'!$G:$G,RESULTADO!$BN18,'MtM Releases'!$F:$F,RESULTADO!$BN14,'MtM Releases'!$D:$D,RESULTADO!CR$3)</f>
        <v>0</v>
      </c>
      <c r="CS18" s="53">
        <f>SUMIFS('MtM Releases'!$H:$H,'MtM Releases'!$G:$G,RESULTADO!$BN18,'MtM Releases'!$F:$F,RESULTADO!$BN14,'MtM Releases'!$D:$D,RESULTADO!CS$3)</f>
        <v>0</v>
      </c>
      <c r="CT18" s="53">
        <f>SUMIFS('MtM Releases'!$H:$H,'MtM Releases'!$G:$G,RESULTADO!$BN18,'MtM Releases'!$F:$F,RESULTADO!$BN14,'MtM Releases'!$D:$D,RESULTADO!CT$3)</f>
        <v>0</v>
      </c>
      <c r="CU18" s="53">
        <f>SUMIFS('MtM Releases'!$H:$H,'MtM Releases'!$G:$G,RESULTADO!$BN18,'MtM Releases'!$F:$F,RESULTADO!$BN14,'MtM Releases'!$D:$D,RESULTADO!CU$3)</f>
        <v>0</v>
      </c>
      <c r="CV18" s="53">
        <f>SUMIFS('MtM Releases'!$H:$H,'MtM Releases'!$G:$G,RESULTADO!$BN18,'MtM Releases'!$F:$F,RESULTADO!$BN14,'MtM Releases'!$D:$D,RESULTADO!CV$3)</f>
        <v>0</v>
      </c>
      <c r="CW18" s="53">
        <f>SUMIFS('MtM Releases'!$H:$H,'MtM Releases'!$G:$G,RESULTADO!$BN18,'MtM Releases'!$F:$F,RESULTADO!$BN14,'MtM Releases'!$D:$D,RESULTADO!CW$3)</f>
        <v>0</v>
      </c>
      <c r="CX18" s="54">
        <f>SUMIFS('MtM Releases'!$H:$H,'MtM Releases'!$G:$G,RESULTADO!$BN18,'MtM Releases'!$F:$F,RESULTADO!$BN14,'MtM Releases'!$D:$D,RESULTADO!CX$3)</f>
        <v>0</v>
      </c>
      <c r="CY18" s="53">
        <f>SUMIFS('MtM Releases'!$H:$H,'MtM Releases'!$G:$G,RESULTADO!$BN18,'MtM Releases'!$F:$F,RESULTADO!$BN14,'MtM Releases'!$D:$D,RESULTADO!CY$3)</f>
        <v>0</v>
      </c>
      <c r="CZ18" s="53">
        <f>SUMIFS('MtM Releases'!$H:$H,'MtM Releases'!$G:$G,RESULTADO!$BN18,'MtM Releases'!$F:$F,RESULTADO!$BN14,'MtM Releases'!$D:$D,RESULTADO!CZ$3)</f>
        <v>0</v>
      </c>
      <c r="DA18" s="53">
        <f>SUMIFS('MtM Releases'!$H:$H,'MtM Releases'!$G:$G,RESULTADO!$BN18,'MtM Releases'!$F:$F,RESULTADO!$BN14,'MtM Releases'!$D:$D,RESULTADO!DA$3)</f>
        <v>0</v>
      </c>
      <c r="DB18" s="53">
        <f>SUMIFS('MtM Releases'!$H:$H,'MtM Releases'!$G:$G,RESULTADO!$BN18,'MtM Releases'!$F:$F,RESULTADO!$BN14,'MtM Releases'!$D:$D,RESULTADO!DB$3)</f>
        <v>0</v>
      </c>
      <c r="DC18" s="53">
        <f>SUMIFS('MtM Releases'!$H:$H,'MtM Releases'!$G:$G,RESULTADO!$BN18,'MtM Releases'!$F:$F,RESULTADO!$BN14,'MtM Releases'!$D:$D,RESULTADO!DC$3)</f>
        <v>0</v>
      </c>
      <c r="DD18" s="53">
        <f>SUMIFS('MtM Releases'!$H:$H,'MtM Releases'!$G:$G,RESULTADO!$BN18,'MtM Releases'!$F:$F,RESULTADO!$BN14,'MtM Releases'!$D:$D,RESULTADO!DD$3)</f>
        <v>0</v>
      </c>
      <c r="DE18" s="53">
        <f>SUMIFS('MtM Releases'!$H:$H,'MtM Releases'!$G:$G,RESULTADO!$BN18,'MtM Releases'!$F:$F,RESULTADO!$BN14,'MtM Releases'!$D:$D,RESULTADO!DE$3)</f>
        <v>0</v>
      </c>
      <c r="DF18" s="53">
        <f>SUMIFS('MtM Releases'!$H:$H,'MtM Releases'!$G:$G,RESULTADO!$BN18,'MtM Releases'!$F:$F,RESULTADO!$BN14,'MtM Releases'!$D:$D,RESULTADO!DF$3)</f>
        <v>0</v>
      </c>
      <c r="DG18" s="53">
        <f>SUMIFS('MtM Releases'!$H:$H,'MtM Releases'!$G:$G,RESULTADO!$BN18,'MtM Releases'!$F:$F,RESULTADO!$BN14,'MtM Releases'!$D:$D,RESULTADO!DG$3)</f>
        <v>0</v>
      </c>
      <c r="DH18" s="53">
        <f>SUMIFS('MtM Releases'!$H:$H,'MtM Releases'!$G:$G,RESULTADO!$BN18,'MtM Releases'!$F:$F,RESULTADO!$BN14,'MtM Releases'!$D:$D,RESULTADO!DH$3)</f>
        <v>0</v>
      </c>
      <c r="DI18" s="53">
        <f>SUMIFS('MtM Releases'!$H:$H,'MtM Releases'!$G:$G,RESULTADO!$BN18,'MtM Releases'!$F:$F,RESULTADO!$BN14,'MtM Releases'!$D:$D,RESULTADO!DI$3)</f>
        <v>0</v>
      </c>
      <c r="DJ18" s="63">
        <f>SUMIFS('MtM Releases'!$H:$H,'MtM Releases'!$G:$G,RESULTADO!$BN18,'MtM Releases'!$F:$F,RESULTADO!$BN14,'MtM Releases'!$D:$D,RESULTADO!DJ$3)</f>
        <v>0</v>
      </c>
      <c r="DK18" s="53">
        <f>SUMIFS('MtM Releases'!$H:$H,'MtM Releases'!$G:$G,RESULTADO!$BN18,'MtM Releases'!$F:$F,RESULTADO!$BN14,'MtM Releases'!$D:$D,RESULTADO!DK$3)</f>
        <v>0</v>
      </c>
      <c r="DL18" s="53">
        <f>SUMIFS('MtM Releases'!$H:$H,'MtM Releases'!$G:$G,RESULTADO!$BN18,'MtM Releases'!$F:$F,RESULTADO!$BN14,'MtM Releases'!$D:$D,RESULTADO!DL$3)</f>
        <v>0</v>
      </c>
      <c r="DM18" s="53">
        <f>SUMIFS('MtM Releases'!$H:$H,'MtM Releases'!$G:$G,RESULTADO!$BN18,'MtM Releases'!$F:$F,RESULTADO!$BN14,'MtM Releases'!$D:$D,RESULTADO!DM$3)</f>
        <v>0</v>
      </c>
      <c r="DN18" s="53">
        <f>SUMIFS('MtM Releases'!$H:$H,'MtM Releases'!$G:$G,RESULTADO!$BN18,'MtM Releases'!$F:$F,RESULTADO!$BN14,'MtM Releases'!$D:$D,RESULTADO!DN$3)</f>
        <v>0</v>
      </c>
      <c r="DO18" s="53">
        <f>SUMIFS('MtM Releases'!$H:$H,'MtM Releases'!$G:$G,RESULTADO!$BN18,'MtM Releases'!$F:$F,RESULTADO!$BN14,'MtM Releases'!$D:$D,RESULTADO!DO$3)</f>
        <v>0</v>
      </c>
      <c r="DP18" s="53">
        <f>SUMIFS('MtM Releases'!$H:$H,'MtM Releases'!$G:$G,RESULTADO!$BN18,'MtM Releases'!$F:$F,RESULTADO!$BN14,'MtM Releases'!$D:$D,RESULTADO!DP$3)</f>
        <v>0</v>
      </c>
      <c r="DQ18" s="53">
        <f>SUMIFS('MtM Releases'!$H:$H,'MtM Releases'!$G:$G,RESULTADO!$BN18,'MtM Releases'!$F:$F,RESULTADO!$BN14,'MtM Releases'!$D:$D,RESULTADO!DQ$3)</f>
        <v>0</v>
      </c>
      <c r="DR18" s="53">
        <f>SUMIFS('MtM Releases'!$H:$H,'MtM Releases'!$G:$G,RESULTADO!$BN18,'MtM Releases'!$F:$F,RESULTADO!$BN14,'MtM Releases'!$D:$D,RESULTADO!DR$3)</f>
        <v>0</v>
      </c>
      <c r="DS18" s="53">
        <f>SUMIFS('MtM Releases'!$H:$H,'MtM Releases'!$G:$G,RESULTADO!$BN18,'MtM Releases'!$F:$F,RESULTADO!$BN14,'MtM Releases'!$D:$D,RESULTADO!DS$3)</f>
        <v>0</v>
      </c>
      <c r="DT18" s="53">
        <f>SUMIFS('MtM Releases'!$H:$H,'MtM Releases'!$G:$G,RESULTADO!$BN18,'MtM Releases'!$F:$F,RESULTADO!$BN14,'MtM Releases'!$D:$D,RESULTADO!DT$3)</f>
        <v>0</v>
      </c>
      <c r="DU18" s="53">
        <f>SUMIFS('MtM Releases'!$H:$H,'MtM Releases'!$G:$G,RESULTADO!$BN18,'MtM Releases'!$F:$F,RESULTADO!$BN14,'MtM Releases'!$D:$D,RESULTADO!DU$3)</f>
        <v>0</v>
      </c>
      <c r="DV18" s="63">
        <f>SUMIFS('MtM Releases'!$H:$H,'MtM Releases'!$G:$G,RESULTADO!$BN18,'MtM Releases'!$F:$F,RESULTADO!$BN14,'MtM Releases'!$D:$D,RESULTADO!DV$3)</f>
        <v>0</v>
      </c>
      <c r="EB18" s="11"/>
    </row>
    <row r="19" spans="2:132" x14ac:dyDescent="0.25">
      <c r="B19" s="56" t="s">
        <v>6</v>
      </c>
      <c r="C19" s="68">
        <f t="shared" ref="C19" si="13">SUM(C20:C23)</f>
        <v>-8.6120000000000001</v>
      </c>
      <c r="D19" s="68">
        <f t="shared" ref="D19:BJ19" si="14">SUM(D20:D23)</f>
        <v>-8.649106999999999</v>
      </c>
      <c r="E19" s="68">
        <f t="shared" si="14"/>
        <v>-18.04</v>
      </c>
      <c r="F19" s="68">
        <f t="shared" si="14"/>
        <v>-4</v>
      </c>
      <c r="G19" s="68">
        <f t="shared" si="14"/>
        <v>-3</v>
      </c>
      <c r="H19" s="68">
        <f t="shared" si="14"/>
        <v>0</v>
      </c>
      <c r="I19" s="68">
        <f t="shared" si="14"/>
        <v>0</v>
      </c>
      <c r="J19" s="68">
        <f t="shared" si="14"/>
        <v>0</v>
      </c>
      <c r="K19" s="68">
        <f t="shared" si="14"/>
        <v>0</v>
      </c>
      <c r="L19" s="68">
        <f t="shared" si="14"/>
        <v>0</v>
      </c>
      <c r="M19" s="68">
        <f t="shared" si="14"/>
        <v>-8.562638999999999</v>
      </c>
      <c r="N19" s="69">
        <f t="shared" si="14"/>
        <v>-10</v>
      </c>
      <c r="O19" s="68">
        <f t="shared" si="14"/>
        <v>0</v>
      </c>
      <c r="P19" s="68">
        <f t="shared" si="14"/>
        <v>0</v>
      </c>
      <c r="Q19" s="68">
        <f t="shared" si="14"/>
        <v>0</v>
      </c>
      <c r="R19" s="68">
        <f t="shared" si="14"/>
        <v>0</v>
      </c>
      <c r="S19" s="68">
        <f t="shared" si="14"/>
        <v>0</v>
      </c>
      <c r="T19" s="68">
        <f t="shared" si="14"/>
        <v>0</v>
      </c>
      <c r="U19" s="68">
        <f t="shared" si="14"/>
        <v>0</v>
      </c>
      <c r="V19" s="68">
        <f t="shared" si="14"/>
        <v>0</v>
      </c>
      <c r="W19" s="68">
        <f t="shared" si="14"/>
        <v>0</v>
      </c>
      <c r="X19" s="68">
        <f t="shared" si="14"/>
        <v>0</v>
      </c>
      <c r="Y19" s="68">
        <f t="shared" si="14"/>
        <v>0</v>
      </c>
      <c r="Z19" s="70">
        <f t="shared" si="14"/>
        <v>0</v>
      </c>
      <c r="AA19" s="68">
        <f t="shared" si="14"/>
        <v>0</v>
      </c>
      <c r="AB19" s="68">
        <f t="shared" si="14"/>
        <v>0</v>
      </c>
      <c r="AC19" s="68">
        <f t="shared" si="14"/>
        <v>0</v>
      </c>
      <c r="AD19" s="68">
        <f t="shared" si="14"/>
        <v>0</v>
      </c>
      <c r="AE19" s="68">
        <f t="shared" si="14"/>
        <v>0</v>
      </c>
      <c r="AF19" s="68">
        <f t="shared" si="14"/>
        <v>0</v>
      </c>
      <c r="AG19" s="68">
        <f t="shared" si="14"/>
        <v>0</v>
      </c>
      <c r="AH19" s="68">
        <f t="shared" si="14"/>
        <v>0</v>
      </c>
      <c r="AI19" s="68">
        <f t="shared" si="14"/>
        <v>0</v>
      </c>
      <c r="AJ19" s="68">
        <f t="shared" si="14"/>
        <v>0</v>
      </c>
      <c r="AK19" s="68">
        <f t="shared" si="14"/>
        <v>0</v>
      </c>
      <c r="AL19" s="69">
        <f t="shared" si="14"/>
        <v>0</v>
      </c>
      <c r="AM19" s="68">
        <f t="shared" si="14"/>
        <v>0</v>
      </c>
      <c r="AN19" s="68">
        <f t="shared" si="14"/>
        <v>0</v>
      </c>
      <c r="AO19" s="68">
        <f t="shared" si="14"/>
        <v>0</v>
      </c>
      <c r="AP19" s="68">
        <f t="shared" si="14"/>
        <v>0</v>
      </c>
      <c r="AQ19" s="68">
        <f t="shared" si="14"/>
        <v>0</v>
      </c>
      <c r="AR19" s="68">
        <f t="shared" si="14"/>
        <v>0</v>
      </c>
      <c r="AS19" s="68">
        <f t="shared" si="14"/>
        <v>0</v>
      </c>
      <c r="AT19" s="68">
        <f t="shared" si="14"/>
        <v>0</v>
      </c>
      <c r="AU19" s="68">
        <f t="shared" si="14"/>
        <v>0</v>
      </c>
      <c r="AV19" s="68">
        <f t="shared" si="14"/>
        <v>0</v>
      </c>
      <c r="AW19" s="68">
        <f t="shared" si="14"/>
        <v>0</v>
      </c>
      <c r="AX19" s="70">
        <f t="shared" si="14"/>
        <v>0</v>
      </c>
      <c r="AY19" s="68">
        <f t="shared" si="14"/>
        <v>0</v>
      </c>
      <c r="AZ19" s="68">
        <f t="shared" si="14"/>
        <v>0</v>
      </c>
      <c r="BA19" s="68">
        <f t="shared" si="14"/>
        <v>0</v>
      </c>
      <c r="BB19" s="68">
        <f t="shared" si="14"/>
        <v>0</v>
      </c>
      <c r="BC19" s="68">
        <f t="shared" si="14"/>
        <v>0</v>
      </c>
      <c r="BD19" s="68">
        <f t="shared" si="14"/>
        <v>0</v>
      </c>
      <c r="BE19" s="68">
        <f t="shared" si="14"/>
        <v>0</v>
      </c>
      <c r="BF19" s="68">
        <f t="shared" si="14"/>
        <v>0</v>
      </c>
      <c r="BG19" s="68">
        <f t="shared" si="14"/>
        <v>0</v>
      </c>
      <c r="BH19" s="68">
        <f t="shared" si="14"/>
        <v>0</v>
      </c>
      <c r="BI19" s="68">
        <f t="shared" si="14"/>
        <v>0</v>
      </c>
      <c r="BJ19" s="70">
        <f t="shared" si="14"/>
        <v>0</v>
      </c>
      <c r="BL19" s="120"/>
      <c r="BN19" s="56" t="s">
        <v>6</v>
      </c>
      <c r="BO19" s="68">
        <f t="shared" ref="BO19" si="15">SUM(BO20:BO23)</f>
        <v>8.6120000000000001</v>
      </c>
      <c r="BP19" s="68">
        <f t="shared" ref="BP19:DV19" si="16">SUM(BP20:BP23)</f>
        <v>8.649106999999999</v>
      </c>
      <c r="BQ19" s="68">
        <f t="shared" si="16"/>
        <v>18.04</v>
      </c>
      <c r="BR19" s="68">
        <f t="shared" si="16"/>
        <v>4</v>
      </c>
      <c r="BS19" s="68">
        <f t="shared" si="16"/>
        <v>3</v>
      </c>
      <c r="BT19" s="68">
        <f t="shared" si="16"/>
        <v>0</v>
      </c>
      <c r="BU19" s="68">
        <f t="shared" si="16"/>
        <v>0</v>
      </c>
      <c r="BV19" s="68">
        <f t="shared" si="16"/>
        <v>0</v>
      </c>
      <c r="BW19" s="68">
        <f t="shared" si="16"/>
        <v>0</v>
      </c>
      <c r="BX19" s="68">
        <f t="shared" si="16"/>
        <v>0</v>
      </c>
      <c r="BY19" s="68">
        <f t="shared" si="16"/>
        <v>8.562638999999999</v>
      </c>
      <c r="BZ19" s="69">
        <f t="shared" si="16"/>
        <v>10</v>
      </c>
      <c r="CA19" s="68">
        <f t="shared" si="16"/>
        <v>0</v>
      </c>
      <c r="CB19" s="68">
        <f t="shared" si="16"/>
        <v>0</v>
      </c>
      <c r="CC19" s="68">
        <f t="shared" si="16"/>
        <v>0</v>
      </c>
      <c r="CD19" s="68">
        <f t="shared" si="16"/>
        <v>0</v>
      </c>
      <c r="CE19" s="68">
        <f t="shared" si="16"/>
        <v>0</v>
      </c>
      <c r="CF19" s="68">
        <f t="shared" si="16"/>
        <v>0</v>
      </c>
      <c r="CG19" s="68">
        <f t="shared" si="16"/>
        <v>0</v>
      </c>
      <c r="CH19" s="68">
        <f t="shared" si="16"/>
        <v>0</v>
      </c>
      <c r="CI19" s="68">
        <f t="shared" si="16"/>
        <v>0</v>
      </c>
      <c r="CJ19" s="68">
        <f t="shared" si="16"/>
        <v>0</v>
      </c>
      <c r="CK19" s="68">
        <f t="shared" si="16"/>
        <v>0</v>
      </c>
      <c r="CL19" s="70">
        <f t="shared" si="16"/>
        <v>0</v>
      </c>
      <c r="CM19" s="68">
        <f t="shared" si="16"/>
        <v>0</v>
      </c>
      <c r="CN19" s="68">
        <f t="shared" si="16"/>
        <v>0</v>
      </c>
      <c r="CO19" s="68">
        <f t="shared" si="16"/>
        <v>0</v>
      </c>
      <c r="CP19" s="68">
        <f t="shared" si="16"/>
        <v>0</v>
      </c>
      <c r="CQ19" s="68">
        <f t="shared" si="16"/>
        <v>0</v>
      </c>
      <c r="CR19" s="68">
        <f t="shared" si="16"/>
        <v>0</v>
      </c>
      <c r="CS19" s="68">
        <f t="shared" si="16"/>
        <v>0</v>
      </c>
      <c r="CT19" s="68">
        <f t="shared" si="16"/>
        <v>0</v>
      </c>
      <c r="CU19" s="68">
        <f t="shared" si="16"/>
        <v>0</v>
      </c>
      <c r="CV19" s="68">
        <f t="shared" si="16"/>
        <v>0</v>
      </c>
      <c r="CW19" s="68">
        <f t="shared" si="16"/>
        <v>0</v>
      </c>
      <c r="CX19" s="69">
        <f t="shared" si="16"/>
        <v>0</v>
      </c>
      <c r="CY19" s="68">
        <f t="shared" si="16"/>
        <v>0</v>
      </c>
      <c r="CZ19" s="68">
        <f t="shared" si="16"/>
        <v>0</v>
      </c>
      <c r="DA19" s="68">
        <f t="shared" si="16"/>
        <v>0</v>
      </c>
      <c r="DB19" s="68">
        <f t="shared" si="16"/>
        <v>0</v>
      </c>
      <c r="DC19" s="68">
        <f t="shared" si="16"/>
        <v>0</v>
      </c>
      <c r="DD19" s="68">
        <f t="shared" si="16"/>
        <v>0</v>
      </c>
      <c r="DE19" s="68">
        <f t="shared" si="16"/>
        <v>0</v>
      </c>
      <c r="DF19" s="68">
        <f t="shared" si="16"/>
        <v>0</v>
      </c>
      <c r="DG19" s="68">
        <f t="shared" si="16"/>
        <v>0</v>
      </c>
      <c r="DH19" s="68">
        <f t="shared" si="16"/>
        <v>0</v>
      </c>
      <c r="DI19" s="68">
        <f t="shared" si="16"/>
        <v>0</v>
      </c>
      <c r="DJ19" s="70">
        <f t="shared" si="16"/>
        <v>0</v>
      </c>
      <c r="DK19" s="68">
        <f t="shared" si="16"/>
        <v>0</v>
      </c>
      <c r="DL19" s="68">
        <f t="shared" si="16"/>
        <v>0</v>
      </c>
      <c r="DM19" s="68">
        <f t="shared" si="16"/>
        <v>0</v>
      </c>
      <c r="DN19" s="68">
        <f t="shared" si="16"/>
        <v>0</v>
      </c>
      <c r="DO19" s="68">
        <f t="shared" si="16"/>
        <v>0</v>
      </c>
      <c r="DP19" s="68">
        <f t="shared" si="16"/>
        <v>0</v>
      </c>
      <c r="DQ19" s="68">
        <f t="shared" si="16"/>
        <v>0</v>
      </c>
      <c r="DR19" s="68">
        <f t="shared" si="16"/>
        <v>0</v>
      </c>
      <c r="DS19" s="68">
        <f t="shared" si="16"/>
        <v>0</v>
      </c>
      <c r="DT19" s="68">
        <f t="shared" si="16"/>
        <v>0</v>
      </c>
      <c r="DU19" s="68">
        <f t="shared" si="16"/>
        <v>0</v>
      </c>
      <c r="DV19" s="70">
        <f t="shared" si="16"/>
        <v>0</v>
      </c>
      <c r="EB19" s="11"/>
    </row>
    <row r="20" spans="2:132" x14ac:dyDescent="0.25">
      <c r="B20" s="57" t="s">
        <v>44</v>
      </c>
      <c r="C20" s="53">
        <f>(SUMIFS(MtM!$M:$M,MtM!$I:$I,RESULTADO!$B20,MtM!$H:$H,RESULTADO!$B$19,MtM!$E:$E,RESULTADO!C$3)-SUMIFS(MtM!$N:$N,MtM!$I:$I,RESULTADO!$B20,MtM!$H:$H,RESULTADO!$B$19,MtM!$E:$E,RESULTADO!C$3))</f>
        <v>-8.6120000000000001</v>
      </c>
      <c r="D20" s="53">
        <f>(SUMIFS(MtM!$M:$M,MtM!$I:$I,RESULTADO!$B20,MtM!$H:$H,RESULTADO!$B$19,MtM!$E:$E,RESULTADO!D$3)-SUMIFS(MtM!$N:$N,MtM!$I:$I,RESULTADO!$B20,MtM!$H:$H,RESULTADO!$B$19,MtM!$E:$E,RESULTADO!D$3))</f>
        <v>-8.649106999999999</v>
      </c>
      <c r="E20" s="53">
        <f>(SUMIFS(MtM!$M:$M,MtM!$I:$I,RESULTADO!$B20,MtM!$H:$H,RESULTADO!$B$19,MtM!$E:$E,RESULTADO!E$3)-SUMIFS(MtM!$N:$N,MtM!$I:$I,RESULTADO!$B20,MtM!$H:$H,RESULTADO!$B$19,MtM!$E:$E,RESULTADO!E$3))</f>
        <v>-18.04</v>
      </c>
      <c r="F20" s="53">
        <f>(SUMIFS(MtM!$M:$M,MtM!$I:$I,RESULTADO!$B20,MtM!$H:$H,RESULTADO!$B$19,MtM!$E:$E,RESULTADO!F$3)-SUMIFS(MtM!$N:$N,MtM!$I:$I,RESULTADO!$B20,MtM!$H:$H,RESULTADO!$B$19,MtM!$E:$E,RESULTADO!F$3))</f>
        <v>-4</v>
      </c>
      <c r="G20" s="53">
        <f>(SUMIFS(MtM!$M:$M,MtM!$I:$I,RESULTADO!$B20,MtM!$H:$H,RESULTADO!$B$19,MtM!$E:$E,RESULTADO!G$3)-SUMIFS(MtM!$N:$N,MtM!$I:$I,RESULTADO!$B20,MtM!$H:$H,RESULTADO!$B$19,MtM!$E:$E,RESULTADO!G$3))</f>
        <v>-3</v>
      </c>
      <c r="H20" s="53">
        <f>(SUMIFS(MtM!$M:$M,MtM!$I:$I,RESULTADO!$B20,MtM!$H:$H,RESULTADO!$B$19,MtM!$E:$E,RESULTADO!H$3)-SUMIFS(MtM!$N:$N,MtM!$I:$I,RESULTADO!$B20,MtM!$H:$H,RESULTADO!$B$19,MtM!$E:$E,RESULTADO!H$3))</f>
        <v>0</v>
      </c>
      <c r="I20" s="53">
        <f>(SUMIFS(MtM!$M:$M,MtM!$I:$I,RESULTADO!$B20,MtM!$H:$H,RESULTADO!$B$19,MtM!$E:$E,RESULTADO!I$3)-SUMIFS(MtM!$N:$N,MtM!$I:$I,RESULTADO!$B20,MtM!$H:$H,RESULTADO!$B$19,MtM!$E:$E,RESULTADO!I$3))</f>
        <v>0</v>
      </c>
      <c r="J20" s="53">
        <f>(SUMIFS(MtM!$M:$M,MtM!$I:$I,RESULTADO!$B20,MtM!$H:$H,RESULTADO!$B$19,MtM!$E:$E,RESULTADO!J$3)-SUMIFS(MtM!$N:$N,MtM!$I:$I,RESULTADO!$B20,MtM!$H:$H,RESULTADO!$B$19,MtM!$E:$E,RESULTADO!J$3))</f>
        <v>0</v>
      </c>
      <c r="K20" s="53">
        <f>(SUMIFS(MtM!$M:$M,MtM!$I:$I,RESULTADO!$B20,MtM!$H:$H,RESULTADO!$B$19,MtM!$E:$E,RESULTADO!K$3)-SUMIFS(MtM!$N:$N,MtM!$I:$I,RESULTADO!$B20,MtM!$H:$H,RESULTADO!$B$19,MtM!$E:$E,RESULTADO!K$3))</f>
        <v>0</v>
      </c>
      <c r="L20" s="53">
        <f>(SUMIFS(MtM!$M:$M,MtM!$I:$I,RESULTADO!$B20,MtM!$H:$H,RESULTADO!$B$19,MtM!$E:$E,RESULTADO!L$3)-SUMIFS(MtM!$N:$N,MtM!$I:$I,RESULTADO!$B20,MtM!$H:$H,RESULTADO!$B$19,MtM!$E:$E,RESULTADO!L$3))</f>
        <v>0</v>
      </c>
      <c r="M20" s="53">
        <f>(SUMIFS(MtM!$M:$M,MtM!$I:$I,RESULTADO!$B20,MtM!$H:$H,RESULTADO!$B$19,MtM!$E:$E,RESULTADO!M$3)-SUMIFS(MtM!$N:$N,MtM!$I:$I,RESULTADO!$B20,MtM!$H:$H,RESULTADO!$B$19,MtM!$E:$E,RESULTADO!M$3))</f>
        <v>-8.562638999999999</v>
      </c>
      <c r="N20" s="54">
        <f>(SUMIFS(MtM!$M:$M,MtM!$I:$I,RESULTADO!$B20,MtM!$H:$H,RESULTADO!$B$19,MtM!$E:$E,RESULTADO!N$3)-SUMIFS(MtM!$N:$N,MtM!$I:$I,RESULTADO!$B20,MtM!$H:$H,RESULTADO!$B$19,MtM!$E:$E,RESULTADO!N$3))</f>
        <v>-10</v>
      </c>
      <c r="O20" s="53">
        <f>(SUMIFS(MtM!$M:$M,MtM!$I:$I,RESULTADO!$B20,MtM!$H:$H,RESULTADO!$B$19,MtM!$E:$E,RESULTADO!O$3)-SUMIFS(MtM!$N:$N,MtM!$I:$I,RESULTADO!$B20,MtM!$H:$H,RESULTADO!$B$19,MtM!$E:$E,RESULTADO!O$3))</f>
        <v>0</v>
      </c>
      <c r="P20" s="53">
        <f>(SUMIFS(MtM!$M:$M,MtM!$I:$I,RESULTADO!$B20,MtM!$H:$H,RESULTADO!$B$19,MtM!$E:$E,RESULTADO!P$3)-SUMIFS(MtM!$N:$N,MtM!$I:$I,RESULTADO!$B20,MtM!$H:$H,RESULTADO!$B$19,MtM!$E:$E,RESULTADO!P$3))</f>
        <v>0</v>
      </c>
      <c r="Q20" s="53">
        <f>(SUMIFS(MtM!$M:$M,MtM!$I:$I,RESULTADO!$B20,MtM!$H:$H,RESULTADO!$B$19,MtM!$E:$E,RESULTADO!Q$3)-SUMIFS(MtM!$N:$N,MtM!$I:$I,RESULTADO!$B20,MtM!$H:$H,RESULTADO!$B$19,MtM!$E:$E,RESULTADO!Q$3))</f>
        <v>0</v>
      </c>
      <c r="R20" s="53">
        <f>(SUMIFS(MtM!$M:$M,MtM!$I:$I,RESULTADO!$B20,MtM!$H:$H,RESULTADO!$B$19,MtM!$E:$E,RESULTADO!R$3)-SUMIFS(MtM!$N:$N,MtM!$I:$I,RESULTADO!$B20,MtM!$H:$H,RESULTADO!$B$19,MtM!$E:$E,RESULTADO!R$3))</f>
        <v>0</v>
      </c>
      <c r="S20" s="53">
        <f>(SUMIFS(MtM!$M:$M,MtM!$I:$I,RESULTADO!$B20,MtM!$H:$H,RESULTADO!$B$19,MtM!$E:$E,RESULTADO!S$3)-SUMIFS(MtM!$N:$N,MtM!$I:$I,RESULTADO!$B20,MtM!$H:$H,RESULTADO!$B$19,MtM!$E:$E,RESULTADO!S$3))</f>
        <v>0</v>
      </c>
      <c r="T20" s="53">
        <f>(SUMIFS(MtM!$M:$M,MtM!$I:$I,RESULTADO!$B20,MtM!$H:$H,RESULTADO!$B$19,MtM!$E:$E,RESULTADO!T$3)-SUMIFS(MtM!$N:$N,MtM!$I:$I,RESULTADO!$B20,MtM!$H:$H,RESULTADO!$B$19,MtM!$E:$E,RESULTADO!T$3))</f>
        <v>0</v>
      </c>
      <c r="U20" s="53">
        <f>(SUMIFS(MtM!$M:$M,MtM!$I:$I,RESULTADO!$B20,MtM!$H:$H,RESULTADO!$B$19,MtM!$E:$E,RESULTADO!U$3)-SUMIFS(MtM!$N:$N,MtM!$I:$I,RESULTADO!$B20,MtM!$H:$H,RESULTADO!$B$19,MtM!$E:$E,RESULTADO!U$3))</f>
        <v>0</v>
      </c>
      <c r="V20" s="53">
        <f>(SUMIFS(MtM!$M:$M,MtM!$I:$I,RESULTADO!$B20,MtM!$H:$H,RESULTADO!$B$19,MtM!$E:$E,RESULTADO!V$3)-SUMIFS(MtM!$N:$N,MtM!$I:$I,RESULTADO!$B20,MtM!$H:$H,RESULTADO!$B$19,MtM!$E:$E,RESULTADO!V$3))</f>
        <v>0</v>
      </c>
      <c r="W20" s="53">
        <f>(SUMIFS(MtM!$M:$M,MtM!$I:$I,RESULTADO!$B20,MtM!$H:$H,RESULTADO!$B$19,MtM!$E:$E,RESULTADO!W$3)-SUMIFS(MtM!$N:$N,MtM!$I:$I,RESULTADO!$B20,MtM!$H:$H,RESULTADO!$B$19,MtM!$E:$E,RESULTADO!W$3))</f>
        <v>0</v>
      </c>
      <c r="X20" s="53">
        <f>(SUMIFS(MtM!$M:$M,MtM!$I:$I,RESULTADO!$B20,MtM!$H:$H,RESULTADO!$B$19,MtM!$E:$E,RESULTADO!X$3)-SUMIFS(MtM!$N:$N,MtM!$I:$I,RESULTADO!$B20,MtM!$H:$H,RESULTADO!$B$19,MtM!$E:$E,RESULTADO!X$3))</f>
        <v>0</v>
      </c>
      <c r="Y20" s="53">
        <f>(SUMIFS(MtM!$M:$M,MtM!$I:$I,RESULTADO!$B20,MtM!$H:$H,RESULTADO!$B$19,MtM!$E:$E,RESULTADO!Y$3)-SUMIFS(MtM!$N:$N,MtM!$I:$I,RESULTADO!$B20,MtM!$H:$H,RESULTADO!$B$19,MtM!$E:$E,RESULTADO!Y$3))</f>
        <v>0</v>
      </c>
      <c r="Z20" s="63">
        <f>(SUMIFS(MtM!$M:$M,MtM!$I:$I,RESULTADO!$B20,MtM!$H:$H,RESULTADO!$B$19,MtM!$E:$E,RESULTADO!Z$3)-SUMIFS(MtM!$N:$N,MtM!$I:$I,RESULTADO!$B20,MtM!$H:$H,RESULTADO!$B$19,MtM!$E:$E,RESULTADO!Z$3))</f>
        <v>0</v>
      </c>
      <c r="AA20" s="53">
        <f>(SUMIFS(MtM!$M:$M,MtM!$I:$I,RESULTADO!$B20,MtM!$H:$H,RESULTADO!$B$19,MtM!$E:$E,RESULTADO!AA$3)-SUMIFS(MtM!$N:$N,MtM!$I:$I,RESULTADO!$B20,MtM!$H:$H,RESULTADO!$B$19,MtM!$E:$E,RESULTADO!AA$3))</f>
        <v>0</v>
      </c>
      <c r="AB20" s="53">
        <f>(SUMIFS(MtM!$M:$M,MtM!$I:$I,RESULTADO!$B20,MtM!$H:$H,RESULTADO!$B$19,MtM!$E:$E,RESULTADO!AB$3)-SUMIFS(MtM!$N:$N,MtM!$I:$I,RESULTADO!$B20,MtM!$H:$H,RESULTADO!$B$19,MtM!$E:$E,RESULTADO!AB$3))</f>
        <v>0</v>
      </c>
      <c r="AC20" s="53">
        <f>(SUMIFS(MtM!$M:$M,MtM!$I:$I,RESULTADO!$B20,MtM!$H:$H,RESULTADO!$B$19,MtM!$E:$E,RESULTADO!AC$3)-SUMIFS(MtM!$N:$N,MtM!$I:$I,RESULTADO!$B20,MtM!$H:$H,RESULTADO!$B$19,MtM!$E:$E,RESULTADO!AC$3))</f>
        <v>0</v>
      </c>
      <c r="AD20" s="53">
        <f>(SUMIFS(MtM!$M:$M,MtM!$I:$I,RESULTADO!$B20,MtM!$H:$H,RESULTADO!$B$19,MtM!$E:$E,RESULTADO!AD$3)-SUMIFS(MtM!$N:$N,MtM!$I:$I,RESULTADO!$B20,MtM!$H:$H,RESULTADO!$B$19,MtM!$E:$E,RESULTADO!AD$3))</f>
        <v>0</v>
      </c>
      <c r="AE20" s="53">
        <f>(SUMIFS(MtM!$M:$M,MtM!$I:$I,RESULTADO!$B20,MtM!$H:$H,RESULTADO!$B$19,MtM!$E:$E,RESULTADO!AE$3)-SUMIFS(MtM!$N:$N,MtM!$I:$I,RESULTADO!$B20,MtM!$H:$H,RESULTADO!$B$19,MtM!$E:$E,RESULTADO!AE$3))</f>
        <v>0</v>
      </c>
      <c r="AF20" s="53">
        <f>(SUMIFS(MtM!$M:$M,MtM!$I:$I,RESULTADO!$B20,MtM!$H:$H,RESULTADO!$B$19,MtM!$E:$E,RESULTADO!AF$3)-SUMIFS(MtM!$N:$N,MtM!$I:$I,RESULTADO!$B20,MtM!$H:$H,RESULTADO!$B$19,MtM!$E:$E,RESULTADO!AF$3))</f>
        <v>0</v>
      </c>
      <c r="AG20" s="53">
        <f>(SUMIFS(MtM!$M:$M,MtM!$I:$I,RESULTADO!$B20,MtM!$H:$H,RESULTADO!$B$19,MtM!$E:$E,RESULTADO!AG$3)-SUMIFS(MtM!$N:$N,MtM!$I:$I,RESULTADO!$B20,MtM!$H:$H,RESULTADO!$B$19,MtM!$E:$E,RESULTADO!AG$3))</f>
        <v>0</v>
      </c>
      <c r="AH20" s="53">
        <f>(SUMIFS(MtM!$M:$M,MtM!$I:$I,RESULTADO!$B20,MtM!$H:$H,RESULTADO!$B$19,MtM!$E:$E,RESULTADO!AH$3)-SUMIFS(MtM!$N:$N,MtM!$I:$I,RESULTADO!$B20,MtM!$H:$H,RESULTADO!$B$19,MtM!$E:$E,RESULTADO!AH$3))</f>
        <v>0</v>
      </c>
      <c r="AI20" s="53">
        <f>(SUMIFS(MtM!$M:$M,MtM!$I:$I,RESULTADO!$B20,MtM!$H:$H,RESULTADO!$B$19,MtM!$E:$E,RESULTADO!AI$3)-SUMIFS(MtM!$N:$N,MtM!$I:$I,RESULTADO!$B20,MtM!$H:$H,RESULTADO!$B$19,MtM!$E:$E,RESULTADO!AI$3))</f>
        <v>0</v>
      </c>
      <c r="AJ20" s="53">
        <f>(SUMIFS(MtM!$M:$M,MtM!$I:$I,RESULTADO!$B20,MtM!$H:$H,RESULTADO!$B$19,MtM!$E:$E,RESULTADO!AJ$3)-SUMIFS(MtM!$N:$N,MtM!$I:$I,RESULTADO!$B20,MtM!$H:$H,RESULTADO!$B$19,MtM!$E:$E,RESULTADO!AJ$3))</f>
        <v>0</v>
      </c>
      <c r="AK20" s="53">
        <f>(SUMIFS(MtM!$M:$M,MtM!$I:$I,RESULTADO!$B20,MtM!$H:$H,RESULTADO!$B$19,MtM!$E:$E,RESULTADO!AK$3)-SUMIFS(MtM!$N:$N,MtM!$I:$I,RESULTADO!$B20,MtM!$H:$H,RESULTADO!$B$19,MtM!$E:$E,RESULTADO!AK$3))</f>
        <v>0</v>
      </c>
      <c r="AL20" s="54">
        <f>(SUMIFS(MtM!$M:$M,MtM!$I:$I,RESULTADO!$B20,MtM!$H:$H,RESULTADO!$B$19,MtM!$E:$E,RESULTADO!AL$3)-SUMIFS(MtM!$N:$N,MtM!$I:$I,RESULTADO!$B20,MtM!$H:$H,RESULTADO!$B$19,MtM!$E:$E,RESULTADO!AL$3))</f>
        <v>0</v>
      </c>
      <c r="AM20" s="53">
        <f>(SUMIFS(MtM!$M:$M,MtM!$I:$I,RESULTADO!$B20,MtM!$H:$H,RESULTADO!$B$19,MtM!$E:$E,RESULTADO!AM$3)-SUMIFS(MtM!$N:$N,MtM!$I:$I,RESULTADO!$B20,MtM!$H:$H,RESULTADO!$B$19,MtM!$E:$E,RESULTADO!AM$3))</f>
        <v>0</v>
      </c>
      <c r="AN20" s="53">
        <f>(SUMIFS(MtM!$M:$M,MtM!$I:$I,RESULTADO!$B20,MtM!$H:$H,RESULTADO!$B$19,MtM!$E:$E,RESULTADO!AN$3)-SUMIFS(MtM!$N:$N,MtM!$I:$I,RESULTADO!$B20,MtM!$H:$H,RESULTADO!$B$19,MtM!$E:$E,RESULTADO!AN$3))</f>
        <v>0</v>
      </c>
      <c r="AO20" s="53">
        <f>(SUMIFS(MtM!$M:$M,MtM!$I:$I,RESULTADO!$B20,MtM!$H:$H,RESULTADO!$B$19,MtM!$E:$E,RESULTADO!AO$3)-SUMIFS(MtM!$N:$N,MtM!$I:$I,RESULTADO!$B20,MtM!$H:$H,RESULTADO!$B$19,MtM!$E:$E,RESULTADO!AO$3))</f>
        <v>0</v>
      </c>
      <c r="AP20" s="53">
        <f>(SUMIFS(MtM!$M:$M,MtM!$I:$I,RESULTADO!$B20,MtM!$H:$H,RESULTADO!$B$19,MtM!$E:$E,RESULTADO!AP$3)-SUMIFS(MtM!$N:$N,MtM!$I:$I,RESULTADO!$B20,MtM!$H:$H,RESULTADO!$B$19,MtM!$E:$E,RESULTADO!AP$3))</f>
        <v>0</v>
      </c>
      <c r="AQ20" s="53">
        <f>(SUMIFS(MtM!$M:$M,MtM!$I:$I,RESULTADO!$B20,MtM!$H:$H,RESULTADO!$B$19,MtM!$E:$E,RESULTADO!AQ$3)-SUMIFS(MtM!$N:$N,MtM!$I:$I,RESULTADO!$B20,MtM!$H:$H,RESULTADO!$B$19,MtM!$E:$E,RESULTADO!AQ$3))</f>
        <v>0</v>
      </c>
      <c r="AR20" s="53">
        <f>(SUMIFS(MtM!$M:$M,MtM!$I:$I,RESULTADO!$B20,MtM!$H:$H,RESULTADO!$B$19,MtM!$E:$E,RESULTADO!AR$3)-SUMIFS(MtM!$N:$N,MtM!$I:$I,RESULTADO!$B20,MtM!$H:$H,RESULTADO!$B$19,MtM!$E:$E,RESULTADO!AR$3))</f>
        <v>0</v>
      </c>
      <c r="AS20" s="53">
        <f>(SUMIFS(MtM!$M:$M,MtM!$I:$I,RESULTADO!$B20,MtM!$H:$H,RESULTADO!$B$19,MtM!$E:$E,RESULTADO!AS$3)-SUMIFS(MtM!$N:$N,MtM!$I:$I,RESULTADO!$B20,MtM!$H:$H,RESULTADO!$B$19,MtM!$E:$E,RESULTADO!AS$3))</f>
        <v>0</v>
      </c>
      <c r="AT20" s="53">
        <f>(SUMIFS(MtM!$M:$M,MtM!$I:$I,RESULTADO!$B20,MtM!$H:$H,RESULTADO!$B$19,MtM!$E:$E,RESULTADO!AT$3)-SUMIFS(MtM!$N:$N,MtM!$I:$I,RESULTADO!$B20,MtM!$H:$H,RESULTADO!$B$19,MtM!$E:$E,RESULTADO!AT$3))</f>
        <v>0</v>
      </c>
      <c r="AU20" s="53">
        <f>(SUMIFS(MtM!$M:$M,MtM!$I:$I,RESULTADO!$B20,MtM!$H:$H,RESULTADO!$B$19,MtM!$E:$E,RESULTADO!AU$3)-SUMIFS(MtM!$N:$N,MtM!$I:$I,RESULTADO!$B20,MtM!$H:$H,RESULTADO!$B$19,MtM!$E:$E,RESULTADO!AU$3))</f>
        <v>0</v>
      </c>
      <c r="AV20" s="53">
        <f>(SUMIFS(MtM!$M:$M,MtM!$I:$I,RESULTADO!$B20,MtM!$H:$H,RESULTADO!$B$19,MtM!$E:$E,RESULTADO!AV$3)-SUMIFS(MtM!$N:$N,MtM!$I:$I,RESULTADO!$B20,MtM!$H:$H,RESULTADO!$B$19,MtM!$E:$E,RESULTADO!AV$3))</f>
        <v>0</v>
      </c>
      <c r="AW20" s="53">
        <f>(SUMIFS(MtM!$M:$M,MtM!$I:$I,RESULTADO!$B20,MtM!$H:$H,RESULTADO!$B$19,MtM!$E:$E,RESULTADO!AW$3)-SUMIFS(MtM!$N:$N,MtM!$I:$I,RESULTADO!$B20,MtM!$H:$H,RESULTADO!$B$19,MtM!$E:$E,RESULTADO!AW$3))</f>
        <v>0</v>
      </c>
      <c r="AX20" s="63">
        <f>(SUMIFS(MtM!$M:$M,MtM!$I:$I,RESULTADO!$B20,MtM!$H:$H,RESULTADO!$B$19,MtM!$E:$E,RESULTADO!AX$3)-SUMIFS(MtM!$N:$N,MtM!$I:$I,RESULTADO!$B20,MtM!$H:$H,RESULTADO!$B$19,MtM!$E:$E,RESULTADO!AX$3))</f>
        <v>0</v>
      </c>
      <c r="AY20" s="53">
        <f>(SUMIFS(MtM!$M:$M,MtM!$I:$I,RESULTADO!$B20,MtM!$H:$H,RESULTADO!$B$19,MtM!$E:$E,RESULTADO!AY$3)-SUMIFS(MtM!$N:$N,MtM!$I:$I,RESULTADO!$B20,MtM!$H:$H,RESULTADO!$B$19,MtM!$E:$E,RESULTADO!AY$3))</f>
        <v>0</v>
      </c>
      <c r="AZ20" s="53">
        <f>(SUMIFS(MtM!$M:$M,MtM!$I:$I,RESULTADO!$B20,MtM!$H:$H,RESULTADO!$B$19,MtM!$E:$E,RESULTADO!AZ$3)-SUMIFS(MtM!$N:$N,MtM!$I:$I,RESULTADO!$B20,MtM!$H:$H,RESULTADO!$B$19,MtM!$E:$E,RESULTADO!AZ$3))</f>
        <v>0</v>
      </c>
      <c r="BA20" s="53">
        <f>(SUMIFS(MtM!$M:$M,MtM!$I:$I,RESULTADO!$B20,MtM!$H:$H,RESULTADO!$B$19,MtM!$E:$E,RESULTADO!BA$3)-SUMIFS(MtM!$N:$N,MtM!$I:$I,RESULTADO!$B20,MtM!$H:$H,RESULTADO!$B$19,MtM!$E:$E,RESULTADO!BA$3))</f>
        <v>0</v>
      </c>
      <c r="BB20" s="53">
        <f>(SUMIFS(MtM!$M:$M,MtM!$I:$I,RESULTADO!$B20,MtM!$H:$H,RESULTADO!$B$19,MtM!$E:$E,RESULTADO!BB$3)-SUMIFS(MtM!$N:$N,MtM!$I:$I,RESULTADO!$B20,MtM!$H:$H,RESULTADO!$B$19,MtM!$E:$E,RESULTADO!BB$3))</f>
        <v>0</v>
      </c>
      <c r="BC20" s="53">
        <f>(SUMIFS(MtM!$M:$M,MtM!$I:$I,RESULTADO!$B20,MtM!$H:$H,RESULTADO!$B$19,MtM!$E:$E,RESULTADO!BC$3)-SUMIFS(MtM!$N:$N,MtM!$I:$I,RESULTADO!$B20,MtM!$H:$H,RESULTADO!$B$19,MtM!$E:$E,RESULTADO!BC$3))</f>
        <v>0</v>
      </c>
      <c r="BD20" s="53">
        <f>(SUMIFS(MtM!$M:$M,MtM!$I:$I,RESULTADO!$B20,MtM!$H:$H,RESULTADO!$B$19,MtM!$E:$E,RESULTADO!BD$3)-SUMIFS(MtM!$N:$N,MtM!$I:$I,RESULTADO!$B20,MtM!$H:$H,RESULTADO!$B$19,MtM!$E:$E,RESULTADO!BD$3))</f>
        <v>0</v>
      </c>
      <c r="BE20" s="53">
        <f>(SUMIFS(MtM!$M:$M,MtM!$I:$I,RESULTADO!$B20,MtM!$H:$H,RESULTADO!$B$19,MtM!$E:$E,RESULTADO!BE$3)-SUMIFS(MtM!$N:$N,MtM!$I:$I,RESULTADO!$B20,MtM!$H:$H,RESULTADO!$B$19,MtM!$E:$E,RESULTADO!BE$3))</f>
        <v>0</v>
      </c>
      <c r="BF20" s="53">
        <f>(SUMIFS(MtM!$M:$M,MtM!$I:$I,RESULTADO!$B20,MtM!$H:$H,RESULTADO!$B$19,MtM!$E:$E,RESULTADO!BF$3)-SUMIFS(MtM!$N:$N,MtM!$I:$I,RESULTADO!$B20,MtM!$H:$H,RESULTADO!$B$19,MtM!$E:$E,RESULTADO!BF$3))</f>
        <v>0</v>
      </c>
      <c r="BG20" s="53">
        <f>(SUMIFS(MtM!$M:$M,MtM!$I:$I,RESULTADO!$B20,MtM!$H:$H,RESULTADO!$B$19,MtM!$E:$E,RESULTADO!BG$3)-SUMIFS(MtM!$N:$N,MtM!$I:$I,RESULTADO!$B20,MtM!$H:$H,RESULTADO!$B$19,MtM!$E:$E,RESULTADO!BG$3))</f>
        <v>0</v>
      </c>
      <c r="BH20" s="53">
        <f>(SUMIFS(MtM!$M:$M,MtM!$I:$I,RESULTADO!$B20,MtM!$H:$H,RESULTADO!$B$19,MtM!$E:$E,RESULTADO!BH$3)-SUMIFS(MtM!$N:$N,MtM!$I:$I,RESULTADO!$B20,MtM!$H:$H,RESULTADO!$B$19,MtM!$E:$E,RESULTADO!BH$3))</f>
        <v>0</v>
      </c>
      <c r="BI20" s="53">
        <f>(SUMIFS(MtM!$M:$M,MtM!$I:$I,RESULTADO!$B20,MtM!$H:$H,RESULTADO!$B$19,MtM!$E:$E,RESULTADO!BI$3)-SUMIFS(MtM!$N:$N,MtM!$I:$I,RESULTADO!$B20,MtM!$H:$H,RESULTADO!$B$19,MtM!$E:$E,RESULTADO!BI$3))</f>
        <v>0</v>
      </c>
      <c r="BJ20" s="63">
        <f>(SUMIFS(MtM!$M:$M,MtM!$I:$I,RESULTADO!$B20,MtM!$H:$H,RESULTADO!$B$19,MtM!$E:$E,RESULTADO!BJ$3)-SUMIFS(MtM!$N:$N,MtM!$I:$I,RESULTADO!$B20,MtM!$H:$H,RESULTADO!$B$19,MtM!$E:$E,RESULTADO!BJ$3))</f>
        <v>0</v>
      </c>
      <c r="BL20" s="120"/>
      <c r="BN20" s="57" t="s">
        <v>44</v>
      </c>
      <c r="BO20" s="53">
        <f>SUMIFS('MtM Releases'!$H:$H,'MtM Releases'!$G:$G,RESULTADO!$BN20,'MtM Releases'!$F:$F,RESULTADO!$BN19,'MtM Releases'!$D:$D,RESULTADO!BO$3)</f>
        <v>8.6120000000000001</v>
      </c>
      <c r="BP20" s="53">
        <f>SUMIFS('MtM Releases'!$H:$H,'MtM Releases'!$G:$G,RESULTADO!$BN20,'MtM Releases'!$F:$F,RESULTADO!$BN19,'MtM Releases'!$D:$D,RESULTADO!BP$3)</f>
        <v>8.649106999999999</v>
      </c>
      <c r="BQ20" s="53">
        <f>SUMIFS('MtM Releases'!$H:$H,'MtM Releases'!$G:$G,RESULTADO!$BN20,'MtM Releases'!$F:$F,RESULTADO!$BN19,'MtM Releases'!$D:$D,RESULTADO!BQ$3)</f>
        <v>18.04</v>
      </c>
      <c r="BR20" s="53">
        <f>SUMIFS('MtM Releases'!$H:$H,'MtM Releases'!$G:$G,RESULTADO!$BN20,'MtM Releases'!$F:$F,RESULTADO!$BN19,'MtM Releases'!$D:$D,RESULTADO!BR$3)</f>
        <v>4</v>
      </c>
      <c r="BS20" s="53">
        <f>SUMIFS('MtM Releases'!$H:$H,'MtM Releases'!$G:$G,RESULTADO!$BN20,'MtM Releases'!$F:$F,RESULTADO!$BN19,'MtM Releases'!$D:$D,RESULTADO!BS$3)</f>
        <v>3</v>
      </c>
      <c r="BT20" s="53">
        <f>SUMIFS('MtM Releases'!$H:$H,'MtM Releases'!$G:$G,RESULTADO!$BN20,'MtM Releases'!$F:$F,RESULTADO!$BN19,'MtM Releases'!$D:$D,RESULTADO!BT$3)</f>
        <v>0</v>
      </c>
      <c r="BU20" s="53">
        <f>SUMIFS('MtM Releases'!$H:$H,'MtM Releases'!$G:$G,RESULTADO!$BN20,'MtM Releases'!$F:$F,RESULTADO!$BN19,'MtM Releases'!$D:$D,RESULTADO!BU$3)</f>
        <v>0</v>
      </c>
      <c r="BV20" s="53">
        <f>SUMIFS('MtM Releases'!$H:$H,'MtM Releases'!$G:$G,RESULTADO!$BN20,'MtM Releases'!$F:$F,RESULTADO!$BN19,'MtM Releases'!$D:$D,RESULTADO!BV$3)</f>
        <v>0</v>
      </c>
      <c r="BW20" s="53">
        <f>SUMIFS('MtM Releases'!$H:$H,'MtM Releases'!$G:$G,RESULTADO!$BN20,'MtM Releases'!$F:$F,RESULTADO!$BN19,'MtM Releases'!$D:$D,RESULTADO!BW$3)</f>
        <v>0</v>
      </c>
      <c r="BX20" s="53">
        <f>SUMIFS('MtM Releases'!$H:$H,'MtM Releases'!$G:$G,RESULTADO!$BN20,'MtM Releases'!$F:$F,RESULTADO!$BN19,'MtM Releases'!$D:$D,RESULTADO!BX$3)</f>
        <v>0</v>
      </c>
      <c r="BY20" s="53">
        <f>SUMIFS('MtM Releases'!$H:$H,'MtM Releases'!$G:$G,RESULTADO!$BN20,'MtM Releases'!$F:$F,RESULTADO!$BN19,'MtM Releases'!$D:$D,RESULTADO!BY$3)</f>
        <v>8.562638999999999</v>
      </c>
      <c r="BZ20" s="54">
        <f>SUMIFS('MtM Releases'!$H:$H,'MtM Releases'!$G:$G,RESULTADO!$BN20,'MtM Releases'!$F:$F,RESULTADO!$BN19,'MtM Releases'!$D:$D,RESULTADO!BZ$3)</f>
        <v>10</v>
      </c>
      <c r="CA20" s="53">
        <f>SUMIFS('MtM Releases'!$H:$H,'MtM Releases'!$G:$G,RESULTADO!$BN20,'MtM Releases'!$F:$F,RESULTADO!$BN19,'MtM Releases'!$D:$D,RESULTADO!CA$3)</f>
        <v>0</v>
      </c>
      <c r="CB20" s="53">
        <f>SUMIFS('MtM Releases'!$H:$H,'MtM Releases'!$G:$G,RESULTADO!$BN20,'MtM Releases'!$F:$F,RESULTADO!$BN19,'MtM Releases'!$D:$D,RESULTADO!CB$3)</f>
        <v>0</v>
      </c>
      <c r="CC20" s="53">
        <f>SUMIFS('MtM Releases'!$H:$H,'MtM Releases'!$G:$G,RESULTADO!$BN20,'MtM Releases'!$F:$F,RESULTADO!$BN19,'MtM Releases'!$D:$D,RESULTADO!CC$3)</f>
        <v>0</v>
      </c>
      <c r="CD20" s="53">
        <f>SUMIFS('MtM Releases'!$H:$H,'MtM Releases'!$G:$G,RESULTADO!$BN20,'MtM Releases'!$F:$F,RESULTADO!$BN19,'MtM Releases'!$D:$D,RESULTADO!CD$3)</f>
        <v>0</v>
      </c>
      <c r="CE20" s="53">
        <f>SUMIFS('MtM Releases'!$H:$H,'MtM Releases'!$G:$G,RESULTADO!$BN20,'MtM Releases'!$F:$F,RESULTADO!$BN19,'MtM Releases'!$D:$D,RESULTADO!CE$3)</f>
        <v>0</v>
      </c>
      <c r="CF20" s="53">
        <f>SUMIFS('MtM Releases'!$H:$H,'MtM Releases'!$G:$G,RESULTADO!$BN20,'MtM Releases'!$F:$F,RESULTADO!$BN19,'MtM Releases'!$D:$D,RESULTADO!CF$3)</f>
        <v>0</v>
      </c>
      <c r="CG20" s="53">
        <f>SUMIFS('MtM Releases'!$H:$H,'MtM Releases'!$G:$G,RESULTADO!$BN20,'MtM Releases'!$F:$F,RESULTADO!$BN19,'MtM Releases'!$D:$D,RESULTADO!CG$3)</f>
        <v>0</v>
      </c>
      <c r="CH20" s="53">
        <f>SUMIFS('MtM Releases'!$H:$H,'MtM Releases'!$G:$G,RESULTADO!$BN20,'MtM Releases'!$F:$F,RESULTADO!$BN19,'MtM Releases'!$D:$D,RESULTADO!CH$3)</f>
        <v>0</v>
      </c>
      <c r="CI20" s="53">
        <f>SUMIFS('MtM Releases'!$H:$H,'MtM Releases'!$G:$G,RESULTADO!$BN20,'MtM Releases'!$F:$F,RESULTADO!$BN19,'MtM Releases'!$D:$D,RESULTADO!CI$3)</f>
        <v>0</v>
      </c>
      <c r="CJ20" s="53">
        <f>SUMIFS('MtM Releases'!$H:$H,'MtM Releases'!$G:$G,RESULTADO!$BN20,'MtM Releases'!$F:$F,RESULTADO!$BN19,'MtM Releases'!$D:$D,RESULTADO!CJ$3)</f>
        <v>0</v>
      </c>
      <c r="CK20" s="53">
        <f>SUMIFS('MtM Releases'!$H:$H,'MtM Releases'!$G:$G,RESULTADO!$BN20,'MtM Releases'!$F:$F,RESULTADO!$BN19,'MtM Releases'!$D:$D,RESULTADO!CK$3)</f>
        <v>0</v>
      </c>
      <c r="CL20" s="63">
        <f>SUMIFS('MtM Releases'!$H:$H,'MtM Releases'!$G:$G,RESULTADO!$BN20,'MtM Releases'!$F:$F,RESULTADO!$BN19,'MtM Releases'!$D:$D,RESULTADO!CL$3)</f>
        <v>0</v>
      </c>
      <c r="CM20" s="53">
        <f>SUMIFS('MtM Releases'!$H:$H,'MtM Releases'!$G:$G,RESULTADO!$BN20,'MtM Releases'!$F:$F,RESULTADO!$BN19,'MtM Releases'!$D:$D,RESULTADO!CM$3)</f>
        <v>0</v>
      </c>
      <c r="CN20" s="53">
        <f>SUMIFS('MtM Releases'!$H:$H,'MtM Releases'!$G:$G,RESULTADO!$BN20,'MtM Releases'!$F:$F,RESULTADO!$BN19,'MtM Releases'!$D:$D,RESULTADO!CN$3)</f>
        <v>0</v>
      </c>
      <c r="CO20" s="53">
        <f>SUMIFS('MtM Releases'!$H:$H,'MtM Releases'!$G:$G,RESULTADO!$BN20,'MtM Releases'!$F:$F,RESULTADO!$BN19,'MtM Releases'!$D:$D,RESULTADO!CO$3)</f>
        <v>0</v>
      </c>
      <c r="CP20" s="53">
        <f>SUMIFS('MtM Releases'!$H:$H,'MtM Releases'!$G:$G,RESULTADO!$BN20,'MtM Releases'!$F:$F,RESULTADO!$BN19,'MtM Releases'!$D:$D,RESULTADO!CP$3)</f>
        <v>0</v>
      </c>
      <c r="CQ20" s="53">
        <f>SUMIFS('MtM Releases'!$H:$H,'MtM Releases'!$G:$G,RESULTADO!$BN20,'MtM Releases'!$F:$F,RESULTADO!$BN19,'MtM Releases'!$D:$D,RESULTADO!CQ$3)</f>
        <v>0</v>
      </c>
      <c r="CR20" s="53">
        <f>SUMIFS('MtM Releases'!$H:$H,'MtM Releases'!$G:$G,RESULTADO!$BN20,'MtM Releases'!$F:$F,RESULTADO!$BN19,'MtM Releases'!$D:$D,RESULTADO!CR$3)</f>
        <v>0</v>
      </c>
      <c r="CS20" s="53">
        <f>SUMIFS('MtM Releases'!$H:$H,'MtM Releases'!$G:$G,RESULTADO!$BN20,'MtM Releases'!$F:$F,RESULTADO!$BN19,'MtM Releases'!$D:$D,RESULTADO!CS$3)</f>
        <v>0</v>
      </c>
      <c r="CT20" s="53">
        <f>SUMIFS('MtM Releases'!$H:$H,'MtM Releases'!$G:$G,RESULTADO!$BN20,'MtM Releases'!$F:$F,RESULTADO!$BN19,'MtM Releases'!$D:$D,RESULTADO!CT$3)</f>
        <v>0</v>
      </c>
      <c r="CU20" s="53">
        <f>SUMIFS('MtM Releases'!$H:$H,'MtM Releases'!$G:$G,RESULTADO!$BN20,'MtM Releases'!$F:$F,RESULTADO!$BN19,'MtM Releases'!$D:$D,RESULTADO!CU$3)</f>
        <v>0</v>
      </c>
      <c r="CV20" s="53">
        <f>SUMIFS('MtM Releases'!$H:$H,'MtM Releases'!$G:$G,RESULTADO!$BN20,'MtM Releases'!$F:$F,RESULTADO!$BN19,'MtM Releases'!$D:$D,RESULTADO!CV$3)</f>
        <v>0</v>
      </c>
      <c r="CW20" s="53">
        <f>SUMIFS('MtM Releases'!$H:$H,'MtM Releases'!$G:$G,RESULTADO!$BN20,'MtM Releases'!$F:$F,RESULTADO!$BN19,'MtM Releases'!$D:$D,RESULTADO!CW$3)</f>
        <v>0</v>
      </c>
      <c r="CX20" s="54">
        <f>SUMIFS('MtM Releases'!$H:$H,'MtM Releases'!$G:$G,RESULTADO!$BN20,'MtM Releases'!$F:$F,RESULTADO!$BN19,'MtM Releases'!$D:$D,RESULTADO!CX$3)</f>
        <v>0</v>
      </c>
      <c r="CY20" s="53">
        <f>SUMIFS('MtM Releases'!$H:$H,'MtM Releases'!$G:$G,RESULTADO!$BN20,'MtM Releases'!$F:$F,RESULTADO!$BN19,'MtM Releases'!$D:$D,RESULTADO!CY$3)</f>
        <v>0</v>
      </c>
      <c r="CZ20" s="53">
        <f>SUMIFS('MtM Releases'!$H:$H,'MtM Releases'!$G:$G,RESULTADO!$BN20,'MtM Releases'!$F:$F,RESULTADO!$BN19,'MtM Releases'!$D:$D,RESULTADO!CZ$3)</f>
        <v>0</v>
      </c>
      <c r="DA20" s="53">
        <f>SUMIFS('MtM Releases'!$H:$H,'MtM Releases'!$G:$G,RESULTADO!$BN20,'MtM Releases'!$F:$F,RESULTADO!$BN19,'MtM Releases'!$D:$D,RESULTADO!DA$3)</f>
        <v>0</v>
      </c>
      <c r="DB20" s="53">
        <f>SUMIFS('MtM Releases'!$H:$H,'MtM Releases'!$G:$G,RESULTADO!$BN20,'MtM Releases'!$F:$F,RESULTADO!$BN19,'MtM Releases'!$D:$D,RESULTADO!DB$3)</f>
        <v>0</v>
      </c>
      <c r="DC20" s="53">
        <f>SUMIFS('MtM Releases'!$H:$H,'MtM Releases'!$G:$G,RESULTADO!$BN20,'MtM Releases'!$F:$F,RESULTADO!$BN19,'MtM Releases'!$D:$D,RESULTADO!DC$3)</f>
        <v>0</v>
      </c>
      <c r="DD20" s="53">
        <f>SUMIFS('MtM Releases'!$H:$H,'MtM Releases'!$G:$G,RESULTADO!$BN20,'MtM Releases'!$F:$F,RESULTADO!$BN19,'MtM Releases'!$D:$D,RESULTADO!DD$3)</f>
        <v>0</v>
      </c>
      <c r="DE20" s="53">
        <f>SUMIFS('MtM Releases'!$H:$H,'MtM Releases'!$G:$G,RESULTADO!$BN20,'MtM Releases'!$F:$F,RESULTADO!$BN19,'MtM Releases'!$D:$D,RESULTADO!DE$3)</f>
        <v>0</v>
      </c>
      <c r="DF20" s="53">
        <f>SUMIFS('MtM Releases'!$H:$H,'MtM Releases'!$G:$G,RESULTADO!$BN20,'MtM Releases'!$F:$F,RESULTADO!$BN19,'MtM Releases'!$D:$D,RESULTADO!DF$3)</f>
        <v>0</v>
      </c>
      <c r="DG20" s="53">
        <f>SUMIFS('MtM Releases'!$H:$H,'MtM Releases'!$G:$G,RESULTADO!$BN20,'MtM Releases'!$F:$F,RESULTADO!$BN19,'MtM Releases'!$D:$D,RESULTADO!DG$3)</f>
        <v>0</v>
      </c>
      <c r="DH20" s="53">
        <f>SUMIFS('MtM Releases'!$H:$H,'MtM Releases'!$G:$G,RESULTADO!$BN20,'MtM Releases'!$F:$F,RESULTADO!$BN19,'MtM Releases'!$D:$D,RESULTADO!DH$3)</f>
        <v>0</v>
      </c>
      <c r="DI20" s="53">
        <f>SUMIFS('MtM Releases'!$H:$H,'MtM Releases'!$G:$G,RESULTADO!$BN20,'MtM Releases'!$F:$F,RESULTADO!$BN19,'MtM Releases'!$D:$D,RESULTADO!DI$3)</f>
        <v>0</v>
      </c>
      <c r="DJ20" s="63">
        <f>SUMIFS('MtM Releases'!$H:$H,'MtM Releases'!$G:$G,RESULTADO!$BN20,'MtM Releases'!$F:$F,RESULTADO!$BN19,'MtM Releases'!$D:$D,RESULTADO!DJ$3)</f>
        <v>0</v>
      </c>
      <c r="DK20" s="53">
        <f>SUMIFS('MtM Releases'!$H:$H,'MtM Releases'!$G:$G,RESULTADO!$BN20,'MtM Releases'!$F:$F,RESULTADO!$BN19,'MtM Releases'!$D:$D,RESULTADO!DK$3)</f>
        <v>0</v>
      </c>
      <c r="DL20" s="53">
        <f>SUMIFS('MtM Releases'!$H:$H,'MtM Releases'!$G:$G,RESULTADO!$BN20,'MtM Releases'!$F:$F,RESULTADO!$BN19,'MtM Releases'!$D:$D,RESULTADO!DL$3)</f>
        <v>0</v>
      </c>
      <c r="DM20" s="53">
        <f>SUMIFS('MtM Releases'!$H:$H,'MtM Releases'!$G:$G,RESULTADO!$BN20,'MtM Releases'!$F:$F,RESULTADO!$BN19,'MtM Releases'!$D:$D,RESULTADO!DM$3)</f>
        <v>0</v>
      </c>
      <c r="DN20" s="53">
        <f>SUMIFS('MtM Releases'!$H:$H,'MtM Releases'!$G:$G,RESULTADO!$BN20,'MtM Releases'!$F:$F,RESULTADO!$BN19,'MtM Releases'!$D:$D,RESULTADO!DN$3)</f>
        <v>0</v>
      </c>
      <c r="DO20" s="53">
        <f>SUMIFS('MtM Releases'!$H:$H,'MtM Releases'!$G:$G,RESULTADO!$BN20,'MtM Releases'!$F:$F,RESULTADO!$BN19,'MtM Releases'!$D:$D,RESULTADO!DO$3)</f>
        <v>0</v>
      </c>
      <c r="DP20" s="53">
        <f>SUMIFS('MtM Releases'!$H:$H,'MtM Releases'!$G:$G,RESULTADO!$BN20,'MtM Releases'!$F:$F,RESULTADO!$BN19,'MtM Releases'!$D:$D,RESULTADO!DP$3)</f>
        <v>0</v>
      </c>
      <c r="DQ20" s="53">
        <f>SUMIFS('MtM Releases'!$H:$H,'MtM Releases'!$G:$G,RESULTADO!$BN20,'MtM Releases'!$F:$F,RESULTADO!$BN19,'MtM Releases'!$D:$D,RESULTADO!DQ$3)</f>
        <v>0</v>
      </c>
      <c r="DR20" s="53">
        <f>SUMIFS('MtM Releases'!$H:$H,'MtM Releases'!$G:$G,RESULTADO!$BN20,'MtM Releases'!$F:$F,RESULTADO!$BN19,'MtM Releases'!$D:$D,RESULTADO!DR$3)</f>
        <v>0</v>
      </c>
      <c r="DS20" s="53">
        <f>SUMIFS('MtM Releases'!$H:$H,'MtM Releases'!$G:$G,RESULTADO!$BN20,'MtM Releases'!$F:$F,RESULTADO!$BN19,'MtM Releases'!$D:$D,RESULTADO!DS$3)</f>
        <v>0</v>
      </c>
      <c r="DT20" s="53">
        <f>SUMIFS('MtM Releases'!$H:$H,'MtM Releases'!$G:$G,RESULTADO!$BN20,'MtM Releases'!$F:$F,RESULTADO!$BN19,'MtM Releases'!$D:$D,RESULTADO!DT$3)</f>
        <v>0</v>
      </c>
      <c r="DU20" s="53">
        <f>SUMIFS('MtM Releases'!$H:$H,'MtM Releases'!$G:$G,RESULTADO!$BN20,'MtM Releases'!$F:$F,RESULTADO!$BN19,'MtM Releases'!$D:$D,RESULTADO!DU$3)</f>
        <v>0</v>
      </c>
      <c r="DV20" s="63">
        <f>SUMIFS('MtM Releases'!$H:$H,'MtM Releases'!$G:$G,RESULTADO!$BN20,'MtM Releases'!$F:$F,RESULTADO!$BN19,'MtM Releases'!$D:$D,RESULTADO!DV$3)</f>
        <v>0</v>
      </c>
      <c r="EB20" s="11"/>
    </row>
    <row r="21" spans="2:132" x14ac:dyDescent="0.25">
      <c r="B21" s="57" t="s">
        <v>12</v>
      </c>
      <c r="C21" s="53">
        <f>(SUMIFS(MtM!$M:$M,MtM!$I:$I,RESULTADO!$B21,MtM!$H:$H,RESULTADO!$B$19,MtM!$E:$E,RESULTADO!C$3)-SUMIFS(MtM!$N:$N,MtM!$I:$I,RESULTADO!$B21,MtM!$H:$H,RESULTADO!$B$19,MtM!$E:$E,RESULTADO!C$3))</f>
        <v>0</v>
      </c>
      <c r="D21" s="53">
        <f>(SUMIFS(MtM!$M:$M,MtM!$I:$I,RESULTADO!$B21,MtM!$H:$H,RESULTADO!$B$19,MtM!$E:$E,RESULTADO!D$3)-SUMIFS(MtM!$N:$N,MtM!$I:$I,RESULTADO!$B21,MtM!$H:$H,RESULTADO!$B$19,MtM!$E:$E,RESULTADO!D$3))</f>
        <v>0</v>
      </c>
      <c r="E21" s="53">
        <f>(SUMIFS(MtM!$M:$M,MtM!$I:$I,RESULTADO!$B21,MtM!$H:$H,RESULTADO!$B$19,MtM!$E:$E,RESULTADO!E$3)-SUMIFS(MtM!$N:$N,MtM!$I:$I,RESULTADO!$B21,MtM!$H:$H,RESULTADO!$B$19,MtM!$E:$E,RESULTADO!E$3))</f>
        <v>0</v>
      </c>
      <c r="F21" s="53">
        <f>(SUMIFS(MtM!$M:$M,MtM!$I:$I,RESULTADO!$B21,MtM!$H:$H,RESULTADO!$B$19,MtM!$E:$E,RESULTADO!F$3)-SUMIFS(MtM!$N:$N,MtM!$I:$I,RESULTADO!$B21,MtM!$H:$H,RESULTADO!$B$19,MtM!$E:$E,RESULTADO!F$3))</f>
        <v>0</v>
      </c>
      <c r="G21" s="53">
        <f>(SUMIFS(MtM!$M:$M,MtM!$I:$I,RESULTADO!$B21,MtM!$H:$H,RESULTADO!$B$19,MtM!$E:$E,RESULTADO!G$3)-SUMIFS(MtM!$N:$N,MtM!$I:$I,RESULTADO!$B21,MtM!$H:$H,RESULTADO!$B$19,MtM!$E:$E,RESULTADO!G$3))</f>
        <v>0</v>
      </c>
      <c r="H21" s="53">
        <f>(SUMIFS(MtM!$M:$M,MtM!$I:$I,RESULTADO!$B21,MtM!$H:$H,RESULTADO!$B$19,MtM!$E:$E,RESULTADO!H$3)-SUMIFS(MtM!$N:$N,MtM!$I:$I,RESULTADO!$B21,MtM!$H:$H,RESULTADO!$B$19,MtM!$E:$E,RESULTADO!H$3))</f>
        <v>0</v>
      </c>
      <c r="I21" s="53">
        <f>(SUMIFS(MtM!$M:$M,MtM!$I:$I,RESULTADO!$B21,MtM!$H:$H,RESULTADO!$B$19,MtM!$E:$E,RESULTADO!I$3)-SUMIFS(MtM!$N:$N,MtM!$I:$I,RESULTADO!$B21,MtM!$H:$H,RESULTADO!$B$19,MtM!$E:$E,RESULTADO!I$3))</f>
        <v>0</v>
      </c>
      <c r="J21" s="53">
        <f>(SUMIFS(MtM!$M:$M,MtM!$I:$I,RESULTADO!$B21,MtM!$H:$H,RESULTADO!$B$19,MtM!$E:$E,RESULTADO!J$3)-SUMIFS(MtM!$N:$N,MtM!$I:$I,RESULTADO!$B21,MtM!$H:$H,RESULTADO!$B$19,MtM!$E:$E,RESULTADO!J$3))</f>
        <v>0</v>
      </c>
      <c r="K21" s="53">
        <f>(SUMIFS(MtM!$M:$M,MtM!$I:$I,RESULTADO!$B21,MtM!$H:$H,RESULTADO!$B$19,MtM!$E:$E,RESULTADO!K$3)-SUMIFS(MtM!$N:$N,MtM!$I:$I,RESULTADO!$B21,MtM!$H:$H,RESULTADO!$B$19,MtM!$E:$E,RESULTADO!K$3))</f>
        <v>0</v>
      </c>
      <c r="L21" s="53">
        <f>(SUMIFS(MtM!$M:$M,MtM!$I:$I,RESULTADO!$B21,MtM!$H:$H,RESULTADO!$B$19,MtM!$E:$E,RESULTADO!L$3)-SUMIFS(MtM!$N:$N,MtM!$I:$I,RESULTADO!$B21,MtM!$H:$H,RESULTADO!$B$19,MtM!$E:$E,RESULTADO!L$3))</f>
        <v>0</v>
      </c>
      <c r="M21" s="53">
        <f>(SUMIFS(MtM!$M:$M,MtM!$I:$I,RESULTADO!$B21,MtM!$H:$H,RESULTADO!$B$19,MtM!$E:$E,RESULTADO!M$3)-SUMIFS(MtM!$N:$N,MtM!$I:$I,RESULTADO!$B21,MtM!$H:$H,RESULTADO!$B$19,MtM!$E:$E,RESULTADO!M$3))</f>
        <v>0</v>
      </c>
      <c r="N21" s="54">
        <f>(SUMIFS(MtM!$M:$M,MtM!$I:$I,RESULTADO!$B21,MtM!$H:$H,RESULTADO!$B$19,MtM!$E:$E,RESULTADO!N$3)-SUMIFS(MtM!$N:$N,MtM!$I:$I,RESULTADO!$B21,MtM!$H:$H,RESULTADO!$B$19,MtM!$E:$E,RESULTADO!N$3))</f>
        <v>0</v>
      </c>
      <c r="O21" s="53">
        <f>(SUMIFS(MtM!$M:$M,MtM!$I:$I,RESULTADO!$B21,MtM!$H:$H,RESULTADO!$B$19,MtM!$E:$E,RESULTADO!O$3)-SUMIFS(MtM!$N:$N,MtM!$I:$I,RESULTADO!$B21,MtM!$H:$H,RESULTADO!$B$19,MtM!$E:$E,RESULTADO!O$3))</f>
        <v>0</v>
      </c>
      <c r="P21" s="53">
        <f>(SUMIFS(MtM!$M:$M,MtM!$I:$I,RESULTADO!$B21,MtM!$H:$H,RESULTADO!$B$19,MtM!$E:$E,RESULTADO!P$3)-SUMIFS(MtM!$N:$N,MtM!$I:$I,RESULTADO!$B21,MtM!$H:$H,RESULTADO!$B$19,MtM!$E:$E,RESULTADO!P$3))</f>
        <v>0</v>
      </c>
      <c r="Q21" s="53">
        <f>(SUMIFS(MtM!$M:$M,MtM!$I:$I,RESULTADO!$B21,MtM!$H:$H,RESULTADO!$B$19,MtM!$E:$E,RESULTADO!Q$3)-SUMIFS(MtM!$N:$N,MtM!$I:$I,RESULTADO!$B21,MtM!$H:$H,RESULTADO!$B$19,MtM!$E:$E,RESULTADO!Q$3))</f>
        <v>0</v>
      </c>
      <c r="R21" s="53">
        <f>(SUMIFS(MtM!$M:$M,MtM!$I:$I,RESULTADO!$B21,MtM!$H:$H,RESULTADO!$B$19,MtM!$E:$E,RESULTADO!R$3)-SUMIFS(MtM!$N:$N,MtM!$I:$I,RESULTADO!$B21,MtM!$H:$H,RESULTADO!$B$19,MtM!$E:$E,RESULTADO!R$3))</f>
        <v>0</v>
      </c>
      <c r="S21" s="53">
        <f>(SUMIFS(MtM!$M:$M,MtM!$I:$I,RESULTADO!$B21,MtM!$H:$H,RESULTADO!$B$19,MtM!$E:$E,RESULTADO!S$3)-SUMIFS(MtM!$N:$N,MtM!$I:$I,RESULTADO!$B21,MtM!$H:$H,RESULTADO!$B$19,MtM!$E:$E,RESULTADO!S$3))</f>
        <v>0</v>
      </c>
      <c r="T21" s="53">
        <f>(SUMIFS(MtM!$M:$M,MtM!$I:$I,RESULTADO!$B21,MtM!$H:$H,RESULTADO!$B$19,MtM!$E:$E,RESULTADO!T$3)-SUMIFS(MtM!$N:$N,MtM!$I:$I,RESULTADO!$B21,MtM!$H:$H,RESULTADO!$B$19,MtM!$E:$E,RESULTADO!T$3))</f>
        <v>0</v>
      </c>
      <c r="U21" s="53">
        <f>(SUMIFS(MtM!$M:$M,MtM!$I:$I,RESULTADO!$B21,MtM!$H:$H,RESULTADO!$B$19,MtM!$E:$E,RESULTADO!U$3)-SUMIFS(MtM!$N:$N,MtM!$I:$I,RESULTADO!$B21,MtM!$H:$H,RESULTADO!$B$19,MtM!$E:$E,RESULTADO!U$3))</f>
        <v>0</v>
      </c>
      <c r="V21" s="53">
        <f>(SUMIFS(MtM!$M:$M,MtM!$I:$I,RESULTADO!$B21,MtM!$H:$H,RESULTADO!$B$19,MtM!$E:$E,RESULTADO!V$3)-SUMIFS(MtM!$N:$N,MtM!$I:$I,RESULTADO!$B21,MtM!$H:$H,RESULTADO!$B$19,MtM!$E:$E,RESULTADO!V$3))</f>
        <v>0</v>
      </c>
      <c r="W21" s="53">
        <f>(SUMIFS(MtM!$M:$M,MtM!$I:$I,RESULTADO!$B21,MtM!$H:$H,RESULTADO!$B$19,MtM!$E:$E,RESULTADO!W$3)-SUMIFS(MtM!$N:$N,MtM!$I:$I,RESULTADO!$B21,MtM!$H:$H,RESULTADO!$B$19,MtM!$E:$E,RESULTADO!W$3))</f>
        <v>0</v>
      </c>
      <c r="X21" s="53">
        <f>(SUMIFS(MtM!$M:$M,MtM!$I:$I,RESULTADO!$B21,MtM!$H:$H,RESULTADO!$B$19,MtM!$E:$E,RESULTADO!X$3)-SUMIFS(MtM!$N:$N,MtM!$I:$I,RESULTADO!$B21,MtM!$H:$H,RESULTADO!$B$19,MtM!$E:$E,RESULTADO!X$3))</f>
        <v>0</v>
      </c>
      <c r="Y21" s="53">
        <f>(SUMIFS(MtM!$M:$M,MtM!$I:$I,RESULTADO!$B21,MtM!$H:$H,RESULTADO!$B$19,MtM!$E:$E,RESULTADO!Y$3)-SUMIFS(MtM!$N:$N,MtM!$I:$I,RESULTADO!$B21,MtM!$H:$H,RESULTADO!$B$19,MtM!$E:$E,RESULTADO!Y$3))</f>
        <v>0</v>
      </c>
      <c r="Z21" s="63">
        <f>(SUMIFS(MtM!$M:$M,MtM!$I:$I,RESULTADO!$B21,MtM!$H:$H,RESULTADO!$B$19,MtM!$E:$E,RESULTADO!Z$3)-SUMIFS(MtM!$N:$N,MtM!$I:$I,RESULTADO!$B21,MtM!$H:$H,RESULTADO!$B$19,MtM!$E:$E,RESULTADO!Z$3))</f>
        <v>0</v>
      </c>
      <c r="AA21" s="53">
        <f>(SUMIFS(MtM!$M:$M,MtM!$I:$I,RESULTADO!$B21,MtM!$H:$H,RESULTADO!$B$19,MtM!$E:$E,RESULTADO!AA$3)-SUMIFS(MtM!$N:$N,MtM!$I:$I,RESULTADO!$B21,MtM!$H:$H,RESULTADO!$B$19,MtM!$E:$E,RESULTADO!AA$3))</f>
        <v>0</v>
      </c>
      <c r="AB21" s="53">
        <f>(SUMIFS(MtM!$M:$M,MtM!$I:$I,RESULTADO!$B21,MtM!$H:$H,RESULTADO!$B$19,MtM!$E:$E,RESULTADO!AB$3)-SUMIFS(MtM!$N:$N,MtM!$I:$I,RESULTADO!$B21,MtM!$H:$H,RESULTADO!$B$19,MtM!$E:$E,RESULTADO!AB$3))</f>
        <v>0</v>
      </c>
      <c r="AC21" s="53">
        <f>(SUMIFS(MtM!$M:$M,MtM!$I:$I,RESULTADO!$B21,MtM!$H:$H,RESULTADO!$B$19,MtM!$E:$E,RESULTADO!AC$3)-SUMIFS(MtM!$N:$N,MtM!$I:$I,RESULTADO!$B21,MtM!$H:$H,RESULTADO!$B$19,MtM!$E:$E,RESULTADO!AC$3))</f>
        <v>0</v>
      </c>
      <c r="AD21" s="53">
        <f>(SUMIFS(MtM!$M:$M,MtM!$I:$I,RESULTADO!$B21,MtM!$H:$H,RESULTADO!$B$19,MtM!$E:$E,RESULTADO!AD$3)-SUMIFS(MtM!$N:$N,MtM!$I:$I,RESULTADO!$B21,MtM!$H:$H,RESULTADO!$B$19,MtM!$E:$E,RESULTADO!AD$3))</f>
        <v>0</v>
      </c>
      <c r="AE21" s="53">
        <f>(SUMIFS(MtM!$M:$M,MtM!$I:$I,RESULTADO!$B21,MtM!$H:$H,RESULTADO!$B$19,MtM!$E:$E,RESULTADO!AE$3)-SUMIFS(MtM!$N:$N,MtM!$I:$I,RESULTADO!$B21,MtM!$H:$H,RESULTADO!$B$19,MtM!$E:$E,RESULTADO!AE$3))</f>
        <v>0</v>
      </c>
      <c r="AF21" s="53">
        <f>(SUMIFS(MtM!$M:$M,MtM!$I:$I,RESULTADO!$B21,MtM!$H:$H,RESULTADO!$B$19,MtM!$E:$E,RESULTADO!AF$3)-SUMIFS(MtM!$N:$N,MtM!$I:$I,RESULTADO!$B21,MtM!$H:$H,RESULTADO!$B$19,MtM!$E:$E,RESULTADO!AF$3))</f>
        <v>0</v>
      </c>
      <c r="AG21" s="53">
        <f>(SUMIFS(MtM!$M:$M,MtM!$I:$I,RESULTADO!$B21,MtM!$H:$H,RESULTADO!$B$19,MtM!$E:$E,RESULTADO!AG$3)-SUMIFS(MtM!$N:$N,MtM!$I:$I,RESULTADO!$B21,MtM!$H:$H,RESULTADO!$B$19,MtM!$E:$E,RESULTADO!AG$3))</f>
        <v>0</v>
      </c>
      <c r="AH21" s="53">
        <f>(SUMIFS(MtM!$M:$M,MtM!$I:$I,RESULTADO!$B21,MtM!$H:$H,RESULTADO!$B$19,MtM!$E:$E,RESULTADO!AH$3)-SUMIFS(MtM!$N:$N,MtM!$I:$I,RESULTADO!$B21,MtM!$H:$H,RESULTADO!$B$19,MtM!$E:$E,RESULTADO!AH$3))</f>
        <v>0</v>
      </c>
      <c r="AI21" s="53">
        <f>(SUMIFS(MtM!$M:$M,MtM!$I:$I,RESULTADO!$B21,MtM!$H:$H,RESULTADO!$B$19,MtM!$E:$E,RESULTADO!AI$3)-SUMIFS(MtM!$N:$N,MtM!$I:$I,RESULTADO!$B21,MtM!$H:$H,RESULTADO!$B$19,MtM!$E:$E,RESULTADO!AI$3))</f>
        <v>0</v>
      </c>
      <c r="AJ21" s="53">
        <f>(SUMIFS(MtM!$M:$M,MtM!$I:$I,RESULTADO!$B21,MtM!$H:$H,RESULTADO!$B$19,MtM!$E:$E,RESULTADO!AJ$3)-SUMIFS(MtM!$N:$N,MtM!$I:$I,RESULTADO!$B21,MtM!$H:$H,RESULTADO!$B$19,MtM!$E:$E,RESULTADO!AJ$3))</f>
        <v>0</v>
      </c>
      <c r="AK21" s="53">
        <f>(SUMIFS(MtM!$M:$M,MtM!$I:$I,RESULTADO!$B21,MtM!$H:$H,RESULTADO!$B$19,MtM!$E:$E,RESULTADO!AK$3)-SUMIFS(MtM!$N:$N,MtM!$I:$I,RESULTADO!$B21,MtM!$H:$H,RESULTADO!$B$19,MtM!$E:$E,RESULTADO!AK$3))</f>
        <v>0</v>
      </c>
      <c r="AL21" s="54">
        <f>(SUMIFS(MtM!$M:$M,MtM!$I:$I,RESULTADO!$B21,MtM!$H:$H,RESULTADO!$B$19,MtM!$E:$E,RESULTADO!AL$3)-SUMIFS(MtM!$N:$N,MtM!$I:$I,RESULTADO!$B21,MtM!$H:$H,RESULTADO!$B$19,MtM!$E:$E,RESULTADO!AL$3))</f>
        <v>0</v>
      </c>
      <c r="AM21" s="53">
        <f>(SUMIFS(MtM!$M:$M,MtM!$I:$I,RESULTADO!$B21,MtM!$H:$H,RESULTADO!$B$19,MtM!$E:$E,RESULTADO!AM$3)-SUMIFS(MtM!$N:$N,MtM!$I:$I,RESULTADO!$B21,MtM!$H:$H,RESULTADO!$B$19,MtM!$E:$E,RESULTADO!AM$3))</f>
        <v>0</v>
      </c>
      <c r="AN21" s="53">
        <f>(SUMIFS(MtM!$M:$M,MtM!$I:$I,RESULTADO!$B21,MtM!$H:$H,RESULTADO!$B$19,MtM!$E:$E,RESULTADO!AN$3)-SUMIFS(MtM!$N:$N,MtM!$I:$I,RESULTADO!$B21,MtM!$H:$H,RESULTADO!$B$19,MtM!$E:$E,RESULTADO!AN$3))</f>
        <v>0</v>
      </c>
      <c r="AO21" s="53">
        <f>(SUMIFS(MtM!$M:$M,MtM!$I:$I,RESULTADO!$B21,MtM!$H:$H,RESULTADO!$B$19,MtM!$E:$E,RESULTADO!AO$3)-SUMIFS(MtM!$N:$N,MtM!$I:$I,RESULTADO!$B21,MtM!$H:$H,RESULTADO!$B$19,MtM!$E:$E,RESULTADO!AO$3))</f>
        <v>0</v>
      </c>
      <c r="AP21" s="53">
        <f>(SUMIFS(MtM!$M:$M,MtM!$I:$I,RESULTADO!$B21,MtM!$H:$H,RESULTADO!$B$19,MtM!$E:$E,RESULTADO!AP$3)-SUMIFS(MtM!$N:$N,MtM!$I:$I,RESULTADO!$B21,MtM!$H:$H,RESULTADO!$B$19,MtM!$E:$E,RESULTADO!AP$3))</f>
        <v>0</v>
      </c>
      <c r="AQ21" s="53">
        <f>(SUMIFS(MtM!$M:$M,MtM!$I:$I,RESULTADO!$B21,MtM!$H:$H,RESULTADO!$B$19,MtM!$E:$E,RESULTADO!AQ$3)-SUMIFS(MtM!$N:$N,MtM!$I:$I,RESULTADO!$B21,MtM!$H:$H,RESULTADO!$B$19,MtM!$E:$E,RESULTADO!AQ$3))</f>
        <v>0</v>
      </c>
      <c r="AR21" s="53">
        <f>(SUMIFS(MtM!$M:$M,MtM!$I:$I,RESULTADO!$B21,MtM!$H:$H,RESULTADO!$B$19,MtM!$E:$E,RESULTADO!AR$3)-SUMIFS(MtM!$N:$N,MtM!$I:$I,RESULTADO!$B21,MtM!$H:$H,RESULTADO!$B$19,MtM!$E:$E,RESULTADO!AR$3))</f>
        <v>0</v>
      </c>
      <c r="AS21" s="53">
        <f>(SUMIFS(MtM!$M:$M,MtM!$I:$I,RESULTADO!$B21,MtM!$H:$H,RESULTADO!$B$19,MtM!$E:$E,RESULTADO!AS$3)-SUMIFS(MtM!$N:$N,MtM!$I:$I,RESULTADO!$B21,MtM!$H:$H,RESULTADO!$B$19,MtM!$E:$E,RESULTADO!AS$3))</f>
        <v>0</v>
      </c>
      <c r="AT21" s="53">
        <f>(SUMIFS(MtM!$M:$M,MtM!$I:$I,RESULTADO!$B21,MtM!$H:$H,RESULTADO!$B$19,MtM!$E:$E,RESULTADO!AT$3)-SUMIFS(MtM!$N:$N,MtM!$I:$I,RESULTADO!$B21,MtM!$H:$H,RESULTADO!$B$19,MtM!$E:$E,RESULTADO!AT$3))</f>
        <v>0</v>
      </c>
      <c r="AU21" s="53">
        <f>(SUMIFS(MtM!$M:$M,MtM!$I:$I,RESULTADO!$B21,MtM!$H:$H,RESULTADO!$B$19,MtM!$E:$E,RESULTADO!AU$3)-SUMIFS(MtM!$N:$N,MtM!$I:$I,RESULTADO!$B21,MtM!$H:$H,RESULTADO!$B$19,MtM!$E:$E,RESULTADO!AU$3))</f>
        <v>0</v>
      </c>
      <c r="AV21" s="53">
        <f>(SUMIFS(MtM!$M:$M,MtM!$I:$I,RESULTADO!$B21,MtM!$H:$H,RESULTADO!$B$19,MtM!$E:$E,RESULTADO!AV$3)-SUMIFS(MtM!$N:$N,MtM!$I:$I,RESULTADO!$B21,MtM!$H:$H,RESULTADO!$B$19,MtM!$E:$E,RESULTADO!AV$3))</f>
        <v>0</v>
      </c>
      <c r="AW21" s="53">
        <f>(SUMIFS(MtM!$M:$M,MtM!$I:$I,RESULTADO!$B21,MtM!$H:$H,RESULTADO!$B$19,MtM!$E:$E,RESULTADO!AW$3)-SUMIFS(MtM!$N:$N,MtM!$I:$I,RESULTADO!$B21,MtM!$H:$H,RESULTADO!$B$19,MtM!$E:$E,RESULTADO!AW$3))</f>
        <v>0</v>
      </c>
      <c r="AX21" s="63">
        <f>(SUMIFS(MtM!$M:$M,MtM!$I:$I,RESULTADO!$B21,MtM!$H:$H,RESULTADO!$B$19,MtM!$E:$E,RESULTADO!AX$3)-SUMIFS(MtM!$N:$N,MtM!$I:$I,RESULTADO!$B21,MtM!$H:$H,RESULTADO!$B$19,MtM!$E:$E,RESULTADO!AX$3))</f>
        <v>0</v>
      </c>
      <c r="AY21" s="53">
        <f>(SUMIFS(MtM!$M:$M,MtM!$I:$I,RESULTADO!$B21,MtM!$H:$H,RESULTADO!$B$19,MtM!$E:$E,RESULTADO!AY$3)-SUMIFS(MtM!$N:$N,MtM!$I:$I,RESULTADO!$B21,MtM!$H:$H,RESULTADO!$B$19,MtM!$E:$E,RESULTADO!AY$3))</f>
        <v>0</v>
      </c>
      <c r="AZ21" s="53">
        <f>(SUMIFS(MtM!$M:$M,MtM!$I:$I,RESULTADO!$B21,MtM!$H:$H,RESULTADO!$B$19,MtM!$E:$E,RESULTADO!AZ$3)-SUMIFS(MtM!$N:$N,MtM!$I:$I,RESULTADO!$B21,MtM!$H:$H,RESULTADO!$B$19,MtM!$E:$E,RESULTADO!AZ$3))</f>
        <v>0</v>
      </c>
      <c r="BA21" s="53">
        <f>(SUMIFS(MtM!$M:$M,MtM!$I:$I,RESULTADO!$B21,MtM!$H:$H,RESULTADO!$B$19,MtM!$E:$E,RESULTADO!BA$3)-SUMIFS(MtM!$N:$N,MtM!$I:$I,RESULTADO!$B21,MtM!$H:$H,RESULTADO!$B$19,MtM!$E:$E,RESULTADO!BA$3))</f>
        <v>0</v>
      </c>
      <c r="BB21" s="53">
        <f>(SUMIFS(MtM!$M:$M,MtM!$I:$I,RESULTADO!$B21,MtM!$H:$H,RESULTADO!$B$19,MtM!$E:$E,RESULTADO!BB$3)-SUMIFS(MtM!$N:$N,MtM!$I:$I,RESULTADO!$B21,MtM!$H:$H,RESULTADO!$B$19,MtM!$E:$E,RESULTADO!BB$3))</f>
        <v>0</v>
      </c>
      <c r="BC21" s="53">
        <f>(SUMIFS(MtM!$M:$M,MtM!$I:$I,RESULTADO!$B21,MtM!$H:$H,RESULTADO!$B$19,MtM!$E:$E,RESULTADO!BC$3)-SUMIFS(MtM!$N:$N,MtM!$I:$I,RESULTADO!$B21,MtM!$H:$H,RESULTADO!$B$19,MtM!$E:$E,RESULTADO!BC$3))</f>
        <v>0</v>
      </c>
      <c r="BD21" s="53">
        <f>(SUMIFS(MtM!$M:$M,MtM!$I:$I,RESULTADO!$B21,MtM!$H:$H,RESULTADO!$B$19,MtM!$E:$E,RESULTADO!BD$3)-SUMIFS(MtM!$N:$N,MtM!$I:$I,RESULTADO!$B21,MtM!$H:$H,RESULTADO!$B$19,MtM!$E:$E,RESULTADO!BD$3))</f>
        <v>0</v>
      </c>
      <c r="BE21" s="53">
        <f>(SUMIFS(MtM!$M:$M,MtM!$I:$I,RESULTADO!$B21,MtM!$H:$H,RESULTADO!$B$19,MtM!$E:$E,RESULTADO!BE$3)-SUMIFS(MtM!$N:$N,MtM!$I:$I,RESULTADO!$B21,MtM!$H:$H,RESULTADO!$B$19,MtM!$E:$E,RESULTADO!BE$3))</f>
        <v>0</v>
      </c>
      <c r="BF21" s="53">
        <f>(SUMIFS(MtM!$M:$M,MtM!$I:$I,RESULTADO!$B21,MtM!$H:$H,RESULTADO!$B$19,MtM!$E:$E,RESULTADO!BF$3)-SUMIFS(MtM!$N:$N,MtM!$I:$I,RESULTADO!$B21,MtM!$H:$H,RESULTADO!$B$19,MtM!$E:$E,RESULTADO!BF$3))</f>
        <v>0</v>
      </c>
      <c r="BG21" s="53">
        <f>(SUMIFS(MtM!$M:$M,MtM!$I:$I,RESULTADO!$B21,MtM!$H:$H,RESULTADO!$B$19,MtM!$E:$E,RESULTADO!BG$3)-SUMIFS(MtM!$N:$N,MtM!$I:$I,RESULTADO!$B21,MtM!$H:$H,RESULTADO!$B$19,MtM!$E:$E,RESULTADO!BG$3))</f>
        <v>0</v>
      </c>
      <c r="BH21" s="53">
        <f>(SUMIFS(MtM!$M:$M,MtM!$I:$I,RESULTADO!$B21,MtM!$H:$H,RESULTADO!$B$19,MtM!$E:$E,RESULTADO!BH$3)-SUMIFS(MtM!$N:$N,MtM!$I:$I,RESULTADO!$B21,MtM!$H:$H,RESULTADO!$B$19,MtM!$E:$E,RESULTADO!BH$3))</f>
        <v>0</v>
      </c>
      <c r="BI21" s="53">
        <f>(SUMIFS(MtM!$M:$M,MtM!$I:$I,RESULTADO!$B21,MtM!$H:$H,RESULTADO!$B$19,MtM!$E:$E,RESULTADO!BI$3)-SUMIFS(MtM!$N:$N,MtM!$I:$I,RESULTADO!$B21,MtM!$H:$H,RESULTADO!$B$19,MtM!$E:$E,RESULTADO!BI$3))</f>
        <v>0</v>
      </c>
      <c r="BJ21" s="63">
        <f>(SUMIFS(MtM!$M:$M,MtM!$I:$I,RESULTADO!$B21,MtM!$H:$H,RESULTADO!$B$19,MtM!$E:$E,RESULTADO!BJ$3)-SUMIFS(MtM!$N:$N,MtM!$I:$I,RESULTADO!$B21,MtM!$H:$H,RESULTADO!$B$19,MtM!$E:$E,RESULTADO!BJ$3))</f>
        <v>0</v>
      </c>
      <c r="BL21" s="120"/>
      <c r="BN21" s="57" t="s">
        <v>12</v>
      </c>
      <c r="BO21" s="53">
        <f>SUMIFS('MtM Releases'!$H:$H,'MtM Releases'!$G:$G,RESULTADO!$BN21,'MtM Releases'!$F:$F,RESULTADO!$BN19,'MtM Releases'!$D:$D,RESULTADO!BO$3)</f>
        <v>0</v>
      </c>
      <c r="BP21" s="53">
        <f>SUMIFS('MtM Releases'!$H:$H,'MtM Releases'!$G:$G,RESULTADO!$BN21,'MtM Releases'!$F:$F,RESULTADO!$BN19,'MtM Releases'!$D:$D,RESULTADO!BP$3)</f>
        <v>0</v>
      </c>
      <c r="BQ21" s="53">
        <f>SUMIFS('MtM Releases'!$H:$H,'MtM Releases'!$G:$G,RESULTADO!$BN21,'MtM Releases'!$F:$F,RESULTADO!$BN19,'MtM Releases'!$D:$D,RESULTADO!BQ$3)</f>
        <v>0</v>
      </c>
      <c r="BR21" s="53">
        <f>SUMIFS('MtM Releases'!$H:$H,'MtM Releases'!$G:$G,RESULTADO!$BN21,'MtM Releases'!$F:$F,RESULTADO!$BN19,'MtM Releases'!$D:$D,RESULTADO!BR$3)</f>
        <v>0</v>
      </c>
      <c r="BS21" s="53">
        <f>SUMIFS('MtM Releases'!$H:$H,'MtM Releases'!$G:$G,RESULTADO!$BN21,'MtM Releases'!$F:$F,RESULTADO!$BN19,'MtM Releases'!$D:$D,RESULTADO!BS$3)</f>
        <v>0</v>
      </c>
      <c r="BT21" s="53">
        <f>SUMIFS('MtM Releases'!$H:$H,'MtM Releases'!$G:$G,RESULTADO!$BN21,'MtM Releases'!$F:$F,RESULTADO!$BN19,'MtM Releases'!$D:$D,RESULTADO!BT$3)</f>
        <v>0</v>
      </c>
      <c r="BU21" s="53">
        <f>SUMIFS('MtM Releases'!$H:$H,'MtM Releases'!$G:$G,RESULTADO!$BN21,'MtM Releases'!$F:$F,RESULTADO!$BN19,'MtM Releases'!$D:$D,RESULTADO!BU$3)</f>
        <v>0</v>
      </c>
      <c r="BV21" s="53">
        <f>SUMIFS('MtM Releases'!$H:$H,'MtM Releases'!$G:$G,RESULTADO!$BN21,'MtM Releases'!$F:$F,RESULTADO!$BN19,'MtM Releases'!$D:$D,RESULTADO!BV$3)</f>
        <v>0</v>
      </c>
      <c r="BW21" s="53">
        <f>SUMIFS('MtM Releases'!$H:$H,'MtM Releases'!$G:$G,RESULTADO!$BN21,'MtM Releases'!$F:$F,RESULTADO!$BN19,'MtM Releases'!$D:$D,RESULTADO!BW$3)</f>
        <v>0</v>
      </c>
      <c r="BX21" s="53">
        <f>SUMIFS('MtM Releases'!$H:$H,'MtM Releases'!$G:$G,RESULTADO!$BN21,'MtM Releases'!$F:$F,RESULTADO!$BN19,'MtM Releases'!$D:$D,RESULTADO!BX$3)</f>
        <v>0</v>
      </c>
      <c r="BY21" s="53">
        <f>SUMIFS('MtM Releases'!$H:$H,'MtM Releases'!$G:$G,RESULTADO!$BN21,'MtM Releases'!$F:$F,RESULTADO!$BN19,'MtM Releases'!$D:$D,RESULTADO!BY$3)</f>
        <v>0</v>
      </c>
      <c r="BZ21" s="54">
        <f>SUMIFS('MtM Releases'!$H:$H,'MtM Releases'!$G:$G,RESULTADO!$BN21,'MtM Releases'!$F:$F,RESULTADO!$BN19,'MtM Releases'!$D:$D,RESULTADO!BZ$3)</f>
        <v>0</v>
      </c>
      <c r="CA21" s="53">
        <f>SUMIFS('MtM Releases'!$H:$H,'MtM Releases'!$G:$G,RESULTADO!$BN21,'MtM Releases'!$F:$F,RESULTADO!$BN19,'MtM Releases'!$D:$D,RESULTADO!CA$3)</f>
        <v>0</v>
      </c>
      <c r="CB21" s="53">
        <f>SUMIFS('MtM Releases'!$H:$H,'MtM Releases'!$G:$G,RESULTADO!$BN21,'MtM Releases'!$F:$F,RESULTADO!$BN19,'MtM Releases'!$D:$D,RESULTADO!CB$3)</f>
        <v>0</v>
      </c>
      <c r="CC21" s="53">
        <f>SUMIFS('MtM Releases'!$H:$H,'MtM Releases'!$G:$G,RESULTADO!$BN21,'MtM Releases'!$F:$F,RESULTADO!$BN19,'MtM Releases'!$D:$D,RESULTADO!CC$3)</f>
        <v>0</v>
      </c>
      <c r="CD21" s="53">
        <f>SUMIFS('MtM Releases'!$H:$H,'MtM Releases'!$G:$G,RESULTADO!$BN21,'MtM Releases'!$F:$F,RESULTADO!$BN19,'MtM Releases'!$D:$D,RESULTADO!CD$3)</f>
        <v>0</v>
      </c>
      <c r="CE21" s="53">
        <f>SUMIFS('MtM Releases'!$H:$H,'MtM Releases'!$G:$G,RESULTADO!$BN21,'MtM Releases'!$F:$F,RESULTADO!$BN19,'MtM Releases'!$D:$D,RESULTADO!CE$3)</f>
        <v>0</v>
      </c>
      <c r="CF21" s="53">
        <f>SUMIFS('MtM Releases'!$H:$H,'MtM Releases'!$G:$G,RESULTADO!$BN21,'MtM Releases'!$F:$F,RESULTADO!$BN19,'MtM Releases'!$D:$D,RESULTADO!CF$3)</f>
        <v>0</v>
      </c>
      <c r="CG21" s="53">
        <f>SUMIFS('MtM Releases'!$H:$H,'MtM Releases'!$G:$G,RESULTADO!$BN21,'MtM Releases'!$F:$F,RESULTADO!$BN19,'MtM Releases'!$D:$D,RESULTADO!CG$3)</f>
        <v>0</v>
      </c>
      <c r="CH21" s="53">
        <f>SUMIFS('MtM Releases'!$H:$H,'MtM Releases'!$G:$G,RESULTADO!$BN21,'MtM Releases'!$F:$F,RESULTADO!$BN19,'MtM Releases'!$D:$D,RESULTADO!CH$3)</f>
        <v>0</v>
      </c>
      <c r="CI21" s="53">
        <f>SUMIFS('MtM Releases'!$H:$H,'MtM Releases'!$G:$G,RESULTADO!$BN21,'MtM Releases'!$F:$F,RESULTADO!$BN19,'MtM Releases'!$D:$D,RESULTADO!CI$3)</f>
        <v>0</v>
      </c>
      <c r="CJ21" s="53">
        <f>SUMIFS('MtM Releases'!$H:$H,'MtM Releases'!$G:$G,RESULTADO!$BN21,'MtM Releases'!$F:$F,RESULTADO!$BN19,'MtM Releases'!$D:$D,RESULTADO!CJ$3)</f>
        <v>0</v>
      </c>
      <c r="CK21" s="53">
        <f>SUMIFS('MtM Releases'!$H:$H,'MtM Releases'!$G:$G,RESULTADO!$BN21,'MtM Releases'!$F:$F,RESULTADO!$BN19,'MtM Releases'!$D:$D,RESULTADO!CK$3)</f>
        <v>0</v>
      </c>
      <c r="CL21" s="63">
        <f>SUMIFS('MtM Releases'!$H:$H,'MtM Releases'!$G:$G,RESULTADO!$BN21,'MtM Releases'!$F:$F,RESULTADO!$BN19,'MtM Releases'!$D:$D,RESULTADO!CL$3)</f>
        <v>0</v>
      </c>
      <c r="CM21" s="53">
        <f>SUMIFS('MtM Releases'!$H:$H,'MtM Releases'!$G:$G,RESULTADO!$BN21,'MtM Releases'!$F:$F,RESULTADO!$BN19,'MtM Releases'!$D:$D,RESULTADO!CM$3)</f>
        <v>0</v>
      </c>
      <c r="CN21" s="53">
        <f>SUMIFS('MtM Releases'!$H:$H,'MtM Releases'!$G:$G,RESULTADO!$BN21,'MtM Releases'!$F:$F,RESULTADO!$BN19,'MtM Releases'!$D:$D,RESULTADO!CN$3)</f>
        <v>0</v>
      </c>
      <c r="CO21" s="53">
        <f>SUMIFS('MtM Releases'!$H:$H,'MtM Releases'!$G:$G,RESULTADO!$BN21,'MtM Releases'!$F:$F,RESULTADO!$BN19,'MtM Releases'!$D:$D,RESULTADO!CO$3)</f>
        <v>0</v>
      </c>
      <c r="CP21" s="53">
        <f>SUMIFS('MtM Releases'!$H:$H,'MtM Releases'!$G:$G,RESULTADO!$BN21,'MtM Releases'!$F:$F,RESULTADO!$BN19,'MtM Releases'!$D:$D,RESULTADO!CP$3)</f>
        <v>0</v>
      </c>
      <c r="CQ21" s="53">
        <f>SUMIFS('MtM Releases'!$H:$H,'MtM Releases'!$G:$G,RESULTADO!$BN21,'MtM Releases'!$F:$F,RESULTADO!$BN19,'MtM Releases'!$D:$D,RESULTADO!CQ$3)</f>
        <v>0</v>
      </c>
      <c r="CR21" s="53">
        <f>SUMIFS('MtM Releases'!$H:$H,'MtM Releases'!$G:$G,RESULTADO!$BN21,'MtM Releases'!$F:$F,RESULTADO!$BN19,'MtM Releases'!$D:$D,RESULTADO!CR$3)</f>
        <v>0</v>
      </c>
      <c r="CS21" s="53">
        <f>SUMIFS('MtM Releases'!$H:$H,'MtM Releases'!$G:$G,RESULTADO!$BN21,'MtM Releases'!$F:$F,RESULTADO!$BN19,'MtM Releases'!$D:$D,RESULTADO!CS$3)</f>
        <v>0</v>
      </c>
      <c r="CT21" s="53">
        <f>SUMIFS('MtM Releases'!$H:$H,'MtM Releases'!$G:$G,RESULTADO!$BN21,'MtM Releases'!$F:$F,RESULTADO!$BN19,'MtM Releases'!$D:$D,RESULTADO!CT$3)</f>
        <v>0</v>
      </c>
      <c r="CU21" s="53">
        <f>SUMIFS('MtM Releases'!$H:$H,'MtM Releases'!$G:$G,RESULTADO!$BN21,'MtM Releases'!$F:$F,RESULTADO!$BN19,'MtM Releases'!$D:$D,RESULTADO!CU$3)</f>
        <v>0</v>
      </c>
      <c r="CV21" s="53">
        <f>SUMIFS('MtM Releases'!$H:$H,'MtM Releases'!$G:$G,RESULTADO!$BN21,'MtM Releases'!$F:$F,RESULTADO!$BN19,'MtM Releases'!$D:$D,RESULTADO!CV$3)</f>
        <v>0</v>
      </c>
      <c r="CW21" s="53">
        <f>SUMIFS('MtM Releases'!$H:$H,'MtM Releases'!$G:$G,RESULTADO!$BN21,'MtM Releases'!$F:$F,RESULTADO!$BN19,'MtM Releases'!$D:$D,RESULTADO!CW$3)</f>
        <v>0</v>
      </c>
      <c r="CX21" s="54">
        <f>SUMIFS('MtM Releases'!$H:$H,'MtM Releases'!$G:$G,RESULTADO!$BN21,'MtM Releases'!$F:$F,RESULTADO!$BN19,'MtM Releases'!$D:$D,RESULTADO!CX$3)</f>
        <v>0</v>
      </c>
      <c r="CY21" s="53">
        <f>SUMIFS('MtM Releases'!$H:$H,'MtM Releases'!$G:$G,RESULTADO!$BN21,'MtM Releases'!$F:$F,RESULTADO!$BN19,'MtM Releases'!$D:$D,RESULTADO!CY$3)</f>
        <v>0</v>
      </c>
      <c r="CZ21" s="53">
        <f>SUMIFS('MtM Releases'!$H:$H,'MtM Releases'!$G:$G,RESULTADO!$BN21,'MtM Releases'!$F:$F,RESULTADO!$BN19,'MtM Releases'!$D:$D,RESULTADO!CZ$3)</f>
        <v>0</v>
      </c>
      <c r="DA21" s="53">
        <f>SUMIFS('MtM Releases'!$H:$H,'MtM Releases'!$G:$G,RESULTADO!$BN21,'MtM Releases'!$F:$F,RESULTADO!$BN19,'MtM Releases'!$D:$D,RESULTADO!DA$3)</f>
        <v>0</v>
      </c>
      <c r="DB21" s="53">
        <f>SUMIFS('MtM Releases'!$H:$H,'MtM Releases'!$G:$G,RESULTADO!$BN21,'MtM Releases'!$F:$F,RESULTADO!$BN19,'MtM Releases'!$D:$D,RESULTADO!DB$3)</f>
        <v>0</v>
      </c>
      <c r="DC21" s="53">
        <f>SUMIFS('MtM Releases'!$H:$H,'MtM Releases'!$G:$G,RESULTADO!$BN21,'MtM Releases'!$F:$F,RESULTADO!$BN19,'MtM Releases'!$D:$D,RESULTADO!DC$3)</f>
        <v>0</v>
      </c>
      <c r="DD21" s="53">
        <f>SUMIFS('MtM Releases'!$H:$H,'MtM Releases'!$G:$G,RESULTADO!$BN21,'MtM Releases'!$F:$F,RESULTADO!$BN19,'MtM Releases'!$D:$D,RESULTADO!DD$3)</f>
        <v>0</v>
      </c>
      <c r="DE21" s="53">
        <f>SUMIFS('MtM Releases'!$H:$H,'MtM Releases'!$G:$G,RESULTADO!$BN21,'MtM Releases'!$F:$F,RESULTADO!$BN19,'MtM Releases'!$D:$D,RESULTADO!DE$3)</f>
        <v>0</v>
      </c>
      <c r="DF21" s="53">
        <f>SUMIFS('MtM Releases'!$H:$H,'MtM Releases'!$G:$G,RESULTADO!$BN21,'MtM Releases'!$F:$F,RESULTADO!$BN19,'MtM Releases'!$D:$D,RESULTADO!DF$3)</f>
        <v>0</v>
      </c>
      <c r="DG21" s="53">
        <f>SUMIFS('MtM Releases'!$H:$H,'MtM Releases'!$G:$G,RESULTADO!$BN21,'MtM Releases'!$F:$F,RESULTADO!$BN19,'MtM Releases'!$D:$D,RESULTADO!DG$3)</f>
        <v>0</v>
      </c>
      <c r="DH21" s="53">
        <f>SUMIFS('MtM Releases'!$H:$H,'MtM Releases'!$G:$G,RESULTADO!$BN21,'MtM Releases'!$F:$F,RESULTADO!$BN19,'MtM Releases'!$D:$D,RESULTADO!DH$3)</f>
        <v>0</v>
      </c>
      <c r="DI21" s="53">
        <f>SUMIFS('MtM Releases'!$H:$H,'MtM Releases'!$G:$G,RESULTADO!$BN21,'MtM Releases'!$F:$F,RESULTADO!$BN19,'MtM Releases'!$D:$D,RESULTADO!DI$3)</f>
        <v>0</v>
      </c>
      <c r="DJ21" s="63">
        <f>SUMIFS('MtM Releases'!$H:$H,'MtM Releases'!$G:$G,RESULTADO!$BN21,'MtM Releases'!$F:$F,RESULTADO!$BN19,'MtM Releases'!$D:$D,RESULTADO!DJ$3)</f>
        <v>0</v>
      </c>
      <c r="DK21" s="53">
        <f>SUMIFS('MtM Releases'!$H:$H,'MtM Releases'!$G:$G,RESULTADO!$BN21,'MtM Releases'!$F:$F,RESULTADO!$BN19,'MtM Releases'!$D:$D,RESULTADO!DK$3)</f>
        <v>0</v>
      </c>
      <c r="DL21" s="53">
        <f>SUMIFS('MtM Releases'!$H:$H,'MtM Releases'!$G:$G,RESULTADO!$BN21,'MtM Releases'!$F:$F,RESULTADO!$BN19,'MtM Releases'!$D:$D,RESULTADO!DL$3)</f>
        <v>0</v>
      </c>
      <c r="DM21" s="53">
        <f>SUMIFS('MtM Releases'!$H:$H,'MtM Releases'!$G:$G,RESULTADO!$BN21,'MtM Releases'!$F:$F,RESULTADO!$BN19,'MtM Releases'!$D:$D,RESULTADO!DM$3)</f>
        <v>0</v>
      </c>
      <c r="DN21" s="53">
        <f>SUMIFS('MtM Releases'!$H:$H,'MtM Releases'!$G:$G,RESULTADO!$BN21,'MtM Releases'!$F:$F,RESULTADO!$BN19,'MtM Releases'!$D:$D,RESULTADO!DN$3)</f>
        <v>0</v>
      </c>
      <c r="DO21" s="53">
        <f>SUMIFS('MtM Releases'!$H:$H,'MtM Releases'!$G:$G,RESULTADO!$BN21,'MtM Releases'!$F:$F,RESULTADO!$BN19,'MtM Releases'!$D:$D,RESULTADO!DO$3)</f>
        <v>0</v>
      </c>
      <c r="DP21" s="53">
        <f>SUMIFS('MtM Releases'!$H:$H,'MtM Releases'!$G:$G,RESULTADO!$BN21,'MtM Releases'!$F:$F,RESULTADO!$BN19,'MtM Releases'!$D:$D,RESULTADO!DP$3)</f>
        <v>0</v>
      </c>
      <c r="DQ21" s="53">
        <f>SUMIFS('MtM Releases'!$H:$H,'MtM Releases'!$G:$G,RESULTADO!$BN21,'MtM Releases'!$F:$F,RESULTADO!$BN19,'MtM Releases'!$D:$D,RESULTADO!DQ$3)</f>
        <v>0</v>
      </c>
      <c r="DR21" s="53">
        <f>SUMIFS('MtM Releases'!$H:$H,'MtM Releases'!$G:$G,RESULTADO!$BN21,'MtM Releases'!$F:$F,RESULTADO!$BN19,'MtM Releases'!$D:$D,RESULTADO!DR$3)</f>
        <v>0</v>
      </c>
      <c r="DS21" s="53">
        <f>SUMIFS('MtM Releases'!$H:$H,'MtM Releases'!$G:$G,RESULTADO!$BN21,'MtM Releases'!$F:$F,RESULTADO!$BN19,'MtM Releases'!$D:$D,RESULTADO!DS$3)</f>
        <v>0</v>
      </c>
      <c r="DT21" s="53">
        <f>SUMIFS('MtM Releases'!$H:$H,'MtM Releases'!$G:$G,RESULTADO!$BN21,'MtM Releases'!$F:$F,RESULTADO!$BN19,'MtM Releases'!$D:$D,RESULTADO!DT$3)</f>
        <v>0</v>
      </c>
      <c r="DU21" s="53">
        <f>SUMIFS('MtM Releases'!$H:$H,'MtM Releases'!$G:$G,RESULTADO!$BN21,'MtM Releases'!$F:$F,RESULTADO!$BN19,'MtM Releases'!$D:$D,RESULTADO!DU$3)</f>
        <v>0</v>
      </c>
      <c r="DV21" s="63">
        <f>SUMIFS('MtM Releases'!$H:$H,'MtM Releases'!$G:$G,RESULTADO!$BN21,'MtM Releases'!$F:$F,RESULTADO!$BN19,'MtM Releases'!$D:$D,RESULTADO!DV$3)</f>
        <v>0</v>
      </c>
      <c r="EB21" s="11"/>
    </row>
    <row r="22" spans="2:132" x14ac:dyDescent="0.25">
      <c r="B22" s="57" t="s">
        <v>13</v>
      </c>
      <c r="C22" s="53">
        <f>(SUMIFS(MtM!$M:$M,MtM!$I:$I,RESULTADO!$B22,MtM!$H:$H,RESULTADO!$B$19,MtM!$E:$E,RESULTADO!C$3)-SUMIFS(MtM!$N:$N,MtM!$I:$I,RESULTADO!$B22,MtM!$H:$H,RESULTADO!$B$19,MtM!$E:$E,RESULTADO!C$3))</f>
        <v>0</v>
      </c>
      <c r="D22" s="53">
        <f>(SUMIFS(MtM!$M:$M,MtM!$I:$I,RESULTADO!$B22,MtM!$H:$H,RESULTADO!$B$19,MtM!$E:$E,RESULTADO!D$3)-SUMIFS(MtM!$N:$N,MtM!$I:$I,RESULTADO!$B22,MtM!$H:$H,RESULTADO!$B$19,MtM!$E:$E,RESULTADO!D$3))</f>
        <v>0</v>
      </c>
      <c r="E22" s="53">
        <f>(SUMIFS(MtM!$M:$M,MtM!$I:$I,RESULTADO!$B22,MtM!$H:$H,RESULTADO!$B$19,MtM!$E:$E,RESULTADO!E$3)-SUMIFS(MtM!$N:$N,MtM!$I:$I,RESULTADO!$B22,MtM!$H:$H,RESULTADO!$B$19,MtM!$E:$E,RESULTADO!E$3))</f>
        <v>0</v>
      </c>
      <c r="F22" s="53">
        <f>(SUMIFS(MtM!$M:$M,MtM!$I:$I,RESULTADO!$B22,MtM!$H:$H,RESULTADO!$B$19,MtM!$E:$E,RESULTADO!F$3)-SUMIFS(MtM!$N:$N,MtM!$I:$I,RESULTADO!$B22,MtM!$H:$H,RESULTADO!$B$19,MtM!$E:$E,RESULTADO!F$3))</f>
        <v>0</v>
      </c>
      <c r="G22" s="53">
        <f>(SUMIFS(MtM!$M:$M,MtM!$I:$I,RESULTADO!$B22,MtM!$H:$H,RESULTADO!$B$19,MtM!$E:$E,RESULTADO!G$3)-SUMIFS(MtM!$N:$N,MtM!$I:$I,RESULTADO!$B22,MtM!$H:$H,RESULTADO!$B$19,MtM!$E:$E,RESULTADO!G$3))</f>
        <v>0</v>
      </c>
      <c r="H22" s="53">
        <f>(SUMIFS(MtM!$M:$M,MtM!$I:$I,RESULTADO!$B22,MtM!$H:$H,RESULTADO!$B$19,MtM!$E:$E,RESULTADO!H$3)-SUMIFS(MtM!$N:$N,MtM!$I:$I,RESULTADO!$B22,MtM!$H:$H,RESULTADO!$B$19,MtM!$E:$E,RESULTADO!H$3))</f>
        <v>0</v>
      </c>
      <c r="I22" s="53">
        <f>(SUMIFS(MtM!$M:$M,MtM!$I:$I,RESULTADO!$B22,MtM!$H:$H,RESULTADO!$B$19,MtM!$E:$E,RESULTADO!I$3)-SUMIFS(MtM!$N:$N,MtM!$I:$I,RESULTADO!$B22,MtM!$H:$H,RESULTADO!$B$19,MtM!$E:$E,RESULTADO!I$3))</f>
        <v>0</v>
      </c>
      <c r="J22" s="53">
        <f>(SUMIFS(MtM!$M:$M,MtM!$I:$I,RESULTADO!$B22,MtM!$H:$H,RESULTADO!$B$19,MtM!$E:$E,RESULTADO!J$3)-SUMIFS(MtM!$N:$N,MtM!$I:$I,RESULTADO!$B22,MtM!$H:$H,RESULTADO!$B$19,MtM!$E:$E,RESULTADO!J$3))</f>
        <v>0</v>
      </c>
      <c r="K22" s="53">
        <f>(SUMIFS(MtM!$M:$M,MtM!$I:$I,RESULTADO!$B22,MtM!$H:$H,RESULTADO!$B$19,MtM!$E:$E,RESULTADO!K$3)-SUMIFS(MtM!$N:$N,MtM!$I:$I,RESULTADO!$B22,MtM!$H:$H,RESULTADO!$B$19,MtM!$E:$E,RESULTADO!K$3))</f>
        <v>0</v>
      </c>
      <c r="L22" s="53">
        <f>(SUMIFS(MtM!$M:$M,MtM!$I:$I,RESULTADO!$B22,MtM!$H:$H,RESULTADO!$B$19,MtM!$E:$E,RESULTADO!L$3)-SUMIFS(MtM!$N:$N,MtM!$I:$I,RESULTADO!$B22,MtM!$H:$H,RESULTADO!$B$19,MtM!$E:$E,RESULTADO!L$3))</f>
        <v>0</v>
      </c>
      <c r="M22" s="53">
        <f>(SUMIFS(MtM!$M:$M,MtM!$I:$I,RESULTADO!$B22,MtM!$H:$H,RESULTADO!$B$19,MtM!$E:$E,RESULTADO!M$3)-SUMIFS(MtM!$N:$N,MtM!$I:$I,RESULTADO!$B22,MtM!$H:$H,RESULTADO!$B$19,MtM!$E:$E,RESULTADO!M$3))</f>
        <v>0</v>
      </c>
      <c r="N22" s="54">
        <f>(SUMIFS(MtM!$M:$M,MtM!$I:$I,RESULTADO!$B22,MtM!$H:$H,RESULTADO!$B$19,MtM!$E:$E,RESULTADO!N$3)-SUMIFS(MtM!$N:$N,MtM!$I:$I,RESULTADO!$B22,MtM!$H:$H,RESULTADO!$B$19,MtM!$E:$E,RESULTADO!N$3))</f>
        <v>0</v>
      </c>
      <c r="O22" s="53">
        <f>(SUMIFS(MtM!$M:$M,MtM!$I:$I,RESULTADO!$B22,MtM!$H:$H,RESULTADO!$B$19,MtM!$E:$E,RESULTADO!O$3)-SUMIFS(MtM!$N:$N,MtM!$I:$I,RESULTADO!$B22,MtM!$H:$H,RESULTADO!$B$19,MtM!$E:$E,RESULTADO!O$3))</f>
        <v>0</v>
      </c>
      <c r="P22" s="53">
        <f>(SUMIFS(MtM!$M:$M,MtM!$I:$I,RESULTADO!$B22,MtM!$H:$H,RESULTADO!$B$19,MtM!$E:$E,RESULTADO!P$3)-SUMIFS(MtM!$N:$N,MtM!$I:$I,RESULTADO!$B22,MtM!$H:$H,RESULTADO!$B$19,MtM!$E:$E,RESULTADO!P$3))</f>
        <v>0</v>
      </c>
      <c r="Q22" s="53">
        <f>(SUMIFS(MtM!$M:$M,MtM!$I:$I,RESULTADO!$B22,MtM!$H:$H,RESULTADO!$B$19,MtM!$E:$E,RESULTADO!Q$3)-SUMIFS(MtM!$N:$N,MtM!$I:$I,RESULTADO!$B22,MtM!$H:$H,RESULTADO!$B$19,MtM!$E:$E,RESULTADO!Q$3))</f>
        <v>0</v>
      </c>
      <c r="R22" s="53">
        <f>(SUMIFS(MtM!$M:$M,MtM!$I:$I,RESULTADO!$B22,MtM!$H:$H,RESULTADO!$B$19,MtM!$E:$E,RESULTADO!R$3)-SUMIFS(MtM!$N:$N,MtM!$I:$I,RESULTADO!$B22,MtM!$H:$H,RESULTADO!$B$19,MtM!$E:$E,RESULTADO!R$3))</f>
        <v>0</v>
      </c>
      <c r="S22" s="53">
        <f>(SUMIFS(MtM!$M:$M,MtM!$I:$I,RESULTADO!$B22,MtM!$H:$H,RESULTADO!$B$19,MtM!$E:$E,RESULTADO!S$3)-SUMIFS(MtM!$N:$N,MtM!$I:$I,RESULTADO!$B22,MtM!$H:$H,RESULTADO!$B$19,MtM!$E:$E,RESULTADO!S$3))</f>
        <v>0</v>
      </c>
      <c r="T22" s="53">
        <f>(SUMIFS(MtM!$M:$M,MtM!$I:$I,RESULTADO!$B22,MtM!$H:$H,RESULTADO!$B$19,MtM!$E:$E,RESULTADO!T$3)-SUMIFS(MtM!$N:$N,MtM!$I:$I,RESULTADO!$B22,MtM!$H:$H,RESULTADO!$B$19,MtM!$E:$E,RESULTADO!T$3))</f>
        <v>0</v>
      </c>
      <c r="U22" s="53">
        <f>(SUMIFS(MtM!$M:$M,MtM!$I:$I,RESULTADO!$B22,MtM!$H:$H,RESULTADO!$B$19,MtM!$E:$E,RESULTADO!U$3)-SUMIFS(MtM!$N:$N,MtM!$I:$I,RESULTADO!$B22,MtM!$H:$H,RESULTADO!$B$19,MtM!$E:$E,RESULTADO!U$3))</f>
        <v>0</v>
      </c>
      <c r="V22" s="53">
        <f>(SUMIFS(MtM!$M:$M,MtM!$I:$I,RESULTADO!$B22,MtM!$H:$H,RESULTADO!$B$19,MtM!$E:$E,RESULTADO!V$3)-SUMIFS(MtM!$N:$N,MtM!$I:$I,RESULTADO!$B22,MtM!$H:$H,RESULTADO!$B$19,MtM!$E:$E,RESULTADO!V$3))</f>
        <v>0</v>
      </c>
      <c r="W22" s="53">
        <f>(SUMIFS(MtM!$M:$M,MtM!$I:$I,RESULTADO!$B22,MtM!$H:$H,RESULTADO!$B$19,MtM!$E:$E,RESULTADO!W$3)-SUMIFS(MtM!$N:$N,MtM!$I:$I,RESULTADO!$B22,MtM!$H:$H,RESULTADO!$B$19,MtM!$E:$E,RESULTADO!W$3))</f>
        <v>0</v>
      </c>
      <c r="X22" s="53">
        <f>(SUMIFS(MtM!$M:$M,MtM!$I:$I,RESULTADO!$B22,MtM!$H:$H,RESULTADO!$B$19,MtM!$E:$E,RESULTADO!X$3)-SUMIFS(MtM!$N:$N,MtM!$I:$I,RESULTADO!$B22,MtM!$H:$H,RESULTADO!$B$19,MtM!$E:$E,RESULTADO!X$3))</f>
        <v>0</v>
      </c>
      <c r="Y22" s="53">
        <f>(SUMIFS(MtM!$M:$M,MtM!$I:$I,RESULTADO!$B22,MtM!$H:$H,RESULTADO!$B$19,MtM!$E:$E,RESULTADO!Y$3)-SUMIFS(MtM!$N:$N,MtM!$I:$I,RESULTADO!$B22,MtM!$H:$H,RESULTADO!$B$19,MtM!$E:$E,RESULTADO!Y$3))</f>
        <v>0</v>
      </c>
      <c r="Z22" s="63">
        <f>(SUMIFS(MtM!$M:$M,MtM!$I:$I,RESULTADO!$B22,MtM!$H:$H,RESULTADO!$B$19,MtM!$E:$E,RESULTADO!Z$3)-SUMIFS(MtM!$N:$N,MtM!$I:$I,RESULTADO!$B22,MtM!$H:$H,RESULTADO!$B$19,MtM!$E:$E,RESULTADO!Z$3))</f>
        <v>0</v>
      </c>
      <c r="AA22" s="53">
        <f>(SUMIFS(MtM!$M:$M,MtM!$I:$I,RESULTADO!$B22,MtM!$H:$H,RESULTADO!$B$19,MtM!$E:$E,RESULTADO!AA$3)-SUMIFS(MtM!$N:$N,MtM!$I:$I,RESULTADO!$B22,MtM!$H:$H,RESULTADO!$B$19,MtM!$E:$E,RESULTADO!AA$3))</f>
        <v>0</v>
      </c>
      <c r="AB22" s="53">
        <f>(SUMIFS(MtM!$M:$M,MtM!$I:$I,RESULTADO!$B22,MtM!$H:$H,RESULTADO!$B$19,MtM!$E:$E,RESULTADO!AB$3)-SUMIFS(MtM!$N:$N,MtM!$I:$I,RESULTADO!$B22,MtM!$H:$H,RESULTADO!$B$19,MtM!$E:$E,RESULTADO!AB$3))</f>
        <v>0</v>
      </c>
      <c r="AC22" s="53">
        <f>(SUMIFS(MtM!$M:$M,MtM!$I:$I,RESULTADO!$B22,MtM!$H:$H,RESULTADO!$B$19,MtM!$E:$E,RESULTADO!AC$3)-SUMIFS(MtM!$N:$N,MtM!$I:$I,RESULTADO!$B22,MtM!$H:$H,RESULTADO!$B$19,MtM!$E:$E,RESULTADO!AC$3))</f>
        <v>0</v>
      </c>
      <c r="AD22" s="53">
        <f>(SUMIFS(MtM!$M:$M,MtM!$I:$I,RESULTADO!$B22,MtM!$H:$H,RESULTADO!$B$19,MtM!$E:$E,RESULTADO!AD$3)-SUMIFS(MtM!$N:$N,MtM!$I:$I,RESULTADO!$B22,MtM!$H:$H,RESULTADO!$B$19,MtM!$E:$E,RESULTADO!AD$3))</f>
        <v>0</v>
      </c>
      <c r="AE22" s="53">
        <f>(SUMIFS(MtM!$M:$M,MtM!$I:$I,RESULTADO!$B22,MtM!$H:$H,RESULTADO!$B$19,MtM!$E:$E,RESULTADO!AE$3)-SUMIFS(MtM!$N:$N,MtM!$I:$I,RESULTADO!$B22,MtM!$H:$H,RESULTADO!$B$19,MtM!$E:$E,RESULTADO!AE$3))</f>
        <v>0</v>
      </c>
      <c r="AF22" s="53">
        <f>(SUMIFS(MtM!$M:$M,MtM!$I:$I,RESULTADO!$B22,MtM!$H:$H,RESULTADO!$B$19,MtM!$E:$E,RESULTADO!AF$3)-SUMIFS(MtM!$N:$N,MtM!$I:$I,RESULTADO!$B22,MtM!$H:$H,RESULTADO!$B$19,MtM!$E:$E,RESULTADO!AF$3))</f>
        <v>0</v>
      </c>
      <c r="AG22" s="53">
        <f>(SUMIFS(MtM!$M:$M,MtM!$I:$I,RESULTADO!$B22,MtM!$H:$H,RESULTADO!$B$19,MtM!$E:$E,RESULTADO!AG$3)-SUMIFS(MtM!$N:$N,MtM!$I:$I,RESULTADO!$B22,MtM!$H:$H,RESULTADO!$B$19,MtM!$E:$E,RESULTADO!AG$3))</f>
        <v>0</v>
      </c>
      <c r="AH22" s="53">
        <f>(SUMIFS(MtM!$M:$M,MtM!$I:$I,RESULTADO!$B22,MtM!$H:$H,RESULTADO!$B$19,MtM!$E:$E,RESULTADO!AH$3)-SUMIFS(MtM!$N:$N,MtM!$I:$I,RESULTADO!$B22,MtM!$H:$H,RESULTADO!$B$19,MtM!$E:$E,RESULTADO!AH$3))</f>
        <v>0</v>
      </c>
      <c r="AI22" s="53">
        <f>(SUMIFS(MtM!$M:$M,MtM!$I:$I,RESULTADO!$B22,MtM!$H:$H,RESULTADO!$B$19,MtM!$E:$E,RESULTADO!AI$3)-SUMIFS(MtM!$N:$N,MtM!$I:$I,RESULTADO!$B22,MtM!$H:$H,RESULTADO!$B$19,MtM!$E:$E,RESULTADO!AI$3))</f>
        <v>0</v>
      </c>
      <c r="AJ22" s="53">
        <f>(SUMIFS(MtM!$M:$M,MtM!$I:$I,RESULTADO!$B22,MtM!$H:$H,RESULTADO!$B$19,MtM!$E:$E,RESULTADO!AJ$3)-SUMIFS(MtM!$N:$N,MtM!$I:$I,RESULTADO!$B22,MtM!$H:$H,RESULTADO!$B$19,MtM!$E:$E,RESULTADO!AJ$3))</f>
        <v>0</v>
      </c>
      <c r="AK22" s="53">
        <f>(SUMIFS(MtM!$M:$M,MtM!$I:$I,RESULTADO!$B22,MtM!$H:$H,RESULTADO!$B$19,MtM!$E:$E,RESULTADO!AK$3)-SUMIFS(MtM!$N:$N,MtM!$I:$I,RESULTADO!$B22,MtM!$H:$H,RESULTADO!$B$19,MtM!$E:$E,RESULTADO!AK$3))</f>
        <v>0</v>
      </c>
      <c r="AL22" s="54">
        <f>(SUMIFS(MtM!$M:$M,MtM!$I:$I,RESULTADO!$B22,MtM!$H:$H,RESULTADO!$B$19,MtM!$E:$E,RESULTADO!AL$3)-SUMIFS(MtM!$N:$N,MtM!$I:$I,RESULTADO!$B22,MtM!$H:$H,RESULTADO!$B$19,MtM!$E:$E,RESULTADO!AL$3))</f>
        <v>0</v>
      </c>
      <c r="AM22" s="53">
        <f>(SUMIFS(MtM!$M:$M,MtM!$I:$I,RESULTADO!$B22,MtM!$H:$H,RESULTADO!$B$19,MtM!$E:$E,RESULTADO!AM$3)-SUMIFS(MtM!$N:$N,MtM!$I:$I,RESULTADO!$B22,MtM!$H:$H,RESULTADO!$B$19,MtM!$E:$E,RESULTADO!AM$3))</f>
        <v>0</v>
      </c>
      <c r="AN22" s="53">
        <f>(SUMIFS(MtM!$M:$M,MtM!$I:$I,RESULTADO!$B22,MtM!$H:$H,RESULTADO!$B$19,MtM!$E:$E,RESULTADO!AN$3)-SUMIFS(MtM!$N:$N,MtM!$I:$I,RESULTADO!$B22,MtM!$H:$H,RESULTADO!$B$19,MtM!$E:$E,RESULTADO!AN$3))</f>
        <v>0</v>
      </c>
      <c r="AO22" s="53">
        <f>(SUMIFS(MtM!$M:$M,MtM!$I:$I,RESULTADO!$B22,MtM!$H:$H,RESULTADO!$B$19,MtM!$E:$E,RESULTADO!AO$3)-SUMIFS(MtM!$N:$N,MtM!$I:$I,RESULTADO!$B22,MtM!$H:$H,RESULTADO!$B$19,MtM!$E:$E,RESULTADO!AO$3))</f>
        <v>0</v>
      </c>
      <c r="AP22" s="53">
        <f>(SUMIFS(MtM!$M:$M,MtM!$I:$I,RESULTADO!$B22,MtM!$H:$H,RESULTADO!$B$19,MtM!$E:$E,RESULTADO!AP$3)-SUMIFS(MtM!$N:$N,MtM!$I:$I,RESULTADO!$B22,MtM!$H:$H,RESULTADO!$B$19,MtM!$E:$E,RESULTADO!AP$3))</f>
        <v>0</v>
      </c>
      <c r="AQ22" s="53">
        <f>(SUMIFS(MtM!$M:$M,MtM!$I:$I,RESULTADO!$B22,MtM!$H:$H,RESULTADO!$B$19,MtM!$E:$E,RESULTADO!AQ$3)-SUMIFS(MtM!$N:$N,MtM!$I:$I,RESULTADO!$B22,MtM!$H:$H,RESULTADO!$B$19,MtM!$E:$E,RESULTADO!AQ$3))</f>
        <v>0</v>
      </c>
      <c r="AR22" s="53">
        <f>(SUMIFS(MtM!$M:$M,MtM!$I:$I,RESULTADO!$B22,MtM!$H:$H,RESULTADO!$B$19,MtM!$E:$E,RESULTADO!AR$3)-SUMIFS(MtM!$N:$N,MtM!$I:$I,RESULTADO!$B22,MtM!$H:$H,RESULTADO!$B$19,MtM!$E:$E,RESULTADO!AR$3))</f>
        <v>0</v>
      </c>
      <c r="AS22" s="53">
        <f>(SUMIFS(MtM!$M:$M,MtM!$I:$I,RESULTADO!$B22,MtM!$H:$H,RESULTADO!$B$19,MtM!$E:$E,RESULTADO!AS$3)-SUMIFS(MtM!$N:$N,MtM!$I:$I,RESULTADO!$B22,MtM!$H:$H,RESULTADO!$B$19,MtM!$E:$E,RESULTADO!AS$3))</f>
        <v>0</v>
      </c>
      <c r="AT22" s="53">
        <f>(SUMIFS(MtM!$M:$M,MtM!$I:$I,RESULTADO!$B22,MtM!$H:$H,RESULTADO!$B$19,MtM!$E:$E,RESULTADO!AT$3)-SUMIFS(MtM!$N:$N,MtM!$I:$I,RESULTADO!$B22,MtM!$H:$H,RESULTADO!$B$19,MtM!$E:$E,RESULTADO!AT$3))</f>
        <v>0</v>
      </c>
      <c r="AU22" s="53">
        <f>(SUMIFS(MtM!$M:$M,MtM!$I:$I,RESULTADO!$B22,MtM!$H:$H,RESULTADO!$B$19,MtM!$E:$E,RESULTADO!AU$3)-SUMIFS(MtM!$N:$N,MtM!$I:$I,RESULTADO!$B22,MtM!$H:$H,RESULTADO!$B$19,MtM!$E:$E,RESULTADO!AU$3))</f>
        <v>0</v>
      </c>
      <c r="AV22" s="53">
        <f>(SUMIFS(MtM!$M:$M,MtM!$I:$I,RESULTADO!$B22,MtM!$H:$H,RESULTADO!$B$19,MtM!$E:$E,RESULTADO!AV$3)-SUMIFS(MtM!$N:$N,MtM!$I:$I,RESULTADO!$B22,MtM!$H:$H,RESULTADO!$B$19,MtM!$E:$E,RESULTADO!AV$3))</f>
        <v>0</v>
      </c>
      <c r="AW22" s="53">
        <f>(SUMIFS(MtM!$M:$M,MtM!$I:$I,RESULTADO!$B22,MtM!$H:$H,RESULTADO!$B$19,MtM!$E:$E,RESULTADO!AW$3)-SUMIFS(MtM!$N:$N,MtM!$I:$I,RESULTADO!$B22,MtM!$H:$H,RESULTADO!$B$19,MtM!$E:$E,RESULTADO!AW$3))</f>
        <v>0</v>
      </c>
      <c r="AX22" s="63">
        <f>(SUMIFS(MtM!$M:$M,MtM!$I:$I,RESULTADO!$B22,MtM!$H:$H,RESULTADO!$B$19,MtM!$E:$E,RESULTADO!AX$3)-SUMIFS(MtM!$N:$N,MtM!$I:$I,RESULTADO!$B22,MtM!$H:$H,RESULTADO!$B$19,MtM!$E:$E,RESULTADO!AX$3))</f>
        <v>0</v>
      </c>
      <c r="AY22" s="53">
        <f>(SUMIFS(MtM!$M:$M,MtM!$I:$I,RESULTADO!$B22,MtM!$H:$H,RESULTADO!$B$19,MtM!$E:$E,RESULTADO!AY$3)-SUMIFS(MtM!$N:$N,MtM!$I:$I,RESULTADO!$B22,MtM!$H:$H,RESULTADO!$B$19,MtM!$E:$E,RESULTADO!AY$3))</f>
        <v>0</v>
      </c>
      <c r="AZ22" s="53">
        <f>(SUMIFS(MtM!$M:$M,MtM!$I:$I,RESULTADO!$B22,MtM!$H:$H,RESULTADO!$B$19,MtM!$E:$E,RESULTADO!AZ$3)-SUMIFS(MtM!$N:$N,MtM!$I:$I,RESULTADO!$B22,MtM!$H:$H,RESULTADO!$B$19,MtM!$E:$E,RESULTADO!AZ$3))</f>
        <v>0</v>
      </c>
      <c r="BA22" s="53">
        <f>(SUMIFS(MtM!$M:$M,MtM!$I:$I,RESULTADO!$B22,MtM!$H:$H,RESULTADO!$B$19,MtM!$E:$E,RESULTADO!BA$3)-SUMIFS(MtM!$N:$N,MtM!$I:$I,RESULTADO!$B22,MtM!$H:$H,RESULTADO!$B$19,MtM!$E:$E,RESULTADO!BA$3))</f>
        <v>0</v>
      </c>
      <c r="BB22" s="53">
        <f>(SUMIFS(MtM!$M:$M,MtM!$I:$I,RESULTADO!$B22,MtM!$H:$H,RESULTADO!$B$19,MtM!$E:$E,RESULTADO!BB$3)-SUMIFS(MtM!$N:$N,MtM!$I:$I,RESULTADO!$B22,MtM!$H:$H,RESULTADO!$B$19,MtM!$E:$E,RESULTADO!BB$3))</f>
        <v>0</v>
      </c>
      <c r="BC22" s="53">
        <f>(SUMIFS(MtM!$M:$M,MtM!$I:$I,RESULTADO!$B22,MtM!$H:$H,RESULTADO!$B$19,MtM!$E:$E,RESULTADO!BC$3)-SUMIFS(MtM!$N:$N,MtM!$I:$I,RESULTADO!$B22,MtM!$H:$H,RESULTADO!$B$19,MtM!$E:$E,RESULTADO!BC$3))</f>
        <v>0</v>
      </c>
      <c r="BD22" s="53">
        <f>(SUMIFS(MtM!$M:$M,MtM!$I:$I,RESULTADO!$B22,MtM!$H:$H,RESULTADO!$B$19,MtM!$E:$E,RESULTADO!BD$3)-SUMIFS(MtM!$N:$N,MtM!$I:$I,RESULTADO!$B22,MtM!$H:$H,RESULTADO!$B$19,MtM!$E:$E,RESULTADO!BD$3))</f>
        <v>0</v>
      </c>
      <c r="BE22" s="53">
        <f>(SUMIFS(MtM!$M:$M,MtM!$I:$I,RESULTADO!$B22,MtM!$H:$H,RESULTADO!$B$19,MtM!$E:$E,RESULTADO!BE$3)-SUMIFS(MtM!$N:$N,MtM!$I:$I,RESULTADO!$B22,MtM!$H:$H,RESULTADO!$B$19,MtM!$E:$E,RESULTADO!BE$3))</f>
        <v>0</v>
      </c>
      <c r="BF22" s="53">
        <f>(SUMIFS(MtM!$M:$M,MtM!$I:$I,RESULTADO!$B22,MtM!$H:$H,RESULTADO!$B$19,MtM!$E:$E,RESULTADO!BF$3)-SUMIFS(MtM!$N:$N,MtM!$I:$I,RESULTADO!$B22,MtM!$H:$H,RESULTADO!$B$19,MtM!$E:$E,RESULTADO!BF$3))</f>
        <v>0</v>
      </c>
      <c r="BG22" s="53">
        <f>(SUMIFS(MtM!$M:$M,MtM!$I:$I,RESULTADO!$B22,MtM!$H:$H,RESULTADO!$B$19,MtM!$E:$E,RESULTADO!BG$3)-SUMIFS(MtM!$N:$N,MtM!$I:$I,RESULTADO!$B22,MtM!$H:$H,RESULTADO!$B$19,MtM!$E:$E,RESULTADO!BG$3))</f>
        <v>0</v>
      </c>
      <c r="BH22" s="53">
        <f>(SUMIFS(MtM!$M:$M,MtM!$I:$I,RESULTADO!$B22,MtM!$H:$H,RESULTADO!$B$19,MtM!$E:$E,RESULTADO!BH$3)-SUMIFS(MtM!$N:$N,MtM!$I:$I,RESULTADO!$B22,MtM!$H:$H,RESULTADO!$B$19,MtM!$E:$E,RESULTADO!BH$3))</f>
        <v>0</v>
      </c>
      <c r="BI22" s="53">
        <f>(SUMIFS(MtM!$M:$M,MtM!$I:$I,RESULTADO!$B22,MtM!$H:$H,RESULTADO!$B$19,MtM!$E:$E,RESULTADO!BI$3)-SUMIFS(MtM!$N:$N,MtM!$I:$I,RESULTADO!$B22,MtM!$H:$H,RESULTADO!$B$19,MtM!$E:$E,RESULTADO!BI$3))</f>
        <v>0</v>
      </c>
      <c r="BJ22" s="63">
        <f>(SUMIFS(MtM!$M:$M,MtM!$I:$I,RESULTADO!$B22,MtM!$H:$H,RESULTADO!$B$19,MtM!$E:$E,RESULTADO!BJ$3)-SUMIFS(MtM!$N:$N,MtM!$I:$I,RESULTADO!$B22,MtM!$H:$H,RESULTADO!$B$19,MtM!$E:$E,RESULTADO!BJ$3))</f>
        <v>0</v>
      </c>
      <c r="BL22" s="120"/>
      <c r="BN22" s="57" t="s">
        <v>13</v>
      </c>
      <c r="BO22" s="53">
        <f>SUMIFS('MtM Releases'!$H:$H,'MtM Releases'!$G:$G,RESULTADO!$BN22,'MtM Releases'!$F:$F,RESULTADO!$BN19,'MtM Releases'!$D:$D,RESULTADO!BO$3)</f>
        <v>0</v>
      </c>
      <c r="BP22" s="53">
        <f>SUMIFS('MtM Releases'!$H:$H,'MtM Releases'!$G:$G,RESULTADO!$BN22,'MtM Releases'!$F:$F,RESULTADO!$BN19,'MtM Releases'!$D:$D,RESULTADO!BP$3)</f>
        <v>0</v>
      </c>
      <c r="BQ22" s="53">
        <f>SUMIFS('MtM Releases'!$H:$H,'MtM Releases'!$G:$G,RESULTADO!$BN22,'MtM Releases'!$F:$F,RESULTADO!$BN19,'MtM Releases'!$D:$D,RESULTADO!BQ$3)</f>
        <v>0</v>
      </c>
      <c r="BR22" s="53">
        <f>SUMIFS('MtM Releases'!$H:$H,'MtM Releases'!$G:$G,RESULTADO!$BN22,'MtM Releases'!$F:$F,RESULTADO!$BN19,'MtM Releases'!$D:$D,RESULTADO!BR$3)</f>
        <v>0</v>
      </c>
      <c r="BS22" s="53">
        <f>SUMIFS('MtM Releases'!$H:$H,'MtM Releases'!$G:$G,RESULTADO!$BN22,'MtM Releases'!$F:$F,RESULTADO!$BN19,'MtM Releases'!$D:$D,RESULTADO!BS$3)</f>
        <v>0</v>
      </c>
      <c r="BT22" s="53">
        <f>SUMIFS('MtM Releases'!$H:$H,'MtM Releases'!$G:$G,RESULTADO!$BN22,'MtM Releases'!$F:$F,RESULTADO!$BN19,'MtM Releases'!$D:$D,RESULTADO!BT$3)</f>
        <v>0</v>
      </c>
      <c r="BU22" s="53">
        <f>SUMIFS('MtM Releases'!$H:$H,'MtM Releases'!$G:$G,RESULTADO!$BN22,'MtM Releases'!$F:$F,RESULTADO!$BN19,'MtM Releases'!$D:$D,RESULTADO!BU$3)</f>
        <v>0</v>
      </c>
      <c r="BV22" s="53">
        <f>SUMIFS('MtM Releases'!$H:$H,'MtM Releases'!$G:$G,RESULTADO!$BN22,'MtM Releases'!$F:$F,RESULTADO!$BN19,'MtM Releases'!$D:$D,RESULTADO!BV$3)</f>
        <v>0</v>
      </c>
      <c r="BW22" s="53">
        <f>SUMIFS('MtM Releases'!$H:$H,'MtM Releases'!$G:$G,RESULTADO!$BN22,'MtM Releases'!$F:$F,RESULTADO!$BN19,'MtM Releases'!$D:$D,RESULTADO!BW$3)</f>
        <v>0</v>
      </c>
      <c r="BX22" s="53">
        <f>SUMIFS('MtM Releases'!$H:$H,'MtM Releases'!$G:$G,RESULTADO!$BN22,'MtM Releases'!$F:$F,RESULTADO!$BN19,'MtM Releases'!$D:$D,RESULTADO!BX$3)</f>
        <v>0</v>
      </c>
      <c r="BY22" s="53">
        <f>SUMIFS('MtM Releases'!$H:$H,'MtM Releases'!$G:$G,RESULTADO!$BN22,'MtM Releases'!$F:$F,RESULTADO!$BN19,'MtM Releases'!$D:$D,RESULTADO!BY$3)</f>
        <v>0</v>
      </c>
      <c r="BZ22" s="54">
        <f>SUMIFS('MtM Releases'!$H:$H,'MtM Releases'!$G:$G,RESULTADO!$BN22,'MtM Releases'!$F:$F,RESULTADO!$BN19,'MtM Releases'!$D:$D,RESULTADO!BZ$3)</f>
        <v>0</v>
      </c>
      <c r="CA22" s="53">
        <f>SUMIFS('MtM Releases'!$H:$H,'MtM Releases'!$G:$G,RESULTADO!$BN22,'MtM Releases'!$F:$F,RESULTADO!$BN19,'MtM Releases'!$D:$D,RESULTADO!CA$3)</f>
        <v>0</v>
      </c>
      <c r="CB22" s="53">
        <f>SUMIFS('MtM Releases'!$H:$H,'MtM Releases'!$G:$G,RESULTADO!$BN22,'MtM Releases'!$F:$F,RESULTADO!$BN19,'MtM Releases'!$D:$D,RESULTADO!CB$3)</f>
        <v>0</v>
      </c>
      <c r="CC22" s="53">
        <f>SUMIFS('MtM Releases'!$H:$H,'MtM Releases'!$G:$G,RESULTADO!$BN22,'MtM Releases'!$F:$F,RESULTADO!$BN19,'MtM Releases'!$D:$D,RESULTADO!CC$3)</f>
        <v>0</v>
      </c>
      <c r="CD22" s="53">
        <f>SUMIFS('MtM Releases'!$H:$H,'MtM Releases'!$G:$G,RESULTADO!$BN22,'MtM Releases'!$F:$F,RESULTADO!$BN19,'MtM Releases'!$D:$D,RESULTADO!CD$3)</f>
        <v>0</v>
      </c>
      <c r="CE22" s="53">
        <f>SUMIFS('MtM Releases'!$H:$H,'MtM Releases'!$G:$G,RESULTADO!$BN22,'MtM Releases'!$F:$F,RESULTADO!$BN19,'MtM Releases'!$D:$D,RESULTADO!CE$3)</f>
        <v>0</v>
      </c>
      <c r="CF22" s="53">
        <f>SUMIFS('MtM Releases'!$H:$H,'MtM Releases'!$G:$G,RESULTADO!$BN22,'MtM Releases'!$F:$F,RESULTADO!$BN19,'MtM Releases'!$D:$D,RESULTADO!CF$3)</f>
        <v>0</v>
      </c>
      <c r="CG22" s="53">
        <f>SUMIFS('MtM Releases'!$H:$H,'MtM Releases'!$G:$G,RESULTADO!$BN22,'MtM Releases'!$F:$F,RESULTADO!$BN19,'MtM Releases'!$D:$D,RESULTADO!CG$3)</f>
        <v>0</v>
      </c>
      <c r="CH22" s="53">
        <f>SUMIFS('MtM Releases'!$H:$H,'MtM Releases'!$G:$G,RESULTADO!$BN22,'MtM Releases'!$F:$F,RESULTADO!$BN19,'MtM Releases'!$D:$D,RESULTADO!CH$3)</f>
        <v>0</v>
      </c>
      <c r="CI22" s="53">
        <f>SUMIFS('MtM Releases'!$H:$H,'MtM Releases'!$G:$G,RESULTADO!$BN22,'MtM Releases'!$F:$F,RESULTADO!$BN19,'MtM Releases'!$D:$D,RESULTADO!CI$3)</f>
        <v>0</v>
      </c>
      <c r="CJ22" s="53">
        <f>SUMIFS('MtM Releases'!$H:$H,'MtM Releases'!$G:$G,RESULTADO!$BN22,'MtM Releases'!$F:$F,RESULTADO!$BN19,'MtM Releases'!$D:$D,RESULTADO!CJ$3)</f>
        <v>0</v>
      </c>
      <c r="CK22" s="53">
        <f>SUMIFS('MtM Releases'!$H:$H,'MtM Releases'!$G:$G,RESULTADO!$BN22,'MtM Releases'!$F:$F,RESULTADO!$BN19,'MtM Releases'!$D:$D,RESULTADO!CK$3)</f>
        <v>0</v>
      </c>
      <c r="CL22" s="63">
        <f>SUMIFS('MtM Releases'!$H:$H,'MtM Releases'!$G:$G,RESULTADO!$BN22,'MtM Releases'!$F:$F,RESULTADO!$BN19,'MtM Releases'!$D:$D,RESULTADO!CL$3)</f>
        <v>0</v>
      </c>
      <c r="CM22" s="53">
        <f>SUMIFS('MtM Releases'!$H:$H,'MtM Releases'!$G:$G,RESULTADO!$BN22,'MtM Releases'!$F:$F,RESULTADO!$BN19,'MtM Releases'!$D:$D,RESULTADO!CM$3)</f>
        <v>0</v>
      </c>
      <c r="CN22" s="53">
        <f>SUMIFS('MtM Releases'!$H:$H,'MtM Releases'!$G:$G,RESULTADO!$BN22,'MtM Releases'!$F:$F,RESULTADO!$BN19,'MtM Releases'!$D:$D,RESULTADO!CN$3)</f>
        <v>0</v>
      </c>
      <c r="CO22" s="53">
        <f>SUMIFS('MtM Releases'!$H:$H,'MtM Releases'!$G:$G,RESULTADO!$BN22,'MtM Releases'!$F:$F,RESULTADO!$BN19,'MtM Releases'!$D:$D,RESULTADO!CO$3)</f>
        <v>0</v>
      </c>
      <c r="CP22" s="53">
        <f>SUMIFS('MtM Releases'!$H:$H,'MtM Releases'!$G:$G,RESULTADO!$BN22,'MtM Releases'!$F:$F,RESULTADO!$BN19,'MtM Releases'!$D:$D,RESULTADO!CP$3)</f>
        <v>0</v>
      </c>
      <c r="CQ22" s="53">
        <f>SUMIFS('MtM Releases'!$H:$H,'MtM Releases'!$G:$G,RESULTADO!$BN22,'MtM Releases'!$F:$F,RESULTADO!$BN19,'MtM Releases'!$D:$D,RESULTADO!CQ$3)</f>
        <v>0</v>
      </c>
      <c r="CR22" s="53">
        <f>SUMIFS('MtM Releases'!$H:$H,'MtM Releases'!$G:$G,RESULTADO!$BN22,'MtM Releases'!$F:$F,RESULTADO!$BN19,'MtM Releases'!$D:$D,RESULTADO!CR$3)</f>
        <v>0</v>
      </c>
      <c r="CS22" s="53">
        <f>SUMIFS('MtM Releases'!$H:$H,'MtM Releases'!$G:$G,RESULTADO!$BN22,'MtM Releases'!$F:$F,RESULTADO!$BN19,'MtM Releases'!$D:$D,RESULTADO!CS$3)</f>
        <v>0</v>
      </c>
      <c r="CT22" s="53">
        <f>SUMIFS('MtM Releases'!$H:$H,'MtM Releases'!$G:$G,RESULTADO!$BN22,'MtM Releases'!$F:$F,RESULTADO!$BN19,'MtM Releases'!$D:$D,RESULTADO!CT$3)</f>
        <v>0</v>
      </c>
      <c r="CU22" s="53">
        <f>SUMIFS('MtM Releases'!$H:$H,'MtM Releases'!$G:$G,RESULTADO!$BN22,'MtM Releases'!$F:$F,RESULTADO!$BN19,'MtM Releases'!$D:$D,RESULTADO!CU$3)</f>
        <v>0</v>
      </c>
      <c r="CV22" s="53">
        <f>SUMIFS('MtM Releases'!$H:$H,'MtM Releases'!$G:$G,RESULTADO!$BN22,'MtM Releases'!$F:$F,RESULTADO!$BN19,'MtM Releases'!$D:$D,RESULTADO!CV$3)</f>
        <v>0</v>
      </c>
      <c r="CW22" s="53">
        <f>SUMIFS('MtM Releases'!$H:$H,'MtM Releases'!$G:$G,RESULTADO!$BN22,'MtM Releases'!$F:$F,RESULTADO!$BN19,'MtM Releases'!$D:$D,RESULTADO!CW$3)</f>
        <v>0</v>
      </c>
      <c r="CX22" s="54">
        <f>SUMIFS('MtM Releases'!$H:$H,'MtM Releases'!$G:$G,RESULTADO!$BN22,'MtM Releases'!$F:$F,RESULTADO!$BN19,'MtM Releases'!$D:$D,RESULTADO!CX$3)</f>
        <v>0</v>
      </c>
      <c r="CY22" s="53">
        <f>SUMIFS('MtM Releases'!$H:$H,'MtM Releases'!$G:$G,RESULTADO!$BN22,'MtM Releases'!$F:$F,RESULTADO!$BN19,'MtM Releases'!$D:$D,RESULTADO!CY$3)</f>
        <v>0</v>
      </c>
      <c r="CZ22" s="53">
        <f>SUMIFS('MtM Releases'!$H:$H,'MtM Releases'!$G:$G,RESULTADO!$BN22,'MtM Releases'!$F:$F,RESULTADO!$BN19,'MtM Releases'!$D:$D,RESULTADO!CZ$3)</f>
        <v>0</v>
      </c>
      <c r="DA22" s="53">
        <f>SUMIFS('MtM Releases'!$H:$H,'MtM Releases'!$G:$G,RESULTADO!$BN22,'MtM Releases'!$F:$F,RESULTADO!$BN19,'MtM Releases'!$D:$D,RESULTADO!DA$3)</f>
        <v>0</v>
      </c>
      <c r="DB22" s="53">
        <f>SUMIFS('MtM Releases'!$H:$H,'MtM Releases'!$G:$G,RESULTADO!$BN22,'MtM Releases'!$F:$F,RESULTADO!$BN19,'MtM Releases'!$D:$D,RESULTADO!DB$3)</f>
        <v>0</v>
      </c>
      <c r="DC22" s="53">
        <f>SUMIFS('MtM Releases'!$H:$H,'MtM Releases'!$G:$G,RESULTADO!$BN22,'MtM Releases'!$F:$F,RESULTADO!$BN19,'MtM Releases'!$D:$D,RESULTADO!DC$3)</f>
        <v>0</v>
      </c>
      <c r="DD22" s="53">
        <f>SUMIFS('MtM Releases'!$H:$H,'MtM Releases'!$G:$G,RESULTADO!$BN22,'MtM Releases'!$F:$F,RESULTADO!$BN19,'MtM Releases'!$D:$D,RESULTADO!DD$3)</f>
        <v>0</v>
      </c>
      <c r="DE22" s="53">
        <f>SUMIFS('MtM Releases'!$H:$H,'MtM Releases'!$G:$G,RESULTADO!$BN22,'MtM Releases'!$F:$F,RESULTADO!$BN19,'MtM Releases'!$D:$D,RESULTADO!DE$3)</f>
        <v>0</v>
      </c>
      <c r="DF22" s="53">
        <f>SUMIFS('MtM Releases'!$H:$H,'MtM Releases'!$G:$G,RESULTADO!$BN22,'MtM Releases'!$F:$F,RESULTADO!$BN19,'MtM Releases'!$D:$D,RESULTADO!DF$3)</f>
        <v>0</v>
      </c>
      <c r="DG22" s="53">
        <f>SUMIFS('MtM Releases'!$H:$H,'MtM Releases'!$G:$G,RESULTADO!$BN22,'MtM Releases'!$F:$F,RESULTADO!$BN19,'MtM Releases'!$D:$D,RESULTADO!DG$3)</f>
        <v>0</v>
      </c>
      <c r="DH22" s="53">
        <f>SUMIFS('MtM Releases'!$H:$H,'MtM Releases'!$G:$G,RESULTADO!$BN22,'MtM Releases'!$F:$F,RESULTADO!$BN19,'MtM Releases'!$D:$D,RESULTADO!DH$3)</f>
        <v>0</v>
      </c>
      <c r="DI22" s="53">
        <f>SUMIFS('MtM Releases'!$H:$H,'MtM Releases'!$G:$G,RESULTADO!$BN22,'MtM Releases'!$F:$F,RESULTADO!$BN19,'MtM Releases'!$D:$D,RESULTADO!DI$3)</f>
        <v>0</v>
      </c>
      <c r="DJ22" s="63">
        <f>SUMIFS('MtM Releases'!$H:$H,'MtM Releases'!$G:$G,RESULTADO!$BN22,'MtM Releases'!$F:$F,RESULTADO!$BN19,'MtM Releases'!$D:$D,RESULTADO!DJ$3)</f>
        <v>0</v>
      </c>
      <c r="DK22" s="53">
        <f>SUMIFS('MtM Releases'!$H:$H,'MtM Releases'!$G:$G,RESULTADO!$BN22,'MtM Releases'!$F:$F,RESULTADO!$BN19,'MtM Releases'!$D:$D,RESULTADO!DK$3)</f>
        <v>0</v>
      </c>
      <c r="DL22" s="53">
        <f>SUMIFS('MtM Releases'!$H:$H,'MtM Releases'!$G:$G,RESULTADO!$BN22,'MtM Releases'!$F:$F,RESULTADO!$BN19,'MtM Releases'!$D:$D,RESULTADO!DL$3)</f>
        <v>0</v>
      </c>
      <c r="DM22" s="53">
        <f>SUMIFS('MtM Releases'!$H:$H,'MtM Releases'!$G:$G,RESULTADO!$BN22,'MtM Releases'!$F:$F,RESULTADO!$BN19,'MtM Releases'!$D:$D,RESULTADO!DM$3)</f>
        <v>0</v>
      </c>
      <c r="DN22" s="53">
        <f>SUMIFS('MtM Releases'!$H:$H,'MtM Releases'!$G:$G,RESULTADO!$BN22,'MtM Releases'!$F:$F,RESULTADO!$BN19,'MtM Releases'!$D:$D,RESULTADO!DN$3)</f>
        <v>0</v>
      </c>
      <c r="DO22" s="53">
        <f>SUMIFS('MtM Releases'!$H:$H,'MtM Releases'!$G:$G,RESULTADO!$BN22,'MtM Releases'!$F:$F,RESULTADO!$BN19,'MtM Releases'!$D:$D,RESULTADO!DO$3)</f>
        <v>0</v>
      </c>
      <c r="DP22" s="53">
        <f>SUMIFS('MtM Releases'!$H:$H,'MtM Releases'!$G:$G,RESULTADO!$BN22,'MtM Releases'!$F:$F,RESULTADO!$BN19,'MtM Releases'!$D:$D,RESULTADO!DP$3)</f>
        <v>0</v>
      </c>
      <c r="DQ22" s="53">
        <f>SUMIFS('MtM Releases'!$H:$H,'MtM Releases'!$G:$G,RESULTADO!$BN22,'MtM Releases'!$F:$F,RESULTADO!$BN19,'MtM Releases'!$D:$D,RESULTADO!DQ$3)</f>
        <v>0</v>
      </c>
      <c r="DR22" s="53">
        <f>SUMIFS('MtM Releases'!$H:$H,'MtM Releases'!$G:$G,RESULTADO!$BN22,'MtM Releases'!$F:$F,RESULTADO!$BN19,'MtM Releases'!$D:$D,RESULTADO!DR$3)</f>
        <v>0</v>
      </c>
      <c r="DS22" s="53">
        <f>SUMIFS('MtM Releases'!$H:$H,'MtM Releases'!$G:$G,RESULTADO!$BN22,'MtM Releases'!$F:$F,RESULTADO!$BN19,'MtM Releases'!$D:$D,RESULTADO!DS$3)</f>
        <v>0</v>
      </c>
      <c r="DT22" s="53">
        <f>SUMIFS('MtM Releases'!$H:$H,'MtM Releases'!$G:$G,RESULTADO!$BN22,'MtM Releases'!$F:$F,RESULTADO!$BN19,'MtM Releases'!$D:$D,RESULTADO!DT$3)</f>
        <v>0</v>
      </c>
      <c r="DU22" s="53">
        <f>SUMIFS('MtM Releases'!$H:$H,'MtM Releases'!$G:$G,RESULTADO!$BN22,'MtM Releases'!$F:$F,RESULTADO!$BN19,'MtM Releases'!$D:$D,RESULTADO!DU$3)</f>
        <v>0</v>
      </c>
      <c r="DV22" s="63">
        <f>SUMIFS('MtM Releases'!$H:$H,'MtM Releases'!$G:$G,RESULTADO!$BN22,'MtM Releases'!$F:$F,RESULTADO!$BN19,'MtM Releases'!$D:$D,RESULTADO!DV$3)</f>
        <v>0</v>
      </c>
      <c r="EB22" s="11"/>
    </row>
    <row r="23" spans="2:132" x14ac:dyDescent="0.25">
      <c r="B23" s="57" t="s">
        <v>11</v>
      </c>
      <c r="C23" s="53">
        <f>(SUMIFS(MtM!$M:$M,MtM!$I:$I,RESULTADO!$B23,MtM!$H:$H,RESULTADO!$B$19,MtM!$E:$E,RESULTADO!C$3)-SUMIFS(MtM!$N:$N,MtM!$I:$I,RESULTADO!$B23,MtM!$H:$H,RESULTADO!$B$19,MtM!$E:$E,RESULTADO!C$3))</f>
        <v>0</v>
      </c>
      <c r="D23" s="53">
        <f>(SUMIFS(MtM!$M:$M,MtM!$I:$I,RESULTADO!$B23,MtM!$H:$H,RESULTADO!$B$19,MtM!$E:$E,RESULTADO!D$3)-SUMIFS(MtM!$N:$N,MtM!$I:$I,RESULTADO!$B23,MtM!$H:$H,RESULTADO!$B$19,MtM!$E:$E,RESULTADO!D$3))</f>
        <v>0</v>
      </c>
      <c r="E23" s="53">
        <f>(SUMIFS(MtM!$M:$M,MtM!$I:$I,RESULTADO!$B23,MtM!$H:$H,RESULTADO!$B$19,MtM!$E:$E,RESULTADO!E$3)-SUMIFS(MtM!$N:$N,MtM!$I:$I,RESULTADO!$B23,MtM!$H:$H,RESULTADO!$B$19,MtM!$E:$E,RESULTADO!E$3))</f>
        <v>0</v>
      </c>
      <c r="F23" s="53">
        <f>(SUMIFS(MtM!$M:$M,MtM!$I:$I,RESULTADO!$B23,MtM!$H:$H,RESULTADO!$B$19,MtM!$E:$E,RESULTADO!F$3)-SUMIFS(MtM!$N:$N,MtM!$I:$I,RESULTADO!$B23,MtM!$H:$H,RESULTADO!$B$19,MtM!$E:$E,RESULTADO!F$3))</f>
        <v>0</v>
      </c>
      <c r="G23" s="53">
        <f>(SUMIFS(MtM!$M:$M,MtM!$I:$I,RESULTADO!$B23,MtM!$H:$H,RESULTADO!$B$19,MtM!$E:$E,RESULTADO!G$3)-SUMIFS(MtM!$N:$N,MtM!$I:$I,RESULTADO!$B23,MtM!$H:$H,RESULTADO!$B$19,MtM!$E:$E,RESULTADO!G$3))</f>
        <v>0</v>
      </c>
      <c r="H23" s="53">
        <f>(SUMIFS(MtM!$M:$M,MtM!$I:$I,RESULTADO!$B23,MtM!$H:$H,RESULTADO!$B$19,MtM!$E:$E,RESULTADO!H$3)-SUMIFS(MtM!$N:$N,MtM!$I:$I,RESULTADO!$B23,MtM!$H:$H,RESULTADO!$B$19,MtM!$E:$E,RESULTADO!H$3))</f>
        <v>0</v>
      </c>
      <c r="I23" s="53">
        <f>(SUMIFS(MtM!$M:$M,MtM!$I:$I,RESULTADO!$B23,MtM!$H:$H,RESULTADO!$B$19,MtM!$E:$E,RESULTADO!I$3)-SUMIFS(MtM!$N:$N,MtM!$I:$I,RESULTADO!$B23,MtM!$H:$H,RESULTADO!$B$19,MtM!$E:$E,RESULTADO!I$3))</f>
        <v>0</v>
      </c>
      <c r="J23" s="53">
        <f>(SUMIFS(MtM!$M:$M,MtM!$I:$I,RESULTADO!$B23,MtM!$H:$H,RESULTADO!$B$19,MtM!$E:$E,RESULTADO!J$3)-SUMIFS(MtM!$N:$N,MtM!$I:$I,RESULTADO!$B23,MtM!$H:$H,RESULTADO!$B$19,MtM!$E:$E,RESULTADO!J$3))</f>
        <v>0</v>
      </c>
      <c r="K23" s="53">
        <f>(SUMIFS(MtM!$M:$M,MtM!$I:$I,RESULTADO!$B23,MtM!$H:$H,RESULTADO!$B$19,MtM!$E:$E,RESULTADO!K$3)-SUMIFS(MtM!$N:$N,MtM!$I:$I,RESULTADO!$B23,MtM!$H:$H,RESULTADO!$B$19,MtM!$E:$E,RESULTADO!K$3))</f>
        <v>0</v>
      </c>
      <c r="L23" s="53">
        <f>(SUMIFS(MtM!$M:$M,MtM!$I:$I,RESULTADO!$B23,MtM!$H:$H,RESULTADO!$B$19,MtM!$E:$E,RESULTADO!L$3)-SUMIFS(MtM!$N:$N,MtM!$I:$I,RESULTADO!$B23,MtM!$H:$H,RESULTADO!$B$19,MtM!$E:$E,RESULTADO!L$3))</f>
        <v>0</v>
      </c>
      <c r="M23" s="53">
        <f>(SUMIFS(MtM!$M:$M,MtM!$I:$I,RESULTADO!$B23,MtM!$H:$H,RESULTADO!$B$19,MtM!$E:$E,RESULTADO!M$3)-SUMIFS(MtM!$N:$N,MtM!$I:$I,RESULTADO!$B23,MtM!$H:$H,RESULTADO!$B$19,MtM!$E:$E,RESULTADO!M$3))</f>
        <v>0</v>
      </c>
      <c r="N23" s="54">
        <f>(SUMIFS(MtM!$M:$M,MtM!$I:$I,RESULTADO!$B23,MtM!$H:$H,RESULTADO!$B$19,MtM!$E:$E,RESULTADO!N$3)-SUMIFS(MtM!$N:$N,MtM!$I:$I,RESULTADO!$B23,MtM!$H:$H,RESULTADO!$B$19,MtM!$E:$E,RESULTADO!N$3))</f>
        <v>0</v>
      </c>
      <c r="O23" s="53">
        <f>(SUMIFS(MtM!$M:$M,MtM!$I:$I,RESULTADO!$B23,MtM!$H:$H,RESULTADO!$B$19,MtM!$E:$E,RESULTADO!O$3)-SUMIFS(MtM!$N:$N,MtM!$I:$I,RESULTADO!$B23,MtM!$H:$H,RESULTADO!$B$19,MtM!$E:$E,RESULTADO!O$3))</f>
        <v>0</v>
      </c>
      <c r="P23" s="53">
        <f>(SUMIFS(MtM!$M:$M,MtM!$I:$I,RESULTADO!$B23,MtM!$H:$H,RESULTADO!$B$19,MtM!$E:$E,RESULTADO!P$3)-SUMIFS(MtM!$N:$N,MtM!$I:$I,RESULTADO!$B23,MtM!$H:$H,RESULTADO!$B$19,MtM!$E:$E,RESULTADO!P$3))</f>
        <v>0</v>
      </c>
      <c r="Q23" s="53">
        <f>(SUMIFS(MtM!$M:$M,MtM!$I:$I,RESULTADO!$B23,MtM!$H:$H,RESULTADO!$B$19,MtM!$E:$E,RESULTADO!Q$3)-SUMIFS(MtM!$N:$N,MtM!$I:$I,RESULTADO!$B23,MtM!$H:$H,RESULTADO!$B$19,MtM!$E:$E,RESULTADO!Q$3))</f>
        <v>0</v>
      </c>
      <c r="R23" s="53">
        <f>(SUMIFS(MtM!$M:$M,MtM!$I:$I,RESULTADO!$B23,MtM!$H:$H,RESULTADO!$B$19,MtM!$E:$E,RESULTADO!R$3)-SUMIFS(MtM!$N:$N,MtM!$I:$I,RESULTADO!$B23,MtM!$H:$H,RESULTADO!$B$19,MtM!$E:$E,RESULTADO!R$3))</f>
        <v>0</v>
      </c>
      <c r="S23" s="53">
        <f>(SUMIFS(MtM!$M:$M,MtM!$I:$I,RESULTADO!$B23,MtM!$H:$H,RESULTADO!$B$19,MtM!$E:$E,RESULTADO!S$3)-SUMIFS(MtM!$N:$N,MtM!$I:$I,RESULTADO!$B23,MtM!$H:$H,RESULTADO!$B$19,MtM!$E:$E,RESULTADO!S$3))</f>
        <v>0</v>
      </c>
      <c r="T23" s="53">
        <f>(SUMIFS(MtM!$M:$M,MtM!$I:$I,RESULTADO!$B23,MtM!$H:$H,RESULTADO!$B$19,MtM!$E:$E,RESULTADO!T$3)-SUMIFS(MtM!$N:$N,MtM!$I:$I,RESULTADO!$B23,MtM!$H:$H,RESULTADO!$B$19,MtM!$E:$E,RESULTADO!T$3))</f>
        <v>0</v>
      </c>
      <c r="U23" s="53">
        <f>(SUMIFS(MtM!$M:$M,MtM!$I:$I,RESULTADO!$B23,MtM!$H:$H,RESULTADO!$B$19,MtM!$E:$E,RESULTADO!U$3)-SUMIFS(MtM!$N:$N,MtM!$I:$I,RESULTADO!$B23,MtM!$H:$H,RESULTADO!$B$19,MtM!$E:$E,RESULTADO!U$3))</f>
        <v>0</v>
      </c>
      <c r="V23" s="53">
        <f>(SUMIFS(MtM!$M:$M,MtM!$I:$I,RESULTADO!$B23,MtM!$H:$H,RESULTADO!$B$19,MtM!$E:$E,RESULTADO!V$3)-SUMIFS(MtM!$N:$N,MtM!$I:$I,RESULTADO!$B23,MtM!$H:$H,RESULTADO!$B$19,MtM!$E:$E,RESULTADO!V$3))</f>
        <v>0</v>
      </c>
      <c r="W23" s="53">
        <f>(SUMIFS(MtM!$M:$M,MtM!$I:$I,RESULTADO!$B23,MtM!$H:$H,RESULTADO!$B$19,MtM!$E:$E,RESULTADO!W$3)-SUMIFS(MtM!$N:$N,MtM!$I:$I,RESULTADO!$B23,MtM!$H:$H,RESULTADO!$B$19,MtM!$E:$E,RESULTADO!W$3))</f>
        <v>0</v>
      </c>
      <c r="X23" s="53">
        <f>(SUMIFS(MtM!$M:$M,MtM!$I:$I,RESULTADO!$B23,MtM!$H:$H,RESULTADO!$B$19,MtM!$E:$E,RESULTADO!X$3)-SUMIFS(MtM!$N:$N,MtM!$I:$I,RESULTADO!$B23,MtM!$H:$H,RESULTADO!$B$19,MtM!$E:$E,RESULTADO!X$3))</f>
        <v>0</v>
      </c>
      <c r="Y23" s="53">
        <f>(SUMIFS(MtM!$M:$M,MtM!$I:$I,RESULTADO!$B23,MtM!$H:$H,RESULTADO!$B$19,MtM!$E:$E,RESULTADO!Y$3)-SUMIFS(MtM!$N:$N,MtM!$I:$I,RESULTADO!$B23,MtM!$H:$H,RESULTADO!$B$19,MtM!$E:$E,RESULTADO!Y$3))</f>
        <v>0</v>
      </c>
      <c r="Z23" s="63">
        <f>(SUMIFS(MtM!$M:$M,MtM!$I:$I,RESULTADO!$B23,MtM!$H:$H,RESULTADO!$B$19,MtM!$E:$E,RESULTADO!Z$3)-SUMIFS(MtM!$N:$N,MtM!$I:$I,RESULTADO!$B23,MtM!$H:$H,RESULTADO!$B$19,MtM!$E:$E,RESULTADO!Z$3))</f>
        <v>0</v>
      </c>
      <c r="AA23" s="53">
        <f>(SUMIFS(MtM!$M:$M,MtM!$I:$I,RESULTADO!$B23,MtM!$H:$H,RESULTADO!$B$19,MtM!$E:$E,RESULTADO!AA$3)-SUMIFS(MtM!$N:$N,MtM!$I:$I,RESULTADO!$B23,MtM!$H:$H,RESULTADO!$B$19,MtM!$E:$E,RESULTADO!AA$3))</f>
        <v>0</v>
      </c>
      <c r="AB23" s="53">
        <f>(SUMIFS(MtM!$M:$M,MtM!$I:$I,RESULTADO!$B23,MtM!$H:$H,RESULTADO!$B$19,MtM!$E:$E,RESULTADO!AB$3)-SUMIFS(MtM!$N:$N,MtM!$I:$I,RESULTADO!$B23,MtM!$H:$H,RESULTADO!$B$19,MtM!$E:$E,RESULTADO!AB$3))</f>
        <v>0</v>
      </c>
      <c r="AC23" s="53">
        <f>(SUMIFS(MtM!$M:$M,MtM!$I:$I,RESULTADO!$B23,MtM!$H:$H,RESULTADO!$B$19,MtM!$E:$E,RESULTADO!AC$3)-SUMIFS(MtM!$N:$N,MtM!$I:$I,RESULTADO!$B23,MtM!$H:$H,RESULTADO!$B$19,MtM!$E:$E,RESULTADO!AC$3))</f>
        <v>0</v>
      </c>
      <c r="AD23" s="53">
        <f>(SUMIFS(MtM!$M:$M,MtM!$I:$I,RESULTADO!$B23,MtM!$H:$H,RESULTADO!$B$19,MtM!$E:$E,RESULTADO!AD$3)-SUMIFS(MtM!$N:$N,MtM!$I:$I,RESULTADO!$B23,MtM!$H:$H,RESULTADO!$B$19,MtM!$E:$E,RESULTADO!AD$3))</f>
        <v>0</v>
      </c>
      <c r="AE23" s="53">
        <f>(SUMIFS(MtM!$M:$M,MtM!$I:$I,RESULTADO!$B23,MtM!$H:$H,RESULTADO!$B$19,MtM!$E:$E,RESULTADO!AE$3)-SUMIFS(MtM!$N:$N,MtM!$I:$I,RESULTADO!$B23,MtM!$H:$H,RESULTADO!$B$19,MtM!$E:$E,RESULTADO!AE$3))</f>
        <v>0</v>
      </c>
      <c r="AF23" s="53">
        <f>(SUMIFS(MtM!$M:$M,MtM!$I:$I,RESULTADO!$B23,MtM!$H:$H,RESULTADO!$B$19,MtM!$E:$E,RESULTADO!AF$3)-SUMIFS(MtM!$N:$N,MtM!$I:$I,RESULTADO!$B23,MtM!$H:$H,RESULTADO!$B$19,MtM!$E:$E,RESULTADO!AF$3))</f>
        <v>0</v>
      </c>
      <c r="AG23" s="53">
        <f>(SUMIFS(MtM!$M:$M,MtM!$I:$I,RESULTADO!$B23,MtM!$H:$H,RESULTADO!$B$19,MtM!$E:$E,RESULTADO!AG$3)-SUMIFS(MtM!$N:$N,MtM!$I:$I,RESULTADO!$B23,MtM!$H:$H,RESULTADO!$B$19,MtM!$E:$E,RESULTADO!AG$3))</f>
        <v>0</v>
      </c>
      <c r="AH23" s="53">
        <f>(SUMIFS(MtM!$M:$M,MtM!$I:$I,RESULTADO!$B23,MtM!$H:$H,RESULTADO!$B$19,MtM!$E:$E,RESULTADO!AH$3)-SUMIFS(MtM!$N:$N,MtM!$I:$I,RESULTADO!$B23,MtM!$H:$H,RESULTADO!$B$19,MtM!$E:$E,RESULTADO!AH$3))</f>
        <v>0</v>
      </c>
      <c r="AI23" s="53">
        <f>(SUMIFS(MtM!$M:$M,MtM!$I:$I,RESULTADO!$B23,MtM!$H:$H,RESULTADO!$B$19,MtM!$E:$E,RESULTADO!AI$3)-SUMIFS(MtM!$N:$N,MtM!$I:$I,RESULTADO!$B23,MtM!$H:$H,RESULTADO!$B$19,MtM!$E:$E,RESULTADO!AI$3))</f>
        <v>0</v>
      </c>
      <c r="AJ23" s="53">
        <f>(SUMIFS(MtM!$M:$M,MtM!$I:$I,RESULTADO!$B23,MtM!$H:$H,RESULTADO!$B$19,MtM!$E:$E,RESULTADO!AJ$3)-SUMIFS(MtM!$N:$N,MtM!$I:$I,RESULTADO!$B23,MtM!$H:$H,RESULTADO!$B$19,MtM!$E:$E,RESULTADO!AJ$3))</f>
        <v>0</v>
      </c>
      <c r="AK23" s="53">
        <f>(SUMIFS(MtM!$M:$M,MtM!$I:$I,RESULTADO!$B23,MtM!$H:$H,RESULTADO!$B$19,MtM!$E:$E,RESULTADO!AK$3)-SUMIFS(MtM!$N:$N,MtM!$I:$I,RESULTADO!$B23,MtM!$H:$H,RESULTADO!$B$19,MtM!$E:$E,RESULTADO!AK$3))</f>
        <v>0</v>
      </c>
      <c r="AL23" s="54">
        <f>(SUMIFS(MtM!$M:$M,MtM!$I:$I,RESULTADO!$B23,MtM!$H:$H,RESULTADO!$B$19,MtM!$E:$E,RESULTADO!AL$3)-SUMIFS(MtM!$N:$N,MtM!$I:$I,RESULTADO!$B23,MtM!$H:$H,RESULTADO!$B$19,MtM!$E:$E,RESULTADO!AL$3))</f>
        <v>0</v>
      </c>
      <c r="AM23" s="53">
        <f>(SUMIFS(MtM!$M:$M,MtM!$I:$I,RESULTADO!$B23,MtM!$H:$H,RESULTADO!$B$19,MtM!$E:$E,RESULTADO!AM$3)-SUMIFS(MtM!$N:$N,MtM!$I:$I,RESULTADO!$B23,MtM!$H:$H,RESULTADO!$B$19,MtM!$E:$E,RESULTADO!AM$3))</f>
        <v>0</v>
      </c>
      <c r="AN23" s="53">
        <f>(SUMIFS(MtM!$M:$M,MtM!$I:$I,RESULTADO!$B23,MtM!$H:$H,RESULTADO!$B$19,MtM!$E:$E,RESULTADO!AN$3)-SUMIFS(MtM!$N:$N,MtM!$I:$I,RESULTADO!$B23,MtM!$H:$H,RESULTADO!$B$19,MtM!$E:$E,RESULTADO!AN$3))</f>
        <v>0</v>
      </c>
      <c r="AO23" s="53">
        <f>(SUMIFS(MtM!$M:$M,MtM!$I:$I,RESULTADO!$B23,MtM!$H:$H,RESULTADO!$B$19,MtM!$E:$E,RESULTADO!AO$3)-SUMIFS(MtM!$N:$N,MtM!$I:$I,RESULTADO!$B23,MtM!$H:$H,RESULTADO!$B$19,MtM!$E:$E,RESULTADO!AO$3))</f>
        <v>0</v>
      </c>
      <c r="AP23" s="53">
        <f>(SUMIFS(MtM!$M:$M,MtM!$I:$I,RESULTADO!$B23,MtM!$H:$H,RESULTADO!$B$19,MtM!$E:$E,RESULTADO!AP$3)-SUMIFS(MtM!$N:$N,MtM!$I:$I,RESULTADO!$B23,MtM!$H:$H,RESULTADO!$B$19,MtM!$E:$E,RESULTADO!AP$3))</f>
        <v>0</v>
      </c>
      <c r="AQ23" s="53">
        <f>(SUMIFS(MtM!$M:$M,MtM!$I:$I,RESULTADO!$B23,MtM!$H:$H,RESULTADO!$B$19,MtM!$E:$E,RESULTADO!AQ$3)-SUMIFS(MtM!$N:$N,MtM!$I:$I,RESULTADO!$B23,MtM!$H:$H,RESULTADO!$B$19,MtM!$E:$E,RESULTADO!AQ$3))</f>
        <v>0</v>
      </c>
      <c r="AR23" s="53">
        <f>(SUMIFS(MtM!$M:$M,MtM!$I:$I,RESULTADO!$B23,MtM!$H:$H,RESULTADO!$B$19,MtM!$E:$E,RESULTADO!AR$3)-SUMIFS(MtM!$N:$N,MtM!$I:$I,RESULTADO!$B23,MtM!$H:$H,RESULTADO!$B$19,MtM!$E:$E,RESULTADO!AR$3))</f>
        <v>0</v>
      </c>
      <c r="AS23" s="53">
        <f>(SUMIFS(MtM!$M:$M,MtM!$I:$I,RESULTADO!$B23,MtM!$H:$H,RESULTADO!$B$19,MtM!$E:$E,RESULTADO!AS$3)-SUMIFS(MtM!$N:$N,MtM!$I:$I,RESULTADO!$B23,MtM!$H:$H,RESULTADO!$B$19,MtM!$E:$E,RESULTADO!AS$3))</f>
        <v>0</v>
      </c>
      <c r="AT23" s="53">
        <f>(SUMIFS(MtM!$M:$M,MtM!$I:$I,RESULTADO!$B23,MtM!$H:$H,RESULTADO!$B$19,MtM!$E:$E,RESULTADO!AT$3)-SUMIFS(MtM!$N:$N,MtM!$I:$I,RESULTADO!$B23,MtM!$H:$H,RESULTADO!$B$19,MtM!$E:$E,RESULTADO!AT$3))</f>
        <v>0</v>
      </c>
      <c r="AU23" s="53">
        <f>(SUMIFS(MtM!$M:$M,MtM!$I:$I,RESULTADO!$B23,MtM!$H:$H,RESULTADO!$B$19,MtM!$E:$E,RESULTADO!AU$3)-SUMIFS(MtM!$N:$N,MtM!$I:$I,RESULTADO!$B23,MtM!$H:$H,RESULTADO!$B$19,MtM!$E:$E,RESULTADO!AU$3))</f>
        <v>0</v>
      </c>
      <c r="AV23" s="53">
        <f>(SUMIFS(MtM!$M:$M,MtM!$I:$I,RESULTADO!$B23,MtM!$H:$H,RESULTADO!$B$19,MtM!$E:$E,RESULTADO!AV$3)-SUMIFS(MtM!$N:$N,MtM!$I:$I,RESULTADO!$B23,MtM!$H:$H,RESULTADO!$B$19,MtM!$E:$E,RESULTADO!AV$3))</f>
        <v>0</v>
      </c>
      <c r="AW23" s="53">
        <f>(SUMIFS(MtM!$M:$M,MtM!$I:$I,RESULTADO!$B23,MtM!$H:$H,RESULTADO!$B$19,MtM!$E:$E,RESULTADO!AW$3)-SUMIFS(MtM!$N:$N,MtM!$I:$I,RESULTADO!$B23,MtM!$H:$H,RESULTADO!$B$19,MtM!$E:$E,RESULTADO!AW$3))</f>
        <v>0</v>
      </c>
      <c r="AX23" s="63">
        <f>(SUMIFS(MtM!$M:$M,MtM!$I:$I,RESULTADO!$B23,MtM!$H:$H,RESULTADO!$B$19,MtM!$E:$E,RESULTADO!AX$3)-SUMIFS(MtM!$N:$N,MtM!$I:$I,RESULTADO!$B23,MtM!$H:$H,RESULTADO!$B$19,MtM!$E:$E,RESULTADO!AX$3))</f>
        <v>0</v>
      </c>
      <c r="AY23" s="53">
        <f>(SUMIFS(MtM!$M:$M,MtM!$I:$I,RESULTADO!$B23,MtM!$H:$H,RESULTADO!$B$19,MtM!$E:$E,RESULTADO!AY$3)-SUMIFS(MtM!$N:$N,MtM!$I:$I,RESULTADO!$B23,MtM!$H:$H,RESULTADO!$B$19,MtM!$E:$E,RESULTADO!AY$3))</f>
        <v>0</v>
      </c>
      <c r="AZ23" s="53">
        <f>(SUMIFS(MtM!$M:$M,MtM!$I:$I,RESULTADO!$B23,MtM!$H:$H,RESULTADO!$B$19,MtM!$E:$E,RESULTADO!AZ$3)-SUMIFS(MtM!$N:$N,MtM!$I:$I,RESULTADO!$B23,MtM!$H:$H,RESULTADO!$B$19,MtM!$E:$E,RESULTADO!AZ$3))</f>
        <v>0</v>
      </c>
      <c r="BA23" s="53">
        <f>(SUMIFS(MtM!$M:$M,MtM!$I:$I,RESULTADO!$B23,MtM!$H:$H,RESULTADO!$B$19,MtM!$E:$E,RESULTADO!BA$3)-SUMIFS(MtM!$N:$N,MtM!$I:$I,RESULTADO!$B23,MtM!$H:$H,RESULTADO!$B$19,MtM!$E:$E,RESULTADO!BA$3))</f>
        <v>0</v>
      </c>
      <c r="BB23" s="53">
        <f>(SUMIFS(MtM!$M:$M,MtM!$I:$I,RESULTADO!$B23,MtM!$H:$H,RESULTADO!$B$19,MtM!$E:$E,RESULTADO!BB$3)-SUMIFS(MtM!$N:$N,MtM!$I:$I,RESULTADO!$B23,MtM!$H:$H,RESULTADO!$B$19,MtM!$E:$E,RESULTADO!BB$3))</f>
        <v>0</v>
      </c>
      <c r="BC23" s="53">
        <f>(SUMIFS(MtM!$M:$M,MtM!$I:$I,RESULTADO!$B23,MtM!$H:$H,RESULTADO!$B$19,MtM!$E:$E,RESULTADO!BC$3)-SUMIFS(MtM!$N:$N,MtM!$I:$I,RESULTADO!$B23,MtM!$H:$H,RESULTADO!$B$19,MtM!$E:$E,RESULTADO!BC$3))</f>
        <v>0</v>
      </c>
      <c r="BD23" s="53">
        <f>(SUMIFS(MtM!$M:$M,MtM!$I:$I,RESULTADO!$B23,MtM!$H:$H,RESULTADO!$B$19,MtM!$E:$E,RESULTADO!BD$3)-SUMIFS(MtM!$N:$N,MtM!$I:$I,RESULTADO!$B23,MtM!$H:$H,RESULTADO!$B$19,MtM!$E:$E,RESULTADO!BD$3))</f>
        <v>0</v>
      </c>
      <c r="BE23" s="53">
        <f>(SUMIFS(MtM!$M:$M,MtM!$I:$I,RESULTADO!$B23,MtM!$H:$H,RESULTADO!$B$19,MtM!$E:$E,RESULTADO!BE$3)-SUMIFS(MtM!$N:$N,MtM!$I:$I,RESULTADO!$B23,MtM!$H:$H,RESULTADO!$B$19,MtM!$E:$E,RESULTADO!BE$3))</f>
        <v>0</v>
      </c>
      <c r="BF23" s="53">
        <f>(SUMIFS(MtM!$M:$M,MtM!$I:$I,RESULTADO!$B23,MtM!$H:$H,RESULTADO!$B$19,MtM!$E:$E,RESULTADO!BF$3)-SUMIFS(MtM!$N:$N,MtM!$I:$I,RESULTADO!$B23,MtM!$H:$H,RESULTADO!$B$19,MtM!$E:$E,RESULTADO!BF$3))</f>
        <v>0</v>
      </c>
      <c r="BG23" s="53">
        <f>(SUMIFS(MtM!$M:$M,MtM!$I:$I,RESULTADO!$B23,MtM!$H:$H,RESULTADO!$B$19,MtM!$E:$E,RESULTADO!BG$3)-SUMIFS(MtM!$N:$N,MtM!$I:$I,RESULTADO!$B23,MtM!$H:$H,RESULTADO!$B$19,MtM!$E:$E,RESULTADO!BG$3))</f>
        <v>0</v>
      </c>
      <c r="BH23" s="53">
        <f>(SUMIFS(MtM!$M:$M,MtM!$I:$I,RESULTADO!$B23,MtM!$H:$H,RESULTADO!$B$19,MtM!$E:$E,RESULTADO!BH$3)-SUMIFS(MtM!$N:$N,MtM!$I:$I,RESULTADO!$B23,MtM!$H:$H,RESULTADO!$B$19,MtM!$E:$E,RESULTADO!BH$3))</f>
        <v>0</v>
      </c>
      <c r="BI23" s="53">
        <f>(SUMIFS(MtM!$M:$M,MtM!$I:$I,RESULTADO!$B23,MtM!$H:$H,RESULTADO!$B$19,MtM!$E:$E,RESULTADO!BI$3)-SUMIFS(MtM!$N:$N,MtM!$I:$I,RESULTADO!$B23,MtM!$H:$H,RESULTADO!$B$19,MtM!$E:$E,RESULTADO!BI$3))</f>
        <v>0</v>
      </c>
      <c r="BJ23" s="63">
        <f>(SUMIFS(MtM!$M:$M,MtM!$I:$I,RESULTADO!$B23,MtM!$H:$H,RESULTADO!$B$19,MtM!$E:$E,RESULTADO!BJ$3)-SUMIFS(MtM!$N:$N,MtM!$I:$I,RESULTADO!$B23,MtM!$H:$H,RESULTADO!$B$19,MtM!$E:$E,RESULTADO!BJ$3))</f>
        <v>0</v>
      </c>
      <c r="BL23" s="120"/>
      <c r="BN23" s="57" t="s">
        <v>11</v>
      </c>
      <c r="BO23" s="53">
        <f>SUMIFS('MtM Releases'!$H:$H,'MtM Releases'!$G:$G,RESULTADO!$BN23,'MtM Releases'!$F:$F,RESULTADO!$BN19,'MtM Releases'!$D:$D,RESULTADO!BO$3)</f>
        <v>0</v>
      </c>
      <c r="BP23" s="53">
        <f>SUMIFS('MtM Releases'!$H:$H,'MtM Releases'!$G:$G,RESULTADO!$BN23,'MtM Releases'!$F:$F,RESULTADO!$BN19,'MtM Releases'!$D:$D,RESULTADO!BP$3)</f>
        <v>0</v>
      </c>
      <c r="BQ23" s="53">
        <f>SUMIFS('MtM Releases'!$H:$H,'MtM Releases'!$G:$G,RESULTADO!$BN23,'MtM Releases'!$F:$F,RESULTADO!$BN19,'MtM Releases'!$D:$D,RESULTADO!BQ$3)</f>
        <v>0</v>
      </c>
      <c r="BR23" s="53">
        <f>SUMIFS('MtM Releases'!$H:$H,'MtM Releases'!$G:$G,RESULTADO!$BN23,'MtM Releases'!$F:$F,RESULTADO!$BN19,'MtM Releases'!$D:$D,RESULTADO!BR$3)</f>
        <v>0</v>
      </c>
      <c r="BS23" s="53">
        <f>SUMIFS('MtM Releases'!$H:$H,'MtM Releases'!$G:$G,RESULTADO!$BN23,'MtM Releases'!$F:$F,RESULTADO!$BN19,'MtM Releases'!$D:$D,RESULTADO!BS$3)</f>
        <v>0</v>
      </c>
      <c r="BT23" s="53">
        <f>SUMIFS('MtM Releases'!$H:$H,'MtM Releases'!$G:$G,RESULTADO!$BN23,'MtM Releases'!$F:$F,RESULTADO!$BN19,'MtM Releases'!$D:$D,RESULTADO!BT$3)</f>
        <v>0</v>
      </c>
      <c r="BU23" s="53">
        <f>SUMIFS('MtM Releases'!$H:$H,'MtM Releases'!$G:$G,RESULTADO!$BN23,'MtM Releases'!$F:$F,RESULTADO!$BN19,'MtM Releases'!$D:$D,RESULTADO!BU$3)</f>
        <v>0</v>
      </c>
      <c r="BV23" s="53">
        <f>SUMIFS('MtM Releases'!$H:$H,'MtM Releases'!$G:$G,RESULTADO!$BN23,'MtM Releases'!$F:$F,RESULTADO!$BN19,'MtM Releases'!$D:$D,RESULTADO!BV$3)</f>
        <v>0</v>
      </c>
      <c r="BW23" s="53">
        <f>SUMIFS('MtM Releases'!$H:$H,'MtM Releases'!$G:$G,RESULTADO!$BN23,'MtM Releases'!$F:$F,RESULTADO!$BN19,'MtM Releases'!$D:$D,RESULTADO!BW$3)</f>
        <v>0</v>
      </c>
      <c r="BX23" s="53">
        <f>SUMIFS('MtM Releases'!$H:$H,'MtM Releases'!$G:$G,RESULTADO!$BN23,'MtM Releases'!$F:$F,RESULTADO!$BN19,'MtM Releases'!$D:$D,RESULTADO!BX$3)</f>
        <v>0</v>
      </c>
      <c r="BY23" s="53">
        <f>SUMIFS('MtM Releases'!$H:$H,'MtM Releases'!$G:$G,RESULTADO!$BN23,'MtM Releases'!$F:$F,RESULTADO!$BN19,'MtM Releases'!$D:$D,RESULTADO!BY$3)</f>
        <v>0</v>
      </c>
      <c r="BZ23" s="54">
        <f>SUMIFS('MtM Releases'!$H:$H,'MtM Releases'!$G:$G,RESULTADO!$BN23,'MtM Releases'!$F:$F,RESULTADO!$BN19,'MtM Releases'!$D:$D,RESULTADO!BZ$3)</f>
        <v>0</v>
      </c>
      <c r="CA23" s="53">
        <f>SUMIFS('MtM Releases'!$H:$H,'MtM Releases'!$G:$G,RESULTADO!$BN23,'MtM Releases'!$F:$F,RESULTADO!$BN19,'MtM Releases'!$D:$D,RESULTADO!CA$3)</f>
        <v>0</v>
      </c>
      <c r="CB23" s="53">
        <f>SUMIFS('MtM Releases'!$H:$H,'MtM Releases'!$G:$G,RESULTADO!$BN23,'MtM Releases'!$F:$F,RESULTADO!$BN19,'MtM Releases'!$D:$D,RESULTADO!CB$3)</f>
        <v>0</v>
      </c>
      <c r="CC23" s="53">
        <f>SUMIFS('MtM Releases'!$H:$H,'MtM Releases'!$G:$G,RESULTADO!$BN23,'MtM Releases'!$F:$F,RESULTADO!$BN19,'MtM Releases'!$D:$D,RESULTADO!CC$3)</f>
        <v>0</v>
      </c>
      <c r="CD23" s="53">
        <f>SUMIFS('MtM Releases'!$H:$H,'MtM Releases'!$G:$G,RESULTADO!$BN23,'MtM Releases'!$F:$F,RESULTADO!$BN19,'MtM Releases'!$D:$D,RESULTADO!CD$3)</f>
        <v>0</v>
      </c>
      <c r="CE23" s="53">
        <f>SUMIFS('MtM Releases'!$H:$H,'MtM Releases'!$G:$G,RESULTADO!$BN23,'MtM Releases'!$F:$F,RESULTADO!$BN19,'MtM Releases'!$D:$D,RESULTADO!CE$3)</f>
        <v>0</v>
      </c>
      <c r="CF23" s="53">
        <f>SUMIFS('MtM Releases'!$H:$H,'MtM Releases'!$G:$G,RESULTADO!$BN23,'MtM Releases'!$F:$F,RESULTADO!$BN19,'MtM Releases'!$D:$D,RESULTADO!CF$3)</f>
        <v>0</v>
      </c>
      <c r="CG23" s="53">
        <f>SUMIFS('MtM Releases'!$H:$H,'MtM Releases'!$G:$G,RESULTADO!$BN23,'MtM Releases'!$F:$F,RESULTADO!$BN19,'MtM Releases'!$D:$D,RESULTADO!CG$3)</f>
        <v>0</v>
      </c>
      <c r="CH23" s="53">
        <f>SUMIFS('MtM Releases'!$H:$H,'MtM Releases'!$G:$G,RESULTADO!$BN23,'MtM Releases'!$F:$F,RESULTADO!$BN19,'MtM Releases'!$D:$D,RESULTADO!CH$3)</f>
        <v>0</v>
      </c>
      <c r="CI23" s="53">
        <f>SUMIFS('MtM Releases'!$H:$H,'MtM Releases'!$G:$G,RESULTADO!$BN23,'MtM Releases'!$F:$F,RESULTADO!$BN19,'MtM Releases'!$D:$D,RESULTADO!CI$3)</f>
        <v>0</v>
      </c>
      <c r="CJ23" s="53">
        <f>SUMIFS('MtM Releases'!$H:$H,'MtM Releases'!$G:$G,RESULTADO!$BN23,'MtM Releases'!$F:$F,RESULTADO!$BN19,'MtM Releases'!$D:$D,RESULTADO!CJ$3)</f>
        <v>0</v>
      </c>
      <c r="CK23" s="53">
        <f>SUMIFS('MtM Releases'!$H:$H,'MtM Releases'!$G:$G,RESULTADO!$BN23,'MtM Releases'!$F:$F,RESULTADO!$BN19,'MtM Releases'!$D:$D,RESULTADO!CK$3)</f>
        <v>0</v>
      </c>
      <c r="CL23" s="63">
        <f>SUMIFS('MtM Releases'!$H:$H,'MtM Releases'!$G:$G,RESULTADO!$BN23,'MtM Releases'!$F:$F,RESULTADO!$BN19,'MtM Releases'!$D:$D,RESULTADO!CL$3)</f>
        <v>0</v>
      </c>
      <c r="CM23" s="53">
        <f>SUMIFS('MtM Releases'!$H:$H,'MtM Releases'!$G:$G,RESULTADO!$BN23,'MtM Releases'!$F:$F,RESULTADO!$BN19,'MtM Releases'!$D:$D,RESULTADO!CM$3)</f>
        <v>0</v>
      </c>
      <c r="CN23" s="53">
        <f>SUMIFS('MtM Releases'!$H:$H,'MtM Releases'!$G:$G,RESULTADO!$BN23,'MtM Releases'!$F:$F,RESULTADO!$BN19,'MtM Releases'!$D:$D,RESULTADO!CN$3)</f>
        <v>0</v>
      </c>
      <c r="CO23" s="53">
        <f>SUMIFS('MtM Releases'!$H:$H,'MtM Releases'!$G:$G,RESULTADO!$BN23,'MtM Releases'!$F:$F,RESULTADO!$BN19,'MtM Releases'!$D:$D,RESULTADO!CO$3)</f>
        <v>0</v>
      </c>
      <c r="CP23" s="53">
        <f>SUMIFS('MtM Releases'!$H:$H,'MtM Releases'!$G:$G,RESULTADO!$BN23,'MtM Releases'!$F:$F,RESULTADO!$BN19,'MtM Releases'!$D:$D,RESULTADO!CP$3)</f>
        <v>0</v>
      </c>
      <c r="CQ23" s="53">
        <f>SUMIFS('MtM Releases'!$H:$H,'MtM Releases'!$G:$G,RESULTADO!$BN23,'MtM Releases'!$F:$F,RESULTADO!$BN19,'MtM Releases'!$D:$D,RESULTADO!CQ$3)</f>
        <v>0</v>
      </c>
      <c r="CR23" s="53">
        <f>SUMIFS('MtM Releases'!$H:$H,'MtM Releases'!$G:$G,RESULTADO!$BN23,'MtM Releases'!$F:$F,RESULTADO!$BN19,'MtM Releases'!$D:$D,RESULTADO!CR$3)</f>
        <v>0</v>
      </c>
      <c r="CS23" s="53">
        <f>SUMIFS('MtM Releases'!$H:$H,'MtM Releases'!$G:$G,RESULTADO!$BN23,'MtM Releases'!$F:$F,RESULTADO!$BN19,'MtM Releases'!$D:$D,RESULTADO!CS$3)</f>
        <v>0</v>
      </c>
      <c r="CT23" s="53">
        <f>SUMIFS('MtM Releases'!$H:$H,'MtM Releases'!$G:$G,RESULTADO!$BN23,'MtM Releases'!$F:$F,RESULTADO!$BN19,'MtM Releases'!$D:$D,RESULTADO!CT$3)</f>
        <v>0</v>
      </c>
      <c r="CU23" s="53">
        <f>SUMIFS('MtM Releases'!$H:$H,'MtM Releases'!$G:$G,RESULTADO!$BN23,'MtM Releases'!$F:$F,RESULTADO!$BN19,'MtM Releases'!$D:$D,RESULTADO!CU$3)</f>
        <v>0</v>
      </c>
      <c r="CV23" s="53">
        <f>SUMIFS('MtM Releases'!$H:$H,'MtM Releases'!$G:$G,RESULTADO!$BN23,'MtM Releases'!$F:$F,RESULTADO!$BN19,'MtM Releases'!$D:$D,RESULTADO!CV$3)</f>
        <v>0</v>
      </c>
      <c r="CW23" s="53">
        <f>SUMIFS('MtM Releases'!$H:$H,'MtM Releases'!$G:$G,RESULTADO!$BN23,'MtM Releases'!$F:$F,RESULTADO!$BN19,'MtM Releases'!$D:$D,RESULTADO!CW$3)</f>
        <v>0</v>
      </c>
      <c r="CX23" s="54">
        <f>SUMIFS('MtM Releases'!$H:$H,'MtM Releases'!$G:$G,RESULTADO!$BN23,'MtM Releases'!$F:$F,RESULTADO!$BN19,'MtM Releases'!$D:$D,RESULTADO!CX$3)</f>
        <v>0</v>
      </c>
      <c r="CY23" s="53">
        <f>SUMIFS('MtM Releases'!$H:$H,'MtM Releases'!$G:$G,RESULTADO!$BN23,'MtM Releases'!$F:$F,RESULTADO!$BN19,'MtM Releases'!$D:$D,RESULTADO!CY$3)</f>
        <v>0</v>
      </c>
      <c r="CZ23" s="53">
        <f>SUMIFS('MtM Releases'!$H:$H,'MtM Releases'!$G:$G,RESULTADO!$BN23,'MtM Releases'!$F:$F,RESULTADO!$BN19,'MtM Releases'!$D:$D,RESULTADO!CZ$3)</f>
        <v>0</v>
      </c>
      <c r="DA23" s="53">
        <f>SUMIFS('MtM Releases'!$H:$H,'MtM Releases'!$G:$G,RESULTADO!$BN23,'MtM Releases'!$F:$F,RESULTADO!$BN19,'MtM Releases'!$D:$D,RESULTADO!DA$3)</f>
        <v>0</v>
      </c>
      <c r="DB23" s="53">
        <f>SUMIFS('MtM Releases'!$H:$H,'MtM Releases'!$G:$G,RESULTADO!$BN23,'MtM Releases'!$F:$F,RESULTADO!$BN19,'MtM Releases'!$D:$D,RESULTADO!DB$3)</f>
        <v>0</v>
      </c>
      <c r="DC23" s="53">
        <f>SUMIFS('MtM Releases'!$H:$H,'MtM Releases'!$G:$G,RESULTADO!$BN23,'MtM Releases'!$F:$F,RESULTADO!$BN19,'MtM Releases'!$D:$D,RESULTADO!DC$3)</f>
        <v>0</v>
      </c>
      <c r="DD23" s="53">
        <f>SUMIFS('MtM Releases'!$H:$H,'MtM Releases'!$G:$G,RESULTADO!$BN23,'MtM Releases'!$F:$F,RESULTADO!$BN19,'MtM Releases'!$D:$D,RESULTADO!DD$3)</f>
        <v>0</v>
      </c>
      <c r="DE23" s="53">
        <f>SUMIFS('MtM Releases'!$H:$H,'MtM Releases'!$G:$G,RESULTADO!$BN23,'MtM Releases'!$F:$F,RESULTADO!$BN19,'MtM Releases'!$D:$D,RESULTADO!DE$3)</f>
        <v>0</v>
      </c>
      <c r="DF23" s="53">
        <f>SUMIFS('MtM Releases'!$H:$H,'MtM Releases'!$G:$G,RESULTADO!$BN23,'MtM Releases'!$F:$F,RESULTADO!$BN19,'MtM Releases'!$D:$D,RESULTADO!DF$3)</f>
        <v>0</v>
      </c>
      <c r="DG23" s="53">
        <f>SUMIFS('MtM Releases'!$H:$H,'MtM Releases'!$G:$G,RESULTADO!$BN23,'MtM Releases'!$F:$F,RESULTADO!$BN19,'MtM Releases'!$D:$D,RESULTADO!DG$3)</f>
        <v>0</v>
      </c>
      <c r="DH23" s="53">
        <f>SUMIFS('MtM Releases'!$H:$H,'MtM Releases'!$G:$G,RESULTADO!$BN23,'MtM Releases'!$F:$F,RESULTADO!$BN19,'MtM Releases'!$D:$D,RESULTADO!DH$3)</f>
        <v>0</v>
      </c>
      <c r="DI23" s="53">
        <f>SUMIFS('MtM Releases'!$H:$H,'MtM Releases'!$G:$G,RESULTADO!$BN23,'MtM Releases'!$F:$F,RESULTADO!$BN19,'MtM Releases'!$D:$D,RESULTADO!DI$3)</f>
        <v>0</v>
      </c>
      <c r="DJ23" s="63">
        <f>SUMIFS('MtM Releases'!$H:$H,'MtM Releases'!$G:$G,RESULTADO!$BN23,'MtM Releases'!$F:$F,RESULTADO!$BN19,'MtM Releases'!$D:$D,RESULTADO!DJ$3)</f>
        <v>0</v>
      </c>
      <c r="DK23" s="53">
        <f>SUMIFS('MtM Releases'!$H:$H,'MtM Releases'!$G:$G,RESULTADO!$BN23,'MtM Releases'!$F:$F,RESULTADO!$BN19,'MtM Releases'!$D:$D,RESULTADO!DK$3)</f>
        <v>0</v>
      </c>
      <c r="DL23" s="53">
        <f>SUMIFS('MtM Releases'!$H:$H,'MtM Releases'!$G:$G,RESULTADO!$BN23,'MtM Releases'!$F:$F,RESULTADO!$BN19,'MtM Releases'!$D:$D,RESULTADO!DL$3)</f>
        <v>0</v>
      </c>
      <c r="DM23" s="53">
        <f>SUMIFS('MtM Releases'!$H:$H,'MtM Releases'!$G:$G,RESULTADO!$BN23,'MtM Releases'!$F:$F,RESULTADO!$BN19,'MtM Releases'!$D:$D,RESULTADO!DM$3)</f>
        <v>0</v>
      </c>
      <c r="DN23" s="53">
        <f>SUMIFS('MtM Releases'!$H:$H,'MtM Releases'!$G:$G,RESULTADO!$BN23,'MtM Releases'!$F:$F,RESULTADO!$BN19,'MtM Releases'!$D:$D,RESULTADO!DN$3)</f>
        <v>0</v>
      </c>
      <c r="DO23" s="53">
        <f>SUMIFS('MtM Releases'!$H:$H,'MtM Releases'!$G:$G,RESULTADO!$BN23,'MtM Releases'!$F:$F,RESULTADO!$BN19,'MtM Releases'!$D:$D,RESULTADO!DO$3)</f>
        <v>0</v>
      </c>
      <c r="DP23" s="53">
        <f>SUMIFS('MtM Releases'!$H:$H,'MtM Releases'!$G:$G,RESULTADO!$BN23,'MtM Releases'!$F:$F,RESULTADO!$BN19,'MtM Releases'!$D:$D,RESULTADO!DP$3)</f>
        <v>0</v>
      </c>
      <c r="DQ23" s="53">
        <f>SUMIFS('MtM Releases'!$H:$H,'MtM Releases'!$G:$G,RESULTADO!$BN23,'MtM Releases'!$F:$F,RESULTADO!$BN19,'MtM Releases'!$D:$D,RESULTADO!DQ$3)</f>
        <v>0</v>
      </c>
      <c r="DR23" s="53">
        <f>SUMIFS('MtM Releases'!$H:$H,'MtM Releases'!$G:$G,RESULTADO!$BN23,'MtM Releases'!$F:$F,RESULTADO!$BN19,'MtM Releases'!$D:$D,RESULTADO!DR$3)</f>
        <v>0</v>
      </c>
      <c r="DS23" s="53">
        <f>SUMIFS('MtM Releases'!$H:$H,'MtM Releases'!$G:$G,RESULTADO!$BN23,'MtM Releases'!$F:$F,RESULTADO!$BN19,'MtM Releases'!$D:$D,RESULTADO!DS$3)</f>
        <v>0</v>
      </c>
      <c r="DT23" s="53">
        <f>SUMIFS('MtM Releases'!$H:$H,'MtM Releases'!$G:$G,RESULTADO!$BN23,'MtM Releases'!$F:$F,RESULTADO!$BN19,'MtM Releases'!$D:$D,RESULTADO!DT$3)</f>
        <v>0</v>
      </c>
      <c r="DU23" s="53">
        <f>SUMIFS('MtM Releases'!$H:$H,'MtM Releases'!$G:$G,RESULTADO!$BN23,'MtM Releases'!$F:$F,RESULTADO!$BN19,'MtM Releases'!$D:$D,RESULTADO!DU$3)</f>
        <v>0</v>
      </c>
      <c r="DV23" s="63">
        <f>SUMIFS('MtM Releases'!$H:$H,'MtM Releases'!$G:$G,RESULTADO!$BN23,'MtM Releases'!$F:$F,RESULTADO!$BN19,'MtM Releases'!$D:$D,RESULTADO!DV$3)</f>
        <v>0</v>
      </c>
      <c r="EB23" s="11"/>
    </row>
    <row r="24" spans="2:132" x14ac:dyDescent="0.25">
      <c r="B24" s="56" t="s">
        <v>68</v>
      </c>
      <c r="C24" s="68">
        <f t="shared" ref="C24" si="17">SUM(C25:C28)</f>
        <v>0</v>
      </c>
      <c r="D24" s="68">
        <f t="shared" ref="D24:BJ24" si="18">SUM(D25:D28)</f>
        <v>0</v>
      </c>
      <c r="E24" s="68">
        <f t="shared" si="18"/>
        <v>0</v>
      </c>
      <c r="F24" s="68">
        <f t="shared" si="18"/>
        <v>0</v>
      </c>
      <c r="G24" s="68">
        <f t="shared" si="18"/>
        <v>0</v>
      </c>
      <c r="H24" s="68">
        <f t="shared" si="18"/>
        <v>0</v>
      </c>
      <c r="I24" s="68">
        <f t="shared" si="18"/>
        <v>0</v>
      </c>
      <c r="J24" s="68">
        <f t="shared" si="18"/>
        <v>0</v>
      </c>
      <c r="K24" s="68">
        <f t="shared" si="18"/>
        <v>0</v>
      </c>
      <c r="L24" s="68">
        <f t="shared" si="18"/>
        <v>0</v>
      </c>
      <c r="M24" s="68">
        <f t="shared" si="18"/>
        <v>0</v>
      </c>
      <c r="N24" s="69">
        <f t="shared" si="18"/>
        <v>0</v>
      </c>
      <c r="O24" s="68">
        <f t="shared" si="18"/>
        <v>0</v>
      </c>
      <c r="P24" s="68">
        <f t="shared" si="18"/>
        <v>0</v>
      </c>
      <c r="Q24" s="68">
        <f t="shared" si="18"/>
        <v>0</v>
      </c>
      <c r="R24" s="68">
        <f t="shared" si="18"/>
        <v>0</v>
      </c>
      <c r="S24" s="68">
        <f t="shared" si="18"/>
        <v>0</v>
      </c>
      <c r="T24" s="68">
        <f t="shared" si="18"/>
        <v>0</v>
      </c>
      <c r="U24" s="68">
        <f t="shared" si="18"/>
        <v>0</v>
      </c>
      <c r="V24" s="68">
        <f t="shared" si="18"/>
        <v>0</v>
      </c>
      <c r="W24" s="68">
        <f t="shared" si="18"/>
        <v>0</v>
      </c>
      <c r="X24" s="68">
        <f t="shared" si="18"/>
        <v>0</v>
      </c>
      <c r="Y24" s="68">
        <f t="shared" si="18"/>
        <v>0</v>
      </c>
      <c r="Z24" s="70">
        <f t="shared" si="18"/>
        <v>0</v>
      </c>
      <c r="AA24" s="68">
        <f t="shared" si="18"/>
        <v>0</v>
      </c>
      <c r="AB24" s="68">
        <f t="shared" si="18"/>
        <v>0</v>
      </c>
      <c r="AC24" s="68">
        <f t="shared" si="18"/>
        <v>0</v>
      </c>
      <c r="AD24" s="68">
        <f t="shared" si="18"/>
        <v>0</v>
      </c>
      <c r="AE24" s="68">
        <f t="shared" si="18"/>
        <v>0</v>
      </c>
      <c r="AF24" s="68">
        <f t="shared" si="18"/>
        <v>0</v>
      </c>
      <c r="AG24" s="68">
        <f t="shared" si="18"/>
        <v>0</v>
      </c>
      <c r="AH24" s="68">
        <f t="shared" si="18"/>
        <v>0</v>
      </c>
      <c r="AI24" s="68">
        <f t="shared" si="18"/>
        <v>0</v>
      </c>
      <c r="AJ24" s="68">
        <f t="shared" si="18"/>
        <v>0</v>
      </c>
      <c r="AK24" s="68">
        <f t="shared" si="18"/>
        <v>0</v>
      </c>
      <c r="AL24" s="69">
        <f t="shared" si="18"/>
        <v>0</v>
      </c>
      <c r="AM24" s="68">
        <f t="shared" si="18"/>
        <v>0</v>
      </c>
      <c r="AN24" s="68">
        <f t="shared" si="18"/>
        <v>0</v>
      </c>
      <c r="AO24" s="68">
        <f t="shared" si="18"/>
        <v>0</v>
      </c>
      <c r="AP24" s="68">
        <f t="shared" si="18"/>
        <v>0</v>
      </c>
      <c r="AQ24" s="68">
        <f t="shared" si="18"/>
        <v>0</v>
      </c>
      <c r="AR24" s="68">
        <f t="shared" si="18"/>
        <v>0</v>
      </c>
      <c r="AS24" s="68">
        <f t="shared" si="18"/>
        <v>0</v>
      </c>
      <c r="AT24" s="68">
        <f t="shared" si="18"/>
        <v>0</v>
      </c>
      <c r="AU24" s="68">
        <f t="shared" si="18"/>
        <v>0</v>
      </c>
      <c r="AV24" s="68">
        <f t="shared" si="18"/>
        <v>0</v>
      </c>
      <c r="AW24" s="68">
        <f t="shared" si="18"/>
        <v>0</v>
      </c>
      <c r="AX24" s="70">
        <f t="shared" si="18"/>
        <v>0</v>
      </c>
      <c r="AY24" s="68">
        <f t="shared" si="18"/>
        <v>0</v>
      </c>
      <c r="AZ24" s="68">
        <f t="shared" si="18"/>
        <v>0</v>
      </c>
      <c r="BA24" s="68">
        <f t="shared" si="18"/>
        <v>0</v>
      </c>
      <c r="BB24" s="68">
        <f t="shared" si="18"/>
        <v>0</v>
      </c>
      <c r="BC24" s="68">
        <f t="shared" si="18"/>
        <v>0</v>
      </c>
      <c r="BD24" s="68">
        <f t="shared" si="18"/>
        <v>0</v>
      </c>
      <c r="BE24" s="68">
        <f t="shared" si="18"/>
        <v>0</v>
      </c>
      <c r="BF24" s="68">
        <f t="shared" si="18"/>
        <v>0</v>
      </c>
      <c r="BG24" s="68">
        <f t="shared" si="18"/>
        <v>0</v>
      </c>
      <c r="BH24" s="68">
        <f t="shared" si="18"/>
        <v>0</v>
      </c>
      <c r="BI24" s="68">
        <f t="shared" si="18"/>
        <v>0</v>
      </c>
      <c r="BJ24" s="70">
        <f t="shared" si="18"/>
        <v>0</v>
      </c>
      <c r="BL24" s="120"/>
      <c r="BN24" s="56" t="s">
        <v>68</v>
      </c>
      <c r="BO24" s="68">
        <f t="shared" ref="BO24" si="19">SUM(BO25:BO28)</f>
        <v>0</v>
      </c>
      <c r="BP24" s="68">
        <f t="shared" ref="BP24:DV24" si="20">SUM(BP25:BP28)</f>
        <v>0</v>
      </c>
      <c r="BQ24" s="68">
        <f t="shared" si="20"/>
        <v>0</v>
      </c>
      <c r="BR24" s="68">
        <f t="shared" si="20"/>
        <v>0</v>
      </c>
      <c r="BS24" s="68">
        <f t="shared" si="20"/>
        <v>0</v>
      </c>
      <c r="BT24" s="68">
        <f t="shared" si="20"/>
        <v>0</v>
      </c>
      <c r="BU24" s="68">
        <f t="shared" si="20"/>
        <v>0</v>
      </c>
      <c r="BV24" s="68">
        <f t="shared" si="20"/>
        <v>0</v>
      </c>
      <c r="BW24" s="68">
        <f t="shared" si="20"/>
        <v>0</v>
      </c>
      <c r="BX24" s="68">
        <f t="shared" si="20"/>
        <v>0</v>
      </c>
      <c r="BY24" s="68">
        <f t="shared" si="20"/>
        <v>0</v>
      </c>
      <c r="BZ24" s="69">
        <f t="shared" si="20"/>
        <v>0</v>
      </c>
      <c r="CA24" s="68">
        <f t="shared" si="20"/>
        <v>0</v>
      </c>
      <c r="CB24" s="68">
        <f t="shared" si="20"/>
        <v>0</v>
      </c>
      <c r="CC24" s="68">
        <f t="shared" si="20"/>
        <v>0</v>
      </c>
      <c r="CD24" s="68">
        <f t="shared" si="20"/>
        <v>0</v>
      </c>
      <c r="CE24" s="68">
        <f t="shared" si="20"/>
        <v>0</v>
      </c>
      <c r="CF24" s="68">
        <f t="shared" si="20"/>
        <v>0</v>
      </c>
      <c r="CG24" s="68">
        <f t="shared" si="20"/>
        <v>0</v>
      </c>
      <c r="CH24" s="68">
        <f t="shared" si="20"/>
        <v>0</v>
      </c>
      <c r="CI24" s="68">
        <f t="shared" si="20"/>
        <v>0</v>
      </c>
      <c r="CJ24" s="68">
        <f t="shared" si="20"/>
        <v>0</v>
      </c>
      <c r="CK24" s="68">
        <f t="shared" si="20"/>
        <v>0</v>
      </c>
      <c r="CL24" s="70">
        <f t="shared" si="20"/>
        <v>0</v>
      </c>
      <c r="CM24" s="68">
        <f t="shared" si="20"/>
        <v>0</v>
      </c>
      <c r="CN24" s="68">
        <f t="shared" si="20"/>
        <v>0</v>
      </c>
      <c r="CO24" s="68">
        <f t="shared" si="20"/>
        <v>0</v>
      </c>
      <c r="CP24" s="68">
        <f t="shared" si="20"/>
        <v>0</v>
      </c>
      <c r="CQ24" s="68">
        <f t="shared" si="20"/>
        <v>0</v>
      </c>
      <c r="CR24" s="68">
        <f t="shared" si="20"/>
        <v>0</v>
      </c>
      <c r="CS24" s="68">
        <f t="shared" si="20"/>
        <v>0</v>
      </c>
      <c r="CT24" s="68">
        <f t="shared" si="20"/>
        <v>0</v>
      </c>
      <c r="CU24" s="68">
        <f t="shared" si="20"/>
        <v>0</v>
      </c>
      <c r="CV24" s="68">
        <f t="shared" si="20"/>
        <v>0</v>
      </c>
      <c r="CW24" s="68">
        <f t="shared" si="20"/>
        <v>0</v>
      </c>
      <c r="CX24" s="69">
        <f t="shared" si="20"/>
        <v>0</v>
      </c>
      <c r="CY24" s="68">
        <f t="shared" si="20"/>
        <v>0</v>
      </c>
      <c r="CZ24" s="68">
        <f t="shared" si="20"/>
        <v>0</v>
      </c>
      <c r="DA24" s="68">
        <f t="shared" si="20"/>
        <v>0</v>
      </c>
      <c r="DB24" s="68">
        <f t="shared" si="20"/>
        <v>0</v>
      </c>
      <c r="DC24" s="68">
        <f t="shared" si="20"/>
        <v>0</v>
      </c>
      <c r="DD24" s="68">
        <f t="shared" si="20"/>
        <v>0</v>
      </c>
      <c r="DE24" s="68">
        <f t="shared" si="20"/>
        <v>0</v>
      </c>
      <c r="DF24" s="68">
        <f t="shared" si="20"/>
        <v>0</v>
      </c>
      <c r="DG24" s="68">
        <f t="shared" si="20"/>
        <v>0</v>
      </c>
      <c r="DH24" s="68">
        <f t="shared" si="20"/>
        <v>0</v>
      </c>
      <c r="DI24" s="68">
        <f t="shared" si="20"/>
        <v>0</v>
      </c>
      <c r="DJ24" s="70">
        <f t="shared" si="20"/>
        <v>0</v>
      </c>
      <c r="DK24" s="68">
        <f t="shared" si="20"/>
        <v>0</v>
      </c>
      <c r="DL24" s="68">
        <f t="shared" si="20"/>
        <v>0</v>
      </c>
      <c r="DM24" s="68">
        <f t="shared" si="20"/>
        <v>0</v>
      </c>
      <c r="DN24" s="68">
        <f t="shared" si="20"/>
        <v>0</v>
      </c>
      <c r="DO24" s="68">
        <f t="shared" si="20"/>
        <v>0</v>
      </c>
      <c r="DP24" s="68">
        <f t="shared" si="20"/>
        <v>0</v>
      </c>
      <c r="DQ24" s="68">
        <f t="shared" si="20"/>
        <v>0</v>
      </c>
      <c r="DR24" s="68">
        <f t="shared" si="20"/>
        <v>0</v>
      </c>
      <c r="DS24" s="68">
        <f t="shared" si="20"/>
        <v>0</v>
      </c>
      <c r="DT24" s="68">
        <f t="shared" si="20"/>
        <v>0</v>
      </c>
      <c r="DU24" s="68">
        <f t="shared" si="20"/>
        <v>0</v>
      </c>
      <c r="DV24" s="70">
        <f t="shared" si="20"/>
        <v>0</v>
      </c>
      <c r="EB24" s="11"/>
    </row>
    <row r="25" spans="2:132" x14ac:dyDescent="0.25">
      <c r="B25" s="57" t="s">
        <v>44</v>
      </c>
      <c r="C25" s="53">
        <f>(SUMIFS(MtM!$M:$M,MtM!$I:$I,RESULTADO!$B25,MtM!$H:$H,RESULTADO!$B$24,MtM!$E:$E,RESULTADO!C$3)-SUMIFS(MtM!$N:$N,MtM!$I:$I,RESULTADO!$B25,MtM!$H:$H,RESULTADO!$B$24,MtM!$E:$E,RESULTADO!C$3))</f>
        <v>0</v>
      </c>
      <c r="D25" s="53">
        <f>(SUMIFS(MtM!$M:$M,MtM!$I:$I,RESULTADO!$B25,MtM!$H:$H,RESULTADO!$B$24,MtM!$E:$E,RESULTADO!D$3)-SUMIFS(MtM!$N:$N,MtM!$I:$I,RESULTADO!$B25,MtM!$H:$H,RESULTADO!$B$24,MtM!$E:$E,RESULTADO!D$3))</f>
        <v>0</v>
      </c>
      <c r="E25" s="53">
        <f>(SUMIFS(MtM!$M:$M,MtM!$I:$I,RESULTADO!$B25,MtM!$H:$H,RESULTADO!$B$24,MtM!$E:$E,RESULTADO!E$3)-SUMIFS(MtM!$N:$N,MtM!$I:$I,RESULTADO!$B25,MtM!$H:$H,RESULTADO!$B$24,MtM!$E:$E,RESULTADO!E$3))</f>
        <v>0</v>
      </c>
      <c r="F25" s="53">
        <f>(SUMIFS(MtM!$M:$M,MtM!$I:$I,RESULTADO!$B25,MtM!$H:$H,RESULTADO!$B$24,MtM!$E:$E,RESULTADO!F$3)-SUMIFS(MtM!$N:$N,MtM!$I:$I,RESULTADO!$B25,MtM!$H:$H,RESULTADO!$B$24,MtM!$E:$E,RESULTADO!F$3))</f>
        <v>0</v>
      </c>
      <c r="G25" s="53">
        <f>(SUMIFS(MtM!$M:$M,MtM!$I:$I,RESULTADO!$B25,MtM!$H:$H,RESULTADO!$B$24,MtM!$E:$E,RESULTADO!G$3)-SUMIFS(MtM!$N:$N,MtM!$I:$I,RESULTADO!$B25,MtM!$H:$H,RESULTADO!$B$24,MtM!$E:$E,RESULTADO!G$3))</f>
        <v>0</v>
      </c>
      <c r="H25" s="53">
        <f>(SUMIFS(MtM!$M:$M,MtM!$I:$I,RESULTADO!$B25,MtM!$H:$H,RESULTADO!$B$24,MtM!$E:$E,RESULTADO!H$3)-SUMIFS(MtM!$N:$N,MtM!$I:$I,RESULTADO!$B25,MtM!$H:$H,RESULTADO!$B$24,MtM!$E:$E,RESULTADO!H$3))</f>
        <v>0</v>
      </c>
      <c r="I25" s="53">
        <f>(SUMIFS(MtM!$M:$M,MtM!$I:$I,RESULTADO!$B25,MtM!$H:$H,RESULTADO!$B$24,MtM!$E:$E,RESULTADO!I$3)-SUMIFS(MtM!$N:$N,MtM!$I:$I,RESULTADO!$B25,MtM!$H:$H,RESULTADO!$B$24,MtM!$E:$E,RESULTADO!I$3))</f>
        <v>0</v>
      </c>
      <c r="J25" s="53">
        <f>(SUMIFS(MtM!$M:$M,MtM!$I:$I,RESULTADO!$B25,MtM!$H:$H,RESULTADO!$B$24,MtM!$E:$E,RESULTADO!J$3)-SUMIFS(MtM!$N:$N,MtM!$I:$I,RESULTADO!$B25,MtM!$H:$H,RESULTADO!$B$24,MtM!$E:$E,RESULTADO!J$3))</f>
        <v>0</v>
      </c>
      <c r="K25" s="53">
        <f>(SUMIFS(MtM!$M:$M,MtM!$I:$I,RESULTADO!$B25,MtM!$H:$H,RESULTADO!$B$24,MtM!$E:$E,RESULTADO!K$3)-SUMIFS(MtM!$N:$N,MtM!$I:$I,RESULTADO!$B25,MtM!$H:$H,RESULTADO!$B$24,MtM!$E:$E,RESULTADO!K$3))</f>
        <v>0</v>
      </c>
      <c r="L25" s="53">
        <f>(SUMIFS(MtM!$M:$M,MtM!$I:$I,RESULTADO!$B25,MtM!$H:$H,RESULTADO!$B$24,MtM!$E:$E,RESULTADO!L$3)-SUMIFS(MtM!$N:$N,MtM!$I:$I,RESULTADO!$B25,MtM!$H:$H,RESULTADO!$B$24,MtM!$E:$E,RESULTADO!L$3))</f>
        <v>0</v>
      </c>
      <c r="M25" s="53">
        <f>(SUMIFS(MtM!$M:$M,MtM!$I:$I,RESULTADO!$B25,MtM!$H:$H,RESULTADO!$B$24,MtM!$E:$E,RESULTADO!M$3)-SUMIFS(MtM!$N:$N,MtM!$I:$I,RESULTADO!$B25,MtM!$H:$H,RESULTADO!$B$24,MtM!$E:$E,RESULTADO!M$3))</f>
        <v>0</v>
      </c>
      <c r="N25" s="54">
        <f>(SUMIFS(MtM!$M:$M,MtM!$I:$I,RESULTADO!$B25,MtM!$H:$H,RESULTADO!$B$24,MtM!$E:$E,RESULTADO!N$3)-SUMIFS(MtM!$N:$N,MtM!$I:$I,RESULTADO!$B25,MtM!$H:$H,RESULTADO!$B$24,MtM!$E:$E,RESULTADO!N$3))</f>
        <v>0</v>
      </c>
      <c r="O25" s="53">
        <f>(SUMIFS(MtM!$M:$M,MtM!$I:$I,RESULTADO!$B25,MtM!$H:$H,RESULTADO!$B$24,MtM!$E:$E,RESULTADO!O$3)-SUMIFS(MtM!$N:$N,MtM!$I:$I,RESULTADO!$B25,MtM!$H:$H,RESULTADO!$B$24,MtM!$E:$E,RESULTADO!O$3))</f>
        <v>0</v>
      </c>
      <c r="P25" s="53">
        <f>(SUMIFS(MtM!$M:$M,MtM!$I:$I,RESULTADO!$B25,MtM!$H:$H,RESULTADO!$B$24,MtM!$E:$E,RESULTADO!P$3)-SUMIFS(MtM!$N:$N,MtM!$I:$I,RESULTADO!$B25,MtM!$H:$H,RESULTADO!$B$24,MtM!$E:$E,RESULTADO!P$3))</f>
        <v>0</v>
      </c>
      <c r="Q25" s="53">
        <f>(SUMIFS(MtM!$M:$M,MtM!$I:$I,RESULTADO!$B25,MtM!$H:$H,RESULTADO!$B$24,MtM!$E:$E,RESULTADO!Q$3)-SUMIFS(MtM!$N:$N,MtM!$I:$I,RESULTADO!$B25,MtM!$H:$H,RESULTADO!$B$24,MtM!$E:$E,RESULTADO!Q$3))</f>
        <v>0</v>
      </c>
      <c r="R25" s="53">
        <f>(SUMIFS(MtM!$M:$M,MtM!$I:$I,RESULTADO!$B25,MtM!$H:$H,RESULTADO!$B$24,MtM!$E:$E,RESULTADO!R$3)-SUMIFS(MtM!$N:$N,MtM!$I:$I,RESULTADO!$B25,MtM!$H:$H,RESULTADO!$B$24,MtM!$E:$E,RESULTADO!R$3))</f>
        <v>0</v>
      </c>
      <c r="S25" s="53">
        <f>(SUMIFS(MtM!$M:$M,MtM!$I:$I,RESULTADO!$B25,MtM!$H:$H,RESULTADO!$B$24,MtM!$E:$E,RESULTADO!S$3)-SUMIFS(MtM!$N:$N,MtM!$I:$I,RESULTADO!$B25,MtM!$H:$H,RESULTADO!$B$24,MtM!$E:$E,RESULTADO!S$3))</f>
        <v>0</v>
      </c>
      <c r="T25" s="53">
        <f>(SUMIFS(MtM!$M:$M,MtM!$I:$I,RESULTADO!$B25,MtM!$H:$H,RESULTADO!$B$24,MtM!$E:$E,RESULTADO!T$3)-SUMIFS(MtM!$N:$N,MtM!$I:$I,RESULTADO!$B25,MtM!$H:$H,RESULTADO!$B$24,MtM!$E:$E,RESULTADO!T$3))</f>
        <v>0</v>
      </c>
      <c r="U25" s="53">
        <f>(SUMIFS(MtM!$M:$M,MtM!$I:$I,RESULTADO!$B25,MtM!$H:$H,RESULTADO!$B$24,MtM!$E:$E,RESULTADO!U$3)-SUMIFS(MtM!$N:$N,MtM!$I:$I,RESULTADO!$B25,MtM!$H:$H,RESULTADO!$B$24,MtM!$E:$E,RESULTADO!U$3))</f>
        <v>0</v>
      </c>
      <c r="V25" s="53">
        <f>(SUMIFS(MtM!$M:$M,MtM!$I:$I,RESULTADO!$B25,MtM!$H:$H,RESULTADO!$B$24,MtM!$E:$E,RESULTADO!V$3)-SUMIFS(MtM!$N:$N,MtM!$I:$I,RESULTADO!$B25,MtM!$H:$H,RESULTADO!$B$24,MtM!$E:$E,RESULTADO!V$3))</f>
        <v>0</v>
      </c>
      <c r="W25" s="53">
        <f>(SUMIFS(MtM!$M:$M,MtM!$I:$I,RESULTADO!$B25,MtM!$H:$H,RESULTADO!$B$24,MtM!$E:$E,RESULTADO!W$3)-SUMIFS(MtM!$N:$N,MtM!$I:$I,RESULTADO!$B25,MtM!$H:$H,RESULTADO!$B$24,MtM!$E:$E,RESULTADO!W$3))</f>
        <v>0</v>
      </c>
      <c r="X25" s="53">
        <f>(SUMIFS(MtM!$M:$M,MtM!$I:$I,RESULTADO!$B25,MtM!$H:$H,RESULTADO!$B$24,MtM!$E:$E,RESULTADO!X$3)-SUMIFS(MtM!$N:$N,MtM!$I:$I,RESULTADO!$B25,MtM!$H:$H,RESULTADO!$B$24,MtM!$E:$E,RESULTADO!X$3))</f>
        <v>0</v>
      </c>
      <c r="Y25" s="53">
        <f>(SUMIFS(MtM!$M:$M,MtM!$I:$I,RESULTADO!$B25,MtM!$H:$H,RESULTADO!$B$24,MtM!$E:$E,RESULTADO!Y$3)-SUMIFS(MtM!$N:$N,MtM!$I:$I,RESULTADO!$B25,MtM!$H:$H,RESULTADO!$B$24,MtM!$E:$E,RESULTADO!Y$3))</f>
        <v>0</v>
      </c>
      <c r="Z25" s="63">
        <f>(SUMIFS(MtM!$M:$M,MtM!$I:$I,RESULTADO!$B25,MtM!$H:$H,RESULTADO!$B$24,MtM!$E:$E,RESULTADO!Z$3)-SUMIFS(MtM!$N:$N,MtM!$I:$I,RESULTADO!$B25,MtM!$H:$H,RESULTADO!$B$24,MtM!$E:$E,RESULTADO!Z$3))</f>
        <v>0</v>
      </c>
      <c r="AA25" s="53">
        <f>(SUMIFS(MtM!$M:$M,MtM!$I:$I,RESULTADO!$B25,MtM!$H:$H,RESULTADO!$B$24,MtM!$E:$E,RESULTADO!AA$3)-SUMIFS(MtM!$N:$N,MtM!$I:$I,RESULTADO!$B25,MtM!$H:$H,RESULTADO!$B$24,MtM!$E:$E,RESULTADO!AA$3))</f>
        <v>0</v>
      </c>
      <c r="AB25" s="53">
        <f>(SUMIFS(MtM!$M:$M,MtM!$I:$I,RESULTADO!$B25,MtM!$H:$H,RESULTADO!$B$24,MtM!$E:$E,RESULTADO!AB$3)-SUMIFS(MtM!$N:$N,MtM!$I:$I,RESULTADO!$B25,MtM!$H:$H,RESULTADO!$B$24,MtM!$E:$E,RESULTADO!AB$3))</f>
        <v>0</v>
      </c>
      <c r="AC25" s="53">
        <f>(SUMIFS(MtM!$M:$M,MtM!$I:$I,RESULTADO!$B25,MtM!$H:$H,RESULTADO!$B$24,MtM!$E:$E,RESULTADO!AC$3)-SUMIFS(MtM!$N:$N,MtM!$I:$I,RESULTADO!$B25,MtM!$H:$H,RESULTADO!$B$24,MtM!$E:$E,RESULTADO!AC$3))</f>
        <v>0</v>
      </c>
      <c r="AD25" s="53">
        <f>(SUMIFS(MtM!$M:$M,MtM!$I:$I,RESULTADO!$B25,MtM!$H:$H,RESULTADO!$B$24,MtM!$E:$E,RESULTADO!AD$3)-SUMIFS(MtM!$N:$N,MtM!$I:$I,RESULTADO!$B25,MtM!$H:$H,RESULTADO!$B$24,MtM!$E:$E,RESULTADO!AD$3))</f>
        <v>0</v>
      </c>
      <c r="AE25" s="53">
        <f>(SUMIFS(MtM!$M:$M,MtM!$I:$I,RESULTADO!$B25,MtM!$H:$H,RESULTADO!$B$24,MtM!$E:$E,RESULTADO!AE$3)-SUMIFS(MtM!$N:$N,MtM!$I:$I,RESULTADO!$B25,MtM!$H:$H,RESULTADO!$B$24,MtM!$E:$E,RESULTADO!AE$3))</f>
        <v>0</v>
      </c>
      <c r="AF25" s="53">
        <f>(SUMIFS(MtM!$M:$M,MtM!$I:$I,RESULTADO!$B25,MtM!$H:$H,RESULTADO!$B$24,MtM!$E:$E,RESULTADO!AF$3)-SUMIFS(MtM!$N:$N,MtM!$I:$I,RESULTADO!$B25,MtM!$H:$H,RESULTADO!$B$24,MtM!$E:$E,RESULTADO!AF$3))</f>
        <v>0</v>
      </c>
      <c r="AG25" s="53">
        <f>(SUMIFS(MtM!$M:$M,MtM!$I:$I,RESULTADO!$B25,MtM!$H:$H,RESULTADO!$B$24,MtM!$E:$E,RESULTADO!AG$3)-SUMIFS(MtM!$N:$N,MtM!$I:$I,RESULTADO!$B25,MtM!$H:$H,RESULTADO!$B$24,MtM!$E:$E,RESULTADO!AG$3))</f>
        <v>0</v>
      </c>
      <c r="AH25" s="53">
        <f>(SUMIFS(MtM!$M:$M,MtM!$I:$I,RESULTADO!$B25,MtM!$H:$H,RESULTADO!$B$24,MtM!$E:$E,RESULTADO!AH$3)-SUMIFS(MtM!$N:$N,MtM!$I:$I,RESULTADO!$B25,MtM!$H:$H,RESULTADO!$B$24,MtM!$E:$E,RESULTADO!AH$3))</f>
        <v>0</v>
      </c>
      <c r="AI25" s="53">
        <f>(SUMIFS(MtM!$M:$M,MtM!$I:$I,RESULTADO!$B25,MtM!$H:$H,RESULTADO!$B$24,MtM!$E:$E,RESULTADO!AI$3)-SUMIFS(MtM!$N:$N,MtM!$I:$I,RESULTADO!$B25,MtM!$H:$H,RESULTADO!$B$24,MtM!$E:$E,RESULTADO!AI$3))</f>
        <v>0</v>
      </c>
      <c r="AJ25" s="53">
        <f>(SUMIFS(MtM!$M:$M,MtM!$I:$I,RESULTADO!$B25,MtM!$H:$H,RESULTADO!$B$24,MtM!$E:$E,RESULTADO!AJ$3)-SUMIFS(MtM!$N:$N,MtM!$I:$I,RESULTADO!$B25,MtM!$H:$H,RESULTADO!$B$24,MtM!$E:$E,RESULTADO!AJ$3))</f>
        <v>0</v>
      </c>
      <c r="AK25" s="53">
        <f>(SUMIFS(MtM!$M:$M,MtM!$I:$I,RESULTADO!$B25,MtM!$H:$H,RESULTADO!$B$24,MtM!$E:$E,RESULTADO!AK$3)-SUMIFS(MtM!$N:$N,MtM!$I:$I,RESULTADO!$B25,MtM!$H:$H,RESULTADO!$B$24,MtM!$E:$E,RESULTADO!AK$3))</f>
        <v>0</v>
      </c>
      <c r="AL25" s="54">
        <f>(SUMIFS(MtM!$M:$M,MtM!$I:$I,RESULTADO!$B25,MtM!$H:$H,RESULTADO!$B$24,MtM!$E:$E,RESULTADO!AL$3)-SUMIFS(MtM!$N:$N,MtM!$I:$I,RESULTADO!$B25,MtM!$H:$H,RESULTADO!$B$24,MtM!$E:$E,RESULTADO!AL$3))</f>
        <v>0</v>
      </c>
      <c r="AM25" s="53">
        <f>(SUMIFS(MtM!$M:$M,MtM!$I:$I,RESULTADO!$B25,MtM!$H:$H,RESULTADO!$B$24,MtM!$E:$E,RESULTADO!AM$3)-SUMIFS(MtM!$N:$N,MtM!$I:$I,RESULTADO!$B25,MtM!$H:$H,RESULTADO!$B$24,MtM!$E:$E,RESULTADO!AM$3))</f>
        <v>0</v>
      </c>
      <c r="AN25" s="53">
        <f>(SUMIFS(MtM!$M:$M,MtM!$I:$I,RESULTADO!$B25,MtM!$H:$H,RESULTADO!$B$24,MtM!$E:$E,RESULTADO!AN$3)-SUMIFS(MtM!$N:$N,MtM!$I:$I,RESULTADO!$B25,MtM!$H:$H,RESULTADO!$B$24,MtM!$E:$E,RESULTADO!AN$3))</f>
        <v>0</v>
      </c>
      <c r="AO25" s="53">
        <f>(SUMIFS(MtM!$M:$M,MtM!$I:$I,RESULTADO!$B25,MtM!$H:$H,RESULTADO!$B$24,MtM!$E:$E,RESULTADO!AO$3)-SUMIFS(MtM!$N:$N,MtM!$I:$I,RESULTADO!$B25,MtM!$H:$H,RESULTADO!$B$24,MtM!$E:$E,RESULTADO!AO$3))</f>
        <v>0</v>
      </c>
      <c r="AP25" s="53">
        <f>(SUMIFS(MtM!$M:$M,MtM!$I:$I,RESULTADO!$B25,MtM!$H:$H,RESULTADO!$B$24,MtM!$E:$E,RESULTADO!AP$3)-SUMIFS(MtM!$N:$N,MtM!$I:$I,RESULTADO!$B25,MtM!$H:$H,RESULTADO!$B$24,MtM!$E:$E,RESULTADO!AP$3))</f>
        <v>0</v>
      </c>
      <c r="AQ25" s="53">
        <f>(SUMIFS(MtM!$M:$M,MtM!$I:$I,RESULTADO!$B25,MtM!$H:$H,RESULTADO!$B$24,MtM!$E:$E,RESULTADO!AQ$3)-SUMIFS(MtM!$N:$N,MtM!$I:$I,RESULTADO!$B25,MtM!$H:$H,RESULTADO!$B$24,MtM!$E:$E,RESULTADO!AQ$3))</f>
        <v>0</v>
      </c>
      <c r="AR25" s="53">
        <f>(SUMIFS(MtM!$M:$M,MtM!$I:$I,RESULTADO!$B25,MtM!$H:$H,RESULTADO!$B$24,MtM!$E:$E,RESULTADO!AR$3)-SUMIFS(MtM!$N:$N,MtM!$I:$I,RESULTADO!$B25,MtM!$H:$H,RESULTADO!$B$24,MtM!$E:$E,RESULTADO!AR$3))</f>
        <v>0</v>
      </c>
      <c r="AS25" s="53">
        <f>(SUMIFS(MtM!$M:$M,MtM!$I:$I,RESULTADO!$B25,MtM!$H:$H,RESULTADO!$B$24,MtM!$E:$E,RESULTADO!AS$3)-SUMIFS(MtM!$N:$N,MtM!$I:$I,RESULTADO!$B25,MtM!$H:$H,RESULTADO!$B$24,MtM!$E:$E,RESULTADO!AS$3))</f>
        <v>0</v>
      </c>
      <c r="AT25" s="53">
        <f>(SUMIFS(MtM!$M:$M,MtM!$I:$I,RESULTADO!$B25,MtM!$H:$H,RESULTADO!$B$24,MtM!$E:$E,RESULTADO!AT$3)-SUMIFS(MtM!$N:$N,MtM!$I:$I,RESULTADO!$B25,MtM!$H:$H,RESULTADO!$B$24,MtM!$E:$E,RESULTADO!AT$3))</f>
        <v>0</v>
      </c>
      <c r="AU25" s="53">
        <f>(SUMIFS(MtM!$M:$M,MtM!$I:$I,RESULTADO!$B25,MtM!$H:$H,RESULTADO!$B$24,MtM!$E:$E,RESULTADO!AU$3)-SUMIFS(MtM!$N:$N,MtM!$I:$I,RESULTADO!$B25,MtM!$H:$H,RESULTADO!$B$24,MtM!$E:$E,RESULTADO!AU$3))</f>
        <v>0</v>
      </c>
      <c r="AV25" s="53">
        <f>(SUMIFS(MtM!$M:$M,MtM!$I:$I,RESULTADO!$B25,MtM!$H:$H,RESULTADO!$B$24,MtM!$E:$E,RESULTADO!AV$3)-SUMIFS(MtM!$N:$N,MtM!$I:$I,RESULTADO!$B25,MtM!$H:$H,RESULTADO!$B$24,MtM!$E:$E,RESULTADO!AV$3))</f>
        <v>0</v>
      </c>
      <c r="AW25" s="53">
        <f>(SUMIFS(MtM!$M:$M,MtM!$I:$I,RESULTADO!$B25,MtM!$H:$H,RESULTADO!$B$24,MtM!$E:$E,RESULTADO!AW$3)-SUMIFS(MtM!$N:$N,MtM!$I:$I,RESULTADO!$B25,MtM!$H:$H,RESULTADO!$B$24,MtM!$E:$E,RESULTADO!AW$3))</f>
        <v>0</v>
      </c>
      <c r="AX25" s="63">
        <f>(SUMIFS(MtM!$M:$M,MtM!$I:$I,RESULTADO!$B25,MtM!$H:$H,RESULTADO!$B$24,MtM!$E:$E,RESULTADO!AX$3)-SUMIFS(MtM!$N:$N,MtM!$I:$I,RESULTADO!$B25,MtM!$H:$H,RESULTADO!$B$24,MtM!$E:$E,RESULTADO!AX$3))</f>
        <v>0</v>
      </c>
      <c r="AY25" s="53">
        <f>(SUMIFS(MtM!$M:$M,MtM!$I:$I,RESULTADO!$B25,MtM!$H:$H,RESULTADO!$B$24,MtM!$E:$E,RESULTADO!AY$3)-SUMIFS(MtM!$N:$N,MtM!$I:$I,RESULTADO!$B25,MtM!$H:$H,RESULTADO!$B$24,MtM!$E:$E,RESULTADO!AY$3))</f>
        <v>0</v>
      </c>
      <c r="AZ25" s="53">
        <f>(SUMIFS(MtM!$M:$M,MtM!$I:$I,RESULTADO!$B25,MtM!$H:$H,RESULTADO!$B$24,MtM!$E:$E,RESULTADO!AZ$3)-SUMIFS(MtM!$N:$N,MtM!$I:$I,RESULTADO!$B25,MtM!$H:$H,RESULTADO!$B$24,MtM!$E:$E,RESULTADO!AZ$3))</f>
        <v>0</v>
      </c>
      <c r="BA25" s="53">
        <f>(SUMIFS(MtM!$M:$M,MtM!$I:$I,RESULTADO!$B25,MtM!$H:$H,RESULTADO!$B$24,MtM!$E:$E,RESULTADO!BA$3)-SUMIFS(MtM!$N:$N,MtM!$I:$I,RESULTADO!$B25,MtM!$H:$H,RESULTADO!$B$24,MtM!$E:$E,RESULTADO!BA$3))</f>
        <v>0</v>
      </c>
      <c r="BB25" s="53">
        <f>(SUMIFS(MtM!$M:$M,MtM!$I:$I,RESULTADO!$B25,MtM!$H:$H,RESULTADO!$B$24,MtM!$E:$E,RESULTADO!BB$3)-SUMIFS(MtM!$N:$N,MtM!$I:$I,RESULTADO!$B25,MtM!$H:$H,RESULTADO!$B$24,MtM!$E:$E,RESULTADO!BB$3))</f>
        <v>0</v>
      </c>
      <c r="BC25" s="53">
        <f>(SUMIFS(MtM!$M:$M,MtM!$I:$I,RESULTADO!$B25,MtM!$H:$H,RESULTADO!$B$24,MtM!$E:$E,RESULTADO!BC$3)-SUMIFS(MtM!$N:$N,MtM!$I:$I,RESULTADO!$B25,MtM!$H:$H,RESULTADO!$B$24,MtM!$E:$E,RESULTADO!BC$3))</f>
        <v>0</v>
      </c>
      <c r="BD25" s="53">
        <f>(SUMIFS(MtM!$M:$M,MtM!$I:$I,RESULTADO!$B25,MtM!$H:$H,RESULTADO!$B$24,MtM!$E:$E,RESULTADO!BD$3)-SUMIFS(MtM!$N:$N,MtM!$I:$I,RESULTADO!$B25,MtM!$H:$H,RESULTADO!$B$24,MtM!$E:$E,RESULTADO!BD$3))</f>
        <v>0</v>
      </c>
      <c r="BE25" s="53">
        <f>(SUMIFS(MtM!$M:$M,MtM!$I:$I,RESULTADO!$B25,MtM!$H:$H,RESULTADO!$B$24,MtM!$E:$E,RESULTADO!BE$3)-SUMIFS(MtM!$N:$N,MtM!$I:$I,RESULTADO!$B25,MtM!$H:$H,RESULTADO!$B$24,MtM!$E:$E,RESULTADO!BE$3))</f>
        <v>0</v>
      </c>
      <c r="BF25" s="53">
        <f>(SUMIFS(MtM!$M:$M,MtM!$I:$I,RESULTADO!$B25,MtM!$H:$H,RESULTADO!$B$24,MtM!$E:$E,RESULTADO!BF$3)-SUMIFS(MtM!$N:$N,MtM!$I:$I,RESULTADO!$B25,MtM!$H:$H,RESULTADO!$B$24,MtM!$E:$E,RESULTADO!BF$3))</f>
        <v>0</v>
      </c>
      <c r="BG25" s="53">
        <f>(SUMIFS(MtM!$M:$M,MtM!$I:$I,RESULTADO!$B25,MtM!$H:$H,RESULTADO!$B$24,MtM!$E:$E,RESULTADO!BG$3)-SUMIFS(MtM!$N:$N,MtM!$I:$I,RESULTADO!$B25,MtM!$H:$H,RESULTADO!$B$24,MtM!$E:$E,RESULTADO!BG$3))</f>
        <v>0</v>
      </c>
      <c r="BH25" s="53">
        <f>(SUMIFS(MtM!$M:$M,MtM!$I:$I,RESULTADO!$B25,MtM!$H:$H,RESULTADO!$B$24,MtM!$E:$E,RESULTADO!BH$3)-SUMIFS(MtM!$N:$N,MtM!$I:$I,RESULTADO!$B25,MtM!$H:$H,RESULTADO!$B$24,MtM!$E:$E,RESULTADO!BH$3))</f>
        <v>0</v>
      </c>
      <c r="BI25" s="53">
        <f>(SUMIFS(MtM!$M:$M,MtM!$I:$I,RESULTADO!$B25,MtM!$H:$H,RESULTADO!$B$24,MtM!$E:$E,RESULTADO!BI$3)-SUMIFS(MtM!$N:$N,MtM!$I:$I,RESULTADO!$B25,MtM!$H:$H,RESULTADO!$B$24,MtM!$E:$E,RESULTADO!BI$3))</f>
        <v>0</v>
      </c>
      <c r="BJ25" s="63">
        <f>(SUMIFS(MtM!$M:$M,MtM!$I:$I,RESULTADO!$B25,MtM!$H:$H,RESULTADO!$B$24,MtM!$E:$E,RESULTADO!BJ$3)-SUMIFS(MtM!$N:$N,MtM!$I:$I,RESULTADO!$B25,MtM!$H:$H,RESULTADO!$B$24,MtM!$E:$E,RESULTADO!BJ$3))</f>
        <v>0</v>
      </c>
      <c r="BL25" s="120"/>
      <c r="BN25" s="57" t="s">
        <v>44</v>
      </c>
      <c r="BO25" s="53">
        <f>SUMIFS('MtM Releases'!$H:$H,'MtM Releases'!$G:$G,RESULTADO!$BN25,'MtM Releases'!$F:$F,RESULTADO!$BN24,'MtM Releases'!$D:$D,RESULTADO!BO$3)</f>
        <v>0</v>
      </c>
      <c r="BP25" s="53">
        <f>SUMIFS('MtM Releases'!$H:$H,'MtM Releases'!$G:$G,RESULTADO!$BN25,'MtM Releases'!$F:$F,RESULTADO!$BN24,'MtM Releases'!$D:$D,RESULTADO!BP$3)</f>
        <v>0</v>
      </c>
      <c r="BQ25" s="53">
        <f>SUMIFS('MtM Releases'!$H:$H,'MtM Releases'!$G:$G,RESULTADO!$BN25,'MtM Releases'!$F:$F,RESULTADO!$BN24,'MtM Releases'!$D:$D,RESULTADO!BQ$3)</f>
        <v>0</v>
      </c>
      <c r="BR25" s="53">
        <f>SUMIFS('MtM Releases'!$H:$H,'MtM Releases'!$G:$G,RESULTADO!$BN25,'MtM Releases'!$F:$F,RESULTADO!$BN24,'MtM Releases'!$D:$D,RESULTADO!BR$3)</f>
        <v>0</v>
      </c>
      <c r="BS25" s="53">
        <f>SUMIFS('MtM Releases'!$H:$H,'MtM Releases'!$G:$G,RESULTADO!$BN25,'MtM Releases'!$F:$F,RESULTADO!$BN24,'MtM Releases'!$D:$D,RESULTADO!BS$3)</f>
        <v>0</v>
      </c>
      <c r="BT25" s="53">
        <f>SUMIFS('MtM Releases'!$H:$H,'MtM Releases'!$G:$G,RESULTADO!$BN25,'MtM Releases'!$F:$F,RESULTADO!$BN24,'MtM Releases'!$D:$D,RESULTADO!BT$3)</f>
        <v>0</v>
      </c>
      <c r="BU25" s="53">
        <f>SUMIFS('MtM Releases'!$H:$H,'MtM Releases'!$G:$G,RESULTADO!$BN25,'MtM Releases'!$F:$F,RESULTADO!$BN24,'MtM Releases'!$D:$D,RESULTADO!BU$3)</f>
        <v>0</v>
      </c>
      <c r="BV25" s="53">
        <f>SUMIFS('MtM Releases'!$H:$H,'MtM Releases'!$G:$G,RESULTADO!$BN25,'MtM Releases'!$F:$F,RESULTADO!$BN24,'MtM Releases'!$D:$D,RESULTADO!BV$3)</f>
        <v>0</v>
      </c>
      <c r="BW25" s="53">
        <f>SUMIFS('MtM Releases'!$H:$H,'MtM Releases'!$G:$G,RESULTADO!$BN25,'MtM Releases'!$F:$F,RESULTADO!$BN24,'MtM Releases'!$D:$D,RESULTADO!BW$3)</f>
        <v>0</v>
      </c>
      <c r="BX25" s="53">
        <f>SUMIFS('MtM Releases'!$H:$H,'MtM Releases'!$G:$G,RESULTADO!$BN25,'MtM Releases'!$F:$F,RESULTADO!$BN24,'MtM Releases'!$D:$D,RESULTADO!BX$3)</f>
        <v>0</v>
      </c>
      <c r="BY25" s="53">
        <f>SUMIFS('MtM Releases'!$H:$H,'MtM Releases'!$G:$G,RESULTADO!$BN25,'MtM Releases'!$F:$F,RESULTADO!$BN24,'MtM Releases'!$D:$D,RESULTADO!BY$3)</f>
        <v>0</v>
      </c>
      <c r="BZ25" s="54">
        <f>SUMIFS('MtM Releases'!$H:$H,'MtM Releases'!$G:$G,RESULTADO!$BN25,'MtM Releases'!$F:$F,RESULTADO!$BN24,'MtM Releases'!$D:$D,RESULTADO!BZ$3)</f>
        <v>0</v>
      </c>
      <c r="CA25" s="53">
        <f>SUMIFS('MtM Releases'!$H:$H,'MtM Releases'!$G:$G,RESULTADO!$BN25,'MtM Releases'!$F:$F,RESULTADO!$BN24,'MtM Releases'!$D:$D,RESULTADO!CA$3)</f>
        <v>0</v>
      </c>
      <c r="CB25" s="53">
        <f>SUMIFS('MtM Releases'!$H:$H,'MtM Releases'!$G:$G,RESULTADO!$BN25,'MtM Releases'!$F:$F,RESULTADO!$BN24,'MtM Releases'!$D:$D,RESULTADO!CB$3)</f>
        <v>0</v>
      </c>
      <c r="CC25" s="53">
        <f>SUMIFS('MtM Releases'!$H:$H,'MtM Releases'!$G:$G,RESULTADO!$BN25,'MtM Releases'!$F:$F,RESULTADO!$BN24,'MtM Releases'!$D:$D,RESULTADO!CC$3)</f>
        <v>0</v>
      </c>
      <c r="CD25" s="53">
        <f>SUMIFS('MtM Releases'!$H:$H,'MtM Releases'!$G:$G,RESULTADO!$BN25,'MtM Releases'!$F:$F,RESULTADO!$BN24,'MtM Releases'!$D:$D,RESULTADO!CD$3)</f>
        <v>0</v>
      </c>
      <c r="CE25" s="53">
        <f>SUMIFS('MtM Releases'!$H:$H,'MtM Releases'!$G:$G,RESULTADO!$BN25,'MtM Releases'!$F:$F,RESULTADO!$BN24,'MtM Releases'!$D:$D,RESULTADO!CE$3)</f>
        <v>0</v>
      </c>
      <c r="CF25" s="53">
        <f>SUMIFS('MtM Releases'!$H:$H,'MtM Releases'!$G:$G,RESULTADO!$BN25,'MtM Releases'!$F:$F,RESULTADO!$BN24,'MtM Releases'!$D:$D,RESULTADO!CF$3)</f>
        <v>0</v>
      </c>
      <c r="CG25" s="53">
        <f>SUMIFS('MtM Releases'!$H:$H,'MtM Releases'!$G:$G,RESULTADO!$BN25,'MtM Releases'!$F:$F,RESULTADO!$BN24,'MtM Releases'!$D:$D,RESULTADO!CG$3)</f>
        <v>0</v>
      </c>
      <c r="CH25" s="53">
        <f>SUMIFS('MtM Releases'!$H:$H,'MtM Releases'!$G:$G,RESULTADO!$BN25,'MtM Releases'!$F:$F,RESULTADO!$BN24,'MtM Releases'!$D:$D,RESULTADO!CH$3)</f>
        <v>0</v>
      </c>
      <c r="CI25" s="53">
        <f>SUMIFS('MtM Releases'!$H:$H,'MtM Releases'!$G:$G,RESULTADO!$BN25,'MtM Releases'!$F:$F,RESULTADO!$BN24,'MtM Releases'!$D:$D,RESULTADO!CI$3)</f>
        <v>0</v>
      </c>
      <c r="CJ25" s="53">
        <f>SUMIFS('MtM Releases'!$H:$H,'MtM Releases'!$G:$G,RESULTADO!$BN25,'MtM Releases'!$F:$F,RESULTADO!$BN24,'MtM Releases'!$D:$D,RESULTADO!CJ$3)</f>
        <v>0</v>
      </c>
      <c r="CK25" s="53">
        <f>SUMIFS('MtM Releases'!$H:$H,'MtM Releases'!$G:$G,RESULTADO!$BN25,'MtM Releases'!$F:$F,RESULTADO!$BN24,'MtM Releases'!$D:$D,RESULTADO!CK$3)</f>
        <v>0</v>
      </c>
      <c r="CL25" s="63">
        <f>SUMIFS('MtM Releases'!$H:$H,'MtM Releases'!$G:$G,RESULTADO!$BN25,'MtM Releases'!$F:$F,RESULTADO!$BN24,'MtM Releases'!$D:$D,RESULTADO!CL$3)</f>
        <v>0</v>
      </c>
      <c r="CM25" s="53">
        <f>SUMIFS('MtM Releases'!$H:$H,'MtM Releases'!$G:$G,RESULTADO!$BN25,'MtM Releases'!$F:$F,RESULTADO!$BN24,'MtM Releases'!$D:$D,RESULTADO!CM$3)</f>
        <v>0</v>
      </c>
      <c r="CN25" s="53">
        <f>SUMIFS('MtM Releases'!$H:$H,'MtM Releases'!$G:$G,RESULTADO!$BN25,'MtM Releases'!$F:$F,RESULTADO!$BN24,'MtM Releases'!$D:$D,RESULTADO!CN$3)</f>
        <v>0</v>
      </c>
      <c r="CO25" s="53">
        <f>SUMIFS('MtM Releases'!$H:$H,'MtM Releases'!$G:$G,RESULTADO!$BN25,'MtM Releases'!$F:$F,RESULTADO!$BN24,'MtM Releases'!$D:$D,RESULTADO!CO$3)</f>
        <v>0</v>
      </c>
      <c r="CP25" s="53">
        <f>SUMIFS('MtM Releases'!$H:$H,'MtM Releases'!$G:$G,RESULTADO!$BN25,'MtM Releases'!$F:$F,RESULTADO!$BN24,'MtM Releases'!$D:$D,RESULTADO!CP$3)</f>
        <v>0</v>
      </c>
      <c r="CQ25" s="53">
        <f>SUMIFS('MtM Releases'!$H:$H,'MtM Releases'!$G:$G,RESULTADO!$BN25,'MtM Releases'!$F:$F,RESULTADO!$BN24,'MtM Releases'!$D:$D,RESULTADO!CQ$3)</f>
        <v>0</v>
      </c>
      <c r="CR25" s="53">
        <f>SUMIFS('MtM Releases'!$H:$H,'MtM Releases'!$G:$G,RESULTADO!$BN25,'MtM Releases'!$F:$F,RESULTADO!$BN24,'MtM Releases'!$D:$D,RESULTADO!CR$3)</f>
        <v>0</v>
      </c>
      <c r="CS25" s="53">
        <f>SUMIFS('MtM Releases'!$H:$H,'MtM Releases'!$G:$G,RESULTADO!$BN25,'MtM Releases'!$F:$F,RESULTADO!$BN24,'MtM Releases'!$D:$D,RESULTADO!CS$3)</f>
        <v>0</v>
      </c>
      <c r="CT25" s="53">
        <f>SUMIFS('MtM Releases'!$H:$H,'MtM Releases'!$G:$G,RESULTADO!$BN25,'MtM Releases'!$F:$F,RESULTADO!$BN24,'MtM Releases'!$D:$D,RESULTADO!CT$3)</f>
        <v>0</v>
      </c>
      <c r="CU25" s="53">
        <f>SUMIFS('MtM Releases'!$H:$H,'MtM Releases'!$G:$G,RESULTADO!$BN25,'MtM Releases'!$F:$F,RESULTADO!$BN24,'MtM Releases'!$D:$D,RESULTADO!CU$3)</f>
        <v>0</v>
      </c>
      <c r="CV25" s="53">
        <f>SUMIFS('MtM Releases'!$H:$H,'MtM Releases'!$G:$G,RESULTADO!$BN25,'MtM Releases'!$F:$F,RESULTADO!$BN24,'MtM Releases'!$D:$D,RESULTADO!CV$3)</f>
        <v>0</v>
      </c>
      <c r="CW25" s="53">
        <f>SUMIFS('MtM Releases'!$H:$H,'MtM Releases'!$G:$G,RESULTADO!$BN25,'MtM Releases'!$F:$F,RESULTADO!$BN24,'MtM Releases'!$D:$D,RESULTADO!CW$3)</f>
        <v>0</v>
      </c>
      <c r="CX25" s="54">
        <f>SUMIFS('MtM Releases'!$H:$H,'MtM Releases'!$G:$G,RESULTADO!$BN25,'MtM Releases'!$F:$F,RESULTADO!$BN24,'MtM Releases'!$D:$D,RESULTADO!CX$3)</f>
        <v>0</v>
      </c>
      <c r="CY25" s="53">
        <f>SUMIFS('MtM Releases'!$H:$H,'MtM Releases'!$G:$G,RESULTADO!$BN25,'MtM Releases'!$F:$F,RESULTADO!$BN24,'MtM Releases'!$D:$D,RESULTADO!CY$3)</f>
        <v>0</v>
      </c>
      <c r="CZ25" s="53">
        <f>SUMIFS('MtM Releases'!$H:$H,'MtM Releases'!$G:$G,RESULTADO!$BN25,'MtM Releases'!$F:$F,RESULTADO!$BN24,'MtM Releases'!$D:$D,RESULTADO!CZ$3)</f>
        <v>0</v>
      </c>
      <c r="DA25" s="53">
        <f>SUMIFS('MtM Releases'!$H:$H,'MtM Releases'!$G:$G,RESULTADO!$BN25,'MtM Releases'!$F:$F,RESULTADO!$BN24,'MtM Releases'!$D:$D,RESULTADO!DA$3)</f>
        <v>0</v>
      </c>
      <c r="DB25" s="53">
        <f>SUMIFS('MtM Releases'!$H:$H,'MtM Releases'!$G:$G,RESULTADO!$BN25,'MtM Releases'!$F:$F,RESULTADO!$BN24,'MtM Releases'!$D:$D,RESULTADO!DB$3)</f>
        <v>0</v>
      </c>
      <c r="DC25" s="53">
        <f>SUMIFS('MtM Releases'!$H:$H,'MtM Releases'!$G:$G,RESULTADO!$BN25,'MtM Releases'!$F:$F,RESULTADO!$BN24,'MtM Releases'!$D:$D,RESULTADO!DC$3)</f>
        <v>0</v>
      </c>
      <c r="DD25" s="53">
        <f>SUMIFS('MtM Releases'!$H:$H,'MtM Releases'!$G:$G,RESULTADO!$BN25,'MtM Releases'!$F:$F,RESULTADO!$BN24,'MtM Releases'!$D:$D,RESULTADO!DD$3)</f>
        <v>0</v>
      </c>
      <c r="DE25" s="53">
        <f>SUMIFS('MtM Releases'!$H:$H,'MtM Releases'!$G:$G,RESULTADO!$BN25,'MtM Releases'!$F:$F,RESULTADO!$BN24,'MtM Releases'!$D:$D,RESULTADO!DE$3)</f>
        <v>0</v>
      </c>
      <c r="DF25" s="53">
        <f>SUMIFS('MtM Releases'!$H:$H,'MtM Releases'!$G:$G,RESULTADO!$BN25,'MtM Releases'!$F:$F,RESULTADO!$BN24,'MtM Releases'!$D:$D,RESULTADO!DF$3)</f>
        <v>0</v>
      </c>
      <c r="DG25" s="53">
        <f>SUMIFS('MtM Releases'!$H:$H,'MtM Releases'!$G:$G,RESULTADO!$BN25,'MtM Releases'!$F:$F,RESULTADO!$BN24,'MtM Releases'!$D:$D,RESULTADO!DG$3)</f>
        <v>0</v>
      </c>
      <c r="DH25" s="53">
        <f>SUMIFS('MtM Releases'!$H:$H,'MtM Releases'!$G:$G,RESULTADO!$BN25,'MtM Releases'!$F:$F,RESULTADO!$BN24,'MtM Releases'!$D:$D,RESULTADO!DH$3)</f>
        <v>0</v>
      </c>
      <c r="DI25" s="53">
        <f>SUMIFS('MtM Releases'!$H:$H,'MtM Releases'!$G:$G,RESULTADO!$BN25,'MtM Releases'!$F:$F,RESULTADO!$BN24,'MtM Releases'!$D:$D,RESULTADO!DI$3)</f>
        <v>0</v>
      </c>
      <c r="DJ25" s="63">
        <f>SUMIFS('MtM Releases'!$H:$H,'MtM Releases'!$G:$G,RESULTADO!$BN25,'MtM Releases'!$F:$F,RESULTADO!$BN24,'MtM Releases'!$D:$D,RESULTADO!DJ$3)</f>
        <v>0</v>
      </c>
      <c r="DK25" s="53">
        <f>SUMIFS('MtM Releases'!$H:$H,'MtM Releases'!$G:$G,RESULTADO!$BN25,'MtM Releases'!$F:$F,RESULTADO!$BN24,'MtM Releases'!$D:$D,RESULTADO!DK$3)</f>
        <v>0</v>
      </c>
      <c r="DL25" s="53">
        <f>SUMIFS('MtM Releases'!$H:$H,'MtM Releases'!$G:$G,RESULTADO!$BN25,'MtM Releases'!$F:$F,RESULTADO!$BN24,'MtM Releases'!$D:$D,RESULTADO!DL$3)</f>
        <v>0</v>
      </c>
      <c r="DM25" s="53">
        <f>SUMIFS('MtM Releases'!$H:$H,'MtM Releases'!$G:$G,RESULTADO!$BN25,'MtM Releases'!$F:$F,RESULTADO!$BN24,'MtM Releases'!$D:$D,RESULTADO!DM$3)</f>
        <v>0</v>
      </c>
      <c r="DN25" s="53">
        <f>SUMIFS('MtM Releases'!$H:$H,'MtM Releases'!$G:$G,RESULTADO!$BN25,'MtM Releases'!$F:$F,RESULTADO!$BN24,'MtM Releases'!$D:$D,RESULTADO!DN$3)</f>
        <v>0</v>
      </c>
      <c r="DO25" s="53">
        <f>SUMIFS('MtM Releases'!$H:$H,'MtM Releases'!$G:$G,RESULTADO!$BN25,'MtM Releases'!$F:$F,RESULTADO!$BN24,'MtM Releases'!$D:$D,RESULTADO!DO$3)</f>
        <v>0</v>
      </c>
      <c r="DP25" s="53">
        <f>SUMIFS('MtM Releases'!$H:$H,'MtM Releases'!$G:$G,RESULTADO!$BN25,'MtM Releases'!$F:$F,RESULTADO!$BN24,'MtM Releases'!$D:$D,RESULTADO!DP$3)</f>
        <v>0</v>
      </c>
      <c r="DQ25" s="53">
        <f>SUMIFS('MtM Releases'!$H:$H,'MtM Releases'!$G:$G,RESULTADO!$BN25,'MtM Releases'!$F:$F,RESULTADO!$BN24,'MtM Releases'!$D:$D,RESULTADO!DQ$3)</f>
        <v>0</v>
      </c>
      <c r="DR25" s="53">
        <f>SUMIFS('MtM Releases'!$H:$H,'MtM Releases'!$G:$G,RESULTADO!$BN25,'MtM Releases'!$F:$F,RESULTADO!$BN24,'MtM Releases'!$D:$D,RESULTADO!DR$3)</f>
        <v>0</v>
      </c>
      <c r="DS25" s="53">
        <f>SUMIFS('MtM Releases'!$H:$H,'MtM Releases'!$G:$G,RESULTADO!$BN25,'MtM Releases'!$F:$F,RESULTADO!$BN24,'MtM Releases'!$D:$D,RESULTADO!DS$3)</f>
        <v>0</v>
      </c>
      <c r="DT25" s="53">
        <f>SUMIFS('MtM Releases'!$H:$H,'MtM Releases'!$G:$G,RESULTADO!$BN25,'MtM Releases'!$F:$F,RESULTADO!$BN24,'MtM Releases'!$D:$D,RESULTADO!DT$3)</f>
        <v>0</v>
      </c>
      <c r="DU25" s="53">
        <f>SUMIFS('MtM Releases'!$H:$H,'MtM Releases'!$G:$G,RESULTADO!$BN25,'MtM Releases'!$F:$F,RESULTADO!$BN24,'MtM Releases'!$D:$D,RESULTADO!DU$3)</f>
        <v>0</v>
      </c>
      <c r="DV25" s="63">
        <f>SUMIFS('MtM Releases'!$H:$H,'MtM Releases'!$G:$G,RESULTADO!$BN25,'MtM Releases'!$F:$F,RESULTADO!$BN24,'MtM Releases'!$D:$D,RESULTADO!DV$3)</f>
        <v>0</v>
      </c>
    </row>
    <row r="26" spans="2:132" x14ac:dyDescent="0.25">
      <c r="B26" s="57" t="s">
        <v>12</v>
      </c>
      <c r="C26" s="53">
        <f>(SUMIFS(MtM!$M:$M,MtM!$I:$I,RESULTADO!$B26,MtM!$H:$H,RESULTADO!$B$24,MtM!$E:$E,RESULTADO!C$3)-SUMIFS(MtM!$N:$N,MtM!$I:$I,RESULTADO!$B26,MtM!$H:$H,RESULTADO!$B$24,MtM!$E:$E,RESULTADO!C$3))</f>
        <v>0</v>
      </c>
      <c r="D26" s="53">
        <f>(SUMIFS(MtM!$M:$M,MtM!$I:$I,RESULTADO!$B26,MtM!$H:$H,RESULTADO!$B$24,MtM!$E:$E,RESULTADO!D$3)-SUMIFS(MtM!$N:$N,MtM!$I:$I,RESULTADO!$B26,MtM!$H:$H,RESULTADO!$B$24,MtM!$E:$E,RESULTADO!D$3))</f>
        <v>0</v>
      </c>
      <c r="E26" s="53">
        <f>(SUMIFS(MtM!$M:$M,MtM!$I:$I,RESULTADO!$B26,MtM!$H:$H,RESULTADO!$B$24,MtM!$E:$E,RESULTADO!E$3)-SUMIFS(MtM!$N:$N,MtM!$I:$I,RESULTADO!$B26,MtM!$H:$H,RESULTADO!$B$24,MtM!$E:$E,RESULTADO!E$3))</f>
        <v>0</v>
      </c>
      <c r="F26" s="53">
        <f>(SUMIFS(MtM!$M:$M,MtM!$I:$I,RESULTADO!$B26,MtM!$H:$H,RESULTADO!$B$24,MtM!$E:$E,RESULTADO!F$3)-SUMIFS(MtM!$N:$N,MtM!$I:$I,RESULTADO!$B26,MtM!$H:$H,RESULTADO!$B$24,MtM!$E:$E,RESULTADO!F$3))</f>
        <v>0</v>
      </c>
      <c r="G26" s="53">
        <f>(SUMIFS(MtM!$M:$M,MtM!$I:$I,RESULTADO!$B26,MtM!$H:$H,RESULTADO!$B$24,MtM!$E:$E,RESULTADO!G$3)-SUMIFS(MtM!$N:$N,MtM!$I:$I,RESULTADO!$B26,MtM!$H:$H,RESULTADO!$B$24,MtM!$E:$E,RESULTADO!G$3))</f>
        <v>0</v>
      </c>
      <c r="H26" s="53">
        <f>(SUMIFS(MtM!$M:$M,MtM!$I:$I,RESULTADO!$B26,MtM!$H:$H,RESULTADO!$B$24,MtM!$E:$E,RESULTADO!H$3)-SUMIFS(MtM!$N:$N,MtM!$I:$I,RESULTADO!$B26,MtM!$H:$H,RESULTADO!$B$24,MtM!$E:$E,RESULTADO!H$3))</f>
        <v>0</v>
      </c>
      <c r="I26" s="53">
        <f>(SUMIFS(MtM!$M:$M,MtM!$I:$I,RESULTADO!$B26,MtM!$H:$H,RESULTADO!$B$24,MtM!$E:$E,RESULTADO!I$3)-SUMIFS(MtM!$N:$N,MtM!$I:$I,RESULTADO!$B26,MtM!$H:$H,RESULTADO!$B$24,MtM!$E:$E,RESULTADO!I$3))</f>
        <v>0</v>
      </c>
      <c r="J26" s="53">
        <f>(SUMIFS(MtM!$M:$M,MtM!$I:$I,RESULTADO!$B26,MtM!$H:$H,RESULTADO!$B$24,MtM!$E:$E,RESULTADO!J$3)-SUMIFS(MtM!$N:$N,MtM!$I:$I,RESULTADO!$B26,MtM!$H:$H,RESULTADO!$B$24,MtM!$E:$E,RESULTADO!J$3))</f>
        <v>0</v>
      </c>
      <c r="K26" s="53">
        <f>(SUMIFS(MtM!$M:$M,MtM!$I:$I,RESULTADO!$B26,MtM!$H:$H,RESULTADO!$B$24,MtM!$E:$E,RESULTADO!K$3)-SUMIFS(MtM!$N:$N,MtM!$I:$I,RESULTADO!$B26,MtM!$H:$H,RESULTADO!$B$24,MtM!$E:$E,RESULTADO!K$3))</f>
        <v>0</v>
      </c>
      <c r="L26" s="53">
        <f>(SUMIFS(MtM!$M:$M,MtM!$I:$I,RESULTADO!$B26,MtM!$H:$H,RESULTADO!$B$24,MtM!$E:$E,RESULTADO!L$3)-SUMIFS(MtM!$N:$N,MtM!$I:$I,RESULTADO!$B26,MtM!$H:$H,RESULTADO!$B$24,MtM!$E:$E,RESULTADO!L$3))</f>
        <v>0</v>
      </c>
      <c r="M26" s="53">
        <f>(SUMIFS(MtM!$M:$M,MtM!$I:$I,RESULTADO!$B26,MtM!$H:$H,RESULTADO!$B$24,MtM!$E:$E,RESULTADO!M$3)-SUMIFS(MtM!$N:$N,MtM!$I:$I,RESULTADO!$B26,MtM!$H:$H,RESULTADO!$B$24,MtM!$E:$E,RESULTADO!M$3))</f>
        <v>0</v>
      </c>
      <c r="N26" s="54">
        <f>(SUMIFS(MtM!$M:$M,MtM!$I:$I,RESULTADO!$B26,MtM!$H:$H,RESULTADO!$B$24,MtM!$E:$E,RESULTADO!N$3)-SUMIFS(MtM!$N:$N,MtM!$I:$I,RESULTADO!$B26,MtM!$H:$H,RESULTADO!$B$24,MtM!$E:$E,RESULTADO!N$3))</f>
        <v>0</v>
      </c>
      <c r="O26" s="53">
        <f>(SUMIFS(MtM!$M:$M,MtM!$I:$I,RESULTADO!$B26,MtM!$H:$H,RESULTADO!$B$24,MtM!$E:$E,RESULTADO!O$3)-SUMIFS(MtM!$N:$N,MtM!$I:$I,RESULTADO!$B26,MtM!$H:$H,RESULTADO!$B$24,MtM!$E:$E,RESULTADO!O$3))</f>
        <v>0</v>
      </c>
      <c r="P26" s="53">
        <f>(SUMIFS(MtM!$M:$M,MtM!$I:$I,RESULTADO!$B26,MtM!$H:$H,RESULTADO!$B$24,MtM!$E:$E,RESULTADO!P$3)-SUMIFS(MtM!$N:$N,MtM!$I:$I,RESULTADO!$B26,MtM!$H:$H,RESULTADO!$B$24,MtM!$E:$E,RESULTADO!P$3))</f>
        <v>0</v>
      </c>
      <c r="Q26" s="53">
        <f>(SUMIFS(MtM!$M:$M,MtM!$I:$I,RESULTADO!$B26,MtM!$H:$H,RESULTADO!$B$24,MtM!$E:$E,RESULTADO!Q$3)-SUMIFS(MtM!$N:$N,MtM!$I:$I,RESULTADO!$B26,MtM!$H:$H,RESULTADO!$B$24,MtM!$E:$E,RESULTADO!Q$3))</f>
        <v>0</v>
      </c>
      <c r="R26" s="53">
        <f>(SUMIFS(MtM!$M:$M,MtM!$I:$I,RESULTADO!$B26,MtM!$H:$H,RESULTADO!$B$24,MtM!$E:$E,RESULTADO!R$3)-SUMIFS(MtM!$N:$N,MtM!$I:$I,RESULTADO!$B26,MtM!$H:$H,RESULTADO!$B$24,MtM!$E:$E,RESULTADO!R$3))</f>
        <v>0</v>
      </c>
      <c r="S26" s="53">
        <f>(SUMIFS(MtM!$M:$M,MtM!$I:$I,RESULTADO!$B26,MtM!$H:$H,RESULTADO!$B$24,MtM!$E:$E,RESULTADO!S$3)-SUMIFS(MtM!$N:$N,MtM!$I:$I,RESULTADO!$B26,MtM!$H:$H,RESULTADO!$B$24,MtM!$E:$E,RESULTADO!S$3))</f>
        <v>0</v>
      </c>
      <c r="T26" s="53">
        <f>(SUMIFS(MtM!$M:$M,MtM!$I:$I,RESULTADO!$B26,MtM!$H:$H,RESULTADO!$B$24,MtM!$E:$E,RESULTADO!T$3)-SUMIFS(MtM!$N:$N,MtM!$I:$I,RESULTADO!$B26,MtM!$H:$H,RESULTADO!$B$24,MtM!$E:$E,RESULTADO!T$3))</f>
        <v>0</v>
      </c>
      <c r="U26" s="53">
        <f>(SUMIFS(MtM!$M:$M,MtM!$I:$I,RESULTADO!$B26,MtM!$H:$H,RESULTADO!$B$24,MtM!$E:$E,RESULTADO!U$3)-SUMIFS(MtM!$N:$N,MtM!$I:$I,RESULTADO!$B26,MtM!$H:$H,RESULTADO!$B$24,MtM!$E:$E,RESULTADO!U$3))</f>
        <v>0</v>
      </c>
      <c r="V26" s="53">
        <f>(SUMIFS(MtM!$M:$M,MtM!$I:$I,RESULTADO!$B26,MtM!$H:$H,RESULTADO!$B$24,MtM!$E:$E,RESULTADO!V$3)-SUMIFS(MtM!$N:$N,MtM!$I:$I,RESULTADO!$B26,MtM!$H:$H,RESULTADO!$B$24,MtM!$E:$E,RESULTADO!V$3))</f>
        <v>0</v>
      </c>
      <c r="W26" s="53">
        <f>(SUMIFS(MtM!$M:$M,MtM!$I:$I,RESULTADO!$B26,MtM!$H:$H,RESULTADO!$B$24,MtM!$E:$E,RESULTADO!W$3)-SUMIFS(MtM!$N:$N,MtM!$I:$I,RESULTADO!$B26,MtM!$H:$H,RESULTADO!$B$24,MtM!$E:$E,RESULTADO!W$3))</f>
        <v>0</v>
      </c>
      <c r="X26" s="53">
        <f>(SUMIFS(MtM!$M:$M,MtM!$I:$I,RESULTADO!$B26,MtM!$H:$H,RESULTADO!$B$24,MtM!$E:$E,RESULTADO!X$3)-SUMIFS(MtM!$N:$N,MtM!$I:$I,RESULTADO!$B26,MtM!$H:$H,RESULTADO!$B$24,MtM!$E:$E,RESULTADO!X$3))</f>
        <v>0</v>
      </c>
      <c r="Y26" s="53">
        <f>(SUMIFS(MtM!$M:$M,MtM!$I:$I,RESULTADO!$B26,MtM!$H:$H,RESULTADO!$B$24,MtM!$E:$E,RESULTADO!Y$3)-SUMIFS(MtM!$N:$N,MtM!$I:$I,RESULTADO!$B26,MtM!$H:$H,RESULTADO!$B$24,MtM!$E:$E,RESULTADO!Y$3))</f>
        <v>0</v>
      </c>
      <c r="Z26" s="63">
        <f>(SUMIFS(MtM!$M:$M,MtM!$I:$I,RESULTADO!$B26,MtM!$H:$H,RESULTADO!$B$24,MtM!$E:$E,RESULTADO!Z$3)-SUMIFS(MtM!$N:$N,MtM!$I:$I,RESULTADO!$B26,MtM!$H:$H,RESULTADO!$B$24,MtM!$E:$E,RESULTADO!Z$3))</f>
        <v>0</v>
      </c>
      <c r="AA26" s="53">
        <f>(SUMIFS(MtM!$M:$M,MtM!$I:$I,RESULTADO!$B26,MtM!$H:$H,RESULTADO!$B$24,MtM!$E:$E,RESULTADO!AA$3)-SUMIFS(MtM!$N:$N,MtM!$I:$I,RESULTADO!$B26,MtM!$H:$H,RESULTADO!$B$24,MtM!$E:$E,RESULTADO!AA$3))</f>
        <v>0</v>
      </c>
      <c r="AB26" s="53">
        <f>(SUMIFS(MtM!$M:$M,MtM!$I:$I,RESULTADO!$B26,MtM!$H:$H,RESULTADO!$B$24,MtM!$E:$E,RESULTADO!AB$3)-SUMIFS(MtM!$N:$N,MtM!$I:$I,RESULTADO!$B26,MtM!$H:$H,RESULTADO!$B$24,MtM!$E:$E,RESULTADO!AB$3))</f>
        <v>0</v>
      </c>
      <c r="AC26" s="53">
        <f>(SUMIFS(MtM!$M:$M,MtM!$I:$I,RESULTADO!$B26,MtM!$H:$H,RESULTADO!$B$24,MtM!$E:$E,RESULTADO!AC$3)-SUMIFS(MtM!$N:$N,MtM!$I:$I,RESULTADO!$B26,MtM!$H:$H,RESULTADO!$B$24,MtM!$E:$E,RESULTADO!AC$3))</f>
        <v>0</v>
      </c>
      <c r="AD26" s="53">
        <f>(SUMIFS(MtM!$M:$M,MtM!$I:$I,RESULTADO!$B26,MtM!$H:$H,RESULTADO!$B$24,MtM!$E:$E,RESULTADO!AD$3)-SUMIFS(MtM!$N:$N,MtM!$I:$I,RESULTADO!$B26,MtM!$H:$H,RESULTADO!$B$24,MtM!$E:$E,RESULTADO!AD$3))</f>
        <v>0</v>
      </c>
      <c r="AE26" s="53">
        <f>(SUMIFS(MtM!$M:$M,MtM!$I:$I,RESULTADO!$B26,MtM!$H:$H,RESULTADO!$B$24,MtM!$E:$E,RESULTADO!AE$3)-SUMIFS(MtM!$N:$N,MtM!$I:$I,RESULTADO!$B26,MtM!$H:$H,RESULTADO!$B$24,MtM!$E:$E,RESULTADO!AE$3))</f>
        <v>0</v>
      </c>
      <c r="AF26" s="53">
        <f>(SUMIFS(MtM!$M:$M,MtM!$I:$I,RESULTADO!$B26,MtM!$H:$H,RESULTADO!$B$24,MtM!$E:$E,RESULTADO!AF$3)-SUMIFS(MtM!$N:$N,MtM!$I:$I,RESULTADO!$B26,MtM!$H:$H,RESULTADO!$B$24,MtM!$E:$E,RESULTADO!AF$3))</f>
        <v>0</v>
      </c>
      <c r="AG26" s="53">
        <f>(SUMIFS(MtM!$M:$M,MtM!$I:$I,RESULTADO!$B26,MtM!$H:$H,RESULTADO!$B$24,MtM!$E:$E,RESULTADO!AG$3)-SUMIFS(MtM!$N:$N,MtM!$I:$I,RESULTADO!$B26,MtM!$H:$H,RESULTADO!$B$24,MtM!$E:$E,RESULTADO!AG$3))</f>
        <v>0</v>
      </c>
      <c r="AH26" s="53">
        <f>(SUMIFS(MtM!$M:$M,MtM!$I:$I,RESULTADO!$B26,MtM!$H:$H,RESULTADO!$B$24,MtM!$E:$E,RESULTADO!AH$3)-SUMIFS(MtM!$N:$N,MtM!$I:$I,RESULTADO!$B26,MtM!$H:$H,RESULTADO!$B$24,MtM!$E:$E,RESULTADO!AH$3))</f>
        <v>0</v>
      </c>
      <c r="AI26" s="53">
        <f>(SUMIFS(MtM!$M:$M,MtM!$I:$I,RESULTADO!$B26,MtM!$H:$H,RESULTADO!$B$24,MtM!$E:$E,RESULTADO!AI$3)-SUMIFS(MtM!$N:$N,MtM!$I:$I,RESULTADO!$B26,MtM!$H:$H,RESULTADO!$B$24,MtM!$E:$E,RESULTADO!AI$3))</f>
        <v>0</v>
      </c>
      <c r="AJ26" s="53">
        <f>(SUMIFS(MtM!$M:$M,MtM!$I:$I,RESULTADO!$B26,MtM!$H:$H,RESULTADO!$B$24,MtM!$E:$E,RESULTADO!AJ$3)-SUMIFS(MtM!$N:$N,MtM!$I:$I,RESULTADO!$B26,MtM!$H:$H,RESULTADO!$B$24,MtM!$E:$E,RESULTADO!AJ$3))</f>
        <v>0</v>
      </c>
      <c r="AK26" s="53">
        <f>(SUMIFS(MtM!$M:$M,MtM!$I:$I,RESULTADO!$B26,MtM!$H:$H,RESULTADO!$B$24,MtM!$E:$E,RESULTADO!AK$3)-SUMIFS(MtM!$N:$N,MtM!$I:$I,RESULTADO!$B26,MtM!$H:$H,RESULTADO!$B$24,MtM!$E:$E,RESULTADO!AK$3))</f>
        <v>0</v>
      </c>
      <c r="AL26" s="54">
        <f>(SUMIFS(MtM!$M:$M,MtM!$I:$I,RESULTADO!$B26,MtM!$H:$H,RESULTADO!$B$24,MtM!$E:$E,RESULTADO!AL$3)-SUMIFS(MtM!$N:$N,MtM!$I:$I,RESULTADO!$B26,MtM!$H:$H,RESULTADO!$B$24,MtM!$E:$E,RESULTADO!AL$3))</f>
        <v>0</v>
      </c>
      <c r="AM26" s="53">
        <f>(SUMIFS(MtM!$M:$M,MtM!$I:$I,RESULTADO!$B26,MtM!$H:$H,RESULTADO!$B$24,MtM!$E:$E,RESULTADO!AM$3)-SUMIFS(MtM!$N:$N,MtM!$I:$I,RESULTADO!$B26,MtM!$H:$H,RESULTADO!$B$24,MtM!$E:$E,RESULTADO!AM$3))</f>
        <v>0</v>
      </c>
      <c r="AN26" s="53">
        <f>(SUMIFS(MtM!$M:$M,MtM!$I:$I,RESULTADO!$B26,MtM!$H:$H,RESULTADO!$B$24,MtM!$E:$E,RESULTADO!AN$3)-SUMIFS(MtM!$N:$N,MtM!$I:$I,RESULTADO!$B26,MtM!$H:$H,RESULTADO!$B$24,MtM!$E:$E,RESULTADO!AN$3))</f>
        <v>0</v>
      </c>
      <c r="AO26" s="53">
        <f>(SUMIFS(MtM!$M:$M,MtM!$I:$I,RESULTADO!$B26,MtM!$H:$H,RESULTADO!$B$24,MtM!$E:$E,RESULTADO!AO$3)-SUMIFS(MtM!$N:$N,MtM!$I:$I,RESULTADO!$B26,MtM!$H:$H,RESULTADO!$B$24,MtM!$E:$E,RESULTADO!AO$3))</f>
        <v>0</v>
      </c>
      <c r="AP26" s="53">
        <f>(SUMIFS(MtM!$M:$M,MtM!$I:$I,RESULTADO!$B26,MtM!$H:$H,RESULTADO!$B$24,MtM!$E:$E,RESULTADO!AP$3)-SUMIFS(MtM!$N:$N,MtM!$I:$I,RESULTADO!$B26,MtM!$H:$H,RESULTADO!$B$24,MtM!$E:$E,RESULTADO!AP$3))</f>
        <v>0</v>
      </c>
      <c r="AQ26" s="53">
        <f>(SUMIFS(MtM!$M:$M,MtM!$I:$I,RESULTADO!$B26,MtM!$H:$H,RESULTADO!$B$24,MtM!$E:$E,RESULTADO!AQ$3)-SUMIFS(MtM!$N:$N,MtM!$I:$I,RESULTADO!$B26,MtM!$H:$H,RESULTADO!$B$24,MtM!$E:$E,RESULTADO!AQ$3))</f>
        <v>0</v>
      </c>
      <c r="AR26" s="53">
        <f>(SUMIFS(MtM!$M:$M,MtM!$I:$I,RESULTADO!$B26,MtM!$H:$H,RESULTADO!$B$24,MtM!$E:$E,RESULTADO!AR$3)-SUMIFS(MtM!$N:$N,MtM!$I:$I,RESULTADO!$B26,MtM!$H:$H,RESULTADO!$B$24,MtM!$E:$E,RESULTADO!AR$3))</f>
        <v>0</v>
      </c>
      <c r="AS26" s="53">
        <f>(SUMIFS(MtM!$M:$M,MtM!$I:$I,RESULTADO!$B26,MtM!$H:$H,RESULTADO!$B$24,MtM!$E:$E,RESULTADO!AS$3)-SUMIFS(MtM!$N:$N,MtM!$I:$I,RESULTADO!$B26,MtM!$H:$H,RESULTADO!$B$24,MtM!$E:$E,RESULTADO!AS$3))</f>
        <v>0</v>
      </c>
      <c r="AT26" s="53">
        <f>(SUMIFS(MtM!$M:$M,MtM!$I:$I,RESULTADO!$B26,MtM!$H:$H,RESULTADO!$B$24,MtM!$E:$E,RESULTADO!AT$3)-SUMIFS(MtM!$N:$N,MtM!$I:$I,RESULTADO!$B26,MtM!$H:$H,RESULTADO!$B$24,MtM!$E:$E,RESULTADO!AT$3))</f>
        <v>0</v>
      </c>
      <c r="AU26" s="53">
        <f>(SUMIFS(MtM!$M:$M,MtM!$I:$I,RESULTADO!$B26,MtM!$H:$H,RESULTADO!$B$24,MtM!$E:$E,RESULTADO!AU$3)-SUMIFS(MtM!$N:$N,MtM!$I:$I,RESULTADO!$B26,MtM!$H:$H,RESULTADO!$B$24,MtM!$E:$E,RESULTADO!AU$3))</f>
        <v>0</v>
      </c>
      <c r="AV26" s="53">
        <f>(SUMIFS(MtM!$M:$M,MtM!$I:$I,RESULTADO!$B26,MtM!$H:$H,RESULTADO!$B$24,MtM!$E:$E,RESULTADO!AV$3)-SUMIFS(MtM!$N:$N,MtM!$I:$I,RESULTADO!$B26,MtM!$H:$H,RESULTADO!$B$24,MtM!$E:$E,RESULTADO!AV$3))</f>
        <v>0</v>
      </c>
      <c r="AW26" s="53">
        <f>(SUMIFS(MtM!$M:$M,MtM!$I:$I,RESULTADO!$B26,MtM!$H:$H,RESULTADO!$B$24,MtM!$E:$E,RESULTADO!AW$3)-SUMIFS(MtM!$N:$N,MtM!$I:$I,RESULTADO!$B26,MtM!$H:$H,RESULTADO!$B$24,MtM!$E:$E,RESULTADO!AW$3))</f>
        <v>0</v>
      </c>
      <c r="AX26" s="63">
        <f>(SUMIFS(MtM!$M:$M,MtM!$I:$I,RESULTADO!$B26,MtM!$H:$H,RESULTADO!$B$24,MtM!$E:$E,RESULTADO!AX$3)-SUMIFS(MtM!$N:$N,MtM!$I:$I,RESULTADO!$B26,MtM!$H:$H,RESULTADO!$B$24,MtM!$E:$E,RESULTADO!AX$3))</f>
        <v>0</v>
      </c>
      <c r="AY26" s="53">
        <f>(SUMIFS(MtM!$M:$M,MtM!$I:$I,RESULTADO!$B26,MtM!$H:$H,RESULTADO!$B$24,MtM!$E:$E,RESULTADO!AY$3)-SUMIFS(MtM!$N:$N,MtM!$I:$I,RESULTADO!$B26,MtM!$H:$H,RESULTADO!$B$24,MtM!$E:$E,RESULTADO!AY$3))</f>
        <v>0</v>
      </c>
      <c r="AZ26" s="53">
        <f>(SUMIFS(MtM!$M:$M,MtM!$I:$I,RESULTADO!$B26,MtM!$H:$H,RESULTADO!$B$24,MtM!$E:$E,RESULTADO!AZ$3)-SUMIFS(MtM!$N:$N,MtM!$I:$I,RESULTADO!$B26,MtM!$H:$H,RESULTADO!$B$24,MtM!$E:$E,RESULTADO!AZ$3))</f>
        <v>0</v>
      </c>
      <c r="BA26" s="53">
        <f>(SUMIFS(MtM!$M:$M,MtM!$I:$I,RESULTADO!$B26,MtM!$H:$H,RESULTADO!$B$24,MtM!$E:$E,RESULTADO!BA$3)-SUMIFS(MtM!$N:$N,MtM!$I:$I,RESULTADO!$B26,MtM!$H:$H,RESULTADO!$B$24,MtM!$E:$E,RESULTADO!BA$3))</f>
        <v>0</v>
      </c>
      <c r="BB26" s="53">
        <f>(SUMIFS(MtM!$M:$M,MtM!$I:$I,RESULTADO!$B26,MtM!$H:$H,RESULTADO!$B$24,MtM!$E:$E,RESULTADO!BB$3)-SUMIFS(MtM!$N:$N,MtM!$I:$I,RESULTADO!$B26,MtM!$H:$H,RESULTADO!$B$24,MtM!$E:$E,RESULTADO!BB$3))</f>
        <v>0</v>
      </c>
      <c r="BC26" s="53">
        <f>(SUMIFS(MtM!$M:$M,MtM!$I:$I,RESULTADO!$B26,MtM!$H:$H,RESULTADO!$B$24,MtM!$E:$E,RESULTADO!BC$3)-SUMIFS(MtM!$N:$N,MtM!$I:$I,RESULTADO!$B26,MtM!$H:$H,RESULTADO!$B$24,MtM!$E:$E,RESULTADO!BC$3))</f>
        <v>0</v>
      </c>
      <c r="BD26" s="53">
        <f>(SUMIFS(MtM!$M:$M,MtM!$I:$I,RESULTADO!$B26,MtM!$H:$H,RESULTADO!$B$24,MtM!$E:$E,RESULTADO!BD$3)-SUMIFS(MtM!$N:$N,MtM!$I:$I,RESULTADO!$B26,MtM!$H:$H,RESULTADO!$B$24,MtM!$E:$E,RESULTADO!BD$3))</f>
        <v>0</v>
      </c>
      <c r="BE26" s="53">
        <f>(SUMIFS(MtM!$M:$M,MtM!$I:$I,RESULTADO!$B26,MtM!$H:$H,RESULTADO!$B$24,MtM!$E:$E,RESULTADO!BE$3)-SUMIFS(MtM!$N:$N,MtM!$I:$I,RESULTADO!$B26,MtM!$H:$H,RESULTADO!$B$24,MtM!$E:$E,RESULTADO!BE$3))</f>
        <v>0</v>
      </c>
      <c r="BF26" s="53">
        <f>(SUMIFS(MtM!$M:$M,MtM!$I:$I,RESULTADO!$B26,MtM!$H:$H,RESULTADO!$B$24,MtM!$E:$E,RESULTADO!BF$3)-SUMIFS(MtM!$N:$N,MtM!$I:$I,RESULTADO!$B26,MtM!$H:$H,RESULTADO!$B$24,MtM!$E:$E,RESULTADO!BF$3))</f>
        <v>0</v>
      </c>
      <c r="BG26" s="53">
        <f>(SUMIFS(MtM!$M:$M,MtM!$I:$I,RESULTADO!$B26,MtM!$H:$H,RESULTADO!$B$24,MtM!$E:$E,RESULTADO!BG$3)-SUMIFS(MtM!$N:$N,MtM!$I:$I,RESULTADO!$B26,MtM!$H:$H,RESULTADO!$B$24,MtM!$E:$E,RESULTADO!BG$3))</f>
        <v>0</v>
      </c>
      <c r="BH26" s="53">
        <f>(SUMIFS(MtM!$M:$M,MtM!$I:$I,RESULTADO!$B26,MtM!$H:$H,RESULTADO!$B$24,MtM!$E:$E,RESULTADO!BH$3)-SUMIFS(MtM!$N:$N,MtM!$I:$I,RESULTADO!$B26,MtM!$H:$H,RESULTADO!$B$24,MtM!$E:$E,RESULTADO!BH$3))</f>
        <v>0</v>
      </c>
      <c r="BI26" s="53">
        <f>(SUMIFS(MtM!$M:$M,MtM!$I:$I,RESULTADO!$B26,MtM!$H:$H,RESULTADO!$B$24,MtM!$E:$E,RESULTADO!BI$3)-SUMIFS(MtM!$N:$N,MtM!$I:$I,RESULTADO!$B26,MtM!$H:$H,RESULTADO!$B$24,MtM!$E:$E,RESULTADO!BI$3))</f>
        <v>0</v>
      </c>
      <c r="BJ26" s="63">
        <f>(SUMIFS(MtM!$M:$M,MtM!$I:$I,RESULTADO!$B26,MtM!$H:$H,RESULTADO!$B$24,MtM!$E:$E,RESULTADO!BJ$3)-SUMIFS(MtM!$N:$N,MtM!$I:$I,RESULTADO!$B26,MtM!$H:$H,RESULTADO!$B$24,MtM!$E:$E,RESULTADO!BJ$3))</f>
        <v>0</v>
      </c>
      <c r="BL26" s="120"/>
      <c r="BN26" s="57" t="s">
        <v>12</v>
      </c>
      <c r="BO26" s="53">
        <f>SUMIFS('MtM Releases'!$H:$H,'MtM Releases'!$G:$G,RESULTADO!$BN26,'MtM Releases'!$F:$F,RESULTADO!$BN24,'MtM Releases'!$D:$D,RESULTADO!BO$3)</f>
        <v>0</v>
      </c>
      <c r="BP26" s="53">
        <f>SUMIFS('MtM Releases'!$H:$H,'MtM Releases'!$G:$G,RESULTADO!$BN26,'MtM Releases'!$F:$F,RESULTADO!$BN24,'MtM Releases'!$D:$D,RESULTADO!BP$3)</f>
        <v>0</v>
      </c>
      <c r="BQ26" s="53">
        <f>SUMIFS('MtM Releases'!$H:$H,'MtM Releases'!$G:$G,RESULTADO!$BN26,'MtM Releases'!$F:$F,RESULTADO!$BN24,'MtM Releases'!$D:$D,RESULTADO!BQ$3)</f>
        <v>0</v>
      </c>
      <c r="BR26" s="53">
        <f>SUMIFS('MtM Releases'!$H:$H,'MtM Releases'!$G:$G,RESULTADO!$BN26,'MtM Releases'!$F:$F,RESULTADO!$BN24,'MtM Releases'!$D:$D,RESULTADO!BR$3)</f>
        <v>0</v>
      </c>
      <c r="BS26" s="53">
        <f>SUMIFS('MtM Releases'!$H:$H,'MtM Releases'!$G:$G,RESULTADO!$BN26,'MtM Releases'!$F:$F,RESULTADO!$BN24,'MtM Releases'!$D:$D,RESULTADO!BS$3)</f>
        <v>0</v>
      </c>
      <c r="BT26" s="53">
        <f>SUMIFS('MtM Releases'!$H:$H,'MtM Releases'!$G:$G,RESULTADO!$BN26,'MtM Releases'!$F:$F,RESULTADO!$BN24,'MtM Releases'!$D:$D,RESULTADO!BT$3)</f>
        <v>0</v>
      </c>
      <c r="BU26" s="53">
        <f>SUMIFS('MtM Releases'!$H:$H,'MtM Releases'!$G:$G,RESULTADO!$BN26,'MtM Releases'!$F:$F,RESULTADO!$BN24,'MtM Releases'!$D:$D,RESULTADO!BU$3)</f>
        <v>0</v>
      </c>
      <c r="BV26" s="53">
        <f>SUMIFS('MtM Releases'!$H:$H,'MtM Releases'!$G:$G,RESULTADO!$BN26,'MtM Releases'!$F:$F,RESULTADO!$BN24,'MtM Releases'!$D:$D,RESULTADO!BV$3)</f>
        <v>0</v>
      </c>
      <c r="BW26" s="53">
        <f>SUMIFS('MtM Releases'!$H:$H,'MtM Releases'!$G:$G,RESULTADO!$BN26,'MtM Releases'!$F:$F,RESULTADO!$BN24,'MtM Releases'!$D:$D,RESULTADO!BW$3)</f>
        <v>0</v>
      </c>
      <c r="BX26" s="53">
        <f>SUMIFS('MtM Releases'!$H:$H,'MtM Releases'!$G:$G,RESULTADO!$BN26,'MtM Releases'!$F:$F,RESULTADO!$BN24,'MtM Releases'!$D:$D,RESULTADO!BX$3)</f>
        <v>0</v>
      </c>
      <c r="BY26" s="53">
        <f>SUMIFS('MtM Releases'!$H:$H,'MtM Releases'!$G:$G,RESULTADO!$BN26,'MtM Releases'!$F:$F,RESULTADO!$BN24,'MtM Releases'!$D:$D,RESULTADO!BY$3)</f>
        <v>0</v>
      </c>
      <c r="BZ26" s="54">
        <f>SUMIFS('MtM Releases'!$H:$H,'MtM Releases'!$G:$G,RESULTADO!$BN26,'MtM Releases'!$F:$F,RESULTADO!$BN24,'MtM Releases'!$D:$D,RESULTADO!BZ$3)</f>
        <v>0</v>
      </c>
      <c r="CA26" s="53">
        <f>SUMIFS('MtM Releases'!$H:$H,'MtM Releases'!$G:$G,RESULTADO!$BN26,'MtM Releases'!$F:$F,RESULTADO!$BN24,'MtM Releases'!$D:$D,RESULTADO!CA$3)</f>
        <v>0</v>
      </c>
      <c r="CB26" s="53">
        <f>SUMIFS('MtM Releases'!$H:$H,'MtM Releases'!$G:$G,RESULTADO!$BN26,'MtM Releases'!$F:$F,RESULTADO!$BN24,'MtM Releases'!$D:$D,RESULTADO!CB$3)</f>
        <v>0</v>
      </c>
      <c r="CC26" s="53">
        <f>SUMIFS('MtM Releases'!$H:$H,'MtM Releases'!$G:$G,RESULTADO!$BN26,'MtM Releases'!$F:$F,RESULTADO!$BN24,'MtM Releases'!$D:$D,RESULTADO!CC$3)</f>
        <v>0</v>
      </c>
      <c r="CD26" s="53">
        <f>SUMIFS('MtM Releases'!$H:$H,'MtM Releases'!$G:$G,RESULTADO!$BN26,'MtM Releases'!$F:$F,RESULTADO!$BN24,'MtM Releases'!$D:$D,RESULTADO!CD$3)</f>
        <v>0</v>
      </c>
      <c r="CE26" s="53">
        <f>SUMIFS('MtM Releases'!$H:$H,'MtM Releases'!$G:$G,RESULTADO!$BN26,'MtM Releases'!$F:$F,RESULTADO!$BN24,'MtM Releases'!$D:$D,RESULTADO!CE$3)</f>
        <v>0</v>
      </c>
      <c r="CF26" s="53">
        <f>SUMIFS('MtM Releases'!$H:$H,'MtM Releases'!$G:$G,RESULTADO!$BN26,'MtM Releases'!$F:$F,RESULTADO!$BN24,'MtM Releases'!$D:$D,RESULTADO!CF$3)</f>
        <v>0</v>
      </c>
      <c r="CG26" s="53">
        <f>SUMIFS('MtM Releases'!$H:$H,'MtM Releases'!$G:$G,RESULTADO!$BN26,'MtM Releases'!$F:$F,RESULTADO!$BN24,'MtM Releases'!$D:$D,RESULTADO!CG$3)</f>
        <v>0</v>
      </c>
      <c r="CH26" s="53">
        <f>SUMIFS('MtM Releases'!$H:$H,'MtM Releases'!$G:$G,RESULTADO!$BN26,'MtM Releases'!$F:$F,RESULTADO!$BN24,'MtM Releases'!$D:$D,RESULTADO!CH$3)</f>
        <v>0</v>
      </c>
      <c r="CI26" s="53">
        <f>SUMIFS('MtM Releases'!$H:$H,'MtM Releases'!$G:$G,RESULTADO!$BN26,'MtM Releases'!$F:$F,RESULTADO!$BN24,'MtM Releases'!$D:$D,RESULTADO!CI$3)</f>
        <v>0</v>
      </c>
      <c r="CJ26" s="53">
        <f>SUMIFS('MtM Releases'!$H:$H,'MtM Releases'!$G:$G,RESULTADO!$BN26,'MtM Releases'!$F:$F,RESULTADO!$BN24,'MtM Releases'!$D:$D,RESULTADO!CJ$3)</f>
        <v>0</v>
      </c>
      <c r="CK26" s="53">
        <f>SUMIFS('MtM Releases'!$H:$H,'MtM Releases'!$G:$G,RESULTADO!$BN26,'MtM Releases'!$F:$F,RESULTADO!$BN24,'MtM Releases'!$D:$D,RESULTADO!CK$3)</f>
        <v>0</v>
      </c>
      <c r="CL26" s="63">
        <f>SUMIFS('MtM Releases'!$H:$H,'MtM Releases'!$G:$G,RESULTADO!$BN26,'MtM Releases'!$F:$F,RESULTADO!$BN24,'MtM Releases'!$D:$D,RESULTADO!CL$3)</f>
        <v>0</v>
      </c>
      <c r="CM26" s="53">
        <f>SUMIFS('MtM Releases'!$H:$H,'MtM Releases'!$G:$G,RESULTADO!$BN26,'MtM Releases'!$F:$F,RESULTADO!$BN24,'MtM Releases'!$D:$D,RESULTADO!CM$3)</f>
        <v>0</v>
      </c>
      <c r="CN26" s="53">
        <f>SUMIFS('MtM Releases'!$H:$H,'MtM Releases'!$G:$G,RESULTADO!$BN26,'MtM Releases'!$F:$F,RESULTADO!$BN24,'MtM Releases'!$D:$D,RESULTADO!CN$3)</f>
        <v>0</v>
      </c>
      <c r="CO26" s="53">
        <f>SUMIFS('MtM Releases'!$H:$H,'MtM Releases'!$G:$G,RESULTADO!$BN26,'MtM Releases'!$F:$F,RESULTADO!$BN24,'MtM Releases'!$D:$D,RESULTADO!CO$3)</f>
        <v>0</v>
      </c>
      <c r="CP26" s="53">
        <f>SUMIFS('MtM Releases'!$H:$H,'MtM Releases'!$G:$G,RESULTADO!$BN26,'MtM Releases'!$F:$F,RESULTADO!$BN24,'MtM Releases'!$D:$D,RESULTADO!CP$3)</f>
        <v>0</v>
      </c>
      <c r="CQ26" s="53">
        <f>SUMIFS('MtM Releases'!$H:$H,'MtM Releases'!$G:$G,RESULTADO!$BN26,'MtM Releases'!$F:$F,RESULTADO!$BN24,'MtM Releases'!$D:$D,RESULTADO!CQ$3)</f>
        <v>0</v>
      </c>
      <c r="CR26" s="53">
        <f>SUMIFS('MtM Releases'!$H:$H,'MtM Releases'!$G:$G,RESULTADO!$BN26,'MtM Releases'!$F:$F,RESULTADO!$BN24,'MtM Releases'!$D:$D,RESULTADO!CR$3)</f>
        <v>0</v>
      </c>
      <c r="CS26" s="53">
        <f>SUMIFS('MtM Releases'!$H:$H,'MtM Releases'!$G:$G,RESULTADO!$BN26,'MtM Releases'!$F:$F,RESULTADO!$BN24,'MtM Releases'!$D:$D,RESULTADO!CS$3)</f>
        <v>0</v>
      </c>
      <c r="CT26" s="53">
        <f>SUMIFS('MtM Releases'!$H:$H,'MtM Releases'!$G:$G,RESULTADO!$BN26,'MtM Releases'!$F:$F,RESULTADO!$BN24,'MtM Releases'!$D:$D,RESULTADO!CT$3)</f>
        <v>0</v>
      </c>
      <c r="CU26" s="53">
        <f>SUMIFS('MtM Releases'!$H:$H,'MtM Releases'!$G:$G,RESULTADO!$BN26,'MtM Releases'!$F:$F,RESULTADO!$BN24,'MtM Releases'!$D:$D,RESULTADO!CU$3)</f>
        <v>0</v>
      </c>
      <c r="CV26" s="53">
        <f>SUMIFS('MtM Releases'!$H:$H,'MtM Releases'!$G:$G,RESULTADO!$BN26,'MtM Releases'!$F:$F,RESULTADO!$BN24,'MtM Releases'!$D:$D,RESULTADO!CV$3)</f>
        <v>0</v>
      </c>
      <c r="CW26" s="53">
        <f>SUMIFS('MtM Releases'!$H:$H,'MtM Releases'!$G:$G,RESULTADO!$BN26,'MtM Releases'!$F:$F,RESULTADO!$BN24,'MtM Releases'!$D:$D,RESULTADO!CW$3)</f>
        <v>0</v>
      </c>
      <c r="CX26" s="54">
        <f>SUMIFS('MtM Releases'!$H:$H,'MtM Releases'!$G:$G,RESULTADO!$BN26,'MtM Releases'!$F:$F,RESULTADO!$BN24,'MtM Releases'!$D:$D,RESULTADO!CX$3)</f>
        <v>0</v>
      </c>
      <c r="CY26" s="53">
        <f>SUMIFS('MtM Releases'!$H:$H,'MtM Releases'!$G:$G,RESULTADO!$BN26,'MtM Releases'!$F:$F,RESULTADO!$BN24,'MtM Releases'!$D:$D,RESULTADO!CY$3)</f>
        <v>0</v>
      </c>
      <c r="CZ26" s="53">
        <f>SUMIFS('MtM Releases'!$H:$H,'MtM Releases'!$G:$G,RESULTADO!$BN26,'MtM Releases'!$F:$F,RESULTADO!$BN24,'MtM Releases'!$D:$D,RESULTADO!CZ$3)</f>
        <v>0</v>
      </c>
      <c r="DA26" s="53">
        <f>SUMIFS('MtM Releases'!$H:$H,'MtM Releases'!$G:$G,RESULTADO!$BN26,'MtM Releases'!$F:$F,RESULTADO!$BN24,'MtM Releases'!$D:$D,RESULTADO!DA$3)</f>
        <v>0</v>
      </c>
      <c r="DB26" s="53">
        <f>SUMIFS('MtM Releases'!$H:$H,'MtM Releases'!$G:$G,RESULTADO!$BN26,'MtM Releases'!$F:$F,RESULTADO!$BN24,'MtM Releases'!$D:$D,RESULTADO!DB$3)</f>
        <v>0</v>
      </c>
      <c r="DC26" s="53">
        <f>SUMIFS('MtM Releases'!$H:$H,'MtM Releases'!$G:$G,RESULTADO!$BN26,'MtM Releases'!$F:$F,RESULTADO!$BN24,'MtM Releases'!$D:$D,RESULTADO!DC$3)</f>
        <v>0</v>
      </c>
      <c r="DD26" s="53">
        <f>SUMIFS('MtM Releases'!$H:$H,'MtM Releases'!$G:$G,RESULTADO!$BN26,'MtM Releases'!$F:$F,RESULTADO!$BN24,'MtM Releases'!$D:$D,RESULTADO!DD$3)</f>
        <v>0</v>
      </c>
      <c r="DE26" s="53">
        <f>SUMIFS('MtM Releases'!$H:$H,'MtM Releases'!$G:$G,RESULTADO!$BN26,'MtM Releases'!$F:$F,RESULTADO!$BN24,'MtM Releases'!$D:$D,RESULTADO!DE$3)</f>
        <v>0</v>
      </c>
      <c r="DF26" s="53">
        <f>SUMIFS('MtM Releases'!$H:$H,'MtM Releases'!$G:$G,RESULTADO!$BN26,'MtM Releases'!$F:$F,RESULTADO!$BN24,'MtM Releases'!$D:$D,RESULTADO!DF$3)</f>
        <v>0</v>
      </c>
      <c r="DG26" s="53">
        <f>SUMIFS('MtM Releases'!$H:$H,'MtM Releases'!$G:$G,RESULTADO!$BN26,'MtM Releases'!$F:$F,RESULTADO!$BN24,'MtM Releases'!$D:$D,RESULTADO!DG$3)</f>
        <v>0</v>
      </c>
      <c r="DH26" s="53">
        <f>SUMIFS('MtM Releases'!$H:$H,'MtM Releases'!$G:$G,RESULTADO!$BN26,'MtM Releases'!$F:$F,RESULTADO!$BN24,'MtM Releases'!$D:$D,RESULTADO!DH$3)</f>
        <v>0</v>
      </c>
      <c r="DI26" s="53">
        <f>SUMIFS('MtM Releases'!$H:$H,'MtM Releases'!$G:$G,RESULTADO!$BN26,'MtM Releases'!$F:$F,RESULTADO!$BN24,'MtM Releases'!$D:$D,RESULTADO!DI$3)</f>
        <v>0</v>
      </c>
      <c r="DJ26" s="63">
        <f>SUMIFS('MtM Releases'!$H:$H,'MtM Releases'!$G:$G,RESULTADO!$BN26,'MtM Releases'!$F:$F,RESULTADO!$BN24,'MtM Releases'!$D:$D,RESULTADO!DJ$3)</f>
        <v>0</v>
      </c>
      <c r="DK26" s="53">
        <f>SUMIFS('MtM Releases'!$H:$H,'MtM Releases'!$G:$G,RESULTADO!$BN26,'MtM Releases'!$F:$F,RESULTADO!$BN24,'MtM Releases'!$D:$D,RESULTADO!DK$3)</f>
        <v>0</v>
      </c>
      <c r="DL26" s="53">
        <f>SUMIFS('MtM Releases'!$H:$H,'MtM Releases'!$G:$G,RESULTADO!$BN26,'MtM Releases'!$F:$F,RESULTADO!$BN24,'MtM Releases'!$D:$D,RESULTADO!DL$3)</f>
        <v>0</v>
      </c>
      <c r="DM26" s="53">
        <f>SUMIFS('MtM Releases'!$H:$H,'MtM Releases'!$G:$G,RESULTADO!$BN26,'MtM Releases'!$F:$F,RESULTADO!$BN24,'MtM Releases'!$D:$D,RESULTADO!DM$3)</f>
        <v>0</v>
      </c>
      <c r="DN26" s="53">
        <f>SUMIFS('MtM Releases'!$H:$H,'MtM Releases'!$G:$G,RESULTADO!$BN26,'MtM Releases'!$F:$F,RESULTADO!$BN24,'MtM Releases'!$D:$D,RESULTADO!DN$3)</f>
        <v>0</v>
      </c>
      <c r="DO26" s="53">
        <f>SUMIFS('MtM Releases'!$H:$H,'MtM Releases'!$G:$G,RESULTADO!$BN26,'MtM Releases'!$F:$F,RESULTADO!$BN24,'MtM Releases'!$D:$D,RESULTADO!DO$3)</f>
        <v>0</v>
      </c>
      <c r="DP26" s="53">
        <f>SUMIFS('MtM Releases'!$H:$H,'MtM Releases'!$G:$G,RESULTADO!$BN26,'MtM Releases'!$F:$F,RESULTADO!$BN24,'MtM Releases'!$D:$D,RESULTADO!DP$3)</f>
        <v>0</v>
      </c>
      <c r="DQ26" s="53">
        <f>SUMIFS('MtM Releases'!$H:$H,'MtM Releases'!$G:$G,RESULTADO!$BN26,'MtM Releases'!$F:$F,RESULTADO!$BN24,'MtM Releases'!$D:$D,RESULTADO!DQ$3)</f>
        <v>0</v>
      </c>
      <c r="DR26" s="53">
        <f>SUMIFS('MtM Releases'!$H:$H,'MtM Releases'!$G:$G,RESULTADO!$BN26,'MtM Releases'!$F:$F,RESULTADO!$BN24,'MtM Releases'!$D:$D,RESULTADO!DR$3)</f>
        <v>0</v>
      </c>
      <c r="DS26" s="53">
        <f>SUMIFS('MtM Releases'!$H:$H,'MtM Releases'!$G:$G,RESULTADO!$BN26,'MtM Releases'!$F:$F,RESULTADO!$BN24,'MtM Releases'!$D:$D,RESULTADO!DS$3)</f>
        <v>0</v>
      </c>
      <c r="DT26" s="53">
        <f>SUMIFS('MtM Releases'!$H:$H,'MtM Releases'!$G:$G,RESULTADO!$BN26,'MtM Releases'!$F:$F,RESULTADO!$BN24,'MtM Releases'!$D:$D,RESULTADO!DT$3)</f>
        <v>0</v>
      </c>
      <c r="DU26" s="53">
        <f>SUMIFS('MtM Releases'!$H:$H,'MtM Releases'!$G:$G,RESULTADO!$BN26,'MtM Releases'!$F:$F,RESULTADO!$BN24,'MtM Releases'!$D:$D,RESULTADO!DU$3)</f>
        <v>0</v>
      </c>
      <c r="DV26" s="63">
        <f>SUMIFS('MtM Releases'!$H:$H,'MtM Releases'!$G:$G,RESULTADO!$BN26,'MtM Releases'!$F:$F,RESULTADO!$BN24,'MtM Releases'!$D:$D,RESULTADO!DV$3)</f>
        <v>0</v>
      </c>
    </row>
    <row r="27" spans="2:132" x14ac:dyDescent="0.25">
      <c r="B27" s="57" t="s">
        <v>13</v>
      </c>
      <c r="C27" s="53">
        <f>(SUMIFS(MtM!$M:$M,MtM!$I:$I,RESULTADO!$B27,MtM!$H:$H,RESULTADO!$B$24,MtM!$E:$E,RESULTADO!C$3)-SUMIFS(MtM!$N:$N,MtM!$I:$I,RESULTADO!$B27,MtM!$H:$H,RESULTADO!$B$24,MtM!$E:$E,RESULTADO!C$3))</f>
        <v>0</v>
      </c>
      <c r="D27" s="53">
        <f>(SUMIFS(MtM!$M:$M,MtM!$I:$I,RESULTADO!$B27,MtM!$H:$H,RESULTADO!$B$24,MtM!$E:$E,RESULTADO!D$3)-SUMIFS(MtM!$N:$N,MtM!$I:$I,RESULTADO!$B27,MtM!$H:$H,RESULTADO!$B$24,MtM!$E:$E,RESULTADO!D$3))</f>
        <v>0</v>
      </c>
      <c r="E27" s="53">
        <f>(SUMIFS(MtM!$M:$M,MtM!$I:$I,RESULTADO!$B27,MtM!$H:$H,RESULTADO!$B$24,MtM!$E:$E,RESULTADO!E$3)-SUMIFS(MtM!$N:$N,MtM!$I:$I,RESULTADO!$B27,MtM!$H:$H,RESULTADO!$B$24,MtM!$E:$E,RESULTADO!E$3))</f>
        <v>0</v>
      </c>
      <c r="F27" s="53">
        <f>(SUMIFS(MtM!$M:$M,MtM!$I:$I,RESULTADO!$B27,MtM!$H:$H,RESULTADO!$B$24,MtM!$E:$E,RESULTADO!F$3)-SUMIFS(MtM!$N:$N,MtM!$I:$I,RESULTADO!$B27,MtM!$H:$H,RESULTADO!$B$24,MtM!$E:$E,RESULTADO!F$3))</f>
        <v>0</v>
      </c>
      <c r="G27" s="53">
        <f>(SUMIFS(MtM!$M:$M,MtM!$I:$I,RESULTADO!$B27,MtM!$H:$H,RESULTADO!$B$24,MtM!$E:$E,RESULTADO!G$3)-SUMIFS(MtM!$N:$N,MtM!$I:$I,RESULTADO!$B27,MtM!$H:$H,RESULTADO!$B$24,MtM!$E:$E,RESULTADO!G$3))</f>
        <v>0</v>
      </c>
      <c r="H27" s="53">
        <f>(SUMIFS(MtM!$M:$M,MtM!$I:$I,RESULTADO!$B27,MtM!$H:$H,RESULTADO!$B$24,MtM!$E:$E,RESULTADO!H$3)-SUMIFS(MtM!$N:$N,MtM!$I:$I,RESULTADO!$B27,MtM!$H:$H,RESULTADO!$B$24,MtM!$E:$E,RESULTADO!H$3))</f>
        <v>0</v>
      </c>
      <c r="I27" s="53">
        <f>(SUMIFS(MtM!$M:$M,MtM!$I:$I,RESULTADO!$B27,MtM!$H:$H,RESULTADO!$B$24,MtM!$E:$E,RESULTADO!I$3)-SUMIFS(MtM!$N:$N,MtM!$I:$I,RESULTADO!$B27,MtM!$H:$H,RESULTADO!$B$24,MtM!$E:$E,RESULTADO!I$3))</f>
        <v>0</v>
      </c>
      <c r="J27" s="53">
        <f>(SUMIFS(MtM!$M:$M,MtM!$I:$I,RESULTADO!$B27,MtM!$H:$H,RESULTADO!$B$24,MtM!$E:$E,RESULTADO!J$3)-SUMIFS(MtM!$N:$N,MtM!$I:$I,RESULTADO!$B27,MtM!$H:$H,RESULTADO!$B$24,MtM!$E:$E,RESULTADO!J$3))</f>
        <v>0</v>
      </c>
      <c r="K27" s="53">
        <f>(SUMIFS(MtM!$M:$M,MtM!$I:$I,RESULTADO!$B27,MtM!$H:$H,RESULTADO!$B$24,MtM!$E:$E,RESULTADO!K$3)-SUMIFS(MtM!$N:$N,MtM!$I:$I,RESULTADO!$B27,MtM!$H:$H,RESULTADO!$B$24,MtM!$E:$E,RESULTADO!K$3))</f>
        <v>0</v>
      </c>
      <c r="L27" s="53">
        <f>(SUMIFS(MtM!$M:$M,MtM!$I:$I,RESULTADO!$B27,MtM!$H:$H,RESULTADO!$B$24,MtM!$E:$E,RESULTADO!L$3)-SUMIFS(MtM!$N:$N,MtM!$I:$I,RESULTADO!$B27,MtM!$H:$H,RESULTADO!$B$24,MtM!$E:$E,RESULTADO!L$3))</f>
        <v>0</v>
      </c>
      <c r="M27" s="53">
        <f>(SUMIFS(MtM!$M:$M,MtM!$I:$I,RESULTADO!$B27,MtM!$H:$H,RESULTADO!$B$24,MtM!$E:$E,RESULTADO!M$3)-SUMIFS(MtM!$N:$N,MtM!$I:$I,RESULTADO!$B27,MtM!$H:$H,RESULTADO!$B$24,MtM!$E:$E,RESULTADO!M$3))</f>
        <v>0</v>
      </c>
      <c r="N27" s="54">
        <f>(SUMIFS(MtM!$M:$M,MtM!$I:$I,RESULTADO!$B27,MtM!$H:$H,RESULTADO!$B$24,MtM!$E:$E,RESULTADO!N$3)-SUMIFS(MtM!$N:$N,MtM!$I:$I,RESULTADO!$B27,MtM!$H:$H,RESULTADO!$B$24,MtM!$E:$E,RESULTADO!N$3))</f>
        <v>0</v>
      </c>
      <c r="O27" s="53">
        <f>(SUMIFS(MtM!$M:$M,MtM!$I:$I,RESULTADO!$B27,MtM!$H:$H,RESULTADO!$B$24,MtM!$E:$E,RESULTADO!O$3)-SUMIFS(MtM!$N:$N,MtM!$I:$I,RESULTADO!$B27,MtM!$H:$H,RESULTADO!$B$24,MtM!$E:$E,RESULTADO!O$3))</f>
        <v>0</v>
      </c>
      <c r="P27" s="53">
        <f>(SUMIFS(MtM!$M:$M,MtM!$I:$I,RESULTADO!$B27,MtM!$H:$H,RESULTADO!$B$24,MtM!$E:$E,RESULTADO!P$3)-SUMIFS(MtM!$N:$N,MtM!$I:$I,RESULTADO!$B27,MtM!$H:$H,RESULTADO!$B$24,MtM!$E:$E,RESULTADO!P$3))</f>
        <v>0</v>
      </c>
      <c r="Q27" s="53">
        <f>(SUMIFS(MtM!$M:$M,MtM!$I:$I,RESULTADO!$B27,MtM!$H:$H,RESULTADO!$B$24,MtM!$E:$E,RESULTADO!Q$3)-SUMIFS(MtM!$N:$N,MtM!$I:$I,RESULTADO!$B27,MtM!$H:$H,RESULTADO!$B$24,MtM!$E:$E,RESULTADO!Q$3))</f>
        <v>0</v>
      </c>
      <c r="R27" s="53">
        <f>(SUMIFS(MtM!$M:$M,MtM!$I:$I,RESULTADO!$B27,MtM!$H:$H,RESULTADO!$B$24,MtM!$E:$E,RESULTADO!R$3)-SUMIFS(MtM!$N:$N,MtM!$I:$I,RESULTADO!$B27,MtM!$H:$H,RESULTADO!$B$24,MtM!$E:$E,RESULTADO!R$3))</f>
        <v>0</v>
      </c>
      <c r="S27" s="53">
        <f>(SUMIFS(MtM!$M:$M,MtM!$I:$I,RESULTADO!$B27,MtM!$H:$H,RESULTADO!$B$24,MtM!$E:$E,RESULTADO!S$3)-SUMIFS(MtM!$N:$N,MtM!$I:$I,RESULTADO!$B27,MtM!$H:$H,RESULTADO!$B$24,MtM!$E:$E,RESULTADO!S$3))</f>
        <v>0</v>
      </c>
      <c r="T27" s="53">
        <f>(SUMIFS(MtM!$M:$M,MtM!$I:$I,RESULTADO!$B27,MtM!$H:$H,RESULTADO!$B$24,MtM!$E:$E,RESULTADO!T$3)-SUMIFS(MtM!$N:$N,MtM!$I:$I,RESULTADO!$B27,MtM!$H:$H,RESULTADO!$B$24,MtM!$E:$E,RESULTADO!T$3))</f>
        <v>0</v>
      </c>
      <c r="U27" s="53">
        <f>(SUMIFS(MtM!$M:$M,MtM!$I:$I,RESULTADO!$B27,MtM!$H:$H,RESULTADO!$B$24,MtM!$E:$E,RESULTADO!U$3)-SUMIFS(MtM!$N:$N,MtM!$I:$I,RESULTADO!$B27,MtM!$H:$H,RESULTADO!$B$24,MtM!$E:$E,RESULTADO!U$3))</f>
        <v>0</v>
      </c>
      <c r="V27" s="53">
        <f>(SUMIFS(MtM!$M:$M,MtM!$I:$I,RESULTADO!$B27,MtM!$H:$H,RESULTADO!$B$24,MtM!$E:$E,RESULTADO!V$3)-SUMIFS(MtM!$N:$N,MtM!$I:$I,RESULTADO!$B27,MtM!$H:$H,RESULTADO!$B$24,MtM!$E:$E,RESULTADO!V$3))</f>
        <v>0</v>
      </c>
      <c r="W27" s="53">
        <f>(SUMIFS(MtM!$M:$M,MtM!$I:$I,RESULTADO!$B27,MtM!$H:$H,RESULTADO!$B$24,MtM!$E:$E,RESULTADO!W$3)-SUMIFS(MtM!$N:$N,MtM!$I:$I,RESULTADO!$B27,MtM!$H:$H,RESULTADO!$B$24,MtM!$E:$E,RESULTADO!W$3))</f>
        <v>0</v>
      </c>
      <c r="X27" s="53">
        <f>(SUMIFS(MtM!$M:$M,MtM!$I:$I,RESULTADO!$B27,MtM!$H:$H,RESULTADO!$B$24,MtM!$E:$E,RESULTADO!X$3)-SUMIFS(MtM!$N:$N,MtM!$I:$I,RESULTADO!$B27,MtM!$H:$H,RESULTADO!$B$24,MtM!$E:$E,RESULTADO!X$3))</f>
        <v>0</v>
      </c>
      <c r="Y27" s="53">
        <f>(SUMIFS(MtM!$M:$M,MtM!$I:$I,RESULTADO!$B27,MtM!$H:$H,RESULTADO!$B$24,MtM!$E:$E,RESULTADO!Y$3)-SUMIFS(MtM!$N:$N,MtM!$I:$I,RESULTADO!$B27,MtM!$H:$H,RESULTADO!$B$24,MtM!$E:$E,RESULTADO!Y$3))</f>
        <v>0</v>
      </c>
      <c r="Z27" s="63">
        <f>(SUMIFS(MtM!$M:$M,MtM!$I:$I,RESULTADO!$B27,MtM!$H:$H,RESULTADO!$B$24,MtM!$E:$E,RESULTADO!Z$3)-SUMIFS(MtM!$N:$N,MtM!$I:$I,RESULTADO!$B27,MtM!$H:$H,RESULTADO!$B$24,MtM!$E:$E,RESULTADO!Z$3))</f>
        <v>0</v>
      </c>
      <c r="AA27" s="53">
        <f>(SUMIFS(MtM!$M:$M,MtM!$I:$I,RESULTADO!$B27,MtM!$H:$H,RESULTADO!$B$24,MtM!$E:$E,RESULTADO!AA$3)-SUMIFS(MtM!$N:$N,MtM!$I:$I,RESULTADO!$B27,MtM!$H:$H,RESULTADO!$B$24,MtM!$E:$E,RESULTADO!AA$3))</f>
        <v>0</v>
      </c>
      <c r="AB27" s="53">
        <f>(SUMIFS(MtM!$M:$M,MtM!$I:$I,RESULTADO!$B27,MtM!$H:$H,RESULTADO!$B$24,MtM!$E:$E,RESULTADO!AB$3)-SUMIFS(MtM!$N:$N,MtM!$I:$I,RESULTADO!$B27,MtM!$H:$H,RESULTADO!$B$24,MtM!$E:$E,RESULTADO!AB$3))</f>
        <v>0</v>
      </c>
      <c r="AC27" s="53">
        <f>(SUMIFS(MtM!$M:$M,MtM!$I:$I,RESULTADO!$B27,MtM!$H:$H,RESULTADO!$B$24,MtM!$E:$E,RESULTADO!AC$3)-SUMIFS(MtM!$N:$N,MtM!$I:$I,RESULTADO!$B27,MtM!$H:$H,RESULTADO!$B$24,MtM!$E:$E,RESULTADO!AC$3))</f>
        <v>0</v>
      </c>
      <c r="AD27" s="53">
        <f>(SUMIFS(MtM!$M:$M,MtM!$I:$I,RESULTADO!$B27,MtM!$H:$H,RESULTADO!$B$24,MtM!$E:$E,RESULTADO!AD$3)-SUMIFS(MtM!$N:$N,MtM!$I:$I,RESULTADO!$B27,MtM!$H:$H,RESULTADO!$B$24,MtM!$E:$E,RESULTADO!AD$3))</f>
        <v>0</v>
      </c>
      <c r="AE27" s="53">
        <f>(SUMIFS(MtM!$M:$M,MtM!$I:$I,RESULTADO!$B27,MtM!$H:$H,RESULTADO!$B$24,MtM!$E:$E,RESULTADO!AE$3)-SUMIFS(MtM!$N:$N,MtM!$I:$I,RESULTADO!$B27,MtM!$H:$H,RESULTADO!$B$24,MtM!$E:$E,RESULTADO!AE$3))</f>
        <v>0</v>
      </c>
      <c r="AF27" s="53">
        <f>(SUMIFS(MtM!$M:$M,MtM!$I:$I,RESULTADO!$B27,MtM!$H:$H,RESULTADO!$B$24,MtM!$E:$E,RESULTADO!AF$3)-SUMIFS(MtM!$N:$N,MtM!$I:$I,RESULTADO!$B27,MtM!$H:$H,RESULTADO!$B$24,MtM!$E:$E,RESULTADO!AF$3))</f>
        <v>0</v>
      </c>
      <c r="AG27" s="53">
        <f>(SUMIFS(MtM!$M:$M,MtM!$I:$I,RESULTADO!$B27,MtM!$H:$H,RESULTADO!$B$24,MtM!$E:$E,RESULTADO!AG$3)-SUMIFS(MtM!$N:$N,MtM!$I:$I,RESULTADO!$B27,MtM!$H:$H,RESULTADO!$B$24,MtM!$E:$E,RESULTADO!AG$3))</f>
        <v>0</v>
      </c>
      <c r="AH27" s="53">
        <f>(SUMIFS(MtM!$M:$M,MtM!$I:$I,RESULTADO!$B27,MtM!$H:$H,RESULTADO!$B$24,MtM!$E:$E,RESULTADO!AH$3)-SUMIFS(MtM!$N:$N,MtM!$I:$I,RESULTADO!$B27,MtM!$H:$H,RESULTADO!$B$24,MtM!$E:$E,RESULTADO!AH$3))</f>
        <v>0</v>
      </c>
      <c r="AI27" s="53">
        <f>(SUMIFS(MtM!$M:$M,MtM!$I:$I,RESULTADO!$B27,MtM!$H:$H,RESULTADO!$B$24,MtM!$E:$E,RESULTADO!AI$3)-SUMIFS(MtM!$N:$N,MtM!$I:$I,RESULTADO!$B27,MtM!$H:$H,RESULTADO!$B$24,MtM!$E:$E,RESULTADO!AI$3))</f>
        <v>0</v>
      </c>
      <c r="AJ27" s="53">
        <f>(SUMIFS(MtM!$M:$M,MtM!$I:$I,RESULTADO!$B27,MtM!$H:$H,RESULTADO!$B$24,MtM!$E:$E,RESULTADO!AJ$3)-SUMIFS(MtM!$N:$N,MtM!$I:$I,RESULTADO!$B27,MtM!$H:$H,RESULTADO!$B$24,MtM!$E:$E,RESULTADO!AJ$3))</f>
        <v>0</v>
      </c>
      <c r="AK27" s="53">
        <f>(SUMIFS(MtM!$M:$M,MtM!$I:$I,RESULTADO!$B27,MtM!$H:$H,RESULTADO!$B$24,MtM!$E:$E,RESULTADO!AK$3)-SUMIFS(MtM!$N:$N,MtM!$I:$I,RESULTADO!$B27,MtM!$H:$H,RESULTADO!$B$24,MtM!$E:$E,RESULTADO!AK$3))</f>
        <v>0</v>
      </c>
      <c r="AL27" s="54">
        <f>(SUMIFS(MtM!$M:$M,MtM!$I:$I,RESULTADO!$B27,MtM!$H:$H,RESULTADO!$B$24,MtM!$E:$E,RESULTADO!AL$3)-SUMIFS(MtM!$N:$N,MtM!$I:$I,RESULTADO!$B27,MtM!$H:$H,RESULTADO!$B$24,MtM!$E:$E,RESULTADO!AL$3))</f>
        <v>0</v>
      </c>
      <c r="AM27" s="53">
        <f>(SUMIFS(MtM!$M:$M,MtM!$I:$I,RESULTADO!$B27,MtM!$H:$H,RESULTADO!$B$24,MtM!$E:$E,RESULTADO!AM$3)-SUMIFS(MtM!$N:$N,MtM!$I:$I,RESULTADO!$B27,MtM!$H:$H,RESULTADO!$B$24,MtM!$E:$E,RESULTADO!AM$3))</f>
        <v>0</v>
      </c>
      <c r="AN27" s="53">
        <f>(SUMIFS(MtM!$M:$M,MtM!$I:$I,RESULTADO!$B27,MtM!$H:$H,RESULTADO!$B$24,MtM!$E:$E,RESULTADO!AN$3)-SUMIFS(MtM!$N:$N,MtM!$I:$I,RESULTADO!$B27,MtM!$H:$H,RESULTADO!$B$24,MtM!$E:$E,RESULTADO!AN$3))</f>
        <v>0</v>
      </c>
      <c r="AO27" s="53">
        <f>(SUMIFS(MtM!$M:$M,MtM!$I:$I,RESULTADO!$B27,MtM!$H:$H,RESULTADO!$B$24,MtM!$E:$E,RESULTADO!AO$3)-SUMIFS(MtM!$N:$N,MtM!$I:$I,RESULTADO!$B27,MtM!$H:$H,RESULTADO!$B$24,MtM!$E:$E,RESULTADO!AO$3))</f>
        <v>0</v>
      </c>
      <c r="AP27" s="53">
        <f>(SUMIFS(MtM!$M:$M,MtM!$I:$I,RESULTADO!$B27,MtM!$H:$H,RESULTADO!$B$24,MtM!$E:$E,RESULTADO!AP$3)-SUMIFS(MtM!$N:$N,MtM!$I:$I,RESULTADO!$B27,MtM!$H:$H,RESULTADO!$B$24,MtM!$E:$E,RESULTADO!AP$3))</f>
        <v>0</v>
      </c>
      <c r="AQ27" s="53">
        <f>(SUMIFS(MtM!$M:$M,MtM!$I:$I,RESULTADO!$B27,MtM!$H:$H,RESULTADO!$B$24,MtM!$E:$E,RESULTADO!AQ$3)-SUMIFS(MtM!$N:$N,MtM!$I:$I,RESULTADO!$B27,MtM!$H:$H,RESULTADO!$B$24,MtM!$E:$E,RESULTADO!AQ$3))</f>
        <v>0</v>
      </c>
      <c r="AR27" s="53">
        <f>(SUMIFS(MtM!$M:$M,MtM!$I:$I,RESULTADO!$B27,MtM!$H:$H,RESULTADO!$B$24,MtM!$E:$E,RESULTADO!AR$3)-SUMIFS(MtM!$N:$N,MtM!$I:$I,RESULTADO!$B27,MtM!$H:$H,RESULTADO!$B$24,MtM!$E:$E,RESULTADO!AR$3))</f>
        <v>0</v>
      </c>
      <c r="AS27" s="53">
        <f>(SUMIFS(MtM!$M:$M,MtM!$I:$I,RESULTADO!$B27,MtM!$H:$H,RESULTADO!$B$24,MtM!$E:$E,RESULTADO!AS$3)-SUMIFS(MtM!$N:$N,MtM!$I:$I,RESULTADO!$B27,MtM!$H:$H,RESULTADO!$B$24,MtM!$E:$E,RESULTADO!AS$3))</f>
        <v>0</v>
      </c>
      <c r="AT27" s="53">
        <f>(SUMIFS(MtM!$M:$M,MtM!$I:$I,RESULTADO!$B27,MtM!$H:$H,RESULTADO!$B$24,MtM!$E:$E,RESULTADO!AT$3)-SUMIFS(MtM!$N:$N,MtM!$I:$I,RESULTADO!$B27,MtM!$H:$H,RESULTADO!$B$24,MtM!$E:$E,RESULTADO!AT$3))</f>
        <v>0</v>
      </c>
      <c r="AU27" s="53">
        <f>(SUMIFS(MtM!$M:$M,MtM!$I:$I,RESULTADO!$B27,MtM!$H:$H,RESULTADO!$B$24,MtM!$E:$E,RESULTADO!AU$3)-SUMIFS(MtM!$N:$N,MtM!$I:$I,RESULTADO!$B27,MtM!$H:$H,RESULTADO!$B$24,MtM!$E:$E,RESULTADO!AU$3))</f>
        <v>0</v>
      </c>
      <c r="AV27" s="53">
        <f>(SUMIFS(MtM!$M:$M,MtM!$I:$I,RESULTADO!$B27,MtM!$H:$H,RESULTADO!$B$24,MtM!$E:$E,RESULTADO!AV$3)-SUMIFS(MtM!$N:$N,MtM!$I:$I,RESULTADO!$B27,MtM!$H:$H,RESULTADO!$B$24,MtM!$E:$E,RESULTADO!AV$3))</f>
        <v>0</v>
      </c>
      <c r="AW27" s="53">
        <f>(SUMIFS(MtM!$M:$M,MtM!$I:$I,RESULTADO!$B27,MtM!$H:$H,RESULTADO!$B$24,MtM!$E:$E,RESULTADO!AW$3)-SUMIFS(MtM!$N:$N,MtM!$I:$I,RESULTADO!$B27,MtM!$H:$H,RESULTADO!$B$24,MtM!$E:$E,RESULTADO!AW$3))</f>
        <v>0</v>
      </c>
      <c r="AX27" s="63">
        <f>(SUMIFS(MtM!$M:$M,MtM!$I:$I,RESULTADO!$B27,MtM!$H:$H,RESULTADO!$B$24,MtM!$E:$E,RESULTADO!AX$3)-SUMIFS(MtM!$N:$N,MtM!$I:$I,RESULTADO!$B27,MtM!$H:$H,RESULTADO!$B$24,MtM!$E:$E,RESULTADO!AX$3))</f>
        <v>0</v>
      </c>
      <c r="AY27" s="53">
        <f>(SUMIFS(MtM!$M:$M,MtM!$I:$I,RESULTADO!$B27,MtM!$H:$H,RESULTADO!$B$24,MtM!$E:$E,RESULTADO!AY$3)-SUMIFS(MtM!$N:$N,MtM!$I:$I,RESULTADO!$B27,MtM!$H:$H,RESULTADO!$B$24,MtM!$E:$E,RESULTADO!AY$3))</f>
        <v>0</v>
      </c>
      <c r="AZ27" s="53">
        <f>(SUMIFS(MtM!$M:$M,MtM!$I:$I,RESULTADO!$B27,MtM!$H:$H,RESULTADO!$B$24,MtM!$E:$E,RESULTADO!AZ$3)-SUMIFS(MtM!$N:$N,MtM!$I:$I,RESULTADO!$B27,MtM!$H:$H,RESULTADO!$B$24,MtM!$E:$E,RESULTADO!AZ$3))</f>
        <v>0</v>
      </c>
      <c r="BA27" s="53">
        <f>(SUMIFS(MtM!$M:$M,MtM!$I:$I,RESULTADO!$B27,MtM!$H:$H,RESULTADO!$B$24,MtM!$E:$E,RESULTADO!BA$3)-SUMIFS(MtM!$N:$N,MtM!$I:$I,RESULTADO!$B27,MtM!$H:$H,RESULTADO!$B$24,MtM!$E:$E,RESULTADO!BA$3))</f>
        <v>0</v>
      </c>
      <c r="BB27" s="53">
        <f>(SUMIFS(MtM!$M:$M,MtM!$I:$I,RESULTADO!$B27,MtM!$H:$H,RESULTADO!$B$24,MtM!$E:$E,RESULTADO!BB$3)-SUMIFS(MtM!$N:$N,MtM!$I:$I,RESULTADO!$B27,MtM!$H:$H,RESULTADO!$B$24,MtM!$E:$E,RESULTADO!BB$3))</f>
        <v>0</v>
      </c>
      <c r="BC27" s="53">
        <f>(SUMIFS(MtM!$M:$M,MtM!$I:$I,RESULTADO!$B27,MtM!$H:$H,RESULTADO!$B$24,MtM!$E:$E,RESULTADO!BC$3)-SUMIFS(MtM!$N:$N,MtM!$I:$I,RESULTADO!$B27,MtM!$H:$H,RESULTADO!$B$24,MtM!$E:$E,RESULTADO!BC$3))</f>
        <v>0</v>
      </c>
      <c r="BD27" s="53">
        <f>(SUMIFS(MtM!$M:$M,MtM!$I:$I,RESULTADO!$B27,MtM!$H:$H,RESULTADO!$B$24,MtM!$E:$E,RESULTADO!BD$3)-SUMIFS(MtM!$N:$N,MtM!$I:$I,RESULTADO!$B27,MtM!$H:$H,RESULTADO!$B$24,MtM!$E:$E,RESULTADO!BD$3))</f>
        <v>0</v>
      </c>
      <c r="BE27" s="53">
        <f>(SUMIFS(MtM!$M:$M,MtM!$I:$I,RESULTADO!$B27,MtM!$H:$H,RESULTADO!$B$24,MtM!$E:$E,RESULTADO!BE$3)-SUMIFS(MtM!$N:$N,MtM!$I:$I,RESULTADO!$B27,MtM!$H:$H,RESULTADO!$B$24,MtM!$E:$E,RESULTADO!BE$3))</f>
        <v>0</v>
      </c>
      <c r="BF27" s="53">
        <f>(SUMIFS(MtM!$M:$M,MtM!$I:$I,RESULTADO!$B27,MtM!$H:$H,RESULTADO!$B$24,MtM!$E:$E,RESULTADO!BF$3)-SUMIFS(MtM!$N:$N,MtM!$I:$I,RESULTADO!$B27,MtM!$H:$H,RESULTADO!$B$24,MtM!$E:$E,RESULTADO!BF$3))</f>
        <v>0</v>
      </c>
      <c r="BG27" s="53">
        <f>(SUMIFS(MtM!$M:$M,MtM!$I:$I,RESULTADO!$B27,MtM!$H:$H,RESULTADO!$B$24,MtM!$E:$E,RESULTADO!BG$3)-SUMIFS(MtM!$N:$N,MtM!$I:$I,RESULTADO!$B27,MtM!$H:$H,RESULTADO!$B$24,MtM!$E:$E,RESULTADO!BG$3))</f>
        <v>0</v>
      </c>
      <c r="BH27" s="53">
        <f>(SUMIFS(MtM!$M:$M,MtM!$I:$I,RESULTADO!$B27,MtM!$H:$H,RESULTADO!$B$24,MtM!$E:$E,RESULTADO!BH$3)-SUMIFS(MtM!$N:$N,MtM!$I:$I,RESULTADO!$B27,MtM!$H:$H,RESULTADO!$B$24,MtM!$E:$E,RESULTADO!BH$3))</f>
        <v>0</v>
      </c>
      <c r="BI27" s="53">
        <f>(SUMIFS(MtM!$M:$M,MtM!$I:$I,RESULTADO!$B27,MtM!$H:$H,RESULTADO!$B$24,MtM!$E:$E,RESULTADO!BI$3)-SUMIFS(MtM!$N:$N,MtM!$I:$I,RESULTADO!$B27,MtM!$H:$H,RESULTADO!$B$24,MtM!$E:$E,RESULTADO!BI$3))</f>
        <v>0</v>
      </c>
      <c r="BJ27" s="63">
        <f>(SUMIFS(MtM!$M:$M,MtM!$I:$I,RESULTADO!$B27,MtM!$H:$H,RESULTADO!$B$24,MtM!$E:$E,RESULTADO!BJ$3)-SUMIFS(MtM!$N:$N,MtM!$I:$I,RESULTADO!$B27,MtM!$H:$H,RESULTADO!$B$24,MtM!$E:$E,RESULTADO!BJ$3))</f>
        <v>0</v>
      </c>
      <c r="BL27" s="120"/>
      <c r="BN27" s="57" t="s">
        <v>13</v>
      </c>
      <c r="BO27" s="53">
        <f>SUMIFS('MtM Releases'!$H:$H,'MtM Releases'!$G:$G,RESULTADO!$BN27,'MtM Releases'!$F:$F,RESULTADO!$BN24,'MtM Releases'!$D:$D,RESULTADO!BO$3)</f>
        <v>0</v>
      </c>
      <c r="BP27" s="53">
        <f>SUMIFS('MtM Releases'!$H:$H,'MtM Releases'!$G:$G,RESULTADO!$BN27,'MtM Releases'!$F:$F,RESULTADO!$BN24,'MtM Releases'!$D:$D,RESULTADO!BP$3)</f>
        <v>0</v>
      </c>
      <c r="BQ27" s="53">
        <f>SUMIFS('MtM Releases'!$H:$H,'MtM Releases'!$G:$G,RESULTADO!$BN27,'MtM Releases'!$F:$F,RESULTADO!$BN24,'MtM Releases'!$D:$D,RESULTADO!BQ$3)</f>
        <v>0</v>
      </c>
      <c r="BR27" s="53">
        <f>SUMIFS('MtM Releases'!$H:$H,'MtM Releases'!$G:$G,RESULTADO!$BN27,'MtM Releases'!$F:$F,RESULTADO!$BN24,'MtM Releases'!$D:$D,RESULTADO!BR$3)</f>
        <v>0</v>
      </c>
      <c r="BS27" s="53">
        <f>SUMIFS('MtM Releases'!$H:$H,'MtM Releases'!$G:$G,RESULTADO!$BN27,'MtM Releases'!$F:$F,RESULTADO!$BN24,'MtM Releases'!$D:$D,RESULTADO!BS$3)</f>
        <v>0</v>
      </c>
      <c r="BT27" s="53">
        <f>SUMIFS('MtM Releases'!$H:$H,'MtM Releases'!$G:$G,RESULTADO!$BN27,'MtM Releases'!$F:$F,RESULTADO!$BN24,'MtM Releases'!$D:$D,RESULTADO!BT$3)</f>
        <v>0</v>
      </c>
      <c r="BU27" s="53">
        <f>SUMIFS('MtM Releases'!$H:$H,'MtM Releases'!$G:$G,RESULTADO!$BN27,'MtM Releases'!$F:$F,RESULTADO!$BN24,'MtM Releases'!$D:$D,RESULTADO!BU$3)</f>
        <v>0</v>
      </c>
      <c r="BV27" s="53">
        <f>SUMIFS('MtM Releases'!$H:$H,'MtM Releases'!$G:$G,RESULTADO!$BN27,'MtM Releases'!$F:$F,RESULTADO!$BN24,'MtM Releases'!$D:$D,RESULTADO!BV$3)</f>
        <v>0</v>
      </c>
      <c r="BW27" s="53">
        <f>SUMIFS('MtM Releases'!$H:$H,'MtM Releases'!$G:$G,RESULTADO!$BN27,'MtM Releases'!$F:$F,RESULTADO!$BN24,'MtM Releases'!$D:$D,RESULTADO!BW$3)</f>
        <v>0</v>
      </c>
      <c r="BX27" s="53">
        <f>SUMIFS('MtM Releases'!$H:$H,'MtM Releases'!$G:$G,RESULTADO!$BN27,'MtM Releases'!$F:$F,RESULTADO!$BN24,'MtM Releases'!$D:$D,RESULTADO!BX$3)</f>
        <v>0</v>
      </c>
      <c r="BY27" s="53">
        <f>SUMIFS('MtM Releases'!$H:$H,'MtM Releases'!$G:$G,RESULTADO!$BN27,'MtM Releases'!$F:$F,RESULTADO!$BN24,'MtM Releases'!$D:$D,RESULTADO!BY$3)</f>
        <v>0</v>
      </c>
      <c r="BZ27" s="54">
        <f>SUMIFS('MtM Releases'!$H:$H,'MtM Releases'!$G:$G,RESULTADO!$BN27,'MtM Releases'!$F:$F,RESULTADO!$BN24,'MtM Releases'!$D:$D,RESULTADO!BZ$3)</f>
        <v>0</v>
      </c>
      <c r="CA27" s="53">
        <f>SUMIFS('MtM Releases'!$H:$H,'MtM Releases'!$G:$G,RESULTADO!$BN27,'MtM Releases'!$F:$F,RESULTADO!$BN24,'MtM Releases'!$D:$D,RESULTADO!CA$3)</f>
        <v>0</v>
      </c>
      <c r="CB27" s="53">
        <f>SUMIFS('MtM Releases'!$H:$H,'MtM Releases'!$G:$G,RESULTADO!$BN27,'MtM Releases'!$F:$F,RESULTADO!$BN24,'MtM Releases'!$D:$D,RESULTADO!CB$3)</f>
        <v>0</v>
      </c>
      <c r="CC27" s="53">
        <f>SUMIFS('MtM Releases'!$H:$H,'MtM Releases'!$G:$G,RESULTADO!$BN27,'MtM Releases'!$F:$F,RESULTADO!$BN24,'MtM Releases'!$D:$D,RESULTADO!CC$3)</f>
        <v>0</v>
      </c>
      <c r="CD27" s="53">
        <f>SUMIFS('MtM Releases'!$H:$H,'MtM Releases'!$G:$G,RESULTADO!$BN27,'MtM Releases'!$F:$F,RESULTADO!$BN24,'MtM Releases'!$D:$D,RESULTADO!CD$3)</f>
        <v>0</v>
      </c>
      <c r="CE27" s="53">
        <f>SUMIFS('MtM Releases'!$H:$H,'MtM Releases'!$G:$G,RESULTADO!$BN27,'MtM Releases'!$F:$F,RESULTADO!$BN24,'MtM Releases'!$D:$D,RESULTADO!CE$3)</f>
        <v>0</v>
      </c>
      <c r="CF27" s="53">
        <f>SUMIFS('MtM Releases'!$H:$H,'MtM Releases'!$G:$G,RESULTADO!$BN27,'MtM Releases'!$F:$F,RESULTADO!$BN24,'MtM Releases'!$D:$D,RESULTADO!CF$3)</f>
        <v>0</v>
      </c>
      <c r="CG27" s="53">
        <f>SUMIFS('MtM Releases'!$H:$H,'MtM Releases'!$G:$G,RESULTADO!$BN27,'MtM Releases'!$F:$F,RESULTADO!$BN24,'MtM Releases'!$D:$D,RESULTADO!CG$3)</f>
        <v>0</v>
      </c>
      <c r="CH27" s="53">
        <f>SUMIFS('MtM Releases'!$H:$H,'MtM Releases'!$G:$G,RESULTADO!$BN27,'MtM Releases'!$F:$F,RESULTADO!$BN24,'MtM Releases'!$D:$D,RESULTADO!CH$3)</f>
        <v>0</v>
      </c>
      <c r="CI27" s="53">
        <f>SUMIFS('MtM Releases'!$H:$H,'MtM Releases'!$G:$G,RESULTADO!$BN27,'MtM Releases'!$F:$F,RESULTADO!$BN24,'MtM Releases'!$D:$D,RESULTADO!CI$3)</f>
        <v>0</v>
      </c>
      <c r="CJ27" s="53">
        <f>SUMIFS('MtM Releases'!$H:$H,'MtM Releases'!$G:$G,RESULTADO!$BN27,'MtM Releases'!$F:$F,RESULTADO!$BN24,'MtM Releases'!$D:$D,RESULTADO!CJ$3)</f>
        <v>0</v>
      </c>
      <c r="CK27" s="53">
        <f>SUMIFS('MtM Releases'!$H:$H,'MtM Releases'!$G:$G,RESULTADO!$BN27,'MtM Releases'!$F:$F,RESULTADO!$BN24,'MtM Releases'!$D:$D,RESULTADO!CK$3)</f>
        <v>0</v>
      </c>
      <c r="CL27" s="63">
        <f>SUMIFS('MtM Releases'!$H:$H,'MtM Releases'!$G:$G,RESULTADO!$BN27,'MtM Releases'!$F:$F,RESULTADO!$BN24,'MtM Releases'!$D:$D,RESULTADO!CL$3)</f>
        <v>0</v>
      </c>
      <c r="CM27" s="53">
        <f>SUMIFS('MtM Releases'!$H:$H,'MtM Releases'!$G:$G,RESULTADO!$BN27,'MtM Releases'!$F:$F,RESULTADO!$BN24,'MtM Releases'!$D:$D,RESULTADO!CM$3)</f>
        <v>0</v>
      </c>
      <c r="CN27" s="53">
        <f>SUMIFS('MtM Releases'!$H:$H,'MtM Releases'!$G:$G,RESULTADO!$BN27,'MtM Releases'!$F:$F,RESULTADO!$BN24,'MtM Releases'!$D:$D,RESULTADO!CN$3)</f>
        <v>0</v>
      </c>
      <c r="CO27" s="53">
        <f>SUMIFS('MtM Releases'!$H:$H,'MtM Releases'!$G:$G,RESULTADO!$BN27,'MtM Releases'!$F:$F,RESULTADO!$BN24,'MtM Releases'!$D:$D,RESULTADO!CO$3)</f>
        <v>0</v>
      </c>
      <c r="CP27" s="53">
        <f>SUMIFS('MtM Releases'!$H:$H,'MtM Releases'!$G:$G,RESULTADO!$BN27,'MtM Releases'!$F:$F,RESULTADO!$BN24,'MtM Releases'!$D:$D,RESULTADO!CP$3)</f>
        <v>0</v>
      </c>
      <c r="CQ27" s="53">
        <f>SUMIFS('MtM Releases'!$H:$H,'MtM Releases'!$G:$G,RESULTADO!$BN27,'MtM Releases'!$F:$F,RESULTADO!$BN24,'MtM Releases'!$D:$D,RESULTADO!CQ$3)</f>
        <v>0</v>
      </c>
      <c r="CR27" s="53">
        <f>SUMIFS('MtM Releases'!$H:$H,'MtM Releases'!$G:$G,RESULTADO!$BN27,'MtM Releases'!$F:$F,RESULTADO!$BN24,'MtM Releases'!$D:$D,RESULTADO!CR$3)</f>
        <v>0</v>
      </c>
      <c r="CS27" s="53">
        <f>SUMIFS('MtM Releases'!$H:$H,'MtM Releases'!$G:$G,RESULTADO!$BN27,'MtM Releases'!$F:$F,RESULTADO!$BN24,'MtM Releases'!$D:$D,RESULTADO!CS$3)</f>
        <v>0</v>
      </c>
      <c r="CT27" s="53">
        <f>SUMIFS('MtM Releases'!$H:$H,'MtM Releases'!$G:$G,RESULTADO!$BN27,'MtM Releases'!$F:$F,RESULTADO!$BN24,'MtM Releases'!$D:$D,RESULTADO!CT$3)</f>
        <v>0</v>
      </c>
      <c r="CU27" s="53">
        <f>SUMIFS('MtM Releases'!$H:$H,'MtM Releases'!$G:$G,RESULTADO!$BN27,'MtM Releases'!$F:$F,RESULTADO!$BN24,'MtM Releases'!$D:$D,RESULTADO!CU$3)</f>
        <v>0</v>
      </c>
      <c r="CV27" s="53">
        <f>SUMIFS('MtM Releases'!$H:$H,'MtM Releases'!$G:$G,RESULTADO!$BN27,'MtM Releases'!$F:$F,RESULTADO!$BN24,'MtM Releases'!$D:$D,RESULTADO!CV$3)</f>
        <v>0</v>
      </c>
      <c r="CW27" s="53">
        <f>SUMIFS('MtM Releases'!$H:$H,'MtM Releases'!$G:$G,RESULTADO!$BN27,'MtM Releases'!$F:$F,RESULTADO!$BN24,'MtM Releases'!$D:$D,RESULTADO!CW$3)</f>
        <v>0</v>
      </c>
      <c r="CX27" s="54">
        <f>SUMIFS('MtM Releases'!$H:$H,'MtM Releases'!$G:$G,RESULTADO!$BN27,'MtM Releases'!$F:$F,RESULTADO!$BN24,'MtM Releases'!$D:$D,RESULTADO!CX$3)</f>
        <v>0</v>
      </c>
      <c r="CY27" s="53">
        <f>SUMIFS('MtM Releases'!$H:$H,'MtM Releases'!$G:$G,RESULTADO!$BN27,'MtM Releases'!$F:$F,RESULTADO!$BN24,'MtM Releases'!$D:$D,RESULTADO!CY$3)</f>
        <v>0</v>
      </c>
      <c r="CZ27" s="53">
        <f>SUMIFS('MtM Releases'!$H:$H,'MtM Releases'!$G:$G,RESULTADO!$BN27,'MtM Releases'!$F:$F,RESULTADO!$BN24,'MtM Releases'!$D:$D,RESULTADO!CZ$3)</f>
        <v>0</v>
      </c>
      <c r="DA27" s="53">
        <f>SUMIFS('MtM Releases'!$H:$H,'MtM Releases'!$G:$G,RESULTADO!$BN27,'MtM Releases'!$F:$F,RESULTADO!$BN24,'MtM Releases'!$D:$D,RESULTADO!DA$3)</f>
        <v>0</v>
      </c>
      <c r="DB27" s="53">
        <f>SUMIFS('MtM Releases'!$H:$H,'MtM Releases'!$G:$G,RESULTADO!$BN27,'MtM Releases'!$F:$F,RESULTADO!$BN24,'MtM Releases'!$D:$D,RESULTADO!DB$3)</f>
        <v>0</v>
      </c>
      <c r="DC27" s="53">
        <f>SUMIFS('MtM Releases'!$H:$H,'MtM Releases'!$G:$G,RESULTADO!$BN27,'MtM Releases'!$F:$F,RESULTADO!$BN24,'MtM Releases'!$D:$D,RESULTADO!DC$3)</f>
        <v>0</v>
      </c>
      <c r="DD27" s="53">
        <f>SUMIFS('MtM Releases'!$H:$H,'MtM Releases'!$G:$G,RESULTADO!$BN27,'MtM Releases'!$F:$F,RESULTADO!$BN24,'MtM Releases'!$D:$D,RESULTADO!DD$3)</f>
        <v>0</v>
      </c>
      <c r="DE27" s="53">
        <f>SUMIFS('MtM Releases'!$H:$H,'MtM Releases'!$G:$G,RESULTADO!$BN27,'MtM Releases'!$F:$F,RESULTADO!$BN24,'MtM Releases'!$D:$D,RESULTADO!DE$3)</f>
        <v>0</v>
      </c>
      <c r="DF27" s="53">
        <f>SUMIFS('MtM Releases'!$H:$H,'MtM Releases'!$G:$G,RESULTADO!$BN27,'MtM Releases'!$F:$F,RESULTADO!$BN24,'MtM Releases'!$D:$D,RESULTADO!DF$3)</f>
        <v>0</v>
      </c>
      <c r="DG27" s="53">
        <f>SUMIFS('MtM Releases'!$H:$H,'MtM Releases'!$G:$G,RESULTADO!$BN27,'MtM Releases'!$F:$F,RESULTADO!$BN24,'MtM Releases'!$D:$D,RESULTADO!DG$3)</f>
        <v>0</v>
      </c>
      <c r="DH27" s="53">
        <f>SUMIFS('MtM Releases'!$H:$H,'MtM Releases'!$G:$G,RESULTADO!$BN27,'MtM Releases'!$F:$F,RESULTADO!$BN24,'MtM Releases'!$D:$D,RESULTADO!DH$3)</f>
        <v>0</v>
      </c>
      <c r="DI27" s="53">
        <f>SUMIFS('MtM Releases'!$H:$H,'MtM Releases'!$G:$G,RESULTADO!$BN27,'MtM Releases'!$F:$F,RESULTADO!$BN24,'MtM Releases'!$D:$D,RESULTADO!DI$3)</f>
        <v>0</v>
      </c>
      <c r="DJ27" s="63">
        <f>SUMIFS('MtM Releases'!$H:$H,'MtM Releases'!$G:$G,RESULTADO!$BN27,'MtM Releases'!$F:$F,RESULTADO!$BN24,'MtM Releases'!$D:$D,RESULTADO!DJ$3)</f>
        <v>0</v>
      </c>
      <c r="DK27" s="53">
        <f>SUMIFS('MtM Releases'!$H:$H,'MtM Releases'!$G:$G,RESULTADO!$BN27,'MtM Releases'!$F:$F,RESULTADO!$BN24,'MtM Releases'!$D:$D,RESULTADO!DK$3)</f>
        <v>0</v>
      </c>
      <c r="DL27" s="53">
        <f>SUMIFS('MtM Releases'!$H:$H,'MtM Releases'!$G:$G,RESULTADO!$BN27,'MtM Releases'!$F:$F,RESULTADO!$BN24,'MtM Releases'!$D:$D,RESULTADO!DL$3)</f>
        <v>0</v>
      </c>
      <c r="DM27" s="53">
        <f>SUMIFS('MtM Releases'!$H:$H,'MtM Releases'!$G:$G,RESULTADO!$BN27,'MtM Releases'!$F:$F,RESULTADO!$BN24,'MtM Releases'!$D:$D,RESULTADO!DM$3)</f>
        <v>0</v>
      </c>
      <c r="DN27" s="53">
        <f>SUMIFS('MtM Releases'!$H:$H,'MtM Releases'!$G:$G,RESULTADO!$BN27,'MtM Releases'!$F:$F,RESULTADO!$BN24,'MtM Releases'!$D:$D,RESULTADO!DN$3)</f>
        <v>0</v>
      </c>
      <c r="DO27" s="53">
        <f>SUMIFS('MtM Releases'!$H:$H,'MtM Releases'!$G:$G,RESULTADO!$BN27,'MtM Releases'!$F:$F,RESULTADO!$BN24,'MtM Releases'!$D:$D,RESULTADO!DO$3)</f>
        <v>0</v>
      </c>
      <c r="DP27" s="53">
        <f>SUMIFS('MtM Releases'!$H:$H,'MtM Releases'!$G:$G,RESULTADO!$BN27,'MtM Releases'!$F:$F,RESULTADO!$BN24,'MtM Releases'!$D:$D,RESULTADO!DP$3)</f>
        <v>0</v>
      </c>
      <c r="DQ27" s="53">
        <f>SUMIFS('MtM Releases'!$H:$H,'MtM Releases'!$G:$G,RESULTADO!$BN27,'MtM Releases'!$F:$F,RESULTADO!$BN24,'MtM Releases'!$D:$D,RESULTADO!DQ$3)</f>
        <v>0</v>
      </c>
      <c r="DR27" s="53">
        <f>SUMIFS('MtM Releases'!$H:$H,'MtM Releases'!$G:$G,RESULTADO!$BN27,'MtM Releases'!$F:$F,RESULTADO!$BN24,'MtM Releases'!$D:$D,RESULTADO!DR$3)</f>
        <v>0</v>
      </c>
      <c r="DS27" s="53">
        <f>SUMIFS('MtM Releases'!$H:$H,'MtM Releases'!$G:$G,RESULTADO!$BN27,'MtM Releases'!$F:$F,RESULTADO!$BN24,'MtM Releases'!$D:$D,RESULTADO!DS$3)</f>
        <v>0</v>
      </c>
      <c r="DT27" s="53">
        <f>SUMIFS('MtM Releases'!$H:$H,'MtM Releases'!$G:$G,RESULTADO!$BN27,'MtM Releases'!$F:$F,RESULTADO!$BN24,'MtM Releases'!$D:$D,RESULTADO!DT$3)</f>
        <v>0</v>
      </c>
      <c r="DU27" s="53">
        <f>SUMIFS('MtM Releases'!$H:$H,'MtM Releases'!$G:$G,RESULTADO!$BN27,'MtM Releases'!$F:$F,RESULTADO!$BN24,'MtM Releases'!$D:$D,RESULTADO!DU$3)</f>
        <v>0</v>
      </c>
      <c r="DV27" s="63">
        <f>SUMIFS('MtM Releases'!$H:$H,'MtM Releases'!$G:$G,RESULTADO!$BN27,'MtM Releases'!$F:$F,RESULTADO!$BN24,'MtM Releases'!$D:$D,RESULTADO!DV$3)</f>
        <v>0</v>
      </c>
    </row>
    <row r="28" spans="2:132" x14ac:dyDescent="0.25">
      <c r="B28" s="57" t="s">
        <v>11</v>
      </c>
      <c r="C28" s="53">
        <f>(SUMIFS(MtM!$M:$M,MtM!$I:$I,RESULTADO!$B28,MtM!$H:$H,RESULTADO!$B$24,MtM!$E:$E,RESULTADO!C$3)-SUMIFS(MtM!$N:$N,MtM!$I:$I,RESULTADO!$B28,MtM!$H:$H,RESULTADO!$B$24,MtM!$E:$E,RESULTADO!C$3))</f>
        <v>0</v>
      </c>
      <c r="D28" s="53">
        <f>(SUMIFS(MtM!$M:$M,MtM!$I:$I,RESULTADO!$B28,MtM!$H:$H,RESULTADO!$B$24,MtM!$E:$E,RESULTADO!D$3)-SUMIFS(MtM!$N:$N,MtM!$I:$I,RESULTADO!$B28,MtM!$H:$H,RESULTADO!$B$24,MtM!$E:$E,RESULTADO!D$3))</f>
        <v>0</v>
      </c>
      <c r="E28" s="53">
        <f>(SUMIFS(MtM!$M:$M,MtM!$I:$I,RESULTADO!$B28,MtM!$H:$H,RESULTADO!$B$24,MtM!$E:$E,RESULTADO!E$3)-SUMIFS(MtM!$N:$N,MtM!$I:$I,RESULTADO!$B28,MtM!$H:$H,RESULTADO!$B$24,MtM!$E:$E,RESULTADO!E$3))</f>
        <v>0</v>
      </c>
      <c r="F28" s="53">
        <f>(SUMIFS(MtM!$M:$M,MtM!$I:$I,RESULTADO!$B28,MtM!$H:$H,RESULTADO!$B$24,MtM!$E:$E,RESULTADO!F$3)-SUMIFS(MtM!$N:$N,MtM!$I:$I,RESULTADO!$B28,MtM!$H:$H,RESULTADO!$B$24,MtM!$E:$E,RESULTADO!F$3))</f>
        <v>0</v>
      </c>
      <c r="G28" s="53">
        <f>(SUMIFS(MtM!$M:$M,MtM!$I:$I,RESULTADO!$B28,MtM!$H:$H,RESULTADO!$B$24,MtM!$E:$E,RESULTADO!G$3)-SUMIFS(MtM!$N:$N,MtM!$I:$I,RESULTADO!$B28,MtM!$H:$H,RESULTADO!$B$24,MtM!$E:$E,RESULTADO!G$3))</f>
        <v>0</v>
      </c>
      <c r="H28" s="53">
        <f>(SUMIFS(MtM!$M:$M,MtM!$I:$I,RESULTADO!$B28,MtM!$H:$H,RESULTADO!$B$24,MtM!$E:$E,RESULTADO!H$3)-SUMIFS(MtM!$N:$N,MtM!$I:$I,RESULTADO!$B28,MtM!$H:$H,RESULTADO!$B$24,MtM!$E:$E,RESULTADO!H$3))</f>
        <v>0</v>
      </c>
      <c r="I28" s="53">
        <f>(SUMIFS(MtM!$M:$M,MtM!$I:$I,RESULTADO!$B28,MtM!$H:$H,RESULTADO!$B$24,MtM!$E:$E,RESULTADO!I$3)-SUMIFS(MtM!$N:$N,MtM!$I:$I,RESULTADO!$B28,MtM!$H:$H,RESULTADO!$B$24,MtM!$E:$E,RESULTADO!I$3))</f>
        <v>0</v>
      </c>
      <c r="J28" s="53">
        <f>(SUMIFS(MtM!$M:$M,MtM!$I:$I,RESULTADO!$B28,MtM!$H:$H,RESULTADO!$B$24,MtM!$E:$E,RESULTADO!J$3)-SUMIFS(MtM!$N:$N,MtM!$I:$I,RESULTADO!$B28,MtM!$H:$H,RESULTADO!$B$24,MtM!$E:$E,RESULTADO!J$3))</f>
        <v>0</v>
      </c>
      <c r="K28" s="53">
        <f>(SUMIFS(MtM!$M:$M,MtM!$I:$I,RESULTADO!$B28,MtM!$H:$H,RESULTADO!$B$24,MtM!$E:$E,RESULTADO!K$3)-SUMIFS(MtM!$N:$N,MtM!$I:$I,RESULTADO!$B28,MtM!$H:$H,RESULTADO!$B$24,MtM!$E:$E,RESULTADO!K$3))</f>
        <v>0</v>
      </c>
      <c r="L28" s="53">
        <f>(SUMIFS(MtM!$M:$M,MtM!$I:$I,RESULTADO!$B28,MtM!$H:$H,RESULTADO!$B$24,MtM!$E:$E,RESULTADO!L$3)-SUMIFS(MtM!$N:$N,MtM!$I:$I,RESULTADO!$B28,MtM!$H:$H,RESULTADO!$B$24,MtM!$E:$E,RESULTADO!L$3))</f>
        <v>0</v>
      </c>
      <c r="M28" s="53">
        <f>(SUMIFS(MtM!$M:$M,MtM!$I:$I,RESULTADO!$B28,MtM!$H:$H,RESULTADO!$B$24,MtM!$E:$E,RESULTADO!M$3)-SUMIFS(MtM!$N:$N,MtM!$I:$I,RESULTADO!$B28,MtM!$H:$H,RESULTADO!$B$24,MtM!$E:$E,RESULTADO!M$3))</f>
        <v>0</v>
      </c>
      <c r="N28" s="54">
        <f>(SUMIFS(MtM!$M:$M,MtM!$I:$I,RESULTADO!$B28,MtM!$H:$H,RESULTADO!$B$24,MtM!$E:$E,RESULTADO!N$3)-SUMIFS(MtM!$N:$N,MtM!$I:$I,RESULTADO!$B28,MtM!$H:$H,RESULTADO!$B$24,MtM!$E:$E,RESULTADO!N$3))</f>
        <v>0</v>
      </c>
      <c r="O28" s="53">
        <f>(SUMIFS(MtM!$M:$M,MtM!$I:$I,RESULTADO!$B28,MtM!$H:$H,RESULTADO!$B$24,MtM!$E:$E,RESULTADO!O$3)-SUMIFS(MtM!$N:$N,MtM!$I:$I,RESULTADO!$B28,MtM!$H:$H,RESULTADO!$B$24,MtM!$E:$E,RESULTADO!O$3))</f>
        <v>0</v>
      </c>
      <c r="P28" s="53">
        <f>(SUMIFS(MtM!$M:$M,MtM!$I:$I,RESULTADO!$B28,MtM!$H:$H,RESULTADO!$B$24,MtM!$E:$E,RESULTADO!P$3)-SUMIFS(MtM!$N:$N,MtM!$I:$I,RESULTADO!$B28,MtM!$H:$H,RESULTADO!$B$24,MtM!$E:$E,RESULTADO!P$3))</f>
        <v>0</v>
      </c>
      <c r="Q28" s="53">
        <f>(SUMIFS(MtM!$M:$M,MtM!$I:$I,RESULTADO!$B28,MtM!$H:$H,RESULTADO!$B$24,MtM!$E:$E,RESULTADO!Q$3)-SUMIFS(MtM!$N:$N,MtM!$I:$I,RESULTADO!$B28,MtM!$H:$H,RESULTADO!$B$24,MtM!$E:$E,RESULTADO!Q$3))</f>
        <v>0</v>
      </c>
      <c r="R28" s="53">
        <f>(SUMIFS(MtM!$M:$M,MtM!$I:$I,RESULTADO!$B28,MtM!$H:$H,RESULTADO!$B$24,MtM!$E:$E,RESULTADO!R$3)-SUMIFS(MtM!$N:$N,MtM!$I:$I,RESULTADO!$B28,MtM!$H:$H,RESULTADO!$B$24,MtM!$E:$E,RESULTADO!R$3))</f>
        <v>0</v>
      </c>
      <c r="S28" s="53">
        <f>(SUMIFS(MtM!$M:$M,MtM!$I:$I,RESULTADO!$B28,MtM!$H:$H,RESULTADO!$B$24,MtM!$E:$E,RESULTADO!S$3)-SUMIFS(MtM!$N:$N,MtM!$I:$I,RESULTADO!$B28,MtM!$H:$H,RESULTADO!$B$24,MtM!$E:$E,RESULTADO!S$3))</f>
        <v>0</v>
      </c>
      <c r="T28" s="53">
        <f>(SUMIFS(MtM!$M:$M,MtM!$I:$I,RESULTADO!$B28,MtM!$H:$H,RESULTADO!$B$24,MtM!$E:$E,RESULTADO!T$3)-SUMIFS(MtM!$N:$N,MtM!$I:$I,RESULTADO!$B28,MtM!$H:$H,RESULTADO!$B$24,MtM!$E:$E,RESULTADO!T$3))</f>
        <v>0</v>
      </c>
      <c r="U28" s="53">
        <f>(SUMIFS(MtM!$M:$M,MtM!$I:$I,RESULTADO!$B28,MtM!$H:$H,RESULTADO!$B$24,MtM!$E:$E,RESULTADO!U$3)-SUMIFS(MtM!$N:$N,MtM!$I:$I,RESULTADO!$B28,MtM!$H:$H,RESULTADO!$B$24,MtM!$E:$E,RESULTADO!U$3))</f>
        <v>0</v>
      </c>
      <c r="V28" s="53">
        <f>(SUMIFS(MtM!$M:$M,MtM!$I:$I,RESULTADO!$B28,MtM!$H:$H,RESULTADO!$B$24,MtM!$E:$E,RESULTADO!V$3)-SUMIFS(MtM!$N:$N,MtM!$I:$I,RESULTADO!$B28,MtM!$H:$H,RESULTADO!$B$24,MtM!$E:$E,RESULTADO!V$3))</f>
        <v>0</v>
      </c>
      <c r="W28" s="53">
        <f>(SUMIFS(MtM!$M:$M,MtM!$I:$I,RESULTADO!$B28,MtM!$H:$H,RESULTADO!$B$24,MtM!$E:$E,RESULTADO!W$3)-SUMIFS(MtM!$N:$N,MtM!$I:$I,RESULTADO!$B28,MtM!$H:$H,RESULTADO!$B$24,MtM!$E:$E,RESULTADO!W$3))</f>
        <v>0</v>
      </c>
      <c r="X28" s="53">
        <f>(SUMIFS(MtM!$M:$M,MtM!$I:$I,RESULTADO!$B28,MtM!$H:$H,RESULTADO!$B$24,MtM!$E:$E,RESULTADO!X$3)-SUMIFS(MtM!$N:$N,MtM!$I:$I,RESULTADO!$B28,MtM!$H:$H,RESULTADO!$B$24,MtM!$E:$E,RESULTADO!X$3))</f>
        <v>0</v>
      </c>
      <c r="Y28" s="53">
        <f>(SUMIFS(MtM!$M:$M,MtM!$I:$I,RESULTADO!$B28,MtM!$H:$H,RESULTADO!$B$24,MtM!$E:$E,RESULTADO!Y$3)-SUMIFS(MtM!$N:$N,MtM!$I:$I,RESULTADO!$B28,MtM!$H:$H,RESULTADO!$B$24,MtM!$E:$E,RESULTADO!Y$3))</f>
        <v>0</v>
      </c>
      <c r="Z28" s="63">
        <f>(SUMIFS(MtM!$M:$M,MtM!$I:$I,RESULTADO!$B28,MtM!$H:$H,RESULTADO!$B$24,MtM!$E:$E,RESULTADO!Z$3)-SUMIFS(MtM!$N:$N,MtM!$I:$I,RESULTADO!$B28,MtM!$H:$H,RESULTADO!$B$24,MtM!$E:$E,RESULTADO!Z$3))</f>
        <v>0</v>
      </c>
      <c r="AA28" s="53">
        <f>(SUMIFS(MtM!$M:$M,MtM!$I:$I,RESULTADO!$B28,MtM!$H:$H,RESULTADO!$B$24,MtM!$E:$E,RESULTADO!AA$3)-SUMIFS(MtM!$N:$N,MtM!$I:$I,RESULTADO!$B28,MtM!$H:$H,RESULTADO!$B$24,MtM!$E:$E,RESULTADO!AA$3))</f>
        <v>0</v>
      </c>
      <c r="AB28" s="53">
        <f>(SUMIFS(MtM!$M:$M,MtM!$I:$I,RESULTADO!$B28,MtM!$H:$H,RESULTADO!$B$24,MtM!$E:$E,RESULTADO!AB$3)-SUMIFS(MtM!$N:$N,MtM!$I:$I,RESULTADO!$B28,MtM!$H:$H,RESULTADO!$B$24,MtM!$E:$E,RESULTADO!AB$3))</f>
        <v>0</v>
      </c>
      <c r="AC28" s="53">
        <f>(SUMIFS(MtM!$M:$M,MtM!$I:$I,RESULTADO!$B28,MtM!$H:$H,RESULTADO!$B$24,MtM!$E:$E,RESULTADO!AC$3)-SUMIFS(MtM!$N:$N,MtM!$I:$I,RESULTADO!$B28,MtM!$H:$H,RESULTADO!$B$24,MtM!$E:$E,RESULTADO!AC$3))</f>
        <v>0</v>
      </c>
      <c r="AD28" s="53">
        <f>(SUMIFS(MtM!$M:$M,MtM!$I:$I,RESULTADO!$B28,MtM!$H:$H,RESULTADO!$B$24,MtM!$E:$E,RESULTADO!AD$3)-SUMIFS(MtM!$N:$N,MtM!$I:$I,RESULTADO!$B28,MtM!$H:$H,RESULTADO!$B$24,MtM!$E:$E,RESULTADO!AD$3))</f>
        <v>0</v>
      </c>
      <c r="AE28" s="53">
        <f>(SUMIFS(MtM!$M:$M,MtM!$I:$I,RESULTADO!$B28,MtM!$H:$H,RESULTADO!$B$24,MtM!$E:$E,RESULTADO!AE$3)-SUMIFS(MtM!$N:$N,MtM!$I:$I,RESULTADO!$B28,MtM!$H:$H,RESULTADO!$B$24,MtM!$E:$E,RESULTADO!AE$3))</f>
        <v>0</v>
      </c>
      <c r="AF28" s="53">
        <f>(SUMIFS(MtM!$M:$M,MtM!$I:$I,RESULTADO!$B28,MtM!$H:$H,RESULTADO!$B$24,MtM!$E:$E,RESULTADO!AF$3)-SUMIFS(MtM!$N:$N,MtM!$I:$I,RESULTADO!$B28,MtM!$H:$H,RESULTADO!$B$24,MtM!$E:$E,RESULTADO!AF$3))</f>
        <v>0</v>
      </c>
      <c r="AG28" s="53">
        <f>(SUMIFS(MtM!$M:$M,MtM!$I:$I,RESULTADO!$B28,MtM!$H:$H,RESULTADO!$B$24,MtM!$E:$E,RESULTADO!AG$3)-SUMIFS(MtM!$N:$N,MtM!$I:$I,RESULTADO!$B28,MtM!$H:$H,RESULTADO!$B$24,MtM!$E:$E,RESULTADO!AG$3))</f>
        <v>0</v>
      </c>
      <c r="AH28" s="53">
        <f>(SUMIFS(MtM!$M:$M,MtM!$I:$I,RESULTADO!$B28,MtM!$H:$H,RESULTADO!$B$24,MtM!$E:$E,RESULTADO!AH$3)-SUMIFS(MtM!$N:$N,MtM!$I:$I,RESULTADO!$B28,MtM!$H:$H,RESULTADO!$B$24,MtM!$E:$E,RESULTADO!AH$3))</f>
        <v>0</v>
      </c>
      <c r="AI28" s="53">
        <f>(SUMIFS(MtM!$M:$M,MtM!$I:$I,RESULTADO!$B28,MtM!$H:$H,RESULTADO!$B$24,MtM!$E:$E,RESULTADO!AI$3)-SUMIFS(MtM!$N:$N,MtM!$I:$I,RESULTADO!$B28,MtM!$H:$H,RESULTADO!$B$24,MtM!$E:$E,RESULTADO!AI$3))</f>
        <v>0</v>
      </c>
      <c r="AJ28" s="53">
        <f>(SUMIFS(MtM!$M:$M,MtM!$I:$I,RESULTADO!$B28,MtM!$H:$H,RESULTADO!$B$24,MtM!$E:$E,RESULTADO!AJ$3)-SUMIFS(MtM!$N:$N,MtM!$I:$I,RESULTADO!$B28,MtM!$H:$H,RESULTADO!$B$24,MtM!$E:$E,RESULTADO!AJ$3))</f>
        <v>0</v>
      </c>
      <c r="AK28" s="53">
        <f>(SUMIFS(MtM!$M:$M,MtM!$I:$I,RESULTADO!$B28,MtM!$H:$H,RESULTADO!$B$24,MtM!$E:$E,RESULTADO!AK$3)-SUMIFS(MtM!$N:$N,MtM!$I:$I,RESULTADO!$B28,MtM!$H:$H,RESULTADO!$B$24,MtM!$E:$E,RESULTADO!AK$3))</f>
        <v>0</v>
      </c>
      <c r="AL28" s="54">
        <f>(SUMIFS(MtM!$M:$M,MtM!$I:$I,RESULTADO!$B28,MtM!$H:$H,RESULTADO!$B$24,MtM!$E:$E,RESULTADO!AL$3)-SUMIFS(MtM!$N:$N,MtM!$I:$I,RESULTADO!$B28,MtM!$H:$H,RESULTADO!$B$24,MtM!$E:$E,RESULTADO!AL$3))</f>
        <v>0</v>
      </c>
      <c r="AM28" s="53">
        <f>(SUMIFS(MtM!$M:$M,MtM!$I:$I,RESULTADO!$B28,MtM!$H:$H,RESULTADO!$B$24,MtM!$E:$E,RESULTADO!AM$3)-SUMIFS(MtM!$N:$N,MtM!$I:$I,RESULTADO!$B28,MtM!$H:$H,RESULTADO!$B$24,MtM!$E:$E,RESULTADO!AM$3))</f>
        <v>0</v>
      </c>
      <c r="AN28" s="53">
        <f>(SUMIFS(MtM!$M:$M,MtM!$I:$I,RESULTADO!$B28,MtM!$H:$H,RESULTADO!$B$24,MtM!$E:$E,RESULTADO!AN$3)-SUMIFS(MtM!$N:$N,MtM!$I:$I,RESULTADO!$B28,MtM!$H:$H,RESULTADO!$B$24,MtM!$E:$E,RESULTADO!AN$3))</f>
        <v>0</v>
      </c>
      <c r="AO28" s="53">
        <f>(SUMIFS(MtM!$M:$M,MtM!$I:$I,RESULTADO!$B28,MtM!$H:$H,RESULTADO!$B$24,MtM!$E:$E,RESULTADO!AO$3)-SUMIFS(MtM!$N:$N,MtM!$I:$I,RESULTADO!$B28,MtM!$H:$H,RESULTADO!$B$24,MtM!$E:$E,RESULTADO!AO$3))</f>
        <v>0</v>
      </c>
      <c r="AP28" s="53">
        <f>(SUMIFS(MtM!$M:$M,MtM!$I:$I,RESULTADO!$B28,MtM!$H:$H,RESULTADO!$B$24,MtM!$E:$E,RESULTADO!AP$3)-SUMIFS(MtM!$N:$N,MtM!$I:$I,RESULTADO!$B28,MtM!$H:$H,RESULTADO!$B$24,MtM!$E:$E,RESULTADO!AP$3))</f>
        <v>0</v>
      </c>
      <c r="AQ28" s="53">
        <f>(SUMIFS(MtM!$M:$M,MtM!$I:$I,RESULTADO!$B28,MtM!$H:$H,RESULTADO!$B$24,MtM!$E:$E,RESULTADO!AQ$3)-SUMIFS(MtM!$N:$N,MtM!$I:$I,RESULTADO!$B28,MtM!$H:$H,RESULTADO!$B$24,MtM!$E:$E,RESULTADO!AQ$3))</f>
        <v>0</v>
      </c>
      <c r="AR28" s="53">
        <f>(SUMIFS(MtM!$M:$M,MtM!$I:$I,RESULTADO!$B28,MtM!$H:$H,RESULTADO!$B$24,MtM!$E:$E,RESULTADO!AR$3)-SUMIFS(MtM!$N:$N,MtM!$I:$I,RESULTADO!$B28,MtM!$H:$H,RESULTADO!$B$24,MtM!$E:$E,RESULTADO!AR$3))</f>
        <v>0</v>
      </c>
      <c r="AS28" s="53">
        <f>(SUMIFS(MtM!$M:$M,MtM!$I:$I,RESULTADO!$B28,MtM!$H:$H,RESULTADO!$B$24,MtM!$E:$E,RESULTADO!AS$3)-SUMIFS(MtM!$N:$N,MtM!$I:$I,RESULTADO!$B28,MtM!$H:$H,RESULTADO!$B$24,MtM!$E:$E,RESULTADO!AS$3))</f>
        <v>0</v>
      </c>
      <c r="AT28" s="53">
        <f>(SUMIFS(MtM!$M:$M,MtM!$I:$I,RESULTADO!$B28,MtM!$H:$H,RESULTADO!$B$24,MtM!$E:$E,RESULTADO!AT$3)-SUMIFS(MtM!$N:$N,MtM!$I:$I,RESULTADO!$B28,MtM!$H:$H,RESULTADO!$B$24,MtM!$E:$E,RESULTADO!AT$3))</f>
        <v>0</v>
      </c>
      <c r="AU28" s="53">
        <f>(SUMIFS(MtM!$M:$M,MtM!$I:$I,RESULTADO!$B28,MtM!$H:$H,RESULTADO!$B$24,MtM!$E:$E,RESULTADO!AU$3)-SUMIFS(MtM!$N:$N,MtM!$I:$I,RESULTADO!$B28,MtM!$H:$H,RESULTADO!$B$24,MtM!$E:$E,RESULTADO!AU$3))</f>
        <v>0</v>
      </c>
      <c r="AV28" s="53">
        <f>(SUMIFS(MtM!$M:$M,MtM!$I:$I,RESULTADO!$B28,MtM!$H:$H,RESULTADO!$B$24,MtM!$E:$E,RESULTADO!AV$3)-SUMIFS(MtM!$N:$N,MtM!$I:$I,RESULTADO!$B28,MtM!$H:$H,RESULTADO!$B$24,MtM!$E:$E,RESULTADO!AV$3))</f>
        <v>0</v>
      </c>
      <c r="AW28" s="53">
        <f>(SUMIFS(MtM!$M:$M,MtM!$I:$I,RESULTADO!$B28,MtM!$H:$H,RESULTADO!$B$24,MtM!$E:$E,RESULTADO!AW$3)-SUMIFS(MtM!$N:$N,MtM!$I:$I,RESULTADO!$B28,MtM!$H:$H,RESULTADO!$B$24,MtM!$E:$E,RESULTADO!AW$3))</f>
        <v>0</v>
      </c>
      <c r="AX28" s="63">
        <f>(SUMIFS(MtM!$M:$M,MtM!$I:$I,RESULTADO!$B28,MtM!$H:$H,RESULTADO!$B$24,MtM!$E:$E,RESULTADO!AX$3)-SUMIFS(MtM!$N:$N,MtM!$I:$I,RESULTADO!$B28,MtM!$H:$H,RESULTADO!$B$24,MtM!$E:$E,RESULTADO!AX$3))</f>
        <v>0</v>
      </c>
      <c r="AY28" s="53">
        <f>(SUMIFS(MtM!$M:$M,MtM!$I:$I,RESULTADO!$B28,MtM!$H:$H,RESULTADO!$B$24,MtM!$E:$E,RESULTADO!AY$3)-SUMIFS(MtM!$N:$N,MtM!$I:$I,RESULTADO!$B28,MtM!$H:$H,RESULTADO!$B$24,MtM!$E:$E,RESULTADO!AY$3))</f>
        <v>0</v>
      </c>
      <c r="AZ28" s="53">
        <f>(SUMIFS(MtM!$M:$M,MtM!$I:$I,RESULTADO!$B28,MtM!$H:$H,RESULTADO!$B$24,MtM!$E:$E,RESULTADO!AZ$3)-SUMIFS(MtM!$N:$N,MtM!$I:$I,RESULTADO!$B28,MtM!$H:$H,RESULTADO!$B$24,MtM!$E:$E,RESULTADO!AZ$3))</f>
        <v>0</v>
      </c>
      <c r="BA28" s="53">
        <f>(SUMIFS(MtM!$M:$M,MtM!$I:$I,RESULTADO!$B28,MtM!$H:$H,RESULTADO!$B$24,MtM!$E:$E,RESULTADO!BA$3)-SUMIFS(MtM!$N:$N,MtM!$I:$I,RESULTADO!$B28,MtM!$H:$H,RESULTADO!$B$24,MtM!$E:$E,RESULTADO!BA$3))</f>
        <v>0</v>
      </c>
      <c r="BB28" s="53">
        <f>(SUMIFS(MtM!$M:$M,MtM!$I:$I,RESULTADO!$B28,MtM!$H:$H,RESULTADO!$B$24,MtM!$E:$E,RESULTADO!BB$3)-SUMIFS(MtM!$N:$N,MtM!$I:$I,RESULTADO!$B28,MtM!$H:$H,RESULTADO!$B$24,MtM!$E:$E,RESULTADO!BB$3))</f>
        <v>0</v>
      </c>
      <c r="BC28" s="53">
        <f>(SUMIFS(MtM!$M:$M,MtM!$I:$I,RESULTADO!$B28,MtM!$H:$H,RESULTADO!$B$24,MtM!$E:$E,RESULTADO!BC$3)-SUMIFS(MtM!$N:$N,MtM!$I:$I,RESULTADO!$B28,MtM!$H:$H,RESULTADO!$B$24,MtM!$E:$E,RESULTADO!BC$3))</f>
        <v>0</v>
      </c>
      <c r="BD28" s="53">
        <f>(SUMIFS(MtM!$M:$M,MtM!$I:$I,RESULTADO!$B28,MtM!$H:$H,RESULTADO!$B$24,MtM!$E:$E,RESULTADO!BD$3)-SUMIFS(MtM!$N:$N,MtM!$I:$I,RESULTADO!$B28,MtM!$H:$H,RESULTADO!$B$24,MtM!$E:$E,RESULTADO!BD$3))</f>
        <v>0</v>
      </c>
      <c r="BE28" s="53">
        <f>(SUMIFS(MtM!$M:$M,MtM!$I:$I,RESULTADO!$B28,MtM!$H:$H,RESULTADO!$B$24,MtM!$E:$E,RESULTADO!BE$3)-SUMIFS(MtM!$N:$N,MtM!$I:$I,RESULTADO!$B28,MtM!$H:$H,RESULTADO!$B$24,MtM!$E:$E,RESULTADO!BE$3))</f>
        <v>0</v>
      </c>
      <c r="BF28" s="53">
        <f>(SUMIFS(MtM!$M:$M,MtM!$I:$I,RESULTADO!$B28,MtM!$H:$H,RESULTADO!$B$24,MtM!$E:$E,RESULTADO!BF$3)-SUMIFS(MtM!$N:$N,MtM!$I:$I,RESULTADO!$B28,MtM!$H:$H,RESULTADO!$B$24,MtM!$E:$E,RESULTADO!BF$3))</f>
        <v>0</v>
      </c>
      <c r="BG28" s="53">
        <f>(SUMIFS(MtM!$M:$M,MtM!$I:$I,RESULTADO!$B28,MtM!$H:$H,RESULTADO!$B$24,MtM!$E:$E,RESULTADO!BG$3)-SUMIFS(MtM!$N:$N,MtM!$I:$I,RESULTADO!$B28,MtM!$H:$H,RESULTADO!$B$24,MtM!$E:$E,RESULTADO!BG$3))</f>
        <v>0</v>
      </c>
      <c r="BH28" s="53">
        <f>(SUMIFS(MtM!$M:$M,MtM!$I:$I,RESULTADO!$B28,MtM!$H:$H,RESULTADO!$B$24,MtM!$E:$E,RESULTADO!BH$3)-SUMIFS(MtM!$N:$N,MtM!$I:$I,RESULTADO!$B28,MtM!$H:$H,RESULTADO!$B$24,MtM!$E:$E,RESULTADO!BH$3))</f>
        <v>0</v>
      </c>
      <c r="BI28" s="53">
        <f>(SUMIFS(MtM!$M:$M,MtM!$I:$I,RESULTADO!$B28,MtM!$H:$H,RESULTADO!$B$24,MtM!$E:$E,RESULTADO!BI$3)-SUMIFS(MtM!$N:$N,MtM!$I:$I,RESULTADO!$B28,MtM!$H:$H,RESULTADO!$B$24,MtM!$E:$E,RESULTADO!BI$3))</f>
        <v>0</v>
      </c>
      <c r="BJ28" s="63">
        <f>(SUMIFS(MtM!$M:$M,MtM!$I:$I,RESULTADO!$B28,MtM!$H:$H,RESULTADO!$B$24,MtM!$E:$E,RESULTADO!BJ$3)-SUMIFS(MtM!$N:$N,MtM!$I:$I,RESULTADO!$B28,MtM!$H:$H,RESULTADO!$B$24,MtM!$E:$E,RESULTADO!BJ$3))</f>
        <v>0</v>
      </c>
      <c r="BL28" s="120"/>
      <c r="BN28" s="57" t="s">
        <v>11</v>
      </c>
      <c r="BO28" s="53">
        <f>SUMIFS('MtM Releases'!$H:$H,'MtM Releases'!$G:$G,RESULTADO!$BN28,'MtM Releases'!$F:$F,RESULTADO!$BN24,'MtM Releases'!$D:$D,RESULTADO!BO$3)</f>
        <v>0</v>
      </c>
      <c r="BP28" s="53">
        <f>SUMIFS('MtM Releases'!$H:$H,'MtM Releases'!$G:$G,RESULTADO!$BN28,'MtM Releases'!$F:$F,RESULTADO!$BN24,'MtM Releases'!$D:$D,RESULTADO!BP$3)</f>
        <v>0</v>
      </c>
      <c r="BQ28" s="53">
        <f>SUMIFS('MtM Releases'!$H:$H,'MtM Releases'!$G:$G,RESULTADO!$BN28,'MtM Releases'!$F:$F,RESULTADO!$BN24,'MtM Releases'!$D:$D,RESULTADO!BQ$3)</f>
        <v>0</v>
      </c>
      <c r="BR28" s="53">
        <f>SUMIFS('MtM Releases'!$H:$H,'MtM Releases'!$G:$G,RESULTADO!$BN28,'MtM Releases'!$F:$F,RESULTADO!$BN24,'MtM Releases'!$D:$D,RESULTADO!BR$3)</f>
        <v>0</v>
      </c>
      <c r="BS28" s="53">
        <f>SUMIFS('MtM Releases'!$H:$H,'MtM Releases'!$G:$G,RESULTADO!$BN28,'MtM Releases'!$F:$F,RESULTADO!$BN24,'MtM Releases'!$D:$D,RESULTADO!BS$3)</f>
        <v>0</v>
      </c>
      <c r="BT28" s="53">
        <f>SUMIFS('MtM Releases'!$H:$H,'MtM Releases'!$G:$G,RESULTADO!$BN28,'MtM Releases'!$F:$F,RESULTADO!$BN24,'MtM Releases'!$D:$D,RESULTADO!BT$3)</f>
        <v>0</v>
      </c>
      <c r="BU28" s="53">
        <f>SUMIFS('MtM Releases'!$H:$H,'MtM Releases'!$G:$G,RESULTADO!$BN28,'MtM Releases'!$F:$F,RESULTADO!$BN24,'MtM Releases'!$D:$D,RESULTADO!BU$3)</f>
        <v>0</v>
      </c>
      <c r="BV28" s="53">
        <f>SUMIFS('MtM Releases'!$H:$H,'MtM Releases'!$G:$G,RESULTADO!$BN28,'MtM Releases'!$F:$F,RESULTADO!$BN24,'MtM Releases'!$D:$D,RESULTADO!BV$3)</f>
        <v>0</v>
      </c>
      <c r="BW28" s="53">
        <f>SUMIFS('MtM Releases'!$H:$H,'MtM Releases'!$G:$G,RESULTADO!$BN28,'MtM Releases'!$F:$F,RESULTADO!$BN24,'MtM Releases'!$D:$D,RESULTADO!BW$3)</f>
        <v>0</v>
      </c>
      <c r="BX28" s="53">
        <f>SUMIFS('MtM Releases'!$H:$H,'MtM Releases'!$G:$G,RESULTADO!$BN28,'MtM Releases'!$F:$F,RESULTADO!$BN24,'MtM Releases'!$D:$D,RESULTADO!BX$3)</f>
        <v>0</v>
      </c>
      <c r="BY28" s="53">
        <f>SUMIFS('MtM Releases'!$H:$H,'MtM Releases'!$G:$G,RESULTADO!$BN28,'MtM Releases'!$F:$F,RESULTADO!$BN24,'MtM Releases'!$D:$D,RESULTADO!BY$3)</f>
        <v>0</v>
      </c>
      <c r="BZ28" s="54">
        <f>SUMIFS('MtM Releases'!$H:$H,'MtM Releases'!$G:$G,RESULTADO!$BN28,'MtM Releases'!$F:$F,RESULTADO!$BN24,'MtM Releases'!$D:$D,RESULTADO!BZ$3)</f>
        <v>0</v>
      </c>
      <c r="CA28" s="53">
        <f>SUMIFS('MtM Releases'!$H:$H,'MtM Releases'!$G:$G,RESULTADO!$BN28,'MtM Releases'!$F:$F,RESULTADO!$BN24,'MtM Releases'!$D:$D,RESULTADO!CA$3)</f>
        <v>0</v>
      </c>
      <c r="CB28" s="53">
        <f>SUMIFS('MtM Releases'!$H:$H,'MtM Releases'!$G:$G,RESULTADO!$BN28,'MtM Releases'!$F:$F,RESULTADO!$BN24,'MtM Releases'!$D:$D,RESULTADO!CB$3)</f>
        <v>0</v>
      </c>
      <c r="CC28" s="53">
        <f>SUMIFS('MtM Releases'!$H:$H,'MtM Releases'!$G:$G,RESULTADO!$BN28,'MtM Releases'!$F:$F,RESULTADO!$BN24,'MtM Releases'!$D:$D,RESULTADO!CC$3)</f>
        <v>0</v>
      </c>
      <c r="CD28" s="53">
        <f>SUMIFS('MtM Releases'!$H:$H,'MtM Releases'!$G:$G,RESULTADO!$BN28,'MtM Releases'!$F:$F,RESULTADO!$BN24,'MtM Releases'!$D:$D,RESULTADO!CD$3)</f>
        <v>0</v>
      </c>
      <c r="CE28" s="53">
        <f>SUMIFS('MtM Releases'!$H:$H,'MtM Releases'!$G:$G,RESULTADO!$BN28,'MtM Releases'!$F:$F,RESULTADO!$BN24,'MtM Releases'!$D:$D,RESULTADO!CE$3)</f>
        <v>0</v>
      </c>
      <c r="CF28" s="53">
        <f>SUMIFS('MtM Releases'!$H:$H,'MtM Releases'!$G:$G,RESULTADO!$BN28,'MtM Releases'!$F:$F,RESULTADO!$BN24,'MtM Releases'!$D:$D,RESULTADO!CF$3)</f>
        <v>0</v>
      </c>
      <c r="CG28" s="53">
        <f>SUMIFS('MtM Releases'!$H:$H,'MtM Releases'!$G:$G,RESULTADO!$BN28,'MtM Releases'!$F:$F,RESULTADO!$BN24,'MtM Releases'!$D:$D,RESULTADO!CG$3)</f>
        <v>0</v>
      </c>
      <c r="CH28" s="53">
        <f>SUMIFS('MtM Releases'!$H:$H,'MtM Releases'!$G:$G,RESULTADO!$BN28,'MtM Releases'!$F:$F,RESULTADO!$BN24,'MtM Releases'!$D:$D,RESULTADO!CH$3)</f>
        <v>0</v>
      </c>
      <c r="CI28" s="53">
        <f>SUMIFS('MtM Releases'!$H:$H,'MtM Releases'!$G:$G,RESULTADO!$BN28,'MtM Releases'!$F:$F,RESULTADO!$BN24,'MtM Releases'!$D:$D,RESULTADO!CI$3)</f>
        <v>0</v>
      </c>
      <c r="CJ28" s="53">
        <f>SUMIFS('MtM Releases'!$H:$H,'MtM Releases'!$G:$G,RESULTADO!$BN28,'MtM Releases'!$F:$F,RESULTADO!$BN24,'MtM Releases'!$D:$D,RESULTADO!CJ$3)</f>
        <v>0</v>
      </c>
      <c r="CK28" s="53">
        <f>SUMIFS('MtM Releases'!$H:$H,'MtM Releases'!$G:$G,RESULTADO!$BN28,'MtM Releases'!$F:$F,RESULTADO!$BN24,'MtM Releases'!$D:$D,RESULTADO!CK$3)</f>
        <v>0</v>
      </c>
      <c r="CL28" s="63">
        <f>SUMIFS('MtM Releases'!$H:$H,'MtM Releases'!$G:$G,RESULTADO!$BN28,'MtM Releases'!$F:$F,RESULTADO!$BN24,'MtM Releases'!$D:$D,RESULTADO!CL$3)</f>
        <v>0</v>
      </c>
      <c r="CM28" s="53">
        <f>SUMIFS('MtM Releases'!$H:$H,'MtM Releases'!$G:$G,RESULTADO!$BN28,'MtM Releases'!$F:$F,RESULTADO!$BN24,'MtM Releases'!$D:$D,RESULTADO!CM$3)</f>
        <v>0</v>
      </c>
      <c r="CN28" s="53">
        <f>SUMIFS('MtM Releases'!$H:$H,'MtM Releases'!$G:$G,RESULTADO!$BN28,'MtM Releases'!$F:$F,RESULTADO!$BN24,'MtM Releases'!$D:$D,RESULTADO!CN$3)</f>
        <v>0</v>
      </c>
      <c r="CO28" s="53">
        <f>SUMIFS('MtM Releases'!$H:$H,'MtM Releases'!$G:$G,RESULTADO!$BN28,'MtM Releases'!$F:$F,RESULTADO!$BN24,'MtM Releases'!$D:$D,RESULTADO!CO$3)</f>
        <v>0</v>
      </c>
      <c r="CP28" s="53">
        <f>SUMIFS('MtM Releases'!$H:$H,'MtM Releases'!$G:$G,RESULTADO!$BN28,'MtM Releases'!$F:$F,RESULTADO!$BN24,'MtM Releases'!$D:$D,RESULTADO!CP$3)</f>
        <v>0</v>
      </c>
      <c r="CQ28" s="53">
        <f>SUMIFS('MtM Releases'!$H:$H,'MtM Releases'!$G:$G,RESULTADO!$BN28,'MtM Releases'!$F:$F,RESULTADO!$BN24,'MtM Releases'!$D:$D,RESULTADO!CQ$3)</f>
        <v>0</v>
      </c>
      <c r="CR28" s="53">
        <f>SUMIFS('MtM Releases'!$H:$H,'MtM Releases'!$G:$G,RESULTADO!$BN28,'MtM Releases'!$F:$F,RESULTADO!$BN24,'MtM Releases'!$D:$D,RESULTADO!CR$3)</f>
        <v>0</v>
      </c>
      <c r="CS28" s="53">
        <f>SUMIFS('MtM Releases'!$H:$H,'MtM Releases'!$G:$G,RESULTADO!$BN28,'MtM Releases'!$F:$F,RESULTADO!$BN24,'MtM Releases'!$D:$D,RESULTADO!CS$3)</f>
        <v>0</v>
      </c>
      <c r="CT28" s="53">
        <f>SUMIFS('MtM Releases'!$H:$H,'MtM Releases'!$G:$G,RESULTADO!$BN28,'MtM Releases'!$F:$F,RESULTADO!$BN24,'MtM Releases'!$D:$D,RESULTADO!CT$3)</f>
        <v>0</v>
      </c>
      <c r="CU28" s="53">
        <f>SUMIFS('MtM Releases'!$H:$H,'MtM Releases'!$G:$G,RESULTADO!$BN28,'MtM Releases'!$F:$F,RESULTADO!$BN24,'MtM Releases'!$D:$D,RESULTADO!CU$3)</f>
        <v>0</v>
      </c>
      <c r="CV28" s="53">
        <f>SUMIFS('MtM Releases'!$H:$H,'MtM Releases'!$G:$G,RESULTADO!$BN28,'MtM Releases'!$F:$F,RESULTADO!$BN24,'MtM Releases'!$D:$D,RESULTADO!CV$3)</f>
        <v>0</v>
      </c>
      <c r="CW28" s="53">
        <f>SUMIFS('MtM Releases'!$H:$H,'MtM Releases'!$G:$G,RESULTADO!$BN28,'MtM Releases'!$F:$F,RESULTADO!$BN24,'MtM Releases'!$D:$D,RESULTADO!CW$3)</f>
        <v>0</v>
      </c>
      <c r="CX28" s="54">
        <f>SUMIFS('MtM Releases'!$H:$H,'MtM Releases'!$G:$G,RESULTADO!$BN28,'MtM Releases'!$F:$F,RESULTADO!$BN24,'MtM Releases'!$D:$D,RESULTADO!CX$3)</f>
        <v>0</v>
      </c>
      <c r="CY28" s="53">
        <f>SUMIFS('MtM Releases'!$H:$H,'MtM Releases'!$G:$G,RESULTADO!$BN28,'MtM Releases'!$F:$F,RESULTADO!$BN24,'MtM Releases'!$D:$D,RESULTADO!CY$3)</f>
        <v>0</v>
      </c>
      <c r="CZ28" s="53">
        <f>SUMIFS('MtM Releases'!$H:$H,'MtM Releases'!$G:$G,RESULTADO!$BN28,'MtM Releases'!$F:$F,RESULTADO!$BN24,'MtM Releases'!$D:$D,RESULTADO!CZ$3)</f>
        <v>0</v>
      </c>
      <c r="DA28" s="53">
        <f>SUMIFS('MtM Releases'!$H:$H,'MtM Releases'!$G:$G,RESULTADO!$BN28,'MtM Releases'!$F:$F,RESULTADO!$BN24,'MtM Releases'!$D:$D,RESULTADO!DA$3)</f>
        <v>0</v>
      </c>
      <c r="DB28" s="53">
        <f>SUMIFS('MtM Releases'!$H:$H,'MtM Releases'!$G:$G,RESULTADO!$BN28,'MtM Releases'!$F:$F,RESULTADO!$BN24,'MtM Releases'!$D:$D,RESULTADO!DB$3)</f>
        <v>0</v>
      </c>
      <c r="DC28" s="53">
        <f>SUMIFS('MtM Releases'!$H:$H,'MtM Releases'!$G:$G,RESULTADO!$BN28,'MtM Releases'!$F:$F,RESULTADO!$BN24,'MtM Releases'!$D:$D,RESULTADO!DC$3)</f>
        <v>0</v>
      </c>
      <c r="DD28" s="53">
        <f>SUMIFS('MtM Releases'!$H:$H,'MtM Releases'!$G:$G,RESULTADO!$BN28,'MtM Releases'!$F:$F,RESULTADO!$BN24,'MtM Releases'!$D:$D,RESULTADO!DD$3)</f>
        <v>0</v>
      </c>
      <c r="DE28" s="53">
        <f>SUMIFS('MtM Releases'!$H:$H,'MtM Releases'!$G:$G,RESULTADO!$BN28,'MtM Releases'!$F:$F,RESULTADO!$BN24,'MtM Releases'!$D:$D,RESULTADO!DE$3)</f>
        <v>0</v>
      </c>
      <c r="DF28" s="53">
        <f>SUMIFS('MtM Releases'!$H:$H,'MtM Releases'!$G:$G,RESULTADO!$BN28,'MtM Releases'!$F:$F,RESULTADO!$BN24,'MtM Releases'!$D:$D,RESULTADO!DF$3)</f>
        <v>0</v>
      </c>
      <c r="DG28" s="53">
        <f>SUMIFS('MtM Releases'!$H:$H,'MtM Releases'!$G:$G,RESULTADO!$BN28,'MtM Releases'!$F:$F,RESULTADO!$BN24,'MtM Releases'!$D:$D,RESULTADO!DG$3)</f>
        <v>0</v>
      </c>
      <c r="DH28" s="53">
        <f>SUMIFS('MtM Releases'!$H:$H,'MtM Releases'!$G:$G,RESULTADO!$BN28,'MtM Releases'!$F:$F,RESULTADO!$BN24,'MtM Releases'!$D:$D,RESULTADO!DH$3)</f>
        <v>0</v>
      </c>
      <c r="DI28" s="53">
        <f>SUMIFS('MtM Releases'!$H:$H,'MtM Releases'!$G:$G,RESULTADO!$BN28,'MtM Releases'!$F:$F,RESULTADO!$BN24,'MtM Releases'!$D:$D,RESULTADO!DI$3)</f>
        <v>0</v>
      </c>
      <c r="DJ28" s="63">
        <f>SUMIFS('MtM Releases'!$H:$H,'MtM Releases'!$G:$G,RESULTADO!$BN28,'MtM Releases'!$F:$F,RESULTADO!$BN24,'MtM Releases'!$D:$D,RESULTADO!DJ$3)</f>
        <v>0</v>
      </c>
      <c r="DK28" s="53">
        <f>SUMIFS('MtM Releases'!$H:$H,'MtM Releases'!$G:$G,RESULTADO!$BN28,'MtM Releases'!$F:$F,RESULTADO!$BN24,'MtM Releases'!$D:$D,RESULTADO!DK$3)</f>
        <v>0</v>
      </c>
      <c r="DL28" s="53">
        <f>SUMIFS('MtM Releases'!$H:$H,'MtM Releases'!$G:$G,RESULTADO!$BN28,'MtM Releases'!$F:$F,RESULTADO!$BN24,'MtM Releases'!$D:$D,RESULTADO!DL$3)</f>
        <v>0</v>
      </c>
      <c r="DM28" s="53">
        <f>SUMIFS('MtM Releases'!$H:$H,'MtM Releases'!$G:$G,RESULTADO!$BN28,'MtM Releases'!$F:$F,RESULTADO!$BN24,'MtM Releases'!$D:$D,RESULTADO!DM$3)</f>
        <v>0</v>
      </c>
      <c r="DN28" s="53">
        <f>SUMIFS('MtM Releases'!$H:$H,'MtM Releases'!$G:$G,RESULTADO!$BN28,'MtM Releases'!$F:$F,RESULTADO!$BN24,'MtM Releases'!$D:$D,RESULTADO!DN$3)</f>
        <v>0</v>
      </c>
      <c r="DO28" s="53">
        <f>SUMIFS('MtM Releases'!$H:$H,'MtM Releases'!$G:$G,RESULTADO!$BN28,'MtM Releases'!$F:$F,RESULTADO!$BN24,'MtM Releases'!$D:$D,RESULTADO!DO$3)</f>
        <v>0</v>
      </c>
      <c r="DP28" s="53">
        <f>SUMIFS('MtM Releases'!$H:$H,'MtM Releases'!$G:$G,RESULTADO!$BN28,'MtM Releases'!$F:$F,RESULTADO!$BN24,'MtM Releases'!$D:$D,RESULTADO!DP$3)</f>
        <v>0</v>
      </c>
      <c r="DQ28" s="53">
        <f>SUMIFS('MtM Releases'!$H:$H,'MtM Releases'!$G:$G,RESULTADO!$BN28,'MtM Releases'!$F:$F,RESULTADO!$BN24,'MtM Releases'!$D:$D,RESULTADO!DQ$3)</f>
        <v>0</v>
      </c>
      <c r="DR28" s="53">
        <f>SUMIFS('MtM Releases'!$H:$H,'MtM Releases'!$G:$G,RESULTADO!$BN28,'MtM Releases'!$F:$F,RESULTADO!$BN24,'MtM Releases'!$D:$D,RESULTADO!DR$3)</f>
        <v>0</v>
      </c>
      <c r="DS28" s="53">
        <f>SUMIFS('MtM Releases'!$H:$H,'MtM Releases'!$G:$G,RESULTADO!$BN28,'MtM Releases'!$F:$F,RESULTADO!$BN24,'MtM Releases'!$D:$D,RESULTADO!DS$3)</f>
        <v>0</v>
      </c>
      <c r="DT28" s="53">
        <f>SUMIFS('MtM Releases'!$H:$H,'MtM Releases'!$G:$G,RESULTADO!$BN28,'MtM Releases'!$F:$F,RESULTADO!$BN24,'MtM Releases'!$D:$D,RESULTADO!DT$3)</f>
        <v>0</v>
      </c>
      <c r="DU28" s="53">
        <f>SUMIFS('MtM Releases'!$H:$H,'MtM Releases'!$G:$G,RESULTADO!$BN28,'MtM Releases'!$F:$F,RESULTADO!$BN24,'MtM Releases'!$D:$D,RESULTADO!DU$3)</f>
        <v>0</v>
      </c>
      <c r="DV28" s="63">
        <f>SUMIFS('MtM Releases'!$H:$H,'MtM Releases'!$G:$G,RESULTADO!$BN28,'MtM Releases'!$F:$F,RESULTADO!$BN24,'MtM Releases'!$D:$D,RESULTADO!DV$3)</f>
        <v>0</v>
      </c>
    </row>
    <row r="29" spans="2:132" x14ac:dyDescent="0.25">
      <c r="B29" s="56" t="s">
        <v>67</v>
      </c>
      <c r="C29" s="68">
        <f t="shared" ref="C29" si="21">SUM(C30:C33)</f>
        <v>0</v>
      </c>
      <c r="D29" s="68">
        <f t="shared" ref="D29:BJ29" si="22">SUM(D30:D33)</f>
        <v>0</v>
      </c>
      <c r="E29" s="68">
        <f t="shared" si="22"/>
        <v>0</v>
      </c>
      <c r="F29" s="68">
        <f t="shared" si="22"/>
        <v>0</v>
      </c>
      <c r="G29" s="68">
        <f t="shared" si="22"/>
        <v>0</v>
      </c>
      <c r="H29" s="68">
        <f t="shared" si="22"/>
        <v>0</v>
      </c>
      <c r="I29" s="68">
        <f t="shared" si="22"/>
        <v>0</v>
      </c>
      <c r="J29" s="68">
        <f t="shared" si="22"/>
        <v>0</v>
      </c>
      <c r="K29" s="68">
        <f t="shared" si="22"/>
        <v>0</v>
      </c>
      <c r="L29" s="68">
        <f t="shared" si="22"/>
        <v>0</v>
      </c>
      <c r="M29" s="68">
        <f t="shared" si="22"/>
        <v>0</v>
      </c>
      <c r="N29" s="69">
        <f t="shared" si="22"/>
        <v>0</v>
      </c>
      <c r="O29" s="68">
        <f t="shared" si="22"/>
        <v>0</v>
      </c>
      <c r="P29" s="68">
        <f t="shared" si="22"/>
        <v>0</v>
      </c>
      <c r="Q29" s="68">
        <f t="shared" si="22"/>
        <v>0</v>
      </c>
      <c r="R29" s="68">
        <f t="shared" si="22"/>
        <v>0</v>
      </c>
      <c r="S29" s="68">
        <f t="shared" si="22"/>
        <v>0</v>
      </c>
      <c r="T29" s="68">
        <f t="shared" si="22"/>
        <v>0</v>
      </c>
      <c r="U29" s="68">
        <f t="shared" si="22"/>
        <v>0</v>
      </c>
      <c r="V29" s="68">
        <f t="shared" si="22"/>
        <v>0</v>
      </c>
      <c r="W29" s="68">
        <f t="shared" si="22"/>
        <v>0</v>
      </c>
      <c r="X29" s="68">
        <f t="shared" si="22"/>
        <v>0</v>
      </c>
      <c r="Y29" s="68">
        <f t="shared" si="22"/>
        <v>0</v>
      </c>
      <c r="Z29" s="70">
        <f t="shared" si="22"/>
        <v>0</v>
      </c>
      <c r="AA29" s="68">
        <f t="shared" si="22"/>
        <v>0</v>
      </c>
      <c r="AB29" s="68">
        <f t="shared" si="22"/>
        <v>0</v>
      </c>
      <c r="AC29" s="68">
        <f t="shared" si="22"/>
        <v>0</v>
      </c>
      <c r="AD29" s="68">
        <f t="shared" si="22"/>
        <v>0</v>
      </c>
      <c r="AE29" s="68">
        <f t="shared" si="22"/>
        <v>0</v>
      </c>
      <c r="AF29" s="68">
        <f t="shared" si="22"/>
        <v>0</v>
      </c>
      <c r="AG29" s="68">
        <f t="shared" si="22"/>
        <v>0</v>
      </c>
      <c r="AH29" s="68">
        <f t="shared" si="22"/>
        <v>0</v>
      </c>
      <c r="AI29" s="68">
        <f t="shared" si="22"/>
        <v>0</v>
      </c>
      <c r="AJ29" s="68">
        <f t="shared" si="22"/>
        <v>0</v>
      </c>
      <c r="AK29" s="68">
        <f t="shared" si="22"/>
        <v>0</v>
      </c>
      <c r="AL29" s="69">
        <f t="shared" si="22"/>
        <v>0</v>
      </c>
      <c r="AM29" s="68">
        <f t="shared" si="22"/>
        <v>0</v>
      </c>
      <c r="AN29" s="68">
        <f t="shared" si="22"/>
        <v>0</v>
      </c>
      <c r="AO29" s="68">
        <f t="shared" si="22"/>
        <v>0</v>
      </c>
      <c r="AP29" s="68">
        <f t="shared" si="22"/>
        <v>0</v>
      </c>
      <c r="AQ29" s="68">
        <f t="shared" si="22"/>
        <v>0</v>
      </c>
      <c r="AR29" s="68">
        <f t="shared" si="22"/>
        <v>0</v>
      </c>
      <c r="AS29" s="68">
        <f t="shared" si="22"/>
        <v>0</v>
      </c>
      <c r="AT29" s="68">
        <f t="shared" si="22"/>
        <v>0</v>
      </c>
      <c r="AU29" s="68">
        <f t="shared" si="22"/>
        <v>0</v>
      </c>
      <c r="AV29" s="68">
        <f t="shared" si="22"/>
        <v>0</v>
      </c>
      <c r="AW29" s="68">
        <f t="shared" si="22"/>
        <v>0</v>
      </c>
      <c r="AX29" s="70">
        <f t="shared" si="22"/>
        <v>0</v>
      </c>
      <c r="AY29" s="68">
        <f t="shared" si="22"/>
        <v>0</v>
      </c>
      <c r="AZ29" s="68">
        <f t="shared" si="22"/>
        <v>0</v>
      </c>
      <c r="BA29" s="68">
        <f t="shared" si="22"/>
        <v>0</v>
      </c>
      <c r="BB29" s="68">
        <f t="shared" si="22"/>
        <v>0</v>
      </c>
      <c r="BC29" s="68">
        <f t="shared" si="22"/>
        <v>0</v>
      </c>
      <c r="BD29" s="68">
        <f t="shared" si="22"/>
        <v>0</v>
      </c>
      <c r="BE29" s="68">
        <f t="shared" si="22"/>
        <v>0</v>
      </c>
      <c r="BF29" s="68">
        <f t="shared" si="22"/>
        <v>0</v>
      </c>
      <c r="BG29" s="68">
        <f t="shared" si="22"/>
        <v>0</v>
      </c>
      <c r="BH29" s="68">
        <f t="shared" si="22"/>
        <v>0</v>
      </c>
      <c r="BI29" s="68">
        <f t="shared" si="22"/>
        <v>0</v>
      </c>
      <c r="BJ29" s="70">
        <f t="shared" si="22"/>
        <v>0</v>
      </c>
      <c r="BL29" s="120"/>
      <c r="BN29" s="56" t="s">
        <v>67</v>
      </c>
      <c r="BO29" s="68">
        <f t="shared" ref="BO29" si="23">SUM(BO30:BO33)</f>
        <v>0</v>
      </c>
      <c r="BP29" s="68">
        <f t="shared" ref="BP29:DV29" si="24">SUM(BP30:BP33)</f>
        <v>0</v>
      </c>
      <c r="BQ29" s="68">
        <f t="shared" si="24"/>
        <v>0</v>
      </c>
      <c r="BR29" s="68">
        <f t="shared" si="24"/>
        <v>0</v>
      </c>
      <c r="BS29" s="68">
        <f t="shared" si="24"/>
        <v>0</v>
      </c>
      <c r="BT29" s="68">
        <f t="shared" si="24"/>
        <v>0</v>
      </c>
      <c r="BU29" s="68">
        <f t="shared" si="24"/>
        <v>0</v>
      </c>
      <c r="BV29" s="68">
        <f t="shared" si="24"/>
        <v>0</v>
      </c>
      <c r="BW29" s="68">
        <f t="shared" si="24"/>
        <v>0</v>
      </c>
      <c r="BX29" s="68">
        <f t="shared" si="24"/>
        <v>0</v>
      </c>
      <c r="BY29" s="68">
        <f t="shared" si="24"/>
        <v>0</v>
      </c>
      <c r="BZ29" s="69">
        <f t="shared" si="24"/>
        <v>0</v>
      </c>
      <c r="CA29" s="68">
        <f t="shared" si="24"/>
        <v>0</v>
      </c>
      <c r="CB29" s="68">
        <f t="shared" si="24"/>
        <v>0</v>
      </c>
      <c r="CC29" s="68">
        <f t="shared" si="24"/>
        <v>0</v>
      </c>
      <c r="CD29" s="68">
        <f t="shared" si="24"/>
        <v>0</v>
      </c>
      <c r="CE29" s="68">
        <f t="shared" si="24"/>
        <v>0</v>
      </c>
      <c r="CF29" s="68">
        <f t="shared" si="24"/>
        <v>0</v>
      </c>
      <c r="CG29" s="68">
        <f t="shared" si="24"/>
        <v>0</v>
      </c>
      <c r="CH29" s="68">
        <f t="shared" si="24"/>
        <v>0</v>
      </c>
      <c r="CI29" s="68">
        <f t="shared" si="24"/>
        <v>0</v>
      </c>
      <c r="CJ29" s="68">
        <f t="shared" si="24"/>
        <v>0</v>
      </c>
      <c r="CK29" s="68">
        <f t="shared" si="24"/>
        <v>0</v>
      </c>
      <c r="CL29" s="70">
        <f t="shared" si="24"/>
        <v>0</v>
      </c>
      <c r="CM29" s="68">
        <f t="shared" si="24"/>
        <v>0</v>
      </c>
      <c r="CN29" s="68">
        <f t="shared" si="24"/>
        <v>0</v>
      </c>
      <c r="CO29" s="68">
        <f t="shared" si="24"/>
        <v>0</v>
      </c>
      <c r="CP29" s="68">
        <f t="shared" si="24"/>
        <v>0</v>
      </c>
      <c r="CQ29" s="68">
        <f t="shared" si="24"/>
        <v>0</v>
      </c>
      <c r="CR29" s="68">
        <f t="shared" si="24"/>
        <v>0</v>
      </c>
      <c r="CS29" s="68">
        <f t="shared" si="24"/>
        <v>0</v>
      </c>
      <c r="CT29" s="68">
        <f t="shared" si="24"/>
        <v>0</v>
      </c>
      <c r="CU29" s="68">
        <f t="shared" si="24"/>
        <v>0</v>
      </c>
      <c r="CV29" s="68">
        <f t="shared" si="24"/>
        <v>0</v>
      </c>
      <c r="CW29" s="68">
        <f t="shared" si="24"/>
        <v>0</v>
      </c>
      <c r="CX29" s="69">
        <f t="shared" si="24"/>
        <v>0</v>
      </c>
      <c r="CY29" s="68">
        <f t="shared" si="24"/>
        <v>0</v>
      </c>
      <c r="CZ29" s="68">
        <f t="shared" si="24"/>
        <v>0</v>
      </c>
      <c r="DA29" s="68">
        <f t="shared" si="24"/>
        <v>0</v>
      </c>
      <c r="DB29" s="68">
        <f t="shared" si="24"/>
        <v>0</v>
      </c>
      <c r="DC29" s="68">
        <f t="shared" si="24"/>
        <v>0</v>
      </c>
      <c r="DD29" s="68">
        <f t="shared" si="24"/>
        <v>0</v>
      </c>
      <c r="DE29" s="68">
        <f t="shared" si="24"/>
        <v>0</v>
      </c>
      <c r="DF29" s="68">
        <f t="shared" si="24"/>
        <v>0</v>
      </c>
      <c r="DG29" s="68">
        <f t="shared" si="24"/>
        <v>0</v>
      </c>
      <c r="DH29" s="68">
        <f t="shared" si="24"/>
        <v>0</v>
      </c>
      <c r="DI29" s="68">
        <f t="shared" si="24"/>
        <v>0</v>
      </c>
      <c r="DJ29" s="70">
        <f t="shared" si="24"/>
        <v>0</v>
      </c>
      <c r="DK29" s="68">
        <f t="shared" si="24"/>
        <v>0</v>
      </c>
      <c r="DL29" s="68">
        <f t="shared" si="24"/>
        <v>0</v>
      </c>
      <c r="DM29" s="68">
        <f t="shared" si="24"/>
        <v>0</v>
      </c>
      <c r="DN29" s="68">
        <f t="shared" si="24"/>
        <v>0</v>
      </c>
      <c r="DO29" s="68">
        <f t="shared" si="24"/>
        <v>0</v>
      </c>
      <c r="DP29" s="68">
        <f t="shared" si="24"/>
        <v>0</v>
      </c>
      <c r="DQ29" s="68">
        <f t="shared" si="24"/>
        <v>0</v>
      </c>
      <c r="DR29" s="68">
        <f t="shared" si="24"/>
        <v>0</v>
      </c>
      <c r="DS29" s="68">
        <f t="shared" si="24"/>
        <v>0</v>
      </c>
      <c r="DT29" s="68">
        <f t="shared" si="24"/>
        <v>0</v>
      </c>
      <c r="DU29" s="68">
        <f t="shared" si="24"/>
        <v>0</v>
      </c>
      <c r="DV29" s="70">
        <f t="shared" si="24"/>
        <v>0</v>
      </c>
    </row>
    <row r="30" spans="2:132" x14ac:dyDescent="0.25">
      <c r="B30" s="57" t="s">
        <v>44</v>
      </c>
      <c r="C30" s="53">
        <f>(SUMIFS(MtM!$M:$M,MtM!$I:$I,RESULTADO!$B30,MtM!$H:$H,RESULTADO!$B$29,MtM!$E:$E,RESULTADO!C$3)-SUMIFS(MtM!$N:$N,MtM!$I:$I,RESULTADO!$B30,MtM!$H:$H,RESULTADO!$B$29,MtM!$E:$E,RESULTADO!C$3))</f>
        <v>0</v>
      </c>
      <c r="D30" s="53">
        <f>(SUMIFS(MtM!$M:$M,MtM!$I:$I,RESULTADO!$B30,MtM!$H:$H,RESULTADO!$B$29,MtM!$E:$E,RESULTADO!D$3)-SUMIFS(MtM!$N:$N,MtM!$I:$I,RESULTADO!$B30,MtM!$H:$H,RESULTADO!$B$29,MtM!$E:$E,RESULTADO!D$3))</f>
        <v>0</v>
      </c>
      <c r="E30" s="53">
        <f>(SUMIFS(MtM!$M:$M,MtM!$I:$I,RESULTADO!$B30,MtM!$H:$H,RESULTADO!$B$29,MtM!$E:$E,RESULTADO!E$3)-SUMIFS(MtM!$N:$N,MtM!$I:$I,RESULTADO!$B30,MtM!$H:$H,RESULTADO!$B$29,MtM!$E:$E,RESULTADO!E$3))</f>
        <v>0</v>
      </c>
      <c r="F30" s="53">
        <f>(SUMIFS(MtM!$M:$M,MtM!$I:$I,RESULTADO!$B30,MtM!$H:$H,RESULTADO!$B$29,MtM!$E:$E,RESULTADO!F$3)-SUMIFS(MtM!$N:$N,MtM!$I:$I,RESULTADO!$B30,MtM!$H:$H,RESULTADO!$B$29,MtM!$E:$E,RESULTADO!F$3))</f>
        <v>0</v>
      </c>
      <c r="G30" s="53">
        <f>(SUMIFS(MtM!$M:$M,MtM!$I:$I,RESULTADO!$B30,MtM!$H:$H,RESULTADO!$B$29,MtM!$E:$E,RESULTADO!G$3)-SUMIFS(MtM!$N:$N,MtM!$I:$I,RESULTADO!$B30,MtM!$H:$H,RESULTADO!$B$29,MtM!$E:$E,RESULTADO!G$3))</f>
        <v>0</v>
      </c>
      <c r="H30" s="53">
        <f>(SUMIFS(MtM!$M:$M,MtM!$I:$I,RESULTADO!$B30,MtM!$H:$H,RESULTADO!$B$29,MtM!$E:$E,RESULTADO!H$3)-SUMIFS(MtM!$N:$N,MtM!$I:$I,RESULTADO!$B30,MtM!$H:$H,RESULTADO!$B$29,MtM!$E:$E,RESULTADO!H$3))</f>
        <v>0</v>
      </c>
      <c r="I30" s="53">
        <f>(SUMIFS(MtM!$M:$M,MtM!$I:$I,RESULTADO!$B30,MtM!$H:$H,RESULTADO!$B$29,MtM!$E:$E,RESULTADO!I$3)-SUMIFS(MtM!$N:$N,MtM!$I:$I,RESULTADO!$B30,MtM!$H:$H,RESULTADO!$B$29,MtM!$E:$E,RESULTADO!I$3))</f>
        <v>0</v>
      </c>
      <c r="J30" s="53">
        <f>(SUMIFS(MtM!$M:$M,MtM!$I:$I,RESULTADO!$B30,MtM!$H:$H,RESULTADO!$B$29,MtM!$E:$E,RESULTADO!J$3)-SUMIFS(MtM!$N:$N,MtM!$I:$I,RESULTADO!$B30,MtM!$H:$H,RESULTADO!$B$29,MtM!$E:$E,RESULTADO!J$3))</f>
        <v>0</v>
      </c>
      <c r="K30" s="53">
        <f>(SUMIFS(MtM!$M:$M,MtM!$I:$I,RESULTADO!$B30,MtM!$H:$H,RESULTADO!$B$29,MtM!$E:$E,RESULTADO!K$3)-SUMIFS(MtM!$N:$N,MtM!$I:$I,RESULTADO!$B30,MtM!$H:$H,RESULTADO!$B$29,MtM!$E:$E,RESULTADO!K$3))</f>
        <v>0</v>
      </c>
      <c r="L30" s="53">
        <f>(SUMIFS(MtM!$M:$M,MtM!$I:$I,RESULTADO!$B30,MtM!$H:$H,RESULTADO!$B$29,MtM!$E:$E,RESULTADO!L$3)-SUMIFS(MtM!$N:$N,MtM!$I:$I,RESULTADO!$B30,MtM!$H:$H,RESULTADO!$B$29,MtM!$E:$E,RESULTADO!L$3))</f>
        <v>0</v>
      </c>
      <c r="M30" s="53">
        <f>(SUMIFS(MtM!$M:$M,MtM!$I:$I,RESULTADO!$B30,MtM!$H:$H,RESULTADO!$B$29,MtM!$E:$E,RESULTADO!M$3)-SUMIFS(MtM!$N:$N,MtM!$I:$I,RESULTADO!$B30,MtM!$H:$H,RESULTADO!$B$29,MtM!$E:$E,RESULTADO!M$3))</f>
        <v>0</v>
      </c>
      <c r="N30" s="54">
        <f>(SUMIFS(MtM!$M:$M,MtM!$I:$I,RESULTADO!$B30,MtM!$H:$H,RESULTADO!$B$29,MtM!$E:$E,RESULTADO!N$3)-SUMIFS(MtM!$N:$N,MtM!$I:$I,RESULTADO!$B30,MtM!$H:$H,RESULTADO!$B$29,MtM!$E:$E,RESULTADO!N$3))</f>
        <v>0</v>
      </c>
      <c r="O30" s="53">
        <f>(SUMIFS(MtM!$M:$M,MtM!$I:$I,RESULTADO!$B30,MtM!$H:$H,RESULTADO!$B$29,MtM!$E:$E,RESULTADO!O$3)-SUMIFS(MtM!$N:$N,MtM!$I:$I,RESULTADO!$B30,MtM!$H:$H,RESULTADO!$B$29,MtM!$E:$E,RESULTADO!O$3))</f>
        <v>0</v>
      </c>
      <c r="P30" s="53">
        <f>(SUMIFS(MtM!$M:$M,MtM!$I:$I,RESULTADO!$B30,MtM!$H:$H,RESULTADO!$B$29,MtM!$E:$E,RESULTADO!P$3)-SUMIFS(MtM!$N:$N,MtM!$I:$I,RESULTADO!$B30,MtM!$H:$H,RESULTADO!$B$29,MtM!$E:$E,RESULTADO!P$3))</f>
        <v>0</v>
      </c>
      <c r="Q30" s="53">
        <f>(SUMIFS(MtM!$M:$M,MtM!$I:$I,RESULTADO!$B30,MtM!$H:$H,RESULTADO!$B$29,MtM!$E:$E,RESULTADO!Q$3)-SUMIFS(MtM!$N:$N,MtM!$I:$I,RESULTADO!$B30,MtM!$H:$H,RESULTADO!$B$29,MtM!$E:$E,RESULTADO!Q$3))</f>
        <v>0</v>
      </c>
      <c r="R30" s="53">
        <f>(SUMIFS(MtM!$M:$M,MtM!$I:$I,RESULTADO!$B30,MtM!$H:$H,RESULTADO!$B$29,MtM!$E:$E,RESULTADO!R$3)-SUMIFS(MtM!$N:$N,MtM!$I:$I,RESULTADO!$B30,MtM!$H:$H,RESULTADO!$B$29,MtM!$E:$E,RESULTADO!R$3))</f>
        <v>0</v>
      </c>
      <c r="S30" s="53">
        <f>(SUMIFS(MtM!$M:$M,MtM!$I:$I,RESULTADO!$B30,MtM!$H:$H,RESULTADO!$B$29,MtM!$E:$E,RESULTADO!S$3)-SUMIFS(MtM!$N:$N,MtM!$I:$I,RESULTADO!$B30,MtM!$H:$H,RESULTADO!$B$29,MtM!$E:$E,RESULTADO!S$3))</f>
        <v>0</v>
      </c>
      <c r="T30" s="53">
        <f>(SUMIFS(MtM!$M:$M,MtM!$I:$I,RESULTADO!$B30,MtM!$H:$H,RESULTADO!$B$29,MtM!$E:$E,RESULTADO!T$3)-SUMIFS(MtM!$N:$N,MtM!$I:$I,RESULTADO!$B30,MtM!$H:$H,RESULTADO!$B$29,MtM!$E:$E,RESULTADO!T$3))</f>
        <v>0</v>
      </c>
      <c r="U30" s="53">
        <f>(SUMIFS(MtM!$M:$M,MtM!$I:$I,RESULTADO!$B30,MtM!$H:$H,RESULTADO!$B$29,MtM!$E:$E,RESULTADO!U$3)-SUMIFS(MtM!$N:$N,MtM!$I:$I,RESULTADO!$B30,MtM!$H:$H,RESULTADO!$B$29,MtM!$E:$E,RESULTADO!U$3))</f>
        <v>0</v>
      </c>
      <c r="V30" s="53">
        <f>(SUMIFS(MtM!$M:$M,MtM!$I:$I,RESULTADO!$B30,MtM!$H:$H,RESULTADO!$B$29,MtM!$E:$E,RESULTADO!V$3)-SUMIFS(MtM!$N:$N,MtM!$I:$I,RESULTADO!$B30,MtM!$H:$H,RESULTADO!$B$29,MtM!$E:$E,RESULTADO!V$3))</f>
        <v>0</v>
      </c>
      <c r="W30" s="53">
        <f>(SUMIFS(MtM!$M:$M,MtM!$I:$I,RESULTADO!$B30,MtM!$H:$H,RESULTADO!$B$29,MtM!$E:$E,RESULTADO!W$3)-SUMIFS(MtM!$N:$N,MtM!$I:$I,RESULTADO!$B30,MtM!$H:$H,RESULTADO!$B$29,MtM!$E:$E,RESULTADO!W$3))</f>
        <v>0</v>
      </c>
      <c r="X30" s="53">
        <f>(SUMIFS(MtM!$M:$M,MtM!$I:$I,RESULTADO!$B30,MtM!$H:$H,RESULTADO!$B$29,MtM!$E:$E,RESULTADO!X$3)-SUMIFS(MtM!$N:$N,MtM!$I:$I,RESULTADO!$B30,MtM!$H:$H,RESULTADO!$B$29,MtM!$E:$E,RESULTADO!X$3))</f>
        <v>0</v>
      </c>
      <c r="Y30" s="53">
        <f>(SUMIFS(MtM!$M:$M,MtM!$I:$I,RESULTADO!$B30,MtM!$H:$H,RESULTADO!$B$29,MtM!$E:$E,RESULTADO!Y$3)-SUMIFS(MtM!$N:$N,MtM!$I:$I,RESULTADO!$B30,MtM!$H:$H,RESULTADO!$B$29,MtM!$E:$E,RESULTADO!Y$3))</f>
        <v>0</v>
      </c>
      <c r="Z30" s="63">
        <f>(SUMIFS(MtM!$M:$M,MtM!$I:$I,RESULTADO!$B30,MtM!$H:$H,RESULTADO!$B$29,MtM!$E:$E,RESULTADO!Z$3)-SUMIFS(MtM!$N:$N,MtM!$I:$I,RESULTADO!$B30,MtM!$H:$H,RESULTADO!$B$29,MtM!$E:$E,RESULTADO!Z$3))</f>
        <v>0</v>
      </c>
      <c r="AA30" s="53">
        <f>(SUMIFS(MtM!$M:$M,MtM!$I:$I,RESULTADO!$B30,MtM!$H:$H,RESULTADO!$B$29,MtM!$E:$E,RESULTADO!AA$3)-SUMIFS(MtM!$N:$N,MtM!$I:$I,RESULTADO!$B30,MtM!$H:$H,RESULTADO!$B$29,MtM!$E:$E,RESULTADO!AA$3))</f>
        <v>0</v>
      </c>
      <c r="AB30" s="53">
        <f>(SUMIFS(MtM!$M:$M,MtM!$I:$I,RESULTADO!$B30,MtM!$H:$H,RESULTADO!$B$29,MtM!$E:$E,RESULTADO!AB$3)-SUMIFS(MtM!$N:$N,MtM!$I:$I,RESULTADO!$B30,MtM!$H:$H,RESULTADO!$B$29,MtM!$E:$E,RESULTADO!AB$3))</f>
        <v>0</v>
      </c>
      <c r="AC30" s="53">
        <f>(SUMIFS(MtM!$M:$M,MtM!$I:$I,RESULTADO!$B30,MtM!$H:$H,RESULTADO!$B$29,MtM!$E:$E,RESULTADO!AC$3)-SUMIFS(MtM!$N:$N,MtM!$I:$I,RESULTADO!$B30,MtM!$H:$H,RESULTADO!$B$29,MtM!$E:$E,RESULTADO!AC$3))</f>
        <v>0</v>
      </c>
      <c r="AD30" s="53">
        <f>(SUMIFS(MtM!$M:$M,MtM!$I:$I,RESULTADO!$B30,MtM!$H:$H,RESULTADO!$B$29,MtM!$E:$E,RESULTADO!AD$3)-SUMIFS(MtM!$N:$N,MtM!$I:$I,RESULTADO!$B30,MtM!$H:$H,RESULTADO!$B$29,MtM!$E:$E,RESULTADO!AD$3))</f>
        <v>0</v>
      </c>
      <c r="AE30" s="53">
        <f>(SUMIFS(MtM!$M:$M,MtM!$I:$I,RESULTADO!$B30,MtM!$H:$H,RESULTADO!$B$29,MtM!$E:$E,RESULTADO!AE$3)-SUMIFS(MtM!$N:$N,MtM!$I:$I,RESULTADO!$B30,MtM!$H:$H,RESULTADO!$B$29,MtM!$E:$E,RESULTADO!AE$3))</f>
        <v>0</v>
      </c>
      <c r="AF30" s="53">
        <f>(SUMIFS(MtM!$M:$M,MtM!$I:$I,RESULTADO!$B30,MtM!$H:$H,RESULTADO!$B$29,MtM!$E:$E,RESULTADO!AF$3)-SUMIFS(MtM!$N:$N,MtM!$I:$I,RESULTADO!$B30,MtM!$H:$H,RESULTADO!$B$29,MtM!$E:$E,RESULTADO!AF$3))</f>
        <v>0</v>
      </c>
      <c r="AG30" s="53">
        <f>(SUMIFS(MtM!$M:$M,MtM!$I:$I,RESULTADO!$B30,MtM!$H:$H,RESULTADO!$B$29,MtM!$E:$E,RESULTADO!AG$3)-SUMIFS(MtM!$N:$N,MtM!$I:$I,RESULTADO!$B30,MtM!$H:$H,RESULTADO!$B$29,MtM!$E:$E,RESULTADO!AG$3))</f>
        <v>0</v>
      </c>
      <c r="AH30" s="53">
        <f>(SUMIFS(MtM!$M:$M,MtM!$I:$I,RESULTADO!$B30,MtM!$H:$H,RESULTADO!$B$29,MtM!$E:$E,RESULTADO!AH$3)-SUMIFS(MtM!$N:$N,MtM!$I:$I,RESULTADO!$B30,MtM!$H:$H,RESULTADO!$B$29,MtM!$E:$E,RESULTADO!AH$3))</f>
        <v>0</v>
      </c>
      <c r="AI30" s="53">
        <f>(SUMIFS(MtM!$M:$M,MtM!$I:$I,RESULTADO!$B30,MtM!$H:$H,RESULTADO!$B$29,MtM!$E:$E,RESULTADO!AI$3)-SUMIFS(MtM!$N:$N,MtM!$I:$I,RESULTADO!$B30,MtM!$H:$H,RESULTADO!$B$29,MtM!$E:$E,RESULTADO!AI$3))</f>
        <v>0</v>
      </c>
      <c r="AJ30" s="53">
        <f>(SUMIFS(MtM!$M:$M,MtM!$I:$I,RESULTADO!$B30,MtM!$H:$H,RESULTADO!$B$29,MtM!$E:$E,RESULTADO!AJ$3)-SUMIFS(MtM!$N:$N,MtM!$I:$I,RESULTADO!$B30,MtM!$H:$H,RESULTADO!$B$29,MtM!$E:$E,RESULTADO!AJ$3))</f>
        <v>0</v>
      </c>
      <c r="AK30" s="53">
        <f>(SUMIFS(MtM!$M:$M,MtM!$I:$I,RESULTADO!$B30,MtM!$H:$H,RESULTADO!$B$29,MtM!$E:$E,RESULTADO!AK$3)-SUMIFS(MtM!$N:$N,MtM!$I:$I,RESULTADO!$B30,MtM!$H:$H,RESULTADO!$B$29,MtM!$E:$E,RESULTADO!AK$3))</f>
        <v>0</v>
      </c>
      <c r="AL30" s="54">
        <f>(SUMIFS(MtM!$M:$M,MtM!$I:$I,RESULTADO!$B30,MtM!$H:$H,RESULTADO!$B$29,MtM!$E:$E,RESULTADO!AL$3)-SUMIFS(MtM!$N:$N,MtM!$I:$I,RESULTADO!$B30,MtM!$H:$H,RESULTADO!$B$29,MtM!$E:$E,RESULTADO!AL$3))</f>
        <v>0</v>
      </c>
      <c r="AM30" s="53">
        <f>(SUMIFS(MtM!$M:$M,MtM!$I:$I,RESULTADO!$B30,MtM!$H:$H,RESULTADO!$B$29,MtM!$E:$E,RESULTADO!AM$3)-SUMIFS(MtM!$N:$N,MtM!$I:$I,RESULTADO!$B30,MtM!$H:$H,RESULTADO!$B$29,MtM!$E:$E,RESULTADO!AM$3))</f>
        <v>0</v>
      </c>
      <c r="AN30" s="53">
        <f>(SUMIFS(MtM!$M:$M,MtM!$I:$I,RESULTADO!$B30,MtM!$H:$H,RESULTADO!$B$29,MtM!$E:$E,RESULTADO!AN$3)-SUMIFS(MtM!$N:$N,MtM!$I:$I,RESULTADO!$B30,MtM!$H:$H,RESULTADO!$B$29,MtM!$E:$E,RESULTADO!AN$3))</f>
        <v>0</v>
      </c>
      <c r="AO30" s="53">
        <f>(SUMIFS(MtM!$M:$M,MtM!$I:$I,RESULTADO!$B30,MtM!$H:$H,RESULTADO!$B$29,MtM!$E:$E,RESULTADO!AO$3)-SUMIFS(MtM!$N:$N,MtM!$I:$I,RESULTADO!$B30,MtM!$H:$H,RESULTADO!$B$29,MtM!$E:$E,RESULTADO!AO$3))</f>
        <v>0</v>
      </c>
      <c r="AP30" s="53">
        <f>(SUMIFS(MtM!$M:$M,MtM!$I:$I,RESULTADO!$B30,MtM!$H:$H,RESULTADO!$B$29,MtM!$E:$E,RESULTADO!AP$3)-SUMIFS(MtM!$N:$N,MtM!$I:$I,RESULTADO!$B30,MtM!$H:$H,RESULTADO!$B$29,MtM!$E:$E,RESULTADO!AP$3))</f>
        <v>0</v>
      </c>
      <c r="AQ30" s="53">
        <f>(SUMIFS(MtM!$M:$M,MtM!$I:$I,RESULTADO!$B30,MtM!$H:$H,RESULTADO!$B$29,MtM!$E:$E,RESULTADO!AQ$3)-SUMIFS(MtM!$N:$N,MtM!$I:$I,RESULTADO!$B30,MtM!$H:$H,RESULTADO!$B$29,MtM!$E:$E,RESULTADO!AQ$3))</f>
        <v>0</v>
      </c>
      <c r="AR30" s="53">
        <f>(SUMIFS(MtM!$M:$M,MtM!$I:$I,RESULTADO!$B30,MtM!$H:$H,RESULTADO!$B$29,MtM!$E:$E,RESULTADO!AR$3)-SUMIFS(MtM!$N:$N,MtM!$I:$I,RESULTADO!$B30,MtM!$H:$H,RESULTADO!$B$29,MtM!$E:$E,RESULTADO!AR$3))</f>
        <v>0</v>
      </c>
      <c r="AS30" s="53">
        <f>(SUMIFS(MtM!$M:$M,MtM!$I:$I,RESULTADO!$B30,MtM!$H:$H,RESULTADO!$B$29,MtM!$E:$E,RESULTADO!AS$3)-SUMIFS(MtM!$N:$N,MtM!$I:$I,RESULTADO!$B30,MtM!$H:$H,RESULTADO!$B$29,MtM!$E:$E,RESULTADO!AS$3))</f>
        <v>0</v>
      </c>
      <c r="AT30" s="53">
        <f>(SUMIFS(MtM!$M:$M,MtM!$I:$I,RESULTADO!$B30,MtM!$H:$H,RESULTADO!$B$29,MtM!$E:$E,RESULTADO!AT$3)-SUMIFS(MtM!$N:$N,MtM!$I:$I,RESULTADO!$B30,MtM!$H:$H,RESULTADO!$B$29,MtM!$E:$E,RESULTADO!AT$3))</f>
        <v>0</v>
      </c>
      <c r="AU30" s="53">
        <f>(SUMIFS(MtM!$M:$M,MtM!$I:$I,RESULTADO!$B30,MtM!$H:$H,RESULTADO!$B$29,MtM!$E:$E,RESULTADO!AU$3)-SUMIFS(MtM!$N:$N,MtM!$I:$I,RESULTADO!$B30,MtM!$H:$H,RESULTADO!$B$29,MtM!$E:$E,RESULTADO!AU$3))</f>
        <v>0</v>
      </c>
      <c r="AV30" s="53">
        <f>(SUMIFS(MtM!$M:$M,MtM!$I:$I,RESULTADO!$B30,MtM!$H:$H,RESULTADO!$B$29,MtM!$E:$E,RESULTADO!AV$3)-SUMIFS(MtM!$N:$N,MtM!$I:$I,RESULTADO!$B30,MtM!$H:$H,RESULTADO!$B$29,MtM!$E:$E,RESULTADO!AV$3))</f>
        <v>0</v>
      </c>
      <c r="AW30" s="53">
        <f>(SUMIFS(MtM!$M:$M,MtM!$I:$I,RESULTADO!$B30,MtM!$H:$H,RESULTADO!$B$29,MtM!$E:$E,RESULTADO!AW$3)-SUMIFS(MtM!$N:$N,MtM!$I:$I,RESULTADO!$B30,MtM!$H:$H,RESULTADO!$B$29,MtM!$E:$E,RESULTADO!AW$3))</f>
        <v>0</v>
      </c>
      <c r="AX30" s="63">
        <f>(SUMIFS(MtM!$M:$M,MtM!$I:$I,RESULTADO!$B30,MtM!$H:$H,RESULTADO!$B$29,MtM!$E:$E,RESULTADO!AX$3)-SUMIFS(MtM!$N:$N,MtM!$I:$I,RESULTADO!$B30,MtM!$H:$H,RESULTADO!$B$29,MtM!$E:$E,RESULTADO!AX$3))</f>
        <v>0</v>
      </c>
      <c r="AY30" s="53">
        <f>(SUMIFS(MtM!$M:$M,MtM!$I:$I,RESULTADO!$B30,MtM!$H:$H,RESULTADO!$B$29,MtM!$E:$E,RESULTADO!AY$3)-SUMIFS(MtM!$N:$N,MtM!$I:$I,RESULTADO!$B30,MtM!$H:$H,RESULTADO!$B$29,MtM!$E:$E,RESULTADO!AY$3))</f>
        <v>0</v>
      </c>
      <c r="AZ30" s="53">
        <f>(SUMIFS(MtM!$M:$M,MtM!$I:$I,RESULTADO!$B30,MtM!$H:$H,RESULTADO!$B$29,MtM!$E:$E,RESULTADO!AZ$3)-SUMIFS(MtM!$N:$N,MtM!$I:$I,RESULTADO!$B30,MtM!$H:$H,RESULTADO!$B$29,MtM!$E:$E,RESULTADO!AZ$3))</f>
        <v>0</v>
      </c>
      <c r="BA30" s="53">
        <f>(SUMIFS(MtM!$M:$M,MtM!$I:$I,RESULTADO!$B30,MtM!$H:$H,RESULTADO!$B$29,MtM!$E:$E,RESULTADO!BA$3)-SUMIFS(MtM!$N:$N,MtM!$I:$I,RESULTADO!$B30,MtM!$H:$H,RESULTADO!$B$29,MtM!$E:$E,RESULTADO!BA$3))</f>
        <v>0</v>
      </c>
      <c r="BB30" s="53">
        <f>(SUMIFS(MtM!$M:$M,MtM!$I:$I,RESULTADO!$B30,MtM!$H:$H,RESULTADO!$B$29,MtM!$E:$E,RESULTADO!BB$3)-SUMIFS(MtM!$N:$N,MtM!$I:$I,RESULTADO!$B30,MtM!$H:$H,RESULTADO!$B$29,MtM!$E:$E,RESULTADO!BB$3))</f>
        <v>0</v>
      </c>
      <c r="BC30" s="53">
        <f>(SUMIFS(MtM!$M:$M,MtM!$I:$I,RESULTADO!$B30,MtM!$H:$H,RESULTADO!$B$29,MtM!$E:$E,RESULTADO!BC$3)-SUMIFS(MtM!$N:$N,MtM!$I:$I,RESULTADO!$B30,MtM!$H:$H,RESULTADO!$B$29,MtM!$E:$E,RESULTADO!BC$3))</f>
        <v>0</v>
      </c>
      <c r="BD30" s="53">
        <f>(SUMIFS(MtM!$M:$M,MtM!$I:$I,RESULTADO!$B30,MtM!$H:$H,RESULTADO!$B$29,MtM!$E:$E,RESULTADO!BD$3)-SUMIFS(MtM!$N:$N,MtM!$I:$I,RESULTADO!$B30,MtM!$H:$H,RESULTADO!$B$29,MtM!$E:$E,RESULTADO!BD$3))</f>
        <v>0</v>
      </c>
      <c r="BE30" s="53">
        <f>(SUMIFS(MtM!$M:$M,MtM!$I:$I,RESULTADO!$B30,MtM!$H:$H,RESULTADO!$B$29,MtM!$E:$E,RESULTADO!BE$3)-SUMIFS(MtM!$N:$N,MtM!$I:$I,RESULTADO!$B30,MtM!$H:$H,RESULTADO!$B$29,MtM!$E:$E,RESULTADO!BE$3))</f>
        <v>0</v>
      </c>
      <c r="BF30" s="53">
        <f>(SUMIFS(MtM!$M:$M,MtM!$I:$I,RESULTADO!$B30,MtM!$H:$H,RESULTADO!$B$29,MtM!$E:$E,RESULTADO!BF$3)-SUMIFS(MtM!$N:$N,MtM!$I:$I,RESULTADO!$B30,MtM!$H:$H,RESULTADO!$B$29,MtM!$E:$E,RESULTADO!BF$3))</f>
        <v>0</v>
      </c>
      <c r="BG30" s="53">
        <f>(SUMIFS(MtM!$M:$M,MtM!$I:$I,RESULTADO!$B30,MtM!$H:$H,RESULTADO!$B$29,MtM!$E:$E,RESULTADO!BG$3)-SUMIFS(MtM!$N:$N,MtM!$I:$I,RESULTADO!$B30,MtM!$H:$H,RESULTADO!$B$29,MtM!$E:$E,RESULTADO!BG$3))</f>
        <v>0</v>
      </c>
      <c r="BH30" s="53">
        <f>(SUMIFS(MtM!$M:$M,MtM!$I:$I,RESULTADO!$B30,MtM!$H:$H,RESULTADO!$B$29,MtM!$E:$E,RESULTADO!BH$3)-SUMIFS(MtM!$N:$N,MtM!$I:$I,RESULTADO!$B30,MtM!$H:$H,RESULTADO!$B$29,MtM!$E:$E,RESULTADO!BH$3))</f>
        <v>0</v>
      </c>
      <c r="BI30" s="53">
        <f>(SUMIFS(MtM!$M:$M,MtM!$I:$I,RESULTADO!$B30,MtM!$H:$H,RESULTADO!$B$29,MtM!$E:$E,RESULTADO!BI$3)-SUMIFS(MtM!$N:$N,MtM!$I:$I,RESULTADO!$B30,MtM!$H:$H,RESULTADO!$B$29,MtM!$E:$E,RESULTADO!BI$3))</f>
        <v>0</v>
      </c>
      <c r="BJ30" s="63">
        <f>(SUMIFS(MtM!$M:$M,MtM!$I:$I,RESULTADO!$B30,MtM!$H:$H,RESULTADO!$B$29,MtM!$E:$E,RESULTADO!BJ$3)-SUMIFS(MtM!$N:$N,MtM!$I:$I,RESULTADO!$B30,MtM!$H:$H,RESULTADO!$B$29,MtM!$E:$E,RESULTADO!BJ$3))</f>
        <v>0</v>
      </c>
      <c r="BL30" s="120"/>
      <c r="BN30" s="57" t="s">
        <v>44</v>
      </c>
      <c r="BO30" s="53">
        <f>SUMIFS('MtM Releases'!$H:$H,'MtM Releases'!$G:$G,RESULTADO!$BN30,'MtM Releases'!$F:$F,RESULTADO!$BN29,'MtM Releases'!$D:$D,RESULTADO!BO$3)</f>
        <v>0</v>
      </c>
      <c r="BP30" s="53">
        <f>SUMIFS('MtM Releases'!$H:$H,'MtM Releases'!$G:$G,RESULTADO!$BN30,'MtM Releases'!$F:$F,RESULTADO!$BN29,'MtM Releases'!$D:$D,RESULTADO!BP$3)</f>
        <v>0</v>
      </c>
      <c r="BQ30" s="53">
        <f>SUMIFS('MtM Releases'!$H:$H,'MtM Releases'!$G:$G,RESULTADO!$BN30,'MtM Releases'!$F:$F,RESULTADO!$BN29,'MtM Releases'!$D:$D,RESULTADO!BQ$3)</f>
        <v>0</v>
      </c>
      <c r="BR30" s="53">
        <f>SUMIFS('MtM Releases'!$H:$H,'MtM Releases'!$G:$G,RESULTADO!$BN30,'MtM Releases'!$F:$F,RESULTADO!$BN29,'MtM Releases'!$D:$D,RESULTADO!BR$3)</f>
        <v>0</v>
      </c>
      <c r="BS30" s="53">
        <f>SUMIFS('MtM Releases'!$H:$H,'MtM Releases'!$G:$G,RESULTADO!$BN30,'MtM Releases'!$F:$F,RESULTADO!$BN29,'MtM Releases'!$D:$D,RESULTADO!BS$3)</f>
        <v>0</v>
      </c>
      <c r="BT30" s="53">
        <f>SUMIFS('MtM Releases'!$H:$H,'MtM Releases'!$G:$G,RESULTADO!$BN30,'MtM Releases'!$F:$F,RESULTADO!$BN29,'MtM Releases'!$D:$D,RESULTADO!BT$3)</f>
        <v>0</v>
      </c>
      <c r="BU30" s="53">
        <f>SUMIFS('MtM Releases'!$H:$H,'MtM Releases'!$G:$G,RESULTADO!$BN30,'MtM Releases'!$F:$F,RESULTADO!$BN29,'MtM Releases'!$D:$D,RESULTADO!BU$3)</f>
        <v>0</v>
      </c>
      <c r="BV30" s="53">
        <f>SUMIFS('MtM Releases'!$H:$H,'MtM Releases'!$G:$G,RESULTADO!$BN30,'MtM Releases'!$F:$F,RESULTADO!$BN29,'MtM Releases'!$D:$D,RESULTADO!BV$3)</f>
        <v>0</v>
      </c>
      <c r="BW30" s="53">
        <f>SUMIFS('MtM Releases'!$H:$H,'MtM Releases'!$G:$G,RESULTADO!$BN30,'MtM Releases'!$F:$F,RESULTADO!$BN29,'MtM Releases'!$D:$D,RESULTADO!BW$3)</f>
        <v>0</v>
      </c>
      <c r="BX30" s="53">
        <f>SUMIFS('MtM Releases'!$H:$H,'MtM Releases'!$G:$G,RESULTADO!$BN30,'MtM Releases'!$F:$F,RESULTADO!$BN29,'MtM Releases'!$D:$D,RESULTADO!BX$3)</f>
        <v>0</v>
      </c>
      <c r="BY30" s="53">
        <f>SUMIFS('MtM Releases'!$H:$H,'MtM Releases'!$G:$G,RESULTADO!$BN30,'MtM Releases'!$F:$F,RESULTADO!$BN29,'MtM Releases'!$D:$D,RESULTADO!BY$3)</f>
        <v>0</v>
      </c>
      <c r="BZ30" s="54">
        <f>SUMIFS('MtM Releases'!$H:$H,'MtM Releases'!$G:$G,RESULTADO!$BN30,'MtM Releases'!$F:$F,RESULTADO!$BN29,'MtM Releases'!$D:$D,RESULTADO!BZ$3)</f>
        <v>0</v>
      </c>
      <c r="CA30" s="53">
        <f>SUMIFS('MtM Releases'!$H:$H,'MtM Releases'!$G:$G,RESULTADO!$BN30,'MtM Releases'!$F:$F,RESULTADO!$BN29,'MtM Releases'!$D:$D,RESULTADO!CA$3)</f>
        <v>0</v>
      </c>
      <c r="CB30" s="53">
        <f>SUMIFS('MtM Releases'!$H:$H,'MtM Releases'!$G:$G,RESULTADO!$BN30,'MtM Releases'!$F:$F,RESULTADO!$BN29,'MtM Releases'!$D:$D,RESULTADO!CB$3)</f>
        <v>0</v>
      </c>
      <c r="CC30" s="53">
        <f>SUMIFS('MtM Releases'!$H:$H,'MtM Releases'!$G:$G,RESULTADO!$BN30,'MtM Releases'!$F:$F,RESULTADO!$BN29,'MtM Releases'!$D:$D,RESULTADO!CC$3)</f>
        <v>0</v>
      </c>
      <c r="CD30" s="53">
        <f>SUMIFS('MtM Releases'!$H:$H,'MtM Releases'!$G:$G,RESULTADO!$BN30,'MtM Releases'!$F:$F,RESULTADO!$BN29,'MtM Releases'!$D:$D,RESULTADO!CD$3)</f>
        <v>0</v>
      </c>
      <c r="CE30" s="53">
        <f>SUMIFS('MtM Releases'!$H:$H,'MtM Releases'!$G:$G,RESULTADO!$BN30,'MtM Releases'!$F:$F,RESULTADO!$BN29,'MtM Releases'!$D:$D,RESULTADO!CE$3)</f>
        <v>0</v>
      </c>
      <c r="CF30" s="53">
        <f>SUMIFS('MtM Releases'!$H:$H,'MtM Releases'!$G:$G,RESULTADO!$BN30,'MtM Releases'!$F:$F,RESULTADO!$BN29,'MtM Releases'!$D:$D,RESULTADO!CF$3)</f>
        <v>0</v>
      </c>
      <c r="CG30" s="53">
        <f>SUMIFS('MtM Releases'!$H:$H,'MtM Releases'!$G:$G,RESULTADO!$BN30,'MtM Releases'!$F:$F,RESULTADO!$BN29,'MtM Releases'!$D:$D,RESULTADO!CG$3)</f>
        <v>0</v>
      </c>
      <c r="CH30" s="53">
        <f>SUMIFS('MtM Releases'!$H:$H,'MtM Releases'!$G:$G,RESULTADO!$BN30,'MtM Releases'!$F:$F,RESULTADO!$BN29,'MtM Releases'!$D:$D,RESULTADO!CH$3)</f>
        <v>0</v>
      </c>
      <c r="CI30" s="53">
        <f>SUMIFS('MtM Releases'!$H:$H,'MtM Releases'!$G:$G,RESULTADO!$BN30,'MtM Releases'!$F:$F,RESULTADO!$BN29,'MtM Releases'!$D:$D,RESULTADO!CI$3)</f>
        <v>0</v>
      </c>
      <c r="CJ30" s="53">
        <f>SUMIFS('MtM Releases'!$H:$H,'MtM Releases'!$G:$G,RESULTADO!$BN30,'MtM Releases'!$F:$F,RESULTADO!$BN29,'MtM Releases'!$D:$D,RESULTADO!CJ$3)</f>
        <v>0</v>
      </c>
      <c r="CK30" s="53">
        <f>SUMIFS('MtM Releases'!$H:$H,'MtM Releases'!$G:$G,RESULTADO!$BN30,'MtM Releases'!$F:$F,RESULTADO!$BN29,'MtM Releases'!$D:$D,RESULTADO!CK$3)</f>
        <v>0</v>
      </c>
      <c r="CL30" s="63">
        <f>SUMIFS('MtM Releases'!$H:$H,'MtM Releases'!$G:$G,RESULTADO!$BN30,'MtM Releases'!$F:$F,RESULTADO!$BN29,'MtM Releases'!$D:$D,RESULTADO!CL$3)</f>
        <v>0</v>
      </c>
      <c r="CM30" s="53">
        <f>SUMIFS('MtM Releases'!$H:$H,'MtM Releases'!$G:$G,RESULTADO!$BN30,'MtM Releases'!$F:$F,RESULTADO!$BN29,'MtM Releases'!$D:$D,RESULTADO!CM$3)</f>
        <v>0</v>
      </c>
      <c r="CN30" s="53">
        <f>SUMIFS('MtM Releases'!$H:$H,'MtM Releases'!$G:$G,RESULTADO!$BN30,'MtM Releases'!$F:$F,RESULTADO!$BN29,'MtM Releases'!$D:$D,RESULTADO!CN$3)</f>
        <v>0</v>
      </c>
      <c r="CO30" s="53">
        <f>SUMIFS('MtM Releases'!$H:$H,'MtM Releases'!$G:$G,RESULTADO!$BN30,'MtM Releases'!$F:$F,RESULTADO!$BN29,'MtM Releases'!$D:$D,RESULTADO!CO$3)</f>
        <v>0</v>
      </c>
      <c r="CP30" s="53">
        <f>SUMIFS('MtM Releases'!$H:$H,'MtM Releases'!$G:$G,RESULTADO!$BN30,'MtM Releases'!$F:$F,RESULTADO!$BN29,'MtM Releases'!$D:$D,RESULTADO!CP$3)</f>
        <v>0</v>
      </c>
      <c r="CQ30" s="53">
        <f>SUMIFS('MtM Releases'!$H:$H,'MtM Releases'!$G:$G,RESULTADO!$BN30,'MtM Releases'!$F:$F,RESULTADO!$BN29,'MtM Releases'!$D:$D,RESULTADO!CQ$3)</f>
        <v>0</v>
      </c>
      <c r="CR30" s="53">
        <f>SUMIFS('MtM Releases'!$H:$H,'MtM Releases'!$G:$G,RESULTADO!$BN30,'MtM Releases'!$F:$F,RESULTADO!$BN29,'MtM Releases'!$D:$D,RESULTADO!CR$3)</f>
        <v>0</v>
      </c>
      <c r="CS30" s="53">
        <f>SUMIFS('MtM Releases'!$H:$H,'MtM Releases'!$G:$G,RESULTADO!$BN30,'MtM Releases'!$F:$F,RESULTADO!$BN29,'MtM Releases'!$D:$D,RESULTADO!CS$3)</f>
        <v>0</v>
      </c>
      <c r="CT30" s="53">
        <f>SUMIFS('MtM Releases'!$H:$H,'MtM Releases'!$G:$G,RESULTADO!$BN30,'MtM Releases'!$F:$F,RESULTADO!$BN29,'MtM Releases'!$D:$D,RESULTADO!CT$3)</f>
        <v>0</v>
      </c>
      <c r="CU30" s="53">
        <f>SUMIFS('MtM Releases'!$H:$H,'MtM Releases'!$G:$G,RESULTADO!$BN30,'MtM Releases'!$F:$F,RESULTADO!$BN29,'MtM Releases'!$D:$D,RESULTADO!CU$3)</f>
        <v>0</v>
      </c>
      <c r="CV30" s="53">
        <f>SUMIFS('MtM Releases'!$H:$H,'MtM Releases'!$G:$G,RESULTADO!$BN30,'MtM Releases'!$F:$F,RESULTADO!$BN29,'MtM Releases'!$D:$D,RESULTADO!CV$3)</f>
        <v>0</v>
      </c>
      <c r="CW30" s="53">
        <f>SUMIFS('MtM Releases'!$H:$H,'MtM Releases'!$G:$G,RESULTADO!$BN30,'MtM Releases'!$F:$F,RESULTADO!$BN29,'MtM Releases'!$D:$D,RESULTADO!CW$3)</f>
        <v>0</v>
      </c>
      <c r="CX30" s="54">
        <f>SUMIFS('MtM Releases'!$H:$H,'MtM Releases'!$G:$G,RESULTADO!$BN30,'MtM Releases'!$F:$F,RESULTADO!$BN29,'MtM Releases'!$D:$D,RESULTADO!CX$3)</f>
        <v>0</v>
      </c>
      <c r="CY30" s="53">
        <f>SUMIFS('MtM Releases'!$H:$H,'MtM Releases'!$G:$G,RESULTADO!$BN30,'MtM Releases'!$F:$F,RESULTADO!$BN29,'MtM Releases'!$D:$D,RESULTADO!CY$3)</f>
        <v>0</v>
      </c>
      <c r="CZ30" s="53">
        <f>SUMIFS('MtM Releases'!$H:$H,'MtM Releases'!$G:$G,RESULTADO!$BN30,'MtM Releases'!$F:$F,RESULTADO!$BN29,'MtM Releases'!$D:$D,RESULTADO!CZ$3)</f>
        <v>0</v>
      </c>
      <c r="DA30" s="53">
        <f>SUMIFS('MtM Releases'!$H:$H,'MtM Releases'!$G:$G,RESULTADO!$BN30,'MtM Releases'!$F:$F,RESULTADO!$BN29,'MtM Releases'!$D:$D,RESULTADO!DA$3)</f>
        <v>0</v>
      </c>
      <c r="DB30" s="53">
        <f>SUMIFS('MtM Releases'!$H:$H,'MtM Releases'!$G:$G,RESULTADO!$BN30,'MtM Releases'!$F:$F,RESULTADO!$BN29,'MtM Releases'!$D:$D,RESULTADO!DB$3)</f>
        <v>0</v>
      </c>
      <c r="DC30" s="53">
        <f>SUMIFS('MtM Releases'!$H:$H,'MtM Releases'!$G:$G,RESULTADO!$BN30,'MtM Releases'!$F:$F,RESULTADO!$BN29,'MtM Releases'!$D:$D,RESULTADO!DC$3)</f>
        <v>0</v>
      </c>
      <c r="DD30" s="53">
        <f>SUMIFS('MtM Releases'!$H:$H,'MtM Releases'!$G:$G,RESULTADO!$BN30,'MtM Releases'!$F:$F,RESULTADO!$BN29,'MtM Releases'!$D:$D,RESULTADO!DD$3)</f>
        <v>0</v>
      </c>
      <c r="DE30" s="53">
        <f>SUMIFS('MtM Releases'!$H:$H,'MtM Releases'!$G:$G,RESULTADO!$BN30,'MtM Releases'!$F:$F,RESULTADO!$BN29,'MtM Releases'!$D:$D,RESULTADO!DE$3)</f>
        <v>0</v>
      </c>
      <c r="DF30" s="53">
        <f>SUMIFS('MtM Releases'!$H:$H,'MtM Releases'!$G:$G,RESULTADO!$BN30,'MtM Releases'!$F:$F,RESULTADO!$BN29,'MtM Releases'!$D:$D,RESULTADO!DF$3)</f>
        <v>0</v>
      </c>
      <c r="DG30" s="53">
        <f>SUMIFS('MtM Releases'!$H:$H,'MtM Releases'!$G:$G,RESULTADO!$BN30,'MtM Releases'!$F:$F,RESULTADO!$BN29,'MtM Releases'!$D:$D,RESULTADO!DG$3)</f>
        <v>0</v>
      </c>
      <c r="DH30" s="53">
        <f>SUMIFS('MtM Releases'!$H:$H,'MtM Releases'!$G:$G,RESULTADO!$BN30,'MtM Releases'!$F:$F,RESULTADO!$BN29,'MtM Releases'!$D:$D,RESULTADO!DH$3)</f>
        <v>0</v>
      </c>
      <c r="DI30" s="53">
        <f>SUMIFS('MtM Releases'!$H:$H,'MtM Releases'!$G:$G,RESULTADO!$BN30,'MtM Releases'!$F:$F,RESULTADO!$BN29,'MtM Releases'!$D:$D,RESULTADO!DI$3)</f>
        <v>0</v>
      </c>
      <c r="DJ30" s="63">
        <f>SUMIFS('MtM Releases'!$H:$H,'MtM Releases'!$G:$G,RESULTADO!$BN30,'MtM Releases'!$F:$F,RESULTADO!$BN29,'MtM Releases'!$D:$D,RESULTADO!DJ$3)</f>
        <v>0</v>
      </c>
      <c r="DK30" s="53">
        <f>SUMIFS('MtM Releases'!$H:$H,'MtM Releases'!$G:$G,RESULTADO!$BN30,'MtM Releases'!$F:$F,RESULTADO!$BN29,'MtM Releases'!$D:$D,RESULTADO!DK$3)</f>
        <v>0</v>
      </c>
      <c r="DL30" s="53">
        <f>SUMIFS('MtM Releases'!$H:$H,'MtM Releases'!$G:$G,RESULTADO!$BN30,'MtM Releases'!$F:$F,RESULTADO!$BN29,'MtM Releases'!$D:$D,RESULTADO!DL$3)</f>
        <v>0</v>
      </c>
      <c r="DM30" s="53">
        <f>SUMIFS('MtM Releases'!$H:$H,'MtM Releases'!$G:$G,RESULTADO!$BN30,'MtM Releases'!$F:$F,RESULTADO!$BN29,'MtM Releases'!$D:$D,RESULTADO!DM$3)</f>
        <v>0</v>
      </c>
      <c r="DN30" s="53">
        <f>SUMIFS('MtM Releases'!$H:$H,'MtM Releases'!$G:$G,RESULTADO!$BN30,'MtM Releases'!$F:$F,RESULTADO!$BN29,'MtM Releases'!$D:$D,RESULTADO!DN$3)</f>
        <v>0</v>
      </c>
      <c r="DO30" s="53">
        <f>SUMIFS('MtM Releases'!$H:$H,'MtM Releases'!$G:$G,RESULTADO!$BN30,'MtM Releases'!$F:$F,RESULTADO!$BN29,'MtM Releases'!$D:$D,RESULTADO!DO$3)</f>
        <v>0</v>
      </c>
      <c r="DP30" s="53">
        <f>SUMIFS('MtM Releases'!$H:$H,'MtM Releases'!$G:$G,RESULTADO!$BN30,'MtM Releases'!$F:$F,RESULTADO!$BN29,'MtM Releases'!$D:$D,RESULTADO!DP$3)</f>
        <v>0</v>
      </c>
      <c r="DQ30" s="53">
        <f>SUMIFS('MtM Releases'!$H:$H,'MtM Releases'!$G:$G,RESULTADO!$BN30,'MtM Releases'!$F:$F,RESULTADO!$BN29,'MtM Releases'!$D:$D,RESULTADO!DQ$3)</f>
        <v>0</v>
      </c>
      <c r="DR30" s="53">
        <f>SUMIFS('MtM Releases'!$H:$H,'MtM Releases'!$G:$G,RESULTADO!$BN30,'MtM Releases'!$F:$F,RESULTADO!$BN29,'MtM Releases'!$D:$D,RESULTADO!DR$3)</f>
        <v>0</v>
      </c>
      <c r="DS30" s="53">
        <f>SUMIFS('MtM Releases'!$H:$H,'MtM Releases'!$G:$G,RESULTADO!$BN30,'MtM Releases'!$F:$F,RESULTADO!$BN29,'MtM Releases'!$D:$D,RESULTADO!DS$3)</f>
        <v>0</v>
      </c>
      <c r="DT30" s="53">
        <f>SUMIFS('MtM Releases'!$H:$H,'MtM Releases'!$G:$G,RESULTADO!$BN30,'MtM Releases'!$F:$F,RESULTADO!$BN29,'MtM Releases'!$D:$D,RESULTADO!DT$3)</f>
        <v>0</v>
      </c>
      <c r="DU30" s="53">
        <f>SUMIFS('MtM Releases'!$H:$H,'MtM Releases'!$G:$G,RESULTADO!$BN30,'MtM Releases'!$F:$F,RESULTADO!$BN29,'MtM Releases'!$D:$D,RESULTADO!DU$3)</f>
        <v>0</v>
      </c>
      <c r="DV30" s="63">
        <f>SUMIFS('MtM Releases'!$H:$H,'MtM Releases'!$G:$G,RESULTADO!$BN30,'MtM Releases'!$F:$F,RESULTADO!$BN29,'MtM Releases'!$D:$D,RESULTADO!DV$3)</f>
        <v>0</v>
      </c>
    </row>
    <row r="31" spans="2:132" x14ac:dyDescent="0.25">
      <c r="B31" s="57" t="s">
        <v>12</v>
      </c>
      <c r="C31" s="53">
        <f>(SUMIFS(MtM!$M:$M,MtM!$I:$I,RESULTADO!$B31,MtM!$H:$H,RESULTADO!$B$29,MtM!$E:$E,RESULTADO!C$3)-SUMIFS(MtM!$N:$N,MtM!$I:$I,RESULTADO!$B31,MtM!$H:$H,RESULTADO!$B$29,MtM!$E:$E,RESULTADO!C$3))</f>
        <v>0</v>
      </c>
      <c r="D31" s="53">
        <f>(SUMIFS(MtM!$M:$M,MtM!$I:$I,RESULTADO!$B31,MtM!$H:$H,RESULTADO!$B$29,MtM!$E:$E,RESULTADO!D$3)-SUMIFS(MtM!$N:$N,MtM!$I:$I,RESULTADO!$B31,MtM!$H:$H,RESULTADO!$B$29,MtM!$E:$E,RESULTADO!D$3))</f>
        <v>0</v>
      </c>
      <c r="E31" s="53">
        <f>(SUMIFS(MtM!$M:$M,MtM!$I:$I,RESULTADO!$B31,MtM!$H:$H,RESULTADO!$B$29,MtM!$E:$E,RESULTADO!E$3)-SUMIFS(MtM!$N:$N,MtM!$I:$I,RESULTADO!$B31,MtM!$H:$H,RESULTADO!$B$29,MtM!$E:$E,RESULTADO!E$3))</f>
        <v>0</v>
      </c>
      <c r="F31" s="53">
        <f>(SUMIFS(MtM!$M:$M,MtM!$I:$I,RESULTADO!$B31,MtM!$H:$H,RESULTADO!$B$29,MtM!$E:$E,RESULTADO!F$3)-SUMIFS(MtM!$N:$N,MtM!$I:$I,RESULTADO!$B31,MtM!$H:$H,RESULTADO!$B$29,MtM!$E:$E,RESULTADO!F$3))</f>
        <v>0</v>
      </c>
      <c r="G31" s="53">
        <f>(SUMIFS(MtM!$M:$M,MtM!$I:$I,RESULTADO!$B31,MtM!$H:$H,RESULTADO!$B$29,MtM!$E:$E,RESULTADO!G$3)-SUMIFS(MtM!$N:$N,MtM!$I:$I,RESULTADO!$B31,MtM!$H:$H,RESULTADO!$B$29,MtM!$E:$E,RESULTADO!G$3))</f>
        <v>0</v>
      </c>
      <c r="H31" s="53">
        <f>(SUMIFS(MtM!$M:$M,MtM!$I:$I,RESULTADO!$B31,MtM!$H:$H,RESULTADO!$B$29,MtM!$E:$E,RESULTADO!H$3)-SUMIFS(MtM!$N:$N,MtM!$I:$I,RESULTADO!$B31,MtM!$H:$H,RESULTADO!$B$29,MtM!$E:$E,RESULTADO!H$3))</f>
        <v>0</v>
      </c>
      <c r="I31" s="53">
        <f>(SUMIFS(MtM!$M:$M,MtM!$I:$I,RESULTADO!$B31,MtM!$H:$H,RESULTADO!$B$29,MtM!$E:$E,RESULTADO!I$3)-SUMIFS(MtM!$N:$N,MtM!$I:$I,RESULTADO!$B31,MtM!$H:$H,RESULTADO!$B$29,MtM!$E:$E,RESULTADO!I$3))</f>
        <v>0</v>
      </c>
      <c r="J31" s="53">
        <f>(SUMIFS(MtM!$M:$M,MtM!$I:$I,RESULTADO!$B31,MtM!$H:$H,RESULTADO!$B$29,MtM!$E:$E,RESULTADO!J$3)-SUMIFS(MtM!$N:$N,MtM!$I:$I,RESULTADO!$B31,MtM!$H:$H,RESULTADO!$B$29,MtM!$E:$E,RESULTADO!J$3))</f>
        <v>0</v>
      </c>
      <c r="K31" s="53">
        <f>(SUMIFS(MtM!$M:$M,MtM!$I:$I,RESULTADO!$B31,MtM!$H:$H,RESULTADO!$B$29,MtM!$E:$E,RESULTADO!K$3)-SUMIFS(MtM!$N:$N,MtM!$I:$I,RESULTADO!$B31,MtM!$H:$H,RESULTADO!$B$29,MtM!$E:$E,RESULTADO!K$3))</f>
        <v>0</v>
      </c>
      <c r="L31" s="53">
        <f>(SUMIFS(MtM!$M:$M,MtM!$I:$I,RESULTADO!$B31,MtM!$H:$H,RESULTADO!$B$29,MtM!$E:$E,RESULTADO!L$3)-SUMIFS(MtM!$N:$N,MtM!$I:$I,RESULTADO!$B31,MtM!$H:$H,RESULTADO!$B$29,MtM!$E:$E,RESULTADO!L$3))</f>
        <v>0</v>
      </c>
      <c r="M31" s="53">
        <f>(SUMIFS(MtM!$M:$M,MtM!$I:$I,RESULTADO!$B31,MtM!$H:$H,RESULTADO!$B$29,MtM!$E:$E,RESULTADO!M$3)-SUMIFS(MtM!$N:$N,MtM!$I:$I,RESULTADO!$B31,MtM!$H:$H,RESULTADO!$B$29,MtM!$E:$E,RESULTADO!M$3))</f>
        <v>0</v>
      </c>
      <c r="N31" s="54">
        <f>(SUMIFS(MtM!$M:$M,MtM!$I:$I,RESULTADO!$B31,MtM!$H:$H,RESULTADO!$B$29,MtM!$E:$E,RESULTADO!N$3)-SUMIFS(MtM!$N:$N,MtM!$I:$I,RESULTADO!$B31,MtM!$H:$H,RESULTADO!$B$29,MtM!$E:$E,RESULTADO!N$3))</f>
        <v>0</v>
      </c>
      <c r="O31" s="53">
        <f>(SUMIFS(MtM!$M:$M,MtM!$I:$I,RESULTADO!$B31,MtM!$H:$H,RESULTADO!$B$29,MtM!$E:$E,RESULTADO!O$3)-SUMIFS(MtM!$N:$N,MtM!$I:$I,RESULTADO!$B31,MtM!$H:$H,RESULTADO!$B$29,MtM!$E:$E,RESULTADO!O$3))</f>
        <v>0</v>
      </c>
      <c r="P31" s="53">
        <f>(SUMIFS(MtM!$M:$M,MtM!$I:$I,RESULTADO!$B31,MtM!$H:$H,RESULTADO!$B$29,MtM!$E:$E,RESULTADO!P$3)-SUMIFS(MtM!$N:$N,MtM!$I:$I,RESULTADO!$B31,MtM!$H:$H,RESULTADO!$B$29,MtM!$E:$E,RESULTADO!P$3))</f>
        <v>0</v>
      </c>
      <c r="Q31" s="53">
        <f>(SUMIFS(MtM!$M:$M,MtM!$I:$I,RESULTADO!$B31,MtM!$H:$H,RESULTADO!$B$29,MtM!$E:$E,RESULTADO!Q$3)-SUMIFS(MtM!$N:$N,MtM!$I:$I,RESULTADO!$B31,MtM!$H:$H,RESULTADO!$B$29,MtM!$E:$E,RESULTADO!Q$3))</f>
        <v>0</v>
      </c>
      <c r="R31" s="53">
        <f>(SUMIFS(MtM!$M:$M,MtM!$I:$I,RESULTADO!$B31,MtM!$H:$H,RESULTADO!$B$29,MtM!$E:$E,RESULTADO!R$3)-SUMIFS(MtM!$N:$N,MtM!$I:$I,RESULTADO!$B31,MtM!$H:$H,RESULTADO!$B$29,MtM!$E:$E,RESULTADO!R$3))</f>
        <v>0</v>
      </c>
      <c r="S31" s="53">
        <f>(SUMIFS(MtM!$M:$M,MtM!$I:$I,RESULTADO!$B31,MtM!$H:$H,RESULTADO!$B$29,MtM!$E:$E,RESULTADO!S$3)-SUMIFS(MtM!$N:$N,MtM!$I:$I,RESULTADO!$B31,MtM!$H:$H,RESULTADO!$B$29,MtM!$E:$E,RESULTADO!S$3))</f>
        <v>0</v>
      </c>
      <c r="T31" s="53">
        <f>(SUMIFS(MtM!$M:$M,MtM!$I:$I,RESULTADO!$B31,MtM!$H:$H,RESULTADO!$B$29,MtM!$E:$E,RESULTADO!T$3)-SUMIFS(MtM!$N:$N,MtM!$I:$I,RESULTADO!$B31,MtM!$H:$H,RESULTADO!$B$29,MtM!$E:$E,RESULTADO!T$3))</f>
        <v>0</v>
      </c>
      <c r="U31" s="53">
        <f>(SUMIFS(MtM!$M:$M,MtM!$I:$I,RESULTADO!$B31,MtM!$H:$H,RESULTADO!$B$29,MtM!$E:$E,RESULTADO!U$3)-SUMIFS(MtM!$N:$N,MtM!$I:$I,RESULTADO!$B31,MtM!$H:$H,RESULTADO!$B$29,MtM!$E:$E,RESULTADO!U$3))</f>
        <v>0</v>
      </c>
      <c r="V31" s="53">
        <f>(SUMIFS(MtM!$M:$M,MtM!$I:$I,RESULTADO!$B31,MtM!$H:$H,RESULTADO!$B$29,MtM!$E:$E,RESULTADO!V$3)-SUMIFS(MtM!$N:$N,MtM!$I:$I,RESULTADO!$B31,MtM!$H:$H,RESULTADO!$B$29,MtM!$E:$E,RESULTADO!V$3))</f>
        <v>0</v>
      </c>
      <c r="W31" s="53">
        <f>(SUMIFS(MtM!$M:$M,MtM!$I:$I,RESULTADO!$B31,MtM!$H:$H,RESULTADO!$B$29,MtM!$E:$E,RESULTADO!W$3)-SUMIFS(MtM!$N:$N,MtM!$I:$I,RESULTADO!$B31,MtM!$H:$H,RESULTADO!$B$29,MtM!$E:$E,RESULTADO!W$3))</f>
        <v>0</v>
      </c>
      <c r="X31" s="53">
        <f>(SUMIFS(MtM!$M:$M,MtM!$I:$I,RESULTADO!$B31,MtM!$H:$H,RESULTADO!$B$29,MtM!$E:$E,RESULTADO!X$3)-SUMIFS(MtM!$N:$N,MtM!$I:$I,RESULTADO!$B31,MtM!$H:$H,RESULTADO!$B$29,MtM!$E:$E,RESULTADO!X$3))</f>
        <v>0</v>
      </c>
      <c r="Y31" s="53">
        <f>(SUMIFS(MtM!$M:$M,MtM!$I:$I,RESULTADO!$B31,MtM!$H:$H,RESULTADO!$B$29,MtM!$E:$E,RESULTADO!Y$3)-SUMIFS(MtM!$N:$N,MtM!$I:$I,RESULTADO!$B31,MtM!$H:$H,RESULTADO!$B$29,MtM!$E:$E,RESULTADO!Y$3))</f>
        <v>0</v>
      </c>
      <c r="Z31" s="63">
        <f>(SUMIFS(MtM!$M:$M,MtM!$I:$I,RESULTADO!$B31,MtM!$H:$H,RESULTADO!$B$29,MtM!$E:$E,RESULTADO!Z$3)-SUMIFS(MtM!$N:$N,MtM!$I:$I,RESULTADO!$B31,MtM!$H:$H,RESULTADO!$B$29,MtM!$E:$E,RESULTADO!Z$3))</f>
        <v>0</v>
      </c>
      <c r="AA31" s="53">
        <f>(SUMIFS(MtM!$M:$M,MtM!$I:$I,RESULTADO!$B31,MtM!$H:$H,RESULTADO!$B$29,MtM!$E:$E,RESULTADO!AA$3)-SUMIFS(MtM!$N:$N,MtM!$I:$I,RESULTADO!$B31,MtM!$H:$H,RESULTADO!$B$29,MtM!$E:$E,RESULTADO!AA$3))</f>
        <v>0</v>
      </c>
      <c r="AB31" s="53">
        <f>(SUMIFS(MtM!$M:$M,MtM!$I:$I,RESULTADO!$B31,MtM!$H:$H,RESULTADO!$B$29,MtM!$E:$E,RESULTADO!AB$3)-SUMIFS(MtM!$N:$N,MtM!$I:$I,RESULTADO!$B31,MtM!$H:$H,RESULTADO!$B$29,MtM!$E:$E,RESULTADO!AB$3))</f>
        <v>0</v>
      </c>
      <c r="AC31" s="53">
        <f>(SUMIFS(MtM!$M:$M,MtM!$I:$I,RESULTADO!$B31,MtM!$H:$H,RESULTADO!$B$29,MtM!$E:$E,RESULTADO!AC$3)-SUMIFS(MtM!$N:$N,MtM!$I:$I,RESULTADO!$B31,MtM!$H:$H,RESULTADO!$B$29,MtM!$E:$E,RESULTADO!AC$3))</f>
        <v>0</v>
      </c>
      <c r="AD31" s="53">
        <f>(SUMIFS(MtM!$M:$M,MtM!$I:$I,RESULTADO!$B31,MtM!$H:$H,RESULTADO!$B$29,MtM!$E:$E,RESULTADO!AD$3)-SUMIFS(MtM!$N:$N,MtM!$I:$I,RESULTADO!$B31,MtM!$H:$H,RESULTADO!$B$29,MtM!$E:$E,RESULTADO!AD$3))</f>
        <v>0</v>
      </c>
      <c r="AE31" s="53">
        <f>(SUMIFS(MtM!$M:$M,MtM!$I:$I,RESULTADO!$B31,MtM!$H:$H,RESULTADO!$B$29,MtM!$E:$E,RESULTADO!AE$3)-SUMIFS(MtM!$N:$N,MtM!$I:$I,RESULTADO!$B31,MtM!$H:$H,RESULTADO!$B$29,MtM!$E:$E,RESULTADO!AE$3))</f>
        <v>0</v>
      </c>
      <c r="AF31" s="53">
        <f>(SUMIFS(MtM!$M:$M,MtM!$I:$I,RESULTADO!$B31,MtM!$H:$H,RESULTADO!$B$29,MtM!$E:$E,RESULTADO!AF$3)-SUMIFS(MtM!$N:$N,MtM!$I:$I,RESULTADO!$B31,MtM!$H:$H,RESULTADO!$B$29,MtM!$E:$E,RESULTADO!AF$3))</f>
        <v>0</v>
      </c>
      <c r="AG31" s="53">
        <f>(SUMIFS(MtM!$M:$M,MtM!$I:$I,RESULTADO!$B31,MtM!$H:$H,RESULTADO!$B$29,MtM!$E:$E,RESULTADO!AG$3)-SUMIFS(MtM!$N:$N,MtM!$I:$I,RESULTADO!$B31,MtM!$H:$H,RESULTADO!$B$29,MtM!$E:$E,RESULTADO!AG$3))</f>
        <v>0</v>
      </c>
      <c r="AH31" s="53">
        <f>(SUMIFS(MtM!$M:$M,MtM!$I:$I,RESULTADO!$B31,MtM!$H:$H,RESULTADO!$B$29,MtM!$E:$E,RESULTADO!AH$3)-SUMIFS(MtM!$N:$N,MtM!$I:$I,RESULTADO!$B31,MtM!$H:$H,RESULTADO!$B$29,MtM!$E:$E,RESULTADO!AH$3))</f>
        <v>0</v>
      </c>
      <c r="AI31" s="53">
        <f>(SUMIFS(MtM!$M:$M,MtM!$I:$I,RESULTADO!$B31,MtM!$H:$H,RESULTADO!$B$29,MtM!$E:$E,RESULTADO!AI$3)-SUMIFS(MtM!$N:$N,MtM!$I:$I,RESULTADO!$B31,MtM!$H:$H,RESULTADO!$B$29,MtM!$E:$E,RESULTADO!AI$3))</f>
        <v>0</v>
      </c>
      <c r="AJ31" s="53">
        <f>(SUMIFS(MtM!$M:$M,MtM!$I:$I,RESULTADO!$B31,MtM!$H:$H,RESULTADO!$B$29,MtM!$E:$E,RESULTADO!AJ$3)-SUMIFS(MtM!$N:$N,MtM!$I:$I,RESULTADO!$B31,MtM!$H:$H,RESULTADO!$B$29,MtM!$E:$E,RESULTADO!AJ$3))</f>
        <v>0</v>
      </c>
      <c r="AK31" s="53">
        <f>(SUMIFS(MtM!$M:$M,MtM!$I:$I,RESULTADO!$B31,MtM!$H:$H,RESULTADO!$B$29,MtM!$E:$E,RESULTADO!AK$3)-SUMIFS(MtM!$N:$N,MtM!$I:$I,RESULTADO!$B31,MtM!$H:$H,RESULTADO!$B$29,MtM!$E:$E,RESULTADO!AK$3))</f>
        <v>0</v>
      </c>
      <c r="AL31" s="54">
        <f>(SUMIFS(MtM!$M:$M,MtM!$I:$I,RESULTADO!$B31,MtM!$H:$H,RESULTADO!$B$29,MtM!$E:$E,RESULTADO!AL$3)-SUMIFS(MtM!$N:$N,MtM!$I:$I,RESULTADO!$B31,MtM!$H:$H,RESULTADO!$B$29,MtM!$E:$E,RESULTADO!AL$3))</f>
        <v>0</v>
      </c>
      <c r="AM31" s="53">
        <f>(SUMIFS(MtM!$M:$M,MtM!$I:$I,RESULTADO!$B31,MtM!$H:$H,RESULTADO!$B$29,MtM!$E:$E,RESULTADO!AM$3)-SUMIFS(MtM!$N:$N,MtM!$I:$I,RESULTADO!$B31,MtM!$H:$H,RESULTADO!$B$29,MtM!$E:$E,RESULTADO!AM$3))</f>
        <v>0</v>
      </c>
      <c r="AN31" s="53">
        <f>(SUMIFS(MtM!$M:$M,MtM!$I:$I,RESULTADO!$B31,MtM!$H:$H,RESULTADO!$B$29,MtM!$E:$E,RESULTADO!AN$3)-SUMIFS(MtM!$N:$N,MtM!$I:$I,RESULTADO!$B31,MtM!$H:$H,RESULTADO!$B$29,MtM!$E:$E,RESULTADO!AN$3))</f>
        <v>0</v>
      </c>
      <c r="AO31" s="53">
        <f>(SUMIFS(MtM!$M:$M,MtM!$I:$I,RESULTADO!$B31,MtM!$H:$H,RESULTADO!$B$29,MtM!$E:$E,RESULTADO!AO$3)-SUMIFS(MtM!$N:$N,MtM!$I:$I,RESULTADO!$B31,MtM!$H:$H,RESULTADO!$B$29,MtM!$E:$E,RESULTADO!AO$3))</f>
        <v>0</v>
      </c>
      <c r="AP31" s="53">
        <f>(SUMIFS(MtM!$M:$M,MtM!$I:$I,RESULTADO!$B31,MtM!$H:$H,RESULTADO!$B$29,MtM!$E:$E,RESULTADO!AP$3)-SUMIFS(MtM!$N:$N,MtM!$I:$I,RESULTADO!$B31,MtM!$H:$H,RESULTADO!$B$29,MtM!$E:$E,RESULTADO!AP$3))</f>
        <v>0</v>
      </c>
      <c r="AQ31" s="53">
        <f>(SUMIFS(MtM!$M:$M,MtM!$I:$I,RESULTADO!$B31,MtM!$H:$H,RESULTADO!$B$29,MtM!$E:$E,RESULTADO!AQ$3)-SUMIFS(MtM!$N:$N,MtM!$I:$I,RESULTADO!$B31,MtM!$H:$H,RESULTADO!$B$29,MtM!$E:$E,RESULTADO!AQ$3))</f>
        <v>0</v>
      </c>
      <c r="AR31" s="53">
        <f>(SUMIFS(MtM!$M:$M,MtM!$I:$I,RESULTADO!$B31,MtM!$H:$H,RESULTADO!$B$29,MtM!$E:$E,RESULTADO!AR$3)-SUMIFS(MtM!$N:$N,MtM!$I:$I,RESULTADO!$B31,MtM!$H:$H,RESULTADO!$B$29,MtM!$E:$E,RESULTADO!AR$3))</f>
        <v>0</v>
      </c>
      <c r="AS31" s="53">
        <f>(SUMIFS(MtM!$M:$M,MtM!$I:$I,RESULTADO!$B31,MtM!$H:$H,RESULTADO!$B$29,MtM!$E:$E,RESULTADO!AS$3)-SUMIFS(MtM!$N:$N,MtM!$I:$I,RESULTADO!$B31,MtM!$H:$H,RESULTADO!$B$29,MtM!$E:$E,RESULTADO!AS$3))</f>
        <v>0</v>
      </c>
      <c r="AT31" s="53">
        <f>(SUMIFS(MtM!$M:$M,MtM!$I:$I,RESULTADO!$B31,MtM!$H:$H,RESULTADO!$B$29,MtM!$E:$E,RESULTADO!AT$3)-SUMIFS(MtM!$N:$N,MtM!$I:$I,RESULTADO!$B31,MtM!$H:$H,RESULTADO!$B$29,MtM!$E:$E,RESULTADO!AT$3))</f>
        <v>0</v>
      </c>
      <c r="AU31" s="53">
        <f>(SUMIFS(MtM!$M:$M,MtM!$I:$I,RESULTADO!$B31,MtM!$H:$H,RESULTADO!$B$29,MtM!$E:$E,RESULTADO!AU$3)-SUMIFS(MtM!$N:$N,MtM!$I:$I,RESULTADO!$B31,MtM!$H:$H,RESULTADO!$B$29,MtM!$E:$E,RESULTADO!AU$3))</f>
        <v>0</v>
      </c>
      <c r="AV31" s="53">
        <f>(SUMIFS(MtM!$M:$M,MtM!$I:$I,RESULTADO!$B31,MtM!$H:$H,RESULTADO!$B$29,MtM!$E:$E,RESULTADO!AV$3)-SUMIFS(MtM!$N:$N,MtM!$I:$I,RESULTADO!$B31,MtM!$H:$H,RESULTADO!$B$29,MtM!$E:$E,RESULTADO!AV$3))</f>
        <v>0</v>
      </c>
      <c r="AW31" s="53">
        <f>(SUMIFS(MtM!$M:$M,MtM!$I:$I,RESULTADO!$B31,MtM!$H:$H,RESULTADO!$B$29,MtM!$E:$E,RESULTADO!AW$3)-SUMIFS(MtM!$N:$N,MtM!$I:$I,RESULTADO!$B31,MtM!$H:$H,RESULTADO!$B$29,MtM!$E:$E,RESULTADO!AW$3))</f>
        <v>0</v>
      </c>
      <c r="AX31" s="63">
        <f>(SUMIFS(MtM!$M:$M,MtM!$I:$I,RESULTADO!$B31,MtM!$H:$H,RESULTADO!$B$29,MtM!$E:$E,RESULTADO!AX$3)-SUMIFS(MtM!$N:$N,MtM!$I:$I,RESULTADO!$B31,MtM!$H:$H,RESULTADO!$B$29,MtM!$E:$E,RESULTADO!AX$3))</f>
        <v>0</v>
      </c>
      <c r="AY31" s="53">
        <f>(SUMIFS(MtM!$M:$M,MtM!$I:$I,RESULTADO!$B31,MtM!$H:$H,RESULTADO!$B$29,MtM!$E:$E,RESULTADO!AY$3)-SUMIFS(MtM!$N:$N,MtM!$I:$I,RESULTADO!$B31,MtM!$H:$H,RESULTADO!$B$29,MtM!$E:$E,RESULTADO!AY$3))</f>
        <v>0</v>
      </c>
      <c r="AZ31" s="53">
        <f>(SUMIFS(MtM!$M:$M,MtM!$I:$I,RESULTADO!$B31,MtM!$H:$H,RESULTADO!$B$29,MtM!$E:$E,RESULTADO!AZ$3)-SUMIFS(MtM!$N:$N,MtM!$I:$I,RESULTADO!$B31,MtM!$H:$H,RESULTADO!$B$29,MtM!$E:$E,RESULTADO!AZ$3))</f>
        <v>0</v>
      </c>
      <c r="BA31" s="53">
        <f>(SUMIFS(MtM!$M:$M,MtM!$I:$I,RESULTADO!$B31,MtM!$H:$H,RESULTADO!$B$29,MtM!$E:$E,RESULTADO!BA$3)-SUMIFS(MtM!$N:$N,MtM!$I:$I,RESULTADO!$B31,MtM!$H:$H,RESULTADO!$B$29,MtM!$E:$E,RESULTADO!BA$3))</f>
        <v>0</v>
      </c>
      <c r="BB31" s="53">
        <f>(SUMIFS(MtM!$M:$M,MtM!$I:$I,RESULTADO!$B31,MtM!$H:$H,RESULTADO!$B$29,MtM!$E:$E,RESULTADO!BB$3)-SUMIFS(MtM!$N:$N,MtM!$I:$I,RESULTADO!$B31,MtM!$H:$H,RESULTADO!$B$29,MtM!$E:$E,RESULTADO!BB$3))</f>
        <v>0</v>
      </c>
      <c r="BC31" s="53">
        <f>(SUMIFS(MtM!$M:$M,MtM!$I:$I,RESULTADO!$B31,MtM!$H:$H,RESULTADO!$B$29,MtM!$E:$E,RESULTADO!BC$3)-SUMIFS(MtM!$N:$N,MtM!$I:$I,RESULTADO!$B31,MtM!$H:$H,RESULTADO!$B$29,MtM!$E:$E,RESULTADO!BC$3))</f>
        <v>0</v>
      </c>
      <c r="BD31" s="53">
        <f>(SUMIFS(MtM!$M:$M,MtM!$I:$I,RESULTADO!$B31,MtM!$H:$H,RESULTADO!$B$29,MtM!$E:$E,RESULTADO!BD$3)-SUMIFS(MtM!$N:$N,MtM!$I:$I,RESULTADO!$B31,MtM!$H:$H,RESULTADO!$B$29,MtM!$E:$E,RESULTADO!BD$3))</f>
        <v>0</v>
      </c>
      <c r="BE31" s="53">
        <f>(SUMIFS(MtM!$M:$M,MtM!$I:$I,RESULTADO!$B31,MtM!$H:$H,RESULTADO!$B$29,MtM!$E:$E,RESULTADO!BE$3)-SUMIFS(MtM!$N:$N,MtM!$I:$I,RESULTADO!$B31,MtM!$H:$H,RESULTADO!$B$29,MtM!$E:$E,RESULTADO!BE$3))</f>
        <v>0</v>
      </c>
      <c r="BF31" s="53">
        <f>(SUMIFS(MtM!$M:$M,MtM!$I:$I,RESULTADO!$B31,MtM!$H:$H,RESULTADO!$B$29,MtM!$E:$E,RESULTADO!BF$3)-SUMIFS(MtM!$N:$N,MtM!$I:$I,RESULTADO!$B31,MtM!$H:$H,RESULTADO!$B$29,MtM!$E:$E,RESULTADO!BF$3))</f>
        <v>0</v>
      </c>
      <c r="BG31" s="53">
        <f>(SUMIFS(MtM!$M:$M,MtM!$I:$I,RESULTADO!$B31,MtM!$H:$H,RESULTADO!$B$29,MtM!$E:$E,RESULTADO!BG$3)-SUMIFS(MtM!$N:$N,MtM!$I:$I,RESULTADO!$B31,MtM!$H:$H,RESULTADO!$B$29,MtM!$E:$E,RESULTADO!BG$3))</f>
        <v>0</v>
      </c>
      <c r="BH31" s="53">
        <f>(SUMIFS(MtM!$M:$M,MtM!$I:$I,RESULTADO!$B31,MtM!$H:$H,RESULTADO!$B$29,MtM!$E:$E,RESULTADO!BH$3)-SUMIFS(MtM!$N:$N,MtM!$I:$I,RESULTADO!$B31,MtM!$H:$H,RESULTADO!$B$29,MtM!$E:$E,RESULTADO!BH$3))</f>
        <v>0</v>
      </c>
      <c r="BI31" s="53">
        <f>(SUMIFS(MtM!$M:$M,MtM!$I:$I,RESULTADO!$B31,MtM!$H:$H,RESULTADO!$B$29,MtM!$E:$E,RESULTADO!BI$3)-SUMIFS(MtM!$N:$N,MtM!$I:$I,RESULTADO!$B31,MtM!$H:$H,RESULTADO!$B$29,MtM!$E:$E,RESULTADO!BI$3))</f>
        <v>0</v>
      </c>
      <c r="BJ31" s="63">
        <f>(SUMIFS(MtM!$M:$M,MtM!$I:$I,RESULTADO!$B31,MtM!$H:$H,RESULTADO!$B$29,MtM!$E:$E,RESULTADO!BJ$3)-SUMIFS(MtM!$N:$N,MtM!$I:$I,RESULTADO!$B31,MtM!$H:$H,RESULTADO!$B$29,MtM!$E:$E,RESULTADO!BJ$3))</f>
        <v>0</v>
      </c>
      <c r="BL31" s="120"/>
      <c r="BN31" s="57" t="s">
        <v>12</v>
      </c>
      <c r="BO31" s="53">
        <f>SUMIFS('MtM Releases'!$H:$H,'MtM Releases'!$G:$G,RESULTADO!$BN31,'MtM Releases'!$F:$F,RESULTADO!$BN29,'MtM Releases'!$D:$D,RESULTADO!BO$3)</f>
        <v>0</v>
      </c>
      <c r="BP31" s="53">
        <f>SUMIFS('MtM Releases'!$H:$H,'MtM Releases'!$G:$G,RESULTADO!$BN31,'MtM Releases'!$F:$F,RESULTADO!$BN29,'MtM Releases'!$D:$D,RESULTADO!BP$3)</f>
        <v>0</v>
      </c>
      <c r="BQ31" s="53">
        <f>SUMIFS('MtM Releases'!$H:$H,'MtM Releases'!$G:$G,RESULTADO!$BN31,'MtM Releases'!$F:$F,RESULTADO!$BN29,'MtM Releases'!$D:$D,RESULTADO!BQ$3)</f>
        <v>0</v>
      </c>
      <c r="BR31" s="53">
        <f>SUMIFS('MtM Releases'!$H:$H,'MtM Releases'!$G:$G,RESULTADO!$BN31,'MtM Releases'!$F:$F,RESULTADO!$BN29,'MtM Releases'!$D:$D,RESULTADO!BR$3)</f>
        <v>0</v>
      </c>
      <c r="BS31" s="53">
        <f>SUMIFS('MtM Releases'!$H:$H,'MtM Releases'!$G:$G,RESULTADO!$BN31,'MtM Releases'!$F:$F,RESULTADO!$BN29,'MtM Releases'!$D:$D,RESULTADO!BS$3)</f>
        <v>0</v>
      </c>
      <c r="BT31" s="53">
        <f>SUMIFS('MtM Releases'!$H:$H,'MtM Releases'!$G:$G,RESULTADO!$BN31,'MtM Releases'!$F:$F,RESULTADO!$BN29,'MtM Releases'!$D:$D,RESULTADO!BT$3)</f>
        <v>0</v>
      </c>
      <c r="BU31" s="53">
        <f>SUMIFS('MtM Releases'!$H:$H,'MtM Releases'!$G:$G,RESULTADO!$BN31,'MtM Releases'!$F:$F,RESULTADO!$BN29,'MtM Releases'!$D:$D,RESULTADO!BU$3)</f>
        <v>0</v>
      </c>
      <c r="BV31" s="53">
        <f>SUMIFS('MtM Releases'!$H:$H,'MtM Releases'!$G:$G,RESULTADO!$BN31,'MtM Releases'!$F:$F,RESULTADO!$BN29,'MtM Releases'!$D:$D,RESULTADO!BV$3)</f>
        <v>0</v>
      </c>
      <c r="BW31" s="53">
        <f>SUMIFS('MtM Releases'!$H:$H,'MtM Releases'!$G:$G,RESULTADO!$BN31,'MtM Releases'!$F:$F,RESULTADO!$BN29,'MtM Releases'!$D:$D,RESULTADO!BW$3)</f>
        <v>0</v>
      </c>
      <c r="BX31" s="53">
        <f>SUMIFS('MtM Releases'!$H:$H,'MtM Releases'!$G:$G,RESULTADO!$BN31,'MtM Releases'!$F:$F,RESULTADO!$BN29,'MtM Releases'!$D:$D,RESULTADO!BX$3)</f>
        <v>0</v>
      </c>
      <c r="BY31" s="53">
        <f>SUMIFS('MtM Releases'!$H:$H,'MtM Releases'!$G:$G,RESULTADO!$BN31,'MtM Releases'!$F:$F,RESULTADO!$BN29,'MtM Releases'!$D:$D,RESULTADO!BY$3)</f>
        <v>0</v>
      </c>
      <c r="BZ31" s="54">
        <f>SUMIFS('MtM Releases'!$H:$H,'MtM Releases'!$G:$G,RESULTADO!$BN31,'MtM Releases'!$F:$F,RESULTADO!$BN29,'MtM Releases'!$D:$D,RESULTADO!BZ$3)</f>
        <v>0</v>
      </c>
      <c r="CA31" s="53">
        <f>SUMIFS('MtM Releases'!$H:$H,'MtM Releases'!$G:$G,RESULTADO!$BN31,'MtM Releases'!$F:$F,RESULTADO!$BN29,'MtM Releases'!$D:$D,RESULTADO!CA$3)</f>
        <v>0</v>
      </c>
      <c r="CB31" s="53">
        <f>SUMIFS('MtM Releases'!$H:$H,'MtM Releases'!$G:$G,RESULTADO!$BN31,'MtM Releases'!$F:$F,RESULTADO!$BN29,'MtM Releases'!$D:$D,RESULTADO!CB$3)</f>
        <v>0</v>
      </c>
      <c r="CC31" s="53">
        <f>SUMIFS('MtM Releases'!$H:$H,'MtM Releases'!$G:$G,RESULTADO!$BN31,'MtM Releases'!$F:$F,RESULTADO!$BN29,'MtM Releases'!$D:$D,RESULTADO!CC$3)</f>
        <v>0</v>
      </c>
      <c r="CD31" s="53">
        <f>SUMIFS('MtM Releases'!$H:$H,'MtM Releases'!$G:$G,RESULTADO!$BN31,'MtM Releases'!$F:$F,RESULTADO!$BN29,'MtM Releases'!$D:$D,RESULTADO!CD$3)</f>
        <v>0</v>
      </c>
      <c r="CE31" s="53">
        <f>SUMIFS('MtM Releases'!$H:$H,'MtM Releases'!$G:$G,RESULTADO!$BN31,'MtM Releases'!$F:$F,RESULTADO!$BN29,'MtM Releases'!$D:$D,RESULTADO!CE$3)</f>
        <v>0</v>
      </c>
      <c r="CF31" s="53">
        <f>SUMIFS('MtM Releases'!$H:$H,'MtM Releases'!$G:$G,RESULTADO!$BN31,'MtM Releases'!$F:$F,RESULTADO!$BN29,'MtM Releases'!$D:$D,RESULTADO!CF$3)</f>
        <v>0</v>
      </c>
      <c r="CG31" s="53">
        <f>SUMIFS('MtM Releases'!$H:$H,'MtM Releases'!$G:$G,RESULTADO!$BN31,'MtM Releases'!$F:$F,RESULTADO!$BN29,'MtM Releases'!$D:$D,RESULTADO!CG$3)</f>
        <v>0</v>
      </c>
      <c r="CH31" s="53">
        <f>SUMIFS('MtM Releases'!$H:$H,'MtM Releases'!$G:$G,RESULTADO!$BN31,'MtM Releases'!$F:$F,RESULTADO!$BN29,'MtM Releases'!$D:$D,RESULTADO!CH$3)</f>
        <v>0</v>
      </c>
      <c r="CI31" s="53">
        <f>SUMIFS('MtM Releases'!$H:$H,'MtM Releases'!$G:$G,RESULTADO!$BN31,'MtM Releases'!$F:$F,RESULTADO!$BN29,'MtM Releases'!$D:$D,RESULTADO!CI$3)</f>
        <v>0</v>
      </c>
      <c r="CJ31" s="53">
        <f>SUMIFS('MtM Releases'!$H:$H,'MtM Releases'!$G:$G,RESULTADO!$BN31,'MtM Releases'!$F:$F,RESULTADO!$BN29,'MtM Releases'!$D:$D,RESULTADO!CJ$3)</f>
        <v>0</v>
      </c>
      <c r="CK31" s="53">
        <f>SUMIFS('MtM Releases'!$H:$H,'MtM Releases'!$G:$G,RESULTADO!$BN31,'MtM Releases'!$F:$F,RESULTADO!$BN29,'MtM Releases'!$D:$D,RESULTADO!CK$3)</f>
        <v>0</v>
      </c>
      <c r="CL31" s="63">
        <f>SUMIFS('MtM Releases'!$H:$H,'MtM Releases'!$G:$G,RESULTADO!$BN31,'MtM Releases'!$F:$F,RESULTADO!$BN29,'MtM Releases'!$D:$D,RESULTADO!CL$3)</f>
        <v>0</v>
      </c>
      <c r="CM31" s="53">
        <f>SUMIFS('MtM Releases'!$H:$H,'MtM Releases'!$G:$G,RESULTADO!$BN31,'MtM Releases'!$F:$F,RESULTADO!$BN29,'MtM Releases'!$D:$D,RESULTADO!CM$3)</f>
        <v>0</v>
      </c>
      <c r="CN31" s="53">
        <f>SUMIFS('MtM Releases'!$H:$H,'MtM Releases'!$G:$G,RESULTADO!$BN31,'MtM Releases'!$F:$F,RESULTADO!$BN29,'MtM Releases'!$D:$D,RESULTADO!CN$3)</f>
        <v>0</v>
      </c>
      <c r="CO31" s="53">
        <f>SUMIFS('MtM Releases'!$H:$H,'MtM Releases'!$G:$G,RESULTADO!$BN31,'MtM Releases'!$F:$F,RESULTADO!$BN29,'MtM Releases'!$D:$D,RESULTADO!CO$3)</f>
        <v>0</v>
      </c>
      <c r="CP31" s="53">
        <f>SUMIFS('MtM Releases'!$H:$H,'MtM Releases'!$G:$G,RESULTADO!$BN31,'MtM Releases'!$F:$F,RESULTADO!$BN29,'MtM Releases'!$D:$D,RESULTADO!CP$3)</f>
        <v>0</v>
      </c>
      <c r="CQ31" s="53">
        <f>SUMIFS('MtM Releases'!$H:$H,'MtM Releases'!$G:$G,RESULTADO!$BN31,'MtM Releases'!$F:$F,RESULTADO!$BN29,'MtM Releases'!$D:$D,RESULTADO!CQ$3)</f>
        <v>0</v>
      </c>
      <c r="CR31" s="53">
        <f>SUMIFS('MtM Releases'!$H:$H,'MtM Releases'!$G:$G,RESULTADO!$BN31,'MtM Releases'!$F:$F,RESULTADO!$BN29,'MtM Releases'!$D:$D,RESULTADO!CR$3)</f>
        <v>0</v>
      </c>
      <c r="CS31" s="53">
        <f>SUMIFS('MtM Releases'!$H:$H,'MtM Releases'!$G:$G,RESULTADO!$BN31,'MtM Releases'!$F:$F,RESULTADO!$BN29,'MtM Releases'!$D:$D,RESULTADO!CS$3)</f>
        <v>0</v>
      </c>
      <c r="CT31" s="53">
        <f>SUMIFS('MtM Releases'!$H:$H,'MtM Releases'!$G:$G,RESULTADO!$BN31,'MtM Releases'!$F:$F,RESULTADO!$BN29,'MtM Releases'!$D:$D,RESULTADO!CT$3)</f>
        <v>0</v>
      </c>
      <c r="CU31" s="53">
        <f>SUMIFS('MtM Releases'!$H:$H,'MtM Releases'!$G:$G,RESULTADO!$BN31,'MtM Releases'!$F:$F,RESULTADO!$BN29,'MtM Releases'!$D:$D,RESULTADO!CU$3)</f>
        <v>0</v>
      </c>
      <c r="CV31" s="53">
        <f>SUMIFS('MtM Releases'!$H:$H,'MtM Releases'!$G:$G,RESULTADO!$BN31,'MtM Releases'!$F:$F,RESULTADO!$BN29,'MtM Releases'!$D:$D,RESULTADO!CV$3)</f>
        <v>0</v>
      </c>
      <c r="CW31" s="53">
        <f>SUMIFS('MtM Releases'!$H:$H,'MtM Releases'!$G:$G,RESULTADO!$BN31,'MtM Releases'!$F:$F,RESULTADO!$BN29,'MtM Releases'!$D:$D,RESULTADO!CW$3)</f>
        <v>0</v>
      </c>
      <c r="CX31" s="54">
        <f>SUMIFS('MtM Releases'!$H:$H,'MtM Releases'!$G:$G,RESULTADO!$BN31,'MtM Releases'!$F:$F,RESULTADO!$BN29,'MtM Releases'!$D:$D,RESULTADO!CX$3)</f>
        <v>0</v>
      </c>
      <c r="CY31" s="53">
        <f>SUMIFS('MtM Releases'!$H:$H,'MtM Releases'!$G:$G,RESULTADO!$BN31,'MtM Releases'!$F:$F,RESULTADO!$BN29,'MtM Releases'!$D:$D,RESULTADO!CY$3)</f>
        <v>0</v>
      </c>
      <c r="CZ31" s="53">
        <f>SUMIFS('MtM Releases'!$H:$H,'MtM Releases'!$G:$G,RESULTADO!$BN31,'MtM Releases'!$F:$F,RESULTADO!$BN29,'MtM Releases'!$D:$D,RESULTADO!CZ$3)</f>
        <v>0</v>
      </c>
      <c r="DA31" s="53">
        <f>SUMIFS('MtM Releases'!$H:$H,'MtM Releases'!$G:$G,RESULTADO!$BN31,'MtM Releases'!$F:$F,RESULTADO!$BN29,'MtM Releases'!$D:$D,RESULTADO!DA$3)</f>
        <v>0</v>
      </c>
      <c r="DB31" s="53">
        <f>SUMIFS('MtM Releases'!$H:$H,'MtM Releases'!$G:$G,RESULTADO!$BN31,'MtM Releases'!$F:$F,RESULTADO!$BN29,'MtM Releases'!$D:$D,RESULTADO!DB$3)</f>
        <v>0</v>
      </c>
      <c r="DC31" s="53">
        <f>SUMIFS('MtM Releases'!$H:$H,'MtM Releases'!$G:$G,RESULTADO!$BN31,'MtM Releases'!$F:$F,RESULTADO!$BN29,'MtM Releases'!$D:$D,RESULTADO!DC$3)</f>
        <v>0</v>
      </c>
      <c r="DD31" s="53">
        <f>SUMIFS('MtM Releases'!$H:$H,'MtM Releases'!$G:$G,RESULTADO!$BN31,'MtM Releases'!$F:$F,RESULTADO!$BN29,'MtM Releases'!$D:$D,RESULTADO!DD$3)</f>
        <v>0</v>
      </c>
      <c r="DE31" s="53">
        <f>SUMIFS('MtM Releases'!$H:$H,'MtM Releases'!$G:$G,RESULTADO!$BN31,'MtM Releases'!$F:$F,RESULTADO!$BN29,'MtM Releases'!$D:$D,RESULTADO!DE$3)</f>
        <v>0</v>
      </c>
      <c r="DF31" s="53">
        <f>SUMIFS('MtM Releases'!$H:$H,'MtM Releases'!$G:$G,RESULTADO!$BN31,'MtM Releases'!$F:$F,RESULTADO!$BN29,'MtM Releases'!$D:$D,RESULTADO!DF$3)</f>
        <v>0</v>
      </c>
      <c r="DG31" s="53">
        <f>SUMIFS('MtM Releases'!$H:$H,'MtM Releases'!$G:$G,RESULTADO!$BN31,'MtM Releases'!$F:$F,RESULTADO!$BN29,'MtM Releases'!$D:$D,RESULTADO!DG$3)</f>
        <v>0</v>
      </c>
      <c r="DH31" s="53">
        <f>SUMIFS('MtM Releases'!$H:$H,'MtM Releases'!$G:$G,RESULTADO!$BN31,'MtM Releases'!$F:$F,RESULTADO!$BN29,'MtM Releases'!$D:$D,RESULTADO!DH$3)</f>
        <v>0</v>
      </c>
      <c r="DI31" s="53">
        <f>SUMIFS('MtM Releases'!$H:$H,'MtM Releases'!$G:$G,RESULTADO!$BN31,'MtM Releases'!$F:$F,RESULTADO!$BN29,'MtM Releases'!$D:$D,RESULTADO!DI$3)</f>
        <v>0</v>
      </c>
      <c r="DJ31" s="63">
        <f>SUMIFS('MtM Releases'!$H:$H,'MtM Releases'!$G:$G,RESULTADO!$BN31,'MtM Releases'!$F:$F,RESULTADO!$BN29,'MtM Releases'!$D:$D,RESULTADO!DJ$3)</f>
        <v>0</v>
      </c>
      <c r="DK31" s="53">
        <f>SUMIFS('MtM Releases'!$H:$H,'MtM Releases'!$G:$G,RESULTADO!$BN31,'MtM Releases'!$F:$F,RESULTADO!$BN29,'MtM Releases'!$D:$D,RESULTADO!DK$3)</f>
        <v>0</v>
      </c>
      <c r="DL31" s="53">
        <f>SUMIFS('MtM Releases'!$H:$H,'MtM Releases'!$G:$G,RESULTADO!$BN31,'MtM Releases'!$F:$F,RESULTADO!$BN29,'MtM Releases'!$D:$D,RESULTADO!DL$3)</f>
        <v>0</v>
      </c>
      <c r="DM31" s="53">
        <f>SUMIFS('MtM Releases'!$H:$H,'MtM Releases'!$G:$G,RESULTADO!$BN31,'MtM Releases'!$F:$F,RESULTADO!$BN29,'MtM Releases'!$D:$D,RESULTADO!DM$3)</f>
        <v>0</v>
      </c>
      <c r="DN31" s="53">
        <f>SUMIFS('MtM Releases'!$H:$H,'MtM Releases'!$G:$G,RESULTADO!$BN31,'MtM Releases'!$F:$F,RESULTADO!$BN29,'MtM Releases'!$D:$D,RESULTADO!DN$3)</f>
        <v>0</v>
      </c>
      <c r="DO31" s="53">
        <f>SUMIFS('MtM Releases'!$H:$H,'MtM Releases'!$G:$G,RESULTADO!$BN31,'MtM Releases'!$F:$F,RESULTADO!$BN29,'MtM Releases'!$D:$D,RESULTADO!DO$3)</f>
        <v>0</v>
      </c>
      <c r="DP31" s="53">
        <f>SUMIFS('MtM Releases'!$H:$H,'MtM Releases'!$G:$G,RESULTADO!$BN31,'MtM Releases'!$F:$F,RESULTADO!$BN29,'MtM Releases'!$D:$D,RESULTADO!DP$3)</f>
        <v>0</v>
      </c>
      <c r="DQ31" s="53">
        <f>SUMIFS('MtM Releases'!$H:$H,'MtM Releases'!$G:$G,RESULTADO!$BN31,'MtM Releases'!$F:$F,RESULTADO!$BN29,'MtM Releases'!$D:$D,RESULTADO!DQ$3)</f>
        <v>0</v>
      </c>
      <c r="DR31" s="53">
        <f>SUMIFS('MtM Releases'!$H:$H,'MtM Releases'!$G:$G,RESULTADO!$BN31,'MtM Releases'!$F:$F,RESULTADO!$BN29,'MtM Releases'!$D:$D,RESULTADO!DR$3)</f>
        <v>0</v>
      </c>
      <c r="DS31" s="53">
        <f>SUMIFS('MtM Releases'!$H:$H,'MtM Releases'!$G:$G,RESULTADO!$BN31,'MtM Releases'!$F:$F,RESULTADO!$BN29,'MtM Releases'!$D:$D,RESULTADO!DS$3)</f>
        <v>0</v>
      </c>
      <c r="DT31" s="53">
        <f>SUMIFS('MtM Releases'!$H:$H,'MtM Releases'!$G:$G,RESULTADO!$BN31,'MtM Releases'!$F:$F,RESULTADO!$BN29,'MtM Releases'!$D:$D,RESULTADO!DT$3)</f>
        <v>0</v>
      </c>
      <c r="DU31" s="53">
        <f>SUMIFS('MtM Releases'!$H:$H,'MtM Releases'!$G:$G,RESULTADO!$BN31,'MtM Releases'!$F:$F,RESULTADO!$BN29,'MtM Releases'!$D:$D,RESULTADO!DU$3)</f>
        <v>0</v>
      </c>
      <c r="DV31" s="63">
        <f>SUMIFS('MtM Releases'!$H:$H,'MtM Releases'!$G:$G,RESULTADO!$BN31,'MtM Releases'!$F:$F,RESULTADO!$BN29,'MtM Releases'!$D:$D,RESULTADO!DV$3)</f>
        <v>0</v>
      </c>
    </row>
    <row r="32" spans="2:132" x14ac:dyDescent="0.25">
      <c r="B32" s="57" t="s">
        <v>13</v>
      </c>
      <c r="C32" s="53">
        <f>(SUMIFS(MtM!$M:$M,MtM!$I:$I,RESULTADO!$B32,MtM!$H:$H,RESULTADO!$B$29,MtM!$E:$E,RESULTADO!C$3)-SUMIFS(MtM!$N:$N,MtM!$I:$I,RESULTADO!$B32,MtM!$H:$H,RESULTADO!$B$29,MtM!$E:$E,RESULTADO!C$3))</f>
        <v>0</v>
      </c>
      <c r="D32" s="53">
        <f>(SUMIFS(MtM!$M:$M,MtM!$I:$I,RESULTADO!$B32,MtM!$H:$H,RESULTADO!$B$29,MtM!$E:$E,RESULTADO!D$3)-SUMIFS(MtM!$N:$N,MtM!$I:$I,RESULTADO!$B32,MtM!$H:$H,RESULTADO!$B$29,MtM!$E:$E,RESULTADO!D$3))</f>
        <v>0</v>
      </c>
      <c r="E32" s="53">
        <f>(SUMIFS(MtM!$M:$M,MtM!$I:$I,RESULTADO!$B32,MtM!$H:$H,RESULTADO!$B$29,MtM!$E:$E,RESULTADO!E$3)-SUMIFS(MtM!$N:$N,MtM!$I:$I,RESULTADO!$B32,MtM!$H:$H,RESULTADO!$B$29,MtM!$E:$E,RESULTADO!E$3))</f>
        <v>0</v>
      </c>
      <c r="F32" s="53">
        <f>(SUMIFS(MtM!$M:$M,MtM!$I:$I,RESULTADO!$B32,MtM!$H:$H,RESULTADO!$B$29,MtM!$E:$E,RESULTADO!F$3)-SUMIFS(MtM!$N:$N,MtM!$I:$I,RESULTADO!$B32,MtM!$H:$H,RESULTADO!$B$29,MtM!$E:$E,RESULTADO!F$3))</f>
        <v>0</v>
      </c>
      <c r="G32" s="53">
        <f>(SUMIFS(MtM!$M:$M,MtM!$I:$I,RESULTADO!$B32,MtM!$H:$H,RESULTADO!$B$29,MtM!$E:$E,RESULTADO!G$3)-SUMIFS(MtM!$N:$N,MtM!$I:$I,RESULTADO!$B32,MtM!$H:$H,RESULTADO!$B$29,MtM!$E:$E,RESULTADO!G$3))</f>
        <v>0</v>
      </c>
      <c r="H32" s="53">
        <f>(SUMIFS(MtM!$M:$M,MtM!$I:$I,RESULTADO!$B32,MtM!$H:$H,RESULTADO!$B$29,MtM!$E:$E,RESULTADO!H$3)-SUMIFS(MtM!$N:$N,MtM!$I:$I,RESULTADO!$B32,MtM!$H:$H,RESULTADO!$B$29,MtM!$E:$E,RESULTADO!H$3))</f>
        <v>0</v>
      </c>
      <c r="I32" s="53">
        <f>(SUMIFS(MtM!$M:$M,MtM!$I:$I,RESULTADO!$B32,MtM!$H:$H,RESULTADO!$B$29,MtM!$E:$E,RESULTADO!I$3)-SUMIFS(MtM!$N:$N,MtM!$I:$I,RESULTADO!$B32,MtM!$H:$H,RESULTADO!$B$29,MtM!$E:$E,RESULTADO!I$3))</f>
        <v>0</v>
      </c>
      <c r="J32" s="53">
        <f>(SUMIFS(MtM!$M:$M,MtM!$I:$I,RESULTADO!$B32,MtM!$H:$H,RESULTADO!$B$29,MtM!$E:$E,RESULTADO!J$3)-SUMIFS(MtM!$N:$N,MtM!$I:$I,RESULTADO!$B32,MtM!$H:$H,RESULTADO!$B$29,MtM!$E:$E,RESULTADO!J$3))</f>
        <v>0</v>
      </c>
      <c r="K32" s="53">
        <f>(SUMIFS(MtM!$M:$M,MtM!$I:$I,RESULTADO!$B32,MtM!$H:$H,RESULTADO!$B$29,MtM!$E:$E,RESULTADO!K$3)-SUMIFS(MtM!$N:$N,MtM!$I:$I,RESULTADO!$B32,MtM!$H:$H,RESULTADO!$B$29,MtM!$E:$E,RESULTADO!K$3))</f>
        <v>0</v>
      </c>
      <c r="L32" s="53">
        <f>(SUMIFS(MtM!$M:$M,MtM!$I:$I,RESULTADO!$B32,MtM!$H:$H,RESULTADO!$B$29,MtM!$E:$E,RESULTADO!L$3)-SUMIFS(MtM!$N:$N,MtM!$I:$I,RESULTADO!$B32,MtM!$H:$H,RESULTADO!$B$29,MtM!$E:$E,RESULTADO!L$3))</f>
        <v>0</v>
      </c>
      <c r="M32" s="53">
        <f>(SUMIFS(MtM!$M:$M,MtM!$I:$I,RESULTADO!$B32,MtM!$H:$H,RESULTADO!$B$29,MtM!$E:$E,RESULTADO!M$3)-SUMIFS(MtM!$N:$N,MtM!$I:$I,RESULTADO!$B32,MtM!$H:$H,RESULTADO!$B$29,MtM!$E:$E,RESULTADO!M$3))</f>
        <v>0</v>
      </c>
      <c r="N32" s="54">
        <f>(SUMIFS(MtM!$M:$M,MtM!$I:$I,RESULTADO!$B32,MtM!$H:$H,RESULTADO!$B$29,MtM!$E:$E,RESULTADO!N$3)-SUMIFS(MtM!$N:$N,MtM!$I:$I,RESULTADO!$B32,MtM!$H:$H,RESULTADO!$B$29,MtM!$E:$E,RESULTADO!N$3))</f>
        <v>0</v>
      </c>
      <c r="O32" s="53">
        <f>(SUMIFS(MtM!$M:$M,MtM!$I:$I,RESULTADO!$B32,MtM!$H:$H,RESULTADO!$B$29,MtM!$E:$E,RESULTADO!O$3)-SUMIFS(MtM!$N:$N,MtM!$I:$I,RESULTADO!$B32,MtM!$H:$H,RESULTADO!$B$29,MtM!$E:$E,RESULTADO!O$3))</f>
        <v>0</v>
      </c>
      <c r="P32" s="53">
        <f>(SUMIFS(MtM!$M:$M,MtM!$I:$I,RESULTADO!$B32,MtM!$H:$H,RESULTADO!$B$29,MtM!$E:$E,RESULTADO!P$3)-SUMIFS(MtM!$N:$N,MtM!$I:$I,RESULTADO!$B32,MtM!$H:$H,RESULTADO!$B$29,MtM!$E:$E,RESULTADO!P$3))</f>
        <v>0</v>
      </c>
      <c r="Q32" s="53">
        <f>(SUMIFS(MtM!$M:$M,MtM!$I:$I,RESULTADO!$B32,MtM!$H:$H,RESULTADO!$B$29,MtM!$E:$E,RESULTADO!Q$3)-SUMIFS(MtM!$N:$N,MtM!$I:$I,RESULTADO!$B32,MtM!$H:$H,RESULTADO!$B$29,MtM!$E:$E,RESULTADO!Q$3))</f>
        <v>0</v>
      </c>
      <c r="R32" s="53">
        <f>(SUMIFS(MtM!$M:$M,MtM!$I:$I,RESULTADO!$B32,MtM!$H:$H,RESULTADO!$B$29,MtM!$E:$E,RESULTADO!R$3)-SUMIFS(MtM!$N:$N,MtM!$I:$I,RESULTADO!$B32,MtM!$H:$H,RESULTADO!$B$29,MtM!$E:$E,RESULTADO!R$3))</f>
        <v>0</v>
      </c>
      <c r="S32" s="53">
        <f>(SUMIFS(MtM!$M:$M,MtM!$I:$I,RESULTADO!$B32,MtM!$H:$H,RESULTADO!$B$29,MtM!$E:$E,RESULTADO!S$3)-SUMIFS(MtM!$N:$N,MtM!$I:$I,RESULTADO!$B32,MtM!$H:$H,RESULTADO!$B$29,MtM!$E:$E,RESULTADO!S$3))</f>
        <v>0</v>
      </c>
      <c r="T32" s="53">
        <f>(SUMIFS(MtM!$M:$M,MtM!$I:$I,RESULTADO!$B32,MtM!$H:$H,RESULTADO!$B$29,MtM!$E:$E,RESULTADO!T$3)-SUMIFS(MtM!$N:$N,MtM!$I:$I,RESULTADO!$B32,MtM!$H:$H,RESULTADO!$B$29,MtM!$E:$E,RESULTADO!T$3))</f>
        <v>0</v>
      </c>
      <c r="U32" s="53">
        <f>(SUMIFS(MtM!$M:$M,MtM!$I:$I,RESULTADO!$B32,MtM!$H:$H,RESULTADO!$B$29,MtM!$E:$E,RESULTADO!U$3)-SUMIFS(MtM!$N:$N,MtM!$I:$I,RESULTADO!$B32,MtM!$H:$H,RESULTADO!$B$29,MtM!$E:$E,RESULTADO!U$3))</f>
        <v>0</v>
      </c>
      <c r="V32" s="53">
        <f>(SUMIFS(MtM!$M:$M,MtM!$I:$I,RESULTADO!$B32,MtM!$H:$H,RESULTADO!$B$29,MtM!$E:$E,RESULTADO!V$3)-SUMIFS(MtM!$N:$N,MtM!$I:$I,RESULTADO!$B32,MtM!$H:$H,RESULTADO!$B$29,MtM!$E:$E,RESULTADO!V$3))</f>
        <v>0</v>
      </c>
      <c r="W32" s="53">
        <f>(SUMIFS(MtM!$M:$M,MtM!$I:$I,RESULTADO!$B32,MtM!$H:$H,RESULTADO!$B$29,MtM!$E:$E,RESULTADO!W$3)-SUMIFS(MtM!$N:$N,MtM!$I:$I,RESULTADO!$B32,MtM!$H:$H,RESULTADO!$B$29,MtM!$E:$E,RESULTADO!W$3))</f>
        <v>0</v>
      </c>
      <c r="X32" s="53">
        <f>(SUMIFS(MtM!$M:$M,MtM!$I:$I,RESULTADO!$B32,MtM!$H:$H,RESULTADO!$B$29,MtM!$E:$E,RESULTADO!X$3)-SUMIFS(MtM!$N:$N,MtM!$I:$I,RESULTADO!$B32,MtM!$H:$H,RESULTADO!$B$29,MtM!$E:$E,RESULTADO!X$3))</f>
        <v>0</v>
      </c>
      <c r="Y32" s="53">
        <f>(SUMIFS(MtM!$M:$M,MtM!$I:$I,RESULTADO!$B32,MtM!$H:$H,RESULTADO!$B$29,MtM!$E:$E,RESULTADO!Y$3)-SUMIFS(MtM!$N:$N,MtM!$I:$I,RESULTADO!$B32,MtM!$H:$H,RESULTADO!$B$29,MtM!$E:$E,RESULTADO!Y$3))</f>
        <v>0</v>
      </c>
      <c r="Z32" s="63">
        <f>(SUMIFS(MtM!$M:$M,MtM!$I:$I,RESULTADO!$B32,MtM!$H:$H,RESULTADO!$B$29,MtM!$E:$E,RESULTADO!Z$3)-SUMIFS(MtM!$N:$N,MtM!$I:$I,RESULTADO!$B32,MtM!$H:$H,RESULTADO!$B$29,MtM!$E:$E,RESULTADO!Z$3))</f>
        <v>0</v>
      </c>
      <c r="AA32" s="53">
        <f>(SUMIFS(MtM!$M:$M,MtM!$I:$I,RESULTADO!$B32,MtM!$H:$H,RESULTADO!$B$29,MtM!$E:$E,RESULTADO!AA$3)-SUMIFS(MtM!$N:$N,MtM!$I:$I,RESULTADO!$B32,MtM!$H:$H,RESULTADO!$B$29,MtM!$E:$E,RESULTADO!AA$3))</f>
        <v>0</v>
      </c>
      <c r="AB32" s="53">
        <f>(SUMIFS(MtM!$M:$M,MtM!$I:$I,RESULTADO!$B32,MtM!$H:$H,RESULTADO!$B$29,MtM!$E:$E,RESULTADO!AB$3)-SUMIFS(MtM!$N:$N,MtM!$I:$I,RESULTADO!$B32,MtM!$H:$H,RESULTADO!$B$29,MtM!$E:$E,RESULTADO!AB$3))</f>
        <v>0</v>
      </c>
      <c r="AC32" s="53">
        <f>(SUMIFS(MtM!$M:$M,MtM!$I:$I,RESULTADO!$B32,MtM!$H:$H,RESULTADO!$B$29,MtM!$E:$E,RESULTADO!AC$3)-SUMIFS(MtM!$N:$N,MtM!$I:$I,RESULTADO!$B32,MtM!$H:$H,RESULTADO!$B$29,MtM!$E:$E,RESULTADO!AC$3))</f>
        <v>0</v>
      </c>
      <c r="AD32" s="53">
        <f>(SUMIFS(MtM!$M:$M,MtM!$I:$I,RESULTADO!$B32,MtM!$H:$H,RESULTADO!$B$29,MtM!$E:$E,RESULTADO!AD$3)-SUMIFS(MtM!$N:$N,MtM!$I:$I,RESULTADO!$B32,MtM!$H:$H,RESULTADO!$B$29,MtM!$E:$E,RESULTADO!AD$3))</f>
        <v>0</v>
      </c>
      <c r="AE32" s="53">
        <f>(SUMIFS(MtM!$M:$M,MtM!$I:$I,RESULTADO!$B32,MtM!$H:$H,RESULTADO!$B$29,MtM!$E:$E,RESULTADO!AE$3)-SUMIFS(MtM!$N:$N,MtM!$I:$I,RESULTADO!$B32,MtM!$H:$H,RESULTADO!$B$29,MtM!$E:$E,RESULTADO!AE$3))</f>
        <v>0</v>
      </c>
      <c r="AF32" s="53">
        <f>(SUMIFS(MtM!$M:$M,MtM!$I:$I,RESULTADO!$B32,MtM!$H:$H,RESULTADO!$B$29,MtM!$E:$E,RESULTADO!AF$3)-SUMIFS(MtM!$N:$N,MtM!$I:$I,RESULTADO!$B32,MtM!$H:$H,RESULTADO!$B$29,MtM!$E:$E,RESULTADO!AF$3))</f>
        <v>0</v>
      </c>
      <c r="AG32" s="53">
        <f>(SUMIFS(MtM!$M:$M,MtM!$I:$I,RESULTADO!$B32,MtM!$H:$H,RESULTADO!$B$29,MtM!$E:$E,RESULTADO!AG$3)-SUMIFS(MtM!$N:$N,MtM!$I:$I,RESULTADO!$B32,MtM!$H:$H,RESULTADO!$B$29,MtM!$E:$E,RESULTADO!AG$3))</f>
        <v>0</v>
      </c>
      <c r="AH32" s="53">
        <f>(SUMIFS(MtM!$M:$M,MtM!$I:$I,RESULTADO!$B32,MtM!$H:$H,RESULTADO!$B$29,MtM!$E:$E,RESULTADO!AH$3)-SUMIFS(MtM!$N:$N,MtM!$I:$I,RESULTADO!$B32,MtM!$H:$H,RESULTADO!$B$29,MtM!$E:$E,RESULTADO!AH$3))</f>
        <v>0</v>
      </c>
      <c r="AI32" s="53">
        <f>(SUMIFS(MtM!$M:$M,MtM!$I:$I,RESULTADO!$B32,MtM!$H:$H,RESULTADO!$B$29,MtM!$E:$E,RESULTADO!AI$3)-SUMIFS(MtM!$N:$N,MtM!$I:$I,RESULTADO!$B32,MtM!$H:$H,RESULTADO!$B$29,MtM!$E:$E,RESULTADO!AI$3))</f>
        <v>0</v>
      </c>
      <c r="AJ32" s="53">
        <f>(SUMIFS(MtM!$M:$M,MtM!$I:$I,RESULTADO!$B32,MtM!$H:$H,RESULTADO!$B$29,MtM!$E:$E,RESULTADO!AJ$3)-SUMIFS(MtM!$N:$N,MtM!$I:$I,RESULTADO!$B32,MtM!$H:$H,RESULTADO!$B$29,MtM!$E:$E,RESULTADO!AJ$3))</f>
        <v>0</v>
      </c>
      <c r="AK32" s="53">
        <f>(SUMIFS(MtM!$M:$M,MtM!$I:$I,RESULTADO!$B32,MtM!$H:$H,RESULTADO!$B$29,MtM!$E:$E,RESULTADO!AK$3)-SUMIFS(MtM!$N:$N,MtM!$I:$I,RESULTADO!$B32,MtM!$H:$H,RESULTADO!$B$29,MtM!$E:$E,RESULTADO!AK$3))</f>
        <v>0</v>
      </c>
      <c r="AL32" s="54">
        <f>(SUMIFS(MtM!$M:$M,MtM!$I:$I,RESULTADO!$B32,MtM!$H:$H,RESULTADO!$B$29,MtM!$E:$E,RESULTADO!AL$3)-SUMIFS(MtM!$N:$N,MtM!$I:$I,RESULTADO!$B32,MtM!$H:$H,RESULTADO!$B$29,MtM!$E:$E,RESULTADO!AL$3))</f>
        <v>0</v>
      </c>
      <c r="AM32" s="53">
        <f>(SUMIFS(MtM!$M:$M,MtM!$I:$I,RESULTADO!$B32,MtM!$H:$H,RESULTADO!$B$29,MtM!$E:$E,RESULTADO!AM$3)-SUMIFS(MtM!$N:$N,MtM!$I:$I,RESULTADO!$B32,MtM!$H:$H,RESULTADO!$B$29,MtM!$E:$E,RESULTADO!AM$3))</f>
        <v>0</v>
      </c>
      <c r="AN32" s="53">
        <f>(SUMIFS(MtM!$M:$M,MtM!$I:$I,RESULTADO!$B32,MtM!$H:$H,RESULTADO!$B$29,MtM!$E:$E,RESULTADO!AN$3)-SUMIFS(MtM!$N:$N,MtM!$I:$I,RESULTADO!$B32,MtM!$H:$H,RESULTADO!$B$29,MtM!$E:$E,RESULTADO!AN$3))</f>
        <v>0</v>
      </c>
      <c r="AO32" s="53">
        <f>(SUMIFS(MtM!$M:$M,MtM!$I:$I,RESULTADO!$B32,MtM!$H:$H,RESULTADO!$B$29,MtM!$E:$E,RESULTADO!AO$3)-SUMIFS(MtM!$N:$N,MtM!$I:$I,RESULTADO!$B32,MtM!$H:$H,RESULTADO!$B$29,MtM!$E:$E,RESULTADO!AO$3))</f>
        <v>0</v>
      </c>
      <c r="AP32" s="53">
        <f>(SUMIFS(MtM!$M:$M,MtM!$I:$I,RESULTADO!$B32,MtM!$H:$H,RESULTADO!$B$29,MtM!$E:$E,RESULTADO!AP$3)-SUMIFS(MtM!$N:$N,MtM!$I:$I,RESULTADO!$B32,MtM!$H:$H,RESULTADO!$B$29,MtM!$E:$E,RESULTADO!AP$3))</f>
        <v>0</v>
      </c>
      <c r="AQ32" s="53">
        <f>(SUMIFS(MtM!$M:$M,MtM!$I:$I,RESULTADO!$B32,MtM!$H:$H,RESULTADO!$B$29,MtM!$E:$E,RESULTADO!AQ$3)-SUMIFS(MtM!$N:$N,MtM!$I:$I,RESULTADO!$B32,MtM!$H:$H,RESULTADO!$B$29,MtM!$E:$E,RESULTADO!AQ$3))</f>
        <v>0</v>
      </c>
      <c r="AR32" s="53">
        <f>(SUMIFS(MtM!$M:$M,MtM!$I:$I,RESULTADO!$B32,MtM!$H:$H,RESULTADO!$B$29,MtM!$E:$E,RESULTADO!AR$3)-SUMIFS(MtM!$N:$N,MtM!$I:$I,RESULTADO!$B32,MtM!$H:$H,RESULTADO!$B$29,MtM!$E:$E,RESULTADO!AR$3))</f>
        <v>0</v>
      </c>
      <c r="AS32" s="53">
        <f>(SUMIFS(MtM!$M:$M,MtM!$I:$I,RESULTADO!$B32,MtM!$H:$H,RESULTADO!$B$29,MtM!$E:$E,RESULTADO!AS$3)-SUMIFS(MtM!$N:$N,MtM!$I:$I,RESULTADO!$B32,MtM!$H:$H,RESULTADO!$B$29,MtM!$E:$E,RESULTADO!AS$3))</f>
        <v>0</v>
      </c>
      <c r="AT32" s="53">
        <f>(SUMIFS(MtM!$M:$M,MtM!$I:$I,RESULTADO!$B32,MtM!$H:$H,RESULTADO!$B$29,MtM!$E:$E,RESULTADO!AT$3)-SUMIFS(MtM!$N:$N,MtM!$I:$I,RESULTADO!$B32,MtM!$H:$H,RESULTADO!$B$29,MtM!$E:$E,RESULTADO!AT$3))</f>
        <v>0</v>
      </c>
      <c r="AU32" s="53">
        <f>(SUMIFS(MtM!$M:$M,MtM!$I:$I,RESULTADO!$B32,MtM!$H:$H,RESULTADO!$B$29,MtM!$E:$E,RESULTADO!AU$3)-SUMIFS(MtM!$N:$N,MtM!$I:$I,RESULTADO!$B32,MtM!$H:$H,RESULTADO!$B$29,MtM!$E:$E,RESULTADO!AU$3))</f>
        <v>0</v>
      </c>
      <c r="AV32" s="53">
        <f>(SUMIFS(MtM!$M:$M,MtM!$I:$I,RESULTADO!$B32,MtM!$H:$H,RESULTADO!$B$29,MtM!$E:$E,RESULTADO!AV$3)-SUMIFS(MtM!$N:$N,MtM!$I:$I,RESULTADO!$B32,MtM!$H:$H,RESULTADO!$B$29,MtM!$E:$E,RESULTADO!AV$3))</f>
        <v>0</v>
      </c>
      <c r="AW32" s="53">
        <f>(SUMIFS(MtM!$M:$M,MtM!$I:$I,RESULTADO!$B32,MtM!$H:$H,RESULTADO!$B$29,MtM!$E:$E,RESULTADO!AW$3)-SUMIFS(MtM!$N:$N,MtM!$I:$I,RESULTADO!$B32,MtM!$H:$H,RESULTADO!$B$29,MtM!$E:$E,RESULTADO!AW$3))</f>
        <v>0</v>
      </c>
      <c r="AX32" s="63">
        <f>(SUMIFS(MtM!$M:$M,MtM!$I:$I,RESULTADO!$B32,MtM!$H:$H,RESULTADO!$B$29,MtM!$E:$E,RESULTADO!AX$3)-SUMIFS(MtM!$N:$N,MtM!$I:$I,RESULTADO!$B32,MtM!$H:$H,RESULTADO!$B$29,MtM!$E:$E,RESULTADO!AX$3))</f>
        <v>0</v>
      </c>
      <c r="AY32" s="53">
        <f>(SUMIFS(MtM!$M:$M,MtM!$I:$I,RESULTADO!$B32,MtM!$H:$H,RESULTADO!$B$29,MtM!$E:$E,RESULTADO!AY$3)-SUMIFS(MtM!$N:$N,MtM!$I:$I,RESULTADO!$B32,MtM!$H:$H,RESULTADO!$B$29,MtM!$E:$E,RESULTADO!AY$3))</f>
        <v>0</v>
      </c>
      <c r="AZ32" s="53">
        <f>(SUMIFS(MtM!$M:$M,MtM!$I:$I,RESULTADO!$B32,MtM!$H:$H,RESULTADO!$B$29,MtM!$E:$E,RESULTADO!AZ$3)-SUMIFS(MtM!$N:$N,MtM!$I:$I,RESULTADO!$B32,MtM!$H:$H,RESULTADO!$B$29,MtM!$E:$E,RESULTADO!AZ$3))</f>
        <v>0</v>
      </c>
      <c r="BA32" s="53">
        <f>(SUMIFS(MtM!$M:$M,MtM!$I:$I,RESULTADO!$B32,MtM!$H:$H,RESULTADO!$B$29,MtM!$E:$E,RESULTADO!BA$3)-SUMIFS(MtM!$N:$N,MtM!$I:$I,RESULTADO!$B32,MtM!$H:$H,RESULTADO!$B$29,MtM!$E:$E,RESULTADO!BA$3))</f>
        <v>0</v>
      </c>
      <c r="BB32" s="53">
        <f>(SUMIFS(MtM!$M:$M,MtM!$I:$I,RESULTADO!$B32,MtM!$H:$H,RESULTADO!$B$29,MtM!$E:$E,RESULTADO!BB$3)-SUMIFS(MtM!$N:$N,MtM!$I:$I,RESULTADO!$B32,MtM!$H:$H,RESULTADO!$B$29,MtM!$E:$E,RESULTADO!BB$3))</f>
        <v>0</v>
      </c>
      <c r="BC32" s="53">
        <f>(SUMIFS(MtM!$M:$M,MtM!$I:$I,RESULTADO!$B32,MtM!$H:$H,RESULTADO!$B$29,MtM!$E:$E,RESULTADO!BC$3)-SUMIFS(MtM!$N:$N,MtM!$I:$I,RESULTADO!$B32,MtM!$H:$H,RESULTADO!$B$29,MtM!$E:$E,RESULTADO!BC$3))</f>
        <v>0</v>
      </c>
      <c r="BD32" s="53">
        <f>(SUMIFS(MtM!$M:$M,MtM!$I:$I,RESULTADO!$B32,MtM!$H:$H,RESULTADO!$B$29,MtM!$E:$E,RESULTADO!BD$3)-SUMIFS(MtM!$N:$N,MtM!$I:$I,RESULTADO!$B32,MtM!$H:$H,RESULTADO!$B$29,MtM!$E:$E,RESULTADO!BD$3))</f>
        <v>0</v>
      </c>
      <c r="BE32" s="53">
        <f>(SUMIFS(MtM!$M:$M,MtM!$I:$I,RESULTADO!$B32,MtM!$H:$H,RESULTADO!$B$29,MtM!$E:$E,RESULTADO!BE$3)-SUMIFS(MtM!$N:$N,MtM!$I:$I,RESULTADO!$B32,MtM!$H:$H,RESULTADO!$B$29,MtM!$E:$E,RESULTADO!BE$3))</f>
        <v>0</v>
      </c>
      <c r="BF32" s="53">
        <f>(SUMIFS(MtM!$M:$M,MtM!$I:$I,RESULTADO!$B32,MtM!$H:$H,RESULTADO!$B$29,MtM!$E:$E,RESULTADO!BF$3)-SUMIFS(MtM!$N:$N,MtM!$I:$I,RESULTADO!$B32,MtM!$H:$H,RESULTADO!$B$29,MtM!$E:$E,RESULTADO!BF$3))</f>
        <v>0</v>
      </c>
      <c r="BG32" s="53">
        <f>(SUMIFS(MtM!$M:$M,MtM!$I:$I,RESULTADO!$B32,MtM!$H:$H,RESULTADO!$B$29,MtM!$E:$E,RESULTADO!BG$3)-SUMIFS(MtM!$N:$N,MtM!$I:$I,RESULTADO!$B32,MtM!$H:$H,RESULTADO!$B$29,MtM!$E:$E,RESULTADO!BG$3))</f>
        <v>0</v>
      </c>
      <c r="BH32" s="53">
        <f>(SUMIFS(MtM!$M:$M,MtM!$I:$I,RESULTADO!$B32,MtM!$H:$H,RESULTADO!$B$29,MtM!$E:$E,RESULTADO!BH$3)-SUMIFS(MtM!$N:$N,MtM!$I:$I,RESULTADO!$B32,MtM!$H:$H,RESULTADO!$B$29,MtM!$E:$E,RESULTADO!BH$3))</f>
        <v>0</v>
      </c>
      <c r="BI32" s="53">
        <f>(SUMIFS(MtM!$M:$M,MtM!$I:$I,RESULTADO!$B32,MtM!$H:$H,RESULTADO!$B$29,MtM!$E:$E,RESULTADO!BI$3)-SUMIFS(MtM!$N:$N,MtM!$I:$I,RESULTADO!$B32,MtM!$H:$H,RESULTADO!$B$29,MtM!$E:$E,RESULTADO!BI$3))</f>
        <v>0</v>
      </c>
      <c r="BJ32" s="63">
        <f>(SUMIFS(MtM!$M:$M,MtM!$I:$I,RESULTADO!$B32,MtM!$H:$H,RESULTADO!$B$29,MtM!$E:$E,RESULTADO!BJ$3)-SUMIFS(MtM!$N:$N,MtM!$I:$I,RESULTADO!$B32,MtM!$H:$H,RESULTADO!$B$29,MtM!$E:$E,RESULTADO!BJ$3))</f>
        <v>0</v>
      </c>
      <c r="BL32" s="120"/>
      <c r="BN32" s="57" t="s">
        <v>13</v>
      </c>
      <c r="BO32" s="53">
        <f>SUMIFS('MtM Releases'!$H:$H,'MtM Releases'!$G:$G,RESULTADO!$BN32,'MtM Releases'!$F:$F,RESULTADO!$BN29,'MtM Releases'!$D:$D,RESULTADO!BO$3)</f>
        <v>0</v>
      </c>
      <c r="BP32" s="53">
        <f>SUMIFS('MtM Releases'!$H:$H,'MtM Releases'!$G:$G,RESULTADO!$BN32,'MtM Releases'!$F:$F,RESULTADO!$BN29,'MtM Releases'!$D:$D,RESULTADO!BP$3)</f>
        <v>0</v>
      </c>
      <c r="BQ32" s="53">
        <f>SUMIFS('MtM Releases'!$H:$H,'MtM Releases'!$G:$G,RESULTADO!$BN32,'MtM Releases'!$F:$F,RESULTADO!$BN29,'MtM Releases'!$D:$D,RESULTADO!BQ$3)</f>
        <v>0</v>
      </c>
      <c r="BR32" s="53">
        <f>SUMIFS('MtM Releases'!$H:$H,'MtM Releases'!$G:$G,RESULTADO!$BN32,'MtM Releases'!$F:$F,RESULTADO!$BN29,'MtM Releases'!$D:$D,RESULTADO!BR$3)</f>
        <v>0</v>
      </c>
      <c r="BS32" s="53">
        <f>SUMIFS('MtM Releases'!$H:$H,'MtM Releases'!$G:$G,RESULTADO!$BN32,'MtM Releases'!$F:$F,RESULTADO!$BN29,'MtM Releases'!$D:$D,RESULTADO!BS$3)</f>
        <v>0</v>
      </c>
      <c r="BT32" s="53">
        <f>SUMIFS('MtM Releases'!$H:$H,'MtM Releases'!$G:$G,RESULTADO!$BN32,'MtM Releases'!$F:$F,RESULTADO!$BN29,'MtM Releases'!$D:$D,RESULTADO!BT$3)</f>
        <v>0</v>
      </c>
      <c r="BU32" s="53">
        <f>SUMIFS('MtM Releases'!$H:$H,'MtM Releases'!$G:$G,RESULTADO!$BN32,'MtM Releases'!$F:$F,RESULTADO!$BN29,'MtM Releases'!$D:$D,RESULTADO!BU$3)</f>
        <v>0</v>
      </c>
      <c r="BV32" s="53">
        <f>SUMIFS('MtM Releases'!$H:$H,'MtM Releases'!$G:$G,RESULTADO!$BN32,'MtM Releases'!$F:$F,RESULTADO!$BN29,'MtM Releases'!$D:$D,RESULTADO!BV$3)</f>
        <v>0</v>
      </c>
      <c r="BW32" s="53">
        <f>SUMIFS('MtM Releases'!$H:$H,'MtM Releases'!$G:$G,RESULTADO!$BN32,'MtM Releases'!$F:$F,RESULTADO!$BN29,'MtM Releases'!$D:$D,RESULTADO!BW$3)</f>
        <v>0</v>
      </c>
      <c r="BX32" s="53">
        <f>SUMIFS('MtM Releases'!$H:$H,'MtM Releases'!$G:$G,RESULTADO!$BN32,'MtM Releases'!$F:$F,RESULTADO!$BN29,'MtM Releases'!$D:$D,RESULTADO!BX$3)</f>
        <v>0</v>
      </c>
      <c r="BY32" s="53">
        <f>SUMIFS('MtM Releases'!$H:$H,'MtM Releases'!$G:$G,RESULTADO!$BN32,'MtM Releases'!$F:$F,RESULTADO!$BN29,'MtM Releases'!$D:$D,RESULTADO!BY$3)</f>
        <v>0</v>
      </c>
      <c r="BZ32" s="54">
        <f>SUMIFS('MtM Releases'!$H:$H,'MtM Releases'!$G:$G,RESULTADO!$BN32,'MtM Releases'!$F:$F,RESULTADO!$BN29,'MtM Releases'!$D:$D,RESULTADO!BZ$3)</f>
        <v>0</v>
      </c>
      <c r="CA32" s="53">
        <f>SUMIFS('MtM Releases'!$H:$H,'MtM Releases'!$G:$G,RESULTADO!$BN32,'MtM Releases'!$F:$F,RESULTADO!$BN29,'MtM Releases'!$D:$D,RESULTADO!CA$3)</f>
        <v>0</v>
      </c>
      <c r="CB32" s="53">
        <f>SUMIFS('MtM Releases'!$H:$H,'MtM Releases'!$G:$G,RESULTADO!$BN32,'MtM Releases'!$F:$F,RESULTADO!$BN29,'MtM Releases'!$D:$D,RESULTADO!CB$3)</f>
        <v>0</v>
      </c>
      <c r="CC32" s="53">
        <f>SUMIFS('MtM Releases'!$H:$H,'MtM Releases'!$G:$G,RESULTADO!$BN32,'MtM Releases'!$F:$F,RESULTADO!$BN29,'MtM Releases'!$D:$D,RESULTADO!CC$3)</f>
        <v>0</v>
      </c>
      <c r="CD32" s="53">
        <f>SUMIFS('MtM Releases'!$H:$H,'MtM Releases'!$G:$G,RESULTADO!$BN32,'MtM Releases'!$F:$F,RESULTADO!$BN29,'MtM Releases'!$D:$D,RESULTADO!CD$3)</f>
        <v>0</v>
      </c>
      <c r="CE32" s="53">
        <f>SUMIFS('MtM Releases'!$H:$H,'MtM Releases'!$G:$G,RESULTADO!$BN32,'MtM Releases'!$F:$F,RESULTADO!$BN29,'MtM Releases'!$D:$D,RESULTADO!CE$3)</f>
        <v>0</v>
      </c>
      <c r="CF32" s="53">
        <f>SUMIFS('MtM Releases'!$H:$H,'MtM Releases'!$G:$G,RESULTADO!$BN32,'MtM Releases'!$F:$F,RESULTADO!$BN29,'MtM Releases'!$D:$D,RESULTADO!CF$3)</f>
        <v>0</v>
      </c>
      <c r="CG32" s="53">
        <f>SUMIFS('MtM Releases'!$H:$H,'MtM Releases'!$G:$G,RESULTADO!$BN32,'MtM Releases'!$F:$F,RESULTADO!$BN29,'MtM Releases'!$D:$D,RESULTADO!CG$3)</f>
        <v>0</v>
      </c>
      <c r="CH32" s="53">
        <f>SUMIFS('MtM Releases'!$H:$H,'MtM Releases'!$G:$G,RESULTADO!$BN32,'MtM Releases'!$F:$F,RESULTADO!$BN29,'MtM Releases'!$D:$D,RESULTADO!CH$3)</f>
        <v>0</v>
      </c>
      <c r="CI32" s="53">
        <f>SUMIFS('MtM Releases'!$H:$H,'MtM Releases'!$G:$G,RESULTADO!$BN32,'MtM Releases'!$F:$F,RESULTADO!$BN29,'MtM Releases'!$D:$D,RESULTADO!CI$3)</f>
        <v>0</v>
      </c>
      <c r="CJ32" s="53">
        <f>SUMIFS('MtM Releases'!$H:$H,'MtM Releases'!$G:$G,RESULTADO!$BN32,'MtM Releases'!$F:$F,RESULTADO!$BN29,'MtM Releases'!$D:$D,RESULTADO!CJ$3)</f>
        <v>0</v>
      </c>
      <c r="CK32" s="53">
        <f>SUMIFS('MtM Releases'!$H:$H,'MtM Releases'!$G:$G,RESULTADO!$BN32,'MtM Releases'!$F:$F,RESULTADO!$BN29,'MtM Releases'!$D:$D,RESULTADO!CK$3)</f>
        <v>0</v>
      </c>
      <c r="CL32" s="63">
        <f>SUMIFS('MtM Releases'!$H:$H,'MtM Releases'!$G:$G,RESULTADO!$BN32,'MtM Releases'!$F:$F,RESULTADO!$BN29,'MtM Releases'!$D:$D,RESULTADO!CL$3)</f>
        <v>0</v>
      </c>
      <c r="CM32" s="53">
        <f>SUMIFS('MtM Releases'!$H:$H,'MtM Releases'!$G:$G,RESULTADO!$BN32,'MtM Releases'!$F:$F,RESULTADO!$BN29,'MtM Releases'!$D:$D,RESULTADO!CM$3)</f>
        <v>0</v>
      </c>
      <c r="CN32" s="53">
        <f>SUMIFS('MtM Releases'!$H:$H,'MtM Releases'!$G:$G,RESULTADO!$BN32,'MtM Releases'!$F:$F,RESULTADO!$BN29,'MtM Releases'!$D:$D,RESULTADO!CN$3)</f>
        <v>0</v>
      </c>
      <c r="CO32" s="53">
        <f>SUMIFS('MtM Releases'!$H:$H,'MtM Releases'!$G:$G,RESULTADO!$BN32,'MtM Releases'!$F:$F,RESULTADO!$BN29,'MtM Releases'!$D:$D,RESULTADO!CO$3)</f>
        <v>0</v>
      </c>
      <c r="CP32" s="53">
        <f>SUMIFS('MtM Releases'!$H:$H,'MtM Releases'!$G:$G,RESULTADO!$BN32,'MtM Releases'!$F:$F,RESULTADO!$BN29,'MtM Releases'!$D:$D,RESULTADO!CP$3)</f>
        <v>0</v>
      </c>
      <c r="CQ32" s="53">
        <f>SUMIFS('MtM Releases'!$H:$H,'MtM Releases'!$G:$G,RESULTADO!$BN32,'MtM Releases'!$F:$F,RESULTADO!$BN29,'MtM Releases'!$D:$D,RESULTADO!CQ$3)</f>
        <v>0</v>
      </c>
      <c r="CR32" s="53">
        <f>SUMIFS('MtM Releases'!$H:$H,'MtM Releases'!$G:$G,RESULTADO!$BN32,'MtM Releases'!$F:$F,RESULTADO!$BN29,'MtM Releases'!$D:$D,RESULTADO!CR$3)</f>
        <v>0</v>
      </c>
      <c r="CS32" s="53">
        <f>SUMIFS('MtM Releases'!$H:$H,'MtM Releases'!$G:$G,RESULTADO!$BN32,'MtM Releases'!$F:$F,RESULTADO!$BN29,'MtM Releases'!$D:$D,RESULTADO!CS$3)</f>
        <v>0</v>
      </c>
      <c r="CT32" s="53">
        <f>SUMIFS('MtM Releases'!$H:$H,'MtM Releases'!$G:$G,RESULTADO!$BN32,'MtM Releases'!$F:$F,RESULTADO!$BN29,'MtM Releases'!$D:$D,RESULTADO!CT$3)</f>
        <v>0</v>
      </c>
      <c r="CU32" s="53">
        <f>SUMIFS('MtM Releases'!$H:$H,'MtM Releases'!$G:$G,RESULTADO!$BN32,'MtM Releases'!$F:$F,RESULTADO!$BN29,'MtM Releases'!$D:$D,RESULTADO!CU$3)</f>
        <v>0</v>
      </c>
      <c r="CV32" s="53">
        <f>SUMIFS('MtM Releases'!$H:$H,'MtM Releases'!$G:$G,RESULTADO!$BN32,'MtM Releases'!$F:$F,RESULTADO!$BN29,'MtM Releases'!$D:$D,RESULTADO!CV$3)</f>
        <v>0</v>
      </c>
      <c r="CW32" s="53">
        <f>SUMIFS('MtM Releases'!$H:$H,'MtM Releases'!$G:$G,RESULTADO!$BN32,'MtM Releases'!$F:$F,RESULTADO!$BN29,'MtM Releases'!$D:$D,RESULTADO!CW$3)</f>
        <v>0</v>
      </c>
      <c r="CX32" s="54">
        <f>SUMIFS('MtM Releases'!$H:$H,'MtM Releases'!$G:$G,RESULTADO!$BN32,'MtM Releases'!$F:$F,RESULTADO!$BN29,'MtM Releases'!$D:$D,RESULTADO!CX$3)</f>
        <v>0</v>
      </c>
      <c r="CY32" s="53">
        <f>SUMIFS('MtM Releases'!$H:$H,'MtM Releases'!$G:$G,RESULTADO!$BN32,'MtM Releases'!$F:$F,RESULTADO!$BN29,'MtM Releases'!$D:$D,RESULTADO!CY$3)</f>
        <v>0</v>
      </c>
      <c r="CZ32" s="53">
        <f>SUMIFS('MtM Releases'!$H:$H,'MtM Releases'!$G:$G,RESULTADO!$BN32,'MtM Releases'!$F:$F,RESULTADO!$BN29,'MtM Releases'!$D:$D,RESULTADO!CZ$3)</f>
        <v>0</v>
      </c>
      <c r="DA32" s="53">
        <f>SUMIFS('MtM Releases'!$H:$H,'MtM Releases'!$G:$G,RESULTADO!$BN32,'MtM Releases'!$F:$F,RESULTADO!$BN29,'MtM Releases'!$D:$D,RESULTADO!DA$3)</f>
        <v>0</v>
      </c>
      <c r="DB32" s="53">
        <f>SUMIFS('MtM Releases'!$H:$H,'MtM Releases'!$G:$G,RESULTADO!$BN32,'MtM Releases'!$F:$F,RESULTADO!$BN29,'MtM Releases'!$D:$D,RESULTADO!DB$3)</f>
        <v>0</v>
      </c>
      <c r="DC32" s="53">
        <f>SUMIFS('MtM Releases'!$H:$H,'MtM Releases'!$G:$G,RESULTADO!$BN32,'MtM Releases'!$F:$F,RESULTADO!$BN29,'MtM Releases'!$D:$D,RESULTADO!DC$3)</f>
        <v>0</v>
      </c>
      <c r="DD32" s="53">
        <f>SUMIFS('MtM Releases'!$H:$H,'MtM Releases'!$G:$G,RESULTADO!$BN32,'MtM Releases'!$F:$F,RESULTADO!$BN29,'MtM Releases'!$D:$D,RESULTADO!DD$3)</f>
        <v>0</v>
      </c>
      <c r="DE32" s="53">
        <f>SUMIFS('MtM Releases'!$H:$H,'MtM Releases'!$G:$G,RESULTADO!$BN32,'MtM Releases'!$F:$F,RESULTADO!$BN29,'MtM Releases'!$D:$D,RESULTADO!DE$3)</f>
        <v>0</v>
      </c>
      <c r="DF32" s="53">
        <f>SUMIFS('MtM Releases'!$H:$H,'MtM Releases'!$G:$G,RESULTADO!$BN32,'MtM Releases'!$F:$F,RESULTADO!$BN29,'MtM Releases'!$D:$D,RESULTADO!DF$3)</f>
        <v>0</v>
      </c>
      <c r="DG32" s="53">
        <f>SUMIFS('MtM Releases'!$H:$H,'MtM Releases'!$G:$G,RESULTADO!$BN32,'MtM Releases'!$F:$F,RESULTADO!$BN29,'MtM Releases'!$D:$D,RESULTADO!DG$3)</f>
        <v>0</v>
      </c>
      <c r="DH32" s="53">
        <f>SUMIFS('MtM Releases'!$H:$H,'MtM Releases'!$G:$G,RESULTADO!$BN32,'MtM Releases'!$F:$F,RESULTADO!$BN29,'MtM Releases'!$D:$D,RESULTADO!DH$3)</f>
        <v>0</v>
      </c>
      <c r="DI32" s="53">
        <f>SUMIFS('MtM Releases'!$H:$H,'MtM Releases'!$G:$G,RESULTADO!$BN32,'MtM Releases'!$F:$F,RESULTADO!$BN29,'MtM Releases'!$D:$D,RESULTADO!DI$3)</f>
        <v>0</v>
      </c>
      <c r="DJ32" s="63">
        <f>SUMIFS('MtM Releases'!$H:$H,'MtM Releases'!$G:$G,RESULTADO!$BN32,'MtM Releases'!$F:$F,RESULTADO!$BN29,'MtM Releases'!$D:$D,RESULTADO!DJ$3)</f>
        <v>0</v>
      </c>
      <c r="DK32" s="53">
        <f>SUMIFS('MtM Releases'!$H:$H,'MtM Releases'!$G:$G,RESULTADO!$BN32,'MtM Releases'!$F:$F,RESULTADO!$BN29,'MtM Releases'!$D:$D,RESULTADO!DK$3)</f>
        <v>0</v>
      </c>
      <c r="DL32" s="53">
        <f>SUMIFS('MtM Releases'!$H:$H,'MtM Releases'!$G:$G,RESULTADO!$BN32,'MtM Releases'!$F:$F,RESULTADO!$BN29,'MtM Releases'!$D:$D,RESULTADO!DL$3)</f>
        <v>0</v>
      </c>
      <c r="DM32" s="53">
        <f>SUMIFS('MtM Releases'!$H:$H,'MtM Releases'!$G:$G,RESULTADO!$BN32,'MtM Releases'!$F:$F,RESULTADO!$BN29,'MtM Releases'!$D:$D,RESULTADO!DM$3)</f>
        <v>0</v>
      </c>
      <c r="DN32" s="53">
        <f>SUMIFS('MtM Releases'!$H:$H,'MtM Releases'!$G:$G,RESULTADO!$BN32,'MtM Releases'!$F:$F,RESULTADO!$BN29,'MtM Releases'!$D:$D,RESULTADO!DN$3)</f>
        <v>0</v>
      </c>
      <c r="DO32" s="53">
        <f>SUMIFS('MtM Releases'!$H:$H,'MtM Releases'!$G:$G,RESULTADO!$BN32,'MtM Releases'!$F:$F,RESULTADO!$BN29,'MtM Releases'!$D:$D,RESULTADO!DO$3)</f>
        <v>0</v>
      </c>
      <c r="DP32" s="53">
        <f>SUMIFS('MtM Releases'!$H:$H,'MtM Releases'!$G:$G,RESULTADO!$BN32,'MtM Releases'!$F:$F,RESULTADO!$BN29,'MtM Releases'!$D:$D,RESULTADO!DP$3)</f>
        <v>0</v>
      </c>
      <c r="DQ32" s="53">
        <f>SUMIFS('MtM Releases'!$H:$H,'MtM Releases'!$G:$G,RESULTADO!$BN32,'MtM Releases'!$F:$F,RESULTADO!$BN29,'MtM Releases'!$D:$D,RESULTADO!DQ$3)</f>
        <v>0</v>
      </c>
      <c r="DR32" s="53">
        <f>SUMIFS('MtM Releases'!$H:$H,'MtM Releases'!$G:$G,RESULTADO!$BN32,'MtM Releases'!$F:$F,RESULTADO!$BN29,'MtM Releases'!$D:$D,RESULTADO!DR$3)</f>
        <v>0</v>
      </c>
      <c r="DS32" s="53">
        <f>SUMIFS('MtM Releases'!$H:$H,'MtM Releases'!$G:$G,RESULTADO!$BN32,'MtM Releases'!$F:$F,RESULTADO!$BN29,'MtM Releases'!$D:$D,RESULTADO!DS$3)</f>
        <v>0</v>
      </c>
      <c r="DT32" s="53">
        <f>SUMIFS('MtM Releases'!$H:$H,'MtM Releases'!$G:$G,RESULTADO!$BN32,'MtM Releases'!$F:$F,RESULTADO!$BN29,'MtM Releases'!$D:$D,RESULTADO!DT$3)</f>
        <v>0</v>
      </c>
      <c r="DU32" s="53">
        <f>SUMIFS('MtM Releases'!$H:$H,'MtM Releases'!$G:$G,RESULTADO!$BN32,'MtM Releases'!$F:$F,RESULTADO!$BN29,'MtM Releases'!$D:$D,RESULTADO!DU$3)</f>
        <v>0</v>
      </c>
      <c r="DV32" s="63">
        <f>SUMIFS('MtM Releases'!$H:$H,'MtM Releases'!$G:$G,RESULTADO!$BN32,'MtM Releases'!$F:$F,RESULTADO!$BN29,'MtM Releases'!$D:$D,RESULTADO!DV$3)</f>
        <v>0</v>
      </c>
    </row>
    <row r="33" spans="2:134" x14ac:dyDescent="0.25">
      <c r="B33" s="57" t="s">
        <v>11</v>
      </c>
      <c r="C33" s="60">
        <f>(SUMIFS(MtM!$M:$M,MtM!$I:$I,RESULTADO!$B33,MtM!$H:$H,RESULTADO!$B$29,MtM!$E:$E,RESULTADO!C$3)-SUMIFS(MtM!$N:$N,MtM!$I:$I,RESULTADO!$B33,MtM!$H:$H,RESULTADO!$B$29,MtM!$E:$E,RESULTADO!C$3))</f>
        <v>0</v>
      </c>
      <c r="D33" s="60">
        <f>(SUMIFS(MtM!$M:$M,MtM!$I:$I,RESULTADO!$B33,MtM!$H:$H,RESULTADO!$B$29,MtM!$E:$E,RESULTADO!D$3)-SUMIFS(MtM!$N:$N,MtM!$I:$I,RESULTADO!$B33,MtM!$H:$H,RESULTADO!$B$29,MtM!$E:$E,RESULTADO!D$3))</f>
        <v>0</v>
      </c>
      <c r="E33" s="60">
        <f>(SUMIFS(MtM!$M:$M,MtM!$I:$I,RESULTADO!$B33,MtM!$H:$H,RESULTADO!$B$29,MtM!$E:$E,RESULTADO!E$3)-SUMIFS(MtM!$N:$N,MtM!$I:$I,RESULTADO!$B33,MtM!$H:$H,RESULTADO!$B$29,MtM!$E:$E,RESULTADO!E$3))</f>
        <v>0</v>
      </c>
      <c r="F33" s="60">
        <f>(SUMIFS(MtM!$M:$M,MtM!$I:$I,RESULTADO!$B33,MtM!$H:$H,RESULTADO!$B$29,MtM!$E:$E,RESULTADO!F$3)-SUMIFS(MtM!$N:$N,MtM!$I:$I,RESULTADO!$B33,MtM!$H:$H,RESULTADO!$B$29,MtM!$E:$E,RESULTADO!F$3))</f>
        <v>0</v>
      </c>
      <c r="G33" s="60">
        <f>(SUMIFS(MtM!$M:$M,MtM!$I:$I,RESULTADO!$B33,MtM!$H:$H,RESULTADO!$B$29,MtM!$E:$E,RESULTADO!G$3)-SUMIFS(MtM!$N:$N,MtM!$I:$I,RESULTADO!$B33,MtM!$H:$H,RESULTADO!$B$29,MtM!$E:$E,RESULTADO!G$3))</f>
        <v>0</v>
      </c>
      <c r="H33" s="60">
        <f>(SUMIFS(MtM!$M:$M,MtM!$I:$I,RESULTADO!$B33,MtM!$H:$H,RESULTADO!$B$29,MtM!$E:$E,RESULTADO!H$3)-SUMIFS(MtM!$N:$N,MtM!$I:$I,RESULTADO!$B33,MtM!$H:$H,RESULTADO!$B$29,MtM!$E:$E,RESULTADO!H$3))</f>
        <v>0</v>
      </c>
      <c r="I33" s="60">
        <f>(SUMIFS(MtM!$M:$M,MtM!$I:$I,RESULTADO!$B33,MtM!$H:$H,RESULTADO!$B$29,MtM!$E:$E,RESULTADO!I$3)-SUMIFS(MtM!$N:$N,MtM!$I:$I,RESULTADO!$B33,MtM!$H:$H,RESULTADO!$B$29,MtM!$E:$E,RESULTADO!I$3))</f>
        <v>0</v>
      </c>
      <c r="J33" s="60">
        <f>(SUMIFS(MtM!$M:$M,MtM!$I:$I,RESULTADO!$B33,MtM!$H:$H,RESULTADO!$B$29,MtM!$E:$E,RESULTADO!J$3)-SUMIFS(MtM!$N:$N,MtM!$I:$I,RESULTADO!$B33,MtM!$H:$H,RESULTADO!$B$29,MtM!$E:$E,RESULTADO!J$3))</f>
        <v>0</v>
      </c>
      <c r="K33" s="60">
        <f>(SUMIFS(MtM!$M:$M,MtM!$I:$I,RESULTADO!$B33,MtM!$H:$H,RESULTADO!$B$29,MtM!$E:$E,RESULTADO!K$3)-SUMIFS(MtM!$N:$N,MtM!$I:$I,RESULTADO!$B33,MtM!$H:$H,RESULTADO!$B$29,MtM!$E:$E,RESULTADO!K$3))</f>
        <v>0</v>
      </c>
      <c r="L33" s="60">
        <f>(SUMIFS(MtM!$M:$M,MtM!$I:$I,RESULTADO!$B33,MtM!$H:$H,RESULTADO!$B$29,MtM!$E:$E,RESULTADO!L$3)-SUMIFS(MtM!$N:$N,MtM!$I:$I,RESULTADO!$B33,MtM!$H:$H,RESULTADO!$B$29,MtM!$E:$E,RESULTADO!L$3))</f>
        <v>0</v>
      </c>
      <c r="M33" s="60">
        <f>(SUMIFS(MtM!$M:$M,MtM!$I:$I,RESULTADO!$B33,MtM!$H:$H,RESULTADO!$B$29,MtM!$E:$E,RESULTADO!M$3)-SUMIFS(MtM!$N:$N,MtM!$I:$I,RESULTADO!$B33,MtM!$H:$H,RESULTADO!$B$29,MtM!$E:$E,RESULTADO!M$3))</f>
        <v>0</v>
      </c>
      <c r="N33" s="54">
        <f>(SUMIFS(MtM!$M:$M,MtM!$I:$I,RESULTADO!$B33,MtM!$H:$H,RESULTADO!$B$29,MtM!$E:$E,RESULTADO!N$3)-SUMIFS(MtM!$N:$N,MtM!$I:$I,RESULTADO!$B33,MtM!$H:$H,RESULTADO!$B$29,MtM!$E:$E,RESULTADO!N$3))</f>
        <v>0</v>
      </c>
      <c r="O33" s="60">
        <f>(SUMIFS(MtM!$M:$M,MtM!$I:$I,RESULTADO!$B33,MtM!$H:$H,RESULTADO!$B$29,MtM!$E:$E,RESULTADO!O$3)-SUMIFS(MtM!$N:$N,MtM!$I:$I,RESULTADO!$B33,MtM!$H:$H,RESULTADO!$B$29,MtM!$E:$E,RESULTADO!O$3))</f>
        <v>0</v>
      </c>
      <c r="P33" s="60">
        <f>(SUMIFS(MtM!$M:$M,MtM!$I:$I,RESULTADO!$B33,MtM!$H:$H,RESULTADO!$B$29,MtM!$E:$E,RESULTADO!P$3)-SUMIFS(MtM!$N:$N,MtM!$I:$I,RESULTADO!$B33,MtM!$H:$H,RESULTADO!$B$29,MtM!$E:$E,RESULTADO!P$3))</f>
        <v>0</v>
      </c>
      <c r="Q33" s="60">
        <f>(SUMIFS(MtM!$M:$M,MtM!$I:$I,RESULTADO!$B33,MtM!$H:$H,RESULTADO!$B$29,MtM!$E:$E,RESULTADO!Q$3)-SUMIFS(MtM!$N:$N,MtM!$I:$I,RESULTADO!$B33,MtM!$H:$H,RESULTADO!$B$29,MtM!$E:$E,RESULTADO!Q$3))</f>
        <v>0</v>
      </c>
      <c r="R33" s="60">
        <f>(SUMIFS(MtM!$M:$M,MtM!$I:$I,RESULTADO!$B33,MtM!$H:$H,RESULTADO!$B$29,MtM!$E:$E,RESULTADO!R$3)-SUMIFS(MtM!$N:$N,MtM!$I:$I,RESULTADO!$B33,MtM!$H:$H,RESULTADO!$B$29,MtM!$E:$E,RESULTADO!R$3))</f>
        <v>0</v>
      </c>
      <c r="S33" s="60">
        <f>(SUMIFS(MtM!$M:$M,MtM!$I:$I,RESULTADO!$B33,MtM!$H:$H,RESULTADO!$B$29,MtM!$E:$E,RESULTADO!S$3)-SUMIFS(MtM!$N:$N,MtM!$I:$I,RESULTADO!$B33,MtM!$H:$H,RESULTADO!$B$29,MtM!$E:$E,RESULTADO!S$3))</f>
        <v>0</v>
      </c>
      <c r="T33" s="60">
        <f>(SUMIFS(MtM!$M:$M,MtM!$I:$I,RESULTADO!$B33,MtM!$H:$H,RESULTADO!$B$29,MtM!$E:$E,RESULTADO!T$3)-SUMIFS(MtM!$N:$N,MtM!$I:$I,RESULTADO!$B33,MtM!$H:$H,RESULTADO!$B$29,MtM!$E:$E,RESULTADO!T$3))</f>
        <v>0</v>
      </c>
      <c r="U33" s="60">
        <f>(SUMIFS(MtM!$M:$M,MtM!$I:$I,RESULTADO!$B33,MtM!$H:$H,RESULTADO!$B$29,MtM!$E:$E,RESULTADO!U$3)-SUMIFS(MtM!$N:$N,MtM!$I:$I,RESULTADO!$B33,MtM!$H:$H,RESULTADO!$B$29,MtM!$E:$E,RESULTADO!U$3))</f>
        <v>0</v>
      </c>
      <c r="V33" s="60">
        <f>(SUMIFS(MtM!$M:$M,MtM!$I:$I,RESULTADO!$B33,MtM!$H:$H,RESULTADO!$B$29,MtM!$E:$E,RESULTADO!V$3)-SUMIFS(MtM!$N:$N,MtM!$I:$I,RESULTADO!$B33,MtM!$H:$H,RESULTADO!$B$29,MtM!$E:$E,RESULTADO!V$3))</f>
        <v>0</v>
      </c>
      <c r="W33" s="60">
        <f>(SUMIFS(MtM!$M:$M,MtM!$I:$I,RESULTADO!$B33,MtM!$H:$H,RESULTADO!$B$29,MtM!$E:$E,RESULTADO!W$3)-SUMIFS(MtM!$N:$N,MtM!$I:$I,RESULTADO!$B33,MtM!$H:$H,RESULTADO!$B$29,MtM!$E:$E,RESULTADO!W$3))</f>
        <v>0</v>
      </c>
      <c r="X33" s="60">
        <f>(SUMIFS(MtM!$M:$M,MtM!$I:$I,RESULTADO!$B33,MtM!$H:$H,RESULTADO!$B$29,MtM!$E:$E,RESULTADO!X$3)-SUMIFS(MtM!$N:$N,MtM!$I:$I,RESULTADO!$B33,MtM!$H:$H,RESULTADO!$B$29,MtM!$E:$E,RESULTADO!X$3))</f>
        <v>0</v>
      </c>
      <c r="Y33" s="60">
        <f>(SUMIFS(MtM!$M:$M,MtM!$I:$I,RESULTADO!$B33,MtM!$H:$H,RESULTADO!$B$29,MtM!$E:$E,RESULTADO!Y$3)-SUMIFS(MtM!$N:$N,MtM!$I:$I,RESULTADO!$B33,MtM!$H:$H,RESULTADO!$B$29,MtM!$E:$E,RESULTADO!Y$3))</f>
        <v>0</v>
      </c>
      <c r="Z33" s="63">
        <f>(SUMIFS(MtM!$M:$M,MtM!$I:$I,RESULTADO!$B33,MtM!$H:$H,RESULTADO!$B$29,MtM!$E:$E,RESULTADO!Z$3)-SUMIFS(MtM!$N:$N,MtM!$I:$I,RESULTADO!$B33,MtM!$H:$H,RESULTADO!$B$29,MtM!$E:$E,RESULTADO!Z$3))</f>
        <v>0</v>
      </c>
      <c r="AA33" s="60">
        <f>(SUMIFS(MtM!$M:$M,MtM!$I:$I,RESULTADO!$B33,MtM!$H:$H,RESULTADO!$B$29,MtM!$E:$E,RESULTADO!AA$3)-SUMIFS(MtM!$N:$N,MtM!$I:$I,RESULTADO!$B33,MtM!$H:$H,RESULTADO!$B$29,MtM!$E:$E,RESULTADO!AA$3))</f>
        <v>0</v>
      </c>
      <c r="AB33" s="60">
        <f>(SUMIFS(MtM!$M:$M,MtM!$I:$I,RESULTADO!$B33,MtM!$H:$H,RESULTADO!$B$29,MtM!$E:$E,RESULTADO!AB$3)-SUMIFS(MtM!$N:$N,MtM!$I:$I,RESULTADO!$B33,MtM!$H:$H,RESULTADO!$B$29,MtM!$E:$E,RESULTADO!AB$3))</f>
        <v>0</v>
      </c>
      <c r="AC33" s="60">
        <f>(SUMIFS(MtM!$M:$M,MtM!$I:$I,RESULTADO!$B33,MtM!$H:$H,RESULTADO!$B$29,MtM!$E:$E,RESULTADO!AC$3)-SUMIFS(MtM!$N:$N,MtM!$I:$I,RESULTADO!$B33,MtM!$H:$H,RESULTADO!$B$29,MtM!$E:$E,RESULTADO!AC$3))</f>
        <v>0</v>
      </c>
      <c r="AD33" s="60">
        <f>(SUMIFS(MtM!$M:$M,MtM!$I:$I,RESULTADO!$B33,MtM!$H:$H,RESULTADO!$B$29,MtM!$E:$E,RESULTADO!AD$3)-SUMIFS(MtM!$N:$N,MtM!$I:$I,RESULTADO!$B33,MtM!$H:$H,RESULTADO!$B$29,MtM!$E:$E,RESULTADO!AD$3))</f>
        <v>0</v>
      </c>
      <c r="AE33" s="60">
        <f>(SUMIFS(MtM!$M:$M,MtM!$I:$I,RESULTADO!$B33,MtM!$H:$H,RESULTADO!$B$29,MtM!$E:$E,RESULTADO!AE$3)-SUMIFS(MtM!$N:$N,MtM!$I:$I,RESULTADO!$B33,MtM!$H:$H,RESULTADO!$B$29,MtM!$E:$E,RESULTADO!AE$3))</f>
        <v>0</v>
      </c>
      <c r="AF33" s="60">
        <f>(SUMIFS(MtM!$M:$M,MtM!$I:$I,RESULTADO!$B33,MtM!$H:$H,RESULTADO!$B$29,MtM!$E:$E,RESULTADO!AF$3)-SUMIFS(MtM!$N:$N,MtM!$I:$I,RESULTADO!$B33,MtM!$H:$H,RESULTADO!$B$29,MtM!$E:$E,RESULTADO!AF$3))</f>
        <v>0</v>
      </c>
      <c r="AG33" s="60">
        <f>(SUMIFS(MtM!$M:$M,MtM!$I:$I,RESULTADO!$B33,MtM!$H:$H,RESULTADO!$B$29,MtM!$E:$E,RESULTADO!AG$3)-SUMIFS(MtM!$N:$N,MtM!$I:$I,RESULTADO!$B33,MtM!$H:$H,RESULTADO!$B$29,MtM!$E:$E,RESULTADO!AG$3))</f>
        <v>0</v>
      </c>
      <c r="AH33" s="60">
        <f>(SUMIFS(MtM!$M:$M,MtM!$I:$I,RESULTADO!$B33,MtM!$H:$H,RESULTADO!$B$29,MtM!$E:$E,RESULTADO!AH$3)-SUMIFS(MtM!$N:$N,MtM!$I:$I,RESULTADO!$B33,MtM!$H:$H,RESULTADO!$B$29,MtM!$E:$E,RESULTADO!AH$3))</f>
        <v>0</v>
      </c>
      <c r="AI33" s="60">
        <f>(SUMIFS(MtM!$M:$M,MtM!$I:$I,RESULTADO!$B33,MtM!$H:$H,RESULTADO!$B$29,MtM!$E:$E,RESULTADO!AI$3)-SUMIFS(MtM!$N:$N,MtM!$I:$I,RESULTADO!$B33,MtM!$H:$H,RESULTADO!$B$29,MtM!$E:$E,RESULTADO!AI$3))</f>
        <v>0</v>
      </c>
      <c r="AJ33" s="60">
        <f>(SUMIFS(MtM!$M:$M,MtM!$I:$I,RESULTADO!$B33,MtM!$H:$H,RESULTADO!$B$29,MtM!$E:$E,RESULTADO!AJ$3)-SUMIFS(MtM!$N:$N,MtM!$I:$I,RESULTADO!$B33,MtM!$H:$H,RESULTADO!$B$29,MtM!$E:$E,RESULTADO!AJ$3))</f>
        <v>0</v>
      </c>
      <c r="AK33" s="60">
        <f>(SUMIFS(MtM!$M:$M,MtM!$I:$I,RESULTADO!$B33,MtM!$H:$H,RESULTADO!$B$29,MtM!$E:$E,RESULTADO!AK$3)-SUMIFS(MtM!$N:$N,MtM!$I:$I,RESULTADO!$B33,MtM!$H:$H,RESULTADO!$B$29,MtM!$E:$E,RESULTADO!AK$3))</f>
        <v>0</v>
      </c>
      <c r="AL33" s="54">
        <f>(SUMIFS(MtM!$M:$M,MtM!$I:$I,RESULTADO!$B33,MtM!$H:$H,RESULTADO!$B$29,MtM!$E:$E,RESULTADO!AL$3)-SUMIFS(MtM!$N:$N,MtM!$I:$I,RESULTADO!$B33,MtM!$H:$H,RESULTADO!$B$29,MtM!$E:$E,RESULTADO!AL$3))</f>
        <v>0</v>
      </c>
      <c r="AM33" s="60">
        <f>(SUMIFS(MtM!$M:$M,MtM!$I:$I,RESULTADO!$B33,MtM!$H:$H,RESULTADO!$B$29,MtM!$E:$E,RESULTADO!AM$3)-SUMIFS(MtM!$N:$N,MtM!$I:$I,RESULTADO!$B33,MtM!$H:$H,RESULTADO!$B$29,MtM!$E:$E,RESULTADO!AM$3))</f>
        <v>0</v>
      </c>
      <c r="AN33" s="60">
        <f>(SUMIFS(MtM!$M:$M,MtM!$I:$I,RESULTADO!$B33,MtM!$H:$H,RESULTADO!$B$29,MtM!$E:$E,RESULTADO!AN$3)-SUMIFS(MtM!$N:$N,MtM!$I:$I,RESULTADO!$B33,MtM!$H:$H,RESULTADO!$B$29,MtM!$E:$E,RESULTADO!AN$3))</f>
        <v>0</v>
      </c>
      <c r="AO33" s="60">
        <f>(SUMIFS(MtM!$M:$M,MtM!$I:$I,RESULTADO!$B33,MtM!$H:$H,RESULTADO!$B$29,MtM!$E:$E,RESULTADO!AO$3)-SUMIFS(MtM!$N:$N,MtM!$I:$I,RESULTADO!$B33,MtM!$H:$H,RESULTADO!$B$29,MtM!$E:$E,RESULTADO!AO$3))</f>
        <v>0</v>
      </c>
      <c r="AP33" s="60">
        <f>(SUMIFS(MtM!$M:$M,MtM!$I:$I,RESULTADO!$B33,MtM!$H:$H,RESULTADO!$B$29,MtM!$E:$E,RESULTADO!AP$3)-SUMIFS(MtM!$N:$N,MtM!$I:$I,RESULTADO!$B33,MtM!$H:$H,RESULTADO!$B$29,MtM!$E:$E,RESULTADO!AP$3))</f>
        <v>0</v>
      </c>
      <c r="AQ33" s="60">
        <f>(SUMIFS(MtM!$M:$M,MtM!$I:$I,RESULTADO!$B33,MtM!$H:$H,RESULTADO!$B$29,MtM!$E:$E,RESULTADO!AQ$3)-SUMIFS(MtM!$N:$N,MtM!$I:$I,RESULTADO!$B33,MtM!$H:$H,RESULTADO!$B$29,MtM!$E:$E,RESULTADO!AQ$3))</f>
        <v>0</v>
      </c>
      <c r="AR33" s="60">
        <f>(SUMIFS(MtM!$M:$M,MtM!$I:$I,RESULTADO!$B33,MtM!$H:$H,RESULTADO!$B$29,MtM!$E:$E,RESULTADO!AR$3)-SUMIFS(MtM!$N:$N,MtM!$I:$I,RESULTADO!$B33,MtM!$H:$H,RESULTADO!$B$29,MtM!$E:$E,RESULTADO!AR$3))</f>
        <v>0</v>
      </c>
      <c r="AS33" s="60">
        <f>(SUMIFS(MtM!$M:$M,MtM!$I:$I,RESULTADO!$B33,MtM!$H:$H,RESULTADO!$B$29,MtM!$E:$E,RESULTADO!AS$3)-SUMIFS(MtM!$N:$N,MtM!$I:$I,RESULTADO!$B33,MtM!$H:$H,RESULTADO!$B$29,MtM!$E:$E,RESULTADO!AS$3))</f>
        <v>0</v>
      </c>
      <c r="AT33" s="60">
        <f>(SUMIFS(MtM!$M:$M,MtM!$I:$I,RESULTADO!$B33,MtM!$H:$H,RESULTADO!$B$29,MtM!$E:$E,RESULTADO!AT$3)-SUMIFS(MtM!$N:$N,MtM!$I:$I,RESULTADO!$B33,MtM!$H:$H,RESULTADO!$B$29,MtM!$E:$E,RESULTADO!AT$3))</f>
        <v>0</v>
      </c>
      <c r="AU33" s="60">
        <f>(SUMIFS(MtM!$M:$M,MtM!$I:$I,RESULTADO!$B33,MtM!$H:$H,RESULTADO!$B$29,MtM!$E:$E,RESULTADO!AU$3)-SUMIFS(MtM!$N:$N,MtM!$I:$I,RESULTADO!$B33,MtM!$H:$H,RESULTADO!$B$29,MtM!$E:$E,RESULTADO!AU$3))</f>
        <v>0</v>
      </c>
      <c r="AV33" s="60">
        <f>(SUMIFS(MtM!$M:$M,MtM!$I:$I,RESULTADO!$B33,MtM!$H:$H,RESULTADO!$B$29,MtM!$E:$E,RESULTADO!AV$3)-SUMIFS(MtM!$N:$N,MtM!$I:$I,RESULTADO!$B33,MtM!$H:$H,RESULTADO!$B$29,MtM!$E:$E,RESULTADO!AV$3))</f>
        <v>0</v>
      </c>
      <c r="AW33" s="60">
        <f>(SUMIFS(MtM!$M:$M,MtM!$I:$I,RESULTADO!$B33,MtM!$H:$H,RESULTADO!$B$29,MtM!$E:$E,RESULTADO!AW$3)-SUMIFS(MtM!$N:$N,MtM!$I:$I,RESULTADO!$B33,MtM!$H:$H,RESULTADO!$B$29,MtM!$E:$E,RESULTADO!AW$3))</f>
        <v>0</v>
      </c>
      <c r="AX33" s="63">
        <f>(SUMIFS(MtM!$M:$M,MtM!$I:$I,RESULTADO!$B33,MtM!$H:$H,RESULTADO!$B$29,MtM!$E:$E,RESULTADO!AX$3)-SUMIFS(MtM!$N:$N,MtM!$I:$I,RESULTADO!$B33,MtM!$H:$H,RESULTADO!$B$29,MtM!$E:$E,RESULTADO!AX$3))</f>
        <v>0</v>
      </c>
      <c r="AY33" s="60">
        <f>(SUMIFS(MtM!$M:$M,MtM!$I:$I,RESULTADO!$B33,MtM!$H:$H,RESULTADO!$B$29,MtM!$E:$E,RESULTADO!AY$3)-SUMIFS(MtM!$N:$N,MtM!$I:$I,RESULTADO!$B33,MtM!$H:$H,RESULTADO!$B$29,MtM!$E:$E,RESULTADO!AY$3))</f>
        <v>0</v>
      </c>
      <c r="AZ33" s="60">
        <f>(SUMIFS(MtM!$M:$M,MtM!$I:$I,RESULTADO!$B33,MtM!$H:$H,RESULTADO!$B$29,MtM!$E:$E,RESULTADO!AZ$3)-SUMIFS(MtM!$N:$N,MtM!$I:$I,RESULTADO!$B33,MtM!$H:$H,RESULTADO!$B$29,MtM!$E:$E,RESULTADO!AZ$3))</f>
        <v>0</v>
      </c>
      <c r="BA33" s="60">
        <f>(SUMIFS(MtM!$M:$M,MtM!$I:$I,RESULTADO!$B33,MtM!$H:$H,RESULTADO!$B$29,MtM!$E:$E,RESULTADO!BA$3)-SUMIFS(MtM!$N:$N,MtM!$I:$I,RESULTADO!$B33,MtM!$H:$H,RESULTADO!$B$29,MtM!$E:$E,RESULTADO!BA$3))</f>
        <v>0</v>
      </c>
      <c r="BB33" s="60">
        <f>(SUMIFS(MtM!$M:$M,MtM!$I:$I,RESULTADO!$B33,MtM!$H:$H,RESULTADO!$B$29,MtM!$E:$E,RESULTADO!BB$3)-SUMIFS(MtM!$N:$N,MtM!$I:$I,RESULTADO!$B33,MtM!$H:$H,RESULTADO!$B$29,MtM!$E:$E,RESULTADO!BB$3))</f>
        <v>0</v>
      </c>
      <c r="BC33" s="60">
        <f>(SUMIFS(MtM!$M:$M,MtM!$I:$I,RESULTADO!$B33,MtM!$H:$H,RESULTADO!$B$29,MtM!$E:$E,RESULTADO!BC$3)-SUMIFS(MtM!$N:$N,MtM!$I:$I,RESULTADO!$B33,MtM!$H:$H,RESULTADO!$B$29,MtM!$E:$E,RESULTADO!BC$3))</f>
        <v>0</v>
      </c>
      <c r="BD33" s="60">
        <f>(SUMIFS(MtM!$M:$M,MtM!$I:$I,RESULTADO!$B33,MtM!$H:$H,RESULTADO!$B$29,MtM!$E:$E,RESULTADO!BD$3)-SUMIFS(MtM!$N:$N,MtM!$I:$I,RESULTADO!$B33,MtM!$H:$H,RESULTADO!$B$29,MtM!$E:$E,RESULTADO!BD$3))</f>
        <v>0</v>
      </c>
      <c r="BE33" s="60">
        <f>(SUMIFS(MtM!$M:$M,MtM!$I:$I,RESULTADO!$B33,MtM!$H:$H,RESULTADO!$B$29,MtM!$E:$E,RESULTADO!BE$3)-SUMIFS(MtM!$N:$N,MtM!$I:$I,RESULTADO!$B33,MtM!$H:$H,RESULTADO!$B$29,MtM!$E:$E,RESULTADO!BE$3))</f>
        <v>0</v>
      </c>
      <c r="BF33" s="60">
        <f>(SUMIFS(MtM!$M:$M,MtM!$I:$I,RESULTADO!$B33,MtM!$H:$H,RESULTADO!$B$29,MtM!$E:$E,RESULTADO!BF$3)-SUMIFS(MtM!$N:$N,MtM!$I:$I,RESULTADO!$B33,MtM!$H:$H,RESULTADO!$B$29,MtM!$E:$E,RESULTADO!BF$3))</f>
        <v>0</v>
      </c>
      <c r="BG33" s="60">
        <f>(SUMIFS(MtM!$M:$M,MtM!$I:$I,RESULTADO!$B33,MtM!$H:$H,RESULTADO!$B$29,MtM!$E:$E,RESULTADO!BG$3)-SUMIFS(MtM!$N:$N,MtM!$I:$I,RESULTADO!$B33,MtM!$H:$H,RESULTADO!$B$29,MtM!$E:$E,RESULTADO!BG$3))</f>
        <v>0</v>
      </c>
      <c r="BH33" s="60">
        <f>(SUMIFS(MtM!$M:$M,MtM!$I:$I,RESULTADO!$B33,MtM!$H:$H,RESULTADO!$B$29,MtM!$E:$E,RESULTADO!BH$3)-SUMIFS(MtM!$N:$N,MtM!$I:$I,RESULTADO!$B33,MtM!$H:$H,RESULTADO!$B$29,MtM!$E:$E,RESULTADO!BH$3))</f>
        <v>0</v>
      </c>
      <c r="BI33" s="60">
        <f>(SUMIFS(MtM!$M:$M,MtM!$I:$I,RESULTADO!$B33,MtM!$H:$H,RESULTADO!$B$29,MtM!$E:$E,RESULTADO!BI$3)-SUMIFS(MtM!$N:$N,MtM!$I:$I,RESULTADO!$B33,MtM!$H:$H,RESULTADO!$B$29,MtM!$E:$E,RESULTADO!BI$3))</f>
        <v>0</v>
      </c>
      <c r="BJ33" s="63">
        <f>(SUMIFS(MtM!$M:$M,MtM!$I:$I,RESULTADO!$B33,MtM!$H:$H,RESULTADO!$B$29,MtM!$E:$E,RESULTADO!BJ$3)-SUMIFS(MtM!$N:$N,MtM!$I:$I,RESULTADO!$B33,MtM!$H:$H,RESULTADO!$B$29,MtM!$E:$E,RESULTADO!BJ$3))</f>
        <v>0</v>
      </c>
      <c r="BL33" s="120"/>
      <c r="BN33" s="57" t="s">
        <v>11</v>
      </c>
      <c r="BO33" s="60">
        <f>SUMIFS('MtM Releases'!$H:$H,'MtM Releases'!$G:$G,RESULTADO!$BN33,'MtM Releases'!$F:$F,RESULTADO!$BN29,'MtM Releases'!$D:$D,RESULTADO!BO$3)</f>
        <v>0</v>
      </c>
      <c r="BP33" s="60">
        <f>SUMIFS('MtM Releases'!$H:$H,'MtM Releases'!$G:$G,RESULTADO!$BN33,'MtM Releases'!$F:$F,RESULTADO!$BN29,'MtM Releases'!$D:$D,RESULTADO!BP$3)</f>
        <v>0</v>
      </c>
      <c r="BQ33" s="60">
        <f>SUMIFS('MtM Releases'!$H:$H,'MtM Releases'!$G:$G,RESULTADO!$BN33,'MtM Releases'!$F:$F,RESULTADO!$BN29,'MtM Releases'!$D:$D,RESULTADO!BQ$3)</f>
        <v>0</v>
      </c>
      <c r="BR33" s="60">
        <f>SUMIFS('MtM Releases'!$H:$H,'MtM Releases'!$G:$G,RESULTADO!$BN33,'MtM Releases'!$F:$F,RESULTADO!$BN29,'MtM Releases'!$D:$D,RESULTADO!BR$3)</f>
        <v>0</v>
      </c>
      <c r="BS33" s="60">
        <f>SUMIFS('MtM Releases'!$H:$H,'MtM Releases'!$G:$G,RESULTADO!$BN33,'MtM Releases'!$F:$F,RESULTADO!$BN29,'MtM Releases'!$D:$D,RESULTADO!BS$3)</f>
        <v>0</v>
      </c>
      <c r="BT33" s="60">
        <f>SUMIFS('MtM Releases'!$H:$H,'MtM Releases'!$G:$G,RESULTADO!$BN33,'MtM Releases'!$F:$F,RESULTADO!$BN29,'MtM Releases'!$D:$D,RESULTADO!BT$3)</f>
        <v>0</v>
      </c>
      <c r="BU33" s="60">
        <f>SUMIFS('MtM Releases'!$H:$H,'MtM Releases'!$G:$G,RESULTADO!$BN33,'MtM Releases'!$F:$F,RESULTADO!$BN29,'MtM Releases'!$D:$D,RESULTADO!BU$3)</f>
        <v>0</v>
      </c>
      <c r="BV33" s="60">
        <f>SUMIFS('MtM Releases'!$H:$H,'MtM Releases'!$G:$G,RESULTADO!$BN33,'MtM Releases'!$F:$F,RESULTADO!$BN29,'MtM Releases'!$D:$D,RESULTADO!BV$3)</f>
        <v>0</v>
      </c>
      <c r="BW33" s="60">
        <f>SUMIFS('MtM Releases'!$H:$H,'MtM Releases'!$G:$G,RESULTADO!$BN33,'MtM Releases'!$F:$F,RESULTADO!$BN29,'MtM Releases'!$D:$D,RESULTADO!BW$3)</f>
        <v>0</v>
      </c>
      <c r="BX33" s="60">
        <f>SUMIFS('MtM Releases'!$H:$H,'MtM Releases'!$G:$G,RESULTADO!$BN33,'MtM Releases'!$F:$F,RESULTADO!$BN29,'MtM Releases'!$D:$D,RESULTADO!BX$3)</f>
        <v>0</v>
      </c>
      <c r="BY33" s="60">
        <f>SUMIFS('MtM Releases'!$H:$H,'MtM Releases'!$G:$G,RESULTADO!$BN33,'MtM Releases'!$F:$F,RESULTADO!$BN29,'MtM Releases'!$D:$D,RESULTADO!BY$3)</f>
        <v>0</v>
      </c>
      <c r="BZ33" s="54">
        <f>SUMIFS('MtM Releases'!$H:$H,'MtM Releases'!$G:$G,RESULTADO!$BN33,'MtM Releases'!$F:$F,RESULTADO!$BN29,'MtM Releases'!$D:$D,RESULTADO!BZ$3)</f>
        <v>0</v>
      </c>
      <c r="CA33" s="60">
        <f>SUMIFS('MtM Releases'!$H:$H,'MtM Releases'!$G:$G,RESULTADO!$BN33,'MtM Releases'!$F:$F,RESULTADO!$BN29,'MtM Releases'!$D:$D,RESULTADO!CA$3)</f>
        <v>0</v>
      </c>
      <c r="CB33" s="60">
        <f>SUMIFS('MtM Releases'!$H:$H,'MtM Releases'!$G:$G,RESULTADO!$BN33,'MtM Releases'!$F:$F,RESULTADO!$BN29,'MtM Releases'!$D:$D,RESULTADO!CB$3)</f>
        <v>0</v>
      </c>
      <c r="CC33" s="60">
        <f>SUMIFS('MtM Releases'!$H:$H,'MtM Releases'!$G:$G,RESULTADO!$BN33,'MtM Releases'!$F:$F,RESULTADO!$BN29,'MtM Releases'!$D:$D,RESULTADO!CC$3)</f>
        <v>0</v>
      </c>
      <c r="CD33" s="60">
        <f>SUMIFS('MtM Releases'!$H:$H,'MtM Releases'!$G:$G,RESULTADO!$BN33,'MtM Releases'!$F:$F,RESULTADO!$BN29,'MtM Releases'!$D:$D,RESULTADO!CD$3)</f>
        <v>0</v>
      </c>
      <c r="CE33" s="60">
        <f>SUMIFS('MtM Releases'!$H:$H,'MtM Releases'!$G:$G,RESULTADO!$BN33,'MtM Releases'!$F:$F,RESULTADO!$BN29,'MtM Releases'!$D:$D,RESULTADO!CE$3)</f>
        <v>0</v>
      </c>
      <c r="CF33" s="60">
        <f>SUMIFS('MtM Releases'!$H:$H,'MtM Releases'!$G:$G,RESULTADO!$BN33,'MtM Releases'!$F:$F,RESULTADO!$BN29,'MtM Releases'!$D:$D,RESULTADO!CF$3)</f>
        <v>0</v>
      </c>
      <c r="CG33" s="60">
        <f>SUMIFS('MtM Releases'!$H:$H,'MtM Releases'!$G:$G,RESULTADO!$BN33,'MtM Releases'!$F:$F,RESULTADO!$BN29,'MtM Releases'!$D:$D,RESULTADO!CG$3)</f>
        <v>0</v>
      </c>
      <c r="CH33" s="60">
        <f>SUMIFS('MtM Releases'!$H:$H,'MtM Releases'!$G:$G,RESULTADO!$BN33,'MtM Releases'!$F:$F,RESULTADO!$BN29,'MtM Releases'!$D:$D,RESULTADO!CH$3)</f>
        <v>0</v>
      </c>
      <c r="CI33" s="60">
        <f>SUMIFS('MtM Releases'!$H:$H,'MtM Releases'!$G:$G,RESULTADO!$BN33,'MtM Releases'!$F:$F,RESULTADO!$BN29,'MtM Releases'!$D:$D,RESULTADO!CI$3)</f>
        <v>0</v>
      </c>
      <c r="CJ33" s="60">
        <f>SUMIFS('MtM Releases'!$H:$H,'MtM Releases'!$G:$G,RESULTADO!$BN33,'MtM Releases'!$F:$F,RESULTADO!$BN29,'MtM Releases'!$D:$D,RESULTADO!CJ$3)</f>
        <v>0</v>
      </c>
      <c r="CK33" s="60">
        <f>SUMIFS('MtM Releases'!$H:$H,'MtM Releases'!$G:$G,RESULTADO!$BN33,'MtM Releases'!$F:$F,RESULTADO!$BN29,'MtM Releases'!$D:$D,RESULTADO!CK$3)</f>
        <v>0</v>
      </c>
      <c r="CL33" s="63">
        <f>SUMIFS('MtM Releases'!$H:$H,'MtM Releases'!$G:$G,RESULTADO!$BN33,'MtM Releases'!$F:$F,RESULTADO!$BN29,'MtM Releases'!$D:$D,RESULTADO!CL$3)</f>
        <v>0</v>
      </c>
      <c r="CM33" s="60">
        <f>SUMIFS('MtM Releases'!$H:$H,'MtM Releases'!$G:$G,RESULTADO!$BN33,'MtM Releases'!$F:$F,RESULTADO!$BN29,'MtM Releases'!$D:$D,RESULTADO!CM$3)</f>
        <v>0</v>
      </c>
      <c r="CN33" s="60">
        <f>SUMIFS('MtM Releases'!$H:$H,'MtM Releases'!$G:$G,RESULTADO!$BN33,'MtM Releases'!$F:$F,RESULTADO!$BN29,'MtM Releases'!$D:$D,RESULTADO!CN$3)</f>
        <v>0</v>
      </c>
      <c r="CO33" s="60">
        <f>SUMIFS('MtM Releases'!$H:$H,'MtM Releases'!$G:$G,RESULTADO!$BN33,'MtM Releases'!$F:$F,RESULTADO!$BN29,'MtM Releases'!$D:$D,RESULTADO!CO$3)</f>
        <v>0</v>
      </c>
      <c r="CP33" s="60">
        <f>SUMIFS('MtM Releases'!$H:$H,'MtM Releases'!$G:$G,RESULTADO!$BN33,'MtM Releases'!$F:$F,RESULTADO!$BN29,'MtM Releases'!$D:$D,RESULTADO!CP$3)</f>
        <v>0</v>
      </c>
      <c r="CQ33" s="60">
        <f>SUMIFS('MtM Releases'!$H:$H,'MtM Releases'!$G:$G,RESULTADO!$BN33,'MtM Releases'!$F:$F,RESULTADO!$BN29,'MtM Releases'!$D:$D,RESULTADO!CQ$3)</f>
        <v>0</v>
      </c>
      <c r="CR33" s="60">
        <f>SUMIFS('MtM Releases'!$H:$H,'MtM Releases'!$G:$G,RESULTADO!$BN33,'MtM Releases'!$F:$F,RESULTADO!$BN29,'MtM Releases'!$D:$D,RESULTADO!CR$3)</f>
        <v>0</v>
      </c>
      <c r="CS33" s="60">
        <f>SUMIFS('MtM Releases'!$H:$H,'MtM Releases'!$G:$G,RESULTADO!$BN33,'MtM Releases'!$F:$F,RESULTADO!$BN29,'MtM Releases'!$D:$D,RESULTADO!CS$3)</f>
        <v>0</v>
      </c>
      <c r="CT33" s="60">
        <f>SUMIFS('MtM Releases'!$H:$H,'MtM Releases'!$G:$G,RESULTADO!$BN33,'MtM Releases'!$F:$F,RESULTADO!$BN29,'MtM Releases'!$D:$D,RESULTADO!CT$3)</f>
        <v>0</v>
      </c>
      <c r="CU33" s="60">
        <f>SUMIFS('MtM Releases'!$H:$H,'MtM Releases'!$G:$G,RESULTADO!$BN33,'MtM Releases'!$F:$F,RESULTADO!$BN29,'MtM Releases'!$D:$D,RESULTADO!CU$3)</f>
        <v>0</v>
      </c>
      <c r="CV33" s="60">
        <f>SUMIFS('MtM Releases'!$H:$H,'MtM Releases'!$G:$G,RESULTADO!$BN33,'MtM Releases'!$F:$F,RESULTADO!$BN29,'MtM Releases'!$D:$D,RESULTADO!CV$3)</f>
        <v>0</v>
      </c>
      <c r="CW33" s="60">
        <f>SUMIFS('MtM Releases'!$H:$H,'MtM Releases'!$G:$G,RESULTADO!$BN33,'MtM Releases'!$F:$F,RESULTADO!$BN29,'MtM Releases'!$D:$D,RESULTADO!CW$3)</f>
        <v>0</v>
      </c>
      <c r="CX33" s="54">
        <f>SUMIFS('MtM Releases'!$H:$H,'MtM Releases'!$G:$G,RESULTADO!$BN33,'MtM Releases'!$F:$F,RESULTADO!$BN29,'MtM Releases'!$D:$D,RESULTADO!CX$3)</f>
        <v>0</v>
      </c>
      <c r="CY33" s="60">
        <f>SUMIFS('MtM Releases'!$H:$H,'MtM Releases'!$G:$G,RESULTADO!$BN33,'MtM Releases'!$F:$F,RESULTADO!$BN29,'MtM Releases'!$D:$D,RESULTADO!CY$3)</f>
        <v>0</v>
      </c>
      <c r="CZ33" s="60">
        <f>SUMIFS('MtM Releases'!$H:$H,'MtM Releases'!$G:$G,RESULTADO!$BN33,'MtM Releases'!$F:$F,RESULTADO!$BN29,'MtM Releases'!$D:$D,RESULTADO!CZ$3)</f>
        <v>0</v>
      </c>
      <c r="DA33" s="60">
        <f>SUMIFS('MtM Releases'!$H:$H,'MtM Releases'!$G:$G,RESULTADO!$BN33,'MtM Releases'!$F:$F,RESULTADO!$BN29,'MtM Releases'!$D:$D,RESULTADO!DA$3)</f>
        <v>0</v>
      </c>
      <c r="DB33" s="60">
        <f>SUMIFS('MtM Releases'!$H:$H,'MtM Releases'!$G:$G,RESULTADO!$BN33,'MtM Releases'!$F:$F,RESULTADO!$BN29,'MtM Releases'!$D:$D,RESULTADO!DB$3)</f>
        <v>0</v>
      </c>
      <c r="DC33" s="60">
        <f>SUMIFS('MtM Releases'!$H:$H,'MtM Releases'!$G:$G,RESULTADO!$BN33,'MtM Releases'!$F:$F,RESULTADO!$BN29,'MtM Releases'!$D:$D,RESULTADO!DC$3)</f>
        <v>0</v>
      </c>
      <c r="DD33" s="60">
        <f>SUMIFS('MtM Releases'!$H:$H,'MtM Releases'!$G:$G,RESULTADO!$BN33,'MtM Releases'!$F:$F,RESULTADO!$BN29,'MtM Releases'!$D:$D,RESULTADO!DD$3)</f>
        <v>0</v>
      </c>
      <c r="DE33" s="60">
        <f>SUMIFS('MtM Releases'!$H:$H,'MtM Releases'!$G:$G,RESULTADO!$BN33,'MtM Releases'!$F:$F,RESULTADO!$BN29,'MtM Releases'!$D:$D,RESULTADO!DE$3)</f>
        <v>0</v>
      </c>
      <c r="DF33" s="60">
        <f>SUMIFS('MtM Releases'!$H:$H,'MtM Releases'!$G:$G,RESULTADO!$BN33,'MtM Releases'!$F:$F,RESULTADO!$BN29,'MtM Releases'!$D:$D,RESULTADO!DF$3)</f>
        <v>0</v>
      </c>
      <c r="DG33" s="60">
        <f>SUMIFS('MtM Releases'!$H:$H,'MtM Releases'!$G:$G,RESULTADO!$BN33,'MtM Releases'!$F:$F,RESULTADO!$BN29,'MtM Releases'!$D:$D,RESULTADO!DG$3)</f>
        <v>0</v>
      </c>
      <c r="DH33" s="60">
        <f>SUMIFS('MtM Releases'!$H:$H,'MtM Releases'!$G:$G,RESULTADO!$BN33,'MtM Releases'!$F:$F,RESULTADO!$BN29,'MtM Releases'!$D:$D,RESULTADO!DH$3)</f>
        <v>0</v>
      </c>
      <c r="DI33" s="60">
        <f>SUMIFS('MtM Releases'!$H:$H,'MtM Releases'!$G:$G,RESULTADO!$BN33,'MtM Releases'!$F:$F,RESULTADO!$BN29,'MtM Releases'!$D:$D,RESULTADO!DI$3)</f>
        <v>0</v>
      </c>
      <c r="DJ33" s="63">
        <f>SUMIFS('MtM Releases'!$H:$H,'MtM Releases'!$G:$G,RESULTADO!$BN33,'MtM Releases'!$F:$F,RESULTADO!$BN29,'MtM Releases'!$D:$D,RESULTADO!DJ$3)</f>
        <v>0</v>
      </c>
      <c r="DK33" s="60">
        <f>SUMIFS('MtM Releases'!$H:$H,'MtM Releases'!$G:$G,RESULTADO!$BN33,'MtM Releases'!$F:$F,RESULTADO!$BN29,'MtM Releases'!$D:$D,RESULTADO!DK$3)</f>
        <v>0</v>
      </c>
      <c r="DL33" s="60">
        <f>SUMIFS('MtM Releases'!$H:$H,'MtM Releases'!$G:$G,RESULTADO!$BN33,'MtM Releases'!$F:$F,RESULTADO!$BN29,'MtM Releases'!$D:$D,RESULTADO!DL$3)</f>
        <v>0</v>
      </c>
      <c r="DM33" s="60">
        <f>SUMIFS('MtM Releases'!$H:$H,'MtM Releases'!$G:$G,RESULTADO!$BN33,'MtM Releases'!$F:$F,RESULTADO!$BN29,'MtM Releases'!$D:$D,RESULTADO!DM$3)</f>
        <v>0</v>
      </c>
      <c r="DN33" s="60">
        <f>SUMIFS('MtM Releases'!$H:$H,'MtM Releases'!$G:$G,RESULTADO!$BN33,'MtM Releases'!$F:$F,RESULTADO!$BN29,'MtM Releases'!$D:$D,RESULTADO!DN$3)</f>
        <v>0</v>
      </c>
      <c r="DO33" s="60">
        <f>SUMIFS('MtM Releases'!$H:$H,'MtM Releases'!$G:$G,RESULTADO!$BN33,'MtM Releases'!$F:$F,RESULTADO!$BN29,'MtM Releases'!$D:$D,RESULTADO!DO$3)</f>
        <v>0</v>
      </c>
      <c r="DP33" s="60">
        <f>SUMIFS('MtM Releases'!$H:$H,'MtM Releases'!$G:$G,RESULTADO!$BN33,'MtM Releases'!$F:$F,RESULTADO!$BN29,'MtM Releases'!$D:$D,RESULTADO!DP$3)</f>
        <v>0</v>
      </c>
      <c r="DQ33" s="60">
        <f>SUMIFS('MtM Releases'!$H:$H,'MtM Releases'!$G:$G,RESULTADO!$BN33,'MtM Releases'!$F:$F,RESULTADO!$BN29,'MtM Releases'!$D:$D,RESULTADO!DQ$3)</f>
        <v>0</v>
      </c>
      <c r="DR33" s="60">
        <f>SUMIFS('MtM Releases'!$H:$H,'MtM Releases'!$G:$G,RESULTADO!$BN33,'MtM Releases'!$F:$F,RESULTADO!$BN29,'MtM Releases'!$D:$D,RESULTADO!DR$3)</f>
        <v>0</v>
      </c>
      <c r="DS33" s="60">
        <f>SUMIFS('MtM Releases'!$H:$H,'MtM Releases'!$G:$G,RESULTADO!$BN33,'MtM Releases'!$F:$F,RESULTADO!$BN29,'MtM Releases'!$D:$D,RESULTADO!DS$3)</f>
        <v>0</v>
      </c>
      <c r="DT33" s="60">
        <f>SUMIFS('MtM Releases'!$H:$H,'MtM Releases'!$G:$G,RESULTADO!$BN33,'MtM Releases'!$F:$F,RESULTADO!$BN29,'MtM Releases'!$D:$D,RESULTADO!DT$3)</f>
        <v>0</v>
      </c>
      <c r="DU33" s="60">
        <f>SUMIFS('MtM Releases'!$H:$H,'MtM Releases'!$G:$G,RESULTADO!$BN33,'MtM Releases'!$F:$F,RESULTADO!$BN29,'MtM Releases'!$D:$D,RESULTADO!DU$3)</f>
        <v>0</v>
      </c>
      <c r="DV33" s="63">
        <f>SUMIFS('MtM Releases'!$H:$H,'MtM Releases'!$G:$G,RESULTADO!$BN33,'MtM Releases'!$F:$F,RESULTADO!$BN29,'MtM Releases'!$D:$D,RESULTADO!DV$3)</f>
        <v>0</v>
      </c>
    </row>
    <row r="34" spans="2:134" x14ac:dyDescent="0.25">
      <c r="B34" s="61" t="s">
        <v>141</v>
      </c>
      <c r="C34" s="64">
        <f>SUM(C29,C24,C19,C14,C9,C4)</f>
        <v>-85.311999999999983</v>
      </c>
      <c r="D34" s="64">
        <f t="shared" ref="D34:BJ34" si="25">SUM(D29,D24,D19,D14,D9,D4)</f>
        <v>-176.729107</v>
      </c>
      <c r="E34" s="64">
        <f t="shared" si="25"/>
        <v>-267.03999999999996</v>
      </c>
      <c r="F34" s="64">
        <f t="shared" si="25"/>
        <v>-149.1</v>
      </c>
      <c r="G34" s="64">
        <f t="shared" si="25"/>
        <v>-105.10000000000002</v>
      </c>
      <c r="H34" s="64">
        <f t="shared" si="25"/>
        <v>97.311388888888857</v>
      </c>
      <c r="I34" s="64">
        <f t="shared" si="25"/>
        <v>192.15699999999998</v>
      </c>
      <c r="J34" s="64">
        <f t="shared" si="25"/>
        <v>21.800000000000004</v>
      </c>
      <c r="K34" s="64">
        <f t="shared" si="25"/>
        <v>-54.80555499999997</v>
      </c>
      <c r="L34" s="64">
        <f t="shared" si="25"/>
        <v>-143.880728</v>
      </c>
      <c r="M34" s="64">
        <f t="shared" si="25"/>
        <v>-188.76263900000001</v>
      </c>
      <c r="N34" s="65">
        <f t="shared" si="25"/>
        <v>-159.4</v>
      </c>
      <c r="O34" s="64">
        <f t="shared" si="25"/>
        <v>-121.416667</v>
      </c>
      <c r="P34" s="64">
        <f t="shared" si="25"/>
        <v>-109.91666700000002</v>
      </c>
      <c r="Q34" s="64">
        <f t="shared" si="25"/>
        <v>-119.21666700000002</v>
      </c>
      <c r="R34" s="64">
        <f t="shared" si="25"/>
        <v>-91.67</v>
      </c>
      <c r="S34" s="64">
        <f t="shared" si="25"/>
        <v>-76.89</v>
      </c>
      <c r="T34" s="64">
        <f t="shared" si="25"/>
        <v>-20.250000000000004</v>
      </c>
      <c r="U34" s="64">
        <f t="shared" si="25"/>
        <v>-60.75</v>
      </c>
      <c r="V34" s="64">
        <f t="shared" si="25"/>
        <v>-43.75</v>
      </c>
      <c r="W34" s="64">
        <f t="shared" si="25"/>
        <v>-55.75</v>
      </c>
      <c r="X34" s="64">
        <f t="shared" si="25"/>
        <v>-48.25</v>
      </c>
      <c r="Y34" s="64">
        <f t="shared" si="25"/>
        <v>-56.25</v>
      </c>
      <c r="Z34" s="66">
        <f t="shared" si="25"/>
        <v>1.5887100000000032</v>
      </c>
      <c r="AA34" s="64">
        <f t="shared" si="25"/>
        <v>-29</v>
      </c>
      <c r="AB34" s="64">
        <f t="shared" si="25"/>
        <v>-29</v>
      </c>
      <c r="AC34" s="64">
        <f t="shared" si="25"/>
        <v>-29</v>
      </c>
      <c r="AD34" s="64">
        <f t="shared" si="25"/>
        <v>-29</v>
      </c>
      <c r="AE34" s="64">
        <f t="shared" si="25"/>
        <v>-29</v>
      </c>
      <c r="AF34" s="64">
        <f t="shared" si="25"/>
        <v>-29</v>
      </c>
      <c r="AG34" s="64">
        <f t="shared" si="25"/>
        <v>-29</v>
      </c>
      <c r="AH34" s="64">
        <f t="shared" si="25"/>
        <v>-29</v>
      </c>
      <c r="AI34" s="64">
        <f t="shared" si="25"/>
        <v>-29</v>
      </c>
      <c r="AJ34" s="64">
        <f t="shared" si="25"/>
        <v>-29</v>
      </c>
      <c r="AK34" s="64">
        <f t="shared" si="25"/>
        <v>-29</v>
      </c>
      <c r="AL34" s="65">
        <f t="shared" si="25"/>
        <v>-29</v>
      </c>
      <c r="AM34" s="64">
        <f t="shared" si="25"/>
        <v>-35</v>
      </c>
      <c r="AN34" s="64">
        <f t="shared" si="25"/>
        <v>-35</v>
      </c>
      <c r="AO34" s="64">
        <f t="shared" si="25"/>
        <v>-35</v>
      </c>
      <c r="AP34" s="64">
        <f t="shared" si="25"/>
        <v>-35</v>
      </c>
      <c r="AQ34" s="64">
        <f t="shared" si="25"/>
        <v>-35</v>
      </c>
      <c r="AR34" s="64">
        <f t="shared" si="25"/>
        <v>-35</v>
      </c>
      <c r="AS34" s="64">
        <f t="shared" si="25"/>
        <v>-35</v>
      </c>
      <c r="AT34" s="64">
        <f t="shared" si="25"/>
        <v>-35</v>
      </c>
      <c r="AU34" s="64">
        <f t="shared" si="25"/>
        <v>-35</v>
      </c>
      <c r="AV34" s="64">
        <f t="shared" si="25"/>
        <v>-35</v>
      </c>
      <c r="AW34" s="64">
        <f t="shared" si="25"/>
        <v>-35</v>
      </c>
      <c r="AX34" s="66">
        <f t="shared" si="25"/>
        <v>-35</v>
      </c>
      <c r="AY34" s="64">
        <f t="shared" si="25"/>
        <v>0</v>
      </c>
      <c r="AZ34" s="64">
        <f t="shared" si="25"/>
        <v>0</v>
      </c>
      <c r="BA34" s="64">
        <f t="shared" si="25"/>
        <v>0</v>
      </c>
      <c r="BB34" s="64">
        <f t="shared" si="25"/>
        <v>0</v>
      </c>
      <c r="BC34" s="64">
        <f t="shared" si="25"/>
        <v>0</v>
      </c>
      <c r="BD34" s="64">
        <f t="shared" si="25"/>
        <v>0</v>
      </c>
      <c r="BE34" s="64">
        <f t="shared" si="25"/>
        <v>0</v>
      </c>
      <c r="BF34" s="64">
        <f t="shared" si="25"/>
        <v>0</v>
      </c>
      <c r="BG34" s="64">
        <f t="shared" si="25"/>
        <v>0</v>
      </c>
      <c r="BH34" s="64">
        <f t="shared" si="25"/>
        <v>0</v>
      </c>
      <c r="BI34" s="64">
        <f t="shared" si="25"/>
        <v>0</v>
      </c>
      <c r="BJ34" s="66">
        <f t="shared" si="25"/>
        <v>0</v>
      </c>
      <c r="BL34" s="120"/>
      <c r="BN34" s="61" t="s">
        <v>141</v>
      </c>
      <c r="BO34" s="64">
        <f>SUM(BO29,BO24,BO19,BO14,BO9,BO4)</f>
        <v>85.341999999999999</v>
      </c>
      <c r="BP34" s="64">
        <f t="shared" ref="BP34:DV34" si="26">SUM(BP29,BP24,BP19,BP14,BP9,BP4)</f>
        <v>176.75910699999997</v>
      </c>
      <c r="BQ34" s="64">
        <f t="shared" si="26"/>
        <v>247.07</v>
      </c>
      <c r="BR34" s="64">
        <f t="shared" si="26"/>
        <v>119.13</v>
      </c>
      <c r="BS34" s="64">
        <f t="shared" si="26"/>
        <v>96.13</v>
      </c>
      <c r="BT34" s="64">
        <f t="shared" si="26"/>
        <v>-97.281388888888884</v>
      </c>
      <c r="BU34" s="64">
        <f t="shared" si="26"/>
        <v>-192.12700000000001</v>
      </c>
      <c r="BV34" s="64">
        <f t="shared" si="26"/>
        <v>-11.769999999999996</v>
      </c>
      <c r="BW34" s="64">
        <f t="shared" si="26"/>
        <v>54.563333</v>
      </c>
      <c r="BX34" s="64">
        <f t="shared" si="26"/>
        <v>144.79129</v>
      </c>
      <c r="BY34" s="64">
        <f t="shared" si="26"/>
        <v>188.79263899999998</v>
      </c>
      <c r="BZ34" s="65">
        <f t="shared" si="26"/>
        <v>163.93</v>
      </c>
      <c r="CA34" s="64">
        <f t="shared" si="26"/>
        <v>107.75</v>
      </c>
      <c r="CB34" s="64">
        <f t="shared" si="26"/>
        <v>107.05</v>
      </c>
      <c r="CC34" s="64">
        <f t="shared" si="26"/>
        <v>119.05</v>
      </c>
      <c r="CD34" s="64">
        <f t="shared" si="26"/>
        <v>76.25</v>
      </c>
      <c r="CE34" s="64">
        <f t="shared" si="26"/>
        <v>42.25</v>
      </c>
      <c r="CF34" s="64">
        <f t="shared" si="26"/>
        <v>-11.75</v>
      </c>
      <c r="CG34" s="64">
        <f t="shared" si="26"/>
        <v>34.25</v>
      </c>
      <c r="CH34" s="64">
        <f t="shared" si="26"/>
        <v>22.250000000000004</v>
      </c>
      <c r="CI34" s="64">
        <f t="shared" si="26"/>
        <v>34.25</v>
      </c>
      <c r="CJ34" s="64">
        <f t="shared" si="26"/>
        <v>41.25</v>
      </c>
      <c r="CK34" s="64">
        <f t="shared" si="26"/>
        <v>49.25</v>
      </c>
      <c r="CL34" s="66">
        <f t="shared" si="26"/>
        <v>-8.588709999999999</v>
      </c>
      <c r="CM34" s="64">
        <f t="shared" si="26"/>
        <v>15</v>
      </c>
      <c r="CN34" s="64">
        <f t="shared" si="26"/>
        <v>15</v>
      </c>
      <c r="CO34" s="64">
        <f t="shared" si="26"/>
        <v>15</v>
      </c>
      <c r="CP34" s="64">
        <f t="shared" si="26"/>
        <v>15</v>
      </c>
      <c r="CQ34" s="64">
        <f t="shared" si="26"/>
        <v>15</v>
      </c>
      <c r="CR34" s="64">
        <f t="shared" si="26"/>
        <v>15</v>
      </c>
      <c r="CS34" s="64">
        <f t="shared" si="26"/>
        <v>15</v>
      </c>
      <c r="CT34" s="64">
        <f t="shared" si="26"/>
        <v>15</v>
      </c>
      <c r="CU34" s="64">
        <f t="shared" si="26"/>
        <v>15</v>
      </c>
      <c r="CV34" s="64">
        <f t="shared" si="26"/>
        <v>15</v>
      </c>
      <c r="CW34" s="64">
        <f t="shared" si="26"/>
        <v>15</v>
      </c>
      <c r="CX34" s="65">
        <f t="shared" si="26"/>
        <v>15</v>
      </c>
      <c r="CY34" s="64">
        <f t="shared" si="26"/>
        <v>35</v>
      </c>
      <c r="CZ34" s="64">
        <f t="shared" si="26"/>
        <v>35</v>
      </c>
      <c r="DA34" s="64">
        <f t="shared" si="26"/>
        <v>35</v>
      </c>
      <c r="DB34" s="64">
        <f t="shared" si="26"/>
        <v>35</v>
      </c>
      <c r="DC34" s="64">
        <f t="shared" si="26"/>
        <v>35</v>
      </c>
      <c r="DD34" s="64">
        <f t="shared" si="26"/>
        <v>35</v>
      </c>
      <c r="DE34" s="64">
        <f t="shared" si="26"/>
        <v>35</v>
      </c>
      <c r="DF34" s="64">
        <f t="shared" si="26"/>
        <v>35</v>
      </c>
      <c r="DG34" s="64">
        <f t="shared" si="26"/>
        <v>35</v>
      </c>
      <c r="DH34" s="64">
        <f t="shared" si="26"/>
        <v>35</v>
      </c>
      <c r="DI34" s="64">
        <f t="shared" si="26"/>
        <v>35</v>
      </c>
      <c r="DJ34" s="66">
        <f t="shared" si="26"/>
        <v>35</v>
      </c>
      <c r="DK34" s="64">
        <f t="shared" si="26"/>
        <v>0</v>
      </c>
      <c r="DL34" s="64">
        <f t="shared" si="26"/>
        <v>0</v>
      </c>
      <c r="DM34" s="64">
        <f t="shared" si="26"/>
        <v>0</v>
      </c>
      <c r="DN34" s="64">
        <f t="shared" si="26"/>
        <v>0</v>
      </c>
      <c r="DO34" s="64">
        <f t="shared" si="26"/>
        <v>0</v>
      </c>
      <c r="DP34" s="64">
        <f t="shared" si="26"/>
        <v>0</v>
      </c>
      <c r="DQ34" s="64">
        <f t="shared" si="26"/>
        <v>0</v>
      </c>
      <c r="DR34" s="64">
        <f t="shared" si="26"/>
        <v>0</v>
      </c>
      <c r="DS34" s="64">
        <f t="shared" si="26"/>
        <v>0</v>
      </c>
      <c r="DT34" s="64">
        <f t="shared" si="26"/>
        <v>0</v>
      </c>
      <c r="DU34" s="64">
        <f t="shared" si="26"/>
        <v>0</v>
      </c>
      <c r="DV34" s="66">
        <f t="shared" si="26"/>
        <v>0</v>
      </c>
    </row>
    <row r="35" spans="2:134" x14ac:dyDescent="0.25">
      <c r="B35" s="61" t="s">
        <v>151</v>
      </c>
      <c r="C35" s="94">
        <f>C34*C2</f>
        <v>-63472.12799999999</v>
      </c>
      <c r="D35" s="94">
        <f t="shared" ref="D35:BJ35" si="27">D34*D2</f>
        <v>-118761.959904</v>
      </c>
      <c r="E35" s="94">
        <f t="shared" si="27"/>
        <v>-198677.75999999998</v>
      </c>
      <c r="F35" s="94">
        <f t="shared" si="27"/>
        <v>-107352</v>
      </c>
      <c r="G35" s="94">
        <f t="shared" si="27"/>
        <v>-78194.400000000023</v>
      </c>
      <c r="H35" s="94">
        <f t="shared" si="27"/>
        <v>70064.199999999983</v>
      </c>
      <c r="I35" s="94">
        <f t="shared" si="27"/>
        <v>142964.80799999999</v>
      </c>
      <c r="J35" s="94">
        <f t="shared" si="27"/>
        <v>16219.200000000003</v>
      </c>
      <c r="K35" s="94">
        <f t="shared" si="27"/>
        <v>-39459.999599999981</v>
      </c>
      <c r="L35" s="94">
        <f t="shared" si="27"/>
        <v>-107047.26163200001</v>
      </c>
      <c r="M35" s="94">
        <f t="shared" si="27"/>
        <v>-135909.10008</v>
      </c>
      <c r="N35" s="96">
        <f t="shared" si="27"/>
        <v>-118593.60000000001</v>
      </c>
      <c r="O35" s="94">
        <f t="shared" si="27"/>
        <v>-90334.000247999997</v>
      </c>
      <c r="P35" s="94">
        <f t="shared" si="27"/>
        <v>-73864.000224000018</v>
      </c>
      <c r="Q35" s="94">
        <f t="shared" si="27"/>
        <v>-88697.200248000008</v>
      </c>
      <c r="R35" s="94">
        <f t="shared" si="27"/>
        <v>-66002.399999999994</v>
      </c>
      <c r="S35" s="94">
        <f t="shared" si="27"/>
        <v>-57206.16</v>
      </c>
      <c r="T35" s="94">
        <f t="shared" si="27"/>
        <v>-14580.000000000002</v>
      </c>
      <c r="U35" s="94">
        <f t="shared" si="27"/>
        <v>-45198</v>
      </c>
      <c r="V35" s="94">
        <f t="shared" si="27"/>
        <v>-32550</v>
      </c>
      <c r="W35" s="94">
        <f t="shared" si="27"/>
        <v>-40140</v>
      </c>
      <c r="X35" s="94">
        <f t="shared" si="27"/>
        <v>-35898</v>
      </c>
      <c r="Y35" s="94">
        <f t="shared" si="27"/>
        <v>-40500</v>
      </c>
      <c r="Z35" s="95">
        <f t="shared" si="27"/>
        <v>1182.0002400000023</v>
      </c>
      <c r="AA35" s="94">
        <f t="shared" si="27"/>
        <v>-21576</v>
      </c>
      <c r="AB35" s="94">
        <f t="shared" si="27"/>
        <v>-20184</v>
      </c>
      <c r="AC35" s="94">
        <f t="shared" si="27"/>
        <v>-21576</v>
      </c>
      <c r="AD35" s="94">
        <f t="shared" si="27"/>
        <v>-20880</v>
      </c>
      <c r="AE35" s="94">
        <f t="shared" si="27"/>
        <v>-21576</v>
      </c>
      <c r="AF35" s="94">
        <f t="shared" si="27"/>
        <v>-20880</v>
      </c>
      <c r="AG35" s="94">
        <f t="shared" si="27"/>
        <v>-21576</v>
      </c>
      <c r="AH35" s="94">
        <f t="shared" si="27"/>
        <v>-21576</v>
      </c>
      <c r="AI35" s="94">
        <f t="shared" si="27"/>
        <v>-20880</v>
      </c>
      <c r="AJ35" s="94">
        <f t="shared" si="27"/>
        <v>-21576</v>
      </c>
      <c r="AK35" s="94">
        <f t="shared" si="27"/>
        <v>-20880</v>
      </c>
      <c r="AL35" s="96">
        <f t="shared" si="27"/>
        <v>-21576</v>
      </c>
      <c r="AM35" s="94">
        <f t="shared" si="27"/>
        <v>-26040</v>
      </c>
      <c r="AN35" s="94">
        <f t="shared" si="27"/>
        <v>-23520</v>
      </c>
      <c r="AO35" s="94">
        <f t="shared" si="27"/>
        <v>-26040</v>
      </c>
      <c r="AP35" s="94">
        <f t="shared" si="27"/>
        <v>-25200</v>
      </c>
      <c r="AQ35" s="94">
        <f t="shared" si="27"/>
        <v>-26040</v>
      </c>
      <c r="AR35" s="94">
        <f t="shared" si="27"/>
        <v>-25200</v>
      </c>
      <c r="AS35" s="94">
        <f t="shared" si="27"/>
        <v>-26040</v>
      </c>
      <c r="AT35" s="94">
        <f t="shared" si="27"/>
        <v>-26040</v>
      </c>
      <c r="AU35" s="94">
        <f t="shared" si="27"/>
        <v>-25200</v>
      </c>
      <c r="AV35" s="94">
        <f t="shared" si="27"/>
        <v>-26040</v>
      </c>
      <c r="AW35" s="94">
        <f t="shared" si="27"/>
        <v>-25200</v>
      </c>
      <c r="AX35" s="95">
        <f t="shared" si="27"/>
        <v>-26040</v>
      </c>
      <c r="AY35" s="94">
        <f t="shared" si="27"/>
        <v>0</v>
      </c>
      <c r="AZ35" s="94">
        <f t="shared" si="27"/>
        <v>0</v>
      </c>
      <c r="BA35" s="94">
        <f t="shared" si="27"/>
        <v>0</v>
      </c>
      <c r="BB35" s="94">
        <f t="shared" si="27"/>
        <v>0</v>
      </c>
      <c r="BC35" s="94">
        <f t="shared" si="27"/>
        <v>0</v>
      </c>
      <c r="BD35" s="94">
        <f t="shared" si="27"/>
        <v>0</v>
      </c>
      <c r="BE35" s="94">
        <f t="shared" si="27"/>
        <v>0</v>
      </c>
      <c r="BF35" s="94">
        <f t="shared" si="27"/>
        <v>0</v>
      </c>
      <c r="BG35" s="94">
        <f t="shared" si="27"/>
        <v>0</v>
      </c>
      <c r="BH35" s="94">
        <f t="shared" si="27"/>
        <v>0</v>
      </c>
      <c r="BI35" s="94">
        <f t="shared" si="27"/>
        <v>0</v>
      </c>
      <c r="BJ35" s="95">
        <f t="shared" si="27"/>
        <v>0</v>
      </c>
      <c r="BL35" s="120"/>
      <c r="BN35" s="61" t="s">
        <v>151</v>
      </c>
      <c r="BO35" s="94">
        <f>BO34*BO2</f>
        <v>63494.447999999997</v>
      </c>
      <c r="BP35" s="94">
        <f t="shared" ref="BP35:DV35" si="28">BP34*BP2</f>
        <v>118782.11990399998</v>
      </c>
      <c r="BQ35" s="94">
        <f t="shared" si="28"/>
        <v>183820.08</v>
      </c>
      <c r="BR35" s="94">
        <f t="shared" si="28"/>
        <v>85773.599999999991</v>
      </c>
      <c r="BS35" s="94">
        <f t="shared" si="28"/>
        <v>71520.72</v>
      </c>
      <c r="BT35" s="94">
        <f t="shared" si="28"/>
        <v>-70042.599999999991</v>
      </c>
      <c r="BU35" s="94">
        <f t="shared" si="28"/>
        <v>-142942.48800000001</v>
      </c>
      <c r="BV35" s="94">
        <f t="shared" si="28"/>
        <v>-8756.8799999999974</v>
      </c>
      <c r="BW35" s="94">
        <f t="shared" si="28"/>
        <v>39285.599759999997</v>
      </c>
      <c r="BX35" s="94">
        <f t="shared" si="28"/>
        <v>107724.71976000001</v>
      </c>
      <c r="BY35" s="94">
        <f t="shared" si="28"/>
        <v>135930.70007999998</v>
      </c>
      <c r="BZ35" s="96">
        <f t="shared" si="28"/>
        <v>121963.92</v>
      </c>
      <c r="CA35" s="94">
        <f t="shared" si="28"/>
        <v>80166</v>
      </c>
      <c r="CB35" s="94">
        <f t="shared" si="28"/>
        <v>71937.599999999991</v>
      </c>
      <c r="CC35" s="94">
        <f t="shared" si="28"/>
        <v>88573.2</v>
      </c>
      <c r="CD35" s="94">
        <f t="shared" si="28"/>
        <v>54900</v>
      </c>
      <c r="CE35" s="94">
        <f t="shared" si="28"/>
        <v>31434</v>
      </c>
      <c r="CF35" s="94">
        <f t="shared" si="28"/>
        <v>-8460</v>
      </c>
      <c r="CG35" s="94">
        <f t="shared" si="28"/>
        <v>25482</v>
      </c>
      <c r="CH35" s="94">
        <f t="shared" si="28"/>
        <v>16554.000000000004</v>
      </c>
      <c r="CI35" s="94">
        <f t="shared" si="28"/>
        <v>24660</v>
      </c>
      <c r="CJ35" s="94">
        <f t="shared" si="28"/>
        <v>30690</v>
      </c>
      <c r="CK35" s="94">
        <f t="shared" si="28"/>
        <v>35460</v>
      </c>
      <c r="CL35" s="95">
        <f t="shared" si="28"/>
        <v>-6390.0002399999994</v>
      </c>
      <c r="CM35" s="94">
        <f t="shared" si="28"/>
        <v>11160</v>
      </c>
      <c r="CN35" s="94">
        <f t="shared" si="28"/>
        <v>10440</v>
      </c>
      <c r="CO35" s="94">
        <f t="shared" si="28"/>
        <v>11160</v>
      </c>
      <c r="CP35" s="94">
        <f t="shared" si="28"/>
        <v>10800</v>
      </c>
      <c r="CQ35" s="94">
        <f t="shared" si="28"/>
        <v>11160</v>
      </c>
      <c r="CR35" s="94">
        <f t="shared" si="28"/>
        <v>10800</v>
      </c>
      <c r="CS35" s="94">
        <f t="shared" si="28"/>
        <v>11160</v>
      </c>
      <c r="CT35" s="94">
        <f t="shared" si="28"/>
        <v>11160</v>
      </c>
      <c r="CU35" s="94">
        <f t="shared" si="28"/>
        <v>10800</v>
      </c>
      <c r="CV35" s="94">
        <f t="shared" si="28"/>
        <v>11160</v>
      </c>
      <c r="CW35" s="94">
        <f t="shared" si="28"/>
        <v>10800</v>
      </c>
      <c r="CX35" s="96">
        <f t="shared" si="28"/>
        <v>11160</v>
      </c>
      <c r="CY35" s="94">
        <f t="shared" si="28"/>
        <v>26040</v>
      </c>
      <c r="CZ35" s="94">
        <f t="shared" si="28"/>
        <v>23520</v>
      </c>
      <c r="DA35" s="94">
        <f t="shared" si="28"/>
        <v>26040</v>
      </c>
      <c r="DB35" s="94">
        <f t="shared" si="28"/>
        <v>25200</v>
      </c>
      <c r="DC35" s="94">
        <f t="shared" si="28"/>
        <v>26040</v>
      </c>
      <c r="DD35" s="94">
        <f t="shared" si="28"/>
        <v>25200</v>
      </c>
      <c r="DE35" s="94">
        <f t="shared" si="28"/>
        <v>26040</v>
      </c>
      <c r="DF35" s="94">
        <f t="shared" si="28"/>
        <v>26040</v>
      </c>
      <c r="DG35" s="94">
        <f t="shared" si="28"/>
        <v>25200</v>
      </c>
      <c r="DH35" s="94">
        <f t="shared" si="28"/>
        <v>26040</v>
      </c>
      <c r="DI35" s="94">
        <f t="shared" si="28"/>
        <v>25200</v>
      </c>
      <c r="DJ35" s="95">
        <f t="shared" si="28"/>
        <v>26040</v>
      </c>
      <c r="DK35" s="94">
        <f t="shared" si="28"/>
        <v>0</v>
      </c>
      <c r="DL35" s="94">
        <f t="shared" si="28"/>
        <v>0</v>
      </c>
      <c r="DM35" s="94">
        <f t="shared" si="28"/>
        <v>0</v>
      </c>
      <c r="DN35" s="94">
        <f t="shared" si="28"/>
        <v>0</v>
      </c>
      <c r="DO35" s="94">
        <f t="shared" si="28"/>
        <v>0</v>
      </c>
      <c r="DP35" s="94">
        <f t="shared" si="28"/>
        <v>0</v>
      </c>
      <c r="DQ35" s="94">
        <f t="shared" si="28"/>
        <v>0</v>
      </c>
      <c r="DR35" s="94">
        <f t="shared" si="28"/>
        <v>0</v>
      </c>
      <c r="DS35" s="94">
        <f t="shared" si="28"/>
        <v>0</v>
      </c>
      <c r="DT35" s="94">
        <f t="shared" si="28"/>
        <v>0</v>
      </c>
      <c r="DU35" s="94">
        <f t="shared" si="28"/>
        <v>0</v>
      </c>
      <c r="DV35" s="95">
        <f t="shared" si="28"/>
        <v>0</v>
      </c>
    </row>
    <row r="36" spans="2:134" x14ac:dyDescent="0.25">
      <c r="B36" s="61" t="s">
        <v>154</v>
      </c>
      <c r="C36" s="94">
        <f>(SUMIFS(MtM!$M:$M,MtM!$E:$E,RESULTADO!C3)-SUMIFS(MtM!$N:$N,MtM!$E:$E,RESULTADO!C3))*C2</f>
        <v>-63472.127999999968</v>
      </c>
      <c r="D36" s="94">
        <f>(SUMIFS(MtM!$M:$M,MtM!$E:$E,RESULTADO!D3)-SUMIFS(MtM!$N:$N,MtM!$E:$E,RESULTADO!D3))*D2</f>
        <v>-118761.959904</v>
      </c>
      <c r="E36" s="94">
        <f>(SUMIFS(MtM!$M:$M,MtM!$E:$E,RESULTADO!E3)-SUMIFS(MtM!$N:$N,MtM!$E:$E,RESULTADO!E3))*E2</f>
        <v>-198677.75999999998</v>
      </c>
      <c r="F36" s="94">
        <f>(SUMIFS(MtM!$M:$M,MtM!$E:$E,RESULTADO!F3)-SUMIFS(MtM!$N:$N,MtM!$E:$E,RESULTADO!F3))*F2</f>
        <v>-107352.00000000001</v>
      </c>
      <c r="G36" s="94">
        <f>(SUMIFS(MtM!$M:$M,MtM!$E:$E,RESULTADO!G3)-SUMIFS(MtM!$N:$N,MtM!$E:$E,RESULTADO!G3))*G2</f>
        <v>-78194.399999999994</v>
      </c>
      <c r="H36" s="94">
        <f>(SUMIFS(MtM!$M:$M,MtM!$E:$E,RESULTADO!H3)-SUMIFS(MtM!$N:$N,MtM!$E:$E,RESULTADO!H3))*H2</f>
        <v>70064.199999999968</v>
      </c>
      <c r="I36" s="94">
        <f>(SUMIFS(MtM!$M:$M,MtM!$E:$E,RESULTADO!I3)-SUMIFS(MtM!$N:$N,MtM!$E:$E,RESULTADO!I3))*I2</f>
        <v>142964.80800000002</v>
      </c>
      <c r="J36" s="94">
        <f>(SUMIFS(MtM!$M:$M,MtM!$E:$E,RESULTADO!J3)-SUMIFS(MtM!$N:$N,MtM!$E:$E,RESULTADO!J3))*J2</f>
        <v>16219.200000000008</v>
      </c>
      <c r="K36" s="94">
        <f>(SUMIFS(MtM!$M:$M,MtM!$E:$E,RESULTADO!K3)-SUMIFS(MtM!$N:$N,MtM!$E:$E,RESULTADO!K3))*K2</f>
        <v>-39459.999599999937</v>
      </c>
      <c r="L36" s="94">
        <f>(SUMIFS(MtM!$M:$M,MtM!$E:$E,RESULTADO!L3)-SUMIFS(MtM!$N:$N,MtM!$E:$E,RESULTADO!L3))*L2</f>
        <v>-107047.26163200002</v>
      </c>
      <c r="M36" s="94">
        <f>(SUMIFS(MtM!$M:$M,MtM!$E:$E,RESULTADO!M3)-SUMIFS(MtM!$N:$N,MtM!$E:$E,RESULTADO!M3))*M2</f>
        <v>-135909.10008</v>
      </c>
      <c r="N36" s="96">
        <f>(SUMIFS(MtM!$M:$M,MtM!$E:$E,RESULTADO!N3)-SUMIFS(MtM!$N:$N,MtM!$E:$E,RESULTADO!N3))*N2</f>
        <v>-118593.59999999995</v>
      </c>
      <c r="O36" s="94">
        <f>(SUMIFS(MtM!$M:$M,MtM!$E:$E,RESULTADO!O3)-SUMIFS(MtM!$N:$N,MtM!$E:$E,RESULTADO!O3))*O2</f>
        <v>-90334.000247999997</v>
      </c>
      <c r="P36" s="94">
        <f>(SUMIFS(MtM!$M:$M,MtM!$E:$E,RESULTADO!P3)-SUMIFS(MtM!$N:$N,MtM!$E:$E,RESULTADO!P3))*P2</f>
        <v>-73864.000224000018</v>
      </c>
      <c r="Q36" s="94">
        <f>(SUMIFS(MtM!$M:$M,MtM!$E:$E,RESULTADO!Q3)-SUMIFS(MtM!$N:$N,MtM!$E:$E,RESULTADO!Q3))*Q2</f>
        <v>-88697.200248000008</v>
      </c>
      <c r="R36" s="94">
        <f>(SUMIFS(MtM!$M:$M,MtM!$E:$E,RESULTADO!R3)-SUMIFS(MtM!$N:$N,MtM!$E:$E,RESULTADO!R3))*R2</f>
        <v>-66002.399999999994</v>
      </c>
      <c r="S36" s="94">
        <f>(SUMIFS(MtM!$M:$M,MtM!$E:$E,RESULTADO!S3)-SUMIFS(MtM!$N:$N,MtM!$E:$E,RESULTADO!S3))*S2</f>
        <v>-57206.16</v>
      </c>
      <c r="T36" s="94">
        <f>(SUMIFS(MtM!$M:$M,MtM!$E:$E,RESULTADO!T3)-SUMIFS(MtM!$N:$N,MtM!$E:$E,RESULTADO!T3))*T2</f>
        <v>-14580</v>
      </c>
      <c r="U36" s="94">
        <f>(SUMIFS(MtM!$M:$M,MtM!$E:$E,RESULTADO!U3)-SUMIFS(MtM!$N:$N,MtM!$E:$E,RESULTADO!U3))*U2</f>
        <v>-45198</v>
      </c>
      <c r="V36" s="94">
        <f>(SUMIFS(MtM!$M:$M,MtM!$E:$E,RESULTADO!V3)-SUMIFS(MtM!$N:$N,MtM!$E:$E,RESULTADO!V3))*V2</f>
        <v>-32550</v>
      </c>
      <c r="W36" s="94">
        <f>(SUMIFS(MtM!$M:$M,MtM!$E:$E,RESULTADO!W3)-SUMIFS(MtM!$N:$N,MtM!$E:$E,RESULTADO!W3))*W2</f>
        <v>-40140</v>
      </c>
      <c r="X36" s="94">
        <f>(SUMIFS(MtM!$M:$M,MtM!$E:$E,RESULTADO!X3)-SUMIFS(MtM!$N:$N,MtM!$E:$E,RESULTADO!X3))*X2</f>
        <v>-35898</v>
      </c>
      <c r="Y36" s="94">
        <f>(SUMIFS(MtM!$M:$M,MtM!$E:$E,RESULTADO!Y3)-SUMIFS(MtM!$N:$N,MtM!$E:$E,RESULTADO!Y3))*Y2</f>
        <v>-40500</v>
      </c>
      <c r="Z36" s="95">
        <f>(SUMIFS(MtM!$M:$M,MtM!$E:$E,RESULTADO!Z3)-SUMIFS(MtM!$N:$N,MtM!$E:$E,RESULTADO!Z3))*Z2</f>
        <v>1182.0002399999939</v>
      </c>
      <c r="AA36" s="94">
        <f>(SUMIFS(MtM!$M:$M,MtM!$E:$E,RESULTADO!AA3)-SUMIFS(MtM!$N:$N,MtM!$E:$E,RESULTADO!AA3))*AA2</f>
        <v>-21576</v>
      </c>
      <c r="AB36" s="94">
        <f>(SUMIFS(MtM!$M:$M,MtM!$E:$E,RESULTADO!AB3)-SUMIFS(MtM!$N:$N,MtM!$E:$E,RESULTADO!AB3))*AB2</f>
        <v>-20184</v>
      </c>
      <c r="AC36" s="94">
        <f>(SUMIFS(MtM!$M:$M,MtM!$E:$E,RESULTADO!AC3)-SUMIFS(MtM!$N:$N,MtM!$E:$E,RESULTADO!AC3))*AC2</f>
        <v>-21576</v>
      </c>
      <c r="AD36" s="94">
        <f>(SUMIFS(MtM!$M:$M,MtM!$E:$E,RESULTADO!AD3)-SUMIFS(MtM!$N:$N,MtM!$E:$E,RESULTADO!AD3))*AD2</f>
        <v>-20880</v>
      </c>
      <c r="AE36" s="94">
        <f>(SUMIFS(MtM!$M:$M,MtM!$E:$E,RESULTADO!AE3)-SUMIFS(MtM!$N:$N,MtM!$E:$E,RESULTADO!AE3))*AE2</f>
        <v>-21576</v>
      </c>
      <c r="AF36" s="94">
        <f>(SUMIFS(MtM!$M:$M,MtM!$E:$E,RESULTADO!AF3)-SUMIFS(MtM!$N:$N,MtM!$E:$E,RESULTADO!AF3))*AF2</f>
        <v>-20880</v>
      </c>
      <c r="AG36" s="94">
        <f>(SUMIFS(MtM!$M:$M,MtM!$E:$E,RESULTADO!AG3)-SUMIFS(MtM!$N:$N,MtM!$E:$E,RESULTADO!AG3))*AG2</f>
        <v>-21576</v>
      </c>
      <c r="AH36" s="94">
        <f>(SUMIFS(MtM!$M:$M,MtM!$E:$E,RESULTADO!AH3)-SUMIFS(MtM!$N:$N,MtM!$E:$E,RESULTADO!AH3))*AH2</f>
        <v>-21576</v>
      </c>
      <c r="AI36" s="94">
        <f>(SUMIFS(MtM!$M:$M,MtM!$E:$E,RESULTADO!AI3)-SUMIFS(MtM!$N:$N,MtM!$E:$E,RESULTADO!AI3))*AI2</f>
        <v>-20880</v>
      </c>
      <c r="AJ36" s="94">
        <f>(SUMIFS(MtM!$M:$M,MtM!$E:$E,RESULTADO!AJ3)-SUMIFS(MtM!$N:$N,MtM!$E:$E,RESULTADO!AJ3))*AJ2</f>
        <v>-21576</v>
      </c>
      <c r="AK36" s="94">
        <f>(SUMIFS(MtM!$M:$M,MtM!$E:$E,RESULTADO!AK3)-SUMIFS(MtM!$N:$N,MtM!$E:$E,RESULTADO!AK3))*AK2</f>
        <v>-20880</v>
      </c>
      <c r="AL36" s="96">
        <f>(SUMIFS(MtM!$M:$M,MtM!$E:$E,RESULTADO!AL3)-SUMIFS(MtM!$N:$N,MtM!$E:$E,RESULTADO!AL3))*AL2</f>
        <v>-21576</v>
      </c>
      <c r="AM36" s="94">
        <f>(SUMIFS(MtM!$M:$M,MtM!$E:$E,RESULTADO!AM3)-SUMIFS(MtM!$N:$N,MtM!$E:$E,RESULTADO!AM3))*AM2</f>
        <v>-26040</v>
      </c>
      <c r="AN36" s="94">
        <f>(SUMIFS(MtM!$M:$M,MtM!$E:$E,RESULTADO!AN3)-SUMIFS(MtM!$N:$N,MtM!$E:$E,RESULTADO!AN3))*AN2</f>
        <v>-23520</v>
      </c>
      <c r="AO36" s="94">
        <f>(SUMIFS(MtM!$M:$M,MtM!$E:$E,RESULTADO!AO3)-SUMIFS(MtM!$N:$N,MtM!$E:$E,RESULTADO!AO3))*AO2</f>
        <v>-26040</v>
      </c>
      <c r="AP36" s="94">
        <f>(SUMIFS(MtM!$M:$M,MtM!$E:$E,RESULTADO!AP3)-SUMIFS(MtM!$N:$N,MtM!$E:$E,RESULTADO!AP3))*AP2</f>
        <v>-25200</v>
      </c>
      <c r="AQ36" s="94">
        <f>(SUMIFS(MtM!$M:$M,MtM!$E:$E,RESULTADO!AQ3)-SUMIFS(MtM!$N:$N,MtM!$E:$E,RESULTADO!AQ3))*AQ2</f>
        <v>-26040</v>
      </c>
      <c r="AR36" s="94">
        <f>(SUMIFS(MtM!$M:$M,MtM!$E:$E,RESULTADO!AR3)-SUMIFS(MtM!$N:$N,MtM!$E:$E,RESULTADO!AR3))*AR2</f>
        <v>-25200</v>
      </c>
      <c r="AS36" s="94">
        <f>(SUMIFS(MtM!$M:$M,MtM!$E:$E,RESULTADO!AS3)-SUMIFS(MtM!$N:$N,MtM!$E:$E,RESULTADO!AS3))*AS2</f>
        <v>-26040</v>
      </c>
      <c r="AT36" s="94">
        <f>(SUMIFS(MtM!$M:$M,MtM!$E:$E,RESULTADO!AT3)-SUMIFS(MtM!$N:$N,MtM!$E:$E,RESULTADO!AT3))*AT2</f>
        <v>-26040</v>
      </c>
      <c r="AU36" s="94">
        <f>(SUMIFS(MtM!$M:$M,MtM!$E:$E,RESULTADO!AU3)-SUMIFS(MtM!$N:$N,MtM!$E:$E,RESULTADO!AU3))*AU2</f>
        <v>-25200</v>
      </c>
      <c r="AV36" s="94">
        <f>(SUMIFS(MtM!$M:$M,MtM!$E:$E,RESULTADO!AV3)-SUMIFS(MtM!$N:$N,MtM!$E:$E,RESULTADO!AV3))*AV2</f>
        <v>-26040</v>
      </c>
      <c r="AW36" s="94">
        <f>(SUMIFS(MtM!$M:$M,MtM!$E:$E,RESULTADO!AW3)-SUMIFS(MtM!$N:$N,MtM!$E:$E,RESULTADO!AW3))*AW2</f>
        <v>-25200</v>
      </c>
      <c r="AX36" s="95">
        <f>(SUMIFS(MtM!$M:$M,MtM!$E:$E,RESULTADO!AX3)-SUMIFS(MtM!$N:$N,MtM!$E:$E,RESULTADO!AX3))*AX2</f>
        <v>-26040</v>
      </c>
      <c r="AY36" s="94">
        <f>(SUMIFS(MtM!$M:$M,MtM!$E:$E,RESULTADO!AY3)-SUMIFS(MtM!$N:$N,MtM!$E:$E,RESULTADO!AY3))*AY2</f>
        <v>0</v>
      </c>
      <c r="AZ36" s="94">
        <f>(SUMIFS(MtM!$M:$M,MtM!$E:$E,RESULTADO!AZ3)-SUMIFS(MtM!$N:$N,MtM!$E:$E,RESULTADO!AZ3))*AZ2</f>
        <v>0</v>
      </c>
      <c r="BA36" s="94">
        <f>(SUMIFS(MtM!$M:$M,MtM!$E:$E,RESULTADO!BA3)-SUMIFS(MtM!$N:$N,MtM!$E:$E,RESULTADO!BA3))*BA2</f>
        <v>0</v>
      </c>
      <c r="BB36" s="94">
        <f>(SUMIFS(MtM!$M:$M,MtM!$E:$E,RESULTADO!BB3)-SUMIFS(MtM!$N:$N,MtM!$E:$E,RESULTADO!BB3))*BB2</f>
        <v>0</v>
      </c>
      <c r="BC36" s="94">
        <f>(SUMIFS(MtM!$M:$M,MtM!$E:$E,RESULTADO!BC3)-SUMIFS(MtM!$N:$N,MtM!$E:$E,RESULTADO!BC3))*BC2</f>
        <v>0</v>
      </c>
      <c r="BD36" s="94">
        <f>(SUMIFS(MtM!$M:$M,MtM!$E:$E,RESULTADO!BD3)-SUMIFS(MtM!$N:$N,MtM!$E:$E,RESULTADO!BD3))*BD2</f>
        <v>0</v>
      </c>
      <c r="BE36" s="94">
        <f>(SUMIFS(MtM!$M:$M,MtM!$E:$E,RESULTADO!BE3)-SUMIFS(MtM!$N:$N,MtM!$E:$E,RESULTADO!BE3))*BE2</f>
        <v>0</v>
      </c>
      <c r="BF36" s="94">
        <f>(SUMIFS(MtM!$M:$M,MtM!$E:$E,RESULTADO!BF3)-SUMIFS(MtM!$N:$N,MtM!$E:$E,RESULTADO!BF3))*BF2</f>
        <v>0</v>
      </c>
      <c r="BG36" s="94">
        <f>(SUMIFS(MtM!$M:$M,MtM!$E:$E,RESULTADO!BG3)-SUMIFS(MtM!$N:$N,MtM!$E:$E,RESULTADO!BG3))*BG2</f>
        <v>0</v>
      </c>
      <c r="BH36" s="94">
        <f>(SUMIFS(MtM!$M:$M,MtM!$E:$E,RESULTADO!BH3)-SUMIFS(MtM!$N:$N,MtM!$E:$E,RESULTADO!BH3))*BH2</f>
        <v>0</v>
      </c>
      <c r="BI36" s="94">
        <f>(SUMIFS(MtM!$M:$M,MtM!$E:$E,RESULTADO!BI3)-SUMIFS(MtM!$N:$N,MtM!$E:$E,RESULTADO!BI3))*BI2</f>
        <v>0</v>
      </c>
      <c r="BJ36" s="95">
        <f>(SUMIFS(MtM!$M:$M,MtM!$E:$E,RESULTADO!BJ3)-SUMIFS(MtM!$N:$N,MtM!$E:$E,RESULTADO!BJ3))*BJ2</f>
        <v>0</v>
      </c>
      <c r="BL36" s="120"/>
      <c r="BN36" s="61" t="s">
        <v>154</v>
      </c>
      <c r="BO36" s="94">
        <f>SUMIFS('MtM Releases'!$H:$H,'MtM Releases'!$D:$D,RESULTADO!BO3)*BO2</f>
        <v>63494.447999999997</v>
      </c>
      <c r="BP36" s="94">
        <f>SUMIFS('MtM Releases'!$H:$H,'MtM Releases'!$D:$D,RESULTADO!BP3)*BP2</f>
        <v>118782.11990400001</v>
      </c>
      <c r="BQ36" s="94">
        <f>SUMIFS('MtM Releases'!$H:$H,'MtM Releases'!$D:$D,RESULTADO!BQ3)*BQ2</f>
        <v>183820.08000000005</v>
      </c>
      <c r="BR36" s="94">
        <f>SUMIFS('MtM Releases'!$H:$H,'MtM Releases'!$D:$D,RESULTADO!BR3)*BR2</f>
        <v>85773.6</v>
      </c>
      <c r="BS36" s="94">
        <f>SUMIFS('MtM Releases'!$H:$H,'MtM Releases'!$D:$D,RESULTADO!BS3)*BS2</f>
        <v>71520.72</v>
      </c>
      <c r="BT36" s="94">
        <f>SUMIFS('MtM Releases'!$H:$H,'MtM Releases'!$D:$D,RESULTADO!BT3)*BT2</f>
        <v>-70042.599999999991</v>
      </c>
      <c r="BU36" s="94">
        <f>SUMIFS('MtM Releases'!$H:$H,'MtM Releases'!$D:$D,RESULTADO!BU3)*BU2</f>
        <v>-142942.48800000001</v>
      </c>
      <c r="BV36" s="94">
        <f>SUMIFS('MtM Releases'!$H:$H,'MtM Releases'!$D:$D,RESULTADO!BV3)*BV2</f>
        <v>-8756.8799999999937</v>
      </c>
      <c r="BW36" s="94">
        <f>SUMIFS('MtM Releases'!$H:$H,'MtM Releases'!$D:$D,RESULTADO!BW3)*BW2</f>
        <v>39285.599760000012</v>
      </c>
      <c r="BX36" s="94">
        <f>SUMIFS('MtM Releases'!$H:$H,'MtM Releases'!$D:$D,RESULTADO!BX3)*BX2</f>
        <v>107724.71976000001</v>
      </c>
      <c r="BY36" s="94">
        <f>SUMIFS('MtM Releases'!$H:$H,'MtM Releases'!$D:$D,RESULTADO!BY3)*BY2</f>
        <v>135930.70008000001</v>
      </c>
      <c r="BZ36" s="96">
        <f>SUMIFS('MtM Releases'!$H:$H,'MtM Releases'!$D:$D,RESULTADO!BZ3)*BZ2</f>
        <v>121963.91999999997</v>
      </c>
      <c r="CA36" s="94">
        <f>SUMIFS('MtM Releases'!$H:$H,'MtM Releases'!$D:$D,RESULTADO!CA3)*CA2</f>
        <v>80166</v>
      </c>
      <c r="CB36" s="94">
        <f>SUMIFS('MtM Releases'!$H:$H,'MtM Releases'!$D:$D,RESULTADO!CB3)*CB2</f>
        <v>71937.599999999991</v>
      </c>
      <c r="CC36" s="94">
        <f>SUMIFS('MtM Releases'!$H:$H,'MtM Releases'!$D:$D,RESULTADO!CC3)*CC2</f>
        <v>88573.2</v>
      </c>
      <c r="CD36" s="94">
        <f>SUMIFS('MtM Releases'!$H:$H,'MtM Releases'!$D:$D,RESULTADO!CD3)*CD2</f>
        <v>54900</v>
      </c>
      <c r="CE36" s="94">
        <f>SUMIFS('MtM Releases'!$H:$H,'MtM Releases'!$D:$D,RESULTADO!CE3)*CE2</f>
        <v>31434</v>
      </c>
      <c r="CF36" s="94">
        <f>SUMIFS('MtM Releases'!$H:$H,'MtM Releases'!$D:$D,RESULTADO!CF3)*CF2</f>
        <v>-8460</v>
      </c>
      <c r="CG36" s="94">
        <f>SUMIFS('MtM Releases'!$H:$H,'MtM Releases'!$D:$D,RESULTADO!CG3)*CG2</f>
        <v>25482</v>
      </c>
      <c r="CH36" s="94">
        <f>SUMIFS('MtM Releases'!$H:$H,'MtM Releases'!$D:$D,RESULTADO!CH3)*CH2</f>
        <v>16554</v>
      </c>
      <c r="CI36" s="94">
        <f>SUMIFS('MtM Releases'!$H:$H,'MtM Releases'!$D:$D,RESULTADO!CI3)*CI2</f>
        <v>24660</v>
      </c>
      <c r="CJ36" s="94">
        <f>SUMIFS('MtM Releases'!$H:$H,'MtM Releases'!$D:$D,RESULTADO!CJ3)*CJ2</f>
        <v>30690</v>
      </c>
      <c r="CK36" s="94">
        <f>SUMIFS('MtM Releases'!$H:$H,'MtM Releases'!$D:$D,RESULTADO!CK3)*CK2</f>
        <v>35460</v>
      </c>
      <c r="CL36" s="95">
        <f>SUMIFS('MtM Releases'!$H:$H,'MtM Releases'!$D:$D,RESULTADO!CL3)*CL2</f>
        <v>-6390.0002399999994</v>
      </c>
      <c r="CM36" s="94">
        <f>SUMIFS('MtM Releases'!$H:$H,'MtM Releases'!$D:$D,RESULTADO!CM3)*CM2</f>
        <v>11160</v>
      </c>
      <c r="CN36" s="94">
        <f>SUMIFS('MtM Releases'!$H:$H,'MtM Releases'!$D:$D,RESULTADO!CN3)*CN2</f>
        <v>10440</v>
      </c>
      <c r="CO36" s="94">
        <f>SUMIFS('MtM Releases'!$H:$H,'MtM Releases'!$D:$D,RESULTADO!CO3)*CO2</f>
        <v>11160</v>
      </c>
      <c r="CP36" s="94">
        <f>SUMIFS('MtM Releases'!$H:$H,'MtM Releases'!$D:$D,RESULTADO!CP3)*CP2</f>
        <v>10800</v>
      </c>
      <c r="CQ36" s="94">
        <f>SUMIFS('MtM Releases'!$H:$H,'MtM Releases'!$D:$D,RESULTADO!CQ3)*CQ2</f>
        <v>11160</v>
      </c>
      <c r="CR36" s="94">
        <f>SUMIFS('MtM Releases'!$H:$H,'MtM Releases'!$D:$D,RESULTADO!CR3)*CR2</f>
        <v>10800</v>
      </c>
      <c r="CS36" s="94">
        <f>SUMIFS('MtM Releases'!$H:$H,'MtM Releases'!$D:$D,RESULTADO!CS3)*CS2</f>
        <v>11160</v>
      </c>
      <c r="CT36" s="94">
        <f>SUMIFS('MtM Releases'!$H:$H,'MtM Releases'!$D:$D,RESULTADO!CT3)*CT2</f>
        <v>11160</v>
      </c>
      <c r="CU36" s="94">
        <f>SUMIFS('MtM Releases'!$H:$H,'MtM Releases'!$D:$D,RESULTADO!CU3)*CU2</f>
        <v>10800</v>
      </c>
      <c r="CV36" s="94">
        <f>SUMIFS('MtM Releases'!$H:$H,'MtM Releases'!$D:$D,RESULTADO!CV3)*CV2</f>
        <v>11160</v>
      </c>
      <c r="CW36" s="94">
        <f>SUMIFS('MtM Releases'!$H:$H,'MtM Releases'!$D:$D,RESULTADO!CW3)*CW2</f>
        <v>10800</v>
      </c>
      <c r="CX36" s="96">
        <f>SUMIFS('MtM Releases'!$H:$H,'MtM Releases'!$D:$D,RESULTADO!CX3)*CX2</f>
        <v>11160</v>
      </c>
      <c r="CY36" s="94">
        <f>SUMIFS('MtM Releases'!$H:$H,'MtM Releases'!$D:$D,RESULTADO!CY3)*CY2</f>
        <v>26040</v>
      </c>
      <c r="CZ36" s="94">
        <f>SUMIFS('MtM Releases'!$H:$H,'MtM Releases'!$D:$D,RESULTADO!CZ3)*CZ2</f>
        <v>23520</v>
      </c>
      <c r="DA36" s="94">
        <f>SUMIFS('MtM Releases'!$H:$H,'MtM Releases'!$D:$D,RESULTADO!DA3)*DA2</f>
        <v>26040</v>
      </c>
      <c r="DB36" s="94">
        <f>SUMIFS('MtM Releases'!$H:$H,'MtM Releases'!$D:$D,RESULTADO!DB3)*DB2</f>
        <v>25200</v>
      </c>
      <c r="DC36" s="94">
        <f>SUMIFS('MtM Releases'!$H:$H,'MtM Releases'!$D:$D,RESULTADO!DC3)*DC2</f>
        <v>26040</v>
      </c>
      <c r="DD36" s="94">
        <f>SUMIFS('MtM Releases'!$H:$H,'MtM Releases'!$D:$D,RESULTADO!DD3)*DD2</f>
        <v>25200</v>
      </c>
      <c r="DE36" s="94">
        <f>SUMIFS('MtM Releases'!$H:$H,'MtM Releases'!$D:$D,RESULTADO!DE3)*DE2</f>
        <v>26040</v>
      </c>
      <c r="DF36" s="94">
        <f>SUMIFS('MtM Releases'!$H:$H,'MtM Releases'!$D:$D,RESULTADO!DF3)*DF2</f>
        <v>26040</v>
      </c>
      <c r="DG36" s="94">
        <f>SUMIFS('MtM Releases'!$H:$H,'MtM Releases'!$D:$D,RESULTADO!DG3)*DG2</f>
        <v>25200</v>
      </c>
      <c r="DH36" s="94">
        <f>SUMIFS('MtM Releases'!$H:$H,'MtM Releases'!$D:$D,RESULTADO!DH3)*DH2</f>
        <v>26040</v>
      </c>
      <c r="DI36" s="94">
        <f>SUMIFS('MtM Releases'!$H:$H,'MtM Releases'!$D:$D,RESULTADO!DI3)*DI2</f>
        <v>25200</v>
      </c>
      <c r="DJ36" s="95">
        <f>SUMIFS('MtM Releases'!$H:$H,'MtM Releases'!$D:$D,RESULTADO!DJ3)*DJ2</f>
        <v>26040</v>
      </c>
      <c r="DK36" s="94">
        <f>SUMIFS('MtM Releases'!$H:$H,'MtM Releases'!$D:$D,RESULTADO!DK3)*DK2</f>
        <v>0</v>
      </c>
      <c r="DL36" s="94">
        <f>SUMIFS('MtM Releases'!$H:$H,'MtM Releases'!$D:$D,RESULTADO!DL3)*DL2</f>
        <v>0</v>
      </c>
      <c r="DM36" s="94">
        <f>SUMIFS('MtM Releases'!$H:$H,'MtM Releases'!$D:$D,RESULTADO!DM3)*DM2</f>
        <v>0</v>
      </c>
      <c r="DN36" s="94">
        <f>SUMIFS('MtM Releases'!$H:$H,'MtM Releases'!$D:$D,RESULTADO!DN3)*DN2</f>
        <v>0</v>
      </c>
      <c r="DO36" s="94">
        <f>SUMIFS('MtM Releases'!$H:$H,'MtM Releases'!$D:$D,RESULTADO!DO3)*DO2</f>
        <v>0</v>
      </c>
      <c r="DP36" s="94">
        <f>SUMIFS('MtM Releases'!$H:$H,'MtM Releases'!$D:$D,RESULTADO!DP3)*DP2</f>
        <v>0</v>
      </c>
      <c r="DQ36" s="94">
        <f>SUMIFS('MtM Releases'!$H:$H,'MtM Releases'!$D:$D,RESULTADO!DQ3)*DQ2</f>
        <v>0</v>
      </c>
      <c r="DR36" s="94">
        <f>SUMIFS('MtM Releases'!$H:$H,'MtM Releases'!$D:$D,RESULTADO!DR3)*DR2</f>
        <v>0</v>
      </c>
      <c r="DS36" s="94">
        <f>SUMIFS('MtM Releases'!$H:$H,'MtM Releases'!$D:$D,RESULTADO!DS3)*DS2</f>
        <v>0</v>
      </c>
      <c r="DT36" s="94">
        <f>SUMIFS('MtM Releases'!$H:$H,'MtM Releases'!$D:$D,RESULTADO!DT3)*DT2</f>
        <v>0</v>
      </c>
      <c r="DU36" s="94">
        <f>SUMIFS('MtM Releases'!$H:$H,'MtM Releases'!$D:$D,RESULTADO!DU3)*DU2</f>
        <v>0</v>
      </c>
      <c r="DV36" s="95">
        <f>SUMIFS('MtM Releases'!$H:$H,'MtM Releases'!$D:$D,RESULTADO!DV3)*DV2</f>
        <v>0</v>
      </c>
    </row>
    <row r="37" spans="2:134" x14ac:dyDescent="0.25">
      <c r="B37" s="311" t="s">
        <v>325</v>
      </c>
      <c r="C37" s="94">
        <f>(SUMIFS(DB!X:X,DB!$W:$W,"Balanço",DB!$E:$E,"LONG")-SUMIFS(DB!X:X,DB!$W:$W,"Balanço",DB!$E:$E,"SHORT"))*C2/1000</f>
        <v>-6.4073280000000006</v>
      </c>
      <c r="D37" s="94">
        <f>(SUMIFS(DB!Y:Y,DB!$W:$W,"Balanço",DB!$E:$E,"LONG")-SUMIFS(DB!Y:Y,DB!$W:$W,"Balanço",DB!$E:$E,"SHORT"))*D2/1000</f>
        <v>-73.200359903999995</v>
      </c>
      <c r="E37" s="94">
        <f>(SUMIFS(DB!Z:Z,DB!$W:$W,"Balanço",DB!$E:$E,"LONG")-SUMIFS(DB!Z:Z,DB!$W:$W,"Balanço",DB!$E:$E,"SHORT"))*E2/1000</f>
        <v>-63.269759999999998</v>
      </c>
      <c r="F37" s="94">
        <f>(SUMIFS(DB!AA:AA,DB!$W:$W,"Balanço",DB!$E:$E,"LONG")-SUMIFS(DB!AA:AA,DB!$W:$W,"Balanço",DB!$E:$E,"SHORT"))*F2/1000</f>
        <v>-15.48</v>
      </c>
      <c r="G37" s="94">
        <f>(SUMIFS(DB!AB:AB,DB!$W:$W,"Balanço",DB!$E:$E,"LONG")-SUMIFS(DB!AB:AB,DB!$W:$W,"Balanço",DB!$E:$E,"SHORT"))*G2/1000</f>
        <v>-2.2320000000000002</v>
      </c>
      <c r="H37" s="94">
        <f>(SUMIFS(DB!AC:AC,DB!$W:$W,"Balanço",DB!$E:$E,"LONG")-SUMIFS(DB!AC:AC,DB!$W:$W,"Balanço",DB!$E:$E,"SHORT"))*H2/1000</f>
        <v>78.200199999999995</v>
      </c>
      <c r="I37" s="94">
        <f>(SUMIFS(DB!AD:AD,DB!$W:$W,"Balanço",DB!$E:$E,"LONG")-SUMIFS(DB!AD:AD,DB!$W:$W,"Balanço",DB!$E:$E,"SHORT"))*I2/1000</f>
        <v>0</v>
      </c>
      <c r="J37" s="94">
        <f>(SUMIFS(DB!AE:AE,DB!$W:$W,"Balanço",DB!$E:$E,"LONG")-SUMIFS(DB!AE:AE,DB!$W:$W,"Balanço",DB!$E:$E,"SHORT"))*J2/1000</f>
        <v>0</v>
      </c>
      <c r="K37" s="94">
        <f>(SUMIFS(DB!AF:AF,DB!$W:$W,"Balanço",DB!$E:$E,"LONG")-SUMIFS(DB!AF:AF,DB!$W:$W,"Balanço",DB!$E:$E,"SHORT"))*K2/1000</f>
        <v>0</v>
      </c>
      <c r="L37" s="94">
        <f>(SUMIFS(DB!AG:AG,DB!$W:$W,"Balanço",DB!$E:$E,"LONG")-SUMIFS(DB!AG:AG,DB!$W:$W,"Balanço",DB!$E:$E,"SHORT"))*L2/1000</f>
        <v>0</v>
      </c>
      <c r="M37" s="94">
        <f>(SUMIFS(DB!AH:AH,DB!$W:$W,"Balanço",DB!$E:$E,"LONG")-SUMIFS(DB!AH:AH,DB!$W:$W,"Balanço",DB!$E:$E,"SHORT"))*M2/1000</f>
        <v>0</v>
      </c>
      <c r="N37" s="94">
        <f>(SUMIFS(DB!AI:AI,DB!$W:$W,"Balanço",DB!$E:$E,"LONG")-SUMIFS(DB!AI:AI,DB!$W:$W,"Balanço",DB!$E:$E,"SHORT"))*N2/1000</f>
        <v>-7.44</v>
      </c>
      <c r="O37" s="94">
        <f>(SUMIFS(DB!AJ:AJ,DB!$W:$W,"Balanço",DB!$E:$E,"LONG")-SUMIFS(DB!AJ:AJ,DB!$W:$W,"Balanço",DB!$E:$E,"SHORT"))*O2/1000</f>
        <v>0</v>
      </c>
      <c r="P37" s="94">
        <f>(SUMIFS(DB!AK:AK,DB!$W:$W,"Balanço",DB!$E:$E,"LONG")-SUMIFS(DB!AK:AK,DB!$W:$W,"Balanço",DB!$E:$E,"SHORT"))*P2/1000</f>
        <v>0</v>
      </c>
      <c r="Q37" s="94">
        <f>(SUMIFS(DB!AL:AL,DB!$W:$W,"Balanço",DB!$E:$E,"LONG")-SUMIFS(DB!AL:AL,DB!$W:$W,"Balanço",DB!$E:$E,"SHORT"))*Q2/1000</f>
        <v>0</v>
      </c>
      <c r="R37" s="94">
        <f>(SUMIFS(DB!AM:AM,DB!$W:$W,"Balanço",DB!$E:$E,"LONG")-SUMIFS(DB!AM:AM,DB!$W:$W,"Balanço",DB!$E:$E,"SHORT"))*R2/1000</f>
        <v>0</v>
      </c>
      <c r="S37" s="94">
        <f>(SUMIFS(DB!AN:AN,DB!$W:$W,"Balanço",DB!$E:$E,"LONG")-SUMIFS(DB!AN:AN,DB!$W:$W,"Balanço",DB!$E:$E,"SHORT"))*S2/1000</f>
        <v>0</v>
      </c>
      <c r="T37" s="94">
        <f>(SUMIFS(DB!AO:AO,DB!$W:$W,"Balanço",DB!$E:$E,"LONG")-SUMIFS(DB!AO:AO,DB!$W:$W,"Balanço",DB!$E:$E,"SHORT"))*T2/1000</f>
        <v>0</v>
      </c>
      <c r="U37" s="94">
        <f>(SUMIFS(DB!AP:AP,DB!$W:$W,"Balanço",DB!$E:$E,"LONG")-SUMIFS(DB!AP:AP,DB!$W:$W,"Balanço",DB!$E:$E,"SHORT"))*U2/1000</f>
        <v>0</v>
      </c>
      <c r="V37" s="94">
        <f>(SUMIFS(DB!AQ:AQ,DB!$W:$W,"Balanço",DB!$E:$E,"LONG")-SUMIFS(DB!AQ:AQ,DB!$W:$W,"Balanço",DB!$E:$E,"SHORT"))*V2/1000</f>
        <v>0</v>
      </c>
      <c r="W37" s="94">
        <f>(SUMIFS(DB!AR:AR,DB!$W:$W,"Balanço",DB!$E:$E,"LONG")-SUMIFS(DB!AR:AR,DB!$W:$W,"Balanço",DB!$E:$E,"SHORT"))*W2/1000</f>
        <v>0</v>
      </c>
      <c r="X37" s="94">
        <f>(SUMIFS(DB!AS:AS,DB!$W:$W,"Balanço",DB!$E:$E,"LONG")-SUMIFS(DB!AS:AS,DB!$W:$W,"Balanço",DB!$E:$E,"SHORT"))*X2/1000</f>
        <v>0</v>
      </c>
      <c r="Y37" s="94">
        <f>(SUMIFS(DB!AT:AT,DB!$W:$W,"Balanço",DB!$E:$E,"LONG")-SUMIFS(DB!AT:AT,DB!$W:$W,"Balanço",DB!$E:$E,"SHORT"))*Y2/1000</f>
        <v>0</v>
      </c>
      <c r="Z37" s="94">
        <f>(SUMIFS(DB!AU:AU,DB!$W:$W,"Balanço",DB!$E:$E,"LONG")-SUMIFS(DB!AU:AU,DB!$W:$W,"Balanço",DB!$E:$E,"SHORT"))*Z2/1000</f>
        <v>0</v>
      </c>
      <c r="AA37" s="94">
        <f>(SUMIFS(DB!AV:AV,DB!$W:$W,"Balanço",DB!$E:$E,"LONG")-SUMIFS(DB!AV:AV,DB!$W:$W,"Balanço",DB!$E:$E,"SHORT"))*AA2/1000</f>
        <v>0</v>
      </c>
      <c r="AB37" s="94">
        <f>(SUMIFS(DB!AW:AW,DB!$W:$W,"Balanço",DB!$E:$E,"LONG")-SUMIFS(DB!AW:AW,DB!$W:$W,"Balanço",DB!$E:$E,"SHORT"))*AB2/1000</f>
        <v>0</v>
      </c>
      <c r="AC37" s="94">
        <f>(SUMIFS(DB!AX:AX,DB!$W:$W,"Balanço",DB!$E:$E,"LONG")-SUMIFS(DB!AX:AX,DB!$W:$W,"Balanço",DB!$E:$E,"SHORT"))*AC2/1000</f>
        <v>0</v>
      </c>
      <c r="AD37" s="94">
        <f>(SUMIFS(DB!AY:AY,DB!$W:$W,"Balanço",DB!$E:$E,"LONG")-SUMIFS(DB!AY:AY,DB!$W:$W,"Balanço",DB!$E:$E,"SHORT"))*AD2/1000</f>
        <v>0</v>
      </c>
      <c r="AE37" s="94">
        <f>(SUMIFS(DB!AZ:AZ,DB!$W:$W,"Balanço",DB!$E:$E,"LONG")-SUMIFS(DB!AZ:AZ,DB!$W:$W,"Balanço",DB!$E:$E,"SHORT"))*AE2/1000</f>
        <v>0</v>
      </c>
      <c r="AF37" s="94">
        <f>(SUMIFS(DB!BA:BA,DB!$W:$W,"Balanço",DB!$E:$E,"LONG")-SUMIFS(DB!BA:BA,DB!$W:$W,"Balanço",DB!$E:$E,"SHORT"))*AF2/1000</f>
        <v>0</v>
      </c>
      <c r="AG37" s="94">
        <f>(SUMIFS(DB!BB:BB,DB!$W:$W,"Balanço",DB!$E:$E,"LONG")-SUMIFS(DB!BB:BB,DB!$W:$W,"Balanço",DB!$E:$E,"SHORT"))*AG2/1000</f>
        <v>0</v>
      </c>
      <c r="AH37" s="94">
        <f>(SUMIFS(DB!BC:BC,DB!$W:$W,"Balanço",DB!$E:$E,"LONG")-SUMIFS(DB!BC:BC,DB!$W:$W,"Balanço",DB!$E:$E,"SHORT"))*AH2/1000</f>
        <v>0</v>
      </c>
      <c r="AI37" s="94">
        <f>(SUMIFS(DB!BD:BD,DB!$W:$W,"Balanço",DB!$E:$E,"LONG")-SUMIFS(DB!BD:BD,DB!$W:$W,"Balanço",DB!$E:$E,"SHORT"))*AI2/1000</f>
        <v>0</v>
      </c>
      <c r="AJ37" s="94">
        <f>(SUMIFS(DB!BE:BE,DB!$W:$W,"Balanço",DB!$E:$E,"LONG")-SUMIFS(DB!BE:BE,DB!$W:$W,"Balanço",DB!$E:$E,"SHORT"))*AJ2/1000</f>
        <v>0</v>
      </c>
      <c r="AK37" s="94">
        <f>(SUMIFS(DB!BF:BF,DB!$W:$W,"Balanço",DB!$E:$E,"LONG")-SUMIFS(DB!BF:BF,DB!$W:$W,"Balanço",DB!$E:$E,"SHORT"))*AK2/1000</f>
        <v>0</v>
      </c>
      <c r="AL37" s="94">
        <f>(SUMIFS(DB!BG:BG,DB!$W:$W,"Balanço",DB!$E:$E,"LONG")-SUMIFS(DB!BG:BG,DB!$W:$W,"Balanço",DB!$E:$E,"SHORT"))*AL2/1000</f>
        <v>0</v>
      </c>
      <c r="AM37" s="94">
        <f>(SUMIFS(DB!BH:BH,DB!$W:$W,"Balanço",DB!$E:$E,"LONG")-SUMIFS(DB!BH:BH,DB!$W:$W,"Balanço",DB!$E:$E,"SHORT"))*AM2/1000</f>
        <v>0</v>
      </c>
      <c r="AN37" s="94">
        <f>(SUMIFS(DB!BI:BI,DB!$W:$W,"Balanço",DB!$E:$E,"LONG")-SUMIFS(DB!BI:BI,DB!$W:$W,"Balanço",DB!$E:$E,"SHORT"))*AN2/1000</f>
        <v>0</v>
      </c>
      <c r="AO37" s="94">
        <f>(SUMIFS(DB!BJ:BJ,DB!$W:$W,"Balanço",DB!$E:$E,"LONG")-SUMIFS(DB!BJ:BJ,DB!$W:$W,"Balanço",DB!$E:$E,"SHORT"))*AO2/1000</f>
        <v>0</v>
      </c>
      <c r="AP37" s="94">
        <f>(SUMIFS(DB!BK:BK,DB!$W:$W,"Balanço",DB!$E:$E,"LONG")-SUMIFS(DB!BK:BK,DB!$W:$W,"Balanço",DB!$E:$E,"SHORT"))*AP2/1000</f>
        <v>0</v>
      </c>
      <c r="AQ37" s="94">
        <f>(SUMIFS(DB!BL:BL,DB!$W:$W,"Balanço",DB!$E:$E,"LONG")-SUMIFS(DB!BL:BL,DB!$W:$W,"Balanço",DB!$E:$E,"SHORT"))*AQ2/1000</f>
        <v>0</v>
      </c>
      <c r="AR37" s="94">
        <f>(SUMIFS(DB!BM:BM,DB!$W:$W,"Balanço",DB!$E:$E,"LONG")-SUMIFS(DB!BM:BM,DB!$W:$W,"Balanço",DB!$E:$E,"SHORT"))*AR2/1000</f>
        <v>0</v>
      </c>
      <c r="AS37" s="94">
        <f>(SUMIFS(DB!BN:BN,DB!$W:$W,"Balanço",DB!$E:$E,"LONG")-SUMIFS(DB!BN:BN,DB!$W:$W,"Balanço",DB!$E:$E,"SHORT"))*AS2/1000</f>
        <v>0</v>
      </c>
      <c r="AT37" s="94">
        <f>(SUMIFS(DB!BO:BO,DB!$W:$W,"Balanço",DB!$E:$E,"LONG")-SUMIFS(DB!BO:BO,DB!$W:$W,"Balanço",DB!$E:$E,"SHORT"))*AT2/1000</f>
        <v>0</v>
      </c>
      <c r="AU37" s="94">
        <f>(SUMIFS(DB!BP:BP,DB!$W:$W,"Balanço",DB!$E:$E,"LONG")-SUMIFS(DB!BP:BP,DB!$W:$W,"Balanço",DB!$E:$E,"SHORT"))*AU2/1000</f>
        <v>0</v>
      </c>
      <c r="AV37" s="94">
        <f>(SUMIFS(DB!BQ:BQ,DB!$W:$W,"Balanço",DB!$E:$E,"LONG")-SUMIFS(DB!BQ:BQ,DB!$W:$W,"Balanço",DB!$E:$E,"SHORT"))*AV2/1000</f>
        <v>0</v>
      </c>
      <c r="AW37" s="94">
        <f>(SUMIFS(DB!BR:BR,DB!$W:$W,"Balanço",DB!$E:$E,"LONG")-SUMIFS(DB!BR:BR,DB!$W:$W,"Balanço",DB!$E:$E,"SHORT"))*AW2/1000</f>
        <v>0</v>
      </c>
      <c r="AX37" s="94">
        <f>(SUMIFS(DB!BS:BS,DB!$W:$W,"Balanço",DB!$E:$E,"LONG")-SUMIFS(DB!BS:BS,DB!$W:$W,"Balanço",DB!$E:$E,"SHORT"))*AX2/1000</f>
        <v>0</v>
      </c>
      <c r="AY37" s="94">
        <f>(SUMIFS(DB!BT:BT,DB!$W:$W,"Balanço",DB!$E:$E,"LONG")-SUMIFS(DB!BT:BT,DB!$W:$W,"Balanço",DB!$E:$E,"SHORT"))*AY2/1000</f>
        <v>0</v>
      </c>
      <c r="AZ37" s="94">
        <f>(SUMIFS(DB!BU:BU,DB!$W:$W,"Balanço",DB!$E:$E,"LONG")-SUMIFS(DB!BU:BU,DB!$W:$W,"Balanço",DB!$E:$E,"SHORT"))*AZ2/1000</f>
        <v>0</v>
      </c>
      <c r="BA37" s="94">
        <f>(SUMIFS(DB!BV:BV,DB!$W:$W,"Balanço",DB!$E:$E,"LONG")-SUMIFS(DB!BV:BV,DB!$W:$W,"Balanço",DB!$E:$E,"SHORT"))*BA2/1000</f>
        <v>0</v>
      </c>
      <c r="BB37" s="94">
        <f>(SUMIFS(DB!BW:BW,DB!$W:$W,"Balanço",DB!$E:$E,"LONG")-SUMIFS(DB!BW:BW,DB!$W:$W,"Balanço",DB!$E:$E,"SHORT"))*BB2/1000</f>
        <v>0</v>
      </c>
      <c r="BC37" s="94">
        <f>(SUMIFS(DB!BX:BX,DB!$W:$W,"Balanço",DB!$E:$E,"LONG")-SUMIFS(DB!BX:BX,DB!$W:$W,"Balanço",DB!$E:$E,"SHORT"))*BC2/1000</f>
        <v>0</v>
      </c>
      <c r="BD37" s="94">
        <f>(SUMIFS(DB!BY:BY,DB!$W:$W,"Balanço",DB!$E:$E,"LONG")-SUMIFS(DB!BY:BY,DB!$W:$W,"Balanço",DB!$E:$E,"SHORT"))*BD2/1000</f>
        <v>0</v>
      </c>
      <c r="BE37" s="94">
        <f>(SUMIFS(DB!BZ:BZ,DB!$W:$W,"Balanço",DB!$E:$E,"LONG")-SUMIFS(DB!BZ:BZ,DB!$W:$W,"Balanço",DB!$E:$E,"SHORT"))*BE2/1000</f>
        <v>0</v>
      </c>
      <c r="BF37" s="94">
        <f>(SUMIFS(DB!CA:CA,DB!$W:$W,"Balanço",DB!$E:$E,"LONG")-SUMIFS(DB!CA:CA,DB!$W:$W,"Balanço",DB!$E:$E,"SHORT"))*BF2/1000</f>
        <v>0</v>
      </c>
      <c r="BG37" s="94">
        <f>(SUMIFS(DB!CB:CB,DB!$W:$W,"Balanço",DB!$E:$E,"LONG")-SUMIFS(DB!CB:CB,DB!$W:$W,"Balanço",DB!$E:$E,"SHORT"))*BG2/1000</f>
        <v>0</v>
      </c>
      <c r="BH37" s="94">
        <f>(SUMIFS(DB!CC:CC,DB!$W:$W,"Balanço",DB!$E:$E,"LONG")-SUMIFS(DB!CC:CC,DB!$W:$W,"Balanço",DB!$E:$E,"SHORT"))*BH2/1000</f>
        <v>0</v>
      </c>
      <c r="BI37" s="94">
        <f>(SUMIFS(DB!CD:CD,DB!$W:$W,"Balanço",DB!$E:$E,"LONG")-SUMIFS(DB!CD:CD,DB!$W:$W,"Balanço",DB!$E:$E,"SHORT"))*BI2/1000</f>
        <v>0</v>
      </c>
      <c r="BJ37" s="94">
        <f>(SUMIFS(DB!CE:CE,DB!$W:$W,"Balanço",DB!$E:$E,"LONG")-SUMIFS(DB!CE:CE,DB!$W:$W,"Balanço",DB!$E:$E,"SHORT"))*BJ2/1000</f>
        <v>0</v>
      </c>
      <c r="BL37" s="120"/>
      <c r="BN37" s="311" t="s">
        <v>325</v>
      </c>
      <c r="BO37" s="94">
        <f>SUMIFS(RELEASES!O:O,RELEASES!$A:$A,"S")*BO2/1000</f>
        <v>6.4073280000000006</v>
      </c>
      <c r="BP37" s="94">
        <f>SUMIFS(RELEASES!P:P,RELEASES!$A:$A,"S")*BP2/1000</f>
        <v>73.200359903999995</v>
      </c>
      <c r="BQ37" s="94">
        <f>SUMIFS(RELEASES!Q:Q,RELEASES!$A:$A,"S")*BQ2/1000</f>
        <v>63.269759999999998</v>
      </c>
      <c r="BR37" s="94">
        <f>SUMIFS(RELEASES!R:R,RELEASES!$A:$A,"S")*BR2/1000</f>
        <v>15.48</v>
      </c>
      <c r="BS37" s="94">
        <f>SUMIFS(RELEASES!S:S,RELEASES!$A:$A,"S")*BS2/1000</f>
        <v>2.2320000000000002</v>
      </c>
      <c r="BT37" s="94">
        <f>SUMIFS(RELEASES!T:T,RELEASES!$A:$A,"S")*BT2/1000</f>
        <v>-78.200199999999995</v>
      </c>
      <c r="BU37" s="94">
        <f>SUMIFS(RELEASES!U:U,RELEASES!$A:$A,"S")*BU2/1000</f>
        <v>0</v>
      </c>
      <c r="BV37" s="94">
        <f>SUMIFS(RELEASES!V:V,RELEASES!$A:$A,"S")*BV2/1000</f>
        <v>0</v>
      </c>
      <c r="BW37" s="94">
        <f>SUMIFS(RELEASES!W:W,RELEASES!$A:$A,"S")*BW2/1000</f>
        <v>0</v>
      </c>
      <c r="BX37" s="94">
        <f>SUMIFS(RELEASES!X:X,RELEASES!$A:$A,"S")*BX2/1000</f>
        <v>0</v>
      </c>
      <c r="BY37" s="94">
        <f>SUMIFS(RELEASES!Y:Y,RELEASES!$A:$A,"S")*BY2/1000</f>
        <v>0</v>
      </c>
      <c r="BZ37" s="96">
        <f>SUMIFS(RELEASES!Z:Z,RELEASES!$A:$A,"S")*BZ2/1000</f>
        <v>7.44</v>
      </c>
      <c r="CA37" s="94">
        <f>SUMIFS(RELEASES!AA:AA,RELEASES!$A:$A,"S")*CA2/1000</f>
        <v>0</v>
      </c>
      <c r="CB37" s="94">
        <f>SUMIFS(RELEASES!AB:AB,RELEASES!$A:$A,"S")*CB2/1000</f>
        <v>0</v>
      </c>
      <c r="CC37" s="94">
        <f>SUMIFS(RELEASES!AC:AC,RELEASES!$A:$A,"S")*CC2/1000</f>
        <v>0</v>
      </c>
      <c r="CD37" s="94">
        <f>SUMIFS(RELEASES!AD:AD,RELEASES!$A:$A,"S")*CD2/1000</f>
        <v>0</v>
      </c>
      <c r="CE37" s="94">
        <f>SUMIFS(RELEASES!AE:AE,RELEASES!$A:$A,"S")*CE2/1000</f>
        <v>0</v>
      </c>
      <c r="CF37" s="94">
        <f>SUMIFS(RELEASES!AF:AF,RELEASES!$A:$A,"S")*CF2/1000</f>
        <v>0</v>
      </c>
      <c r="CG37" s="94">
        <f>SUMIFS(RELEASES!AG:AG,RELEASES!$A:$A,"S")*CG2/1000</f>
        <v>0</v>
      </c>
      <c r="CH37" s="94">
        <f>SUMIFS(RELEASES!AH:AH,RELEASES!$A:$A,"S")*CH2/1000</f>
        <v>0</v>
      </c>
      <c r="CI37" s="94">
        <f>SUMIFS(RELEASES!AI:AI,RELEASES!$A:$A,"S")*CI2/1000</f>
        <v>0</v>
      </c>
      <c r="CJ37" s="94">
        <f>SUMIFS(RELEASES!AJ:AJ,RELEASES!$A:$A,"S")*CJ2/1000</f>
        <v>0</v>
      </c>
      <c r="CK37" s="94">
        <f>SUMIFS(RELEASES!AK:AK,RELEASES!$A:$A,"S")*CK2/1000</f>
        <v>0</v>
      </c>
      <c r="CL37" s="95">
        <f>SUMIFS(RELEASES!AL:AL,RELEASES!$A:$A,"S")*CL2/1000</f>
        <v>0</v>
      </c>
      <c r="CM37" s="94">
        <f>SUMIFS(RELEASES!AM:AM,RELEASES!$A:$A,"S")*CM2/1000</f>
        <v>0</v>
      </c>
      <c r="CN37" s="94">
        <f>SUMIFS(RELEASES!AN:AN,RELEASES!$A:$A,"S")*CN2/1000</f>
        <v>0</v>
      </c>
      <c r="CO37" s="94">
        <f>SUMIFS(RELEASES!AO:AO,RELEASES!$A:$A,"S")*CO2/1000</f>
        <v>0</v>
      </c>
      <c r="CP37" s="94">
        <f>SUMIFS(RELEASES!AP:AP,RELEASES!$A:$A,"S")*CP2/1000</f>
        <v>0</v>
      </c>
      <c r="CQ37" s="94">
        <f>SUMIFS(RELEASES!AQ:AQ,RELEASES!$A:$A,"S")*CQ2/1000</f>
        <v>0</v>
      </c>
      <c r="CR37" s="94">
        <f>SUMIFS(RELEASES!AR:AR,RELEASES!$A:$A,"S")*CR2/1000</f>
        <v>0</v>
      </c>
      <c r="CS37" s="94">
        <f>SUMIFS(RELEASES!AS:AS,RELEASES!$A:$A,"S")*CS2/1000</f>
        <v>0</v>
      </c>
      <c r="CT37" s="94">
        <f>SUMIFS(RELEASES!AT:AT,RELEASES!$A:$A,"S")*CT2/1000</f>
        <v>0</v>
      </c>
      <c r="CU37" s="94">
        <f>SUMIFS(RELEASES!AU:AU,RELEASES!$A:$A,"S")*CU2/1000</f>
        <v>0</v>
      </c>
      <c r="CV37" s="94">
        <f>SUMIFS(RELEASES!AV:AV,RELEASES!$A:$A,"S")*CV2/1000</f>
        <v>0</v>
      </c>
      <c r="CW37" s="94">
        <f>SUMIFS(RELEASES!AW:AW,RELEASES!$A:$A,"S")*CW2/1000</f>
        <v>0</v>
      </c>
      <c r="CX37" s="96">
        <f>SUMIFS(RELEASES!AX:AX,RELEASES!$A:$A,"S")*CX2/1000</f>
        <v>0</v>
      </c>
      <c r="CY37" s="94">
        <f>SUMIFS(RELEASES!AY:AY,RELEASES!$A:$A,"S")*CY2/1000</f>
        <v>0</v>
      </c>
      <c r="CZ37" s="94">
        <f>SUMIFS(RELEASES!AZ:AZ,RELEASES!$A:$A,"S")*CZ2/1000</f>
        <v>0</v>
      </c>
      <c r="DA37" s="94">
        <f>SUMIFS(RELEASES!BA:BA,RELEASES!$A:$A,"S")*DA2/1000</f>
        <v>0</v>
      </c>
      <c r="DB37" s="94">
        <f>SUMIFS(RELEASES!BB:BB,RELEASES!$A:$A,"S")*DB2/1000</f>
        <v>0</v>
      </c>
      <c r="DC37" s="94">
        <f>SUMIFS(RELEASES!BC:BC,RELEASES!$A:$A,"S")*DC2/1000</f>
        <v>0</v>
      </c>
      <c r="DD37" s="94">
        <f>SUMIFS(RELEASES!BD:BD,RELEASES!$A:$A,"S")*DD2/1000</f>
        <v>0</v>
      </c>
      <c r="DE37" s="94">
        <f>SUMIFS(RELEASES!BE:BE,RELEASES!$A:$A,"S")*DE2/1000</f>
        <v>0</v>
      </c>
      <c r="DF37" s="94">
        <f>SUMIFS(RELEASES!BF:BF,RELEASES!$A:$A,"S")*DF2/1000</f>
        <v>0</v>
      </c>
      <c r="DG37" s="94">
        <f>SUMIFS(RELEASES!BG:BG,RELEASES!$A:$A,"S")*DG2/1000</f>
        <v>0</v>
      </c>
      <c r="DH37" s="94">
        <f>SUMIFS(RELEASES!BH:BH,RELEASES!$A:$A,"S")*DH2/1000</f>
        <v>0</v>
      </c>
      <c r="DI37" s="94">
        <f>SUMIFS(RELEASES!BI:BI,RELEASES!$A:$A,"S")*DI2/1000</f>
        <v>0</v>
      </c>
      <c r="DJ37" s="95">
        <f>SUMIFS(RELEASES!BJ:BJ,RELEASES!$A:$A,"S")*DJ2/1000</f>
        <v>0</v>
      </c>
      <c r="DK37" s="94">
        <f>SUMIFS(RELEASES!BK:BK,RELEASES!$A:$A,"S")*DK2/1000</f>
        <v>0</v>
      </c>
      <c r="DL37" s="94">
        <f>SUMIFS(RELEASES!BL:BL,RELEASES!$A:$A,"S")*DL2/1000</f>
        <v>0</v>
      </c>
      <c r="DM37" s="94">
        <f>SUMIFS(RELEASES!BM:BM,RELEASES!$A:$A,"S")*DM2/1000</f>
        <v>0</v>
      </c>
      <c r="DN37" s="94">
        <f>SUMIFS(RELEASES!BN:BN,RELEASES!$A:$A,"S")*DN2/1000</f>
        <v>0</v>
      </c>
      <c r="DO37" s="94">
        <f>SUMIFS(RELEASES!BO:BO,RELEASES!$A:$A,"S")*DO2/1000</f>
        <v>0</v>
      </c>
      <c r="DP37" s="94">
        <f>SUMIFS(RELEASES!BP:BP,RELEASES!$A:$A,"S")*DP2/1000</f>
        <v>0</v>
      </c>
      <c r="DQ37" s="94">
        <f>SUMIFS(RELEASES!BQ:BQ,RELEASES!$A:$A,"S")*DQ2/1000</f>
        <v>0</v>
      </c>
      <c r="DR37" s="94">
        <f>SUMIFS(RELEASES!BR:BR,RELEASES!$A:$A,"S")*DR2/1000</f>
        <v>0</v>
      </c>
      <c r="DS37" s="94">
        <f>SUMIFS(RELEASES!BS:BS,RELEASES!$A:$A,"S")*DS2/1000</f>
        <v>0</v>
      </c>
      <c r="DT37" s="94">
        <f>SUMIFS(RELEASES!BT:BT,RELEASES!$A:$A,"S")*DT2/1000</f>
        <v>0</v>
      </c>
      <c r="DU37" s="94">
        <f>SUMIFS(RELEASES!BU:BU,RELEASES!$A:$A,"S")*DU2/1000</f>
        <v>0</v>
      </c>
      <c r="DV37" s="95">
        <f>SUMIFS(RELEASES!BV:BV,RELEASES!$A:$A,"S")*DV2/1000</f>
        <v>0</v>
      </c>
      <c r="ED37" s="1"/>
    </row>
    <row r="38" spans="2:134" x14ac:dyDescent="0.25">
      <c r="B38" s="74" t="s">
        <v>145</v>
      </c>
      <c r="C38" s="75" t="b">
        <f>ROUND(C36,4)=ROUND(C35,4)</f>
        <v>1</v>
      </c>
      <c r="D38" s="75" t="b">
        <f t="shared" ref="D38:BJ38" si="29">ROUND(D36,4)=ROUND(D35,4)</f>
        <v>1</v>
      </c>
      <c r="E38" s="75" t="b">
        <f t="shared" si="29"/>
        <v>1</v>
      </c>
      <c r="F38" s="75" t="b">
        <f t="shared" si="29"/>
        <v>1</v>
      </c>
      <c r="G38" s="75" t="b">
        <f t="shared" si="29"/>
        <v>1</v>
      </c>
      <c r="H38" s="75" t="b">
        <f t="shared" si="29"/>
        <v>1</v>
      </c>
      <c r="I38" s="75" t="b">
        <f t="shared" si="29"/>
        <v>1</v>
      </c>
      <c r="J38" s="75" t="b">
        <f t="shared" si="29"/>
        <v>1</v>
      </c>
      <c r="K38" s="75" t="b">
        <f t="shared" si="29"/>
        <v>1</v>
      </c>
      <c r="L38" s="75" t="b">
        <f t="shared" si="29"/>
        <v>1</v>
      </c>
      <c r="M38" s="75" t="b">
        <f t="shared" si="29"/>
        <v>1</v>
      </c>
      <c r="N38" s="78" t="b">
        <f t="shared" si="29"/>
        <v>1</v>
      </c>
      <c r="O38" s="75" t="b">
        <f t="shared" si="29"/>
        <v>1</v>
      </c>
      <c r="P38" s="75" t="b">
        <f t="shared" si="29"/>
        <v>1</v>
      </c>
      <c r="Q38" s="75" t="b">
        <f t="shared" si="29"/>
        <v>1</v>
      </c>
      <c r="R38" s="75" t="b">
        <f t="shared" si="29"/>
        <v>1</v>
      </c>
      <c r="S38" s="75" t="b">
        <f t="shared" si="29"/>
        <v>1</v>
      </c>
      <c r="T38" s="75" t="b">
        <f t="shared" si="29"/>
        <v>1</v>
      </c>
      <c r="U38" s="75" t="b">
        <f t="shared" si="29"/>
        <v>1</v>
      </c>
      <c r="V38" s="75" t="b">
        <f t="shared" si="29"/>
        <v>1</v>
      </c>
      <c r="W38" s="75" t="b">
        <f t="shared" si="29"/>
        <v>1</v>
      </c>
      <c r="X38" s="75" t="b">
        <f t="shared" si="29"/>
        <v>1</v>
      </c>
      <c r="Y38" s="75" t="b">
        <f t="shared" si="29"/>
        <v>1</v>
      </c>
      <c r="Z38" s="76" t="b">
        <f t="shared" si="29"/>
        <v>1</v>
      </c>
      <c r="AA38" s="75" t="b">
        <f t="shared" si="29"/>
        <v>1</v>
      </c>
      <c r="AB38" s="75" t="b">
        <f t="shared" si="29"/>
        <v>1</v>
      </c>
      <c r="AC38" s="75" t="b">
        <f t="shared" si="29"/>
        <v>1</v>
      </c>
      <c r="AD38" s="75" t="b">
        <f t="shared" si="29"/>
        <v>1</v>
      </c>
      <c r="AE38" s="75" t="b">
        <f t="shared" si="29"/>
        <v>1</v>
      </c>
      <c r="AF38" s="75" t="b">
        <f t="shared" si="29"/>
        <v>1</v>
      </c>
      <c r="AG38" s="75" t="b">
        <f t="shared" si="29"/>
        <v>1</v>
      </c>
      <c r="AH38" s="75" t="b">
        <f t="shared" si="29"/>
        <v>1</v>
      </c>
      <c r="AI38" s="75" t="b">
        <f t="shared" si="29"/>
        <v>1</v>
      </c>
      <c r="AJ38" s="75" t="b">
        <f t="shared" si="29"/>
        <v>1</v>
      </c>
      <c r="AK38" s="75" t="b">
        <f t="shared" si="29"/>
        <v>1</v>
      </c>
      <c r="AL38" s="78" t="b">
        <f t="shared" si="29"/>
        <v>1</v>
      </c>
      <c r="AM38" s="75" t="b">
        <f t="shared" si="29"/>
        <v>1</v>
      </c>
      <c r="AN38" s="75" t="b">
        <f t="shared" si="29"/>
        <v>1</v>
      </c>
      <c r="AO38" s="75" t="b">
        <f t="shared" si="29"/>
        <v>1</v>
      </c>
      <c r="AP38" s="75" t="b">
        <f t="shared" si="29"/>
        <v>1</v>
      </c>
      <c r="AQ38" s="75" t="b">
        <f t="shared" si="29"/>
        <v>1</v>
      </c>
      <c r="AR38" s="75" t="b">
        <f t="shared" si="29"/>
        <v>1</v>
      </c>
      <c r="AS38" s="75" t="b">
        <f t="shared" si="29"/>
        <v>1</v>
      </c>
      <c r="AT38" s="75" t="b">
        <f t="shared" si="29"/>
        <v>1</v>
      </c>
      <c r="AU38" s="75" t="b">
        <f t="shared" si="29"/>
        <v>1</v>
      </c>
      <c r="AV38" s="75" t="b">
        <f t="shared" si="29"/>
        <v>1</v>
      </c>
      <c r="AW38" s="75" t="b">
        <f t="shared" si="29"/>
        <v>1</v>
      </c>
      <c r="AX38" s="76" t="b">
        <f t="shared" si="29"/>
        <v>1</v>
      </c>
      <c r="AY38" s="75" t="b">
        <f t="shared" si="29"/>
        <v>1</v>
      </c>
      <c r="AZ38" s="75" t="b">
        <f t="shared" si="29"/>
        <v>1</v>
      </c>
      <c r="BA38" s="75" t="b">
        <f t="shared" si="29"/>
        <v>1</v>
      </c>
      <c r="BB38" s="75" t="b">
        <f t="shared" si="29"/>
        <v>1</v>
      </c>
      <c r="BC38" s="75" t="b">
        <f t="shared" si="29"/>
        <v>1</v>
      </c>
      <c r="BD38" s="75" t="b">
        <f t="shared" si="29"/>
        <v>1</v>
      </c>
      <c r="BE38" s="75" t="b">
        <f t="shared" si="29"/>
        <v>1</v>
      </c>
      <c r="BF38" s="75" t="b">
        <f t="shared" si="29"/>
        <v>1</v>
      </c>
      <c r="BG38" s="75" t="b">
        <f t="shared" si="29"/>
        <v>1</v>
      </c>
      <c r="BH38" s="75" t="b">
        <f t="shared" si="29"/>
        <v>1</v>
      </c>
      <c r="BI38" s="75" t="b">
        <f t="shared" si="29"/>
        <v>1</v>
      </c>
      <c r="BJ38" s="76" t="b">
        <f t="shared" si="29"/>
        <v>1</v>
      </c>
      <c r="BL38" s="120"/>
      <c r="BN38" s="74" t="s">
        <v>145</v>
      </c>
      <c r="BO38" s="75" t="b">
        <f>ROUND(BO36,4)=ROUND(BO35,4)</f>
        <v>1</v>
      </c>
      <c r="BP38" s="75" t="b">
        <f t="shared" ref="BP38:DV38" si="30">ROUND(BP36,4)=ROUND(BP35,4)</f>
        <v>1</v>
      </c>
      <c r="BQ38" s="75" t="b">
        <f t="shared" si="30"/>
        <v>1</v>
      </c>
      <c r="BR38" s="75" t="b">
        <f t="shared" si="30"/>
        <v>1</v>
      </c>
      <c r="BS38" s="75" t="b">
        <f t="shared" si="30"/>
        <v>1</v>
      </c>
      <c r="BT38" s="75" t="b">
        <f t="shared" si="30"/>
        <v>1</v>
      </c>
      <c r="BU38" s="75" t="b">
        <f t="shared" si="30"/>
        <v>1</v>
      </c>
      <c r="BV38" s="75" t="b">
        <f t="shared" si="30"/>
        <v>1</v>
      </c>
      <c r="BW38" s="75" t="b">
        <f t="shared" si="30"/>
        <v>1</v>
      </c>
      <c r="BX38" s="75" t="b">
        <f t="shared" si="30"/>
        <v>1</v>
      </c>
      <c r="BY38" s="75" t="b">
        <f t="shared" si="30"/>
        <v>1</v>
      </c>
      <c r="BZ38" s="78" t="b">
        <f t="shared" si="30"/>
        <v>1</v>
      </c>
      <c r="CA38" s="75" t="b">
        <f t="shared" si="30"/>
        <v>1</v>
      </c>
      <c r="CB38" s="75" t="b">
        <f t="shared" si="30"/>
        <v>1</v>
      </c>
      <c r="CC38" s="75" t="b">
        <f t="shared" si="30"/>
        <v>1</v>
      </c>
      <c r="CD38" s="75" t="b">
        <f t="shared" si="30"/>
        <v>1</v>
      </c>
      <c r="CE38" s="75" t="b">
        <f t="shared" si="30"/>
        <v>1</v>
      </c>
      <c r="CF38" s="75" t="b">
        <f t="shared" si="30"/>
        <v>1</v>
      </c>
      <c r="CG38" s="75" t="b">
        <f t="shared" si="30"/>
        <v>1</v>
      </c>
      <c r="CH38" s="75" t="b">
        <f t="shared" si="30"/>
        <v>1</v>
      </c>
      <c r="CI38" s="75" t="b">
        <f t="shared" si="30"/>
        <v>1</v>
      </c>
      <c r="CJ38" s="75" t="b">
        <f t="shared" si="30"/>
        <v>1</v>
      </c>
      <c r="CK38" s="75" t="b">
        <f t="shared" si="30"/>
        <v>1</v>
      </c>
      <c r="CL38" s="76" t="b">
        <f t="shared" si="30"/>
        <v>1</v>
      </c>
      <c r="CM38" s="75" t="b">
        <f t="shared" si="30"/>
        <v>1</v>
      </c>
      <c r="CN38" s="75" t="b">
        <f t="shared" si="30"/>
        <v>1</v>
      </c>
      <c r="CO38" s="75" t="b">
        <f t="shared" si="30"/>
        <v>1</v>
      </c>
      <c r="CP38" s="75" t="b">
        <f t="shared" si="30"/>
        <v>1</v>
      </c>
      <c r="CQ38" s="75" t="b">
        <f t="shared" si="30"/>
        <v>1</v>
      </c>
      <c r="CR38" s="75" t="b">
        <f t="shared" si="30"/>
        <v>1</v>
      </c>
      <c r="CS38" s="75" t="b">
        <f t="shared" si="30"/>
        <v>1</v>
      </c>
      <c r="CT38" s="75" t="b">
        <f t="shared" si="30"/>
        <v>1</v>
      </c>
      <c r="CU38" s="75" t="b">
        <f t="shared" si="30"/>
        <v>1</v>
      </c>
      <c r="CV38" s="75" t="b">
        <f t="shared" si="30"/>
        <v>1</v>
      </c>
      <c r="CW38" s="75" t="b">
        <f t="shared" si="30"/>
        <v>1</v>
      </c>
      <c r="CX38" s="78" t="b">
        <f t="shared" si="30"/>
        <v>1</v>
      </c>
      <c r="CY38" s="75" t="b">
        <f t="shared" si="30"/>
        <v>1</v>
      </c>
      <c r="CZ38" s="75" t="b">
        <f t="shared" si="30"/>
        <v>1</v>
      </c>
      <c r="DA38" s="75" t="b">
        <f t="shared" si="30"/>
        <v>1</v>
      </c>
      <c r="DB38" s="75" t="b">
        <f t="shared" si="30"/>
        <v>1</v>
      </c>
      <c r="DC38" s="75" t="b">
        <f t="shared" si="30"/>
        <v>1</v>
      </c>
      <c r="DD38" s="75" t="b">
        <f t="shared" si="30"/>
        <v>1</v>
      </c>
      <c r="DE38" s="75" t="b">
        <f t="shared" si="30"/>
        <v>1</v>
      </c>
      <c r="DF38" s="75" t="b">
        <f t="shared" si="30"/>
        <v>1</v>
      </c>
      <c r="DG38" s="75" t="b">
        <f t="shared" si="30"/>
        <v>1</v>
      </c>
      <c r="DH38" s="75" t="b">
        <f t="shared" si="30"/>
        <v>1</v>
      </c>
      <c r="DI38" s="75" t="b">
        <f t="shared" si="30"/>
        <v>1</v>
      </c>
      <c r="DJ38" s="76" t="b">
        <f t="shared" si="30"/>
        <v>1</v>
      </c>
      <c r="DK38" s="75" t="b">
        <f t="shared" si="30"/>
        <v>1</v>
      </c>
      <c r="DL38" s="75" t="b">
        <f t="shared" si="30"/>
        <v>1</v>
      </c>
      <c r="DM38" s="75" t="b">
        <f t="shared" si="30"/>
        <v>1</v>
      </c>
      <c r="DN38" s="75" t="b">
        <f t="shared" si="30"/>
        <v>1</v>
      </c>
      <c r="DO38" s="75" t="b">
        <f t="shared" si="30"/>
        <v>1</v>
      </c>
      <c r="DP38" s="75" t="b">
        <f t="shared" si="30"/>
        <v>1</v>
      </c>
      <c r="DQ38" s="75" t="b">
        <f t="shared" si="30"/>
        <v>1</v>
      </c>
      <c r="DR38" s="75" t="b">
        <f t="shared" si="30"/>
        <v>1</v>
      </c>
      <c r="DS38" s="75" t="b">
        <f t="shared" si="30"/>
        <v>1</v>
      </c>
      <c r="DT38" s="75" t="b">
        <f t="shared" si="30"/>
        <v>1</v>
      </c>
      <c r="DU38" s="75" t="b">
        <f t="shared" si="30"/>
        <v>1</v>
      </c>
      <c r="DV38" s="76" t="b">
        <f t="shared" si="30"/>
        <v>1</v>
      </c>
    </row>
    <row r="39" spans="2:134" x14ac:dyDescent="0.25">
      <c r="B39" s="291" t="b">
        <f>SUM(C39:Z39)=24</f>
        <v>1</v>
      </c>
      <c r="C39" s="292">
        <f>IF(C38=TRUE,1,0)</f>
        <v>1</v>
      </c>
      <c r="D39" s="292">
        <f t="shared" ref="D39:BJ39" si="31">IF(D38=TRUE,1,0)</f>
        <v>1</v>
      </c>
      <c r="E39" s="292">
        <f t="shared" si="31"/>
        <v>1</v>
      </c>
      <c r="F39" s="292">
        <f t="shared" si="31"/>
        <v>1</v>
      </c>
      <c r="G39" s="292">
        <f t="shared" si="31"/>
        <v>1</v>
      </c>
      <c r="H39" s="292">
        <f t="shared" si="31"/>
        <v>1</v>
      </c>
      <c r="I39" s="292">
        <f t="shared" si="31"/>
        <v>1</v>
      </c>
      <c r="J39" s="292">
        <f t="shared" si="31"/>
        <v>1</v>
      </c>
      <c r="K39" s="292">
        <f t="shared" si="31"/>
        <v>1</v>
      </c>
      <c r="L39" s="292">
        <f t="shared" si="31"/>
        <v>1</v>
      </c>
      <c r="M39" s="292">
        <f t="shared" si="31"/>
        <v>1</v>
      </c>
      <c r="N39" s="292">
        <f t="shared" si="31"/>
        <v>1</v>
      </c>
      <c r="O39" s="292">
        <f t="shared" si="31"/>
        <v>1</v>
      </c>
      <c r="P39" s="292">
        <f t="shared" si="31"/>
        <v>1</v>
      </c>
      <c r="Q39" s="292">
        <f t="shared" si="31"/>
        <v>1</v>
      </c>
      <c r="R39" s="292">
        <f t="shared" si="31"/>
        <v>1</v>
      </c>
      <c r="S39" s="292">
        <f t="shared" si="31"/>
        <v>1</v>
      </c>
      <c r="T39" s="292">
        <f t="shared" si="31"/>
        <v>1</v>
      </c>
      <c r="U39" s="292">
        <f t="shared" si="31"/>
        <v>1</v>
      </c>
      <c r="V39" s="292">
        <f t="shared" si="31"/>
        <v>1</v>
      </c>
      <c r="W39" s="292">
        <f t="shared" si="31"/>
        <v>1</v>
      </c>
      <c r="X39" s="292">
        <f t="shared" si="31"/>
        <v>1</v>
      </c>
      <c r="Y39" s="292">
        <f t="shared" si="31"/>
        <v>1</v>
      </c>
      <c r="Z39" s="292">
        <f t="shared" si="31"/>
        <v>1</v>
      </c>
      <c r="AA39" s="292">
        <f t="shared" si="31"/>
        <v>1</v>
      </c>
      <c r="AB39" s="292">
        <f t="shared" si="31"/>
        <v>1</v>
      </c>
      <c r="AC39" s="292">
        <f t="shared" si="31"/>
        <v>1</v>
      </c>
      <c r="AD39" s="292">
        <f t="shared" si="31"/>
        <v>1</v>
      </c>
      <c r="AE39" s="292">
        <f t="shared" si="31"/>
        <v>1</v>
      </c>
      <c r="AF39" s="292">
        <f t="shared" si="31"/>
        <v>1</v>
      </c>
      <c r="AG39" s="292">
        <f t="shared" si="31"/>
        <v>1</v>
      </c>
      <c r="AH39" s="292">
        <f t="shared" si="31"/>
        <v>1</v>
      </c>
      <c r="AI39" s="292">
        <f t="shared" si="31"/>
        <v>1</v>
      </c>
      <c r="AJ39" s="292">
        <f t="shared" si="31"/>
        <v>1</v>
      </c>
      <c r="AK39" s="292">
        <f t="shared" si="31"/>
        <v>1</v>
      </c>
      <c r="AL39" s="292">
        <f t="shared" si="31"/>
        <v>1</v>
      </c>
      <c r="AM39" s="292">
        <f t="shared" si="31"/>
        <v>1</v>
      </c>
      <c r="AN39" s="292">
        <f t="shared" si="31"/>
        <v>1</v>
      </c>
      <c r="AO39" s="292">
        <f t="shared" si="31"/>
        <v>1</v>
      </c>
      <c r="AP39" s="292">
        <f t="shared" si="31"/>
        <v>1</v>
      </c>
      <c r="AQ39" s="292">
        <f t="shared" si="31"/>
        <v>1</v>
      </c>
      <c r="AR39" s="292">
        <f t="shared" si="31"/>
        <v>1</v>
      </c>
      <c r="AS39" s="292">
        <f t="shared" si="31"/>
        <v>1</v>
      </c>
      <c r="AT39" s="292">
        <f t="shared" si="31"/>
        <v>1</v>
      </c>
      <c r="AU39" s="292">
        <f t="shared" si="31"/>
        <v>1</v>
      </c>
      <c r="AV39" s="292">
        <f t="shared" si="31"/>
        <v>1</v>
      </c>
      <c r="AW39" s="292">
        <f t="shared" si="31"/>
        <v>1</v>
      </c>
      <c r="AX39" s="292">
        <f t="shared" si="31"/>
        <v>1</v>
      </c>
      <c r="AY39" s="292">
        <f t="shared" si="31"/>
        <v>1</v>
      </c>
      <c r="AZ39" s="292">
        <f t="shared" si="31"/>
        <v>1</v>
      </c>
      <c r="BA39" s="292">
        <f t="shared" si="31"/>
        <v>1</v>
      </c>
      <c r="BB39" s="292">
        <f t="shared" si="31"/>
        <v>1</v>
      </c>
      <c r="BC39" s="292">
        <f t="shared" si="31"/>
        <v>1</v>
      </c>
      <c r="BD39" s="292">
        <f t="shared" si="31"/>
        <v>1</v>
      </c>
      <c r="BE39" s="292">
        <f t="shared" si="31"/>
        <v>1</v>
      </c>
      <c r="BF39" s="292">
        <f t="shared" si="31"/>
        <v>1</v>
      </c>
      <c r="BG39" s="292">
        <f t="shared" si="31"/>
        <v>1</v>
      </c>
      <c r="BH39" s="292">
        <f t="shared" si="31"/>
        <v>1</v>
      </c>
      <c r="BI39" s="292">
        <f t="shared" si="31"/>
        <v>1</v>
      </c>
      <c r="BJ39" s="292">
        <f t="shared" si="31"/>
        <v>1</v>
      </c>
      <c r="BL39" s="120"/>
      <c r="BN39" s="291" t="b">
        <f>SUM(BO39:CL39)=24</f>
        <v>1</v>
      </c>
      <c r="BO39" s="292">
        <f>IF(BO38=TRUE,1,0)</f>
        <v>1</v>
      </c>
      <c r="BP39" s="292">
        <f t="shared" ref="BP39:DV39" si="32">IF(BP38=TRUE,1,0)</f>
        <v>1</v>
      </c>
      <c r="BQ39" s="292">
        <f t="shared" si="32"/>
        <v>1</v>
      </c>
      <c r="BR39" s="292">
        <f t="shared" si="32"/>
        <v>1</v>
      </c>
      <c r="BS39" s="292">
        <f t="shared" si="32"/>
        <v>1</v>
      </c>
      <c r="BT39" s="292">
        <f t="shared" si="32"/>
        <v>1</v>
      </c>
      <c r="BU39" s="292">
        <f t="shared" si="32"/>
        <v>1</v>
      </c>
      <c r="BV39" s="292">
        <f t="shared" si="32"/>
        <v>1</v>
      </c>
      <c r="BW39" s="292">
        <f t="shared" si="32"/>
        <v>1</v>
      </c>
      <c r="BX39" s="292">
        <f t="shared" si="32"/>
        <v>1</v>
      </c>
      <c r="BY39" s="292">
        <f t="shared" si="32"/>
        <v>1</v>
      </c>
      <c r="BZ39" s="292">
        <f t="shared" si="32"/>
        <v>1</v>
      </c>
      <c r="CA39" s="292">
        <f t="shared" si="32"/>
        <v>1</v>
      </c>
      <c r="CB39" s="292">
        <f t="shared" si="32"/>
        <v>1</v>
      </c>
      <c r="CC39" s="292">
        <f t="shared" si="32"/>
        <v>1</v>
      </c>
      <c r="CD39" s="292">
        <f t="shared" si="32"/>
        <v>1</v>
      </c>
      <c r="CE39" s="292">
        <f t="shared" si="32"/>
        <v>1</v>
      </c>
      <c r="CF39" s="292">
        <f t="shared" si="32"/>
        <v>1</v>
      </c>
      <c r="CG39" s="292">
        <f t="shared" si="32"/>
        <v>1</v>
      </c>
      <c r="CH39" s="292">
        <f t="shared" si="32"/>
        <v>1</v>
      </c>
      <c r="CI39" s="292">
        <f t="shared" si="32"/>
        <v>1</v>
      </c>
      <c r="CJ39" s="292">
        <f t="shared" si="32"/>
        <v>1</v>
      </c>
      <c r="CK39" s="292">
        <f t="shared" si="32"/>
        <v>1</v>
      </c>
      <c r="CL39" s="292">
        <f t="shared" si="32"/>
        <v>1</v>
      </c>
      <c r="CM39" s="292">
        <f t="shared" si="32"/>
        <v>1</v>
      </c>
      <c r="CN39" s="292">
        <f t="shared" si="32"/>
        <v>1</v>
      </c>
      <c r="CO39" s="292">
        <f t="shared" si="32"/>
        <v>1</v>
      </c>
      <c r="CP39" s="292">
        <f t="shared" si="32"/>
        <v>1</v>
      </c>
      <c r="CQ39" s="292">
        <f t="shared" si="32"/>
        <v>1</v>
      </c>
      <c r="CR39" s="292">
        <f t="shared" si="32"/>
        <v>1</v>
      </c>
      <c r="CS39" s="292">
        <f t="shared" si="32"/>
        <v>1</v>
      </c>
      <c r="CT39" s="292">
        <f t="shared" si="32"/>
        <v>1</v>
      </c>
      <c r="CU39" s="292">
        <f t="shared" si="32"/>
        <v>1</v>
      </c>
      <c r="CV39" s="292">
        <f t="shared" si="32"/>
        <v>1</v>
      </c>
      <c r="CW39" s="292">
        <f t="shared" si="32"/>
        <v>1</v>
      </c>
      <c r="CX39" s="292">
        <f t="shared" si="32"/>
        <v>1</v>
      </c>
      <c r="CY39" s="292">
        <f t="shared" si="32"/>
        <v>1</v>
      </c>
      <c r="CZ39" s="292">
        <f t="shared" si="32"/>
        <v>1</v>
      </c>
      <c r="DA39" s="292">
        <f t="shared" si="32"/>
        <v>1</v>
      </c>
      <c r="DB39" s="292">
        <f t="shared" si="32"/>
        <v>1</v>
      </c>
      <c r="DC39" s="292">
        <f t="shared" si="32"/>
        <v>1</v>
      </c>
      <c r="DD39" s="292">
        <f t="shared" si="32"/>
        <v>1</v>
      </c>
      <c r="DE39" s="292">
        <f t="shared" si="32"/>
        <v>1</v>
      </c>
      <c r="DF39" s="292">
        <f t="shared" si="32"/>
        <v>1</v>
      </c>
      <c r="DG39" s="292">
        <f t="shared" si="32"/>
        <v>1</v>
      </c>
      <c r="DH39" s="292">
        <f t="shared" si="32"/>
        <v>1</v>
      </c>
      <c r="DI39" s="292">
        <f t="shared" si="32"/>
        <v>1</v>
      </c>
      <c r="DJ39" s="292">
        <f t="shared" si="32"/>
        <v>1</v>
      </c>
      <c r="DK39" s="292">
        <f t="shared" si="32"/>
        <v>1</v>
      </c>
      <c r="DL39" s="292">
        <f t="shared" si="32"/>
        <v>1</v>
      </c>
      <c r="DM39" s="292">
        <f t="shared" si="32"/>
        <v>1</v>
      </c>
      <c r="DN39" s="292">
        <f t="shared" si="32"/>
        <v>1</v>
      </c>
      <c r="DO39" s="292">
        <f t="shared" si="32"/>
        <v>1</v>
      </c>
      <c r="DP39" s="292">
        <f t="shared" si="32"/>
        <v>1</v>
      </c>
      <c r="DQ39" s="292">
        <f t="shared" si="32"/>
        <v>1</v>
      </c>
      <c r="DR39" s="292">
        <f t="shared" si="32"/>
        <v>1</v>
      </c>
      <c r="DS39" s="292">
        <f t="shared" si="32"/>
        <v>1</v>
      </c>
      <c r="DT39" s="292">
        <f t="shared" si="32"/>
        <v>1</v>
      </c>
      <c r="DU39" s="292">
        <f t="shared" si="32"/>
        <v>1</v>
      </c>
      <c r="DV39" s="292">
        <f t="shared" si="32"/>
        <v>1</v>
      </c>
    </row>
    <row r="40" spans="2:134" x14ac:dyDescent="0.25">
      <c r="B40" s="780" t="s">
        <v>146</v>
      </c>
      <c r="C40" s="780"/>
      <c r="D40" s="780"/>
      <c r="E40" s="780"/>
      <c r="F40" s="780"/>
      <c r="G40" s="780"/>
      <c r="H40" s="780"/>
      <c r="I40" s="780"/>
      <c r="J40" s="780"/>
      <c r="K40" s="780"/>
      <c r="L40" s="780"/>
      <c r="M40" s="780"/>
      <c r="N40" s="780"/>
      <c r="O40" s="780"/>
      <c r="P40" s="780"/>
      <c r="Q40" s="780"/>
      <c r="R40" s="780"/>
      <c r="S40" s="780"/>
      <c r="T40" s="780"/>
      <c r="U40" s="780"/>
      <c r="V40" s="780"/>
      <c r="W40" s="780"/>
      <c r="X40" s="780"/>
      <c r="Y40" s="780"/>
      <c r="Z40" s="780"/>
      <c r="AA40" s="780"/>
      <c r="AB40" s="780"/>
      <c r="AC40" s="780"/>
      <c r="AD40" s="780"/>
      <c r="AE40" s="780"/>
      <c r="AF40" s="780"/>
      <c r="AG40" s="780"/>
      <c r="AH40" s="780"/>
      <c r="AI40" s="780"/>
      <c r="AJ40" s="780"/>
      <c r="AK40" s="780"/>
      <c r="AL40" s="780"/>
      <c r="AM40" s="780"/>
      <c r="AN40" s="780"/>
      <c r="AO40" s="780"/>
      <c r="AP40" s="780"/>
      <c r="AQ40" s="780"/>
      <c r="AR40" s="780"/>
      <c r="AS40" s="780"/>
      <c r="AT40" s="780"/>
      <c r="AU40" s="780"/>
      <c r="AV40" s="780"/>
      <c r="AW40" s="780"/>
      <c r="AX40" s="780"/>
      <c r="AY40" s="780"/>
      <c r="AZ40" s="780"/>
      <c r="BA40" s="780"/>
      <c r="BB40" s="780"/>
      <c r="BC40" s="780"/>
      <c r="BD40" s="780"/>
      <c r="BE40" s="780"/>
      <c r="BF40" s="780"/>
      <c r="BG40" s="780"/>
      <c r="BH40" s="780"/>
      <c r="BI40" s="780"/>
      <c r="BJ40" s="780"/>
      <c r="BL40" s="120"/>
      <c r="BN40" s="791" t="s">
        <v>199</v>
      </c>
      <c r="BO40" s="791"/>
      <c r="BP40" s="791"/>
      <c r="BQ40" s="791"/>
      <c r="BR40" s="791"/>
      <c r="BS40" s="791"/>
      <c r="BT40" s="791"/>
      <c r="BU40" s="791"/>
      <c r="BV40" s="791"/>
      <c r="BW40" s="791"/>
      <c r="BX40" s="791"/>
      <c r="BY40" s="791"/>
      <c r="BZ40" s="791"/>
      <c r="CA40" s="791"/>
      <c r="CB40" s="791"/>
      <c r="CC40" s="791"/>
      <c r="CD40" s="791"/>
      <c r="CE40" s="791"/>
      <c r="CF40" s="791"/>
      <c r="CG40" s="791"/>
      <c r="CH40" s="791"/>
      <c r="CI40" s="791"/>
      <c r="CJ40" s="791"/>
      <c r="CK40" s="791"/>
      <c r="CL40" s="791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</row>
    <row r="41" spans="2:134" x14ac:dyDescent="0.25">
      <c r="C41" s="52">
        <f>C2</f>
        <v>744</v>
      </c>
      <c r="D41" s="52">
        <f t="shared" ref="D41:Z41" si="33">D2</f>
        <v>672</v>
      </c>
      <c r="E41" s="52">
        <f t="shared" si="33"/>
        <v>744</v>
      </c>
      <c r="F41" s="52">
        <f t="shared" si="33"/>
        <v>720</v>
      </c>
      <c r="G41" s="52">
        <f t="shared" si="33"/>
        <v>744</v>
      </c>
      <c r="H41" s="52">
        <f t="shared" si="33"/>
        <v>720</v>
      </c>
      <c r="I41" s="52">
        <f t="shared" si="33"/>
        <v>744</v>
      </c>
      <c r="J41" s="52">
        <f t="shared" si="33"/>
        <v>744</v>
      </c>
      <c r="K41" s="52">
        <f t="shared" si="33"/>
        <v>720</v>
      </c>
      <c r="L41" s="52">
        <f t="shared" si="33"/>
        <v>744</v>
      </c>
      <c r="M41" s="52">
        <f t="shared" si="33"/>
        <v>720</v>
      </c>
      <c r="N41" s="52">
        <f t="shared" si="33"/>
        <v>744</v>
      </c>
      <c r="O41" s="52">
        <f t="shared" si="33"/>
        <v>744</v>
      </c>
      <c r="P41" s="52">
        <f t="shared" si="33"/>
        <v>672</v>
      </c>
      <c r="Q41" s="52">
        <f t="shared" si="33"/>
        <v>744</v>
      </c>
      <c r="R41" s="52">
        <f t="shared" si="33"/>
        <v>720</v>
      </c>
      <c r="S41" s="52">
        <f t="shared" si="33"/>
        <v>744</v>
      </c>
      <c r="T41" s="52">
        <f t="shared" si="33"/>
        <v>720</v>
      </c>
      <c r="U41" s="52">
        <f t="shared" si="33"/>
        <v>744</v>
      </c>
      <c r="V41" s="52">
        <f t="shared" si="33"/>
        <v>744</v>
      </c>
      <c r="W41" s="52">
        <f t="shared" si="33"/>
        <v>720</v>
      </c>
      <c r="X41" s="52">
        <f t="shared" si="33"/>
        <v>744</v>
      </c>
      <c r="Y41" s="52">
        <f t="shared" si="33"/>
        <v>720</v>
      </c>
      <c r="Z41" s="52">
        <f t="shared" si="33"/>
        <v>744</v>
      </c>
      <c r="AA41" s="52">
        <f>AA2</f>
        <v>744</v>
      </c>
      <c r="AB41" s="52">
        <f t="shared" ref="AB41:AX41" si="34">AB2</f>
        <v>696</v>
      </c>
      <c r="AC41" s="52">
        <f t="shared" si="34"/>
        <v>744</v>
      </c>
      <c r="AD41" s="52">
        <f t="shared" si="34"/>
        <v>720</v>
      </c>
      <c r="AE41" s="52">
        <f t="shared" si="34"/>
        <v>744</v>
      </c>
      <c r="AF41" s="52">
        <f t="shared" si="34"/>
        <v>720</v>
      </c>
      <c r="AG41" s="52">
        <f t="shared" si="34"/>
        <v>744</v>
      </c>
      <c r="AH41" s="52">
        <f t="shared" si="34"/>
        <v>744</v>
      </c>
      <c r="AI41" s="52">
        <f t="shared" si="34"/>
        <v>720</v>
      </c>
      <c r="AJ41" s="52">
        <f t="shared" si="34"/>
        <v>744</v>
      </c>
      <c r="AK41" s="52">
        <f t="shared" si="34"/>
        <v>720</v>
      </c>
      <c r="AL41" s="52">
        <f t="shared" si="34"/>
        <v>744</v>
      </c>
      <c r="AM41" s="52">
        <f t="shared" si="34"/>
        <v>744</v>
      </c>
      <c r="AN41" s="52">
        <f t="shared" si="34"/>
        <v>672</v>
      </c>
      <c r="AO41" s="52">
        <f t="shared" si="34"/>
        <v>744</v>
      </c>
      <c r="AP41" s="52">
        <f t="shared" si="34"/>
        <v>720</v>
      </c>
      <c r="AQ41" s="52">
        <f t="shared" si="34"/>
        <v>744</v>
      </c>
      <c r="AR41" s="52">
        <f t="shared" si="34"/>
        <v>720</v>
      </c>
      <c r="AS41" s="52">
        <f t="shared" si="34"/>
        <v>744</v>
      </c>
      <c r="AT41" s="52">
        <f t="shared" si="34"/>
        <v>744</v>
      </c>
      <c r="AU41" s="52">
        <f t="shared" si="34"/>
        <v>720</v>
      </c>
      <c r="AV41" s="52">
        <f t="shared" si="34"/>
        <v>744</v>
      </c>
      <c r="AW41" s="52">
        <f t="shared" si="34"/>
        <v>720</v>
      </c>
      <c r="AX41" s="52">
        <f t="shared" si="34"/>
        <v>744</v>
      </c>
      <c r="AY41" s="52">
        <f t="shared" ref="AY41:BJ41" si="35">AY2</f>
        <v>744</v>
      </c>
      <c r="AZ41" s="52">
        <f t="shared" si="35"/>
        <v>672</v>
      </c>
      <c r="BA41" s="52">
        <f t="shared" si="35"/>
        <v>744</v>
      </c>
      <c r="BB41" s="52">
        <f t="shared" si="35"/>
        <v>720</v>
      </c>
      <c r="BC41" s="52">
        <f t="shared" si="35"/>
        <v>744</v>
      </c>
      <c r="BD41" s="52">
        <f t="shared" si="35"/>
        <v>720</v>
      </c>
      <c r="BE41" s="52">
        <f t="shared" si="35"/>
        <v>744</v>
      </c>
      <c r="BF41" s="52">
        <f t="shared" si="35"/>
        <v>744</v>
      </c>
      <c r="BG41" s="52">
        <f t="shared" si="35"/>
        <v>720</v>
      </c>
      <c r="BH41" s="52">
        <f t="shared" si="35"/>
        <v>744</v>
      </c>
      <c r="BI41" s="52">
        <f t="shared" si="35"/>
        <v>720</v>
      </c>
      <c r="BJ41" s="52">
        <f t="shared" si="35"/>
        <v>744</v>
      </c>
      <c r="BL41" s="120"/>
      <c r="BO41" s="52">
        <f>BO2</f>
        <v>744</v>
      </c>
      <c r="BP41" s="52">
        <f t="shared" ref="BP41:CL41" si="36">BP2</f>
        <v>672</v>
      </c>
      <c r="BQ41" s="52">
        <f t="shared" si="36"/>
        <v>744</v>
      </c>
      <c r="BR41" s="52">
        <f t="shared" si="36"/>
        <v>720</v>
      </c>
      <c r="BS41" s="52">
        <f t="shared" si="36"/>
        <v>744</v>
      </c>
      <c r="BT41" s="52">
        <f t="shared" si="36"/>
        <v>720</v>
      </c>
      <c r="BU41" s="52">
        <f t="shared" si="36"/>
        <v>744</v>
      </c>
      <c r="BV41" s="52">
        <f t="shared" si="36"/>
        <v>744</v>
      </c>
      <c r="BW41" s="52">
        <f t="shared" si="36"/>
        <v>720</v>
      </c>
      <c r="BX41" s="52">
        <f t="shared" si="36"/>
        <v>744</v>
      </c>
      <c r="BY41" s="52">
        <f t="shared" si="36"/>
        <v>720</v>
      </c>
      <c r="BZ41" s="52">
        <f t="shared" si="36"/>
        <v>744</v>
      </c>
      <c r="CA41" s="52">
        <f t="shared" si="36"/>
        <v>744</v>
      </c>
      <c r="CB41" s="52">
        <f t="shared" si="36"/>
        <v>672</v>
      </c>
      <c r="CC41" s="52">
        <f t="shared" si="36"/>
        <v>744</v>
      </c>
      <c r="CD41" s="52">
        <f t="shared" si="36"/>
        <v>720</v>
      </c>
      <c r="CE41" s="52">
        <f t="shared" si="36"/>
        <v>744</v>
      </c>
      <c r="CF41" s="52">
        <f t="shared" si="36"/>
        <v>720</v>
      </c>
      <c r="CG41" s="52">
        <f t="shared" si="36"/>
        <v>744</v>
      </c>
      <c r="CH41" s="52">
        <f t="shared" si="36"/>
        <v>744</v>
      </c>
      <c r="CI41" s="52">
        <f t="shared" si="36"/>
        <v>720</v>
      </c>
      <c r="CJ41" s="52">
        <f t="shared" si="36"/>
        <v>744</v>
      </c>
      <c r="CK41" s="52">
        <f t="shared" si="36"/>
        <v>720</v>
      </c>
      <c r="CL41" s="52">
        <f t="shared" si="36"/>
        <v>744</v>
      </c>
      <c r="CM41" s="52">
        <f>CM2</f>
        <v>744</v>
      </c>
      <c r="CN41" s="52">
        <f t="shared" ref="CN41:DJ41" si="37">CN2</f>
        <v>696</v>
      </c>
      <c r="CO41" s="52">
        <f t="shared" si="37"/>
        <v>744</v>
      </c>
      <c r="CP41" s="52">
        <f t="shared" si="37"/>
        <v>720</v>
      </c>
      <c r="CQ41" s="52">
        <f t="shared" si="37"/>
        <v>744</v>
      </c>
      <c r="CR41" s="52">
        <f t="shared" si="37"/>
        <v>720</v>
      </c>
      <c r="CS41" s="52">
        <f t="shared" si="37"/>
        <v>744</v>
      </c>
      <c r="CT41" s="52">
        <f t="shared" si="37"/>
        <v>744</v>
      </c>
      <c r="CU41" s="52">
        <f t="shared" si="37"/>
        <v>720</v>
      </c>
      <c r="CV41" s="52">
        <f t="shared" si="37"/>
        <v>744</v>
      </c>
      <c r="CW41" s="52">
        <f t="shared" si="37"/>
        <v>720</v>
      </c>
      <c r="CX41" s="52">
        <f t="shared" si="37"/>
        <v>744</v>
      </c>
      <c r="CY41" s="52">
        <f t="shared" si="37"/>
        <v>744</v>
      </c>
      <c r="CZ41" s="52">
        <f t="shared" si="37"/>
        <v>672</v>
      </c>
      <c r="DA41" s="52">
        <f t="shared" si="37"/>
        <v>744</v>
      </c>
      <c r="DB41" s="52">
        <f t="shared" si="37"/>
        <v>720</v>
      </c>
      <c r="DC41" s="52">
        <f t="shared" si="37"/>
        <v>744</v>
      </c>
      <c r="DD41" s="52">
        <f t="shared" si="37"/>
        <v>720</v>
      </c>
      <c r="DE41" s="52">
        <f t="shared" si="37"/>
        <v>744</v>
      </c>
      <c r="DF41" s="52">
        <f t="shared" si="37"/>
        <v>744</v>
      </c>
      <c r="DG41" s="52">
        <f t="shared" si="37"/>
        <v>720</v>
      </c>
      <c r="DH41" s="52">
        <f t="shared" si="37"/>
        <v>744</v>
      </c>
      <c r="DI41" s="52">
        <f t="shared" si="37"/>
        <v>720</v>
      </c>
      <c r="DJ41" s="52">
        <f t="shared" si="37"/>
        <v>744</v>
      </c>
      <c r="DK41" s="52">
        <f t="shared" ref="DK41:DV41" si="38">DK2</f>
        <v>744</v>
      </c>
      <c r="DL41" s="52">
        <f t="shared" si="38"/>
        <v>672</v>
      </c>
      <c r="DM41" s="52">
        <f t="shared" si="38"/>
        <v>744</v>
      </c>
      <c r="DN41" s="52">
        <f t="shared" si="38"/>
        <v>720</v>
      </c>
      <c r="DO41" s="52">
        <f t="shared" si="38"/>
        <v>744</v>
      </c>
      <c r="DP41" s="52">
        <f t="shared" si="38"/>
        <v>720</v>
      </c>
      <c r="DQ41" s="52">
        <f t="shared" si="38"/>
        <v>744</v>
      </c>
      <c r="DR41" s="52">
        <f t="shared" si="38"/>
        <v>744</v>
      </c>
      <c r="DS41" s="52">
        <f t="shared" si="38"/>
        <v>720</v>
      </c>
      <c r="DT41" s="52">
        <f t="shared" si="38"/>
        <v>744</v>
      </c>
      <c r="DU41" s="52">
        <f t="shared" si="38"/>
        <v>720</v>
      </c>
      <c r="DV41" s="52">
        <f t="shared" si="38"/>
        <v>744</v>
      </c>
    </row>
    <row r="42" spans="2:134" ht="15.75" thickBot="1" x14ac:dyDescent="0.3">
      <c r="B42" s="59" t="s">
        <v>17</v>
      </c>
      <c r="C42" s="55">
        <f>C3</f>
        <v>44562</v>
      </c>
      <c r="D42" s="55">
        <f t="shared" ref="D42:Z42" si="39">D3</f>
        <v>44593</v>
      </c>
      <c r="E42" s="55">
        <f t="shared" si="39"/>
        <v>44621</v>
      </c>
      <c r="F42" s="55">
        <f t="shared" si="39"/>
        <v>44652</v>
      </c>
      <c r="G42" s="55">
        <f t="shared" si="39"/>
        <v>44682</v>
      </c>
      <c r="H42" s="55">
        <f t="shared" si="39"/>
        <v>44713</v>
      </c>
      <c r="I42" s="55">
        <f t="shared" si="39"/>
        <v>44743</v>
      </c>
      <c r="J42" s="55">
        <f t="shared" si="39"/>
        <v>44774</v>
      </c>
      <c r="K42" s="55">
        <f t="shared" si="39"/>
        <v>44805</v>
      </c>
      <c r="L42" s="55">
        <f t="shared" si="39"/>
        <v>44835</v>
      </c>
      <c r="M42" s="55">
        <f t="shared" si="39"/>
        <v>44866</v>
      </c>
      <c r="N42" s="58">
        <f t="shared" si="39"/>
        <v>44896</v>
      </c>
      <c r="O42" s="55">
        <f t="shared" si="39"/>
        <v>44927</v>
      </c>
      <c r="P42" s="55">
        <f t="shared" si="39"/>
        <v>44958</v>
      </c>
      <c r="Q42" s="55">
        <f t="shared" si="39"/>
        <v>44986</v>
      </c>
      <c r="R42" s="55">
        <f t="shared" si="39"/>
        <v>45017</v>
      </c>
      <c r="S42" s="55">
        <f t="shared" si="39"/>
        <v>45047</v>
      </c>
      <c r="T42" s="55">
        <f t="shared" si="39"/>
        <v>45078</v>
      </c>
      <c r="U42" s="55">
        <f t="shared" si="39"/>
        <v>45108</v>
      </c>
      <c r="V42" s="55">
        <f t="shared" si="39"/>
        <v>45139</v>
      </c>
      <c r="W42" s="55">
        <f t="shared" si="39"/>
        <v>45170</v>
      </c>
      <c r="X42" s="55">
        <f t="shared" si="39"/>
        <v>45200</v>
      </c>
      <c r="Y42" s="55">
        <f t="shared" si="39"/>
        <v>45231</v>
      </c>
      <c r="Z42" s="58">
        <f t="shared" si="39"/>
        <v>45261</v>
      </c>
      <c r="AA42" s="55">
        <f>AA3</f>
        <v>45292</v>
      </c>
      <c r="AB42" s="55">
        <f t="shared" ref="AB42:AX42" si="40">AB3</f>
        <v>45323</v>
      </c>
      <c r="AC42" s="55">
        <f t="shared" si="40"/>
        <v>45352</v>
      </c>
      <c r="AD42" s="55">
        <f t="shared" si="40"/>
        <v>45383</v>
      </c>
      <c r="AE42" s="55">
        <f t="shared" si="40"/>
        <v>45413</v>
      </c>
      <c r="AF42" s="55">
        <f t="shared" si="40"/>
        <v>45444</v>
      </c>
      <c r="AG42" s="55">
        <f t="shared" si="40"/>
        <v>45474</v>
      </c>
      <c r="AH42" s="55">
        <f t="shared" si="40"/>
        <v>45505</v>
      </c>
      <c r="AI42" s="55">
        <f t="shared" si="40"/>
        <v>45536</v>
      </c>
      <c r="AJ42" s="55">
        <f t="shared" si="40"/>
        <v>45566</v>
      </c>
      <c r="AK42" s="55">
        <f t="shared" si="40"/>
        <v>45597</v>
      </c>
      <c r="AL42" s="58">
        <f t="shared" si="40"/>
        <v>45627</v>
      </c>
      <c r="AM42" s="55">
        <f t="shared" si="40"/>
        <v>45658</v>
      </c>
      <c r="AN42" s="55">
        <f t="shared" si="40"/>
        <v>45689</v>
      </c>
      <c r="AO42" s="55">
        <f t="shared" si="40"/>
        <v>45717</v>
      </c>
      <c r="AP42" s="55">
        <f t="shared" si="40"/>
        <v>45748</v>
      </c>
      <c r="AQ42" s="55">
        <f t="shared" si="40"/>
        <v>45778</v>
      </c>
      <c r="AR42" s="55">
        <f t="shared" si="40"/>
        <v>45809</v>
      </c>
      <c r="AS42" s="55">
        <f t="shared" si="40"/>
        <v>45839</v>
      </c>
      <c r="AT42" s="55">
        <f t="shared" si="40"/>
        <v>45870</v>
      </c>
      <c r="AU42" s="55">
        <f t="shared" si="40"/>
        <v>45901</v>
      </c>
      <c r="AV42" s="55">
        <f t="shared" si="40"/>
        <v>45931</v>
      </c>
      <c r="AW42" s="55">
        <f t="shared" si="40"/>
        <v>45962</v>
      </c>
      <c r="AX42" s="58">
        <f t="shared" si="40"/>
        <v>45992</v>
      </c>
      <c r="AY42" s="55">
        <f t="shared" ref="AY42:BJ42" si="41">AY3</f>
        <v>46023</v>
      </c>
      <c r="AZ42" s="55">
        <f t="shared" si="41"/>
        <v>46054</v>
      </c>
      <c r="BA42" s="55">
        <f t="shared" si="41"/>
        <v>46082</v>
      </c>
      <c r="BB42" s="55">
        <f t="shared" si="41"/>
        <v>46113</v>
      </c>
      <c r="BC42" s="55">
        <f t="shared" si="41"/>
        <v>46143</v>
      </c>
      <c r="BD42" s="55">
        <f t="shared" si="41"/>
        <v>46174</v>
      </c>
      <c r="BE42" s="55">
        <f t="shared" si="41"/>
        <v>46204</v>
      </c>
      <c r="BF42" s="55">
        <f t="shared" si="41"/>
        <v>46235</v>
      </c>
      <c r="BG42" s="55">
        <f t="shared" si="41"/>
        <v>46266</v>
      </c>
      <c r="BH42" s="55">
        <f t="shared" si="41"/>
        <v>46296</v>
      </c>
      <c r="BI42" s="55">
        <f t="shared" si="41"/>
        <v>46327</v>
      </c>
      <c r="BJ42" s="58">
        <f t="shared" si="41"/>
        <v>46357</v>
      </c>
      <c r="BK42" s="51"/>
      <c r="BL42" s="121"/>
      <c r="BM42" s="51"/>
      <c r="BN42" s="59" t="s">
        <v>17</v>
      </c>
      <c r="BO42" s="55">
        <f>BO3</f>
        <v>44562</v>
      </c>
      <c r="BP42" s="55">
        <f t="shared" ref="BP42:DV42" si="42">BP3</f>
        <v>44593</v>
      </c>
      <c r="BQ42" s="55">
        <f t="shared" si="42"/>
        <v>44621</v>
      </c>
      <c r="BR42" s="55">
        <f t="shared" si="42"/>
        <v>44652</v>
      </c>
      <c r="BS42" s="55">
        <f t="shared" si="42"/>
        <v>44682</v>
      </c>
      <c r="BT42" s="55">
        <f t="shared" si="42"/>
        <v>44713</v>
      </c>
      <c r="BU42" s="55">
        <f t="shared" si="42"/>
        <v>44743</v>
      </c>
      <c r="BV42" s="55">
        <f t="shared" si="42"/>
        <v>44774</v>
      </c>
      <c r="BW42" s="55">
        <f t="shared" si="42"/>
        <v>44805</v>
      </c>
      <c r="BX42" s="55">
        <f t="shared" si="42"/>
        <v>44835</v>
      </c>
      <c r="BY42" s="55">
        <f t="shared" si="42"/>
        <v>44866</v>
      </c>
      <c r="BZ42" s="58">
        <f t="shared" si="42"/>
        <v>44896</v>
      </c>
      <c r="CA42" s="55">
        <f t="shared" si="42"/>
        <v>44927</v>
      </c>
      <c r="CB42" s="55">
        <f t="shared" si="42"/>
        <v>44958</v>
      </c>
      <c r="CC42" s="55">
        <f t="shared" si="42"/>
        <v>44986</v>
      </c>
      <c r="CD42" s="55">
        <f t="shared" si="42"/>
        <v>45017</v>
      </c>
      <c r="CE42" s="55">
        <f t="shared" si="42"/>
        <v>45047</v>
      </c>
      <c r="CF42" s="55">
        <f t="shared" si="42"/>
        <v>45078</v>
      </c>
      <c r="CG42" s="55">
        <f t="shared" si="42"/>
        <v>45108</v>
      </c>
      <c r="CH42" s="55">
        <f t="shared" si="42"/>
        <v>45139</v>
      </c>
      <c r="CI42" s="55">
        <f t="shared" si="42"/>
        <v>45170</v>
      </c>
      <c r="CJ42" s="55">
        <f t="shared" si="42"/>
        <v>45200</v>
      </c>
      <c r="CK42" s="55">
        <f t="shared" si="42"/>
        <v>45231</v>
      </c>
      <c r="CL42" s="58">
        <f t="shared" si="42"/>
        <v>45261</v>
      </c>
      <c r="CM42" s="55">
        <f t="shared" si="42"/>
        <v>45292</v>
      </c>
      <c r="CN42" s="55">
        <f t="shared" si="42"/>
        <v>45323</v>
      </c>
      <c r="CO42" s="55">
        <f t="shared" si="42"/>
        <v>45352</v>
      </c>
      <c r="CP42" s="55">
        <f t="shared" si="42"/>
        <v>45383</v>
      </c>
      <c r="CQ42" s="55">
        <f t="shared" si="42"/>
        <v>45413</v>
      </c>
      <c r="CR42" s="55">
        <f t="shared" si="42"/>
        <v>45444</v>
      </c>
      <c r="CS42" s="55">
        <f t="shared" si="42"/>
        <v>45474</v>
      </c>
      <c r="CT42" s="55">
        <f t="shared" si="42"/>
        <v>45505</v>
      </c>
      <c r="CU42" s="55">
        <f t="shared" si="42"/>
        <v>45536</v>
      </c>
      <c r="CV42" s="55">
        <f t="shared" si="42"/>
        <v>45566</v>
      </c>
      <c r="CW42" s="55">
        <f t="shared" si="42"/>
        <v>45597</v>
      </c>
      <c r="CX42" s="58">
        <f t="shared" si="42"/>
        <v>45627</v>
      </c>
      <c r="CY42" s="55">
        <f t="shared" si="42"/>
        <v>45658</v>
      </c>
      <c r="CZ42" s="55">
        <f t="shared" si="42"/>
        <v>45689</v>
      </c>
      <c r="DA42" s="55">
        <f t="shared" si="42"/>
        <v>45717</v>
      </c>
      <c r="DB42" s="55">
        <f t="shared" si="42"/>
        <v>45748</v>
      </c>
      <c r="DC42" s="55">
        <f t="shared" si="42"/>
        <v>45778</v>
      </c>
      <c r="DD42" s="55">
        <f t="shared" si="42"/>
        <v>45809</v>
      </c>
      <c r="DE42" s="55">
        <f t="shared" si="42"/>
        <v>45839</v>
      </c>
      <c r="DF42" s="55">
        <f t="shared" si="42"/>
        <v>45870</v>
      </c>
      <c r="DG42" s="55">
        <f t="shared" si="42"/>
        <v>45901</v>
      </c>
      <c r="DH42" s="55">
        <f t="shared" si="42"/>
        <v>45931</v>
      </c>
      <c r="DI42" s="55">
        <f t="shared" si="42"/>
        <v>45962</v>
      </c>
      <c r="DJ42" s="58">
        <f t="shared" si="42"/>
        <v>45992</v>
      </c>
      <c r="DK42" s="55">
        <f t="shared" si="42"/>
        <v>46023</v>
      </c>
      <c r="DL42" s="55">
        <f t="shared" si="42"/>
        <v>46054</v>
      </c>
      <c r="DM42" s="55">
        <f t="shared" si="42"/>
        <v>46082</v>
      </c>
      <c r="DN42" s="55">
        <f t="shared" si="42"/>
        <v>46113</v>
      </c>
      <c r="DO42" s="55">
        <f t="shared" si="42"/>
        <v>46143</v>
      </c>
      <c r="DP42" s="55">
        <f t="shared" si="42"/>
        <v>46174</v>
      </c>
      <c r="DQ42" s="55">
        <f t="shared" si="42"/>
        <v>46204</v>
      </c>
      <c r="DR42" s="55">
        <f t="shared" si="42"/>
        <v>46235</v>
      </c>
      <c r="DS42" s="55">
        <f t="shared" si="42"/>
        <v>46266</v>
      </c>
      <c r="DT42" s="55">
        <f t="shared" si="42"/>
        <v>46296</v>
      </c>
      <c r="DU42" s="55">
        <f t="shared" si="42"/>
        <v>46327</v>
      </c>
      <c r="DV42" s="58">
        <f t="shared" si="42"/>
        <v>46357</v>
      </c>
    </row>
    <row r="43" spans="2:134" ht="15.75" thickTop="1" x14ac:dyDescent="0.25">
      <c r="B43" s="56" t="s">
        <v>3</v>
      </c>
      <c r="C43" s="68">
        <f>SUM(C44:C47)</f>
        <v>6627669.8825739836</v>
      </c>
      <c r="D43" s="68">
        <f t="shared" ref="D43:BJ43" si="43">SUM(D44:D47)</f>
        <v>8801719.075679725</v>
      </c>
      <c r="E43" s="68">
        <f t="shared" si="43"/>
        <v>17270888.970573984</v>
      </c>
      <c r="F43" s="68">
        <f t="shared" si="43"/>
        <v>10410655.854111057</v>
      </c>
      <c r="G43" s="68">
        <f t="shared" si="43"/>
        <v>10710284.73091476</v>
      </c>
      <c r="H43" s="68">
        <f t="shared" si="43"/>
        <v>6471461.6941110557</v>
      </c>
      <c r="I43" s="68">
        <f t="shared" si="43"/>
        <v>12005695.139783114</v>
      </c>
      <c r="J43" s="68">
        <f t="shared" si="43"/>
        <v>14244895.57178312</v>
      </c>
      <c r="K43" s="68">
        <f t="shared" si="43"/>
        <v>16478713.342147274</v>
      </c>
      <c r="L43" s="68">
        <f t="shared" si="43"/>
        <v>25568074.37752232</v>
      </c>
      <c r="M43" s="68">
        <f t="shared" si="43"/>
        <v>27927925.390435271</v>
      </c>
      <c r="N43" s="69">
        <f t="shared" si="43"/>
        <v>21003808.211783119</v>
      </c>
      <c r="O43" s="68">
        <f t="shared" si="43"/>
        <v>5317340.1597422641</v>
      </c>
      <c r="P43" s="68">
        <f t="shared" si="43"/>
        <v>2547125.2448705081</v>
      </c>
      <c r="Q43" s="68">
        <f t="shared" si="43"/>
        <v>3789667.1118180426</v>
      </c>
      <c r="R43" s="68">
        <f t="shared" si="43"/>
        <v>-96520.817357658496</v>
      </c>
      <c r="S43" s="68">
        <f t="shared" si="43"/>
        <v>232717.66949293978</v>
      </c>
      <c r="T43" s="68">
        <f t="shared" si="43"/>
        <v>-794531.74968857353</v>
      </c>
      <c r="U43" s="68">
        <f t="shared" si="43"/>
        <v>601242.4339254509</v>
      </c>
      <c r="V43" s="68">
        <f t="shared" si="43"/>
        <v>122515.63392545111</v>
      </c>
      <c r="W43" s="68">
        <f t="shared" si="43"/>
        <v>488787.51670204953</v>
      </c>
      <c r="X43" s="68">
        <f t="shared" si="43"/>
        <v>560806.03392545122</v>
      </c>
      <c r="Y43" s="68">
        <f t="shared" si="43"/>
        <v>698523.51670204999</v>
      </c>
      <c r="Z43" s="70">
        <f t="shared" si="43"/>
        <v>-95169.129448998036</v>
      </c>
      <c r="AA43" s="68">
        <f t="shared" si="43"/>
        <v>972439.23381305393</v>
      </c>
      <c r="AB43" s="68">
        <f t="shared" si="43"/>
        <v>909701.21872834081</v>
      </c>
      <c r="AC43" s="68">
        <f t="shared" si="43"/>
        <v>972439.23381305393</v>
      </c>
      <c r="AD43" s="68">
        <f t="shared" si="43"/>
        <v>941070.22627069755</v>
      </c>
      <c r="AE43" s="68">
        <f t="shared" si="43"/>
        <v>972439.23381305393</v>
      </c>
      <c r="AF43" s="68">
        <f t="shared" si="43"/>
        <v>941070.22627069755</v>
      </c>
      <c r="AG43" s="68">
        <f t="shared" si="43"/>
        <v>972439.23381305393</v>
      </c>
      <c r="AH43" s="68">
        <f t="shared" si="43"/>
        <v>972439.23381305393</v>
      </c>
      <c r="AI43" s="68">
        <f t="shared" si="43"/>
        <v>941070.22627069755</v>
      </c>
      <c r="AJ43" s="68">
        <f t="shared" si="43"/>
        <v>972439.23381305393</v>
      </c>
      <c r="AK43" s="68">
        <f t="shared" si="43"/>
        <v>941070.22627069755</v>
      </c>
      <c r="AL43" s="69">
        <f t="shared" si="43"/>
        <v>972439.23381305393</v>
      </c>
      <c r="AM43" s="68">
        <f t="shared" si="43"/>
        <v>484967.68422859581</v>
      </c>
      <c r="AN43" s="68">
        <f t="shared" si="43"/>
        <v>438035.3276903443</v>
      </c>
      <c r="AO43" s="68">
        <f t="shared" si="43"/>
        <v>484967.68422859581</v>
      </c>
      <c r="AP43" s="68">
        <f t="shared" si="43"/>
        <v>469323.56538251182</v>
      </c>
      <c r="AQ43" s="68">
        <f t="shared" si="43"/>
        <v>484967.68422859581</v>
      </c>
      <c r="AR43" s="68">
        <f t="shared" si="43"/>
        <v>469323.56538251182</v>
      </c>
      <c r="AS43" s="68">
        <f t="shared" si="43"/>
        <v>484967.68422859581</v>
      </c>
      <c r="AT43" s="68">
        <f t="shared" si="43"/>
        <v>484967.68422859581</v>
      </c>
      <c r="AU43" s="68">
        <f t="shared" si="43"/>
        <v>469323.56538251182</v>
      </c>
      <c r="AV43" s="68">
        <f t="shared" si="43"/>
        <v>484967.68422859581</v>
      </c>
      <c r="AW43" s="68">
        <f t="shared" si="43"/>
        <v>469323.56538251182</v>
      </c>
      <c r="AX43" s="70">
        <f t="shared" si="43"/>
        <v>484967.68422859581</v>
      </c>
      <c r="AY43" s="68">
        <f t="shared" si="43"/>
        <v>0</v>
      </c>
      <c r="AZ43" s="68">
        <f t="shared" si="43"/>
        <v>0</v>
      </c>
      <c r="BA43" s="68">
        <f t="shared" si="43"/>
        <v>0</v>
      </c>
      <c r="BB43" s="68">
        <f t="shared" si="43"/>
        <v>0</v>
      </c>
      <c r="BC43" s="68">
        <f t="shared" si="43"/>
        <v>0</v>
      </c>
      <c r="BD43" s="68">
        <f t="shared" si="43"/>
        <v>0</v>
      </c>
      <c r="BE43" s="68">
        <f t="shared" si="43"/>
        <v>0</v>
      </c>
      <c r="BF43" s="68">
        <f t="shared" si="43"/>
        <v>0</v>
      </c>
      <c r="BG43" s="68">
        <f t="shared" si="43"/>
        <v>0</v>
      </c>
      <c r="BH43" s="68">
        <f t="shared" si="43"/>
        <v>0</v>
      </c>
      <c r="BI43" s="68">
        <f t="shared" si="43"/>
        <v>0</v>
      </c>
      <c r="BJ43" s="70">
        <f t="shared" si="43"/>
        <v>0</v>
      </c>
      <c r="BL43" s="120"/>
      <c r="BN43" s="56" t="s">
        <v>3</v>
      </c>
      <c r="BO43" s="68">
        <f>SUM(BO44:BO47)</f>
        <v>-7277794.4023373518</v>
      </c>
      <c r="BP43" s="68">
        <f t="shared" ref="BP43:DV43" si="44">SUM(BP44:BP47)</f>
        <v>-9521121.1358401887</v>
      </c>
      <c r="BQ43" s="68">
        <f t="shared" si="44"/>
        <v>-18071090.417537354</v>
      </c>
      <c r="BR43" s="68">
        <f t="shared" si="44"/>
        <v>-10783983.616971631</v>
      </c>
      <c r="BS43" s="68">
        <f t="shared" si="44"/>
        <v>-11158701.737537352</v>
      </c>
      <c r="BT43" s="68">
        <f t="shared" si="44"/>
        <v>-7180669.2409716304</v>
      </c>
      <c r="BU43" s="68">
        <f t="shared" si="44"/>
        <v>-12028455.908005709</v>
      </c>
      <c r="BV43" s="68">
        <f t="shared" si="44"/>
        <v>-14470904.19440571</v>
      </c>
      <c r="BW43" s="68">
        <f t="shared" si="44"/>
        <v>-16290714.180675048</v>
      </c>
      <c r="BX43" s="68">
        <f t="shared" si="44"/>
        <v>-24511095.008893713</v>
      </c>
      <c r="BY43" s="68">
        <f t="shared" si="44"/>
        <v>-26755002.753295846</v>
      </c>
      <c r="BZ43" s="69">
        <f t="shared" si="44"/>
        <v>-21451927.618405707</v>
      </c>
      <c r="CA43" s="68">
        <f t="shared" si="44"/>
        <v>-4962035.5636679856</v>
      </c>
      <c r="CB43" s="68">
        <f t="shared" si="44"/>
        <v>-2692503.1968442025</v>
      </c>
      <c r="CC43" s="68">
        <f t="shared" si="44"/>
        <v>-3964856.4729441772</v>
      </c>
      <c r="CD43" s="68">
        <f t="shared" si="44"/>
        <v>686950.92029079492</v>
      </c>
      <c r="CE43" s="68">
        <f t="shared" si="44"/>
        <v>764682.08430048835</v>
      </c>
      <c r="CF43" s="68">
        <f t="shared" si="44"/>
        <v>1073713.0657681031</v>
      </c>
      <c r="CG43" s="68">
        <f t="shared" si="44"/>
        <v>413025.86965283169</v>
      </c>
      <c r="CH43" s="68">
        <f t="shared" si="44"/>
        <v>795590.66965283162</v>
      </c>
      <c r="CI43" s="68">
        <f t="shared" si="44"/>
        <v>399702.45450274018</v>
      </c>
      <c r="CJ43" s="68">
        <f t="shared" si="44"/>
        <v>19580.069652831517</v>
      </c>
      <c r="CK43" s="68">
        <f t="shared" si="44"/>
        <v>-136859.54549726014</v>
      </c>
      <c r="CL43" s="70">
        <f t="shared" si="44"/>
        <v>675555.23302728054</v>
      </c>
      <c r="CM43" s="68">
        <f t="shared" si="44"/>
        <v>-346623.55105160759</v>
      </c>
      <c r="CN43" s="68">
        <f t="shared" si="44"/>
        <v>-324260.74130634253</v>
      </c>
      <c r="CO43" s="68">
        <f t="shared" si="44"/>
        <v>-346623.55105160759</v>
      </c>
      <c r="CP43" s="68">
        <f t="shared" si="44"/>
        <v>-335442.146178975</v>
      </c>
      <c r="CQ43" s="68">
        <f t="shared" si="44"/>
        <v>-346623.55105160759</v>
      </c>
      <c r="CR43" s="68">
        <f t="shared" si="44"/>
        <v>-335442.146178975</v>
      </c>
      <c r="CS43" s="68">
        <f t="shared" si="44"/>
        <v>-346623.55105160759</v>
      </c>
      <c r="CT43" s="68">
        <f t="shared" si="44"/>
        <v>-346623.55105160759</v>
      </c>
      <c r="CU43" s="68">
        <f t="shared" si="44"/>
        <v>-335442.146178975</v>
      </c>
      <c r="CV43" s="68">
        <f t="shared" si="44"/>
        <v>-346623.55105160759</v>
      </c>
      <c r="CW43" s="68">
        <f t="shared" si="44"/>
        <v>-335442.146178975</v>
      </c>
      <c r="CX43" s="69">
        <f t="shared" si="44"/>
        <v>-346623.55105160759</v>
      </c>
      <c r="CY43" s="68">
        <f t="shared" si="44"/>
        <v>-484967.68422859581</v>
      </c>
      <c r="CZ43" s="68">
        <f t="shared" si="44"/>
        <v>-438035.3276903443</v>
      </c>
      <c r="DA43" s="68">
        <f t="shared" si="44"/>
        <v>-484967.68422859581</v>
      </c>
      <c r="DB43" s="68">
        <f t="shared" si="44"/>
        <v>-469323.56538251182</v>
      </c>
      <c r="DC43" s="68">
        <f t="shared" si="44"/>
        <v>-484967.68422859581</v>
      </c>
      <c r="DD43" s="68">
        <f t="shared" si="44"/>
        <v>-469323.56538251182</v>
      </c>
      <c r="DE43" s="68">
        <f t="shared" si="44"/>
        <v>-484967.68422859581</v>
      </c>
      <c r="DF43" s="68">
        <f t="shared" si="44"/>
        <v>-484967.68422859581</v>
      </c>
      <c r="DG43" s="68">
        <f t="shared" si="44"/>
        <v>-469323.56538251182</v>
      </c>
      <c r="DH43" s="68">
        <f t="shared" si="44"/>
        <v>-484967.68422859581</v>
      </c>
      <c r="DI43" s="68">
        <f t="shared" si="44"/>
        <v>-469323.56538251182</v>
      </c>
      <c r="DJ43" s="70">
        <f t="shared" si="44"/>
        <v>-484967.68422859581</v>
      </c>
      <c r="DK43" s="68">
        <f t="shared" si="44"/>
        <v>0</v>
      </c>
      <c r="DL43" s="68">
        <f t="shared" si="44"/>
        <v>0</v>
      </c>
      <c r="DM43" s="68">
        <f t="shared" si="44"/>
        <v>0</v>
      </c>
      <c r="DN43" s="68">
        <f t="shared" si="44"/>
        <v>0</v>
      </c>
      <c r="DO43" s="68">
        <f t="shared" si="44"/>
        <v>0</v>
      </c>
      <c r="DP43" s="68">
        <f t="shared" si="44"/>
        <v>0</v>
      </c>
      <c r="DQ43" s="68">
        <f t="shared" si="44"/>
        <v>0</v>
      </c>
      <c r="DR43" s="68">
        <f t="shared" si="44"/>
        <v>0</v>
      </c>
      <c r="DS43" s="68">
        <f t="shared" si="44"/>
        <v>0</v>
      </c>
      <c r="DT43" s="68">
        <f t="shared" si="44"/>
        <v>0</v>
      </c>
      <c r="DU43" s="68">
        <f t="shared" si="44"/>
        <v>0</v>
      </c>
      <c r="DV43" s="70">
        <f t="shared" si="44"/>
        <v>0</v>
      </c>
    </row>
    <row r="44" spans="2:134" x14ac:dyDescent="0.25">
      <c r="B44" s="57" t="s">
        <v>44</v>
      </c>
      <c r="C44" s="339">
        <f>(SUMIFS(MtM!$V:$V,MtM!$I:$I,RESULTADO!$B44,MtM!$H:$H,RESULTADO!$B$43,MtM!$E:$E,RESULTADO!C$42))</f>
        <v>-4343596.5457264436</v>
      </c>
      <c r="D44" s="339">
        <f>(SUMIFS(MtM!$V:$V,MtM!$I:$I,RESULTADO!$B44,MtM!$H:$H,RESULTADO!$B$43,MtM!$E:$E,RESULTADO!D$42))</f>
        <v>-1163991.0918174342</v>
      </c>
      <c r="E44" s="53">
        <f>(SUMIFS(MtM!$V:$V,MtM!$I:$I,RESULTADO!$B44,MtM!$H:$H,RESULTADO!$B$43,MtM!$E:$E,RESULTADO!E$42))</f>
        <v>6237424.1422735564</v>
      </c>
      <c r="F44" s="53">
        <f>(SUMIFS(MtM!$V:$V,MtM!$I:$I,RESULTADO!$B44,MtM!$H:$H,RESULTADO!$B$43,MtM!$E:$E,RESULTADO!F$42))</f>
        <v>-266890.75392161438</v>
      </c>
      <c r="G44" s="53">
        <f>(SUMIFS(MtM!$V:$V,MtM!$I:$I,RESULTADO!$B44,MtM!$H:$H,RESULTADO!$B$43,MtM!$E:$E,RESULTADO!G$42))</f>
        <v>-323180.09738566633</v>
      </c>
      <c r="H44" s="53">
        <f>(SUMIFS(MtM!$V:$V,MtM!$I:$I,RESULTADO!$B44,MtM!$H:$H,RESULTADO!$B$43,MtM!$E:$E,RESULTADO!H$42))</f>
        <v>-4205688.913921616</v>
      </c>
      <c r="I44" s="53">
        <f>(SUMIFS(MtM!$V:$V,MtM!$I:$I,RESULTADO!$B44,MtM!$H:$H,RESULTADO!$B$43,MtM!$E:$E,RESULTADO!I$42))</f>
        <v>-506649.00938567065</v>
      </c>
      <c r="J44" s="53">
        <f>(SUMIFS(MtM!$V:$V,MtM!$I:$I,RESULTADO!$B44,MtM!$H:$H,RESULTADO!$B$43,MtM!$E:$E,RESULTADO!J$42))</f>
        <v>2244200.2226143354</v>
      </c>
      <c r="K44" s="53">
        <f>(SUMIFS(MtM!$V:$V,MtM!$I:$I,RESULTADO!$B44,MtM!$H:$H,RESULTADO!$B$43,MtM!$E:$E,RESULTADO!K$42))</f>
        <v>3890761.1977903857</v>
      </c>
      <c r="L44" s="53">
        <f>(SUMIFS(MtM!$V:$V,MtM!$I:$I,RESULTADO!$B44,MtM!$H:$H,RESULTADO!$B$43,MtM!$E:$E,RESULTADO!L$42))</f>
        <v>12542147.028353535</v>
      </c>
      <c r="M44" s="53">
        <f>(SUMIFS(MtM!$V:$V,MtM!$I:$I,RESULTADO!$B44,MtM!$H:$H,RESULTADO!$B$43,MtM!$E:$E,RESULTADO!M$42))</f>
        <v>15322189.246078385</v>
      </c>
      <c r="N44" s="54">
        <f>(SUMIFS(MtM!$V:$V,MtM!$I:$I,RESULTADO!$B44,MtM!$H:$H,RESULTADO!$B$43,MtM!$E:$E,RESULTADO!N$42))</f>
        <v>7977880.8626143318</v>
      </c>
      <c r="O44" s="53">
        <f>(SUMIFS(MtM!$V:$V,MtM!$I:$I,RESULTADO!$B44,MtM!$H:$H,RESULTADO!$B$43,MtM!$E:$E,RESULTADO!O$42))</f>
        <v>5492786.8676525075</v>
      </c>
      <c r="P44" s="53">
        <f>(SUMIFS(MtM!$V:$V,MtM!$I:$I,RESULTADO!$B44,MtM!$H:$H,RESULTADO!$B$43,MtM!$E:$E,RESULTADO!P$42))</f>
        <v>2704987.7671120181</v>
      </c>
      <c r="Q44" s="53">
        <f>(SUMIFS(MtM!$V:$V,MtM!$I:$I,RESULTADO!$B44,MtM!$H:$H,RESULTADO!$B$43,MtM!$E:$E,RESULTADO!Q$42))</f>
        <v>3964380.2357282857</v>
      </c>
      <c r="R44" s="53">
        <f>(SUMIFS(MtM!$V:$V,MtM!$I:$I,RESULTADO!$B44,MtM!$H:$H,RESULTADO!$B$43,MtM!$E:$E,RESULTADO!R$42))</f>
        <v>71944.399329673703</v>
      </c>
      <c r="S44" s="53">
        <f>(SUMIFS(MtM!$V:$V,MtM!$I:$I,RESULTADO!$B44,MtM!$H:$H,RESULTADO!$B$43,MtM!$E:$E,RESULTADO!S$42))</f>
        <v>406292.4734031831</v>
      </c>
      <c r="T44" s="53">
        <f>(SUMIFS(MtM!$V:$V,MtM!$I:$I,RESULTADO!$B44,MtM!$H:$H,RESULTADO!$B$43,MtM!$E:$E,RESULTADO!T$42))</f>
        <v>-629248.9330012413</v>
      </c>
      <c r="U44" s="53">
        <f>(SUMIFS(MtM!$V:$V,MtM!$I:$I,RESULTADO!$B44,MtM!$H:$H,RESULTADO!$B$43,MtM!$E:$E,RESULTADO!U$42))</f>
        <v>766026.87783569423</v>
      </c>
      <c r="V44" s="53">
        <f>(SUMIFS(MtM!$V:$V,MtM!$I:$I,RESULTADO!$B44,MtM!$H:$H,RESULTADO!$B$43,MtM!$E:$E,RESULTADO!V$42))</f>
        <v>287300.07783569436</v>
      </c>
      <c r="W44" s="53">
        <f>(SUMIFS(MtM!$V:$V,MtM!$I:$I,RESULTADO!$B44,MtM!$H:$H,RESULTADO!$B$43,MtM!$E:$E,RESULTADO!W$42))</f>
        <v>648256.33338938165</v>
      </c>
      <c r="X44" s="53">
        <f>(SUMIFS(MtM!$V:$V,MtM!$I:$I,RESULTADO!$B44,MtM!$H:$H,RESULTADO!$B$43,MtM!$E:$E,RESULTADO!X$42))</f>
        <v>721416.63783569448</v>
      </c>
      <c r="Y44" s="53">
        <f>(SUMIFS(MtM!$V:$V,MtM!$I:$I,RESULTADO!$B44,MtM!$H:$H,RESULTADO!$B$43,MtM!$E:$E,RESULTADO!Y$42))</f>
        <v>853953.13338938216</v>
      </c>
      <c r="Z44" s="63">
        <f>(SUMIFS(MtM!$V:$V,MtM!$I:$I,RESULTADO!$B44,MtM!$H:$H,RESULTADO!$B$43,MtM!$E:$E,RESULTADO!Z$42))</f>
        <v>65441.474461245234</v>
      </c>
      <c r="AA44" s="339">
        <f>(SUMIFS(MtM!$V:$V,MtM!$I:$I,RESULTADO!$B44,MtM!$H:$H,RESULTADO!$B$43,MtM!$E:$E,RESULTADO!AA$42))</f>
        <v>972439.23381305393</v>
      </c>
      <c r="AB44" s="339">
        <f>(SUMIFS(MtM!$V:$V,MtM!$I:$I,RESULTADO!$B44,MtM!$H:$H,RESULTADO!$B$43,MtM!$E:$E,RESULTADO!AB$42))</f>
        <v>909701.21872834081</v>
      </c>
      <c r="AC44" s="53">
        <f>(SUMIFS(MtM!$V:$V,MtM!$I:$I,RESULTADO!$B44,MtM!$H:$H,RESULTADO!$B$43,MtM!$E:$E,RESULTADO!AC$42))</f>
        <v>972439.23381305393</v>
      </c>
      <c r="AD44" s="53">
        <f>(SUMIFS(MtM!$V:$V,MtM!$I:$I,RESULTADO!$B44,MtM!$H:$H,RESULTADO!$B$43,MtM!$E:$E,RESULTADO!AD$42))</f>
        <v>941070.22627069755</v>
      </c>
      <c r="AE44" s="53">
        <f>(SUMIFS(MtM!$V:$V,MtM!$I:$I,RESULTADO!$B44,MtM!$H:$H,RESULTADO!$B$43,MtM!$E:$E,RESULTADO!AE$42))</f>
        <v>972439.23381305393</v>
      </c>
      <c r="AF44" s="53">
        <f>(SUMIFS(MtM!$V:$V,MtM!$I:$I,RESULTADO!$B44,MtM!$H:$H,RESULTADO!$B$43,MtM!$E:$E,RESULTADO!AF$42))</f>
        <v>941070.22627069755</v>
      </c>
      <c r="AG44" s="53">
        <f>(SUMIFS(MtM!$V:$V,MtM!$I:$I,RESULTADO!$B44,MtM!$H:$H,RESULTADO!$B$43,MtM!$E:$E,RESULTADO!AG$42))</f>
        <v>972439.23381305393</v>
      </c>
      <c r="AH44" s="53">
        <f>(SUMIFS(MtM!$V:$V,MtM!$I:$I,RESULTADO!$B44,MtM!$H:$H,RESULTADO!$B$43,MtM!$E:$E,RESULTADO!AH$42))</f>
        <v>972439.23381305393</v>
      </c>
      <c r="AI44" s="53">
        <f>(SUMIFS(MtM!$V:$V,MtM!$I:$I,RESULTADO!$B44,MtM!$H:$H,RESULTADO!$B$43,MtM!$E:$E,RESULTADO!AI$42))</f>
        <v>941070.22627069755</v>
      </c>
      <c r="AJ44" s="53">
        <f>(SUMIFS(MtM!$V:$V,MtM!$I:$I,RESULTADO!$B44,MtM!$H:$H,RESULTADO!$B$43,MtM!$E:$E,RESULTADO!AJ$42))</f>
        <v>972439.23381305393</v>
      </c>
      <c r="AK44" s="53">
        <f>(SUMIFS(MtM!$V:$V,MtM!$I:$I,RESULTADO!$B44,MtM!$H:$H,RESULTADO!$B$43,MtM!$E:$E,RESULTADO!AK$42))</f>
        <v>941070.22627069755</v>
      </c>
      <c r="AL44" s="54">
        <f>(SUMIFS(MtM!$V:$V,MtM!$I:$I,RESULTADO!$B44,MtM!$H:$H,RESULTADO!$B$43,MtM!$E:$E,RESULTADO!AL$42))</f>
        <v>972439.23381305393</v>
      </c>
      <c r="AM44" s="53">
        <f>(SUMIFS(MtM!$V:$V,MtM!$I:$I,RESULTADO!$B44,MtM!$H:$H,RESULTADO!$B$43,MtM!$E:$E,RESULTADO!AM$42))</f>
        <v>0</v>
      </c>
      <c r="AN44" s="53">
        <f>(SUMIFS(MtM!$V:$V,MtM!$I:$I,RESULTADO!$B44,MtM!$H:$H,RESULTADO!$B$43,MtM!$E:$E,RESULTADO!AN$42))</f>
        <v>0</v>
      </c>
      <c r="AO44" s="53">
        <f>(SUMIFS(MtM!$V:$V,MtM!$I:$I,RESULTADO!$B44,MtM!$H:$H,RESULTADO!$B$43,MtM!$E:$E,RESULTADO!AO$42))</f>
        <v>0</v>
      </c>
      <c r="AP44" s="53">
        <f>(SUMIFS(MtM!$V:$V,MtM!$I:$I,RESULTADO!$B44,MtM!$H:$H,RESULTADO!$B$43,MtM!$E:$E,RESULTADO!AP$42))</f>
        <v>0</v>
      </c>
      <c r="AQ44" s="53">
        <f>(SUMIFS(MtM!$V:$V,MtM!$I:$I,RESULTADO!$B44,MtM!$H:$H,RESULTADO!$B$43,MtM!$E:$E,RESULTADO!AQ$42))</f>
        <v>0</v>
      </c>
      <c r="AR44" s="53">
        <f>(SUMIFS(MtM!$V:$V,MtM!$I:$I,RESULTADO!$B44,MtM!$H:$H,RESULTADO!$B$43,MtM!$E:$E,RESULTADO!AR$42))</f>
        <v>0</v>
      </c>
      <c r="AS44" s="53">
        <f>(SUMIFS(MtM!$V:$V,MtM!$I:$I,RESULTADO!$B44,MtM!$H:$H,RESULTADO!$B$43,MtM!$E:$E,RESULTADO!AS$42))</f>
        <v>0</v>
      </c>
      <c r="AT44" s="53">
        <f>(SUMIFS(MtM!$V:$V,MtM!$I:$I,RESULTADO!$B44,MtM!$H:$H,RESULTADO!$B$43,MtM!$E:$E,RESULTADO!AT$42))</f>
        <v>0</v>
      </c>
      <c r="AU44" s="53">
        <f>(SUMIFS(MtM!$V:$V,MtM!$I:$I,RESULTADO!$B44,MtM!$H:$H,RESULTADO!$B$43,MtM!$E:$E,RESULTADO!AU$42))</f>
        <v>0</v>
      </c>
      <c r="AV44" s="53">
        <f>(SUMIFS(MtM!$V:$V,MtM!$I:$I,RESULTADO!$B44,MtM!$H:$H,RESULTADO!$B$43,MtM!$E:$E,RESULTADO!AV$42))</f>
        <v>0</v>
      </c>
      <c r="AW44" s="53">
        <f>(SUMIFS(MtM!$V:$V,MtM!$I:$I,RESULTADO!$B44,MtM!$H:$H,RESULTADO!$B$43,MtM!$E:$E,RESULTADO!AW$42))</f>
        <v>0</v>
      </c>
      <c r="AX44" s="63">
        <f>(SUMIFS(MtM!$V:$V,MtM!$I:$I,RESULTADO!$B44,MtM!$H:$H,RESULTADO!$B$43,MtM!$E:$E,RESULTADO!AX$42))</f>
        <v>0</v>
      </c>
      <c r="AY44" s="53">
        <f>(SUMIFS(MtM!$V:$V,MtM!$I:$I,RESULTADO!$B44,MtM!$H:$H,RESULTADO!$B$43,MtM!$E:$E,RESULTADO!AY$42))</f>
        <v>0</v>
      </c>
      <c r="AZ44" s="53">
        <f>(SUMIFS(MtM!$V:$V,MtM!$I:$I,RESULTADO!$B44,MtM!$H:$H,RESULTADO!$B$43,MtM!$E:$E,RESULTADO!AZ$42))</f>
        <v>0</v>
      </c>
      <c r="BA44" s="53">
        <f>(SUMIFS(MtM!$V:$V,MtM!$I:$I,RESULTADO!$B44,MtM!$H:$H,RESULTADO!$B$43,MtM!$E:$E,RESULTADO!BA$42))</f>
        <v>0</v>
      </c>
      <c r="BB44" s="53">
        <f>(SUMIFS(MtM!$V:$V,MtM!$I:$I,RESULTADO!$B44,MtM!$H:$H,RESULTADO!$B$43,MtM!$E:$E,RESULTADO!BB$42))</f>
        <v>0</v>
      </c>
      <c r="BC44" s="53">
        <f>(SUMIFS(MtM!$V:$V,MtM!$I:$I,RESULTADO!$B44,MtM!$H:$H,RESULTADO!$B$43,MtM!$E:$E,RESULTADO!BC$42))</f>
        <v>0</v>
      </c>
      <c r="BD44" s="53">
        <f>(SUMIFS(MtM!$V:$V,MtM!$I:$I,RESULTADO!$B44,MtM!$H:$H,RESULTADO!$B$43,MtM!$E:$E,RESULTADO!BD$42))</f>
        <v>0</v>
      </c>
      <c r="BE44" s="53">
        <f>(SUMIFS(MtM!$V:$V,MtM!$I:$I,RESULTADO!$B44,MtM!$H:$H,RESULTADO!$B$43,MtM!$E:$E,RESULTADO!BE$42))</f>
        <v>0</v>
      </c>
      <c r="BF44" s="53">
        <f>(SUMIFS(MtM!$V:$V,MtM!$I:$I,RESULTADO!$B44,MtM!$H:$H,RESULTADO!$B$43,MtM!$E:$E,RESULTADO!BF$42))</f>
        <v>0</v>
      </c>
      <c r="BG44" s="53">
        <f>(SUMIFS(MtM!$V:$V,MtM!$I:$I,RESULTADO!$B44,MtM!$H:$H,RESULTADO!$B$43,MtM!$E:$E,RESULTADO!BG$42))</f>
        <v>0</v>
      </c>
      <c r="BH44" s="53">
        <f>(SUMIFS(MtM!$V:$V,MtM!$I:$I,RESULTADO!$B44,MtM!$H:$H,RESULTADO!$B$43,MtM!$E:$E,RESULTADO!BH$42))</f>
        <v>0</v>
      </c>
      <c r="BI44" s="53">
        <f>(SUMIFS(MtM!$V:$V,MtM!$I:$I,RESULTADO!$B44,MtM!$H:$H,RESULTADO!$B$43,MtM!$E:$E,RESULTADO!BI$42))</f>
        <v>0</v>
      </c>
      <c r="BJ44" s="63">
        <f>(SUMIFS(MtM!$V:$V,MtM!$I:$I,RESULTADO!$B44,MtM!$H:$H,RESULTADO!$B$43,MtM!$E:$E,RESULTADO!BJ$42))</f>
        <v>0</v>
      </c>
      <c r="BL44" s="120"/>
      <c r="BN44" s="57" t="s">
        <v>44</v>
      </c>
      <c r="BO44" s="53">
        <f>SUMIFS('MtM Releases'!$M:$M,'MtM Releases'!$G:$G,RESULTADO!$BN44,'MtM Releases'!$F:$F,RESULTADO!$BN43,'MtM Releases'!$D:$D,RESULTADO!BO$3)</f>
        <v>3693472.0259630755</v>
      </c>
      <c r="BP44" s="53">
        <f>SUMIFS('MtM Releases'!$M:$M,'MtM Releases'!$G:$G,RESULTADO!$BN44,'MtM Releases'!$F:$F,RESULTADO!$BN43,'MtM Releases'!$D:$D,RESULTADO!BP$3)</f>
        <v>444589.03165697202</v>
      </c>
      <c r="BQ44" s="53">
        <f>SUMIFS('MtM Releases'!$M:$M,'MtM Releases'!$G:$G,RESULTADO!$BN44,'MtM Releases'!$F:$F,RESULTADO!$BN43,'MtM Releases'!$D:$D,RESULTADO!BQ$3)</f>
        <v>-7037625.5892369254</v>
      </c>
      <c r="BR44" s="53">
        <f>SUMIFS('MtM Releases'!$M:$M,'MtM Releases'!$G:$G,RESULTADO!$BN44,'MtM Releases'!$F:$F,RESULTADO!$BN43,'MtM Releases'!$D:$D,RESULTADO!BR$3)</f>
        <v>-106437.0089389584</v>
      </c>
      <c r="BS44" s="53">
        <f>SUMIFS('MtM Releases'!$M:$M,'MtM Releases'!$G:$G,RESULTADO!$BN44,'MtM Releases'!$F:$F,RESULTADO!$BN43,'MtM Releases'!$D:$D,RESULTADO!BS$3)</f>
        <v>-125236.90923692426</v>
      </c>
      <c r="BT44" s="53">
        <f>SUMIFS('MtM Releases'!$M:$M,'MtM Releases'!$G:$G,RESULTADO!$BN44,'MtM Releases'!$F:$F,RESULTADO!$BN43,'MtM Releases'!$D:$D,RESULTADO!BT$3)</f>
        <v>3496481.3670610418</v>
      </c>
      <c r="BU44" s="53">
        <f>SUMIFS('MtM Releases'!$M:$M,'MtM Releases'!$G:$G,RESULTADO!$BN44,'MtM Releases'!$F:$F,RESULTADO!$BN43,'MtM Releases'!$D:$D,RESULTADO!BU$3)</f>
        <v>483888.24116307672</v>
      </c>
      <c r="BV44" s="53">
        <f>SUMIFS('MtM Releases'!$M:$M,'MtM Releases'!$G:$G,RESULTADO!$BN44,'MtM Releases'!$F:$F,RESULTADO!$BN43,'MtM Releases'!$D:$D,RESULTADO!BV$3)</f>
        <v>-2470208.8452369259</v>
      </c>
      <c r="BW44" s="53">
        <f>SUMIFS('MtM Releases'!$M:$M,'MtM Releases'!$G:$G,RESULTADO!$BN44,'MtM Releases'!$F:$F,RESULTADO!$BN43,'MtM Releases'!$D:$D,RESULTADO!BW$3)</f>
        <v>-3702762.0363181606</v>
      </c>
      <c r="BX44" s="53">
        <f>SUMIFS('MtM Releases'!$M:$M,'MtM Releases'!$G:$G,RESULTADO!$BN44,'MtM Releases'!$F:$F,RESULTADO!$BN43,'MtM Releases'!$D:$D,RESULTADO!BX$3)</f>
        <v>-11485167.659724927</v>
      </c>
      <c r="BY44" s="53">
        <f>SUMIFS('MtM Releases'!$M:$M,'MtM Releases'!$G:$G,RESULTADO!$BN44,'MtM Releases'!$F:$F,RESULTADO!$BN43,'MtM Releases'!$D:$D,RESULTADO!BY$3)</f>
        <v>-14149266.608938958</v>
      </c>
      <c r="BZ44" s="54">
        <f>SUMIFS('MtM Releases'!$M:$M,'MtM Releases'!$G:$G,RESULTADO!$BN44,'MtM Releases'!$F:$F,RESULTADO!$BN43,'MtM Releases'!$D:$D,RESULTADO!BZ$3)</f>
        <v>-8426000.2692369223</v>
      </c>
      <c r="CA44" s="53">
        <f>SUMIFS('MtM Releases'!$M:$M,'MtM Releases'!$G:$G,RESULTADO!$BN44,'MtM Releases'!$F:$F,RESULTADO!$BN43,'MtM Releases'!$D:$D,RESULTADO!CA$3)</f>
        <v>-5137482.271578229</v>
      </c>
      <c r="CB44" s="53">
        <f>SUMIFS('MtM Releases'!$M:$M,'MtM Releases'!$G:$G,RESULTADO!$BN44,'MtM Releases'!$F:$F,RESULTADO!$BN43,'MtM Releases'!$D:$D,RESULTADO!CB$3)</f>
        <v>-2850365.7190857125</v>
      </c>
      <c r="CC44" s="53">
        <f>SUMIFS('MtM Releases'!$M:$M,'MtM Releases'!$G:$G,RESULTADO!$BN44,'MtM Releases'!$F:$F,RESULTADO!$BN43,'MtM Releases'!$D:$D,RESULTADO!CC$3)</f>
        <v>-4139569.5968544204</v>
      </c>
      <c r="CD44" s="53">
        <f>SUMIFS('MtM Releases'!$M:$M,'MtM Releases'!$G:$G,RESULTADO!$BN44,'MtM Releases'!$F:$F,RESULTADO!$BN43,'MtM Releases'!$D:$D,RESULTADO!CD$3)</f>
        <v>518485.70360346278</v>
      </c>
      <c r="CE44" s="53">
        <f>SUMIFS('MtM Releases'!$M:$M,'MtM Releases'!$G:$G,RESULTADO!$BN44,'MtM Releases'!$F:$F,RESULTADO!$BN43,'MtM Releases'!$D:$D,RESULTADO!CE$3)</f>
        <v>591107.28039024514</v>
      </c>
      <c r="CF44" s="53">
        <f>SUMIFS('MtM Releases'!$M:$M,'MtM Releases'!$G:$G,RESULTADO!$BN44,'MtM Releases'!$F:$F,RESULTADO!$BN43,'MtM Releases'!$D:$D,RESULTADO!CF$3)</f>
        <v>908430.24908077077</v>
      </c>
      <c r="CG44" s="53">
        <f>SUMIFS('MtM Releases'!$M:$M,'MtM Releases'!$G:$G,RESULTADO!$BN44,'MtM Releases'!$F:$F,RESULTADO!$BN43,'MtM Releases'!$D:$D,RESULTADO!CG$3)</f>
        <v>248241.42574258841</v>
      </c>
      <c r="CH44" s="53">
        <f>SUMIFS('MtM Releases'!$M:$M,'MtM Releases'!$G:$G,RESULTADO!$BN44,'MtM Releases'!$F:$F,RESULTADO!$BN43,'MtM Releases'!$D:$D,RESULTADO!CH$3)</f>
        <v>630806.22574258829</v>
      </c>
      <c r="CI44" s="53">
        <f>SUMIFS('MtM Releases'!$M:$M,'MtM Releases'!$G:$G,RESULTADO!$BN44,'MtM Releases'!$F:$F,RESULTADO!$BN43,'MtM Releases'!$D:$D,RESULTADO!CI$3)</f>
        <v>240233.63781540794</v>
      </c>
      <c r="CJ44" s="53">
        <f>SUMIFS('MtM Releases'!$M:$M,'MtM Releases'!$G:$G,RESULTADO!$BN44,'MtM Releases'!$F:$F,RESULTADO!$BN43,'MtM Releases'!$D:$D,RESULTADO!CJ$3)</f>
        <v>-141030.53425741175</v>
      </c>
      <c r="CK44" s="53">
        <f>SUMIFS('MtM Releases'!$M:$M,'MtM Releases'!$G:$G,RESULTADO!$BN44,'MtM Releases'!$F:$F,RESULTADO!$BN43,'MtM Releases'!$D:$D,RESULTADO!CK$3)</f>
        <v>-292289.16218459234</v>
      </c>
      <c r="CL44" s="63">
        <f>SUMIFS('MtM Releases'!$M:$M,'MtM Releases'!$G:$G,RESULTADO!$BN44,'MtM Releases'!$F:$F,RESULTADO!$BN43,'MtM Releases'!$D:$D,RESULTADO!CL$3)</f>
        <v>514944.62911703729</v>
      </c>
      <c r="CM44" s="53">
        <f>SUMIFS('MtM Releases'!$M:$M,'MtM Releases'!$G:$G,RESULTADO!$BN44,'MtM Releases'!$F:$F,RESULTADO!$BN43,'MtM Releases'!$D:$D,RESULTADO!CM$3)</f>
        <v>-346623.55105160759</v>
      </c>
      <c r="CN44" s="53">
        <f>SUMIFS('MtM Releases'!$M:$M,'MtM Releases'!$G:$G,RESULTADO!$BN44,'MtM Releases'!$F:$F,RESULTADO!$BN43,'MtM Releases'!$D:$D,RESULTADO!CN$3)</f>
        <v>-324260.74130634253</v>
      </c>
      <c r="CO44" s="53">
        <f>SUMIFS('MtM Releases'!$M:$M,'MtM Releases'!$G:$G,RESULTADO!$BN44,'MtM Releases'!$F:$F,RESULTADO!$BN43,'MtM Releases'!$D:$D,RESULTADO!CO$3)</f>
        <v>-346623.55105160759</v>
      </c>
      <c r="CP44" s="53">
        <f>SUMIFS('MtM Releases'!$M:$M,'MtM Releases'!$G:$G,RESULTADO!$BN44,'MtM Releases'!$F:$F,RESULTADO!$BN43,'MtM Releases'!$D:$D,RESULTADO!CP$3)</f>
        <v>-335442.146178975</v>
      </c>
      <c r="CQ44" s="53">
        <f>SUMIFS('MtM Releases'!$M:$M,'MtM Releases'!$G:$G,RESULTADO!$BN44,'MtM Releases'!$F:$F,RESULTADO!$BN43,'MtM Releases'!$D:$D,RESULTADO!CQ$3)</f>
        <v>-346623.55105160759</v>
      </c>
      <c r="CR44" s="53">
        <f>SUMIFS('MtM Releases'!$M:$M,'MtM Releases'!$G:$G,RESULTADO!$BN44,'MtM Releases'!$F:$F,RESULTADO!$BN43,'MtM Releases'!$D:$D,RESULTADO!CR$3)</f>
        <v>-335442.146178975</v>
      </c>
      <c r="CS44" s="53">
        <f>SUMIFS('MtM Releases'!$M:$M,'MtM Releases'!$G:$G,RESULTADO!$BN44,'MtM Releases'!$F:$F,RESULTADO!$BN43,'MtM Releases'!$D:$D,RESULTADO!CS$3)</f>
        <v>-346623.55105160759</v>
      </c>
      <c r="CT44" s="53">
        <f>SUMIFS('MtM Releases'!$M:$M,'MtM Releases'!$G:$G,RESULTADO!$BN44,'MtM Releases'!$F:$F,RESULTADO!$BN43,'MtM Releases'!$D:$D,RESULTADO!CT$3)</f>
        <v>-346623.55105160759</v>
      </c>
      <c r="CU44" s="53">
        <f>SUMIFS('MtM Releases'!$M:$M,'MtM Releases'!$G:$G,RESULTADO!$BN44,'MtM Releases'!$F:$F,RESULTADO!$BN43,'MtM Releases'!$D:$D,RESULTADO!CU$3)</f>
        <v>-335442.146178975</v>
      </c>
      <c r="CV44" s="53">
        <f>SUMIFS('MtM Releases'!$M:$M,'MtM Releases'!$G:$G,RESULTADO!$BN44,'MtM Releases'!$F:$F,RESULTADO!$BN43,'MtM Releases'!$D:$D,RESULTADO!CV$3)</f>
        <v>-346623.55105160759</v>
      </c>
      <c r="CW44" s="53">
        <f>SUMIFS('MtM Releases'!$M:$M,'MtM Releases'!$G:$G,RESULTADO!$BN44,'MtM Releases'!$F:$F,RESULTADO!$BN43,'MtM Releases'!$D:$D,RESULTADO!CW$3)</f>
        <v>-335442.146178975</v>
      </c>
      <c r="CX44" s="54">
        <f>SUMIFS('MtM Releases'!$M:$M,'MtM Releases'!$G:$G,RESULTADO!$BN44,'MtM Releases'!$F:$F,RESULTADO!$BN43,'MtM Releases'!$D:$D,RESULTADO!CX$3)</f>
        <v>-346623.55105160759</v>
      </c>
      <c r="CY44" s="53">
        <f>SUMIFS('MtM Releases'!$M:$M,'MtM Releases'!$G:$G,RESULTADO!$BN44,'MtM Releases'!$F:$F,RESULTADO!$BN43,'MtM Releases'!$D:$D,RESULTADO!CY$3)</f>
        <v>0</v>
      </c>
      <c r="CZ44" s="53">
        <f>SUMIFS('MtM Releases'!$M:$M,'MtM Releases'!$G:$G,RESULTADO!$BN44,'MtM Releases'!$F:$F,RESULTADO!$BN43,'MtM Releases'!$D:$D,RESULTADO!CZ$3)</f>
        <v>0</v>
      </c>
      <c r="DA44" s="53">
        <f>SUMIFS('MtM Releases'!$M:$M,'MtM Releases'!$G:$G,RESULTADO!$BN44,'MtM Releases'!$F:$F,RESULTADO!$BN43,'MtM Releases'!$D:$D,RESULTADO!DA$3)</f>
        <v>0</v>
      </c>
      <c r="DB44" s="53">
        <f>SUMIFS('MtM Releases'!$M:$M,'MtM Releases'!$G:$G,RESULTADO!$BN44,'MtM Releases'!$F:$F,RESULTADO!$BN43,'MtM Releases'!$D:$D,RESULTADO!DB$3)</f>
        <v>0</v>
      </c>
      <c r="DC44" s="53">
        <f>SUMIFS('MtM Releases'!$M:$M,'MtM Releases'!$G:$G,RESULTADO!$BN44,'MtM Releases'!$F:$F,RESULTADO!$BN43,'MtM Releases'!$D:$D,RESULTADO!DC$3)</f>
        <v>0</v>
      </c>
      <c r="DD44" s="53">
        <f>SUMIFS('MtM Releases'!$M:$M,'MtM Releases'!$G:$G,RESULTADO!$BN44,'MtM Releases'!$F:$F,RESULTADO!$BN43,'MtM Releases'!$D:$D,RESULTADO!DD$3)</f>
        <v>0</v>
      </c>
      <c r="DE44" s="53">
        <f>SUMIFS('MtM Releases'!$M:$M,'MtM Releases'!$G:$G,RESULTADO!$BN44,'MtM Releases'!$F:$F,RESULTADO!$BN43,'MtM Releases'!$D:$D,RESULTADO!DE$3)</f>
        <v>0</v>
      </c>
      <c r="DF44" s="53">
        <f>SUMIFS('MtM Releases'!$M:$M,'MtM Releases'!$G:$G,RESULTADO!$BN44,'MtM Releases'!$F:$F,RESULTADO!$BN43,'MtM Releases'!$D:$D,RESULTADO!DF$3)</f>
        <v>0</v>
      </c>
      <c r="DG44" s="53">
        <f>SUMIFS('MtM Releases'!$M:$M,'MtM Releases'!$G:$G,RESULTADO!$BN44,'MtM Releases'!$F:$F,RESULTADO!$BN43,'MtM Releases'!$D:$D,RESULTADO!DG$3)</f>
        <v>0</v>
      </c>
      <c r="DH44" s="53">
        <f>SUMIFS('MtM Releases'!$M:$M,'MtM Releases'!$G:$G,RESULTADO!$BN44,'MtM Releases'!$F:$F,RESULTADO!$BN43,'MtM Releases'!$D:$D,RESULTADO!DH$3)</f>
        <v>0</v>
      </c>
      <c r="DI44" s="53">
        <f>SUMIFS('MtM Releases'!$M:$M,'MtM Releases'!$G:$G,RESULTADO!$BN44,'MtM Releases'!$F:$F,RESULTADO!$BN43,'MtM Releases'!$D:$D,RESULTADO!DI$3)</f>
        <v>0</v>
      </c>
      <c r="DJ44" s="63">
        <f>SUMIFS('MtM Releases'!$M:$M,'MtM Releases'!$G:$G,RESULTADO!$BN44,'MtM Releases'!$F:$F,RESULTADO!$BN43,'MtM Releases'!$D:$D,RESULTADO!DJ$3)</f>
        <v>0</v>
      </c>
      <c r="DK44" s="53">
        <f>SUMIFS('MtM Releases'!$M:$M,'MtM Releases'!$G:$G,RESULTADO!$BN44,'MtM Releases'!$F:$F,RESULTADO!$BN43,'MtM Releases'!$D:$D,RESULTADO!DK$3)</f>
        <v>0</v>
      </c>
      <c r="DL44" s="53">
        <f>SUMIFS('MtM Releases'!$M:$M,'MtM Releases'!$G:$G,RESULTADO!$BN44,'MtM Releases'!$F:$F,RESULTADO!$BN43,'MtM Releases'!$D:$D,RESULTADO!DL$3)</f>
        <v>0</v>
      </c>
      <c r="DM44" s="53">
        <f>SUMIFS('MtM Releases'!$M:$M,'MtM Releases'!$G:$G,RESULTADO!$BN44,'MtM Releases'!$F:$F,RESULTADO!$BN43,'MtM Releases'!$D:$D,RESULTADO!DM$3)</f>
        <v>0</v>
      </c>
      <c r="DN44" s="53">
        <f>SUMIFS('MtM Releases'!$M:$M,'MtM Releases'!$G:$G,RESULTADO!$BN44,'MtM Releases'!$F:$F,RESULTADO!$BN43,'MtM Releases'!$D:$D,RESULTADO!DN$3)</f>
        <v>0</v>
      </c>
      <c r="DO44" s="53">
        <f>SUMIFS('MtM Releases'!$M:$M,'MtM Releases'!$G:$G,RESULTADO!$BN44,'MtM Releases'!$F:$F,RESULTADO!$BN43,'MtM Releases'!$D:$D,RESULTADO!DO$3)</f>
        <v>0</v>
      </c>
      <c r="DP44" s="53">
        <f>SUMIFS('MtM Releases'!$M:$M,'MtM Releases'!$G:$G,RESULTADO!$BN44,'MtM Releases'!$F:$F,RESULTADO!$BN43,'MtM Releases'!$D:$D,RESULTADO!DP$3)</f>
        <v>0</v>
      </c>
      <c r="DQ44" s="53">
        <f>SUMIFS('MtM Releases'!$M:$M,'MtM Releases'!$G:$G,RESULTADO!$BN44,'MtM Releases'!$F:$F,RESULTADO!$BN43,'MtM Releases'!$D:$D,RESULTADO!DQ$3)</f>
        <v>0</v>
      </c>
      <c r="DR44" s="53">
        <f>SUMIFS('MtM Releases'!$M:$M,'MtM Releases'!$G:$G,RESULTADO!$BN44,'MtM Releases'!$F:$F,RESULTADO!$BN43,'MtM Releases'!$D:$D,RESULTADO!DR$3)</f>
        <v>0</v>
      </c>
      <c r="DS44" s="53">
        <f>SUMIFS('MtM Releases'!$M:$M,'MtM Releases'!$G:$G,RESULTADO!$BN44,'MtM Releases'!$F:$F,RESULTADO!$BN43,'MtM Releases'!$D:$D,RESULTADO!DS$3)</f>
        <v>0</v>
      </c>
      <c r="DT44" s="53">
        <f>SUMIFS('MtM Releases'!$M:$M,'MtM Releases'!$G:$G,RESULTADO!$BN44,'MtM Releases'!$F:$F,RESULTADO!$BN43,'MtM Releases'!$D:$D,RESULTADO!DT$3)</f>
        <v>0</v>
      </c>
      <c r="DU44" s="53">
        <f>SUMIFS('MtM Releases'!$M:$M,'MtM Releases'!$G:$G,RESULTADO!$BN44,'MtM Releases'!$F:$F,RESULTADO!$BN43,'MtM Releases'!$D:$D,RESULTADO!DU$3)</f>
        <v>0</v>
      </c>
      <c r="DV44" s="63">
        <f>SUMIFS('MtM Releases'!$M:$M,'MtM Releases'!$G:$G,RESULTADO!$BN44,'MtM Releases'!$F:$F,RESULTADO!$BN43,'MtM Releases'!$D:$D,RESULTADO!DV$3)</f>
        <v>0</v>
      </c>
    </row>
    <row r="45" spans="2:134" x14ac:dyDescent="0.25">
      <c r="B45" s="57" t="s">
        <v>12</v>
      </c>
      <c r="C45" s="53">
        <f>(SUMIFS(MtM!$V:$V,MtM!$I:$I,RESULTADO!$B45,MtM!$H:$H,RESULTADO!$B$43,MtM!$E:$E,RESULTADO!C$42))</f>
        <v>0</v>
      </c>
      <c r="D45" s="53">
        <f>(SUMIFS(MtM!$V:$V,MtM!$I:$I,RESULTADO!$B45,MtM!$H:$H,RESULTADO!$B$43,MtM!$E:$E,RESULTADO!D$42))</f>
        <v>0</v>
      </c>
      <c r="E45" s="53">
        <f>(SUMIFS(MtM!$V:$V,MtM!$I:$I,RESULTADO!$B45,MtM!$H:$H,RESULTADO!$B$43,MtM!$E:$E,RESULTADO!E$42))</f>
        <v>0</v>
      </c>
      <c r="F45" s="53">
        <f>(SUMIFS(MtM!$V:$V,MtM!$I:$I,RESULTADO!$B45,MtM!$H:$H,RESULTADO!$B$43,MtM!$E:$E,RESULTADO!F$42))</f>
        <v>0</v>
      </c>
      <c r="G45" s="53">
        <f>(SUMIFS(MtM!$V:$V,MtM!$I:$I,RESULTADO!$B45,MtM!$H:$H,RESULTADO!$B$43,MtM!$E:$E,RESULTADO!G$42))</f>
        <v>0</v>
      </c>
      <c r="H45" s="53">
        <f>(SUMIFS(MtM!$V:$V,MtM!$I:$I,RESULTADO!$B45,MtM!$H:$H,RESULTADO!$B$43,MtM!$E:$E,RESULTADO!H$42))</f>
        <v>0</v>
      </c>
      <c r="I45" s="53">
        <f>(SUMIFS(MtM!$V:$V,MtM!$I:$I,RESULTADO!$B45,MtM!$H:$H,RESULTADO!$B$43,MtM!$E:$E,RESULTADO!I$42))</f>
        <v>0</v>
      </c>
      <c r="J45" s="53">
        <f>(SUMIFS(MtM!$V:$V,MtM!$I:$I,RESULTADO!$B45,MtM!$H:$H,RESULTADO!$B$43,MtM!$E:$E,RESULTADO!J$42))</f>
        <v>0</v>
      </c>
      <c r="K45" s="53">
        <f>(SUMIFS(MtM!$V:$V,MtM!$I:$I,RESULTADO!$B45,MtM!$H:$H,RESULTADO!$B$43,MtM!$E:$E,RESULTADO!K$42))</f>
        <v>0</v>
      </c>
      <c r="L45" s="53">
        <f>(SUMIFS(MtM!$V:$V,MtM!$I:$I,RESULTADO!$B45,MtM!$H:$H,RESULTADO!$B$43,MtM!$E:$E,RESULTADO!L$42))</f>
        <v>0</v>
      </c>
      <c r="M45" s="53">
        <f>(SUMIFS(MtM!$V:$V,MtM!$I:$I,RESULTADO!$B45,MtM!$H:$H,RESULTADO!$B$43,MtM!$E:$E,RESULTADO!M$42))</f>
        <v>0</v>
      </c>
      <c r="N45" s="54">
        <f>(SUMIFS(MtM!$V:$V,MtM!$I:$I,RESULTADO!$B45,MtM!$H:$H,RESULTADO!$B$43,MtM!$E:$E,RESULTADO!N$42))</f>
        <v>0</v>
      </c>
      <c r="O45" s="53">
        <f>(SUMIFS(MtM!$V:$V,MtM!$I:$I,RESULTADO!$B45,MtM!$H:$H,RESULTADO!$B$43,MtM!$E:$E,RESULTADO!O$42))</f>
        <v>0</v>
      </c>
      <c r="P45" s="53">
        <f>(SUMIFS(MtM!$V:$V,MtM!$I:$I,RESULTADO!$B45,MtM!$H:$H,RESULTADO!$B$43,MtM!$E:$E,RESULTADO!P$42))</f>
        <v>0</v>
      </c>
      <c r="Q45" s="53">
        <f>(SUMIFS(MtM!$V:$V,MtM!$I:$I,RESULTADO!$B45,MtM!$H:$H,RESULTADO!$B$43,MtM!$E:$E,RESULTADO!Q$42))</f>
        <v>0</v>
      </c>
      <c r="R45" s="53">
        <f>(SUMIFS(MtM!$V:$V,MtM!$I:$I,RESULTADO!$B45,MtM!$H:$H,RESULTADO!$B$43,MtM!$E:$E,RESULTADO!R$42))</f>
        <v>0</v>
      </c>
      <c r="S45" s="53">
        <f>(SUMIFS(MtM!$V:$V,MtM!$I:$I,RESULTADO!$B45,MtM!$H:$H,RESULTADO!$B$43,MtM!$E:$E,RESULTADO!S$42))</f>
        <v>0</v>
      </c>
      <c r="T45" s="53">
        <f>(SUMIFS(MtM!$V:$V,MtM!$I:$I,RESULTADO!$B45,MtM!$H:$H,RESULTADO!$B$43,MtM!$E:$E,RESULTADO!T$42))</f>
        <v>0</v>
      </c>
      <c r="U45" s="53">
        <f>(SUMIFS(MtM!$V:$V,MtM!$I:$I,RESULTADO!$B45,MtM!$H:$H,RESULTADO!$B$43,MtM!$E:$E,RESULTADO!U$42))</f>
        <v>0</v>
      </c>
      <c r="V45" s="53">
        <f>(SUMIFS(MtM!$V:$V,MtM!$I:$I,RESULTADO!$B45,MtM!$H:$H,RESULTADO!$B$43,MtM!$E:$E,RESULTADO!V$42))</f>
        <v>0</v>
      </c>
      <c r="W45" s="53">
        <f>(SUMIFS(MtM!$V:$V,MtM!$I:$I,RESULTADO!$B45,MtM!$H:$H,RESULTADO!$B$43,MtM!$E:$E,RESULTADO!W$42))</f>
        <v>0</v>
      </c>
      <c r="X45" s="53">
        <f>(SUMIFS(MtM!$V:$V,MtM!$I:$I,RESULTADO!$B45,MtM!$H:$H,RESULTADO!$B$43,MtM!$E:$E,RESULTADO!X$42))</f>
        <v>0</v>
      </c>
      <c r="Y45" s="53">
        <f>(SUMIFS(MtM!$V:$V,MtM!$I:$I,RESULTADO!$B45,MtM!$H:$H,RESULTADO!$B$43,MtM!$E:$E,RESULTADO!Y$42))</f>
        <v>0</v>
      </c>
      <c r="Z45" s="63">
        <f>(SUMIFS(MtM!$V:$V,MtM!$I:$I,RESULTADO!$B45,MtM!$H:$H,RESULTADO!$B$43,MtM!$E:$E,RESULTADO!Z$42))</f>
        <v>0</v>
      </c>
      <c r="AA45" s="53">
        <f>(SUMIFS(MtM!$V:$V,MtM!$I:$I,RESULTADO!$B45,MtM!$H:$H,RESULTADO!$B$43,MtM!$E:$E,RESULTADO!AA$42))</f>
        <v>0</v>
      </c>
      <c r="AB45" s="53">
        <f>(SUMIFS(MtM!$V:$V,MtM!$I:$I,RESULTADO!$B45,MtM!$H:$H,RESULTADO!$B$43,MtM!$E:$E,RESULTADO!AB$42))</f>
        <v>0</v>
      </c>
      <c r="AC45" s="53">
        <f>(SUMIFS(MtM!$V:$V,MtM!$I:$I,RESULTADO!$B45,MtM!$H:$H,RESULTADO!$B$43,MtM!$E:$E,RESULTADO!AC$42))</f>
        <v>0</v>
      </c>
      <c r="AD45" s="53">
        <f>(SUMIFS(MtM!$V:$V,MtM!$I:$I,RESULTADO!$B45,MtM!$H:$H,RESULTADO!$B$43,MtM!$E:$E,RESULTADO!AD$42))</f>
        <v>0</v>
      </c>
      <c r="AE45" s="53">
        <f>(SUMIFS(MtM!$V:$V,MtM!$I:$I,RESULTADO!$B45,MtM!$H:$H,RESULTADO!$B$43,MtM!$E:$E,RESULTADO!AE$42))</f>
        <v>0</v>
      </c>
      <c r="AF45" s="53">
        <f>(SUMIFS(MtM!$V:$V,MtM!$I:$I,RESULTADO!$B45,MtM!$H:$H,RESULTADO!$B$43,MtM!$E:$E,RESULTADO!AF$42))</f>
        <v>0</v>
      </c>
      <c r="AG45" s="53">
        <f>(SUMIFS(MtM!$V:$V,MtM!$I:$I,RESULTADO!$B45,MtM!$H:$H,RESULTADO!$B$43,MtM!$E:$E,RESULTADO!AG$42))</f>
        <v>0</v>
      </c>
      <c r="AH45" s="53">
        <f>(SUMIFS(MtM!$V:$V,MtM!$I:$I,RESULTADO!$B45,MtM!$H:$H,RESULTADO!$B$43,MtM!$E:$E,RESULTADO!AH$42))</f>
        <v>0</v>
      </c>
      <c r="AI45" s="53">
        <f>(SUMIFS(MtM!$V:$V,MtM!$I:$I,RESULTADO!$B45,MtM!$H:$H,RESULTADO!$B$43,MtM!$E:$E,RESULTADO!AI$42))</f>
        <v>0</v>
      </c>
      <c r="AJ45" s="53">
        <f>(SUMIFS(MtM!$V:$V,MtM!$I:$I,RESULTADO!$B45,MtM!$H:$H,RESULTADO!$B$43,MtM!$E:$E,RESULTADO!AJ$42))</f>
        <v>0</v>
      </c>
      <c r="AK45" s="53">
        <f>(SUMIFS(MtM!$V:$V,MtM!$I:$I,RESULTADO!$B45,MtM!$H:$H,RESULTADO!$B$43,MtM!$E:$E,RESULTADO!AK$42))</f>
        <v>0</v>
      </c>
      <c r="AL45" s="54">
        <f>(SUMIFS(MtM!$V:$V,MtM!$I:$I,RESULTADO!$B45,MtM!$H:$H,RESULTADO!$B$43,MtM!$E:$E,RESULTADO!AL$42))</f>
        <v>0</v>
      </c>
      <c r="AM45" s="53">
        <f>(SUMIFS(MtM!$V:$V,MtM!$I:$I,RESULTADO!$B45,MtM!$H:$H,RESULTADO!$B$43,MtM!$E:$E,RESULTADO!AM$42))</f>
        <v>0</v>
      </c>
      <c r="AN45" s="53">
        <f>(SUMIFS(MtM!$V:$V,MtM!$I:$I,RESULTADO!$B45,MtM!$H:$H,RESULTADO!$B$43,MtM!$E:$E,RESULTADO!AN$42))</f>
        <v>0</v>
      </c>
      <c r="AO45" s="53">
        <f>(SUMIFS(MtM!$V:$V,MtM!$I:$I,RESULTADO!$B45,MtM!$H:$H,RESULTADO!$B$43,MtM!$E:$E,RESULTADO!AO$42))</f>
        <v>0</v>
      </c>
      <c r="AP45" s="53">
        <f>(SUMIFS(MtM!$V:$V,MtM!$I:$I,RESULTADO!$B45,MtM!$H:$H,RESULTADO!$B$43,MtM!$E:$E,RESULTADO!AP$42))</f>
        <v>0</v>
      </c>
      <c r="AQ45" s="53">
        <f>(SUMIFS(MtM!$V:$V,MtM!$I:$I,RESULTADO!$B45,MtM!$H:$H,RESULTADO!$B$43,MtM!$E:$E,RESULTADO!AQ$42))</f>
        <v>0</v>
      </c>
      <c r="AR45" s="53">
        <f>(SUMIFS(MtM!$V:$V,MtM!$I:$I,RESULTADO!$B45,MtM!$H:$H,RESULTADO!$B$43,MtM!$E:$E,RESULTADO!AR$42))</f>
        <v>0</v>
      </c>
      <c r="AS45" s="53">
        <f>(SUMIFS(MtM!$V:$V,MtM!$I:$I,RESULTADO!$B45,MtM!$H:$H,RESULTADO!$B$43,MtM!$E:$E,RESULTADO!AS$42))</f>
        <v>0</v>
      </c>
      <c r="AT45" s="53">
        <f>(SUMIFS(MtM!$V:$V,MtM!$I:$I,RESULTADO!$B45,MtM!$H:$H,RESULTADO!$B$43,MtM!$E:$E,RESULTADO!AT$42))</f>
        <v>0</v>
      </c>
      <c r="AU45" s="53">
        <f>(SUMIFS(MtM!$V:$V,MtM!$I:$I,RESULTADO!$B45,MtM!$H:$H,RESULTADO!$B$43,MtM!$E:$E,RESULTADO!AU$42))</f>
        <v>0</v>
      </c>
      <c r="AV45" s="53">
        <f>(SUMIFS(MtM!$V:$V,MtM!$I:$I,RESULTADO!$B45,MtM!$H:$H,RESULTADO!$B$43,MtM!$E:$E,RESULTADO!AV$42))</f>
        <v>0</v>
      </c>
      <c r="AW45" s="53">
        <f>(SUMIFS(MtM!$V:$V,MtM!$I:$I,RESULTADO!$B45,MtM!$H:$H,RESULTADO!$B$43,MtM!$E:$E,RESULTADO!AW$42))</f>
        <v>0</v>
      </c>
      <c r="AX45" s="63">
        <f>(SUMIFS(MtM!$V:$V,MtM!$I:$I,RESULTADO!$B45,MtM!$H:$H,RESULTADO!$B$43,MtM!$E:$E,RESULTADO!AX$42))</f>
        <v>0</v>
      </c>
      <c r="AY45" s="53">
        <f>(SUMIFS(MtM!$V:$V,MtM!$I:$I,RESULTADO!$B45,MtM!$H:$H,RESULTADO!$B$43,MtM!$E:$E,RESULTADO!AY$42))</f>
        <v>0</v>
      </c>
      <c r="AZ45" s="53">
        <f>(SUMIFS(MtM!$V:$V,MtM!$I:$I,RESULTADO!$B45,MtM!$H:$H,RESULTADO!$B$43,MtM!$E:$E,RESULTADO!AZ$42))</f>
        <v>0</v>
      </c>
      <c r="BA45" s="53">
        <f>(SUMIFS(MtM!$V:$V,MtM!$I:$I,RESULTADO!$B45,MtM!$H:$H,RESULTADO!$B$43,MtM!$E:$E,RESULTADO!BA$42))</f>
        <v>0</v>
      </c>
      <c r="BB45" s="53">
        <f>(SUMIFS(MtM!$V:$V,MtM!$I:$I,RESULTADO!$B45,MtM!$H:$H,RESULTADO!$B$43,MtM!$E:$E,RESULTADO!BB$42))</f>
        <v>0</v>
      </c>
      <c r="BC45" s="53">
        <f>(SUMIFS(MtM!$V:$V,MtM!$I:$I,RESULTADO!$B45,MtM!$H:$H,RESULTADO!$B$43,MtM!$E:$E,RESULTADO!BC$42))</f>
        <v>0</v>
      </c>
      <c r="BD45" s="53">
        <f>(SUMIFS(MtM!$V:$V,MtM!$I:$I,RESULTADO!$B45,MtM!$H:$H,RESULTADO!$B$43,MtM!$E:$E,RESULTADO!BD$42))</f>
        <v>0</v>
      </c>
      <c r="BE45" s="53">
        <f>(SUMIFS(MtM!$V:$V,MtM!$I:$I,RESULTADO!$B45,MtM!$H:$H,RESULTADO!$B$43,MtM!$E:$E,RESULTADO!BE$42))</f>
        <v>0</v>
      </c>
      <c r="BF45" s="53">
        <f>(SUMIFS(MtM!$V:$V,MtM!$I:$I,RESULTADO!$B45,MtM!$H:$H,RESULTADO!$B$43,MtM!$E:$E,RESULTADO!BF$42))</f>
        <v>0</v>
      </c>
      <c r="BG45" s="53">
        <f>(SUMIFS(MtM!$V:$V,MtM!$I:$I,RESULTADO!$B45,MtM!$H:$H,RESULTADO!$B$43,MtM!$E:$E,RESULTADO!BG$42))</f>
        <v>0</v>
      </c>
      <c r="BH45" s="53">
        <f>(SUMIFS(MtM!$V:$V,MtM!$I:$I,RESULTADO!$B45,MtM!$H:$H,RESULTADO!$B$43,MtM!$E:$E,RESULTADO!BH$42))</f>
        <v>0</v>
      </c>
      <c r="BI45" s="53">
        <f>(SUMIFS(MtM!$V:$V,MtM!$I:$I,RESULTADO!$B45,MtM!$H:$H,RESULTADO!$B$43,MtM!$E:$E,RESULTADO!BI$42))</f>
        <v>0</v>
      </c>
      <c r="BJ45" s="63">
        <f>(SUMIFS(MtM!$V:$V,MtM!$I:$I,RESULTADO!$B45,MtM!$H:$H,RESULTADO!$B$43,MtM!$E:$E,RESULTADO!BJ$42))</f>
        <v>0</v>
      </c>
      <c r="BL45" s="120"/>
      <c r="BN45" s="57" t="s">
        <v>12</v>
      </c>
      <c r="BO45" s="53">
        <f>SUMIFS('MtM Releases'!$M:$M,'MtM Releases'!$G:$G,RESULTADO!$BN45,'MtM Releases'!$F:$F,RESULTADO!$BN43,'MtM Releases'!$D:$D,RESULTADO!BO$3)</f>
        <v>0</v>
      </c>
      <c r="BP45" s="53">
        <f>SUMIFS('MtM Releases'!$M:$M,'MtM Releases'!$G:$G,RESULTADO!$BN45,'MtM Releases'!$F:$F,RESULTADO!$BN43,'MtM Releases'!$D:$D,RESULTADO!BP$3)</f>
        <v>0</v>
      </c>
      <c r="BQ45" s="53">
        <f>SUMIFS('MtM Releases'!$M:$M,'MtM Releases'!$G:$G,RESULTADO!$BN45,'MtM Releases'!$F:$F,RESULTADO!$BN43,'MtM Releases'!$D:$D,RESULTADO!BQ$3)</f>
        <v>0</v>
      </c>
      <c r="BR45" s="53">
        <f>SUMIFS('MtM Releases'!$M:$M,'MtM Releases'!$G:$G,RESULTADO!$BN45,'MtM Releases'!$F:$F,RESULTADO!$BN43,'MtM Releases'!$D:$D,RESULTADO!BR$3)</f>
        <v>0</v>
      </c>
      <c r="BS45" s="53">
        <f>SUMIFS('MtM Releases'!$M:$M,'MtM Releases'!$G:$G,RESULTADO!$BN45,'MtM Releases'!$F:$F,RESULTADO!$BN43,'MtM Releases'!$D:$D,RESULTADO!BS$3)</f>
        <v>0</v>
      </c>
      <c r="BT45" s="53">
        <f>SUMIFS('MtM Releases'!$M:$M,'MtM Releases'!$G:$G,RESULTADO!$BN45,'MtM Releases'!$F:$F,RESULTADO!$BN43,'MtM Releases'!$D:$D,RESULTADO!BT$3)</f>
        <v>0</v>
      </c>
      <c r="BU45" s="53">
        <f>SUMIFS('MtM Releases'!$M:$M,'MtM Releases'!$G:$G,RESULTADO!$BN45,'MtM Releases'!$F:$F,RESULTADO!$BN43,'MtM Releases'!$D:$D,RESULTADO!BU$3)</f>
        <v>0</v>
      </c>
      <c r="BV45" s="53">
        <f>SUMIFS('MtM Releases'!$M:$M,'MtM Releases'!$G:$G,RESULTADO!$BN45,'MtM Releases'!$F:$F,RESULTADO!$BN43,'MtM Releases'!$D:$D,RESULTADO!BV$3)</f>
        <v>0</v>
      </c>
      <c r="BW45" s="53">
        <f>SUMIFS('MtM Releases'!$M:$M,'MtM Releases'!$G:$G,RESULTADO!$BN45,'MtM Releases'!$F:$F,RESULTADO!$BN43,'MtM Releases'!$D:$D,RESULTADO!BW$3)</f>
        <v>0</v>
      </c>
      <c r="BX45" s="53">
        <f>SUMIFS('MtM Releases'!$M:$M,'MtM Releases'!$G:$G,RESULTADO!$BN45,'MtM Releases'!$F:$F,RESULTADO!$BN43,'MtM Releases'!$D:$D,RESULTADO!BX$3)</f>
        <v>0</v>
      </c>
      <c r="BY45" s="53">
        <f>SUMIFS('MtM Releases'!$M:$M,'MtM Releases'!$G:$G,RESULTADO!$BN45,'MtM Releases'!$F:$F,RESULTADO!$BN43,'MtM Releases'!$D:$D,RESULTADO!BY$3)</f>
        <v>0</v>
      </c>
      <c r="BZ45" s="54">
        <f>SUMIFS('MtM Releases'!$M:$M,'MtM Releases'!$G:$G,RESULTADO!$BN45,'MtM Releases'!$F:$F,RESULTADO!$BN43,'MtM Releases'!$D:$D,RESULTADO!BZ$3)</f>
        <v>0</v>
      </c>
      <c r="CA45" s="53">
        <f>SUMIFS('MtM Releases'!$M:$M,'MtM Releases'!$G:$G,RESULTADO!$BN45,'MtM Releases'!$F:$F,RESULTADO!$BN43,'MtM Releases'!$D:$D,RESULTADO!CA$3)</f>
        <v>0</v>
      </c>
      <c r="CB45" s="53">
        <f>SUMIFS('MtM Releases'!$M:$M,'MtM Releases'!$G:$G,RESULTADO!$BN45,'MtM Releases'!$F:$F,RESULTADO!$BN43,'MtM Releases'!$D:$D,RESULTADO!CB$3)</f>
        <v>0</v>
      </c>
      <c r="CC45" s="53">
        <f>SUMIFS('MtM Releases'!$M:$M,'MtM Releases'!$G:$G,RESULTADO!$BN45,'MtM Releases'!$F:$F,RESULTADO!$BN43,'MtM Releases'!$D:$D,RESULTADO!CC$3)</f>
        <v>0</v>
      </c>
      <c r="CD45" s="53">
        <f>SUMIFS('MtM Releases'!$M:$M,'MtM Releases'!$G:$G,RESULTADO!$BN45,'MtM Releases'!$F:$F,RESULTADO!$BN43,'MtM Releases'!$D:$D,RESULTADO!CD$3)</f>
        <v>0</v>
      </c>
      <c r="CE45" s="53">
        <f>SUMIFS('MtM Releases'!$M:$M,'MtM Releases'!$G:$G,RESULTADO!$BN45,'MtM Releases'!$F:$F,RESULTADO!$BN43,'MtM Releases'!$D:$D,RESULTADO!CE$3)</f>
        <v>0</v>
      </c>
      <c r="CF45" s="53">
        <f>SUMIFS('MtM Releases'!$M:$M,'MtM Releases'!$G:$G,RESULTADO!$BN45,'MtM Releases'!$F:$F,RESULTADO!$BN43,'MtM Releases'!$D:$D,RESULTADO!CF$3)</f>
        <v>0</v>
      </c>
      <c r="CG45" s="53">
        <f>SUMIFS('MtM Releases'!$M:$M,'MtM Releases'!$G:$G,RESULTADO!$BN45,'MtM Releases'!$F:$F,RESULTADO!$BN43,'MtM Releases'!$D:$D,RESULTADO!CG$3)</f>
        <v>0</v>
      </c>
      <c r="CH45" s="53">
        <f>SUMIFS('MtM Releases'!$M:$M,'MtM Releases'!$G:$G,RESULTADO!$BN45,'MtM Releases'!$F:$F,RESULTADO!$BN43,'MtM Releases'!$D:$D,RESULTADO!CH$3)</f>
        <v>0</v>
      </c>
      <c r="CI45" s="53">
        <f>SUMIFS('MtM Releases'!$M:$M,'MtM Releases'!$G:$G,RESULTADO!$BN45,'MtM Releases'!$F:$F,RESULTADO!$BN43,'MtM Releases'!$D:$D,RESULTADO!CI$3)</f>
        <v>0</v>
      </c>
      <c r="CJ45" s="53">
        <f>SUMIFS('MtM Releases'!$M:$M,'MtM Releases'!$G:$G,RESULTADO!$BN45,'MtM Releases'!$F:$F,RESULTADO!$BN43,'MtM Releases'!$D:$D,RESULTADO!CJ$3)</f>
        <v>0</v>
      </c>
      <c r="CK45" s="53">
        <f>SUMIFS('MtM Releases'!$M:$M,'MtM Releases'!$G:$G,RESULTADO!$BN45,'MtM Releases'!$F:$F,RESULTADO!$BN43,'MtM Releases'!$D:$D,RESULTADO!CK$3)</f>
        <v>0</v>
      </c>
      <c r="CL45" s="63">
        <f>SUMIFS('MtM Releases'!$M:$M,'MtM Releases'!$G:$G,RESULTADO!$BN45,'MtM Releases'!$F:$F,RESULTADO!$BN43,'MtM Releases'!$D:$D,RESULTADO!CL$3)</f>
        <v>0</v>
      </c>
      <c r="CM45" s="53">
        <f>SUMIFS('MtM Releases'!$M:$M,'MtM Releases'!$G:$G,RESULTADO!$BN45,'MtM Releases'!$F:$F,RESULTADO!$BN43,'MtM Releases'!$D:$D,RESULTADO!CM$3)</f>
        <v>0</v>
      </c>
      <c r="CN45" s="53">
        <f>SUMIFS('MtM Releases'!$M:$M,'MtM Releases'!$G:$G,RESULTADO!$BN45,'MtM Releases'!$F:$F,RESULTADO!$BN43,'MtM Releases'!$D:$D,RESULTADO!CN$3)</f>
        <v>0</v>
      </c>
      <c r="CO45" s="53">
        <f>SUMIFS('MtM Releases'!$M:$M,'MtM Releases'!$G:$G,RESULTADO!$BN45,'MtM Releases'!$F:$F,RESULTADO!$BN43,'MtM Releases'!$D:$D,RESULTADO!CO$3)</f>
        <v>0</v>
      </c>
      <c r="CP45" s="53">
        <f>SUMIFS('MtM Releases'!$M:$M,'MtM Releases'!$G:$G,RESULTADO!$BN45,'MtM Releases'!$F:$F,RESULTADO!$BN43,'MtM Releases'!$D:$D,RESULTADO!CP$3)</f>
        <v>0</v>
      </c>
      <c r="CQ45" s="53">
        <f>SUMIFS('MtM Releases'!$M:$M,'MtM Releases'!$G:$G,RESULTADO!$BN45,'MtM Releases'!$F:$F,RESULTADO!$BN43,'MtM Releases'!$D:$D,RESULTADO!CQ$3)</f>
        <v>0</v>
      </c>
      <c r="CR45" s="53">
        <f>SUMIFS('MtM Releases'!$M:$M,'MtM Releases'!$G:$G,RESULTADO!$BN45,'MtM Releases'!$F:$F,RESULTADO!$BN43,'MtM Releases'!$D:$D,RESULTADO!CR$3)</f>
        <v>0</v>
      </c>
      <c r="CS45" s="53">
        <f>SUMIFS('MtM Releases'!$M:$M,'MtM Releases'!$G:$G,RESULTADO!$BN45,'MtM Releases'!$F:$F,RESULTADO!$BN43,'MtM Releases'!$D:$D,RESULTADO!CS$3)</f>
        <v>0</v>
      </c>
      <c r="CT45" s="53">
        <f>SUMIFS('MtM Releases'!$M:$M,'MtM Releases'!$G:$G,RESULTADO!$BN45,'MtM Releases'!$F:$F,RESULTADO!$BN43,'MtM Releases'!$D:$D,RESULTADO!CT$3)</f>
        <v>0</v>
      </c>
      <c r="CU45" s="53">
        <f>SUMIFS('MtM Releases'!$M:$M,'MtM Releases'!$G:$G,RESULTADO!$BN45,'MtM Releases'!$F:$F,RESULTADO!$BN43,'MtM Releases'!$D:$D,RESULTADO!CU$3)</f>
        <v>0</v>
      </c>
      <c r="CV45" s="53">
        <f>SUMIFS('MtM Releases'!$M:$M,'MtM Releases'!$G:$G,RESULTADO!$BN45,'MtM Releases'!$F:$F,RESULTADO!$BN43,'MtM Releases'!$D:$D,RESULTADO!CV$3)</f>
        <v>0</v>
      </c>
      <c r="CW45" s="53">
        <f>SUMIFS('MtM Releases'!$M:$M,'MtM Releases'!$G:$G,RESULTADO!$BN45,'MtM Releases'!$F:$F,RESULTADO!$BN43,'MtM Releases'!$D:$D,RESULTADO!CW$3)</f>
        <v>0</v>
      </c>
      <c r="CX45" s="54">
        <f>SUMIFS('MtM Releases'!$M:$M,'MtM Releases'!$G:$G,RESULTADO!$BN45,'MtM Releases'!$F:$F,RESULTADO!$BN43,'MtM Releases'!$D:$D,RESULTADO!CX$3)</f>
        <v>0</v>
      </c>
      <c r="CY45" s="53">
        <f>SUMIFS('MtM Releases'!$M:$M,'MtM Releases'!$G:$G,RESULTADO!$BN45,'MtM Releases'!$F:$F,RESULTADO!$BN43,'MtM Releases'!$D:$D,RESULTADO!CY$3)</f>
        <v>0</v>
      </c>
      <c r="CZ45" s="53">
        <f>SUMIFS('MtM Releases'!$M:$M,'MtM Releases'!$G:$G,RESULTADO!$BN45,'MtM Releases'!$F:$F,RESULTADO!$BN43,'MtM Releases'!$D:$D,RESULTADO!CZ$3)</f>
        <v>0</v>
      </c>
      <c r="DA45" s="53">
        <f>SUMIFS('MtM Releases'!$M:$M,'MtM Releases'!$G:$G,RESULTADO!$BN45,'MtM Releases'!$F:$F,RESULTADO!$BN43,'MtM Releases'!$D:$D,RESULTADO!DA$3)</f>
        <v>0</v>
      </c>
      <c r="DB45" s="53">
        <f>SUMIFS('MtM Releases'!$M:$M,'MtM Releases'!$G:$G,RESULTADO!$BN45,'MtM Releases'!$F:$F,RESULTADO!$BN43,'MtM Releases'!$D:$D,RESULTADO!DB$3)</f>
        <v>0</v>
      </c>
      <c r="DC45" s="53">
        <f>SUMIFS('MtM Releases'!$M:$M,'MtM Releases'!$G:$G,RESULTADO!$BN45,'MtM Releases'!$F:$F,RESULTADO!$BN43,'MtM Releases'!$D:$D,RESULTADO!DC$3)</f>
        <v>0</v>
      </c>
      <c r="DD45" s="53">
        <f>SUMIFS('MtM Releases'!$M:$M,'MtM Releases'!$G:$G,RESULTADO!$BN45,'MtM Releases'!$F:$F,RESULTADO!$BN43,'MtM Releases'!$D:$D,RESULTADO!DD$3)</f>
        <v>0</v>
      </c>
      <c r="DE45" s="53">
        <f>SUMIFS('MtM Releases'!$M:$M,'MtM Releases'!$G:$G,RESULTADO!$BN45,'MtM Releases'!$F:$F,RESULTADO!$BN43,'MtM Releases'!$D:$D,RESULTADO!DE$3)</f>
        <v>0</v>
      </c>
      <c r="DF45" s="53">
        <f>SUMIFS('MtM Releases'!$M:$M,'MtM Releases'!$G:$G,RESULTADO!$BN45,'MtM Releases'!$F:$F,RESULTADO!$BN43,'MtM Releases'!$D:$D,RESULTADO!DF$3)</f>
        <v>0</v>
      </c>
      <c r="DG45" s="53">
        <f>SUMIFS('MtM Releases'!$M:$M,'MtM Releases'!$G:$G,RESULTADO!$BN45,'MtM Releases'!$F:$F,RESULTADO!$BN43,'MtM Releases'!$D:$D,RESULTADO!DG$3)</f>
        <v>0</v>
      </c>
      <c r="DH45" s="53">
        <f>SUMIFS('MtM Releases'!$M:$M,'MtM Releases'!$G:$G,RESULTADO!$BN45,'MtM Releases'!$F:$F,RESULTADO!$BN43,'MtM Releases'!$D:$D,RESULTADO!DH$3)</f>
        <v>0</v>
      </c>
      <c r="DI45" s="53">
        <f>SUMIFS('MtM Releases'!$M:$M,'MtM Releases'!$G:$G,RESULTADO!$BN45,'MtM Releases'!$F:$F,RESULTADO!$BN43,'MtM Releases'!$D:$D,RESULTADO!DI$3)</f>
        <v>0</v>
      </c>
      <c r="DJ45" s="63">
        <f>SUMIFS('MtM Releases'!$M:$M,'MtM Releases'!$G:$G,RESULTADO!$BN45,'MtM Releases'!$F:$F,RESULTADO!$BN43,'MtM Releases'!$D:$D,RESULTADO!DJ$3)</f>
        <v>0</v>
      </c>
      <c r="DK45" s="53">
        <f>SUMIFS('MtM Releases'!$M:$M,'MtM Releases'!$G:$G,RESULTADO!$BN45,'MtM Releases'!$F:$F,RESULTADO!$BN43,'MtM Releases'!$D:$D,RESULTADO!DK$3)</f>
        <v>0</v>
      </c>
      <c r="DL45" s="53">
        <f>SUMIFS('MtM Releases'!$M:$M,'MtM Releases'!$G:$G,RESULTADO!$BN45,'MtM Releases'!$F:$F,RESULTADO!$BN43,'MtM Releases'!$D:$D,RESULTADO!DL$3)</f>
        <v>0</v>
      </c>
      <c r="DM45" s="53">
        <f>SUMIFS('MtM Releases'!$M:$M,'MtM Releases'!$G:$G,RESULTADO!$BN45,'MtM Releases'!$F:$F,RESULTADO!$BN43,'MtM Releases'!$D:$D,RESULTADO!DM$3)</f>
        <v>0</v>
      </c>
      <c r="DN45" s="53">
        <f>SUMIFS('MtM Releases'!$M:$M,'MtM Releases'!$G:$G,RESULTADO!$BN45,'MtM Releases'!$F:$F,RESULTADO!$BN43,'MtM Releases'!$D:$D,RESULTADO!DN$3)</f>
        <v>0</v>
      </c>
      <c r="DO45" s="53">
        <f>SUMIFS('MtM Releases'!$M:$M,'MtM Releases'!$G:$G,RESULTADO!$BN45,'MtM Releases'!$F:$F,RESULTADO!$BN43,'MtM Releases'!$D:$D,RESULTADO!DO$3)</f>
        <v>0</v>
      </c>
      <c r="DP45" s="53">
        <f>SUMIFS('MtM Releases'!$M:$M,'MtM Releases'!$G:$G,RESULTADO!$BN45,'MtM Releases'!$F:$F,RESULTADO!$BN43,'MtM Releases'!$D:$D,RESULTADO!DP$3)</f>
        <v>0</v>
      </c>
      <c r="DQ45" s="53">
        <f>SUMIFS('MtM Releases'!$M:$M,'MtM Releases'!$G:$G,RESULTADO!$BN45,'MtM Releases'!$F:$F,RESULTADO!$BN43,'MtM Releases'!$D:$D,RESULTADO!DQ$3)</f>
        <v>0</v>
      </c>
      <c r="DR45" s="53">
        <f>SUMIFS('MtM Releases'!$M:$M,'MtM Releases'!$G:$G,RESULTADO!$BN45,'MtM Releases'!$F:$F,RESULTADO!$BN43,'MtM Releases'!$D:$D,RESULTADO!DR$3)</f>
        <v>0</v>
      </c>
      <c r="DS45" s="53">
        <f>SUMIFS('MtM Releases'!$M:$M,'MtM Releases'!$G:$G,RESULTADO!$BN45,'MtM Releases'!$F:$F,RESULTADO!$BN43,'MtM Releases'!$D:$D,RESULTADO!DS$3)</f>
        <v>0</v>
      </c>
      <c r="DT45" s="53">
        <f>SUMIFS('MtM Releases'!$M:$M,'MtM Releases'!$G:$G,RESULTADO!$BN45,'MtM Releases'!$F:$F,RESULTADO!$BN43,'MtM Releases'!$D:$D,RESULTADO!DT$3)</f>
        <v>0</v>
      </c>
      <c r="DU45" s="53">
        <f>SUMIFS('MtM Releases'!$M:$M,'MtM Releases'!$G:$G,RESULTADO!$BN45,'MtM Releases'!$F:$F,RESULTADO!$BN43,'MtM Releases'!$D:$D,RESULTADO!DU$3)</f>
        <v>0</v>
      </c>
      <c r="DV45" s="63">
        <f>SUMIFS('MtM Releases'!$M:$M,'MtM Releases'!$G:$G,RESULTADO!$BN45,'MtM Releases'!$F:$F,RESULTADO!$BN43,'MtM Releases'!$D:$D,RESULTADO!DV$3)</f>
        <v>0</v>
      </c>
    </row>
    <row r="46" spans="2:134" x14ac:dyDescent="0.25">
      <c r="B46" s="57" t="s">
        <v>13</v>
      </c>
      <c r="C46" s="53">
        <f>(SUMIFS(MtM!$V:$V,MtM!$I:$I,RESULTADO!$B46,MtM!$H:$H,RESULTADO!$B$43,MtM!$E:$E,RESULTADO!C$42))</f>
        <v>10971266.428300427</v>
      </c>
      <c r="D46" s="53">
        <f>(SUMIFS(MtM!$V:$V,MtM!$I:$I,RESULTADO!$B46,MtM!$H:$H,RESULTADO!$B$43,MtM!$E:$E,RESULTADO!D$42))</f>
        <v>9965710.1674971599</v>
      </c>
      <c r="E46" s="53">
        <f>(SUMIFS(MtM!$V:$V,MtM!$I:$I,RESULTADO!$B46,MtM!$H:$H,RESULTADO!$B$43,MtM!$E:$E,RESULTADO!E$42))</f>
        <v>11033464.828300428</v>
      </c>
      <c r="F46" s="53">
        <f>(SUMIFS(MtM!$V:$V,MtM!$I:$I,RESULTADO!$B46,MtM!$H:$H,RESULTADO!$B$43,MtM!$E:$E,RESULTADO!F$42))</f>
        <v>10677546.608032672</v>
      </c>
      <c r="G46" s="53">
        <f>(SUMIFS(MtM!$V:$V,MtM!$I:$I,RESULTADO!$B46,MtM!$H:$H,RESULTADO!$B$43,MtM!$E:$E,RESULTADO!G$42))</f>
        <v>11033464.828300428</v>
      </c>
      <c r="H46" s="53">
        <f>(SUMIFS(MtM!$V:$V,MtM!$I:$I,RESULTADO!$B46,MtM!$H:$H,RESULTADO!$B$43,MtM!$E:$E,RESULTADO!H$42))</f>
        <v>10677150.608032672</v>
      </c>
      <c r="I46" s="53">
        <f>(SUMIFS(MtM!$V:$V,MtM!$I:$I,RESULTADO!$B46,MtM!$H:$H,RESULTADO!$B$43,MtM!$E:$E,RESULTADO!I$42))</f>
        <v>12512344.149168786</v>
      </c>
      <c r="J46" s="53">
        <f>(SUMIFS(MtM!$V:$V,MtM!$I:$I,RESULTADO!$B46,MtM!$H:$H,RESULTADO!$B$43,MtM!$E:$E,RESULTADO!J$42))</f>
        <v>12000695.349168785</v>
      </c>
      <c r="K46" s="53">
        <f>(SUMIFS(MtM!$V:$V,MtM!$I:$I,RESULTADO!$B46,MtM!$H:$H,RESULTADO!$B$43,MtM!$E:$E,RESULTADO!K$42))</f>
        <v>12587952.144356888</v>
      </c>
      <c r="L46" s="53">
        <f>(SUMIFS(MtM!$V:$V,MtM!$I:$I,RESULTADO!$B46,MtM!$H:$H,RESULTADO!$B$43,MtM!$E:$E,RESULTADO!L$42))</f>
        <v>13025927.349168785</v>
      </c>
      <c r="M46" s="53">
        <f>(SUMIFS(MtM!$V:$V,MtM!$I:$I,RESULTADO!$B46,MtM!$H:$H,RESULTADO!$B$43,MtM!$E:$E,RESULTADO!M$42))</f>
        <v>12605736.144356888</v>
      </c>
      <c r="N46" s="54">
        <f>(SUMIFS(MtM!$V:$V,MtM!$I:$I,RESULTADO!$B46,MtM!$H:$H,RESULTADO!$B$43,MtM!$E:$E,RESULTADO!N$42))</f>
        <v>13025927.349168785</v>
      </c>
      <c r="O46" s="53">
        <f>(SUMIFS(MtM!$V:$V,MtM!$I:$I,RESULTADO!$B46,MtM!$H:$H,RESULTADO!$B$43,MtM!$E:$E,RESULTADO!O$42))</f>
        <v>-76154.607756512967</v>
      </c>
      <c r="P46" s="53">
        <f>(SUMIFS(MtM!$V:$V,MtM!$I:$I,RESULTADO!$B46,MtM!$H:$H,RESULTADO!$B$43,MtM!$E:$E,RESULTADO!P$42))</f>
        <v>-68535.49500588268</v>
      </c>
      <c r="Q46" s="53">
        <f>(SUMIFS(MtM!$V:$V,MtM!$I:$I,RESULTADO!$B46,MtM!$H:$H,RESULTADO!$B$43,MtM!$E:$E,RESULTADO!Q$42))</f>
        <v>-75852.543756512983</v>
      </c>
      <c r="R46" s="53">
        <f>(SUMIFS(MtM!$V:$V,MtM!$I:$I,RESULTADO!$B46,MtM!$H:$H,RESULTADO!$B$43,MtM!$E:$E,RESULTADO!R$42))</f>
        <v>-73153.687506302871</v>
      </c>
      <c r="S46" s="53">
        <f>(SUMIFS(MtM!$V:$V,MtM!$I:$I,RESULTADO!$B46,MtM!$H:$H,RESULTADO!$B$43,MtM!$E:$E,RESULTADO!S$42))</f>
        <v>-75383.823756512982</v>
      </c>
      <c r="T46" s="53">
        <f>(SUMIFS(MtM!$V:$V,MtM!$I:$I,RESULTADO!$B46,MtM!$H:$H,RESULTADO!$B$43,MtM!$E:$E,RESULTADO!T$42))</f>
        <v>-71843.287506302877</v>
      </c>
      <c r="U46" s="53">
        <f>(SUMIFS(MtM!$V:$V,MtM!$I:$I,RESULTADO!$B46,MtM!$H:$H,RESULTADO!$B$43,MtM!$E:$E,RESULTADO!U$42))</f>
        <v>-71764.26375651297</v>
      </c>
      <c r="V46" s="53">
        <f>(SUMIFS(MtM!$V:$V,MtM!$I:$I,RESULTADO!$B46,MtM!$H:$H,RESULTADO!$B$43,MtM!$E:$E,RESULTADO!V$42))</f>
        <v>-71764.26375651297</v>
      </c>
      <c r="W46" s="53">
        <f>(SUMIFS(MtM!$V:$V,MtM!$I:$I,RESULTADO!$B46,MtM!$H:$H,RESULTADO!$B$43,MtM!$E:$E,RESULTADO!W$42))</f>
        <v>-69449.287506302877</v>
      </c>
      <c r="X46" s="53">
        <f>(SUMIFS(MtM!$V:$V,MtM!$I:$I,RESULTADO!$B46,MtM!$H:$H,RESULTADO!$B$43,MtM!$E:$E,RESULTADO!X$42))</f>
        <v>-70045.62375651297</v>
      </c>
      <c r="Y46" s="53">
        <f>(SUMIFS(MtM!$V:$V,MtM!$I:$I,RESULTADO!$B46,MtM!$H:$H,RESULTADO!$B$43,MtM!$E:$E,RESULTADO!Y$42))</f>
        <v>-67786.087506302865</v>
      </c>
      <c r="Z46" s="63">
        <f>(SUMIFS(MtM!$V:$V,MtM!$I:$I,RESULTADO!$B46,MtM!$H:$H,RESULTADO!$B$43,MtM!$E:$E,RESULTADO!Z$42))</f>
        <v>-70045.62375651297</v>
      </c>
      <c r="AA46" s="53">
        <f>(SUMIFS(MtM!$V:$V,MtM!$I:$I,RESULTADO!$B46,MtM!$H:$H,RESULTADO!$B$43,MtM!$E:$E,RESULTADO!AA$42))</f>
        <v>0</v>
      </c>
      <c r="AB46" s="53">
        <f>(SUMIFS(MtM!$V:$V,MtM!$I:$I,RESULTADO!$B46,MtM!$H:$H,RESULTADO!$B$43,MtM!$E:$E,RESULTADO!AB$42))</f>
        <v>0</v>
      </c>
      <c r="AC46" s="53">
        <f>(SUMIFS(MtM!$V:$V,MtM!$I:$I,RESULTADO!$B46,MtM!$H:$H,RESULTADO!$B$43,MtM!$E:$E,RESULTADO!AC$42))</f>
        <v>0</v>
      </c>
      <c r="AD46" s="53">
        <f>(SUMIFS(MtM!$V:$V,MtM!$I:$I,RESULTADO!$B46,MtM!$H:$H,RESULTADO!$B$43,MtM!$E:$E,RESULTADO!AD$42))</f>
        <v>0</v>
      </c>
      <c r="AE46" s="53">
        <f>(SUMIFS(MtM!$V:$V,MtM!$I:$I,RESULTADO!$B46,MtM!$H:$H,RESULTADO!$B$43,MtM!$E:$E,RESULTADO!AE$42))</f>
        <v>0</v>
      </c>
      <c r="AF46" s="53">
        <f>(SUMIFS(MtM!$V:$V,MtM!$I:$I,RESULTADO!$B46,MtM!$H:$H,RESULTADO!$B$43,MtM!$E:$E,RESULTADO!AF$42))</f>
        <v>0</v>
      </c>
      <c r="AG46" s="53">
        <f>(SUMIFS(MtM!$V:$V,MtM!$I:$I,RESULTADO!$B46,MtM!$H:$H,RESULTADO!$B$43,MtM!$E:$E,RESULTADO!AG$42))</f>
        <v>0</v>
      </c>
      <c r="AH46" s="53">
        <f>(SUMIFS(MtM!$V:$V,MtM!$I:$I,RESULTADO!$B46,MtM!$H:$H,RESULTADO!$B$43,MtM!$E:$E,RESULTADO!AH$42))</f>
        <v>0</v>
      </c>
      <c r="AI46" s="53">
        <f>(SUMIFS(MtM!$V:$V,MtM!$I:$I,RESULTADO!$B46,MtM!$H:$H,RESULTADO!$B$43,MtM!$E:$E,RESULTADO!AI$42))</f>
        <v>0</v>
      </c>
      <c r="AJ46" s="53">
        <f>(SUMIFS(MtM!$V:$V,MtM!$I:$I,RESULTADO!$B46,MtM!$H:$H,RESULTADO!$B$43,MtM!$E:$E,RESULTADO!AJ$42))</f>
        <v>0</v>
      </c>
      <c r="AK46" s="53">
        <f>(SUMIFS(MtM!$V:$V,MtM!$I:$I,RESULTADO!$B46,MtM!$H:$H,RESULTADO!$B$43,MtM!$E:$E,RESULTADO!AK$42))</f>
        <v>0</v>
      </c>
      <c r="AL46" s="54">
        <f>(SUMIFS(MtM!$V:$V,MtM!$I:$I,RESULTADO!$B46,MtM!$H:$H,RESULTADO!$B$43,MtM!$E:$E,RESULTADO!AL$42))</f>
        <v>0</v>
      </c>
      <c r="AM46" s="53">
        <f>(SUMIFS(MtM!$V:$V,MtM!$I:$I,RESULTADO!$B46,MtM!$H:$H,RESULTADO!$B$43,MtM!$E:$E,RESULTADO!AM$42))</f>
        <v>0</v>
      </c>
      <c r="AN46" s="53">
        <f>(SUMIFS(MtM!$V:$V,MtM!$I:$I,RESULTADO!$B46,MtM!$H:$H,RESULTADO!$B$43,MtM!$E:$E,RESULTADO!AN$42))</f>
        <v>0</v>
      </c>
      <c r="AO46" s="53">
        <f>(SUMIFS(MtM!$V:$V,MtM!$I:$I,RESULTADO!$B46,MtM!$H:$H,RESULTADO!$B$43,MtM!$E:$E,RESULTADO!AO$42))</f>
        <v>0</v>
      </c>
      <c r="AP46" s="53">
        <f>(SUMIFS(MtM!$V:$V,MtM!$I:$I,RESULTADO!$B46,MtM!$H:$H,RESULTADO!$B$43,MtM!$E:$E,RESULTADO!AP$42))</f>
        <v>0</v>
      </c>
      <c r="AQ46" s="53">
        <f>(SUMIFS(MtM!$V:$V,MtM!$I:$I,RESULTADO!$B46,MtM!$H:$H,RESULTADO!$B$43,MtM!$E:$E,RESULTADO!AQ$42))</f>
        <v>0</v>
      </c>
      <c r="AR46" s="53">
        <f>(SUMIFS(MtM!$V:$V,MtM!$I:$I,RESULTADO!$B46,MtM!$H:$H,RESULTADO!$B$43,MtM!$E:$E,RESULTADO!AR$42))</f>
        <v>0</v>
      </c>
      <c r="AS46" s="53">
        <f>(SUMIFS(MtM!$V:$V,MtM!$I:$I,RESULTADO!$B46,MtM!$H:$H,RESULTADO!$B$43,MtM!$E:$E,RESULTADO!AS$42))</f>
        <v>0</v>
      </c>
      <c r="AT46" s="53">
        <f>(SUMIFS(MtM!$V:$V,MtM!$I:$I,RESULTADO!$B46,MtM!$H:$H,RESULTADO!$B$43,MtM!$E:$E,RESULTADO!AT$42))</f>
        <v>0</v>
      </c>
      <c r="AU46" s="53">
        <f>(SUMIFS(MtM!$V:$V,MtM!$I:$I,RESULTADO!$B46,MtM!$H:$H,RESULTADO!$B$43,MtM!$E:$E,RESULTADO!AU$42))</f>
        <v>0</v>
      </c>
      <c r="AV46" s="53">
        <f>(SUMIFS(MtM!$V:$V,MtM!$I:$I,RESULTADO!$B46,MtM!$H:$H,RESULTADO!$B$43,MtM!$E:$E,RESULTADO!AV$42))</f>
        <v>0</v>
      </c>
      <c r="AW46" s="53">
        <f>(SUMIFS(MtM!$V:$V,MtM!$I:$I,RESULTADO!$B46,MtM!$H:$H,RESULTADO!$B$43,MtM!$E:$E,RESULTADO!AW$42))</f>
        <v>0</v>
      </c>
      <c r="AX46" s="63">
        <f>(SUMIFS(MtM!$V:$V,MtM!$I:$I,RESULTADO!$B46,MtM!$H:$H,RESULTADO!$B$43,MtM!$E:$E,RESULTADO!AX$42))</f>
        <v>0</v>
      </c>
      <c r="AY46" s="53">
        <f>(SUMIFS(MtM!$V:$V,MtM!$I:$I,RESULTADO!$B46,MtM!$H:$H,RESULTADO!$B$43,MtM!$E:$E,RESULTADO!AY$42))</f>
        <v>0</v>
      </c>
      <c r="AZ46" s="53">
        <f>(SUMIFS(MtM!$V:$V,MtM!$I:$I,RESULTADO!$B46,MtM!$H:$H,RESULTADO!$B$43,MtM!$E:$E,RESULTADO!AZ$42))</f>
        <v>0</v>
      </c>
      <c r="BA46" s="53">
        <f>(SUMIFS(MtM!$V:$V,MtM!$I:$I,RESULTADO!$B46,MtM!$H:$H,RESULTADO!$B$43,MtM!$E:$E,RESULTADO!BA$42))</f>
        <v>0</v>
      </c>
      <c r="BB46" s="53">
        <f>(SUMIFS(MtM!$V:$V,MtM!$I:$I,RESULTADO!$B46,MtM!$H:$H,RESULTADO!$B$43,MtM!$E:$E,RESULTADO!BB$42))</f>
        <v>0</v>
      </c>
      <c r="BC46" s="53">
        <f>(SUMIFS(MtM!$V:$V,MtM!$I:$I,RESULTADO!$B46,MtM!$H:$H,RESULTADO!$B$43,MtM!$E:$E,RESULTADO!BC$42))</f>
        <v>0</v>
      </c>
      <c r="BD46" s="53">
        <f>(SUMIFS(MtM!$V:$V,MtM!$I:$I,RESULTADO!$B46,MtM!$H:$H,RESULTADO!$B$43,MtM!$E:$E,RESULTADO!BD$42))</f>
        <v>0</v>
      </c>
      <c r="BE46" s="53">
        <f>(SUMIFS(MtM!$V:$V,MtM!$I:$I,RESULTADO!$B46,MtM!$H:$H,RESULTADO!$B$43,MtM!$E:$E,RESULTADO!BE$42))</f>
        <v>0</v>
      </c>
      <c r="BF46" s="53">
        <f>(SUMIFS(MtM!$V:$V,MtM!$I:$I,RESULTADO!$B46,MtM!$H:$H,RESULTADO!$B$43,MtM!$E:$E,RESULTADO!BF$42))</f>
        <v>0</v>
      </c>
      <c r="BG46" s="53">
        <f>(SUMIFS(MtM!$V:$V,MtM!$I:$I,RESULTADO!$B46,MtM!$H:$H,RESULTADO!$B$43,MtM!$E:$E,RESULTADO!BG$42))</f>
        <v>0</v>
      </c>
      <c r="BH46" s="53">
        <f>(SUMIFS(MtM!$V:$V,MtM!$I:$I,RESULTADO!$B46,MtM!$H:$H,RESULTADO!$B$43,MtM!$E:$E,RESULTADO!BH$42))</f>
        <v>0</v>
      </c>
      <c r="BI46" s="53">
        <f>(SUMIFS(MtM!$V:$V,MtM!$I:$I,RESULTADO!$B46,MtM!$H:$H,RESULTADO!$B$43,MtM!$E:$E,RESULTADO!BI$42))</f>
        <v>0</v>
      </c>
      <c r="BJ46" s="63">
        <f>(SUMIFS(MtM!$V:$V,MtM!$I:$I,RESULTADO!$B46,MtM!$H:$H,RESULTADO!$B$43,MtM!$E:$E,RESULTADO!BJ$42))</f>
        <v>0</v>
      </c>
      <c r="BL46" s="120"/>
      <c r="BN46" s="57" t="s">
        <v>13</v>
      </c>
      <c r="BO46" s="53">
        <f>SUMIFS('MtM Releases'!$M:$M,'MtM Releases'!$G:$G,RESULTADO!$BN46,'MtM Releases'!$F:$F,RESULTADO!$BN43,'MtM Releases'!$D:$D,RESULTADO!BO$3)</f>
        <v>-10971266.428300427</v>
      </c>
      <c r="BP46" s="53">
        <f>SUMIFS('MtM Releases'!$M:$M,'MtM Releases'!$G:$G,RESULTADO!$BN46,'MtM Releases'!$F:$F,RESULTADO!$BN43,'MtM Releases'!$D:$D,RESULTADO!BP$3)</f>
        <v>-9965710.1674971599</v>
      </c>
      <c r="BQ46" s="53">
        <f>SUMIFS('MtM Releases'!$M:$M,'MtM Releases'!$G:$G,RESULTADO!$BN46,'MtM Releases'!$F:$F,RESULTADO!$BN43,'MtM Releases'!$D:$D,RESULTADO!BQ$3)</f>
        <v>-11033464.828300428</v>
      </c>
      <c r="BR46" s="53">
        <f>SUMIFS('MtM Releases'!$M:$M,'MtM Releases'!$G:$G,RESULTADO!$BN46,'MtM Releases'!$F:$F,RESULTADO!$BN43,'MtM Releases'!$D:$D,RESULTADO!BR$3)</f>
        <v>-10677546.608032672</v>
      </c>
      <c r="BS46" s="53">
        <f>SUMIFS('MtM Releases'!$M:$M,'MtM Releases'!$G:$G,RESULTADO!$BN46,'MtM Releases'!$F:$F,RESULTADO!$BN43,'MtM Releases'!$D:$D,RESULTADO!BS$3)</f>
        <v>-11033464.828300428</v>
      </c>
      <c r="BT46" s="53">
        <f>SUMIFS('MtM Releases'!$M:$M,'MtM Releases'!$G:$G,RESULTADO!$BN46,'MtM Releases'!$F:$F,RESULTADO!$BN43,'MtM Releases'!$D:$D,RESULTADO!BT$3)</f>
        <v>-10677150.608032672</v>
      </c>
      <c r="BU46" s="53">
        <f>SUMIFS('MtM Releases'!$M:$M,'MtM Releases'!$G:$G,RESULTADO!$BN46,'MtM Releases'!$F:$F,RESULTADO!$BN43,'MtM Releases'!$D:$D,RESULTADO!BU$3)</f>
        <v>-12512344.149168786</v>
      </c>
      <c r="BV46" s="53">
        <f>SUMIFS('MtM Releases'!$M:$M,'MtM Releases'!$G:$G,RESULTADO!$BN46,'MtM Releases'!$F:$F,RESULTADO!$BN43,'MtM Releases'!$D:$D,RESULTADO!BV$3)</f>
        <v>-12000695.349168785</v>
      </c>
      <c r="BW46" s="53">
        <f>SUMIFS('MtM Releases'!$M:$M,'MtM Releases'!$G:$G,RESULTADO!$BN46,'MtM Releases'!$F:$F,RESULTADO!$BN43,'MtM Releases'!$D:$D,RESULTADO!BW$3)</f>
        <v>-12587952.144356888</v>
      </c>
      <c r="BX46" s="53">
        <f>SUMIFS('MtM Releases'!$M:$M,'MtM Releases'!$G:$G,RESULTADO!$BN46,'MtM Releases'!$F:$F,RESULTADO!$BN43,'MtM Releases'!$D:$D,RESULTADO!BX$3)</f>
        <v>-13025927.349168785</v>
      </c>
      <c r="BY46" s="53">
        <f>SUMIFS('MtM Releases'!$M:$M,'MtM Releases'!$G:$G,RESULTADO!$BN46,'MtM Releases'!$F:$F,RESULTADO!$BN43,'MtM Releases'!$D:$D,RESULTADO!BY$3)</f>
        <v>-12605736.144356888</v>
      </c>
      <c r="BZ46" s="54">
        <f>SUMIFS('MtM Releases'!$M:$M,'MtM Releases'!$G:$G,RESULTADO!$BN46,'MtM Releases'!$F:$F,RESULTADO!$BN43,'MtM Releases'!$D:$D,RESULTADO!BZ$3)</f>
        <v>-13025927.349168785</v>
      </c>
      <c r="CA46" s="53">
        <f>SUMIFS('MtM Releases'!$M:$M,'MtM Releases'!$G:$G,RESULTADO!$BN46,'MtM Releases'!$F:$F,RESULTADO!$BN43,'MtM Releases'!$D:$D,RESULTADO!CA$3)</f>
        <v>76154.607756512967</v>
      </c>
      <c r="CB46" s="53">
        <f>SUMIFS('MtM Releases'!$M:$M,'MtM Releases'!$G:$G,RESULTADO!$BN46,'MtM Releases'!$F:$F,RESULTADO!$BN43,'MtM Releases'!$D:$D,RESULTADO!CB$3)</f>
        <v>68535.49500588268</v>
      </c>
      <c r="CC46" s="53">
        <f>SUMIFS('MtM Releases'!$M:$M,'MtM Releases'!$G:$G,RESULTADO!$BN46,'MtM Releases'!$F:$F,RESULTADO!$BN43,'MtM Releases'!$D:$D,RESULTADO!CC$3)</f>
        <v>75852.543756512983</v>
      </c>
      <c r="CD46" s="53">
        <f>SUMIFS('MtM Releases'!$M:$M,'MtM Releases'!$G:$G,RESULTADO!$BN46,'MtM Releases'!$F:$F,RESULTADO!$BN43,'MtM Releases'!$D:$D,RESULTADO!CD$3)</f>
        <v>73153.687506302871</v>
      </c>
      <c r="CE46" s="53">
        <f>SUMIFS('MtM Releases'!$M:$M,'MtM Releases'!$G:$G,RESULTADO!$BN46,'MtM Releases'!$F:$F,RESULTADO!$BN43,'MtM Releases'!$D:$D,RESULTADO!CE$3)</f>
        <v>75383.823756512982</v>
      </c>
      <c r="CF46" s="53">
        <f>SUMIFS('MtM Releases'!$M:$M,'MtM Releases'!$G:$G,RESULTADO!$BN46,'MtM Releases'!$F:$F,RESULTADO!$BN43,'MtM Releases'!$D:$D,RESULTADO!CF$3)</f>
        <v>71843.287506302877</v>
      </c>
      <c r="CG46" s="53">
        <f>SUMIFS('MtM Releases'!$M:$M,'MtM Releases'!$G:$G,RESULTADO!$BN46,'MtM Releases'!$F:$F,RESULTADO!$BN43,'MtM Releases'!$D:$D,RESULTADO!CG$3)</f>
        <v>71764.26375651297</v>
      </c>
      <c r="CH46" s="53">
        <f>SUMIFS('MtM Releases'!$M:$M,'MtM Releases'!$G:$G,RESULTADO!$BN46,'MtM Releases'!$F:$F,RESULTADO!$BN43,'MtM Releases'!$D:$D,RESULTADO!CH$3)</f>
        <v>71764.26375651297</v>
      </c>
      <c r="CI46" s="53">
        <f>SUMIFS('MtM Releases'!$M:$M,'MtM Releases'!$G:$G,RESULTADO!$BN46,'MtM Releases'!$F:$F,RESULTADO!$BN43,'MtM Releases'!$D:$D,RESULTADO!CI$3)</f>
        <v>69449.287506302877</v>
      </c>
      <c r="CJ46" s="53">
        <f>SUMIFS('MtM Releases'!$M:$M,'MtM Releases'!$G:$G,RESULTADO!$BN46,'MtM Releases'!$F:$F,RESULTADO!$BN43,'MtM Releases'!$D:$D,RESULTADO!CJ$3)</f>
        <v>70045.62375651297</v>
      </c>
      <c r="CK46" s="53">
        <f>SUMIFS('MtM Releases'!$M:$M,'MtM Releases'!$G:$G,RESULTADO!$BN46,'MtM Releases'!$F:$F,RESULTADO!$BN43,'MtM Releases'!$D:$D,RESULTADO!CK$3)</f>
        <v>67786.087506302865</v>
      </c>
      <c r="CL46" s="63">
        <f>SUMIFS('MtM Releases'!$M:$M,'MtM Releases'!$G:$G,RESULTADO!$BN46,'MtM Releases'!$F:$F,RESULTADO!$BN43,'MtM Releases'!$D:$D,RESULTADO!CL$3)</f>
        <v>70045.62375651297</v>
      </c>
      <c r="CM46" s="53">
        <f>SUMIFS('MtM Releases'!$M:$M,'MtM Releases'!$G:$G,RESULTADO!$BN46,'MtM Releases'!$F:$F,RESULTADO!$BN43,'MtM Releases'!$D:$D,RESULTADO!CM$3)</f>
        <v>0</v>
      </c>
      <c r="CN46" s="53">
        <f>SUMIFS('MtM Releases'!$M:$M,'MtM Releases'!$G:$G,RESULTADO!$BN46,'MtM Releases'!$F:$F,RESULTADO!$BN43,'MtM Releases'!$D:$D,RESULTADO!CN$3)</f>
        <v>0</v>
      </c>
      <c r="CO46" s="53">
        <f>SUMIFS('MtM Releases'!$M:$M,'MtM Releases'!$G:$G,RESULTADO!$BN46,'MtM Releases'!$F:$F,RESULTADO!$BN43,'MtM Releases'!$D:$D,RESULTADO!CO$3)</f>
        <v>0</v>
      </c>
      <c r="CP46" s="53">
        <f>SUMIFS('MtM Releases'!$M:$M,'MtM Releases'!$G:$G,RESULTADO!$BN46,'MtM Releases'!$F:$F,RESULTADO!$BN43,'MtM Releases'!$D:$D,RESULTADO!CP$3)</f>
        <v>0</v>
      </c>
      <c r="CQ46" s="53">
        <f>SUMIFS('MtM Releases'!$M:$M,'MtM Releases'!$G:$G,RESULTADO!$BN46,'MtM Releases'!$F:$F,RESULTADO!$BN43,'MtM Releases'!$D:$D,RESULTADO!CQ$3)</f>
        <v>0</v>
      </c>
      <c r="CR46" s="53">
        <f>SUMIFS('MtM Releases'!$M:$M,'MtM Releases'!$G:$G,RESULTADO!$BN46,'MtM Releases'!$F:$F,RESULTADO!$BN43,'MtM Releases'!$D:$D,RESULTADO!CR$3)</f>
        <v>0</v>
      </c>
      <c r="CS46" s="53">
        <f>SUMIFS('MtM Releases'!$M:$M,'MtM Releases'!$G:$G,RESULTADO!$BN46,'MtM Releases'!$F:$F,RESULTADO!$BN43,'MtM Releases'!$D:$D,RESULTADO!CS$3)</f>
        <v>0</v>
      </c>
      <c r="CT46" s="53">
        <f>SUMIFS('MtM Releases'!$M:$M,'MtM Releases'!$G:$G,RESULTADO!$BN46,'MtM Releases'!$F:$F,RESULTADO!$BN43,'MtM Releases'!$D:$D,RESULTADO!CT$3)</f>
        <v>0</v>
      </c>
      <c r="CU46" s="53">
        <f>SUMIFS('MtM Releases'!$M:$M,'MtM Releases'!$G:$G,RESULTADO!$BN46,'MtM Releases'!$F:$F,RESULTADO!$BN43,'MtM Releases'!$D:$D,RESULTADO!CU$3)</f>
        <v>0</v>
      </c>
      <c r="CV46" s="53">
        <f>SUMIFS('MtM Releases'!$M:$M,'MtM Releases'!$G:$G,RESULTADO!$BN46,'MtM Releases'!$F:$F,RESULTADO!$BN43,'MtM Releases'!$D:$D,RESULTADO!CV$3)</f>
        <v>0</v>
      </c>
      <c r="CW46" s="53">
        <f>SUMIFS('MtM Releases'!$M:$M,'MtM Releases'!$G:$G,RESULTADO!$BN46,'MtM Releases'!$F:$F,RESULTADO!$BN43,'MtM Releases'!$D:$D,RESULTADO!CW$3)</f>
        <v>0</v>
      </c>
      <c r="CX46" s="54">
        <f>SUMIFS('MtM Releases'!$M:$M,'MtM Releases'!$G:$G,RESULTADO!$BN46,'MtM Releases'!$F:$F,RESULTADO!$BN43,'MtM Releases'!$D:$D,RESULTADO!CX$3)</f>
        <v>0</v>
      </c>
      <c r="CY46" s="53">
        <f>SUMIFS('MtM Releases'!$M:$M,'MtM Releases'!$G:$G,RESULTADO!$BN46,'MtM Releases'!$F:$F,RESULTADO!$BN43,'MtM Releases'!$D:$D,RESULTADO!CY$3)</f>
        <v>0</v>
      </c>
      <c r="CZ46" s="53">
        <f>SUMIFS('MtM Releases'!$M:$M,'MtM Releases'!$G:$G,RESULTADO!$BN46,'MtM Releases'!$F:$F,RESULTADO!$BN43,'MtM Releases'!$D:$D,RESULTADO!CZ$3)</f>
        <v>0</v>
      </c>
      <c r="DA46" s="53">
        <f>SUMIFS('MtM Releases'!$M:$M,'MtM Releases'!$G:$G,RESULTADO!$BN46,'MtM Releases'!$F:$F,RESULTADO!$BN43,'MtM Releases'!$D:$D,RESULTADO!DA$3)</f>
        <v>0</v>
      </c>
      <c r="DB46" s="53">
        <f>SUMIFS('MtM Releases'!$M:$M,'MtM Releases'!$G:$G,RESULTADO!$BN46,'MtM Releases'!$F:$F,RESULTADO!$BN43,'MtM Releases'!$D:$D,RESULTADO!DB$3)</f>
        <v>0</v>
      </c>
      <c r="DC46" s="53">
        <f>SUMIFS('MtM Releases'!$M:$M,'MtM Releases'!$G:$G,RESULTADO!$BN46,'MtM Releases'!$F:$F,RESULTADO!$BN43,'MtM Releases'!$D:$D,RESULTADO!DC$3)</f>
        <v>0</v>
      </c>
      <c r="DD46" s="53">
        <f>SUMIFS('MtM Releases'!$M:$M,'MtM Releases'!$G:$G,RESULTADO!$BN46,'MtM Releases'!$F:$F,RESULTADO!$BN43,'MtM Releases'!$D:$D,RESULTADO!DD$3)</f>
        <v>0</v>
      </c>
      <c r="DE46" s="53">
        <f>SUMIFS('MtM Releases'!$M:$M,'MtM Releases'!$G:$G,RESULTADO!$BN46,'MtM Releases'!$F:$F,RESULTADO!$BN43,'MtM Releases'!$D:$D,RESULTADO!DE$3)</f>
        <v>0</v>
      </c>
      <c r="DF46" s="53">
        <f>SUMIFS('MtM Releases'!$M:$M,'MtM Releases'!$G:$G,RESULTADO!$BN46,'MtM Releases'!$F:$F,RESULTADO!$BN43,'MtM Releases'!$D:$D,RESULTADO!DF$3)</f>
        <v>0</v>
      </c>
      <c r="DG46" s="53">
        <f>SUMIFS('MtM Releases'!$M:$M,'MtM Releases'!$G:$G,RESULTADO!$BN46,'MtM Releases'!$F:$F,RESULTADO!$BN43,'MtM Releases'!$D:$D,RESULTADO!DG$3)</f>
        <v>0</v>
      </c>
      <c r="DH46" s="53">
        <f>SUMIFS('MtM Releases'!$M:$M,'MtM Releases'!$G:$G,RESULTADO!$BN46,'MtM Releases'!$F:$F,RESULTADO!$BN43,'MtM Releases'!$D:$D,RESULTADO!DH$3)</f>
        <v>0</v>
      </c>
      <c r="DI46" s="53">
        <f>SUMIFS('MtM Releases'!$M:$M,'MtM Releases'!$G:$G,RESULTADO!$BN46,'MtM Releases'!$F:$F,RESULTADO!$BN43,'MtM Releases'!$D:$D,RESULTADO!DI$3)</f>
        <v>0</v>
      </c>
      <c r="DJ46" s="63">
        <f>SUMIFS('MtM Releases'!$M:$M,'MtM Releases'!$G:$G,RESULTADO!$BN46,'MtM Releases'!$F:$F,RESULTADO!$BN43,'MtM Releases'!$D:$D,RESULTADO!DJ$3)</f>
        <v>0</v>
      </c>
      <c r="DK46" s="53">
        <f>SUMIFS('MtM Releases'!$M:$M,'MtM Releases'!$G:$G,RESULTADO!$BN46,'MtM Releases'!$F:$F,RESULTADO!$BN43,'MtM Releases'!$D:$D,RESULTADO!DK$3)</f>
        <v>0</v>
      </c>
      <c r="DL46" s="53">
        <f>SUMIFS('MtM Releases'!$M:$M,'MtM Releases'!$G:$G,RESULTADO!$BN46,'MtM Releases'!$F:$F,RESULTADO!$BN43,'MtM Releases'!$D:$D,RESULTADO!DL$3)</f>
        <v>0</v>
      </c>
      <c r="DM46" s="53">
        <f>SUMIFS('MtM Releases'!$M:$M,'MtM Releases'!$G:$G,RESULTADO!$BN46,'MtM Releases'!$F:$F,RESULTADO!$BN43,'MtM Releases'!$D:$D,RESULTADO!DM$3)</f>
        <v>0</v>
      </c>
      <c r="DN46" s="53">
        <f>SUMIFS('MtM Releases'!$M:$M,'MtM Releases'!$G:$G,RESULTADO!$BN46,'MtM Releases'!$F:$F,RESULTADO!$BN43,'MtM Releases'!$D:$D,RESULTADO!DN$3)</f>
        <v>0</v>
      </c>
      <c r="DO46" s="53">
        <f>SUMIFS('MtM Releases'!$M:$M,'MtM Releases'!$G:$G,RESULTADO!$BN46,'MtM Releases'!$F:$F,RESULTADO!$BN43,'MtM Releases'!$D:$D,RESULTADO!DO$3)</f>
        <v>0</v>
      </c>
      <c r="DP46" s="53">
        <f>SUMIFS('MtM Releases'!$M:$M,'MtM Releases'!$G:$G,RESULTADO!$BN46,'MtM Releases'!$F:$F,RESULTADO!$BN43,'MtM Releases'!$D:$D,RESULTADO!DP$3)</f>
        <v>0</v>
      </c>
      <c r="DQ46" s="53">
        <f>SUMIFS('MtM Releases'!$M:$M,'MtM Releases'!$G:$G,RESULTADO!$BN46,'MtM Releases'!$F:$F,RESULTADO!$BN43,'MtM Releases'!$D:$D,RESULTADO!DQ$3)</f>
        <v>0</v>
      </c>
      <c r="DR46" s="53">
        <f>SUMIFS('MtM Releases'!$M:$M,'MtM Releases'!$G:$G,RESULTADO!$BN46,'MtM Releases'!$F:$F,RESULTADO!$BN43,'MtM Releases'!$D:$D,RESULTADO!DR$3)</f>
        <v>0</v>
      </c>
      <c r="DS46" s="53">
        <f>SUMIFS('MtM Releases'!$M:$M,'MtM Releases'!$G:$G,RESULTADO!$BN46,'MtM Releases'!$F:$F,RESULTADO!$BN43,'MtM Releases'!$D:$D,RESULTADO!DS$3)</f>
        <v>0</v>
      </c>
      <c r="DT46" s="53">
        <f>SUMIFS('MtM Releases'!$M:$M,'MtM Releases'!$G:$G,RESULTADO!$BN46,'MtM Releases'!$F:$F,RESULTADO!$BN43,'MtM Releases'!$D:$D,RESULTADO!DT$3)</f>
        <v>0</v>
      </c>
      <c r="DU46" s="53">
        <f>SUMIFS('MtM Releases'!$M:$M,'MtM Releases'!$G:$G,RESULTADO!$BN46,'MtM Releases'!$F:$F,RESULTADO!$BN43,'MtM Releases'!$D:$D,RESULTADO!DU$3)</f>
        <v>0</v>
      </c>
      <c r="DV46" s="63">
        <f>SUMIFS('MtM Releases'!$M:$M,'MtM Releases'!$G:$G,RESULTADO!$BN46,'MtM Releases'!$F:$F,RESULTADO!$BN43,'MtM Releases'!$D:$D,RESULTADO!DV$3)</f>
        <v>0</v>
      </c>
    </row>
    <row r="47" spans="2:134" x14ac:dyDescent="0.25">
      <c r="B47" s="57" t="s">
        <v>11</v>
      </c>
      <c r="C47" s="53">
        <f>(SUMIFS(MtM!$V:$V,MtM!$I:$I,RESULTADO!$B47,MtM!$H:$H,RESULTADO!$B$43,MtM!$E:$E,RESULTADO!C$42))</f>
        <v>0</v>
      </c>
      <c r="D47" s="53">
        <f>(SUMIFS(MtM!$V:$V,MtM!$I:$I,RESULTADO!$B47,MtM!$H:$H,RESULTADO!$B$43,MtM!$E:$E,RESULTADO!D$42))</f>
        <v>0</v>
      </c>
      <c r="E47" s="53">
        <f>(SUMIFS(MtM!$V:$V,MtM!$I:$I,RESULTADO!$B47,MtM!$H:$H,RESULTADO!$B$43,MtM!$E:$E,RESULTADO!E$42))</f>
        <v>0</v>
      </c>
      <c r="F47" s="53">
        <f>(SUMIFS(MtM!$V:$V,MtM!$I:$I,RESULTADO!$B47,MtM!$H:$H,RESULTADO!$B$43,MtM!$E:$E,RESULTADO!F$42))</f>
        <v>0</v>
      </c>
      <c r="G47" s="53">
        <f>(SUMIFS(MtM!$V:$V,MtM!$I:$I,RESULTADO!$B47,MtM!$H:$H,RESULTADO!$B$43,MtM!$E:$E,RESULTADO!G$42))</f>
        <v>0</v>
      </c>
      <c r="H47" s="53">
        <f>(SUMIFS(MtM!$V:$V,MtM!$I:$I,RESULTADO!$B47,MtM!$H:$H,RESULTADO!$B$43,MtM!$E:$E,RESULTADO!H$42))</f>
        <v>0</v>
      </c>
      <c r="I47" s="53">
        <f>(SUMIFS(MtM!$V:$V,MtM!$I:$I,RESULTADO!$B47,MtM!$H:$H,RESULTADO!$B$43,MtM!$E:$E,RESULTADO!I$42))</f>
        <v>0</v>
      </c>
      <c r="J47" s="53">
        <f>(SUMIFS(MtM!$V:$V,MtM!$I:$I,RESULTADO!$B47,MtM!$H:$H,RESULTADO!$B$43,MtM!$E:$E,RESULTADO!J$42))</f>
        <v>0</v>
      </c>
      <c r="K47" s="53">
        <f>(SUMIFS(MtM!$V:$V,MtM!$I:$I,RESULTADO!$B47,MtM!$H:$H,RESULTADO!$B$43,MtM!$E:$E,RESULTADO!K$42))</f>
        <v>0</v>
      </c>
      <c r="L47" s="53">
        <f>(SUMIFS(MtM!$V:$V,MtM!$I:$I,RESULTADO!$B47,MtM!$H:$H,RESULTADO!$B$43,MtM!$E:$E,RESULTADO!L$42))</f>
        <v>0</v>
      </c>
      <c r="M47" s="53">
        <f>(SUMIFS(MtM!$V:$V,MtM!$I:$I,RESULTADO!$B47,MtM!$H:$H,RESULTADO!$B$43,MtM!$E:$E,RESULTADO!M$42))</f>
        <v>0</v>
      </c>
      <c r="N47" s="54">
        <f>(SUMIFS(MtM!$V:$V,MtM!$I:$I,RESULTADO!$B47,MtM!$H:$H,RESULTADO!$B$43,MtM!$E:$E,RESULTADO!N$42))</f>
        <v>0</v>
      </c>
      <c r="O47" s="53">
        <f>(SUMIFS(MtM!$V:$V,MtM!$I:$I,RESULTADO!$B47,MtM!$H:$H,RESULTADO!$B$43,MtM!$E:$E,RESULTADO!O$42))</f>
        <v>-99292.100153730309</v>
      </c>
      <c r="P47" s="53">
        <f>(SUMIFS(MtM!$V:$V,MtM!$I:$I,RESULTADO!$B47,MtM!$H:$H,RESULTADO!$B$43,MtM!$E:$E,RESULTADO!P$42))</f>
        <v>-89327.027235627378</v>
      </c>
      <c r="Q47" s="53">
        <f>(SUMIFS(MtM!$V:$V,MtM!$I:$I,RESULTADO!$B47,MtM!$H:$H,RESULTADO!$B$43,MtM!$E:$E,RESULTADO!Q$42))</f>
        <v>-98860.580153730305</v>
      </c>
      <c r="R47" s="53">
        <f>(SUMIFS(MtM!$V:$V,MtM!$I:$I,RESULTADO!$B47,MtM!$H:$H,RESULTADO!$B$43,MtM!$E:$E,RESULTADO!R$42))</f>
        <v>-95311.529181029327</v>
      </c>
      <c r="S47" s="53">
        <f>(SUMIFS(MtM!$V:$V,MtM!$I:$I,RESULTADO!$B47,MtM!$H:$H,RESULTADO!$B$43,MtM!$E:$E,RESULTADO!S$42))</f>
        <v>-98190.980153730299</v>
      </c>
      <c r="T47" s="53">
        <f>(SUMIFS(MtM!$V:$V,MtM!$I:$I,RESULTADO!$B47,MtM!$H:$H,RESULTADO!$B$43,MtM!$E:$E,RESULTADO!T$42))</f>
        <v>-93439.529181029327</v>
      </c>
      <c r="U47" s="53">
        <f>(SUMIFS(MtM!$V:$V,MtM!$I:$I,RESULTADO!$B47,MtM!$H:$H,RESULTADO!$B$43,MtM!$E:$E,RESULTADO!U$42))</f>
        <v>-93020.180153730296</v>
      </c>
      <c r="V47" s="53">
        <f>(SUMIFS(MtM!$V:$V,MtM!$I:$I,RESULTADO!$B47,MtM!$H:$H,RESULTADO!$B$43,MtM!$E:$E,RESULTADO!V$42))</f>
        <v>-93020.180153730296</v>
      </c>
      <c r="W47" s="53">
        <f>(SUMIFS(MtM!$V:$V,MtM!$I:$I,RESULTADO!$B47,MtM!$H:$H,RESULTADO!$B$43,MtM!$E:$E,RESULTADO!W$42))</f>
        <v>-90019.529181029327</v>
      </c>
      <c r="X47" s="53">
        <f>(SUMIFS(MtM!$V:$V,MtM!$I:$I,RESULTADO!$B47,MtM!$H:$H,RESULTADO!$B$43,MtM!$E:$E,RESULTADO!X$42))</f>
        <v>-90564.980153730299</v>
      </c>
      <c r="Y47" s="53">
        <f>(SUMIFS(MtM!$V:$V,MtM!$I:$I,RESULTADO!$B47,MtM!$H:$H,RESULTADO!$B$43,MtM!$E:$E,RESULTADO!Y$42))</f>
        <v>-87643.529181029327</v>
      </c>
      <c r="Z47" s="63">
        <f>(SUMIFS(MtM!$V:$V,MtM!$I:$I,RESULTADO!$B47,MtM!$H:$H,RESULTADO!$B$43,MtM!$E:$E,RESULTADO!Z$42))</f>
        <v>-90564.980153730299</v>
      </c>
      <c r="AA47" s="53">
        <f>(SUMIFS(MtM!$V:$V,MtM!$I:$I,RESULTADO!$B47,MtM!$H:$H,RESULTADO!$B$43,MtM!$E:$E,RESULTADO!AA$42))</f>
        <v>0</v>
      </c>
      <c r="AB47" s="53">
        <f>(SUMIFS(MtM!$V:$V,MtM!$I:$I,RESULTADO!$B47,MtM!$H:$H,RESULTADO!$B$43,MtM!$E:$E,RESULTADO!AB$42))</f>
        <v>0</v>
      </c>
      <c r="AC47" s="53">
        <f>(SUMIFS(MtM!$V:$V,MtM!$I:$I,RESULTADO!$B47,MtM!$H:$H,RESULTADO!$B$43,MtM!$E:$E,RESULTADO!AC$42))</f>
        <v>0</v>
      </c>
      <c r="AD47" s="53">
        <f>(SUMIFS(MtM!$V:$V,MtM!$I:$I,RESULTADO!$B47,MtM!$H:$H,RESULTADO!$B$43,MtM!$E:$E,RESULTADO!AD$42))</f>
        <v>0</v>
      </c>
      <c r="AE47" s="53">
        <f>(SUMIFS(MtM!$V:$V,MtM!$I:$I,RESULTADO!$B47,MtM!$H:$H,RESULTADO!$B$43,MtM!$E:$E,RESULTADO!AE$42))</f>
        <v>0</v>
      </c>
      <c r="AF47" s="53">
        <f>(SUMIFS(MtM!$V:$V,MtM!$I:$I,RESULTADO!$B47,MtM!$H:$H,RESULTADO!$B$43,MtM!$E:$E,RESULTADO!AF$42))</f>
        <v>0</v>
      </c>
      <c r="AG47" s="53">
        <f>(SUMIFS(MtM!$V:$V,MtM!$I:$I,RESULTADO!$B47,MtM!$H:$H,RESULTADO!$B$43,MtM!$E:$E,RESULTADO!AG$42))</f>
        <v>0</v>
      </c>
      <c r="AH47" s="53">
        <f>(SUMIFS(MtM!$V:$V,MtM!$I:$I,RESULTADO!$B47,MtM!$H:$H,RESULTADO!$B$43,MtM!$E:$E,RESULTADO!AH$42))</f>
        <v>0</v>
      </c>
      <c r="AI47" s="53">
        <f>(SUMIFS(MtM!$V:$V,MtM!$I:$I,RESULTADO!$B47,MtM!$H:$H,RESULTADO!$B$43,MtM!$E:$E,RESULTADO!AI$42))</f>
        <v>0</v>
      </c>
      <c r="AJ47" s="53">
        <f>(SUMIFS(MtM!$V:$V,MtM!$I:$I,RESULTADO!$B47,MtM!$H:$H,RESULTADO!$B$43,MtM!$E:$E,RESULTADO!AJ$42))</f>
        <v>0</v>
      </c>
      <c r="AK47" s="53">
        <f>(SUMIFS(MtM!$V:$V,MtM!$I:$I,RESULTADO!$B47,MtM!$H:$H,RESULTADO!$B$43,MtM!$E:$E,RESULTADO!AK$42))</f>
        <v>0</v>
      </c>
      <c r="AL47" s="54">
        <f>(SUMIFS(MtM!$V:$V,MtM!$I:$I,RESULTADO!$B47,MtM!$H:$H,RESULTADO!$B$43,MtM!$E:$E,RESULTADO!AL$42))</f>
        <v>0</v>
      </c>
      <c r="AM47" s="53">
        <f>(SUMIFS(MtM!$V:$V,MtM!$I:$I,RESULTADO!$B47,MtM!$H:$H,RESULTADO!$B$43,MtM!$E:$E,RESULTADO!AM$42))</f>
        <v>484967.68422859581</v>
      </c>
      <c r="AN47" s="53">
        <f>(SUMIFS(MtM!$V:$V,MtM!$I:$I,RESULTADO!$B47,MtM!$H:$H,RESULTADO!$B$43,MtM!$E:$E,RESULTADO!AN$42))</f>
        <v>438035.3276903443</v>
      </c>
      <c r="AO47" s="53">
        <f>(SUMIFS(MtM!$V:$V,MtM!$I:$I,RESULTADO!$B47,MtM!$H:$H,RESULTADO!$B$43,MtM!$E:$E,RESULTADO!AO$42))</f>
        <v>484967.68422859581</v>
      </c>
      <c r="AP47" s="53">
        <f>(SUMIFS(MtM!$V:$V,MtM!$I:$I,RESULTADO!$B47,MtM!$H:$H,RESULTADO!$B$43,MtM!$E:$E,RESULTADO!AP$42))</f>
        <v>469323.56538251182</v>
      </c>
      <c r="AQ47" s="53">
        <f>(SUMIFS(MtM!$V:$V,MtM!$I:$I,RESULTADO!$B47,MtM!$H:$H,RESULTADO!$B$43,MtM!$E:$E,RESULTADO!AQ$42))</f>
        <v>484967.68422859581</v>
      </c>
      <c r="AR47" s="53">
        <f>(SUMIFS(MtM!$V:$V,MtM!$I:$I,RESULTADO!$B47,MtM!$H:$H,RESULTADO!$B$43,MtM!$E:$E,RESULTADO!AR$42))</f>
        <v>469323.56538251182</v>
      </c>
      <c r="AS47" s="53">
        <f>(SUMIFS(MtM!$V:$V,MtM!$I:$I,RESULTADO!$B47,MtM!$H:$H,RESULTADO!$B$43,MtM!$E:$E,RESULTADO!AS$42))</f>
        <v>484967.68422859581</v>
      </c>
      <c r="AT47" s="53">
        <f>(SUMIFS(MtM!$V:$V,MtM!$I:$I,RESULTADO!$B47,MtM!$H:$H,RESULTADO!$B$43,MtM!$E:$E,RESULTADO!AT$42))</f>
        <v>484967.68422859581</v>
      </c>
      <c r="AU47" s="53">
        <f>(SUMIFS(MtM!$V:$V,MtM!$I:$I,RESULTADO!$B47,MtM!$H:$H,RESULTADO!$B$43,MtM!$E:$E,RESULTADO!AU$42))</f>
        <v>469323.56538251182</v>
      </c>
      <c r="AV47" s="53">
        <f>(SUMIFS(MtM!$V:$V,MtM!$I:$I,RESULTADO!$B47,MtM!$H:$H,RESULTADO!$B$43,MtM!$E:$E,RESULTADO!AV$42))</f>
        <v>484967.68422859581</v>
      </c>
      <c r="AW47" s="53">
        <f>(SUMIFS(MtM!$V:$V,MtM!$I:$I,RESULTADO!$B47,MtM!$H:$H,RESULTADO!$B$43,MtM!$E:$E,RESULTADO!AW$42))</f>
        <v>469323.56538251182</v>
      </c>
      <c r="AX47" s="63">
        <f>(SUMIFS(MtM!$V:$V,MtM!$I:$I,RESULTADO!$B47,MtM!$H:$H,RESULTADO!$B$43,MtM!$E:$E,RESULTADO!AX$42))</f>
        <v>484967.68422859581</v>
      </c>
      <c r="AY47" s="53">
        <f>(SUMIFS(MtM!$V:$V,MtM!$I:$I,RESULTADO!$B47,MtM!$H:$H,RESULTADO!$B$43,MtM!$E:$E,RESULTADO!AY$42))</f>
        <v>0</v>
      </c>
      <c r="AZ47" s="53">
        <f>(SUMIFS(MtM!$V:$V,MtM!$I:$I,RESULTADO!$B47,MtM!$H:$H,RESULTADO!$B$43,MtM!$E:$E,RESULTADO!AZ$42))</f>
        <v>0</v>
      </c>
      <c r="BA47" s="53">
        <f>(SUMIFS(MtM!$V:$V,MtM!$I:$I,RESULTADO!$B47,MtM!$H:$H,RESULTADO!$B$43,MtM!$E:$E,RESULTADO!BA$42))</f>
        <v>0</v>
      </c>
      <c r="BB47" s="53">
        <f>(SUMIFS(MtM!$V:$V,MtM!$I:$I,RESULTADO!$B47,MtM!$H:$H,RESULTADO!$B$43,MtM!$E:$E,RESULTADO!BB$42))</f>
        <v>0</v>
      </c>
      <c r="BC47" s="53">
        <f>(SUMIFS(MtM!$V:$V,MtM!$I:$I,RESULTADO!$B47,MtM!$H:$H,RESULTADO!$B$43,MtM!$E:$E,RESULTADO!BC$42))</f>
        <v>0</v>
      </c>
      <c r="BD47" s="53">
        <f>(SUMIFS(MtM!$V:$V,MtM!$I:$I,RESULTADO!$B47,MtM!$H:$H,RESULTADO!$B$43,MtM!$E:$E,RESULTADO!BD$42))</f>
        <v>0</v>
      </c>
      <c r="BE47" s="53">
        <f>(SUMIFS(MtM!$V:$V,MtM!$I:$I,RESULTADO!$B47,MtM!$H:$H,RESULTADO!$B$43,MtM!$E:$E,RESULTADO!BE$42))</f>
        <v>0</v>
      </c>
      <c r="BF47" s="53">
        <f>(SUMIFS(MtM!$V:$V,MtM!$I:$I,RESULTADO!$B47,MtM!$H:$H,RESULTADO!$B$43,MtM!$E:$E,RESULTADO!BF$42))</f>
        <v>0</v>
      </c>
      <c r="BG47" s="53">
        <f>(SUMIFS(MtM!$V:$V,MtM!$I:$I,RESULTADO!$B47,MtM!$H:$H,RESULTADO!$B$43,MtM!$E:$E,RESULTADO!BG$42))</f>
        <v>0</v>
      </c>
      <c r="BH47" s="53">
        <f>(SUMIFS(MtM!$V:$V,MtM!$I:$I,RESULTADO!$B47,MtM!$H:$H,RESULTADO!$B$43,MtM!$E:$E,RESULTADO!BH$42))</f>
        <v>0</v>
      </c>
      <c r="BI47" s="53">
        <f>(SUMIFS(MtM!$V:$V,MtM!$I:$I,RESULTADO!$B47,MtM!$H:$H,RESULTADO!$B$43,MtM!$E:$E,RESULTADO!BI$42))</f>
        <v>0</v>
      </c>
      <c r="BJ47" s="63">
        <f>(SUMIFS(MtM!$V:$V,MtM!$I:$I,RESULTADO!$B47,MtM!$H:$H,RESULTADO!$B$43,MtM!$E:$E,RESULTADO!BJ$42))</f>
        <v>0</v>
      </c>
      <c r="BL47" s="120"/>
      <c r="BN47" s="57" t="s">
        <v>11</v>
      </c>
      <c r="BO47" s="53">
        <f>SUMIFS('MtM Releases'!$M:$M,'MtM Releases'!$G:$G,RESULTADO!$BN47,'MtM Releases'!$F:$F,RESULTADO!$BN43,'MtM Releases'!$D:$D,RESULTADO!BO$3)</f>
        <v>0</v>
      </c>
      <c r="BP47" s="53">
        <f>SUMIFS('MtM Releases'!$M:$M,'MtM Releases'!$G:$G,RESULTADO!$BN47,'MtM Releases'!$F:$F,RESULTADO!$BN43,'MtM Releases'!$D:$D,RESULTADO!BP$3)</f>
        <v>0</v>
      </c>
      <c r="BQ47" s="53">
        <f>SUMIFS('MtM Releases'!$M:$M,'MtM Releases'!$G:$G,RESULTADO!$BN47,'MtM Releases'!$F:$F,RESULTADO!$BN43,'MtM Releases'!$D:$D,RESULTADO!BQ$3)</f>
        <v>0</v>
      </c>
      <c r="BR47" s="53">
        <f>SUMIFS('MtM Releases'!$M:$M,'MtM Releases'!$G:$G,RESULTADO!$BN47,'MtM Releases'!$F:$F,RESULTADO!$BN43,'MtM Releases'!$D:$D,RESULTADO!BR$3)</f>
        <v>0</v>
      </c>
      <c r="BS47" s="53">
        <f>SUMIFS('MtM Releases'!$M:$M,'MtM Releases'!$G:$G,RESULTADO!$BN47,'MtM Releases'!$F:$F,RESULTADO!$BN43,'MtM Releases'!$D:$D,RESULTADO!BS$3)</f>
        <v>0</v>
      </c>
      <c r="BT47" s="53">
        <f>SUMIFS('MtM Releases'!$M:$M,'MtM Releases'!$G:$G,RESULTADO!$BN47,'MtM Releases'!$F:$F,RESULTADO!$BN43,'MtM Releases'!$D:$D,RESULTADO!BT$3)</f>
        <v>0</v>
      </c>
      <c r="BU47" s="53">
        <f>SUMIFS('MtM Releases'!$M:$M,'MtM Releases'!$G:$G,RESULTADO!$BN47,'MtM Releases'!$F:$F,RESULTADO!$BN43,'MtM Releases'!$D:$D,RESULTADO!BU$3)</f>
        <v>0</v>
      </c>
      <c r="BV47" s="53">
        <f>SUMIFS('MtM Releases'!$M:$M,'MtM Releases'!$G:$G,RESULTADO!$BN47,'MtM Releases'!$F:$F,RESULTADO!$BN43,'MtM Releases'!$D:$D,RESULTADO!BV$3)</f>
        <v>0</v>
      </c>
      <c r="BW47" s="53">
        <f>SUMIFS('MtM Releases'!$M:$M,'MtM Releases'!$G:$G,RESULTADO!$BN47,'MtM Releases'!$F:$F,RESULTADO!$BN43,'MtM Releases'!$D:$D,RESULTADO!BW$3)</f>
        <v>0</v>
      </c>
      <c r="BX47" s="53">
        <f>SUMIFS('MtM Releases'!$M:$M,'MtM Releases'!$G:$G,RESULTADO!$BN47,'MtM Releases'!$F:$F,RESULTADO!$BN43,'MtM Releases'!$D:$D,RESULTADO!BX$3)</f>
        <v>0</v>
      </c>
      <c r="BY47" s="53">
        <f>SUMIFS('MtM Releases'!$M:$M,'MtM Releases'!$G:$G,RESULTADO!$BN47,'MtM Releases'!$F:$F,RESULTADO!$BN43,'MtM Releases'!$D:$D,RESULTADO!BY$3)</f>
        <v>0</v>
      </c>
      <c r="BZ47" s="54">
        <f>SUMIFS('MtM Releases'!$M:$M,'MtM Releases'!$G:$G,RESULTADO!$BN47,'MtM Releases'!$F:$F,RESULTADO!$BN43,'MtM Releases'!$D:$D,RESULTADO!BZ$3)</f>
        <v>0</v>
      </c>
      <c r="CA47" s="53">
        <f>SUMIFS('MtM Releases'!$M:$M,'MtM Releases'!$G:$G,RESULTADO!$BN47,'MtM Releases'!$F:$F,RESULTADO!$BN43,'MtM Releases'!$D:$D,RESULTADO!CA$3)</f>
        <v>99292.100153730309</v>
      </c>
      <c r="CB47" s="53">
        <f>SUMIFS('MtM Releases'!$M:$M,'MtM Releases'!$G:$G,RESULTADO!$BN47,'MtM Releases'!$F:$F,RESULTADO!$BN43,'MtM Releases'!$D:$D,RESULTADO!CB$3)</f>
        <v>89327.027235627378</v>
      </c>
      <c r="CC47" s="53">
        <f>SUMIFS('MtM Releases'!$M:$M,'MtM Releases'!$G:$G,RESULTADO!$BN47,'MtM Releases'!$F:$F,RESULTADO!$BN43,'MtM Releases'!$D:$D,RESULTADO!CC$3)</f>
        <v>98860.580153730305</v>
      </c>
      <c r="CD47" s="53">
        <f>SUMIFS('MtM Releases'!$M:$M,'MtM Releases'!$G:$G,RESULTADO!$BN47,'MtM Releases'!$F:$F,RESULTADO!$BN43,'MtM Releases'!$D:$D,RESULTADO!CD$3)</f>
        <v>95311.529181029327</v>
      </c>
      <c r="CE47" s="53">
        <f>SUMIFS('MtM Releases'!$M:$M,'MtM Releases'!$G:$G,RESULTADO!$BN47,'MtM Releases'!$F:$F,RESULTADO!$BN43,'MtM Releases'!$D:$D,RESULTADO!CE$3)</f>
        <v>98190.980153730299</v>
      </c>
      <c r="CF47" s="53">
        <f>SUMIFS('MtM Releases'!$M:$M,'MtM Releases'!$G:$G,RESULTADO!$BN47,'MtM Releases'!$F:$F,RESULTADO!$BN43,'MtM Releases'!$D:$D,RESULTADO!CF$3)</f>
        <v>93439.529181029327</v>
      </c>
      <c r="CG47" s="53">
        <f>SUMIFS('MtM Releases'!$M:$M,'MtM Releases'!$G:$G,RESULTADO!$BN47,'MtM Releases'!$F:$F,RESULTADO!$BN43,'MtM Releases'!$D:$D,RESULTADO!CG$3)</f>
        <v>93020.180153730296</v>
      </c>
      <c r="CH47" s="53">
        <f>SUMIFS('MtM Releases'!$M:$M,'MtM Releases'!$G:$G,RESULTADO!$BN47,'MtM Releases'!$F:$F,RESULTADO!$BN43,'MtM Releases'!$D:$D,RESULTADO!CH$3)</f>
        <v>93020.180153730296</v>
      </c>
      <c r="CI47" s="53">
        <f>SUMIFS('MtM Releases'!$M:$M,'MtM Releases'!$G:$G,RESULTADO!$BN47,'MtM Releases'!$F:$F,RESULTADO!$BN43,'MtM Releases'!$D:$D,RESULTADO!CI$3)</f>
        <v>90019.529181029327</v>
      </c>
      <c r="CJ47" s="53">
        <f>SUMIFS('MtM Releases'!$M:$M,'MtM Releases'!$G:$G,RESULTADO!$BN47,'MtM Releases'!$F:$F,RESULTADO!$BN43,'MtM Releases'!$D:$D,RESULTADO!CJ$3)</f>
        <v>90564.980153730299</v>
      </c>
      <c r="CK47" s="53">
        <f>SUMIFS('MtM Releases'!$M:$M,'MtM Releases'!$G:$G,RESULTADO!$BN47,'MtM Releases'!$F:$F,RESULTADO!$BN43,'MtM Releases'!$D:$D,RESULTADO!CK$3)</f>
        <v>87643.529181029327</v>
      </c>
      <c r="CL47" s="63">
        <f>SUMIFS('MtM Releases'!$M:$M,'MtM Releases'!$G:$G,RESULTADO!$BN47,'MtM Releases'!$F:$F,RESULTADO!$BN43,'MtM Releases'!$D:$D,RESULTADO!CL$3)</f>
        <v>90564.980153730299</v>
      </c>
      <c r="CM47" s="53">
        <f>SUMIFS('MtM Releases'!$M:$M,'MtM Releases'!$G:$G,RESULTADO!$BN47,'MtM Releases'!$F:$F,RESULTADO!$BN43,'MtM Releases'!$D:$D,RESULTADO!CM$3)</f>
        <v>0</v>
      </c>
      <c r="CN47" s="53">
        <f>SUMIFS('MtM Releases'!$M:$M,'MtM Releases'!$G:$G,RESULTADO!$BN47,'MtM Releases'!$F:$F,RESULTADO!$BN43,'MtM Releases'!$D:$D,RESULTADO!CN$3)</f>
        <v>0</v>
      </c>
      <c r="CO47" s="53">
        <f>SUMIFS('MtM Releases'!$M:$M,'MtM Releases'!$G:$G,RESULTADO!$BN47,'MtM Releases'!$F:$F,RESULTADO!$BN43,'MtM Releases'!$D:$D,RESULTADO!CO$3)</f>
        <v>0</v>
      </c>
      <c r="CP47" s="53">
        <f>SUMIFS('MtM Releases'!$M:$M,'MtM Releases'!$G:$G,RESULTADO!$BN47,'MtM Releases'!$F:$F,RESULTADO!$BN43,'MtM Releases'!$D:$D,RESULTADO!CP$3)</f>
        <v>0</v>
      </c>
      <c r="CQ47" s="53">
        <f>SUMIFS('MtM Releases'!$M:$M,'MtM Releases'!$G:$G,RESULTADO!$BN47,'MtM Releases'!$F:$F,RESULTADO!$BN43,'MtM Releases'!$D:$D,RESULTADO!CQ$3)</f>
        <v>0</v>
      </c>
      <c r="CR47" s="53">
        <f>SUMIFS('MtM Releases'!$M:$M,'MtM Releases'!$G:$G,RESULTADO!$BN47,'MtM Releases'!$F:$F,RESULTADO!$BN43,'MtM Releases'!$D:$D,RESULTADO!CR$3)</f>
        <v>0</v>
      </c>
      <c r="CS47" s="53">
        <f>SUMIFS('MtM Releases'!$M:$M,'MtM Releases'!$G:$G,RESULTADO!$BN47,'MtM Releases'!$F:$F,RESULTADO!$BN43,'MtM Releases'!$D:$D,RESULTADO!CS$3)</f>
        <v>0</v>
      </c>
      <c r="CT47" s="53">
        <f>SUMIFS('MtM Releases'!$M:$M,'MtM Releases'!$G:$G,RESULTADO!$BN47,'MtM Releases'!$F:$F,RESULTADO!$BN43,'MtM Releases'!$D:$D,RESULTADO!CT$3)</f>
        <v>0</v>
      </c>
      <c r="CU47" s="53">
        <f>SUMIFS('MtM Releases'!$M:$M,'MtM Releases'!$G:$G,RESULTADO!$BN47,'MtM Releases'!$F:$F,RESULTADO!$BN43,'MtM Releases'!$D:$D,RESULTADO!CU$3)</f>
        <v>0</v>
      </c>
      <c r="CV47" s="53">
        <f>SUMIFS('MtM Releases'!$M:$M,'MtM Releases'!$G:$G,RESULTADO!$BN47,'MtM Releases'!$F:$F,RESULTADO!$BN43,'MtM Releases'!$D:$D,RESULTADO!CV$3)</f>
        <v>0</v>
      </c>
      <c r="CW47" s="53">
        <f>SUMIFS('MtM Releases'!$M:$M,'MtM Releases'!$G:$G,RESULTADO!$BN47,'MtM Releases'!$F:$F,RESULTADO!$BN43,'MtM Releases'!$D:$D,RESULTADO!CW$3)</f>
        <v>0</v>
      </c>
      <c r="CX47" s="54">
        <f>SUMIFS('MtM Releases'!$M:$M,'MtM Releases'!$G:$G,RESULTADO!$BN47,'MtM Releases'!$F:$F,RESULTADO!$BN43,'MtM Releases'!$D:$D,RESULTADO!CX$3)</f>
        <v>0</v>
      </c>
      <c r="CY47" s="53">
        <f>SUMIFS('MtM Releases'!$M:$M,'MtM Releases'!$G:$G,RESULTADO!$BN47,'MtM Releases'!$F:$F,RESULTADO!$BN43,'MtM Releases'!$D:$D,RESULTADO!CY$3)</f>
        <v>-484967.68422859581</v>
      </c>
      <c r="CZ47" s="53">
        <f>SUMIFS('MtM Releases'!$M:$M,'MtM Releases'!$G:$G,RESULTADO!$BN47,'MtM Releases'!$F:$F,RESULTADO!$BN43,'MtM Releases'!$D:$D,RESULTADO!CZ$3)</f>
        <v>-438035.3276903443</v>
      </c>
      <c r="DA47" s="53">
        <f>SUMIFS('MtM Releases'!$M:$M,'MtM Releases'!$G:$G,RESULTADO!$BN47,'MtM Releases'!$F:$F,RESULTADO!$BN43,'MtM Releases'!$D:$D,RESULTADO!DA$3)</f>
        <v>-484967.68422859581</v>
      </c>
      <c r="DB47" s="53">
        <f>SUMIFS('MtM Releases'!$M:$M,'MtM Releases'!$G:$G,RESULTADO!$BN47,'MtM Releases'!$F:$F,RESULTADO!$BN43,'MtM Releases'!$D:$D,RESULTADO!DB$3)</f>
        <v>-469323.56538251182</v>
      </c>
      <c r="DC47" s="53">
        <f>SUMIFS('MtM Releases'!$M:$M,'MtM Releases'!$G:$G,RESULTADO!$BN47,'MtM Releases'!$F:$F,RESULTADO!$BN43,'MtM Releases'!$D:$D,RESULTADO!DC$3)</f>
        <v>-484967.68422859581</v>
      </c>
      <c r="DD47" s="53">
        <f>SUMIFS('MtM Releases'!$M:$M,'MtM Releases'!$G:$G,RESULTADO!$BN47,'MtM Releases'!$F:$F,RESULTADO!$BN43,'MtM Releases'!$D:$D,RESULTADO!DD$3)</f>
        <v>-469323.56538251182</v>
      </c>
      <c r="DE47" s="53">
        <f>SUMIFS('MtM Releases'!$M:$M,'MtM Releases'!$G:$G,RESULTADO!$BN47,'MtM Releases'!$F:$F,RESULTADO!$BN43,'MtM Releases'!$D:$D,RESULTADO!DE$3)</f>
        <v>-484967.68422859581</v>
      </c>
      <c r="DF47" s="53">
        <f>SUMIFS('MtM Releases'!$M:$M,'MtM Releases'!$G:$G,RESULTADO!$BN47,'MtM Releases'!$F:$F,RESULTADO!$BN43,'MtM Releases'!$D:$D,RESULTADO!DF$3)</f>
        <v>-484967.68422859581</v>
      </c>
      <c r="DG47" s="53">
        <f>SUMIFS('MtM Releases'!$M:$M,'MtM Releases'!$G:$G,RESULTADO!$BN47,'MtM Releases'!$F:$F,RESULTADO!$BN43,'MtM Releases'!$D:$D,RESULTADO!DG$3)</f>
        <v>-469323.56538251182</v>
      </c>
      <c r="DH47" s="53">
        <f>SUMIFS('MtM Releases'!$M:$M,'MtM Releases'!$G:$G,RESULTADO!$BN47,'MtM Releases'!$F:$F,RESULTADO!$BN43,'MtM Releases'!$D:$D,RESULTADO!DH$3)</f>
        <v>-484967.68422859581</v>
      </c>
      <c r="DI47" s="53">
        <f>SUMIFS('MtM Releases'!$M:$M,'MtM Releases'!$G:$G,RESULTADO!$BN47,'MtM Releases'!$F:$F,RESULTADO!$BN43,'MtM Releases'!$D:$D,RESULTADO!DI$3)</f>
        <v>-469323.56538251182</v>
      </c>
      <c r="DJ47" s="63">
        <f>SUMIFS('MtM Releases'!$M:$M,'MtM Releases'!$G:$G,RESULTADO!$BN47,'MtM Releases'!$F:$F,RESULTADO!$BN43,'MtM Releases'!$D:$D,RESULTADO!DJ$3)</f>
        <v>-484967.68422859581</v>
      </c>
      <c r="DK47" s="53">
        <f>SUMIFS('MtM Releases'!$M:$M,'MtM Releases'!$G:$G,RESULTADO!$BN47,'MtM Releases'!$F:$F,RESULTADO!$BN43,'MtM Releases'!$D:$D,RESULTADO!DK$3)</f>
        <v>0</v>
      </c>
      <c r="DL47" s="53">
        <f>SUMIFS('MtM Releases'!$M:$M,'MtM Releases'!$G:$G,RESULTADO!$BN47,'MtM Releases'!$F:$F,RESULTADO!$BN43,'MtM Releases'!$D:$D,RESULTADO!DL$3)</f>
        <v>0</v>
      </c>
      <c r="DM47" s="53">
        <f>SUMIFS('MtM Releases'!$M:$M,'MtM Releases'!$G:$G,RESULTADO!$BN47,'MtM Releases'!$F:$F,RESULTADO!$BN43,'MtM Releases'!$D:$D,RESULTADO!DM$3)</f>
        <v>0</v>
      </c>
      <c r="DN47" s="53">
        <f>SUMIFS('MtM Releases'!$M:$M,'MtM Releases'!$G:$G,RESULTADO!$BN47,'MtM Releases'!$F:$F,RESULTADO!$BN43,'MtM Releases'!$D:$D,RESULTADO!DN$3)</f>
        <v>0</v>
      </c>
      <c r="DO47" s="53">
        <f>SUMIFS('MtM Releases'!$M:$M,'MtM Releases'!$G:$G,RESULTADO!$BN47,'MtM Releases'!$F:$F,RESULTADO!$BN43,'MtM Releases'!$D:$D,RESULTADO!DO$3)</f>
        <v>0</v>
      </c>
      <c r="DP47" s="53">
        <f>SUMIFS('MtM Releases'!$M:$M,'MtM Releases'!$G:$G,RESULTADO!$BN47,'MtM Releases'!$F:$F,RESULTADO!$BN43,'MtM Releases'!$D:$D,RESULTADO!DP$3)</f>
        <v>0</v>
      </c>
      <c r="DQ47" s="53">
        <f>SUMIFS('MtM Releases'!$M:$M,'MtM Releases'!$G:$G,RESULTADO!$BN47,'MtM Releases'!$F:$F,RESULTADO!$BN43,'MtM Releases'!$D:$D,RESULTADO!DQ$3)</f>
        <v>0</v>
      </c>
      <c r="DR47" s="53">
        <f>SUMIFS('MtM Releases'!$M:$M,'MtM Releases'!$G:$G,RESULTADO!$BN47,'MtM Releases'!$F:$F,RESULTADO!$BN43,'MtM Releases'!$D:$D,RESULTADO!DR$3)</f>
        <v>0</v>
      </c>
      <c r="DS47" s="53">
        <f>SUMIFS('MtM Releases'!$M:$M,'MtM Releases'!$G:$G,RESULTADO!$BN47,'MtM Releases'!$F:$F,RESULTADO!$BN43,'MtM Releases'!$D:$D,RESULTADO!DS$3)</f>
        <v>0</v>
      </c>
      <c r="DT47" s="53">
        <f>SUMIFS('MtM Releases'!$M:$M,'MtM Releases'!$G:$G,RESULTADO!$BN47,'MtM Releases'!$F:$F,RESULTADO!$BN43,'MtM Releases'!$D:$D,RESULTADO!DT$3)</f>
        <v>0</v>
      </c>
      <c r="DU47" s="53">
        <f>SUMIFS('MtM Releases'!$M:$M,'MtM Releases'!$G:$G,RESULTADO!$BN47,'MtM Releases'!$F:$F,RESULTADO!$BN43,'MtM Releases'!$D:$D,RESULTADO!DU$3)</f>
        <v>0</v>
      </c>
      <c r="DV47" s="63">
        <f>SUMIFS('MtM Releases'!$M:$M,'MtM Releases'!$G:$G,RESULTADO!$BN47,'MtM Releases'!$F:$F,RESULTADO!$BN43,'MtM Releases'!$D:$D,RESULTADO!DV$3)</f>
        <v>0</v>
      </c>
    </row>
    <row r="48" spans="2:134" x14ac:dyDescent="0.25">
      <c r="B48" s="56" t="s">
        <v>24</v>
      </c>
      <c r="C48" s="68">
        <f>SUM(C49:C52)</f>
        <v>0</v>
      </c>
      <c r="D48" s="68">
        <f t="shared" ref="D48:BJ48" si="45">SUM(D49:D52)</f>
        <v>0</v>
      </c>
      <c r="E48" s="68">
        <f t="shared" si="45"/>
        <v>0</v>
      </c>
      <c r="F48" s="68">
        <f t="shared" si="45"/>
        <v>0</v>
      </c>
      <c r="G48" s="68">
        <f t="shared" si="45"/>
        <v>0</v>
      </c>
      <c r="H48" s="68">
        <f t="shared" si="45"/>
        <v>0</v>
      </c>
      <c r="I48" s="68">
        <f t="shared" si="45"/>
        <v>0</v>
      </c>
      <c r="J48" s="68">
        <f t="shared" si="45"/>
        <v>0</v>
      </c>
      <c r="K48" s="68">
        <f t="shared" si="45"/>
        <v>0</v>
      </c>
      <c r="L48" s="68">
        <f t="shared" si="45"/>
        <v>0</v>
      </c>
      <c r="M48" s="68">
        <f t="shared" si="45"/>
        <v>0</v>
      </c>
      <c r="N48" s="69">
        <f t="shared" si="45"/>
        <v>0</v>
      </c>
      <c r="O48" s="68">
        <f t="shared" si="45"/>
        <v>0</v>
      </c>
      <c r="P48" s="68">
        <f t="shared" si="45"/>
        <v>0</v>
      </c>
      <c r="Q48" s="68">
        <f t="shared" si="45"/>
        <v>0</v>
      </c>
      <c r="R48" s="68">
        <f t="shared" si="45"/>
        <v>0</v>
      </c>
      <c r="S48" s="68">
        <f t="shared" si="45"/>
        <v>0</v>
      </c>
      <c r="T48" s="68">
        <f t="shared" si="45"/>
        <v>0</v>
      </c>
      <c r="U48" s="68">
        <f t="shared" si="45"/>
        <v>0</v>
      </c>
      <c r="V48" s="68">
        <f t="shared" si="45"/>
        <v>0</v>
      </c>
      <c r="W48" s="68">
        <f t="shared" si="45"/>
        <v>0</v>
      </c>
      <c r="X48" s="68">
        <f t="shared" si="45"/>
        <v>0</v>
      </c>
      <c r="Y48" s="68">
        <f t="shared" si="45"/>
        <v>0</v>
      </c>
      <c r="Z48" s="70">
        <f t="shared" si="45"/>
        <v>0</v>
      </c>
      <c r="AA48" s="68">
        <f t="shared" si="45"/>
        <v>0</v>
      </c>
      <c r="AB48" s="68">
        <f t="shared" si="45"/>
        <v>0</v>
      </c>
      <c r="AC48" s="68">
        <f t="shared" si="45"/>
        <v>0</v>
      </c>
      <c r="AD48" s="68">
        <f t="shared" si="45"/>
        <v>0</v>
      </c>
      <c r="AE48" s="68">
        <f t="shared" si="45"/>
        <v>0</v>
      </c>
      <c r="AF48" s="68">
        <f t="shared" si="45"/>
        <v>0</v>
      </c>
      <c r="AG48" s="68">
        <f t="shared" si="45"/>
        <v>0</v>
      </c>
      <c r="AH48" s="68">
        <f t="shared" si="45"/>
        <v>0</v>
      </c>
      <c r="AI48" s="68">
        <f t="shared" si="45"/>
        <v>0</v>
      </c>
      <c r="AJ48" s="68">
        <f t="shared" si="45"/>
        <v>0</v>
      </c>
      <c r="AK48" s="68">
        <f t="shared" si="45"/>
        <v>0</v>
      </c>
      <c r="AL48" s="69">
        <f t="shared" si="45"/>
        <v>0</v>
      </c>
      <c r="AM48" s="68">
        <f t="shared" si="45"/>
        <v>0</v>
      </c>
      <c r="AN48" s="68">
        <f t="shared" si="45"/>
        <v>0</v>
      </c>
      <c r="AO48" s="68">
        <f t="shared" si="45"/>
        <v>0</v>
      </c>
      <c r="AP48" s="68">
        <f t="shared" si="45"/>
        <v>0</v>
      </c>
      <c r="AQ48" s="68">
        <f t="shared" si="45"/>
        <v>0</v>
      </c>
      <c r="AR48" s="68">
        <f t="shared" si="45"/>
        <v>0</v>
      </c>
      <c r="AS48" s="68">
        <f t="shared" si="45"/>
        <v>0</v>
      </c>
      <c r="AT48" s="68">
        <f t="shared" si="45"/>
        <v>0</v>
      </c>
      <c r="AU48" s="68">
        <f t="shared" si="45"/>
        <v>0</v>
      </c>
      <c r="AV48" s="68">
        <f t="shared" si="45"/>
        <v>0</v>
      </c>
      <c r="AW48" s="68">
        <f t="shared" si="45"/>
        <v>0</v>
      </c>
      <c r="AX48" s="70">
        <f t="shared" si="45"/>
        <v>0</v>
      </c>
      <c r="AY48" s="68">
        <f t="shared" si="45"/>
        <v>0</v>
      </c>
      <c r="AZ48" s="68">
        <f t="shared" si="45"/>
        <v>0</v>
      </c>
      <c r="BA48" s="68">
        <f t="shared" si="45"/>
        <v>0</v>
      </c>
      <c r="BB48" s="68">
        <f t="shared" si="45"/>
        <v>0</v>
      </c>
      <c r="BC48" s="68">
        <f t="shared" si="45"/>
        <v>0</v>
      </c>
      <c r="BD48" s="68">
        <f t="shared" si="45"/>
        <v>0</v>
      </c>
      <c r="BE48" s="68">
        <f t="shared" si="45"/>
        <v>0</v>
      </c>
      <c r="BF48" s="68">
        <f t="shared" si="45"/>
        <v>0</v>
      </c>
      <c r="BG48" s="68">
        <f t="shared" si="45"/>
        <v>0</v>
      </c>
      <c r="BH48" s="68">
        <f t="shared" si="45"/>
        <v>0</v>
      </c>
      <c r="BI48" s="68">
        <f t="shared" si="45"/>
        <v>0</v>
      </c>
      <c r="BJ48" s="70">
        <f t="shared" si="45"/>
        <v>0</v>
      </c>
      <c r="BL48" s="120"/>
      <c r="BN48" s="56" t="s">
        <v>24</v>
      </c>
      <c r="BO48" s="68">
        <f>SUM(BO49:BO52)</f>
        <v>0</v>
      </c>
      <c r="BP48" s="68">
        <f t="shared" ref="BP48:DV48" si="46">SUM(BP49:BP52)</f>
        <v>0</v>
      </c>
      <c r="BQ48" s="68">
        <f t="shared" si="46"/>
        <v>0</v>
      </c>
      <c r="BR48" s="68">
        <f t="shared" si="46"/>
        <v>0</v>
      </c>
      <c r="BS48" s="68">
        <f t="shared" si="46"/>
        <v>0</v>
      </c>
      <c r="BT48" s="68">
        <f t="shared" si="46"/>
        <v>0</v>
      </c>
      <c r="BU48" s="68">
        <f t="shared" si="46"/>
        <v>0</v>
      </c>
      <c r="BV48" s="68">
        <f t="shared" si="46"/>
        <v>0</v>
      </c>
      <c r="BW48" s="68">
        <f t="shared" si="46"/>
        <v>0</v>
      </c>
      <c r="BX48" s="68">
        <f t="shared" si="46"/>
        <v>0</v>
      </c>
      <c r="BY48" s="68">
        <f t="shared" si="46"/>
        <v>0</v>
      </c>
      <c r="BZ48" s="69">
        <f t="shared" si="46"/>
        <v>0</v>
      </c>
      <c r="CA48" s="68">
        <f t="shared" si="46"/>
        <v>0</v>
      </c>
      <c r="CB48" s="68">
        <f t="shared" si="46"/>
        <v>0</v>
      </c>
      <c r="CC48" s="68">
        <f t="shared" si="46"/>
        <v>0</v>
      </c>
      <c r="CD48" s="68">
        <f t="shared" si="46"/>
        <v>0</v>
      </c>
      <c r="CE48" s="68">
        <f t="shared" si="46"/>
        <v>0</v>
      </c>
      <c r="CF48" s="68">
        <f t="shared" si="46"/>
        <v>0</v>
      </c>
      <c r="CG48" s="68">
        <f t="shared" si="46"/>
        <v>0</v>
      </c>
      <c r="CH48" s="68">
        <f t="shared" si="46"/>
        <v>0</v>
      </c>
      <c r="CI48" s="68">
        <f t="shared" si="46"/>
        <v>0</v>
      </c>
      <c r="CJ48" s="68">
        <f t="shared" si="46"/>
        <v>0</v>
      </c>
      <c r="CK48" s="68">
        <f t="shared" si="46"/>
        <v>0</v>
      </c>
      <c r="CL48" s="70">
        <f t="shared" si="46"/>
        <v>0</v>
      </c>
      <c r="CM48" s="68">
        <f t="shared" si="46"/>
        <v>0</v>
      </c>
      <c r="CN48" s="68">
        <f t="shared" si="46"/>
        <v>0</v>
      </c>
      <c r="CO48" s="68">
        <f t="shared" si="46"/>
        <v>0</v>
      </c>
      <c r="CP48" s="68">
        <f t="shared" si="46"/>
        <v>0</v>
      </c>
      <c r="CQ48" s="68">
        <f t="shared" si="46"/>
        <v>0</v>
      </c>
      <c r="CR48" s="68">
        <f t="shared" si="46"/>
        <v>0</v>
      </c>
      <c r="CS48" s="68">
        <f t="shared" si="46"/>
        <v>0</v>
      </c>
      <c r="CT48" s="68">
        <f t="shared" si="46"/>
        <v>0</v>
      </c>
      <c r="CU48" s="68">
        <f t="shared" si="46"/>
        <v>0</v>
      </c>
      <c r="CV48" s="68">
        <f t="shared" si="46"/>
        <v>0</v>
      </c>
      <c r="CW48" s="68">
        <f t="shared" si="46"/>
        <v>0</v>
      </c>
      <c r="CX48" s="69">
        <f t="shared" si="46"/>
        <v>0</v>
      </c>
      <c r="CY48" s="68">
        <f t="shared" si="46"/>
        <v>0</v>
      </c>
      <c r="CZ48" s="68">
        <f t="shared" si="46"/>
        <v>0</v>
      </c>
      <c r="DA48" s="68">
        <f t="shared" si="46"/>
        <v>0</v>
      </c>
      <c r="DB48" s="68">
        <f t="shared" si="46"/>
        <v>0</v>
      </c>
      <c r="DC48" s="68">
        <f t="shared" si="46"/>
        <v>0</v>
      </c>
      <c r="DD48" s="68">
        <f t="shared" si="46"/>
        <v>0</v>
      </c>
      <c r="DE48" s="68">
        <f t="shared" si="46"/>
        <v>0</v>
      </c>
      <c r="DF48" s="68">
        <f t="shared" si="46"/>
        <v>0</v>
      </c>
      <c r="DG48" s="68">
        <f t="shared" si="46"/>
        <v>0</v>
      </c>
      <c r="DH48" s="68">
        <f t="shared" si="46"/>
        <v>0</v>
      </c>
      <c r="DI48" s="68">
        <f t="shared" si="46"/>
        <v>0</v>
      </c>
      <c r="DJ48" s="70">
        <f t="shared" si="46"/>
        <v>0</v>
      </c>
      <c r="DK48" s="68">
        <f t="shared" si="46"/>
        <v>0</v>
      </c>
      <c r="DL48" s="68">
        <f t="shared" si="46"/>
        <v>0</v>
      </c>
      <c r="DM48" s="68">
        <f t="shared" si="46"/>
        <v>0</v>
      </c>
      <c r="DN48" s="68">
        <f t="shared" si="46"/>
        <v>0</v>
      </c>
      <c r="DO48" s="68">
        <f t="shared" si="46"/>
        <v>0</v>
      </c>
      <c r="DP48" s="68">
        <f t="shared" si="46"/>
        <v>0</v>
      </c>
      <c r="DQ48" s="68">
        <f t="shared" si="46"/>
        <v>0</v>
      </c>
      <c r="DR48" s="68">
        <f t="shared" si="46"/>
        <v>0</v>
      </c>
      <c r="DS48" s="68">
        <f t="shared" si="46"/>
        <v>0</v>
      </c>
      <c r="DT48" s="68">
        <f t="shared" si="46"/>
        <v>0</v>
      </c>
      <c r="DU48" s="68">
        <f t="shared" si="46"/>
        <v>0</v>
      </c>
      <c r="DV48" s="70">
        <f t="shared" si="46"/>
        <v>0</v>
      </c>
    </row>
    <row r="49" spans="2:126" x14ac:dyDescent="0.25">
      <c r="B49" s="57" t="s">
        <v>44</v>
      </c>
      <c r="C49" s="53">
        <f>(SUMIFS(MtM!$V:$V,MtM!$I:$I,RESULTADO!$B49,MtM!$H:$H,RESULTADO!$B$48,MtM!$E:$E,RESULTADO!C$42))</f>
        <v>0</v>
      </c>
      <c r="D49" s="53">
        <f>(SUMIFS(MtM!$V:$V,MtM!$I:$I,RESULTADO!$B49,MtM!$H:$H,RESULTADO!$B$48,MtM!$E:$E,RESULTADO!D$42))</f>
        <v>0</v>
      </c>
      <c r="E49" s="53">
        <f>(SUMIFS(MtM!$V:$V,MtM!$I:$I,RESULTADO!$B49,MtM!$H:$H,RESULTADO!$B$48,MtM!$E:$E,RESULTADO!E$42))</f>
        <v>0</v>
      </c>
      <c r="F49" s="53">
        <f>(SUMIFS(MtM!$V:$V,MtM!$I:$I,RESULTADO!$B49,MtM!$H:$H,RESULTADO!$B$48,MtM!$E:$E,RESULTADO!F$42))</f>
        <v>0</v>
      </c>
      <c r="G49" s="53">
        <f>(SUMIFS(MtM!$V:$V,MtM!$I:$I,RESULTADO!$B49,MtM!$H:$H,RESULTADO!$B$48,MtM!$E:$E,RESULTADO!G$42))</f>
        <v>0</v>
      </c>
      <c r="H49" s="53">
        <f>(SUMIFS(MtM!$V:$V,MtM!$I:$I,RESULTADO!$B49,MtM!$H:$H,RESULTADO!$B$48,MtM!$E:$E,RESULTADO!H$42))</f>
        <v>0</v>
      </c>
      <c r="I49" s="53">
        <f>(SUMIFS(MtM!$V:$V,MtM!$I:$I,RESULTADO!$B49,MtM!$H:$H,RESULTADO!$B$48,MtM!$E:$E,RESULTADO!I$42))</f>
        <v>0</v>
      </c>
      <c r="J49" s="53">
        <f>(SUMIFS(MtM!$V:$V,MtM!$I:$I,RESULTADO!$B49,MtM!$H:$H,RESULTADO!$B$48,MtM!$E:$E,RESULTADO!J$42))</f>
        <v>0</v>
      </c>
      <c r="K49" s="53">
        <f>(SUMIFS(MtM!$V:$V,MtM!$I:$I,RESULTADO!$B49,MtM!$H:$H,RESULTADO!$B$48,MtM!$E:$E,RESULTADO!K$42))</f>
        <v>0</v>
      </c>
      <c r="L49" s="53">
        <f>(SUMIFS(MtM!$V:$V,MtM!$I:$I,RESULTADO!$B49,MtM!$H:$H,RESULTADO!$B$48,MtM!$E:$E,RESULTADO!L$42))</f>
        <v>0</v>
      </c>
      <c r="M49" s="53">
        <f>(SUMIFS(MtM!$V:$V,MtM!$I:$I,RESULTADO!$B49,MtM!$H:$H,RESULTADO!$B$48,MtM!$E:$E,RESULTADO!M$42))</f>
        <v>0</v>
      </c>
      <c r="N49" s="54">
        <f>(SUMIFS(MtM!$V:$V,MtM!$I:$I,RESULTADO!$B49,MtM!$H:$H,RESULTADO!$B$48,MtM!$E:$E,RESULTADO!N$42))</f>
        <v>0</v>
      </c>
      <c r="O49" s="53">
        <f>(SUMIFS(MtM!$V:$V,MtM!$I:$I,RESULTADO!$B49,MtM!$H:$H,RESULTADO!$B$48,MtM!$E:$E,RESULTADO!O$42))</f>
        <v>0</v>
      </c>
      <c r="P49" s="53">
        <f>(SUMIFS(MtM!$V:$V,MtM!$I:$I,RESULTADO!$B49,MtM!$H:$H,RESULTADO!$B$48,MtM!$E:$E,RESULTADO!P$42))</f>
        <v>0</v>
      </c>
      <c r="Q49" s="53">
        <f>(SUMIFS(MtM!$V:$V,MtM!$I:$I,RESULTADO!$B49,MtM!$H:$H,RESULTADO!$B$48,MtM!$E:$E,RESULTADO!Q$42))</f>
        <v>0</v>
      </c>
      <c r="R49" s="53">
        <f>(SUMIFS(MtM!$V:$V,MtM!$I:$I,RESULTADO!$B49,MtM!$H:$H,RESULTADO!$B$48,MtM!$E:$E,RESULTADO!R$42))</f>
        <v>0</v>
      </c>
      <c r="S49" s="53">
        <f>(SUMIFS(MtM!$V:$V,MtM!$I:$I,RESULTADO!$B49,MtM!$H:$H,RESULTADO!$B$48,MtM!$E:$E,RESULTADO!S$42))</f>
        <v>0</v>
      </c>
      <c r="T49" s="53">
        <f>(SUMIFS(MtM!$V:$V,MtM!$I:$I,RESULTADO!$B49,MtM!$H:$H,RESULTADO!$B$48,MtM!$E:$E,RESULTADO!T$42))</f>
        <v>0</v>
      </c>
      <c r="U49" s="53">
        <f>(SUMIFS(MtM!$V:$V,MtM!$I:$I,RESULTADO!$B49,MtM!$H:$H,RESULTADO!$B$48,MtM!$E:$E,RESULTADO!U$42))</f>
        <v>0</v>
      </c>
      <c r="V49" s="53">
        <f>(SUMIFS(MtM!$V:$V,MtM!$I:$I,RESULTADO!$B49,MtM!$H:$H,RESULTADO!$B$48,MtM!$E:$E,RESULTADO!V$42))</f>
        <v>0</v>
      </c>
      <c r="W49" s="53">
        <f>(SUMIFS(MtM!$V:$V,MtM!$I:$I,RESULTADO!$B49,MtM!$H:$H,RESULTADO!$B$48,MtM!$E:$E,RESULTADO!W$42))</f>
        <v>0</v>
      </c>
      <c r="X49" s="53">
        <f>(SUMIFS(MtM!$V:$V,MtM!$I:$I,RESULTADO!$B49,MtM!$H:$H,RESULTADO!$B$48,MtM!$E:$E,RESULTADO!X$42))</f>
        <v>0</v>
      </c>
      <c r="Y49" s="53">
        <f>(SUMIFS(MtM!$V:$V,MtM!$I:$I,RESULTADO!$B49,MtM!$H:$H,RESULTADO!$B$48,MtM!$E:$E,RESULTADO!Y$42))</f>
        <v>0</v>
      </c>
      <c r="Z49" s="63">
        <f>(SUMIFS(MtM!$V:$V,MtM!$I:$I,RESULTADO!$B49,MtM!$H:$H,RESULTADO!$B$48,MtM!$E:$E,RESULTADO!Z$42))</f>
        <v>0</v>
      </c>
      <c r="AA49" s="53">
        <f>(SUMIFS(MtM!$V:$V,MtM!$I:$I,RESULTADO!$B49,MtM!$H:$H,RESULTADO!$B$48,MtM!$E:$E,RESULTADO!AA$42))</f>
        <v>0</v>
      </c>
      <c r="AB49" s="53">
        <f>(SUMIFS(MtM!$V:$V,MtM!$I:$I,RESULTADO!$B49,MtM!$H:$H,RESULTADO!$B$48,MtM!$E:$E,RESULTADO!AB$42))</f>
        <v>0</v>
      </c>
      <c r="AC49" s="53">
        <f>(SUMIFS(MtM!$V:$V,MtM!$I:$I,RESULTADO!$B49,MtM!$H:$H,RESULTADO!$B$48,MtM!$E:$E,RESULTADO!AC$42))</f>
        <v>0</v>
      </c>
      <c r="AD49" s="53">
        <f>(SUMIFS(MtM!$V:$V,MtM!$I:$I,RESULTADO!$B49,MtM!$H:$H,RESULTADO!$B$48,MtM!$E:$E,RESULTADO!AD$42))</f>
        <v>0</v>
      </c>
      <c r="AE49" s="53">
        <f>(SUMIFS(MtM!$V:$V,MtM!$I:$I,RESULTADO!$B49,MtM!$H:$H,RESULTADO!$B$48,MtM!$E:$E,RESULTADO!AE$42))</f>
        <v>0</v>
      </c>
      <c r="AF49" s="53">
        <f>(SUMIFS(MtM!$V:$V,MtM!$I:$I,RESULTADO!$B49,MtM!$H:$H,RESULTADO!$B$48,MtM!$E:$E,RESULTADO!AF$42))</f>
        <v>0</v>
      </c>
      <c r="AG49" s="53">
        <f>(SUMIFS(MtM!$V:$V,MtM!$I:$I,RESULTADO!$B49,MtM!$H:$H,RESULTADO!$B$48,MtM!$E:$E,RESULTADO!AG$42))</f>
        <v>0</v>
      </c>
      <c r="AH49" s="53">
        <f>(SUMIFS(MtM!$V:$V,MtM!$I:$I,RESULTADO!$B49,MtM!$H:$H,RESULTADO!$B$48,MtM!$E:$E,RESULTADO!AH$42))</f>
        <v>0</v>
      </c>
      <c r="AI49" s="53">
        <f>(SUMIFS(MtM!$V:$V,MtM!$I:$I,RESULTADO!$B49,MtM!$H:$H,RESULTADO!$B$48,MtM!$E:$E,RESULTADO!AI$42))</f>
        <v>0</v>
      </c>
      <c r="AJ49" s="53">
        <f>(SUMIFS(MtM!$V:$V,MtM!$I:$I,RESULTADO!$B49,MtM!$H:$H,RESULTADO!$B$48,MtM!$E:$E,RESULTADO!AJ$42))</f>
        <v>0</v>
      </c>
      <c r="AK49" s="53">
        <f>(SUMIFS(MtM!$V:$V,MtM!$I:$I,RESULTADO!$B49,MtM!$H:$H,RESULTADO!$B$48,MtM!$E:$E,RESULTADO!AK$42))</f>
        <v>0</v>
      </c>
      <c r="AL49" s="54">
        <f>(SUMIFS(MtM!$V:$V,MtM!$I:$I,RESULTADO!$B49,MtM!$H:$H,RESULTADO!$B$48,MtM!$E:$E,RESULTADO!AL$42))</f>
        <v>0</v>
      </c>
      <c r="AM49" s="53">
        <f>(SUMIFS(MtM!$V:$V,MtM!$I:$I,RESULTADO!$B49,MtM!$H:$H,RESULTADO!$B$48,MtM!$E:$E,RESULTADO!AM$42))</f>
        <v>0</v>
      </c>
      <c r="AN49" s="53">
        <f>(SUMIFS(MtM!$V:$V,MtM!$I:$I,RESULTADO!$B49,MtM!$H:$H,RESULTADO!$B$48,MtM!$E:$E,RESULTADO!AN$42))</f>
        <v>0</v>
      </c>
      <c r="AO49" s="53">
        <f>(SUMIFS(MtM!$V:$V,MtM!$I:$I,RESULTADO!$B49,MtM!$H:$H,RESULTADO!$B$48,MtM!$E:$E,RESULTADO!AO$42))</f>
        <v>0</v>
      </c>
      <c r="AP49" s="53">
        <f>(SUMIFS(MtM!$V:$V,MtM!$I:$I,RESULTADO!$B49,MtM!$H:$H,RESULTADO!$B$48,MtM!$E:$E,RESULTADO!AP$42))</f>
        <v>0</v>
      </c>
      <c r="AQ49" s="53">
        <f>(SUMIFS(MtM!$V:$V,MtM!$I:$I,RESULTADO!$B49,MtM!$H:$H,RESULTADO!$B$48,MtM!$E:$E,RESULTADO!AQ$42))</f>
        <v>0</v>
      </c>
      <c r="AR49" s="53">
        <f>(SUMIFS(MtM!$V:$V,MtM!$I:$I,RESULTADO!$B49,MtM!$H:$H,RESULTADO!$B$48,MtM!$E:$E,RESULTADO!AR$42))</f>
        <v>0</v>
      </c>
      <c r="AS49" s="53">
        <f>(SUMIFS(MtM!$V:$V,MtM!$I:$I,RESULTADO!$B49,MtM!$H:$H,RESULTADO!$B$48,MtM!$E:$E,RESULTADO!AS$42))</f>
        <v>0</v>
      </c>
      <c r="AT49" s="53">
        <f>(SUMIFS(MtM!$V:$V,MtM!$I:$I,RESULTADO!$B49,MtM!$H:$H,RESULTADO!$B$48,MtM!$E:$E,RESULTADO!AT$42))</f>
        <v>0</v>
      </c>
      <c r="AU49" s="53">
        <f>(SUMIFS(MtM!$V:$V,MtM!$I:$I,RESULTADO!$B49,MtM!$H:$H,RESULTADO!$B$48,MtM!$E:$E,RESULTADO!AU$42))</f>
        <v>0</v>
      </c>
      <c r="AV49" s="53">
        <f>(SUMIFS(MtM!$V:$V,MtM!$I:$I,RESULTADO!$B49,MtM!$H:$H,RESULTADO!$B$48,MtM!$E:$E,RESULTADO!AV$42))</f>
        <v>0</v>
      </c>
      <c r="AW49" s="53">
        <f>(SUMIFS(MtM!$V:$V,MtM!$I:$I,RESULTADO!$B49,MtM!$H:$H,RESULTADO!$B$48,MtM!$E:$E,RESULTADO!AW$42))</f>
        <v>0</v>
      </c>
      <c r="AX49" s="63">
        <f>(SUMIFS(MtM!$V:$V,MtM!$I:$I,RESULTADO!$B49,MtM!$H:$H,RESULTADO!$B$48,MtM!$E:$E,RESULTADO!AX$42))</f>
        <v>0</v>
      </c>
      <c r="AY49" s="53">
        <f>(SUMIFS(MtM!$V:$V,MtM!$I:$I,RESULTADO!$B49,MtM!$H:$H,RESULTADO!$B$48,MtM!$E:$E,RESULTADO!AY$42))</f>
        <v>0</v>
      </c>
      <c r="AZ49" s="53">
        <f>(SUMIFS(MtM!$V:$V,MtM!$I:$I,RESULTADO!$B49,MtM!$H:$H,RESULTADO!$B$48,MtM!$E:$E,RESULTADO!AZ$42))</f>
        <v>0</v>
      </c>
      <c r="BA49" s="53">
        <f>(SUMIFS(MtM!$V:$V,MtM!$I:$I,RESULTADO!$B49,MtM!$H:$H,RESULTADO!$B$48,MtM!$E:$E,RESULTADO!BA$42))</f>
        <v>0</v>
      </c>
      <c r="BB49" s="53">
        <f>(SUMIFS(MtM!$V:$V,MtM!$I:$I,RESULTADO!$B49,MtM!$H:$H,RESULTADO!$B$48,MtM!$E:$E,RESULTADO!BB$42))</f>
        <v>0</v>
      </c>
      <c r="BC49" s="53">
        <f>(SUMIFS(MtM!$V:$V,MtM!$I:$I,RESULTADO!$B49,MtM!$H:$H,RESULTADO!$B$48,MtM!$E:$E,RESULTADO!BC$42))</f>
        <v>0</v>
      </c>
      <c r="BD49" s="53">
        <f>(SUMIFS(MtM!$V:$V,MtM!$I:$I,RESULTADO!$B49,MtM!$H:$H,RESULTADO!$B$48,MtM!$E:$E,RESULTADO!BD$42))</f>
        <v>0</v>
      </c>
      <c r="BE49" s="53">
        <f>(SUMIFS(MtM!$V:$V,MtM!$I:$I,RESULTADO!$B49,MtM!$H:$H,RESULTADO!$B$48,MtM!$E:$E,RESULTADO!BE$42))</f>
        <v>0</v>
      </c>
      <c r="BF49" s="53">
        <f>(SUMIFS(MtM!$V:$V,MtM!$I:$I,RESULTADO!$B49,MtM!$H:$H,RESULTADO!$B$48,MtM!$E:$E,RESULTADO!BF$42))</f>
        <v>0</v>
      </c>
      <c r="BG49" s="53">
        <f>(SUMIFS(MtM!$V:$V,MtM!$I:$I,RESULTADO!$B49,MtM!$H:$H,RESULTADO!$B$48,MtM!$E:$E,RESULTADO!BG$42))</f>
        <v>0</v>
      </c>
      <c r="BH49" s="53">
        <f>(SUMIFS(MtM!$V:$V,MtM!$I:$I,RESULTADO!$B49,MtM!$H:$H,RESULTADO!$B$48,MtM!$E:$E,RESULTADO!BH$42))</f>
        <v>0</v>
      </c>
      <c r="BI49" s="53">
        <f>(SUMIFS(MtM!$V:$V,MtM!$I:$I,RESULTADO!$B49,MtM!$H:$H,RESULTADO!$B$48,MtM!$E:$E,RESULTADO!BI$42))</f>
        <v>0</v>
      </c>
      <c r="BJ49" s="63">
        <f>(SUMIFS(MtM!$V:$V,MtM!$I:$I,RESULTADO!$B49,MtM!$H:$H,RESULTADO!$B$48,MtM!$E:$E,RESULTADO!BJ$42))</f>
        <v>0</v>
      </c>
      <c r="BL49" s="120"/>
      <c r="BN49" s="57" t="s">
        <v>44</v>
      </c>
      <c r="BO49" s="53">
        <f>SUMIFS('MtM Releases'!$M:$M,'MtM Releases'!$G:$G,RESULTADO!$BN49,'MtM Releases'!$F:$F,RESULTADO!$BN48,'MtM Releases'!$D:$D,RESULTADO!BO$3)</f>
        <v>0</v>
      </c>
      <c r="BP49" s="53">
        <f>SUMIFS('MtM Releases'!$M:$M,'MtM Releases'!$G:$G,RESULTADO!$BN49,'MtM Releases'!$F:$F,RESULTADO!$BN48,'MtM Releases'!$D:$D,RESULTADO!BP$3)</f>
        <v>0</v>
      </c>
      <c r="BQ49" s="53">
        <f>SUMIFS('MtM Releases'!$M:$M,'MtM Releases'!$G:$G,RESULTADO!$BN49,'MtM Releases'!$F:$F,RESULTADO!$BN48,'MtM Releases'!$D:$D,RESULTADO!BQ$3)</f>
        <v>0</v>
      </c>
      <c r="BR49" s="53">
        <f>SUMIFS('MtM Releases'!$M:$M,'MtM Releases'!$G:$G,RESULTADO!$BN49,'MtM Releases'!$F:$F,RESULTADO!$BN48,'MtM Releases'!$D:$D,RESULTADO!BR$3)</f>
        <v>0</v>
      </c>
      <c r="BS49" s="53">
        <f>SUMIFS('MtM Releases'!$M:$M,'MtM Releases'!$G:$G,RESULTADO!$BN49,'MtM Releases'!$F:$F,RESULTADO!$BN48,'MtM Releases'!$D:$D,RESULTADO!BS$3)</f>
        <v>0</v>
      </c>
      <c r="BT49" s="53">
        <f>SUMIFS('MtM Releases'!$M:$M,'MtM Releases'!$G:$G,RESULTADO!$BN49,'MtM Releases'!$F:$F,RESULTADO!$BN48,'MtM Releases'!$D:$D,RESULTADO!BT$3)</f>
        <v>0</v>
      </c>
      <c r="BU49" s="53">
        <f>SUMIFS('MtM Releases'!$M:$M,'MtM Releases'!$G:$G,RESULTADO!$BN49,'MtM Releases'!$F:$F,RESULTADO!$BN48,'MtM Releases'!$D:$D,RESULTADO!BU$3)</f>
        <v>0</v>
      </c>
      <c r="BV49" s="53">
        <f>SUMIFS('MtM Releases'!$M:$M,'MtM Releases'!$G:$G,RESULTADO!$BN49,'MtM Releases'!$F:$F,RESULTADO!$BN48,'MtM Releases'!$D:$D,RESULTADO!BV$3)</f>
        <v>0</v>
      </c>
      <c r="BW49" s="53">
        <f>SUMIFS('MtM Releases'!$M:$M,'MtM Releases'!$G:$G,RESULTADO!$BN49,'MtM Releases'!$F:$F,RESULTADO!$BN48,'MtM Releases'!$D:$D,RESULTADO!BW$3)</f>
        <v>0</v>
      </c>
      <c r="BX49" s="53">
        <f>SUMIFS('MtM Releases'!$M:$M,'MtM Releases'!$G:$G,RESULTADO!$BN49,'MtM Releases'!$F:$F,RESULTADO!$BN48,'MtM Releases'!$D:$D,RESULTADO!BX$3)</f>
        <v>0</v>
      </c>
      <c r="BY49" s="53">
        <f>SUMIFS('MtM Releases'!$M:$M,'MtM Releases'!$G:$G,RESULTADO!$BN49,'MtM Releases'!$F:$F,RESULTADO!$BN48,'MtM Releases'!$D:$D,RESULTADO!BY$3)</f>
        <v>0</v>
      </c>
      <c r="BZ49" s="54">
        <f>SUMIFS('MtM Releases'!$M:$M,'MtM Releases'!$G:$G,RESULTADO!$BN49,'MtM Releases'!$F:$F,RESULTADO!$BN48,'MtM Releases'!$D:$D,RESULTADO!BZ$3)</f>
        <v>0</v>
      </c>
      <c r="CA49" s="53">
        <f>SUMIFS('MtM Releases'!$M:$M,'MtM Releases'!$G:$G,RESULTADO!$BN49,'MtM Releases'!$F:$F,RESULTADO!$BN48,'MtM Releases'!$D:$D,RESULTADO!CA$3)</f>
        <v>0</v>
      </c>
      <c r="CB49" s="53">
        <f>SUMIFS('MtM Releases'!$M:$M,'MtM Releases'!$G:$G,RESULTADO!$BN49,'MtM Releases'!$F:$F,RESULTADO!$BN48,'MtM Releases'!$D:$D,RESULTADO!CB$3)</f>
        <v>0</v>
      </c>
      <c r="CC49" s="53">
        <f>SUMIFS('MtM Releases'!$M:$M,'MtM Releases'!$G:$G,RESULTADO!$BN49,'MtM Releases'!$F:$F,RESULTADO!$BN48,'MtM Releases'!$D:$D,RESULTADO!CC$3)</f>
        <v>0</v>
      </c>
      <c r="CD49" s="53">
        <f>SUMIFS('MtM Releases'!$M:$M,'MtM Releases'!$G:$G,RESULTADO!$BN49,'MtM Releases'!$F:$F,RESULTADO!$BN48,'MtM Releases'!$D:$D,RESULTADO!CD$3)</f>
        <v>0</v>
      </c>
      <c r="CE49" s="53">
        <f>SUMIFS('MtM Releases'!$M:$M,'MtM Releases'!$G:$G,RESULTADO!$BN49,'MtM Releases'!$F:$F,RESULTADO!$BN48,'MtM Releases'!$D:$D,RESULTADO!CE$3)</f>
        <v>0</v>
      </c>
      <c r="CF49" s="53">
        <f>SUMIFS('MtM Releases'!$M:$M,'MtM Releases'!$G:$G,RESULTADO!$BN49,'MtM Releases'!$F:$F,RESULTADO!$BN48,'MtM Releases'!$D:$D,RESULTADO!CF$3)</f>
        <v>0</v>
      </c>
      <c r="CG49" s="53">
        <f>SUMIFS('MtM Releases'!$M:$M,'MtM Releases'!$G:$G,RESULTADO!$BN49,'MtM Releases'!$F:$F,RESULTADO!$BN48,'MtM Releases'!$D:$D,RESULTADO!CG$3)</f>
        <v>0</v>
      </c>
      <c r="CH49" s="53">
        <f>SUMIFS('MtM Releases'!$M:$M,'MtM Releases'!$G:$G,RESULTADO!$BN49,'MtM Releases'!$F:$F,RESULTADO!$BN48,'MtM Releases'!$D:$D,RESULTADO!CH$3)</f>
        <v>0</v>
      </c>
      <c r="CI49" s="53">
        <f>SUMIFS('MtM Releases'!$M:$M,'MtM Releases'!$G:$G,RESULTADO!$BN49,'MtM Releases'!$F:$F,RESULTADO!$BN48,'MtM Releases'!$D:$D,RESULTADO!CI$3)</f>
        <v>0</v>
      </c>
      <c r="CJ49" s="53">
        <f>SUMIFS('MtM Releases'!$M:$M,'MtM Releases'!$G:$G,RESULTADO!$BN49,'MtM Releases'!$F:$F,RESULTADO!$BN48,'MtM Releases'!$D:$D,RESULTADO!CJ$3)</f>
        <v>0</v>
      </c>
      <c r="CK49" s="53">
        <f>SUMIFS('MtM Releases'!$M:$M,'MtM Releases'!$G:$G,RESULTADO!$BN49,'MtM Releases'!$F:$F,RESULTADO!$BN48,'MtM Releases'!$D:$D,RESULTADO!CK$3)</f>
        <v>0</v>
      </c>
      <c r="CL49" s="63">
        <f>SUMIFS('MtM Releases'!$M:$M,'MtM Releases'!$G:$G,RESULTADO!$BN49,'MtM Releases'!$F:$F,RESULTADO!$BN48,'MtM Releases'!$D:$D,RESULTADO!CL$3)</f>
        <v>0</v>
      </c>
      <c r="CM49" s="53">
        <f>SUMIFS('MtM Releases'!$M:$M,'MtM Releases'!$G:$G,RESULTADO!$BN49,'MtM Releases'!$F:$F,RESULTADO!$BN48,'MtM Releases'!$D:$D,RESULTADO!CM$3)</f>
        <v>0</v>
      </c>
      <c r="CN49" s="53">
        <f>SUMIFS('MtM Releases'!$M:$M,'MtM Releases'!$G:$G,RESULTADO!$BN49,'MtM Releases'!$F:$F,RESULTADO!$BN48,'MtM Releases'!$D:$D,RESULTADO!CN$3)</f>
        <v>0</v>
      </c>
      <c r="CO49" s="53">
        <f>SUMIFS('MtM Releases'!$M:$M,'MtM Releases'!$G:$G,RESULTADO!$BN49,'MtM Releases'!$F:$F,RESULTADO!$BN48,'MtM Releases'!$D:$D,RESULTADO!CO$3)</f>
        <v>0</v>
      </c>
      <c r="CP49" s="53">
        <f>SUMIFS('MtM Releases'!$M:$M,'MtM Releases'!$G:$G,RESULTADO!$BN49,'MtM Releases'!$F:$F,RESULTADO!$BN48,'MtM Releases'!$D:$D,RESULTADO!CP$3)</f>
        <v>0</v>
      </c>
      <c r="CQ49" s="53">
        <f>SUMIFS('MtM Releases'!$M:$M,'MtM Releases'!$G:$G,RESULTADO!$BN49,'MtM Releases'!$F:$F,RESULTADO!$BN48,'MtM Releases'!$D:$D,RESULTADO!CQ$3)</f>
        <v>0</v>
      </c>
      <c r="CR49" s="53">
        <f>SUMIFS('MtM Releases'!$M:$M,'MtM Releases'!$G:$G,RESULTADO!$BN49,'MtM Releases'!$F:$F,RESULTADO!$BN48,'MtM Releases'!$D:$D,RESULTADO!CR$3)</f>
        <v>0</v>
      </c>
      <c r="CS49" s="53">
        <f>SUMIFS('MtM Releases'!$M:$M,'MtM Releases'!$G:$G,RESULTADO!$BN49,'MtM Releases'!$F:$F,RESULTADO!$BN48,'MtM Releases'!$D:$D,RESULTADO!CS$3)</f>
        <v>0</v>
      </c>
      <c r="CT49" s="53">
        <f>SUMIFS('MtM Releases'!$M:$M,'MtM Releases'!$G:$G,RESULTADO!$BN49,'MtM Releases'!$F:$F,RESULTADO!$BN48,'MtM Releases'!$D:$D,RESULTADO!CT$3)</f>
        <v>0</v>
      </c>
      <c r="CU49" s="53">
        <f>SUMIFS('MtM Releases'!$M:$M,'MtM Releases'!$G:$G,RESULTADO!$BN49,'MtM Releases'!$F:$F,RESULTADO!$BN48,'MtM Releases'!$D:$D,RESULTADO!CU$3)</f>
        <v>0</v>
      </c>
      <c r="CV49" s="53">
        <f>SUMIFS('MtM Releases'!$M:$M,'MtM Releases'!$G:$G,RESULTADO!$BN49,'MtM Releases'!$F:$F,RESULTADO!$BN48,'MtM Releases'!$D:$D,RESULTADO!CV$3)</f>
        <v>0</v>
      </c>
      <c r="CW49" s="53">
        <f>SUMIFS('MtM Releases'!$M:$M,'MtM Releases'!$G:$G,RESULTADO!$BN49,'MtM Releases'!$F:$F,RESULTADO!$BN48,'MtM Releases'!$D:$D,RESULTADO!CW$3)</f>
        <v>0</v>
      </c>
      <c r="CX49" s="54">
        <f>SUMIFS('MtM Releases'!$M:$M,'MtM Releases'!$G:$G,RESULTADO!$BN49,'MtM Releases'!$F:$F,RESULTADO!$BN48,'MtM Releases'!$D:$D,RESULTADO!CX$3)</f>
        <v>0</v>
      </c>
      <c r="CY49" s="53">
        <f>SUMIFS('MtM Releases'!$M:$M,'MtM Releases'!$G:$G,RESULTADO!$BN49,'MtM Releases'!$F:$F,RESULTADO!$BN48,'MtM Releases'!$D:$D,RESULTADO!CY$3)</f>
        <v>0</v>
      </c>
      <c r="CZ49" s="53">
        <f>SUMIFS('MtM Releases'!$M:$M,'MtM Releases'!$G:$G,RESULTADO!$BN49,'MtM Releases'!$F:$F,RESULTADO!$BN48,'MtM Releases'!$D:$D,RESULTADO!CZ$3)</f>
        <v>0</v>
      </c>
      <c r="DA49" s="53">
        <f>SUMIFS('MtM Releases'!$M:$M,'MtM Releases'!$G:$G,RESULTADO!$BN49,'MtM Releases'!$F:$F,RESULTADO!$BN48,'MtM Releases'!$D:$D,RESULTADO!DA$3)</f>
        <v>0</v>
      </c>
      <c r="DB49" s="53">
        <f>SUMIFS('MtM Releases'!$M:$M,'MtM Releases'!$G:$G,RESULTADO!$BN49,'MtM Releases'!$F:$F,RESULTADO!$BN48,'MtM Releases'!$D:$D,RESULTADO!DB$3)</f>
        <v>0</v>
      </c>
      <c r="DC49" s="53">
        <f>SUMIFS('MtM Releases'!$M:$M,'MtM Releases'!$G:$G,RESULTADO!$BN49,'MtM Releases'!$F:$F,RESULTADO!$BN48,'MtM Releases'!$D:$D,RESULTADO!DC$3)</f>
        <v>0</v>
      </c>
      <c r="DD49" s="53">
        <f>SUMIFS('MtM Releases'!$M:$M,'MtM Releases'!$G:$G,RESULTADO!$BN49,'MtM Releases'!$F:$F,RESULTADO!$BN48,'MtM Releases'!$D:$D,RESULTADO!DD$3)</f>
        <v>0</v>
      </c>
      <c r="DE49" s="53">
        <f>SUMIFS('MtM Releases'!$M:$M,'MtM Releases'!$G:$G,RESULTADO!$BN49,'MtM Releases'!$F:$F,RESULTADO!$BN48,'MtM Releases'!$D:$D,RESULTADO!DE$3)</f>
        <v>0</v>
      </c>
      <c r="DF49" s="53">
        <f>SUMIFS('MtM Releases'!$M:$M,'MtM Releases'!$G:$G,RESULTADO!$BN49,'MtM Releases'!$F:$F,RESULTADO!$BN48,'MtM Releases'!$D:$D,RESULTADO!DF$3)</f>
        <v>0</v>
      </c>
      <c r="DG49" s="53">
        <f>SUMIFS('MtM Releases'!$M:$M,'MtM Releases'!$G:$G,RESULTADO!$BN49,'MtM Releases'!$F:$F,RESULTADO!$BN48,'MtM Releases'!$D:$D,RESULTADO!DG$3)</f>
        <v>0</v>
      </c>
      <c r="DH49" s="53">
        <f>SUMIFS('MtM Releases'!$M:$M,'MtM Releases'!$G:$G,RESULTADO!$BN49,'MtM Releases'!$F:$F,RESULTADO!$BN48,'MtM Releases'!$D:$D,RESULTADO!DH$3)</f>
        <v>0</v>
      </c>
      <c r="DI49" s="53">
        <f>SUMIFS('MtM Releases'!$M:$M,'MtM Releases'!$G:$G,RESULTADO!$BN49,'MtM Releases'!$F:$F,RESULTADO!$BN48,'MtM Releases'!$D:$D,RESULTADO!DI$3)</f>
        <v>0</v>
      </c>
      <c r="DJ49" s="63">
        <f>SUMIFS('MtM Releases'!$M:$M,'MtM Releases'!$G:$G,RESULTADO!$BN49,'MtM Releases'!$F:$F,RESULTADO!$BN48,'MtM Releases'!$D:$D,RESULTADO!DJ$3)</f>
        <v>0</v>
      </c>
      <c r="DK49" s="53">
        <f>SUMIFS('MtM Releases'!$M:$M,'MtM Releases'!$G:$G,RESULTADO!$BN49,'MtM Releases'!$F:$F,RESULTADO!$BN48,'MtM Releases'!$D:$D,RESULTADO!DK$3)</f>
        <v>0</v>
      </c>
      <c r="DL49" s="53">
        <f>SUMIFS('MtM Releases'!$M:$M,'MtM Releases'!$G:$G,RESULTADO!$BN49,'MtM Releases'!$F:$F,RESULTADO!$BN48,'MtM Releases'!$D:$D,RESULTADO!DL$3)</f>
        <v>0</v>
      </c>
      <c r="DM49" s="53">
        <f>SUMIFS('MtM Releases'!$M:$M,'MtM Releases'!$G:$G,RESULTADO!$BN49,'MtM Releases'!$F:$F,RESULTADO!$BN48,'MtM Releases'!$D:$D,RESULTADO!DM$3)</f>
        <v>0</v>
      </c>
      <c r="DN49" s="53">
        <f>SUMIFS('MtM Releases'!$M:$M,'MtM Releases'!$G:$G,RESULTADO!$BN49,'MtM Releases'!$F:$F,RESULTADO!$BN48,'MtM Releases'!$D:$D,RESULTADO!DN$3)</f>
        <v>0</v>
      </c>
      <c r="DO49" s="53">
        <f>SUMIFS('MtM Releases'!$M:$M,'MtM Releases'!$G:$G,RESULTADO!$BN49,'MtM Releases'!$F:$F,RESULTADO!$BN48,'MtM Releases'!$D:$D,RESULTADO!DO$3)</f>
        <v>0</v>
      </c>
      <c r="DP49" s="53">
        <f>SUMIFS('MtM Releases'!$M:$M,'MtM Releases'!$G:$G,RESULTADO!$BN49,'MtM Releases'!$F:$F,RESULTADO!$BN48,'MtM Releases'!$D:$D,RESULTADO!DP$3)</f>
        <v>0</v>
      </c>
      <c r="DQ49" s="53">
        <f>SUMIFS('MtM Releases'!$M:$M,'MtM Releases'!$G:$G,RESULTADO!$BN49,'MtM Releases'!$F:$F,RESULTADO!$BN48,'MtM Releases'!$D:$D,RESULTADO!DQ$3)</f>
        <v>0</v>
      </c>
      <c r="DR49" s="53">
        <f>SUMIFS('MtM Releases'!$M:$M,'MtM Releases'!$G:$G,RESULTADO!$BN49,'MtM Releases'!$F:$F,RESULTADO!$BN48,'MtM Releases'!$D:$D,RESULTADO!DR$3)</f>
        <v>0</v>
      </c>
      <c r="DS49" s="53">
        <f>SUMIFS('MtM Releases'!$M:$M,'MtM Releases'!$G:$G,RESULTADO!$BN49,'MtM Releases'!$F:$F,RESULTADO!$BN48,'MtM Releases'!$D:$D,RESULTADO!DS$3)</f>
        <v>0</v>
      </c>
      <c r="DT49" s="53">
        <f>SUMIFS('MtM Releases'!$M:$M,'MtM Releases'!$G:$G,RESULTADO!$BN49,'MtM Releases'!$F:$F,RESULTADO!$BN48,'MtM Releases'!$D:$D,RESULTADO!DT$3)</f>
        <v>0</v>
      </c>
      <c r="DU49" s="53">
        <f>SUMIFS('MtM Releases'!$M:$M,'MtM Releases'!$G:$G,RESULTADO!$BN49,'MtM Releases'!$F:$F,RESULTADO!$BN48,'MtM Releases'!$D:$D,RESULTADO!DU$3)</f>
        <v>0</v>
      </c>
      <c r="DV49" s="63">
        <f>SUMIFS('MtM Releases'!$M:$M,'MtM Releases'!$G:$G,RESULTADO!$BN49,'MtM Releases'!$F:$F,RESULTADO!$BN48,'MtM Releases'!$D:$D,RESULTADO!DV$3)</f>
        <v>0</v>
      </c>
    </row>
    <row r="50" spans="2:126" x14ac:dyDescent="0.25">
      <c r="B50" s="57" t="s">
        <v>12</v>
      </c>
      <c r="C50" s="53">
        <f>(SUMIFS(MtM!$V:$V,MtM!$I:$I,RESULTADO!$B50,MtM!$H:$H,RESULTADO!$B$48,MtM!$E:$E,RESULTADO!C$42))</f>
        <v>0</v>
      </c>
      <c r="D50" s="53">
        <f>(SUMIFS(MtM!$V:$V,MtM!$I:$I,RESULTADO!$B50,MtM!$H:$H,RESULTADO!$B$48,MtM!$E:$E,RESULTADO!D$42))</f>
        <v>0</v>
      </c>
      <c r="E50" s="53">
        <f>(SUMIFS(MtM!$V:$V,MtM!$I:$I,RESULTADO!$B50,MtM!$H:$H,RESULTADO!$B$48,MtM!$E:$E,RESULTADO!E$42))</f>
        <v>0</v>
      </c>
      <c r="F50" s="53">
        <f>(SUMIFS(MtM!$V:$V,MtM!$I:$I,RESULTADO!$B50,MtM!$H:$H,RESULTADO!$B$48,MtM!$E:$E,RESULTADO!F$42))</f>
        <v>0</v>
      </c>
      <c r="G50" s="53">
        <f>(SUMIFS(MtM!$V:$V,MtM!$I:$I,RESULTADO!$B50,MtM!$H:$H,RESULTADO!$B$48,MtM!$E:$E,RESULTADO!G$42))</f>
        <v>0</v>
      </c>
      <c r="H50" s="53">
        <f>(SUMIFS(MtM!$V:$V,MtM!$I:$I,RESULTADO!$B50,MtM!$H:$H,RESULTADO!$B$48,MtM!$E:$E,RESULTADO!H$42))</f>
        <v>0</v>
      </c>
      <c r="I50" s="53">
        <f>(SUMIFS(MtM!$V:$V,MtM!$I:$I,RESULTADO!$B50,MtM!$H:$H,RESULTADO!$B$48,MtM!$E:$E,RESULTADO!I$42))</f>
        <v>0</v>
      </c>
      <c r="J50" s="53">
        <f>(SUMIFS(MtM!$V:$V,MtM!$I:$I,RESULTADO!$B50,MtM!$H:$H,RESULTADO!$B$48,MtM!$E:$E,RESULTADO!J$42))</f>
        <v>0</v>
      </c>
      <c r="K50" s="53">
        <f>(SUMIFS(MtM!$V:$V,MtM!$I:$I,RESULTADO!$B50,MtM!$H:$H,RESULTADO!$B$48,MtM!$E:$E,RESULTADO!K$42))</f>
        <v>0</v>
      </c>
      <c r="L50" s="53">
        <f>(SUMIFS(MtM!$V:$V,MtM!$I:$I,RESULTADO!$B50,MtM!$H:$H,RESULTADO!$B$48,MtM!$E:$E,RESULTADO!L$42))</f>
        <v>0</v>
      </c>
      <c r="M50" s="53">
        <f>(SUMIFS(MtM!$V:$V,MtM!$I:$I,RESULTADO!$B50,MtM!$H:$H,RESULTADO!$B$48,MtM!$E:$E,RESULTADO!M$42))</f>
        <v>0</v>
      </c>
      <c r="N50" s="54">
        <f>(SUMIFS(MtM!$V:$V,MtM!$I:$I,RESULTADO!$B50,MtM!$H:$H,RESULTADO!$B$48,MtM!$E:$E,RESULTADO!N$42))</f>
        <v>0</v>
      </c>
      <c r="O50" s="53">
        <f>(SUMIFS(MtM!$V:$V,MtM!$I:$I,RESULTADO!$B50,MtM!$H:$H,RESULTADO!$B$48,MtM!$E:$E,RESULTADO!O$42))</f>
        <v>0</v>
      </c>
      <c r="P50" s="53">
        <f>(SUMIFS(MtM!$V:$V,MtM!$I:$I,RESULTADO!$B50,MtM!$H:$H,RESULTADO!$B$48,MtM!$E:$E,RESULTADO!P$42))</f>
        <v>0</v>
      </c>
      <c r="Q50" s="53">
        <f>(SUMIFS(MtM!$V:$V,MtM!$I:$I,RESULTADO!$B50,MtM!$H:$H,RESULTADO!$B$48,MtM!$E:$E,RESULTADO!Q$42))</f>
        <v>0</v>
      </c>
      <c r="R50" s="53">
        <f>(SUMIFS(MtM!$V:$V,MtM!$I:$I,RESULTADO!$B50,MtM!$H:$H,RESULTADO!$B$48,MtM!$E:$E,RESULTADO!R$42))</f>
        <v>0</v>
      </c>
      <c r="S50" s="53">
        <f>(SUMIFS(MtM!$V:$V,MtM!$I:$I,RESULTADO!$B50,MtM!$H:$H,RESULTADO!$B$48,MtM!$E:$E,RESULTADO!S$42))</f>
        <v>0</v>
      </c>
      <c r="T50" s="53">
        <f>(SUMIFS(MtM!$V:$V,MtM!$I:$I,RESULTADO!$B50,MtM!$H:$H,RESULTADO!$B$48,MtM!$E:$E,RESULTADO!T$42))</f>
        <v>0</v>
      </c>
      <c r="U50" s="53">
        <f>(SUMIFS(MtM!$V:$V,MtM!$I:$I,RESULTADO!$B50,MtM!$H:$H,RESULTADO!$B$48,MtM!$E:$E,RESULTADO!U$42))</f>
        <v>0</v>
      </c>
      <c r="V50" s="53">
        <f>(SUMIFS(MtM!$V:$V,MtM!$I:$I,RESULTADO!$B50,MtM!$H:$H,RESULTADO!$B$48,MtM!$E:$E,RESULTADO!V$42))</f>
        <v>0</v>
      </c>
      <c r="W50" s="53">
        <f>(SUMIFS(MtM!$V:$V,MtM!$I:$I,RESULTADO!$B50,MtM!$H:$H,RESULTADO!$B$48,MtM!$E:$E,RESULTADO!W$42))</f>
        <v>0</v>
      </c>
      <c r="X50" s="53">
        <f>(SUMIFS(MtM!$V:$V,MtM!$I:$I,RESULTADO!$B50,MtM!$H:$H,RESULTADO!$B$48,MtM!$E:$E,RESULTADO!X$42))</f>
        <v>0</v>
      </c>
      <c r="Y50" s="53">
        <f>(SUMIFS(MtM!$V:$V,MtM!$I:$I,RESULTADO!$B50,MtM!$H:$H,RESULTADO!$B$48,MtM!$E:$E,RESULTADO!Y$42))</f>
        <v>0</v>
      </c>
      <c r="Z50" s="63">
        <f>(SUMIFS(MtM!$V:$V,MtM!$I:$I,RESULTADO!$B50,MtM!$H:$H,RESULTADO!$B$48,MtM!$E:$E,RESULTADO!Z$42))</f>
        <v>0</v>
      </c>
      <c r="AA50" s="53">
        <f>(SUMIFS(MtM!$V:$V,MtM!$I:$I,RESULTADO!$B50,MtM!$H:$H,RESULTADO!$B$48,MtM!$E:$E,RESULTADO!AA$42))</f>
        <v>0</v>
      </c>
      <c r="AB50" s="53">
        <f>(SUMIFS(MtM!$V:$V,MtM!$I:$I,RESULTADO!$B50,MtM!$H:$H,RESULTADO!$B$48,MtM!$E:$E,RESULTADO!AB$42))</f>
        <v>0</v>
      </c>
      <c r="AC50" s="53">
        <f>(SUMIFS(MtM!$V:$V,MtM!$I:$I,RESULTADO!$B50,MtM!$H:$H,RESULTADO!$B$48,MtM!$E:$E,RESULTADO!AC$42))</f>
        <v>0</v>
      </c>
      <c r="AD50" s="53">
        <f>(SUMIFS(MtM!$V:$V,MtM!$I:$I,RESULTADO!$B50,MtM!$H:$H,RESULTADO!$B$48,MtM!$E:$E,RESULTADO!AD$42))</f>
        <v>0</v>
      </c>
      <c r="AE50" s="53">
        <f>(SUMIFS(MtM!$V:$V,MtM!$I:$I,RESULTADO!$B50,MtM!$H:$H,RESULTADO!$B$48,MtM!$E:$E,RESULTADO!AE$42))</f>
        <v>0</v>
      </c>
      <c r="AF50" s="53">
        <f>(SUMIFS(MtM!$V:$V,MtM!$I:$I,RESULTADO!$B50,MtM!$H:$H,RESULTADO!$B$48,MtM!$E:$E,RESULTADO!AF$42))</f>
        <v>0</v>
      </c>
      <c r="AG50" s="53">
        <f>(SUMIFS(MtM!$V:$V,MtM!$I:$I,RESULTADO!$B50,MtM!$H:$H,RESULTADO!$B$48,MtM!$E:$E,RESULTADO!AG$42))</f>
        <v>0</v>
      </c>
      <c r="AH50" s="53">
        <f>(SUMIFS(MtM!$V:$V,MtM!$I:$I,RESULTADO!$B50,MtM!$H:$H,RESULTADO!$B$48,MtM!$E:$E,RESULTADO!AH$42))</f>
        <v>0</v>
      </c>
      <c r="AI50" s="53">
        <f>(SUMIFS(MtM!$V:$V,MtM!$I:$I,RESULTADO!$B50,MtM!$H:$H,RESULTADO!$B$48,MtM!$E:$E,RESULTADO!AI$42))</f>
        <v>0</v>
      </c>
      <c r="AJ50" s="53">
        <f>(SUMIFS(MtM!$V:$V,MtM!$I:$I,RESULTADO!$B50,MtM!$H:$H,RESULTADO!$B$48,MtM!$E:$E,RESULTADO!AJ$42))</f>
        <v>0</v>
      </c>
      <c r="AK50" s="53">
        <f>(SUMIFS(MtM!$V:$V,MtM!$I:$I,RESULTADO!$B50,MtM!$H:$H,RESULTADO!$B$48,MtM!$E:$E,RESULTADO!AK$42))</f>
        <v>0</v>
      </c>
      <c r="AL50" s="54">
        <f>(SUMIFS(MtM!$V:$V,MtM!$I:$I,RESULTADO!$B50,MtM!$H:$H,RESULTADO!$B$48,MtM!$E:$E,RESULTADO!AL$42))</f>
        <v>0</v>
      </c>
      <c r="AM50" s="53">
        <f>(SUMIFS(MtM!$V:$V,MtM!$I:$I,RESULTADO!$B50,MtM!$H:$H,RESULTADO!$B$48,MtM!$E:$E,RESULTADO!AM$42))</f>
        <v>0</v>
      </c>
      <c r="AN50" s="53">
        <f>(SUMIFS(MtM!$V:$V,MtM!$I:$I,RESULTADO!$B50,MtM!$H:$H,RESULTADO!$B$48,MtM!$E:$E,RESULTADO!AN$42))</f>
        <v>0</v>
      </c>
      <c r="AO50" s="53">
        <f>(SUMIFS(MtM!$V:$V,MtM!$I:$I,RESULTADO!$B50,MtM!$H:$H,RESULTADO!$B$48,MtM!$E:$E,RESULTADO!AO$42))</f>
        <v>0</v>
      </c>
      <c r="AP50" s="53">
        <f>(SUMIFS(MtM!$V:$V,MtM!$I:$I,RESULTADO!$B50,MtM!$H:$H,RESULTADO!$B$48,MtM!$E:$E,RESULTADO!AP$42))</f>
        <v>0</v>
      </c>
      <c r="AQ50" s="53">
        <f>(SUMIFS(MtM!$V:$V,MtM!$I:$I,RESULTADO!$B50,MtM!$H:$H,RESULTADO!$B$48,MtM!$E:$E,RESULTADO!AQ$42))</f>
        <v>0</v>
      </c>
      <c r="AR50" s="53">
        <f>(SUMIFS(MtM!$V:$V,MtM!$I:$I,RESULTADO!$B50,MtM!$H:$H,RESULTADO!$B$48,MtM!$E:$E,RESULTADO!AR$42))</f>
        <v>0</v>
      </c>
      <c r="AS50" s="53">
        <f>(SUMIFS(MtM!$V:$V,MtM!$I:$I,RESULTADO!$B50,MtM!$H:$H,RESULTADO!$B$48,MtM!$E:$E,RESULTADO!AS$42))</f>
        <v>0</v>
      </c>
      <c r="AT50" s="53">
        <f>(SUMIFS(MtM!$V:$V,MtM!$I:$I,RESULTADO!$B50,MtM!$H:$H,RESULTADO!$B$48,MtM!$E:$E,RESULTADO!AT$42))</f>
        <v>0</v>
      </c>
      <c r="AU50" s="53">
        <f>(SUMIFS(MtM!$V:$V,MtM!$I:$I,RESULTADO!$B50,MtM!$H:$H,RESULTADO!$B$48,MtM!$E:$E,RESULTADO!AU$42))</f>
        <v>0</v>
      </c>
      <c r="AV50" s="53">
        <f>(SUMIFS(MtM!$V:$V,MtM!$I:$I,RESULTADO!$B50,MtM!$H:$H,RESULTADO!$B$48,MtM!$E:$E,RESULTADO!AV$42))</f>
        <v>0</v>
      </c>
      <c r="AW50" s="53">
        <f>(SUMIFS(MtM!$V:$V,MtM!$I:$I,RESULTADO!$B50,MtM!$H:$H,RESULTADO!$B$48,MtM!$E:$E,RESULTADO!AW$42))</f>
        <v>0</v>
      </c>
      <c r="AX50" s="63">
        <f>(SUMIFS(MtM!$V:$V,MtM!$I:$I,RESULTADO!$B50,MtM!$H:$H,RESULTADO!$B$48,MtM!$E:$E,RESULTADO!AX$42))</f>
        <v>0</v>
      </c>
      <c r="AY50" s="53">
        <f>(SUMIFS(MtM!$V:$V,MtM!$I:$I,RESULTADO!$B50,MtM!$H:$H,RESULTADO!$B$48,MtM!$E:$E,RESULTADO!AY$42))</f>
        <v>0</v>
      </c>
      <c r="AZ50" s="53">
        <f>(SUMIFS(MtM!$V:$V,MtM!$I:$I,RESULTADO!$B50,MtM!$H:$H,RESULTADO!$B$48,MtM!$E:$E,RESULTADO!AZ$42))</f>
        <v>0</v>
      </c>
      <c r="BA50" s="53">
        <f>(SUMIFS(MtM!$V:$V,MtM!$I:$I,RESULTADO!$B50,MtM!$H:$H,RESULTADO!$B$48,MtM!$E:$E,RESULTADO!BA$42))</f>
        <v>0</v>
      </c>
      <c r="BB50" s="53">
        <f>(SUMIFS(MtM!$V:$V,MtM!$I:$I,RESULTADO!$B50,MtM!$H:$H,RESULTADO!$B$48,MtM!$E:$E,RESULTADO!BB$42))</f>
        <v>0</v>
      </c>
      <c r="BC50" s="53">
        <f>(SUMIFS(MtM!$V:$V,MtM!$I:$I,RESULTADO!$B50,MtM!$H:$H,RESULTADO!$B$48,MtM!$E:$E,RESULTADO!BC$42))</f>
        <v>0</v>
      </c>
      <c r="BD50" s="53">
        <f>(SUMIFS(MtM!$V:$V,MtM!$I:$I,RESULTADO!$B50,MtM!$H:$H,RESULTADO!$B$48,MtM!$E:$E,RESULTADO!BD$42))</f>
        <v>0</v>
      </c>
      <c r="BE50" s="53">
        <f>(SUMIFS(MtM!$V:$V,MtM!$I:$I,RESULTADO!$B50,MtM!$H:$H,RESULTADO!$B$48,MtM!$E:$E,RESULTADO!BE$42))</f>
        <v>0</v>
      </c>
      <c r="BF50" s="53">
        <f>(SUMIFS(MtM!$V:$V,MtM!$I:$I,RESULTADO!$B50,MtM!$H:$H,RESULTADO!$B$48,MtM!$E:$E,RESULTADO!BF$42))</f>
        <v>0</v>
      </c>
      <c r="BG50" s="53">
        <f>(SUMIFS(MtM!$V:$V,MtM!$I:$I,RESULTADO!$B50,MtM!$H:$H,RESULTADO!$B$48,MtM!$E:$E,RESULTADO!BG$42))</f>
        <v>0</v>
      </c>
      <c r="BH50" s="53">
        <f>(SUMIFS(MtM!$V:$V,MtM!$I:$I,RESULTADO!$B50,MtM!$H:$H,RESULTADO!$B$48,MtM!$E:$E,RESULTADO!BH$42))</f>
        <v>0</v>
      </c>
      <c r="BI50" s="53">
        <f>(SUMIFS(MtM!$V:$V,MtM!$I:$I,RESULTADO!$B50,MtM!$H:$H,RESULTADO!$B$48,MtM!$E:$E,RESULTADO!BI$42))</f>
        <v>0</v>
      </c>
      <c r="BJ50" s="63">
        <f>(SUMIFS(MtM!$V:$V,MtM!$I:$I,RESULTADO!$B50,MtM!$H:$H,RESULTADO!$B$48,MtM!$E:$E,RESULTADO!BJ$42))</f>
        <v>0</v>
      </c>
      <c r="BL50" s="120"/>
      <c r="BN50" s="57" t="s">
        <v>12</v>
      </c>
      <c r="BO50" s="53">
        <f>SUMIFS('MtM Releases'!$M:$M,'MtM Releases'!$G:$G,RESULTADO!$BN50,'MtM Releases'!$F:$F,RESULTADO!$BN48,'MtM Releases'!$D:$D,RESULTADO!BO$3)</f>
        <v>0</v>
      </c>
      <c r="BP50" s="53">
        <f>SUMIFS('MtM Releases'!$M:$M,'MtM Releases'!$G:$G,RESULTADO!$BN50,'MtM Releases'!$F:$F,RESULTADO!$BN48,'MtM Releases'!$D:$D,RESULTADO!BP$3)</f>
        <v>0</v>
      </c>
      <c r="BQ50" s="53">
        <f>SUMIFS('MtM Releases'!$M:$M,'MtM Releases'!$G:$G,RESULTADO!$BN50,'MtM Releases'!$F:$F,RESULTADO!$BN48,'MtM Releases'!$D:$D,RESULTADO!BQ$3)</f>
        <v>0</v>
      </c>
      <c r="BR50" s="53">
        <f>SUMIFS('MtM Releases'!$M:$M,'MtM Releases'!$G:$G,RESULTADO!$BN50,'MtM Releases'!$F:$F,RESULTADO!$BN48,'MtM Releases'!$D:$D,RESULTADO!BR$3)</f>
        <v>0</v>
      </c>
      <c r="BS50" s="53">
        <f>SUMIFS('MtM Releases'!$M:$M,'MtM Releases'!$G:$G,RESULTADO!$BN50,'MtM Releases'!$F:$F,RESULTADO!$BN48,'MtM Releases'!$D:$D,RESULTADO!BS$3)</f>
        <v>0</v>
      </c>
      <c r="BT50" s="53">
        <f>SUMIFS('MtM Releases'!$M:$M,'MtM Releases'!$G:$G,RESULTADO!$BN50,'MtM Releases'!$F:$F,RESULTADO!$BN48,'MtM Releases'!$D:$D,RESULTADO!BT$3)</f>
        <v>0</v>
      </c>
      <c r="BU50" s="53">
        <f>SUMIFS('MtM Releases'!$M:$M,'MtM Releases'!$G:$G,RESULTADO!$BN50,'MtM Releases'!$F:$F,RESULTADO!$BN48,'MtM Releases'!$D:$D,RESULTADO!BU$3)</f>
        <v>0</v>
      </c>
      <c r="BV50" s="53">
        <f>SUMIFS('MtM Releases'!$M:$M,'MtM Releases'!$G:$G,RESULTADO!$BN50,'MtM Releases'!$F:$F,RESULTADO!$BN48,'MtM Releases'!$D:$D,RESULTADO!BV$3)</f>
        <v>0</v>
      </c>
      <c r="BW50" s="53">
        <f>SUMIFS('MtM Releases'!$M:$M,'MtM Releases'!$G:$G,RESULTADO!$BN50,'MtM Releases'!$F:$F,RESULTADO!$BN48,'MtM Releases'!$D:$D,RESULTADO!BW$3)</f>
        <v>0</v>
      </c>
      <c r="BX50" s="53">
        <f>SUMIFS('MtM Releases'!$M:$M,'MtM Releases'!$G:$G,RESULTADO!$BN50,'MtM Releases'!$F:$F,RESULTADO!$BN48,'MtM Releases'!$D:$D,RESULTADO!BX$3)</f>
        <v>0</v>
      </c>
      <c r="BY50" s="53">
        <f>SUMIFS('MtM Releases'!$M:$M,'MtM Releases'!$G:$G,RESULTADO!$BN50,'MtM Releases'!$F:$F,RESULTADO!$BN48,'MtM Releases'!$D:$D,RESULTADO!BY$3)</f>
        <v>0</v>
      </c>
      <c r="BZ50" s="54">
        <f>SUMIFS('MtM Releases'!$M:$M,'MtM Releases'!$G:$G,RESULTADO!$BN50,'MtM Releases'!$F:$F,RESULTADO!$BN48,'MtM Releases'!$D:$D,RESULTADO!BZ$3)</f>
        <v>0</v>
      </c>
      <c r="CA50" s="53">
        <f>SUMIFS('MtM Releases'!$M:$M,'MtM Releases'!$G:$G,RESULTADO!$BN50,'MtM Releases'!$F:$F,RESULTADO!$BN48,'MtM Releases'!$D:$D,RESULTADO!CA$3)</f>
        <v>0</v>
      </c>
      <c r="CB50" s="53">
        <f>SUMIFS('MtM Releases'!$M:$M,'MtM Releases'!$G:$G,RESULTADO!$BN50,'MtM Releases'!$F:$F,RESULTADO!$BN48,'MtM Releases'!$D:$D,RESULTADO!CB$3)</f>
        <v>0</v>
      </c>
      <c r="CC50" s="53">
        <f>SUMIFS('MtM Releases'!$M:$M,'MtM Releases'!$G:$G,RESULTADO!$BN50,'MtM Releases'!$F:$F,RESULTADO!$BN48,'MtM Releases'!$D:$D,RESULTADO!CC$3)</f>
        <v>0</v>
      </c>
      <c r="CD50" s="53">
        <f>SUMIFS('MtM Releases'!$M:$M,'MtM Releases'!$G:$G,RESULTADO!$BN50,'MtM Releases'!$F:$F,RESULTADO!$BN48,'MtM Releases'!$D:$D,RESULTADO!CD$3)</f>
        <v>0</v>
      </c>
      <c r="CE50" s="53">
        <f>SUMIFS('MtM Releases'!$M:$M,'MtM Releases'!$G:$G,RESULTADO!$BN50,'MtM Releases'!$F:$F,RESULTADO!$BN48,'MtM Releases'!$D:$D,RESULTADO!CE$3)</f>
        <v>0</v>
      </c>
      <c r="CF50" s="53">
        <f>SUMIFS('MtM Releases'!$M:$M,'MtM Releases'!$G:$G,RESULTADO!$BN50,'MtM Releases'!$F:$F,RESULTADO!$BN48,'MtM Releases'!$D:$D,RESULTADO!CF$3)</f>
        <v>0</v>
      </c>
      <c r="CG50" s="53">
        <f>SUMIFS('MtM Releases'!$M:$M,'MtM Releases'!$G:$G,RESULTADO!$BN50,'MtM Releases'!$F:$F,RESULTADO!$BN48,'MtM Releases'!$D:$D,RESULTADO!CG$3)</f>
        <v>0</v>
      </c>
      <c r="CH50" s="53">
        <f>SUMIFS('MtM Releases'!$M:$M,'MtM Releases'!$G:$G,RESULTADO!$BN50,'MtM Releases'!$F:$F,RESULTADO!$BN48,'MtM Releases'!$D:$D,RESULTADO!CH$3)</f>
        <v>0</v>
      </c>
      <c r="CI50" s="53">
        <f>SUMIFS('MtM Releases'!$M:$M,'MtM Releases'!$G:$G,RESULTADO!$BN50,'MtM Releases'!$F:$F,RESULTADO!$BN48,'MtM Releases'!$D:$D,RESULTADO!CI$3)</f>
        <v>0</v>
      </c>
      <c r="CJ50" s="53">
        <f>SUMIFS('MtM Releases'!$M:$M,'MtM Releases'!$G:$G,RESULTADO!$BN50,'MtM Releases'!$F:$F,RESULTADO!$BN48,'MtM Releases'!$D:$D,RESULTADO!CJ$3)</f>
        <v>0</v>
      </c>
      <c r="CK50" s="53">
        <f>SUMIFS('MtM Releases'!$M:$M,'MtM Releases'!$G:$G,RESULTADO!$BN50,'MtM Releases'!$F:$F,RESULTADO!$BN48,'MtM Releases'!$D:$D,RESULTADO!CK$3)</f>
        <v>0</v>
      </c>
      <c r="CL50" s="63">
        <f>SUMIFS('MtM Releases'!$M:$M,'MtM Releases'!$G:$G,RESULTADO!$BN50,'MtM Releases'!$F:$F,RESULTADO!$BN48,'MtM Releases'!$D:$D,RESULTADO!CL$3)</f>
        <v>0</v>
      </c>
      <c r="CM50" s="53">
        <f>SUMIFS('MtM Releases'!$M:$M,'MtM Releases'!$G:$G,RESULTADO!$BN50,'MtM Releases'!$F:$F,RESULTADO!$BN48,'MtM Releases'!$D:$D,RESULTADO!CM$3)</f>
        <v>0</v>
      </c>
      <c r="CN50" s="53">
        <f>SUMIFS('MtM Releases'!$M:$M,'MtM Releases'!$G:$G,RESULTADO!$BN50,'MtM Releases'!$F:$F,RESULTADO!$BN48,'MtM Releases'!$D:$D,RESULTADO!CN$3)</f>
        <v>0</v>
      </c>
      <c r="CO50" s="53">
        <f>SUMIFS('MtM Releases'!$M:$M,'MtM Releases'!$G:$G,RESULTADO!$BN50,'MtM Releases'!$F:$F,RESULTADO!$BN48,'MtM Releases'!$D:$D,RESULTADO!CO$3)</f>
        <v>0</v>
      </c>
      <c r="CP50" s="53">
        <f>SUMIFS('MtM Releases'!$M:$M,'MtM Releases'!$G:$G,RESULTADO!$BN50,'MtM Releases'!$F:$F,RESULTADO!$BN48,'MtM Releases'!$D:$D,RESULTADO!CP$3)</f>
        <v>0</v>
      </c>
      <c r="CQ50" s="53">
        <f>SUMIFS('MtM Releases'!$M:$M,'MtM Releases'!$G:$G,RESULTADO!$BN50,'MtM Releases'!$F:$F,RESULTADO!$BN48,'MtM Releases'!$D:$D,RESULTADO!CQ$3)</f>
        <v>0</v>
      </c>
      <c r="CR50" s="53">
        <f>SUMIFS('MtM Releases'!$M:$M,'MtM Releases'!$G:$G,RESULTADO!$BN50,'MtM Releases'!$F:$F,RESULTADO!$BN48,'MtM Releases'!$D:$D,RESULTADO!CR$3)</f>
        <v>0</v>
      </c>
      <c r="CS50" s="53">
        <f>SUMIFS('MtM Releases'!$M:$M,'MtM Releases'!$G:$G,RESULTADO!$BN50,'MtM Releases'!$F:$F,RESULTADO!$BN48,'MtM Releases'!$D:$D,RESULTADO!CS$3)</f>
        <v>0</v>
      </c>
      <c r="CT50" s="53">
        <f>SUMIFS('MtM Releases'!$M:$M,'MtM Releases'!$G:$G,RESULTADO!$BN50,'MtM Releases'!$F:$F,RESULTADO!$BN48,'MtM Releases'!$D:$D,RESULTADO!CT$3)</f>
        <v>0</v>
      </c>
      <c r="CU50" s="53">
        <f>SUMIFS('MtM Releases'!$M:$M,'MtM Releases'!$G:$G,RESULTADO!$BN50,'MtM Releases'!$F:$F,RESULTADO!$BN48,'MtM Releases'!$D:$D,RESULTADO!CU$3)</f>
        <v>0</v>
      </c>
      <c r="CV50" s="53">
        <f>SUMIFS('MtM Releases'!$M:$M,'MtM Releases'!$G:$G,RESULTADO!$BN50,'MtM Releases'!$F:$F,RESULTADO!$BN48,'MtM Releases'!$D:$D,RESULTADO!CV$3)</f>
        <v>0</v>
      </c>
      <c r="CW50" s="53">
        <f>SUMIFS('MtM Releases'!$M:$M,'MtM Releases'!$G:$G,RESULTADO!$BN50,'MtM Releases'!$F:$F,RESULTADO!$BN48,'MtM Releases'!$D:$D,RESULTADO!CW$3)</f>
        <v>0</v>
      </c>
      <c r="CX50" s="54">
        <f>SUMIFS('MtM Releases'!$M:$M,'MtM Releases'!$G:$G,RESULTADO!$BN50,'MtM Releases'!$F:$F,RESULTADO!$BN48,'MtM Releases'!$D:$D,RESULTADO!CX$3)</f>
        <v>0</v>
      </c>
      <c r="CY50" s="53">
        <f>SUMIFS('MtM Releases'!$M:$M,'MtM Releases'!$G:$G,RESULTADO!$BN50,'MtM Releases'!$F:$F,RESULTADO!$BN48,'MtM Releases'!$D:$D,RESULTADO!CY$3)</f>
        <v>0</v>
      </c>
      <c r="CZ50" s="53">
        <f>SUMIFS('MtM Releases'!$M:$M,'MtM Releases'!$G:$G,RESULTADO!$BN50,'MtM Releases'!$F:$F,RESULTADO!$BN48,'MtM Releases'!$D:$D,RESULTADO!CZ$3)</f>
        <v>0</v>
      </c>
      <c r="DA50" s="53">
        <f>SUMIFS('MtM Releases'!$M:$M,'MtM Releases'!$G:$G,RESULTADO!$BN50,'MtM Releases'!$F:$F,RESULTADO!$BN48,'MtM Releases'!$D:$D,RESULTADO!DA$3)</f>
        <v>0</v>
      </c>
      <c r="DB50" s="53">
        <f>SUMIFS('MtM Releases'!$M:$M,'MtM Releases'!$G:$G,RESULTADO!$BN50,'MtM Releases'!$F:$F,RESULTADO!$BN48,'MtM Releases'!$D:$D,RESULTADO!DB$3)</f>
        <v>0</v>
      </c>
      <c r="DC50" s="53">
        <f>SUMIFS('MtM Releases'!$M:$M,'MtM Releases'!$G:$G,RESULTADO!$BN50,'MtM Releases'!$F:$F,RESULTADO!$BN48,'MtM Releases'!$D:$D,RESULTADO!DC$3)</f>
        <v>0</v>
      </c>
      <c r="DD50" s="53">
        <f>SUMIFS('MtM Releases'!$M:$M,'MtM Releases'!$G:$G,RESULTADO!$BN50,'MtM Releases'!$F:$F,RESULTADO!$BN48,'MtM Releases'!$D:$D,RESULTADO!DD$3)</f>
        <v>0</v>
      </c>
      <c r="DE50" s="53">
        <f>SUMIFS('MtM Releases'!$M:$M,'MtM Releases'!$G:$G,RESULTADO!$BN50,'MtM Releases'!$F:$F,RESULTADO!$BN48,'MtM Releases'!$D:$D,RESULTADO!DE$3)</f>
        <v>0</v>
      </c>
      <c r="DF50" s="53">
        <f>SUMIFS('MtM Releases'!$M:$M,'MtM Releases'!$G:$G,RESULTADO!$BN50,'MtM Releases'!$F:$F,RESULTADO!$BN48,'MtM Releases'!$D:$D,RESULTADO!DF$3)</f>
        <v>0</v>
      </c>
      <c r="DG50" s="53">
        <f>SUMIFS('MtM Releases'!$M:$M,'MtM Releases'!$G:$G,RESULTADO!$BN50,'MtM Releases'!$F:$F,RESULTADO!$BN48,'MtM Releases'!$D:$D,RESULTADO!DG$3)</f>
        <v>0</v>
      </c>
      <c r="DH50" s="53">
        <f>SUMIFS('MtM Releases'!$M:$M,'MtM Releases'!$G:$G,RESULTADO!$BN50,'MtM Releases'!$F:$F,RESULTADO!$BN48,'MtM Releases'!$D:$D,RESULTADO!DH$3)</f>
        <v>0</v>
      </c>
      <c r="DI50" s="53">
        <f>SUMIFS('MtM Releases'!$M:$M,'MtM Releases'!$G:$G,RESULTADO!$BN50,'MtM Releases'!$F:$F,RESULTADO!$BN48,'MtM Releases'!$D:$D,RESULTADO!DI$3)</f>
        <v>0</v>
      </c>
      <c r="DJ50" s="63">
        <f>SUMIFS('MtM Releases'!$M:$M,'MtM Releases'!$G:$G,RESULTADO!$BN50,'MtM Releases'!$F:$F,RESULTADO!$BN48,'MtM Releases'!$D:$D,RESULTADO!DJ$3)</f>
        <v>0</v>
      </c>
      <c r="DK50" s="53">
        <f>SUMIFS('MtM Releases'!$M:$M,'MtM Releases'!$G:$G,RESULTADO!$BN50,'MtM Releases'!$F:$F,RESULTADO!$BN48,'MtM Releases'!$D:$D,RESULTADO!DK$3)</f>
        <v>0</v>
      </c>
      <c r="DL50" s="53">
        <f>SUMIFS('MtM Releases'!$M:$M,'MtM Releases'!$G:$G,RESULTADO!$BN50,'MtM Releases'!$F:$F,RESULTADO!$BN48,'MtM Releases'!$D:$D,RESULTADO!DL$3)</f>
        <v>0</v>
      </c>
      <c r="DM50" s="53">
        <f>SUMIFS('MtM Releases'!$M:$M,'MtM Releases'!$G:$G,RESULTADO!$BN50,'MtM Releases'!$F:$F,RESULTADO!$BN48,'MtM Releases'!$D:$D,RESULTADO!DM$3)</f>
        <v>0</v>
      </c>
      <c r="DN50" s="53">
        <f>SUMIFS('MtM Releases'!$M:$M,'MtM Releases'!$G:$G,RESULTADO!$BN50,'MtM Releases'!$F:$F,RESULTADO!$BN48,'MtM Releases'!$D:$D,RESULTADO!DN$3)</f>
        <v>0</v>
      </c>
      <c r="DO50" s="53">
        <f>SUMIFS('MtM Releases'!$M:$M,'MtM Releases'!$G:$G,RESULTADO!$BN50,'MtM Releases'!$F:$F,RESULTADO!$BN48,'MtM Releases'!$D:$D,RESULTADO!DO$3)</f>
        <v>0</v>
      </c>
      <c r="DP50" s="53">
        <f>SUMIFS('MtM Releases'!$M:$M,'MtM Releases'!$G:$G,RESULTADO!$BN50,'MtM Releases'!$F:$F,RESULTADO!$BN48,'MtM Releases'!$D:$D,RESULTADO!DP$3)</f>
        <v>0</v>
      </c>
      <c r="DQ50" s="53">
        <f>SUMIFS('MtM Releases'!$M:$M,'MtM Releases'!$G:$G,RESULTADO!$BN50,'MtM Releases'!$F:$F,RESULTADO!$BN48,'MtM Releases'!$D:$D,RESULTADO!DQ$3)</f>
        <v>0</v>
      </c>
      <c r="DR50" s="53">
        <f>SUMIFS('MtM Releases'!$M:$M,'MtM Releases'!$G:$G,RESULTADO!$BN50,'MtM Releases'!$F:$F,RESULTADO!$BN48,'MtM Releases'!$D:$D,RESULTADO!DR$3)</f>
        <v>0</v>
      </c>
      <c r="DS50" s="53">
        <f>SUMIFS('MtM Releases'!$M:$M,'MtM Releases'!$G:$G,RESULTADO!$BN50,'MtM Releases'!$F:$F,RESULTADO!$BN48,'MtM Releases'!$D:$D,RESULTADO!DS$3)</f>
        <v>0</v>
      </c>
      <c r="DT50" s="53">
        <f>SUMIFS('MtM Releases'!$M:$M,'MtM Releases'!$G:$G,RESULTADO!$BN50,'MtM Releases'!$F:$F,RESULTADO!$BN48,'MtM Releases'!$D:$D,RESULTADO!DT$3)</f>
        <v>0</v>
      </c>
      <c r="DU50" s="53">
        <f>SUMIFS('MtM Releases'!$M:$M,'MtM Releases'!$G:$G,RESULTADO!$BN50,'MtM Releases'!$F:$F,RESULTADO!$BN48,'MtM Releases'!$D:$D,RESULTADO!DU$3)</f>
        <v>0</v>
      </c>
      <c r="DV50" s="63">
        <f>SUMIFS('MtM Releases'!$M:$M,'MtM Releases'!$G:$G,RESULTADO!$BN50,'MtM Releases'!$F:$F,RESULTADO!$BN48,'MtM Releases'!$D:$D,RESULTADO!DV$3)</f>
        <v>0</v>
      </c>
    </row>
    <row r="51" spans="2:126" x14ac:dyDescent="0.25">
      <c r="B51" s="57" t="s">
        <v>13</v>
      </c>
      <c r="C51" s="53">
        <f>(SUMIFS(MtM!$V:$V,MtM!$I:$I,RESULTADO!$B51,MtM!$H:$H,RESULTADO!$B$48,MtM!$E:$E,RESULTADO!C$42))</f>
        <v>0</v>
      </c>
      <c r="D51" s="53">
        <f>(SUMIFS(MtM!$V:$V,MtM!$I:$I,RESULTADO!$B51,MtM!$H:$H,RESULTADO!$B$48,MtM!$E:$E,RESULTADO!D$42))</f>
        <v>0</v>
      </c>
      <c r="E51" s="53">
        <f>(SUMIFS(MtM!$V:$V,MtM!$I:$I,RESULTADO!$B51,MtM!$H:$H,RESULTADO!$B$48,MtM!$E:$E,RESULTADO!E$42))</f>
        <v>0</v>
      </c>
      <c r="F51" s="53">
        <f>(SUMIFS(MtM!$V:$V,MtM!$I:$I,RESULTADO!$B51,MtM!$H:$H,RESULTADO!$B$48,MtM!$E:$E,RESULTADO!F$42))</f>
        <v>0</v>
      </c>
      <c r="G51" s="53">
        <f>(SUMIFS(MtM!$V:$V,MtM!$I:$I,RESULTADO!$B51,MtM!$H:$H,RESULTADO!$B$48,MtM!$E:$E,RESULTADO!G$42))</f>
        <v>0</v>
      </c>
      <c r="H51" s="53">
        <f>(SUMIFS(MtM!$V:$V,MtM!$I:$I,RESULTADO!$B51,MtM!$H:$H,RESULTADO!$B$48,MtM!$E:$E,RESULTADO!H$42))</f>
        <v>0</v>
      </c>
      <c r="I51" s="53">
        <f>(SUMIFS(MtM!$V:$V,MtM!$I:$I,RESULTADO!$B51,MtM!$H:$H,RESULTADO!$B$48,MtM!$E:$E,RESULTADO!I$42))</f>
        <v>0</v>
      </c>
      <c r="J51" s="53">
        <f>(SUMIFS(MtM!$V:$V,MtM!$I:$I,RESULTADO!$B51,MtM!$H:$H,RESULTADO!$B$48,MtM!$E:$E,RESULTADO!J$42))</f>
        <v>0</v>
      </c>
      <c r="K51" s="53">
        <f>(SUMIFS(MtM!$V:$V,MtM!$I:$I,RESULTADO!$B51,MtM!$H:$H,RESULTADO!$B$48,MtM!$E:$E,RESULTADO!K$42))</f>
        <v>0</v>
      </c>
      <c r="L51" s="53">
        <f>(SUMIFS(MtM!$V:$V,MtM!$I:$I,RESULTADO!$B51,MtM!$H:$H,RESULTADO!$B$48,MtM!$E:$E,RESULTADO!L$42))</f>
        <v>0</v>
      </c>
      <c r="M51" s="53">
        <f>(SUMIFS(MtM!$V:$V,MtM!$I:$I,RESULTADO!$B51,MtM!$H:$H,RESULTADO!$B$48,MtM!$E:$E,RESULTADO!M$42))</f>
        <v>0</v>
      </c>
      <c r="N51" s="54">
        <f>(SUMIFS(MtM!$V:$V,MtM!$I:$I,RESULTADO!$B51,MtM!$H:$H,RESULTADO!$B$48,MtM!$E:$E,RESULTADO!N$42))</f>
        <v>0</v>
      </c>
      <c r="O51" s="53">
        <f>(SUMIFS(MtM!$V:$V,MtM!$I:$I,RESULTADO!$B51,MtM!$H:$H,RESULTADO!$B$48,MtM!$E:$E,RESULTADO!O$42))</f>
        <v>0</v>
      </c>
      <c r="P51" s="53">
        <f>(SUMIFS(MtM!$V:$V,MtM!$I:$I,RESULTADO!$B51,MtM!$H:$H,RESULTADO!$B$48,MtM!$E:$E,RESULTADO!P$42))</f>
        <v>0</v>
      </c>
      <c r="Q51" s="53">
        <f>(SUMIFS(MtM!$V:$V,MtM!$I:$I,RESULTADO!$B51,MtM!$H:$H,RESULTADO!$B$48,MtM!$E:$E,RESULTADO!Q$42))</f>
        <v>0</v>
      </c>
      <c r="R51" s="53">
        <f>(SUMIFS(MtM!$V:$V,MtM!$I:$I,RESULTADO!$B51,MtM!$H:$H,RESULTADO!$B$48,MtM!$E:$E,RESULTADO!R$42))</f>
        <v>0</v>
      </c>
      <c r="S51" s="53">
        <f>(SUMIFS(MtM!$V:$V,MtM!$I:$I,RESULTADO!$B51,MtM!$H:$H,RESULTADO!$B$48,MtM!$E:$E,RESULTADO!S$42))</f>
        <v>0</v>
      </c>
      <c r="T51" s="53">
        <f>(SUMIFS(MtM!$V:$V,MtM!$I:$I,RESULTADO!$B51,MtM!$H:$H,RESULTADO!$B$48,MtM!$E:$E,RESULTADO!T$42))</f>
        <v>0</v>
      </c>
      <c r="U51" s="53">
        <f>(SUMIFS(MtM!$V:$V,MtM!$I:$I,RESULTADO!$B51,MtM!$H:$H,RESULTADO!$B$48,MtM!$E:$E,RESULTADO!U$42))</f>
        <v>0</v>
      </c>
      <c r="V51" s="53">
        <f>(SUMIFS(MtM!$V:$V,MtM!$I:$I,RESULTADO!$B51,MtM!$H:$H,RESULTADO!$B$48,MtM!$E:$E,RESULTADO!V$42))</f>
        <v>0</v>
      </c>
      <c r="W51" s="53">
        <f>(SUMIFS(MtM!$V:$V,MtM!$I:$I,RESULTADO!$B51,MtM!$H:$H,RESULTADO!$B$48,MtM!$E:$E,RESULTADO!W$42))</f>
        <v>0</v>
      </c>
      <c r="X51" s="53">
        <f>(SUMIFS(MtM!$V:$V,MtM!$I:$I,RESULTADO!$B51,MtM!$H:$H,RESULTADO!$B$48,MtM!$E:$E,RESULTADO!X$42))</f>
        <v>0</v>
      </c>
      <c r="Y51" s="53">
        <f>(SUMIFS(MtM!$V:$V,MtM!$I:$I,RESULTADO!$B51,MtM!$H:$H,RESULTADO!$B$48,MtM!$E:$E,RESULTADO!Y$42))</f>
        <v>0</v>
      </c>
      <c r="Z51" s="63">
        <f>(SUMIFS(MtM!$V:$V,MtM!$I:$I,RESULTADO!$B51,MtM!$H:$H,RESULTADO!$B$48,MtM!$E:$E,RESULTADO!Z$42))</f>
        <v>0</v>
      </c>
      <c r="AA51" s="53">
        <f>(SUMIFS(MtM!$V:$V,MtM!$I:$I,RESULTADO!$B51,MtM!$H:$H,RESULTADO!$B$48,MtM!$E:$E,RESULTADO!AA$42))</f>
        <v>0</v>
      </c>
      <c r="AB51" s="53">
        <f>(SUMIFS(MtM!$V:$V,MtM!$I:$I,RESULTADO!$B51,MtM!$H:$H,RESULTADO!$B$48,MtM!$E:$E,RESULTADO!AB$42))</f>
        <v>0</v>
      </c>
      <c r="AC51" s="53">
        <f>(SUMIFS(MtM!$V:$V,MtM!$I:$I,RESULTADO!$B51,MtM!$H:$H,RESULTADO!$B$48,MtM!$E:$E,RESULTADO!AC$42))</f>
        <v>0</v>
      </c>
      <c r="AD51" s="53">
        <f>(SUMIFS(MtM!$V:$V,MtM!$I:$I,RESULTADO!$B51,MtM!$H:$H,RESULTADO!$B$48,MtM!$E:$E,RESULTADO!AD$42))</f>
        <v>0</v>
      </c>
      <c r="AE51" s="53">
        <f>(SUMIFS(MtM!$V:$V,MtM!$I:$I,RESULTADO!$B51,MtM!$H:$H,RESULTADO!$B$48,MtM!$E:$E,RESULTADO!AE$42))</f>
        <v>0</v>
      </c>
      <c r="AF51" s="53">
        <f>(SUMIFS(MtM!$V:$V,MtM!$I:$I,RESULTADO!$B51,MtM!$H:$H,RESULTADO!$B$48,MtM!$E:$E,RESULTADO!AF$42))</f>
        <v>0</v>
      </c>
      <c r="AG51" s="53">
        <f>(SUMIFS(MtM!$V:$V,MtM!$I:$I,RESULTADO!$B51,MtM!$H:$H,RESULTADO!$B$48,MtM!$E:$E,RESULTADO!AG$42))</f>
        <v>0</v>
      </c>
      <c r="AH51" s="53">
        <f>(SUMIFS(MtM!$V:$V,MtM!$I:$I,RESULTADO!$B51,MtM!$H:$H,RESULTADO!$B$48,MtM!$E:$E,RESULTADO!AH$42))</f>
        <v>0</v>
      </c>
      <c r="AI51" s="53">
        <f>(SUMIFS(MtM!$V:$V,MtM!$I:$I,RESULTADO!$B51,MtM!$H:$H,RESULTADO!$B$48,MtM!$E:$E,RESULTADO!AI$42))</f>
        <v>0</v>
      </c>
      <c r="AJ51" s="53">
        <f>(SUMIFS(MtM!$V:$V,MtM!$I:$I,RESULTADO!$B51,MtM!$H:$H,RESULTADO!$B$48,MtM!$E:$E,RESULTADO!AJ$42))</f>
        <v>0</v>
      </c>
      <c r="AK51" s="53">
        <f>(SUMIFS(MtM!$V:$V,MtM!$I:$I,RESULTADO!$B51,MtM!$H:$H,RESULTADO!$B$48,MtM!$E:$E,RESULTADO!AK$42))</f>
        <v>0</v>
      </c>
      <c r="AL51" s="54">
        <f>(SUMIFS(MtM!$V:$V,MtM!$I:$I,RESULTADO!$B51,MtM!$H:$H,RESULTADO!$B$48,MtM!$E:$E,RESULTADO!AL$42))</f>
        <v>0</v>
      </c>
      <c r="AM51" s="53">
        <f>(SUMIFS(MtM!$V:$V,MtM!$I:$I,RESULTADO!$B51,MtM!$H:$H,RESULTADO!$B$48,MtM!$E:$E,RESULTADO!AM$42))</f>
        <v>0</v>
      </c>
      <c r="AN51" s="53">
        <f>(SUMIFS(MtM!$V:$V,MtM!$I:$I,RESULTADO!$B51,MtM!$H:$H,RESULTADO!$B$48,MtM!$E:$E,RESULTADO!AN$42))</f>
        <v>0</v>
      </c>
      <c r="AO51" s="53">
        <f>(SUMIFS(MtM!$V:$V,MtM!$I:$I,RESULTADO!$B51,MtM!$H:$H,RESULTADO!$B$48,MtM!$E:$E,RESULTADO!AO$42))</f>
        <v>0</v>
      </c>
      <c r="AP51" s="53">
        <f>(SUMIFS(MtM!$V:$V,MtM!$I:$I,RESULTADO!$B51,MtM!$H:$H,RESULTADO!$B$48,MtM!$E:$E,RESULTADO!AP$42))</f>
        <v>0</v>
      </c>
      <c r="AQ51" s="53">
        <f>(SUMIFS(MtM!$V:$V,MtM!$I:$I,RESULTADO!$B51,MtM!$H:$H,RESULTADO!$B$48,MtM!$E:$E,RESULTADO!AQ$42))</f>
        <v>0</v>
      </c>
      <c r="AR51" s="53">
        <f>(SUMIFS(MtM!$V:$V,MtM!$I:$I,RESULTADO!$B51,MtM!$H:$H,RESULTADO!$B$48,MtM!$E:$E,RESULTADO!AR$42))</f>
        <v>0</v>
      </c>
      <c r="AS51" s="53">
        <f>(SUMIFS(MtM!$V:$V,MtM!$I:$I,RESULTADO!$B51,MtM!$H:$H,RESULTADO!$B$48,MtM!$E:$E,RESULTADO!AS$42))</f>
        <v>0</v>
      </c>
      <c r="AT51" s="53">
        <f>(SUMIFS(MtM!$V:$V,MtM!$I:$I,RESULTADO!$B51,MtM!$H:$H,RESULTADO!$B$48,MtM!$E:$E,RESULTADO!AT$42))</f>
        <v>0</v>
      </c>
      <c r="AU51" s="53">
        <f>(SUMIFS(MtM!$V:$V,MtM!$I:$I,RESULTADO!$B51,MtM!$H:$H,RESULTADO!$B$48,MtM!$E:$E,RESULTADO!AU$42))</f>
        <v>0</v>
      </c>
      <c r="AV51" s="53">
        <f>(SUMIFS(MtM!$V:$V,MtM!$I:$I,RESULTADO!$B51,MtM!$H:$H,RESULTADO!$B$48,MtM!$E:$E,RESULTADO!AV$42))</f>
        <v>0</v>
      </c>
      <c r="AW51" s="53">
        <f>(SUMIFS(MtM!$V:$V,MtM!$I:$I,RESULTADO!$B51,MtM!$H:$H,RESULTADO!$B$48,MtM!$E:$E,RESULTADO!AW$42))</f>
        <v>0</v>
      </c>
      <c r="AX51" s="63">
        <f>(SUMIFS(MtM!$V:$V,MtM!$I:$I,RESULTADO!$B51,MtM!$H:$H,RESULTADO!$B$48,MtM!$E:$E,RESULTADO!AX$42))</f>
        <v>0</v>
      </c>
      <c r="AY51" s="53">
        <f>(SUMIFS(MtM!$V:$V,MtM!$I:$I,RESULTADO!$B51,MtM!$H:$H,RESULTADO!$B$48,MtM!$E:$E,RESULTADO!AY$42))</f>
        <v>0</v>
      </c>
      <c r="AZ51" s="53">
        <f>(SUMIFS(MtM!$V:$V,MtM!$I:$I,RESULTADO!$B51,MtM!$H:$H,RESULTADO!$B$48,MtM!$E:$E,RESULTADO!AZ$42))</f>
        <v>0</v>
      </c>
      <c r="BA51" s="53">
        <f>(SUMIFS(MtM!$V:$V,MtM!$I:$I,RESULTADO!$B51,MtM!$H:$H,RESULTADO!$B$48,MtM!$E:$E,RESULTADO!BA$42))</f>
        <v>0</v>
      </c>
      <c r="BB51" s="53">
        <f>(SUMIFS(MtM!$V:$V,MtM!$I:$I,RESULTADO!$B51,MtM!$H:$H,RESULTADO!$B$48,MtM!$E:$E,RESULTADO!BB$42))</f>
        <v>0</v>
      </c>
      <c r="BC51" s="53">
        <f>(SUMIFS(MtM!$V:$V,MtM!$I:$I,RESULTADO!$B51,MtM!$H:$H,RESULTADO!$B$48,MtM!$E:$E,RESULTADO!BC$42))</f>
        <v>0</v>
      </c>
      <c r="BD51" s="53">
        <f>(SUMIFS(MtM!$V:$V,MtM!$I:$I,RESULTADO!$B51,MtM!$H:$H,RESULTADO!$B$48,MtM!$E:$E,RESULTADO!BD$42))</f>
        <v>0</v>
      </c>
      <c r="BE51" s="53">
        <f>(SUMIFS(MtM!$V:$V,MtM!$I:$I,RESULTADO!$B51,MtM!$H:$H,RESULTADO!$B$48,MtM!$E:$E,RESULTADO!BE$42))</f>
        <v>0</v>
      </c>
      <c r="BF51" s="53">
        <f>(SUMIFS(MtM!$V:$V,MtM!$I:$I,RESULTADO!$B51,MtM!$H:$H,RESULTADO!$B$48,MtM!$E:$E,RESULTADO!BF$42))</f>
        <v>0</v>
      </c>
      <c r="BG51" s="53">
        <f>(SUMIFS(MtM!$V:$V,MtM!$I:$I,RESULTADO!$B51,MtM!$H:$H,RESULTADO!$B$48,MtM!$E:$E,RESULTADO!BG$42))</f>
        <v>0</v>
      </c>
      <c r="BH51" s="53">
        <f>(SUMIFS(MtM!$V:$V,MtM!$I:$I,RESULTADO!$B51,MtM!$H:$H,RESULTADO!$B$48,MtM!$E:$E,RESULTADO!BH$42))</f>
        <v>0</v>
      </c>
      <c r="BI51" s="53">
        <f>(SUMIFS(MtM!$V:$V,MtM!$I:$I,RESULTADO!$B51,MtM!$H:$H,RESULTADO!$B$48,MtM!$E:$E,RESULTADO!BI$42))</f>
        <v>0</v>
      </c>
      <c r="BJ51" s="63">
        <f>(SUMIFS(MtM!$V:$V,MtM!$I:$I,RESULTADO!$B51,MtM!$H:$H,RESULTADO!$B$48,MtM!$E:$E,RESULTADO!BJ$42))</f>
        <v>0</v>
      </c>
      <c r="BL51" s="120"/>
      <c r="BN51" s="57" t="s">
        <v>13</v>
      </c>
      <c r="BO51" s="53">
        <f>SUMIFS('MtM Releases'!$M:$M,'MtM Releases'!$G:$G,RESULTADO!$BN51,'MtM Releases'!$F:$F,RESULTADO!$BN48,'MtM Releases'!$D:$D,RESULTADO!BO$3)</f>
        <v>0</v>
      </c>
      <c r="BP51" s="53">
        <f>SUMIFS('MtM Releases'!$M:$M,'MtM Releases'!$G:$G,RESULTADO!$BN51,'MtM Releases'!$F:$F,RESULTADO!$BN48,'MtM Releases'!$D:$D,RESULTADO!BP$3)</f>
        <v>0</v>
      </c>
      <c r="BQ51" s="53">
        <f>SUMIFS('MtM Releases'!$M:$M,'MtM Releases'!$G:$G,RESULTADO!$BN51,'MtM Releases'!$F:$F,RESULTADO!$BN48,'MtM Releases'!$D:$D,RESULTADO!BQ$3)</f>
        <v>0</v>
      </c>
      <c r="BR51" s="53">
        <f>SUMIFS('MtM Releases'!$M:$M,'MtM Releases'!$G:$G,RESULTADO!$BN51,'MtM Releases'!$F:$F,RESULTADO!$BN48,'MtM Releases'!$D:$D,RESULTADO!BR$3)</f>
        <v>0</v>
      </c>
      <c r="BS51" s="53">
        <f>SUMIFS('MtM Releases'!$M:$M,'MtM Releases'!$G:$G,RESULTADO!$BN51,'MtM Releases'!$F:$F,RESULTADO!$BN48,'MtM Releases'!$D:$D,RESULTADO!BS$3)</f>
        <v>0</v>
      </c>
      <c r="BT51" s="53">
        <f>SUMIFS('MtM Releases'!$M:$M,'MtM Releases'!$G:$G,RESULTADO!$BN51,'MtM Releases'!$F:$F,RESULTADO!$BN48,'MtM Releases'!$D:$D,RESULTADO!BT$3)</f>
        <v>0</v>
      </c>
      <c r="BU51" s="53">
        <f>SUMIFS('MtM Releases'!$M:$M,'MtM Releases'!$G:$G,RESULTADO!$BN51,'MtM Releases'!$F:$F,RESULTADO!$BN48,'MtM Releases'!$D:$D,RESULTADO!BU$3)</f>
        <v>0</v>
      </c>
      <c r="BV51" s="53">
        <f>SUMIFS('MtM Releases'!$M:$M,'MtM Releases'!$G:$G,RESULTADO!$BN51,'MtM Releases'!$F:$F,RESULTADO!$BN48,'MtM Releases'!$D:$D,RESULTADO!BV$3)</f>
        <v>0</v>
      </c>
      <c r="BW51" s="53">
        <f>SUMIFS('MtM Releases'!$M:$M,'MtM Releases'!$G:$G,RESULTADO!$BN51,'MtM Releases'!$F:$F,RESULTADO!$BN48,'MtM Releases'!$D:$D,RESULTADO!BW$3)</f>
        <v>0</v>
      </c>
      <c r="BX51" s="53">
        <f>SUMIFS('MtM Releases'!$M:$M,'MtM Releases'!$G:$G,RESULTADO!$BN51,'MtM Releases'!$F:$F,RESULTADO!$BN48,'MtM Releases'!$D:$D,RESULTADO!BX$3)</f>
        <v>0</v>
      </c>
      <c r="BY51" s="53">
        <f>SUMIFS('MtM Releases'!$M:$M,'MtM Releases'!$G:$G,RESULTADO!$BN51,'MtM Releases'!$F:$F,RESULTADO!$BN48,'MtM Releases'!$D:$D,RESULTADO!BY$3)</f>
        <v>0</v>
      </c>
      <c r="BZ51" s="54">
        <f>SUMIFS('MtM Releases'!$M:$M,'MtM Releases'!$G:$G,RESULTADO!$BN51,'MtM Releases'!$F:$F,RESULTADO!$BN48,'MtM Releases'!$D:$D,RESULTADO!BZ$3)</f>
        <v>0</v>
      </c>
      <c r="CA51" s="53">
        <f>SUMIFS('MtM Releases'!$M:$M,'MtM Releases'!$G:$G,RESULTADO!$BN51,'MtM Releases'!$F:$F,RESULTADO!$BN48,'MtM Releases'!$D:$D,RESULTADO!CA$3)</f>
        <v>0</v>
      </c>
      <c r="CB51" s="53">
        <f>SUMIFS('MtM Releases'!$M:$M,'MtM Releases'!$G:$G,RESULTADO!$BN51,'MtM Releases'!$F:$F,RESULTADO!$BN48,'MtM Releases'!$D:$D,RESULTADO!CB$3)</f>
        <v>0</v>
      </c>
      <c r="CC51" s="53">
        <f>SUMIFS('MtM Releases'!$M:$M,'MtM Releases'!$G:$G,RESULTADO!$BN51,'MtM Releases'!$F:$F,RESULTADO!$BN48,'MtM Releases'!$D:$D,RESULTADO!CC$3)</f>
        <v>0</v>
      </c>
      <c r="CD51" s="53">
        <f>SUMIFS('MtM Releases'!$M:$M,'MtM Releases'!$G:$G,RESULTADO!$BN51,'MtM Releases'!$F:$F,RESULTADO!$BN48,'MtM Releases'!$D:$D,RESULTADO!CD$3)</f>
        <v>0</v>
      </c>
      <c r="CE51" s="53">
        <f>SUMIFS('MtM Releases'!$M:$M,'MtM Releases'!$G:$G,RESULTADO!$BN51,'MtM Releases'!$F:$F,RESULTADO!$BN48,'MtM Releases'!$D:$D,RESULTADO!CE$3)</f>
        <v>0</v>
      </c>
      <c r="CF51" s="53">
        <f>SUMIFS('MtM Releases'!$M:$M,'MtM Releases'!$G:$G,RESULTADO!$BN51,'MtM Releases'!$F:$F,RESULTADO!$BN48,'MtM Releases'!$D:$D,RESULTADO!CF$3)</f>
        <v>0</v>
      </c>
      <c r="CG51" s="53">
        <f>SUMIFS('MtM Releases'!$M:$M,'MtM Releases'!$G:$G,RESULTADO!$BN51,'MtM Releases'!$F:$F,RESULTADO!$BN48,'MtM Releases'!$D:$D,RESULTADO!CG$3)</f>
        <v>0</v>
      </c>
      <c r="CH51" s="53">
        <f>SUMIFS('MtM Releases'!$M:$M,'MtM Releases'!$G:$G,RESULTADO!$BN51,'MtM Releases'!$F:$F,RESULTADO!$BN48,'MtM Releases'!$D:$D,RESULTADO!CH$3)</f>
        <v>0</v>
      </c>
      <c r="CI51" s="53">
        <f>SUMIFS('MtM Releases'!$M:$M,'MtM Releases'!$G:$G,RESULTADO!$BN51,'MtM Releases'!$F:$F,RESULTADO!$BN48,'MtM Releases'!$D:$D,RESULTADO!CI$3)</f>
        <v>0</v>
      </c>
      <c r="CJ51" s="53">
        <f>SUMIFS('MtM Releases'!$M:$M,'MtM Releases'!$G:$G,RESULTADO!$BN51,'MtM Releases'!$F:$F,RESULTADO!$BN48,'MtM Releases'!$D:$D,RESULTADO!CJ$3)</f>
        <v>0</v>
      </c>
      <c r="CK51" s="53">
        <f>SUMIFS('MtM Releases'!$M:$M,'MtM Releases'!$G:$G,RESULTADO!$BN51,'MtM Releases'!$F:$F,RESULTADO!$BN48,'MtM Releases'!$D:$D,RESULTADO!CK$3)</f>
        <v>0</v>
      </c>
      <c r="CL51" s="63">
        <f>SUMIFS('MtM Releases'!$M:$M,'MtM Releases'!$G:$G,RESULTADO!$BN51,'MtM Releases'!$F:$F,RESULTADO!$BN48,'MtM Releases'!$D:$D,RESULTADO!CL$3)</f>
        <v>0</v>
      </c>
      <c r="CM51" s="53">
        <f>SUMIFS('MtM Releases'!$M:$M,'MtM Releases'!$G:$G,RESULTADO!$BN51,'MtM Releases'!$F:$F,RESULTADO!$BN48,'MtM Releases'!$D:$D,RESULTADO!CM$3)</f>
        <v>0</v>
      </c>
      <c r="CN51" s="53">
        <f>SUMIFS('MtM Releases'!$M:$M,'MtM Releases'!$G:$G,RESULTADO!$BN51,'MtM Releases'!$F:$F,RESULTADO!$BN48,'MtM Releases'!$D:$D,RESULTADO!CN$3)</f>
        <v>0</v>
      </c>
      <c r="CO51" s="53">
        <f>SUMIFS('MtM Releases'!$M:$M,'MtM Releases'!$G:$G,RESULTADO!$BN51,'MtM Releases'!$F:$F,RESULTADO!$BN48,'MtM Releases'!$D:$D,RESULTADO!CO$3)</f>
        <v>0</v>
      </c>
      <c r="CP51" s="53">
        <f>SUMIFS('MtM Releases'!$M:$M,'MtM Releases'!$G:$G,RESULTADO!$BN51,'MtM Releases'!$F:$F,RESULTADO!$BN48,'MtM Releases'!$D:$D,RESULTADO!CP$3)</f>
        <v>0</v>
      </c>
      <c r="CQ51" s="53">
        <f>SUMIFS('MtM Releases'!$M:$M,'MtM Releases'!$G:$G,RESULTADO!$BN51,'MtM Releases'!$F:$F,RESULTADO!$BN48,'MtM Releases'!$D:$D,RESULTADO!CQ$3)</f>
        <v>0</v>
      </c>
      <c r="CR51" s="53">
        <f>SUMIFS('MtM Releases'!$M:$M,'MtM Releases'!$G:$G,RESULTADO!$BN51,'MtM Releases'!$F:$F,RESULTADO!$BN48,'MtM Releases'!$D:$D,RESULTADO!CR$3)</f>
        <v>0</v>
      </c>
      <c r="CS51" s="53">
        <f>SUMIFS('MtM Releases'!$M:$M,'MtM Releases'!$G:$G,RESULTADO!$BN51,'MtM Releases'!$F:$F,RESULTADO!$BN48,'MtM Releases'!$D:$D,RESULTADO!CS$3)</f>
        <v>0</v>
      </c>
      <c r="CT51" s="53">
        <f>SUMIFS('MtM Releases'!$M:$M,'MtM Releases'!$G:$G,RESULTADO!$BN51,'MtM Releases'!$F:$F,RESULTADO!$BN48,'MtM Releases'!$D:$D,RESULTADO!CT$3)</f>
        <v>0</v>
      </c>
      <c r="CU51" s="53">
        <f>SUMIFS('MtM Releases'!$M:$M,'MtM Releases'!$G:$G,RESULTADO!$BN51,'MtM Releases'!$F:$F,RESULTADO!$BN48,'MtM Releases'!$D:$D,RESULTADO!CU$3)</f>
        <v>0</v>
      </c>
      <c r="CV51" s="53">
        <f>SUMIFS('MtM Releases'!$M:$M,'MtM Releases'!$G:$G,RESULTADO!$BN51,'MtM Releases'!$F:$F,RESULTADO!$BN48,'MtM Releases'!$D:$D,RESULTADO!CV$3)</f>
        <v>0</v>
      </c>
      <c r="CW51" s="53">
        <f>SUMIFS('MtM Releases'!$M:$M,'MtM Releases'!$G:$G,RESULTADO!$BN51,'MtM Releases'!$F:$F,RESULTADO!$BN48,'MtM Releases'!$D:$D,RESULTADO!CW$3)</f>
        <v>0</v>
      </c>
      <c r="CX51" s="54">
        <f>SUMIFS('MtM Releases'!$M:$M,'MtM Releases'!$G:$G,RESULTADO!$BN51,'MtM Releases'!$F:$F,RESULTADO!$BN48,'MtM Releases'!$D:$D,RESULTADO!CX$3)</f>
        <v>0</v>
      </c>
      <c r="CY51" s="53">
        <f>SUMIFS('MtM Releases'!$M:$M,'MtM Releases'!$G:$G,RESULTADO!$BN51,'MtM Releases'!$F:$F,RESULTADO!$BN48,'MtM Releases'!$D:$D,RESULTADO!CY$3)</f>
        <v>0</v>
      </c>
      <c r="CZ51" s="53">
        <f>SUMIFS('MtM Releases'!$M:$M,'MtM Releases'!$G:$G,RESULTADO!$BN51,'MtM Releases'!$F:$F,RESULTADO!$BN48,'MtM Releases'!$D:$D,RESULTADO!CZ$3)</f>
        <v>0</v>
      </c>
      <c r="DA51" s="53">
        <f>SUMIFS('MtM Releases'!$M:$M,'MtM Releases'!$G:$G,RESULTADO!$BN51,'MtM Releases'!$F:$F,RESULTADO!$BN48,'MtM Releases'!$D:$D,RESULTADO!DA$3)</f>
        <v>0</v>
      </c>
      <c r="DB51" s="53">
        <f>SUMIFS('MtM Releases'!$M:$M,'MtM Releases'!$G:$G,RESULTADO!$BN51,'MtM Releases'!$F:$F,RESULTADO!$BN48,'MtM Releases'!$D:$D,RESULTADO!DB$3)</f>
        <v>0</v>
      </c>
      <c r="DC51" s="53">
        <f>SUMIFS('MtM Releases'!$M:$M,'MtM Releases'!$G:$G,RESULTADO!$BN51,'MtM Releases'!$F:$F,RESULTADO!$BN48,'MtM Releases'!$D:$D,RESULTADO!DC$3)</f>
        <v>0</v>
      </c>
      <c r="DD51" s="53">
        <f>SUMIFS('MtM Releases'!$M:$M,'MtM Releases'!$G:$G,RESULTADO!$BN51,'MtM Releases'!$F:$F,RESULTADO!$BN48,'MtM Releases'!$D:$D,RESULTADO!DD$3)</f>
        <v>0</v>
      </c>
      <c r="DE51" s="53">
        <f>SUMIFS('MtM Releases'!$M:$M,'MtM Releases'!$G:$G,RESULTADO!$BN51,'MtM Releases'!$F:$F,RESULTADO!$BN48,'MtM Releases'!$D:$D,RESULTADO!DE$3)</f>
        <v>0</v>
      </c>
      <c r="DF51" s="53">
        <f>SUMIFS('MtM Releases'!$M:$M,'MtM Releases'!$G:$G,RESULTADO!$BN51,'MtM Releases'!$F:$F,RESULTADO!$BN48,'MtM Releases'!$D:$D,RESULTADO!DF$3)</f>
        <v>0</v>
      </c>
      <c r="DG51" s="53">
        <f>SUMIFS('MtM Releases'!$M:$M,'MtM Releases'!$G:$G,RESULTADO!$BN51,'MtM Releases'!$F:$F,RESULTADO!$BN48,'MtM Releases'!$D:$D,RESULTADO!DG$3)</f>
        <v>0</v>
      </c>
      <c r="DH51" s="53">
        <f>SUMIFS('MtM Releases'!$M:$M,'MtM Releases'!$G:$G,RESULTADO!$BN51,'MtM Releases'!$F:$F,RESULTADO!$BN48,'MtM Releases'!$D:$D,RESULTADO!DH$3)</f>
        <v>0</v>
      </c>
      <c r="DI51" s="53">
        <f>SUMIFS('MtM Releases'!$M:$M,'MtM Releases'!$G:$G,RESULTADO!$BN51,'MtM Releases'!$F:$F,RESULTADO!$BN48,'MtM Releases'!$D:$D,RESULTADO!DI$3)</f>
        <v>0</v>
      </c>
      <c r="DJ51" s="63">
        <f>SUMIFS('MtM Releases'!$M:$M,'MtM Releases'!$G:$G,RESULTADO!$BN51,'MtM Releases'!$F:$F,RESULTADO!$BN48,'MtM Releases'!$D:$D,RESULTADO!DJ$3)</f>
        <v>0</v>
      </c>
      <c r="DK51" s="53">
        <f>SUMIFS('MtM Releases'!$M:$M,'MtM Releases'!$G:$G,RESULTADO!$BN51,'MtM Releases'!$F:$F,RESULTADO!$BN48,'MtM Releases'!$D:$D,RESULTADO!DK$3)</f>
        <v>0</v>
      </c>
      <c r="DL51" s="53">
        <f>SUMIFS('MtM Releases'!$M:$M,'MtM Releases'!$G:$G,RESULTADO!$BN51,'MtM Releases'!$F:$F,RESULTADO!$BN48,'MtM Releases'!$D:$D,RESULTADO!DL$3)</f>
        <v>0</v>
      </c>
      <c r="DM51" s="53">
        <f>SUMIFS('MtM Releases'!$M:$M,'MtM Releases'!$G:$G,RESULTADO!$BN51,'MtM Releases'!$F:$F,RESULTADO!$BN48,'MtM Releases'!$D:$D,RESULTADO!DM$3)</f>
        <v>0</v>
      </c>
      <c r="DN51" s="53">
        <f>SUMIFS('MtM Releases'!$M:$M,'MtM Releases'!$G:$G,RESULTADO!$BN51,'MtM Releases'!$F:$F,RESULTADO!$BN48,'MtM Releases'!$D:$D,RESULTADO!DN$3)</f>
        <v>0</v>
      </c>
      <c r="DO51" s="53">
        <f>SUMIFS('MtM Releases'!$M:$M,'MtM Releases'!$G:$G,RESULTADO!$BN51,'MtM Releases'!$F:$F,RESULTADO!$BN48,'MtM Releases'!$D:$D,RESULTADO!DO$3)</f>
        <v>0</v>
      </c>
      <c r="DP51" s="53">
        <f>SUMIFS('MtM Releases'!$M:$M,'MtM Releases'!$G:$G,RESULTADO!$BN51,'MtM Releases'!$F:$F,RESULTADO!$BN48,'MtM Releases'!$D:$D,RESULTADO!DP$3)</f>
        <v>0</v>
      </c>
      <c r="DQ51" s="53">
        <f>SUMIFS('MtM Releases'!$M:$M,'MtM Releases'!$G:$G,RESULTADO!$BN51,'MtM Releases'!$F:$F,RESULTADO!$BN48,'MtM Releases'!$D:$D,RESULTADO!DQ$3)</f>
        <v>0</v>
      </c>
      <c r="DR51" s="53">
        <f>SUMIFS('MtM Releases'!$M:$M,'MtM Releases'!$G:$G,RESULTADO!$BN51,'MtM Releases'!$F:$F,RESULTADO!$BN48,'MtM Releases'!$D:$D,RESULTADO!DR$3)</f>
        <v>0</v>
      </c>
      <c r="DS51" s="53">
        <f>SUMIFS('MtM Releases'!$M:$M,'MtM Releases'!$G:$G,RESULTADO!$BN51,'MtM Releases'!$F:$F,RESULTADO!$BN48,'MtM Releases'!$D:$D,RESULTADO!DS$3)</f>
        <v>0</v>
      </c>
      <c r="DT51" s="53">
        <f>SUMIFS('MtM Releases'!$M:$M,'MtM Releases'!$G:$G,RESULTADO!$BN51,'MtM Releases'!$F:$F,RESULTADO!$BN48,'MtM Releases'!$D:$D,RESULTADO!DT$3)</f>
        <v>0</v>
      </c>
      <c r="DU51" s="53">
        <f>SUMIFS('MtM Releases'!$M:$M,'MtM Releases'!$G:$G,RESULTADO!$BN51,'MtM Releases'!$F:$F,RESULTADO!$BN48,'MtM Releases'!$D:$D,RESULTADO!DU$3)</f>
        <v>0</v>
      </c>
      <c r="DV51" s="63">
        <f>SUMIFS('MtM Releases'!$M:$M,'MtM Releases'!$G:$G,RESULTADO!$BN51,'MtM Releases'!$F:$F,RESULTADO!$BN48,'MtM Releases'!$D:$D,RESULTADO!DV$3)</f>
        <v>0</v>
      </c>
    </row>
    <row r="52" spans="2:126" x14ac:dyDescent="0.25">
      <c r="B52" s="57" t="s">
        <v>11</v>
      </c>
      <c r="C52" s="53">
        <f>(SUMIFS(MtM!$V:$V,MtM!$I:$I,RESULTADO!$B52,MtM!$H:$H,RESULTADO!$B$48,MtM!$E:$E,RESULTADO!C$42))</f>
        <v>0</v>
      </c>
      <c r="D52" s="53">
        <f>(SUMIFS(MtM!$V:$V,MtM!$I:$I,RESULTADO!$B52,MtM!$H:$H,RESULTADO!$B$48,MtM!$E:$E,RESULTADO!D$42))</f>
        <v>0</v>
      </c>
      <c r="E52" s="53">
        <f>(SUMIFS(MtM!$V:$V,MtM!$I:$I,RESULTADO!$B52,MtM!$H:$H,RESULTADO!$B$48,MtM!$E:$E,RESULTADO!E$42))</f>
        <v>0</v>
      </c>
      <c r="F52" s="53">
        <f>(SUMIFS(MtM!$V:$V,MtM!$I:$I,RESULTADO!$B52,MtM!$H:$H,RESULTADO!$B$48,MtM!$E:$E,RESULTADO!F$42))</f>
        <v>0</v>
      </c>
      <c r="G52" s="53">
        <f>(SUMIFS(MtM!$V:$V,MtM!$I:$I,RESULTADO!$B52,MtM!$H:$H,RESULTADO!$B$48,MtM!$E:$E,RESULTADO!G$42))</f>
        <v>0</v>
      </c>
      <c r="H52" s="53">
        <f>(SUMIFS(MtM!$V:$V,MtM!$I:$I,RESULTADO!$B52,MtM!$H:$H,RESULTADO!$B$48,MtM!$E:$E,RESULTADO!H$42))</f>
        <v>0</v>
      </c>
      <c r="I52" s="53">
        <f>(SUMIFS(MtM!$V:$V,MtM!$I:$I,RESULTADO!$B52,MtM!$H:$H,RESULTADO!$B$48,MtM!$E:$E,RESULTADO!I$42))</f>
        <v>0</v>
      </c>
      <c r="J52" s="53">
        <f>(SUMIFS(MtM!$V:$V,MtM!$I:$I,RESULTADO!$B52,MtM!$H:$H,RESULTADO!$B$48,MtM!$E:$E,RESULTADO!J$42))</f>
        <v>0</v>
      </c>
      <c r="K52" s="53">
        <f>(SUMIFS(MtM!$V:$V,MtM!$I:$I,RESULTADO!$B52,MtM!$H:$H,RESULTADO!$B$48,MtM!$E:$E,RESULTADO!K$42))</f>
        <v>0</v>
      </c>
      <c r="L52" s="53">
        <f>(SUMIFS(MtM!$V:$V,MtM!$I:$I,RESULTADO!$B52,MtM!$H:$H,RESULTADO!$B$48,MtM!$E:$E,RESULTADO!L$42))</f>
        <v>0</v>
      </c>
      <c r="M52" s="53">
        <f>(SUMIFS(MtM!$V:$V,MtM!$I:$I,RESULTADO!$B52,MtM!$H:$H,RESULTADO!$B$48,MtM!$E:$E,RESULTADO!M$42))</f>
        <v>0</v>
      </c>
      <c r="N52" s="54">
        <f>(SUMIFS(MtM!$V:$V,MtM!$I:$I,RESULTADO!$B52,MtM!$H:$H,RESULTADO!$B$48,MtM!$E:$E,RESULTADO!N$42))</f>
        <v>0</v>
      </c>
      <c r="O52" s="53">
        <f>(SUMIFS(MtM!$V:$V,MtM!$I:$I,RESULTADO!$B52,MtM!$H:$H,RESULTADO!$B$48,MtM!$E:$E,RESULTADO!O$42))</f>
        <v>0</v>
      </c>
      <c r="P52" s="53">
        <f>(SUMIFS(MtM!$V:$V,MtM!$I:$I,RESULTADO!$B52,MtM!$H:$H,RESULTADO!$B$48,MtM!$E:$E,RESULTADO!P$42))</f>
        <v>0</v>
      </c>
      <c r="Q52" s="53">
        <f>(SUMIFS(MtM!$V:$V,MtM!$I:$I,RESULTADO!$B52,MtM!$H:$H,RESULTADO!$B$48,MtM!$E:$E,RESULTADO!Q$42))</f>
        <v>0</v>
      </c>
      <c r="R52" s="53">
        <f>(SUMIFS(MtM!$V:$V,MtM!$I:$I,RESULTADO!$B52,MtM!$H:$H,RESULTADO!$B$48,MtM!$E:$E,RESULTADO!R$42))</f>
        <v>0</v>
      </c>
      <c r="S52" s="53">
        <f>(SUMIFS(MtM!$V:$V,MtM!$I:$I,RESULTADO!$B52,MtM!$H:$H,RESULTADO!$B$48,MtM!$E:$E,RESULTADO!S$42))</f>
        <v>0</v>
      </c>
      <c r="T52" s="53">
        <f>(SUMIFS(MtM!$V:$V,MtM!$I:$I,RESULTADO!$B52,MtM!$H:$H,RESULTADO!$B$48,MtM!$E:$E,RESULTADO!T$42))</f>
        <v>0</v>
      </c>
      <c r="U52" s="53">
        <f>(SUMIFS(MtM!$V:$V,MtM!$I:$I,RESULTADO!$B52,MtM!$H:$H,RESULTADO!$B$48,MtM!$E:$E,RESULTADO!U$42))</f>
        <v>0</v>
      </c>
      <c r="V52" s="53">
        <f>(SUMIFS(MtM!$V:$V,MtM!$I:$I,RESULTADO!$B52,MtM!$H:$H,RESULTADO!$B$48,MtM!$E:$E,RESULTADO!V$42))</f>
        <v>0</v>
      </c>
      <c r="W52" s="53">
        <f>(SUMIFS(MtM!$V:$V,MtM!$I:$I,RESULTADO!$B52,MtM!$H:$H,RESULTADO!$B$48,MtM!$E:$E,RESULTADO!W$42))</f>
        <v>0</v>
      </c>
      <c r="X52" s="53">
        <f>(SUMIFS(MtM!$V:$V,MtM!$I:$I,RESULTADO!$B52,MtM!$H:$H,RESULTADO!$B$48,MtM!$E:$E,RESULTADO!X$42))</f>
        <v>0</v>
      </c>
      <c r="Y52" s="53">
        <f>(SUMIFS(MtM!$V:$V,MtM!$I:$I,RESULTADO!$B52,MtM!$H:$H,RESULTADO!$B$48,MtM!$E:$E,RESULTADO!Y$42))</f>
        <v>0</v>
      </c>
      <c r="Z52" s="63">
        <f>(SUMIFS(MtM!$V:$V,MtM!$I:$I,RESULTADO!$B52,MtM!$H:$H,RESULTADO!$B$48,MtM!$E:$E,RESULTADO!Z$42))</f>
        <v>0</v>
      </c>
      <c r="AA52" s="53">
        <f>(SUMIFS(MtM!$V:$V,MtM!$I:$I,RESULTADO!$B52,MtM!$H:$H,RESULTADO!$B$48,MtM!$E:$E,RESULTADO!AA$42))</f>
        <v>0</v>
      </c>
      <c r="AB52" s="53">
        <f>(SUMIFS(MtM!$V:$V,MtM!$I:$I,RESULTADO!$B52,MtM!$H:$H,RESULTADO!$B$48,MtM!$E:$E,RESULTADO!AB$42))</f>
        <v>0</v>
      </c>
      <c r="AC52" s="53">
        <f>(SUMIFS(MtM!$V:$V,MtM!$I:$I,RESULTADO!$B52,MtM!$H:$H,RESULTADO!$B$48,MtM!$E:$E,RESULTADO!AC$42))</f>
        <v>0</v>
      </c>
      <c r="AD52" s="53">
        <f>(SUMIFS(MtM!$V:$V,MtM!$I:$I,RESULTADO!$B52,MtM!$H:$H,RESULTADO!$B$48,MtM!$E:$E,RESULTADO!AD$42))</f>
        <v>0</v>
      </c>
      <c r="AE52" s="53">
        <f>(SUMIFS(MtM!$V:$V,MtM!$I:$I,RESULTADO!$B52,MtM!$H:$H,RESULTADO!$B$48,MtM!$E:$E,RESULTADO!AE$42))</f>
        <v>0</v>
      </c>
      <c r="AF52" s="53">
        <f>(SUMIFS(MtM!$V:$V,MtM!$I:$I,RESULTADO!$B52,MtM!$H:$H,RESULTADO!$B$48,MtM!$E:$E,RESULTADO!AF$42))</f>
        <v>0</v>
      </c>
      <c r="AG52" s="53">
        <f>(SUMIFS(MtM!$V:$V,MtM!$I:$I,RESULTADO!$B52,MtM!$H:$H,RESULTADO!$B$48,MtM!$E:$E,RESULTADO!AG$42))</f>
        <v>0</v>
      </c>
      <c r="AH52" s="53">
        <f>(SUMIFS(MtM!$V:$V,MtM!$I:$I,RESULTADO!$B52,MtM!$H:$H,RESULTADO!$B$48,MtM!$E:$E,RESULTADO!AH$42))</f>
        <v>0</v>
      </c>
      <c r="AI52" s="53">
        <f>(SUMIFS(MtM!$V:$V,MtM!$I:$I,RESULTADO!$B52,MtM!$H:$H,RESULTADO!$B$48,MtM!$E:$E,RESULTADO!AI$42))</f>
        <v>0</v>
      </c>
      <c r="AJ52" s="53">
        <f>(SUMIFS(MtM!$V:$V,MtM!$I:$I,RESULTADO!$B52,MtM!$H:$H,RESULTADO!$B$48,MtM!$E:$E,RESULTADO!AJ$42))</f>
        <v>0</v>
      </c>
      <c r="AK52" s="53">
        <f>(SUMIFS(MtM!$V:$V,MtM!$I:$I,RESULTADO!$B52,MtM!$H:$H,RESULTADO!$B$48,MtM!$E:$E,RESULTADO!AK$42))</f>
        <v>0</v>
      </c>
      <c r="AL52" s="54">
        <f>(SUMIFS(MtM!$V:$V,MtM!$I:$I,RESULTADO!$B52,MtM!$H:$H,RESULTADO!$B$48,MtM!$E:$E,RESULTADO!AL$42))</f>
        <v>0</v>
      </c>
      <c r="AM52" s="53">
        <f>(SUMIFS(MtM!$V:$V,MtM!$I:$I,RESULTADO!$B52,MtM!$H:$H,RESULTADO!$B$48,MtM!$E:$E,RESULTADO!AM$42))</f>
        <v>0</v>
      </c>
      <c r="AN52" s="53">
        <f>(SUMIFS(MtM!$V:$V,MtM!$I:$I,RESULTADO!$B52,MtM!$H:$H,RESULTADO!$B$48,MtM!$E:$E,RESULTADO!AN$42))</f>
        <v>0</v>
      </c>
      <c r="AO52" s="53">
        <f>(SUMIFS(MtM!$V:$V,MtM!$I:$I,RESULTADO!$B52,MtM!$H:$H,RESULTADO!$B$48,MtM!$E:$E,RESULTADO!AO$42))</f>
        <v>0</v>
      </c>
      <c r="AP52" s="53">
        <f>(SUMIFS(MtM!$V:$V,MtM!$I:$I,RESULTADO!$B52,MtM!$H:$H,RESULTADO!$B$48,MtM!$E:$E,RESULTADO!AP$42))</f>
        <v>0</v>
      </c>
      <c r="AQ52" s="53">
        <f>(SUMIFS(MtM!$V:$V,MtM!$I:$I,RESULTADO!$B52,MtM!$H:$H,RESULTADO!$B$48,MtM!$E:$E,RESULTADO!AQ$42))</f>
        <v>0</v>
      </c>
      <c r="AR52" s="53">
        <f>(SUMIFS(MtM!$V:$V,MtM!$I:$I,RESULTADO!$B52,MtM!$H:$H,RESULTADO!$B$48,MtM!$E:$E,RESULTADO!AR$42))</f>
        <v>0</v>
      </c>
      <c r="AS52" s="53">
        <f>(SUMIFS(MtM!$V:$V,MtM!$I:$I,RESULTADO!$B52,MtM!$H:$H,RESULTADO!$B$48,MtM!$E:$E,RESULTADO!AS$42))</f>
        <v>0</v>
      </c>
      <c r="AT52" s="53">
        <f>(SUMIFS(MtM!$V:$V,MtM!$I:$I,RESULTADO!$B52,MtM!$H:$H,RESULTADO!$B$48,MtM!$E:$E,RESULTADO!AT$42))</f>
        <v>0</v>
      </c>
      <c r="AU52" s="53">
        <f>(SUMIFS(MtM!$V:$V,MtM!$I:$I,RESULTADO!$B52,MtM!$H:$H,RESULTADO!$B$48,MtM!$E:$E,RESULTADO!AU$42))</f>
        <v>0</v>
      </c>
      <c r="AV52" s="53">
        <f>(SUMIFS(MtM!$V:$V,MtM!$I:$I,RESULTADO!$B52,MtM!$H:$H,RESULTADO!$B$48,MtM!$E:$E,RESULTADO!AV$42))</f>
        <v>0</v>
      </c>
      <c r="AW52" s="53">
        <f>(SUMIFS(MtM!$V:$V,MtM!$I:$I,RESULTADO!$B52,MtM!$H:$H,RESULTADO!$B$48,MtM!$E:$E,RESULTADO!AW$42))</f>
        <v>0</v>
      </c>
      <c r="AX52" s="63">
        <f>(SUMIFS(MtM!$V:$V,MtM!$I:$I,RESULTADO!$B52,MtM!$H:$H,RESULTADO!$B$48,MtM!$E:$E,RESULTADO!AX$42))</f>
        <v>0</v>
      </c>
      <c r="AY52" s="53">
        <f>(SUMIFS(MtM!$V:$V,MtM!$I:$I,RESULTADO!$B52,MtM!$H:$H,RESULTADO!$B$48,MtM!$E:$E,RESULTADO!AY$42))</f>
        <v>0</v>
      </c>
      <c r="AZ52" s="53">
        <f>(SUMIFS(MtM!$V:$V,MtM!$I:$I,RESULTADO!$B52,MtM!$H:$H,RESULTADO!$B$48,MtM!$E:$E,RESULTADO!AZ$42))</f>
        <v>0</v>
      </c>
      <c r="BA52" s="53">
        <f>(SUMIFS(MtM!$V:$V,MtM!$I:$I,RESULTADO!$B52,MtM!$H:$H,RESULTADO!$B$48,MtM!$E:$E,RESULTADO!BA$42))</f>
        <v>0</v>
      </c>
      <c r="BB52" s="53">
        <f>(SUMIFS(MtM!$V:$V,MtM!$I:$I,RESULTADO!$B52,MtM!$H:$H,RESULTADO!$B$48,MtM!$E:$E,RESULTADO!BB$42))</f>
        <v>0</v>
      </c>
      <c r="BC52" s="53">
        <f>(SUMIFS(MtM!$V:$V,MtM!$I:$I,RESULTADO!$B52,MtM!$H:$H,RESULTADO!$B$48,MtM!$E:$E,RESULTADO!BC$42))</f>
        <v>0</v>
      </c>
      <c r="BD52" s="53">
        <f>(SUMIFS(MtM!$V:$V,MtM!$I:$I,RESULTADO!$B52,MtM!$H:$H,RESULTADO!$B$48,MtM!$E:$E,RESULTADO!BD$42))</f>
        <v>0</v>
      </c>
      <c r="BE52" s="53">
        <f>(SUMIFS(MtM!$V:$V,MtM!$I:$I,RESULTADO!$B52,MtM!$H:$H,RESULTADO!$B$48,MtM!$E:$E,RESULTADO!BE$42))</f>
        <v>0</v>
      </c>
      <c r="BF52" s="53">
        <f>(SUMIFS(MtM!$V:$V,MtM!$I:$I,RESULTADO!$B52,MtM!$H:$H,RESULTADO!$B$48,MtM!$E:$E,RESULTADO!BF$42))</f>
        <v>0</v>
      </c>
      <c r="BG52" s="53">
        <f>(SUMIFS(MtM!$V:$V,MtM!$I:$I,RESULTADO!$B52,MtM!$H:$H,RESULTADO!$B$48,MtM!$E:$E,RESULTADO!BG$42))</f>
        <v>0</v>
      </c>
      <c r="BH52" s="53">
        <f>(SUMIFS(MtM!$V:$V,MtM!$I:$I,RESULTADO!$B52,MtM!$H:$H,RESULTADO!$B$48,MtM!$E:$E,RESULTADO!BH$42))</f>
        <v>0</v>
      </c>
      <c r="BI52" s="53">
        <f>(SUMIFS(MtM!$V:$V,MtM!$I:$I,RESULTADO!$B52,MtM!$H:$H,RESULTADO!$B$48,MtM!$E:$E,RESULTADO!BI$42))</f>
        <v>0</v>
      </c>
      <c r="BJ52" s="63">
        <f>(SUMIFS(MtM!$V:$V,MtM!$I:$I,RESULTADO!$B52,MtM!$H:$H,RESULTADO!$B$48,MtM!$E:$E,RESULTADO!BJ$42))</f>
        <v>0</v>
      </c>
      <c r="BL52" s="120"/>
      <c r="BN52" s="57" t="s">
        <v>11</v>
      </c>
      <c r="BO52" s="53">
        <f>SUMIFS('MtM Releases'!$M:$M,'MtM Releases'!$G:$G,RESULTADO!$BN52,'MtM Releases'!$F:$F,RESULTADO!$BN48,'MtM Releases'!$D:$D,RESULTADO!BO$3)</f>
        <v>0</v>
      </c>
      <c r="BP52" s="53">
        <f>SUMIFS('MtM Releases'!$M:$M,'MtM Releases'!$G:$G,RESULTADO!$BN52,'MtM Releases'!$F:$F,RESULTADO!$BN48,'MtM Releases'!$D:$D,RESULTADO!BP$3)</f>
        <v>0</v>
      </c>
      <c r="BQ52" s="53">
        <f>SUMIFS('MtM Releases'!$M:$M,'MtM Releases'!$G:$G,RESULTADO!$BN52,'MtM Releases'!$F:$F,RESULTADO!$BN48,'MtM Releases'!$D:$D,RESULTADO!BQ$3)</f>
        <v>0</v>
      </c>
      <c r="BR52" s="53">
        <f>SUMIFS('MtM Releases'!$M:$M,'MtM Releases'!$G:$G,RESULTADO!$BN52,'MtM Releases'!$F:$F,RESULTADO!$BN48,'MtM Releases'!$D:$D,RESULTADO!BR$3)</f>
        <v>0</v>
      </c>
      <c r="BS52" s="53">
        <f>SUMIFS('MtM Releases'!$M:$M,'MtM Releases'!$G:$G,RESULTADO!$BN52,'MtM Releases'!$F:$F,RESULTADO!$BN48,'MtM Releases'!$D:$D,RESULTADO!BS$3)</f>
        <v>0</v>
      </c>
      <c r="BT52" s="53">
        <f>SUMIFS('MtM Releases'!$M:$M,'MtM Releases'!$G:$G,RESULTADO!$BN52,'MtM Releases'!$F:$F,RESULTADO!$BN48,'MtM Releases'!$D:$D,RESULTADO!BT$3)</f>
        <v>0</v>
      </c>
      <c r="BU52" s="53">
        <f>SUMIFS('MtM Releases'!$M:$M,'MtM Releases'!$G:$G,RESULTADO!$BN52,'MtM Releases'!$F:$F,RESULTADO!$BN48,'MtM Releases'!$D:$D,RESULTADO!BU$3)</f>
        <v>0</v>
      </c>
      <c r="BV52" s="53">
        <f>SUMIFS('MtM Releases'!$M:$M,'MtM Releases'!$G:$G,RESULTADO!$BN52,'MtM Releases'!$F:$F,RESULTADO!$BN48,'MtM Releases'!$D:$D,RESULTADO!BV$3)</f>
        <v>0</v>
      </c>
      <c r="BW52" s="53">
        <f>SUMIFS('MtM Releases'!$M:$M,'MtM Releases'!$G:$G,RESULTADO!$BN52,'MtM Releases'!$F:$F,RESULTADO!$BN48,'MtM Releases'!$D:$D,RESULTADO!BW$3)</f>
        <v>0</v>
      </c>
      <c r="BX52" s="53">
        <f>SUMIFS('MtM Releases'!$M:$M,'MtM Releases'!$G:$G,RESULTADO!$BN52,'MtM Releases'!$F:$F,RESULTADO!$BN48,'MtM Releases'!$D:$D,RESULTADO!BX$3)</f>
        <v>0</v>
      </c>
      <c r="BY52" s="53">
        <f>SUMIFS('MtM Releases'!$M:$M,'MtM Releases'!$G:$G,RESULTADO!$BN52,'MtM Releases'!$F:$F,RESULTADO!$BN48,'MtM Releases'!$D:$D,RESULTADO!BY$3)</f>
        <v>0</v>
      </c>
      <c r="BZ52" s="54">
        <f>SUMIFS('MtM Releases'!$M:$M,'MtM Releases'!$G:$G,RESULTADO!$BN52,'MtM Releases'!$F:$F,RESULTADO!$BN48,'MtM Releases'!$D:$D,RESULTADO!BZ$3)</f>
        <v>0</v>
      </c>
      <c r="CA52" s="53">
        <f>SUMIFS('MtM Releases'!$M:$M,'MtM Releases'!$G:$G,RESULTADO!$BN52,'MtM Releases'!$F:$F,RESULTADO!$BN48,'MtM Releases'!$D:$D,RESULTADO!CA$3)</f>
        <v>0</v>
      </c>
      <c r="CB52" s="53">
        <f>SUMIFS('MtM Releases'!$M:$M,'MtM Releases'!$G:$G,RESULTADO!$BN52,'MtM Releases'!$F:$F,RESULTADO!$BN48,'MtM Releases'!$D:$D,RESULTADO!CB$3)</f>
        <v>0</v>
      </c>
      <c r="CC52" s="53">
        <f>SUMIFS('MtM Releases'!$M:$M,'MtM Releases'!$G:$G,RESULTADO!$BN52,'MtM Releases'!$F:$F,RESULTADO!$BN48,'MtM Releases'!$D:$D,RESULTADO!CC$3)</f>
        <v>0</v>
      </c>
      <c r="CD52" s="53">
        <f>SUMIFS('MtM Releases'!$M:$M,'MtM Releases'!$G:$G,RESULTADO!$BN52,'MtM Releases'!$F:$F,RESULTADO!$BN48,'MtM Releases'!$D:$D,RESULTADO!CD$3)</f>
        <v>0</v>
      </c>
      <c r="CE52" s="53">
        <f>SUMIFS('MtM Releases'!$M:$M,'MtM Releases'!$G:$G,RESULTADO!$BN52,'MtM Releases'!$F:$F,RESULTADO!$BN48,'MtM Releases'!$D:$D,RESULTADO!CE$3)</f>
        <v>0</v>
      </c>
      <c r="CF52" s="53">
        <f>SUMIFS('MtM Releases'!$M:$M,'MtM Releases'!$G:$G,RESULTADO!$BN52,'MtM Releases'!$F:$F,RESULTADO!$BN48,'MtM Releases'!$D:$D,RESULTADO!CF$3)</f>
        <v>0</v>
      </c>
      <c r="CG52" s="53">
        <f>SUMIFS('MtM Releases'!$M:$M,'MtM Releases'!$G:$G,RESULTADO!$BN52,'MtM Releases'!$F:$F,RESULTADO!$BN48,'MtM Releases'!$D:$D,RESULTADO!CG$3)</f>
        <v>0</v>
      </c>
      <c r="CH52" s="53">
        <f>SUMIFS('MtM Releases'!$M:$M,'MtM Releases'!$G:$G,RESULTADO!$BN52,'MtM Releases'!$F:$F,RESULTADO!$BN48,'MtM Releases'!$D:$D,RESULTADO!CH$3)</f>
        <v>0</v>
      </c>
      <c r="CI52" s="53">
        <f>SUMIFS('MtM Releases'!$M:$M,'MtM Releases'!$G:$G,RESULTADO!$BN52,'MtM Releases'!$F:$F,RESULTADO!$BN48,'MtM Releases'!$D:$D,RESULTADO!CI$3)</f>
        <v>0</v>
      </c>
      <c r="CJ52" s="53">
        <f>SUMIFS('MtM Releases'!$M:$M,'MtM Releases'!$G:$G,RESULTADO!$BN52,'MtM Releases'!$F:$F,RESULTADO!$BN48,'MtM Releases'!$D:$D,RESULTADO!CJ$3)</f>
        <v>0</v>
      </c>
      <c r="CK52" s="53">
        <f>SUMIFS('MtM Releases'!$M:$M,'MtM Releases'!$G:$G,RESULTADO!$BN52,'MtM Releases'!$F:$F,RESULTADO!$BN48,'MtM Releases'!$D:$D,RESULTADO!CK$3)</f>
        <v>0</v>
      </c>
      <c r="CL52" s="63">
        <f>SUMIFS('MtM Releases'!$M:$M,'MtM Releases'!$G:$G,RESULTADO!$BN52,'MtM Releases'!$F:$F,RESULTADO!$BN48,'MtM Releases'!$D:$D,RESULTADO!CL$3)</f>
        <v>0</v>
      </c>
      <c r="CM52" s="53">
        <f>SUMIFS('MtM Releases'!$M:$M,'MtM Releases'!$G:$G,RESULTADO!$BN52,'MtM Releases'!$F:$F,RESULTADO!$BN48,'MtM Releases'!$D:$D,RESULTADO!CM$3)</f>
        <v>0</v>
      </c>
      <c r="CN52" s="53">
        <f>SUMIFS('MtM Releases'!$M:$M,'MtM Releases'!$G:$G,RESULTADO!$BN52,'MtM Releases'!$F:$F,RESULTADO!$BN48,'MtM Releases'!$D:$D,RESULTADO!CN$3)</f>
        <v>0</v>
      </c>
      <c r="CO52" s="53">
        <f>SUMIFS('MtM Releases'!$M:$M,'MtM Releases'!$G:$G,RESULTADO!$BN52,'MtM Releases'!$F:$F,RESULTADO!$BN48,'MtM Releases'!$D:$D,RESULTADO!CO$3)</f>
        <v>0</v>
      </c>
      <c r="CP52" s="53">
        <f>SUMIFS('MtM Releases'!$M:$M,'MtM Releases'!$G:$G,RESULTADO!$BN52,'MtM Releases'!$F:$F,RESULTADO!$BN48,'MtM Releases'!$D:$D,RESULTADO!CP$3)</f>
        <v>0</v>
      </c>
      <c r="CQ52" s="53">
        <f>SUMIFS('MtM Releases'!$M:$M,'MtM Releases'!$G:$G,RESULTADO!$BN52,'MtM Releases'!$F:$F,RESULTADO!$BN48,'MtM Releases'!$D:$D,RESULTADO!CQ$3)</f>
        <v>0</v>
      </c>
      <c r="CR52" s="53">
        <f>SUMIFS('MtM Releases'!$M:$M,'MtM Releases'!$G:$G,RESULTADO!$BN52,'MtM Releases'!$F:$F,RESULTADO!$BN48,'MtM Releases'!$D:$D,RESULTADO!CR$3)</f>
        <v>0</v>
      </c>
      <c r="CS52" s="53">
        <f>SUMIFS('MtM Releases'!$M:$M,'MtM Releases'!$G:$G,RESULTADO!$BN52,'MtM Releases'!$F:$F,RESULTADO!$BN48,'MtM Releases'!$D:$D,RESULTADO!CS$3)</f>
        <v>0</v>
      </c>
      <c r="CT52" s="53">
        <f>SUMIFS('MtM Releases'!$M:$M,'MtM Releases'!$G:$G,RESULTADO!$BN52,'MtM Releases'!$F:$F,RESULTADO!$BN48,'MtM Releases'!$D:$D,RESULTADO!CT$3)</f>
        <v>0</v>
      </c>
      <c r="CU52" s="53">
        <f>SUMIFS('MtM Releases'!$M:$M,'MtM Releases'!$G:$G,RESULTADO!$BN52,'MtM Releases'!$F:$F,RESULTADO!$BN48,'MtM Releases'!$D:$D,RESULTADO!CU$3)</f>
        <v>0</v>
      </c>
      <c r="CV52" s="53">
        <f>SUMIFS('MtM Releases'!$M:$M,'MtM Releases'!$G:$G,RESULTADO!$BN52,'MtM Releases'!$F:$F,RESULTADO!$BN48,'MtM Releases'!$D:$D,RESULTADO!CV$3)</f>
        <v>0</v>
      </c>
      <c r="CW52" s="53">
        <f>SUMIFS('MtM Releases'!$M:$M,'MtM Releases'!$G:$G,RESULTADO!$BN52,'MtM Releases'!$F:$F,RESULTADO!$BN48,'MtM Releases'!$D:$D,RESULTADO!CW$3)</f>
        <v>0</v>
      </c>
      <c r="CX52" s="54">
        <f>SUMIFS('MtM Releases'!$M:$M,'MtM Releases'!$G:$G,RESULTADO!$BN52,'MtM Releases'!$F:$F,RESULTADO!$BN48,'MtM Releases'!$D:$D,RESULTADO!CX$3)</f>
        <v>0</v>
      </c>
      <c r="CY52" s="53">
        <f>SUMIFS('MtM Releases'!$M:$M,'MtM Releases'!$G:$G,RESULTADO!$BN52,'MtM Releases'!$F:$F,RESULTADO!$BN48,'MtM Releases'!$D:$D,RESULTADO!CY$3)</f>
        <v>0</v>
      </c>
      <c r="CZ52" s="53">
        <f>SUMIFS('MtM Releases'!$M:$M,'MtM Releases'!$G:$G,RESULTADO!$BN52,'MtM Releases'!$F:$F,RESULTADO!$BN48,'MtM Releases'!$D:$D,RESULTADO!CZ$3)</f>
        <v>0</v>
      </c>
      <c r="DA52" s="53">
        <f>SUMIFS('MtM Releases'!$M:$M,'MtM Releases'!$G:$G,RESULTADO!$BN52,'MtM Releases'!$F:$F,RESULTADO!$BN48,'MtM Releases'!$D:$D,RESULTADO!DA$3)</f>
        <v>0</v>
      </c>
      <c r="DB52" s="53">
        <f>SUMIFS('MtM Releases'!$M:$M,'MtM Releases'!$G:$G,RESULTADO!$BN52,'MtM Releases'!$F:$F,RESULTADO!$BN48,'MtM Releases'!$D:$D,RESULTADO!DB$3)</f>
        <v>0</v>
      </c>
      <c r="DC52" s="53">
        <f>SUMIFS('MtM Releases'!$M:$M,'MtM Releases'!$G:$G,RESULTADO!$BN52,'MtM Releases'!$F:$F,RESULTADO!$BN48,'MtM Releases'!$D:$D,RESULTADO!DC$3)</f>
        <v>0</v>
      </c>
      <c r="DD52" s="53">
        <f>SUMIFS('MtM Releases'!$M:$M,'MtM Releases'!$G:$G,RESULTADO!$BN52,'MtM Releases'!$F:$F,RESULTADO!$BN48,'MtM Releases'!$D:$D,RESULTADO!DD$3)</f>
        <v>0</v>
      </c>
      <c r="DE52" s="53">
        <f>SUMIFS('MtM Releases'!$M:$M,'MtM Releases'!$G:$G,RESULTADO!$BN52,'MtM Releases'!$F:$F,RESULTADO!$BN48,'MtM Releases'!$D:$D,RESULTADO!DE$3)</f>
        <v>0</v>
      </c>
      <c r="DF52" s="53">
        <f>SUMIFS('MtM Releases'!$M:$M,'MtM Releases'!$G:$G,RESULTADO!$BN52,'MtM Releases'!$F:$F,RESULTADO!$BN48,'MtM Releases'!$D:$D,RESULTADO!DF$3)</f>
        <v>0</v>
      </c>
      <c r="DG52" s="53">
        <f>SUMIFS('MtM Releases'!$M:$M,'MtM Releases'!$G:$G,RESULTADO!$BN52,'MtM Releases'!$F:$F,RESULTADO!$BN48,'MtM Releases'!$D:$D,RESULTADO!DG$3)</f>
        <v>0</v>
      </c>
      <c r="DH52" s="53">
        <f>SUMIFS('MtM Releases'!$M:$M,'MtM Releases'!$G:$G,RESULTADO!$BN52,'MtM Releases'!$F:$F,RESULTADO!$BN48,'MtM Releases'!$D:$D,RESULTADO!DH$3)</f>
        <v>0</v>
      </c>
      <c r="DI52" s="53">
        <f>SUMIFS('MtM Releases'!$M:$M,'MtM Releases'!$G:$G,RESULTADO!$BN52,'MtM Releases'!$F:$F,RESULTADO!$BN48,'MtM Releases'!$D:$D,RESULTADO!DI$3)</f>
        <v>0</v>
      </c>
      <c r="DJ52" s="63">
        <f>SUMIFS('MtM Releases'!$M:$M,'MtM Releases'!$G:$G,RESULTADO!$BN52,'MtM Releases'!$F:$F,RESULTADO!$BN48,'MtM Releases'!$D:$D,RESULTADO!DJ$3)</f>
        <v>0</v>
      </c>
      <c r="DK52" s="53">
        <f>SUMIFS('MtM Releases'!$M:$M,'MtM Releases'!$G:$G,RESULTADO!$BN52,'MtM Releases'!$F:$F,RESULTADO!$BN48,'MtM Releases'!$D:$D,RESULTADO!DK$3)</f>
        <v>0</v>
      </c>
      <c r="DL52" s="53">
        <f>SUMIFS('MtM Releases'!$M:$M,'MtM Releases'!$G:$G,RESULTADO!$BN52,'MtM Releases'!$F:$F,RESULTADO!$BN48,'MtM Releases'!$D:$D,RESULTADO!DL$3)</f>
        <v>0</v>
      </c>
      <c r="DM52" s="53">
        <f>SUMIFS('MtM Releases'!$M:$M,'MtM Releases'!$G:$G,RESULTADO!$BN52,'MtM Releases'!$F:$F,RESULTADO!$BN48,'MtM Releases'!$D:$D,RESULTADO!DM$3)</f>
        <v>0</v>
      </c>
      <c r="DN52" s="53">
        <f>SUMIFS('MtM Releases'!$M:$M,'MtM Releases'!$G:$G,RESULTADO!$BN52,'MtM Releases'!$F:$F,RESULTADO!$BN48,'MtM Releases'!$D:$D,RESULTADO!DN$3)</f>
        <v>0</v>
      </c>
      <c r="DO52" s="53">
        <f>SUMIFS('MtM Releases'!$M:$M,'MtM Releases'!$G:$G,RESULTADO!$BN52,'MtM Releases'!$F:$F,RESULTADO!$BN48,'MtM Releases'!$D:$D,RESULTADO!DO$3)</f>
        <v>0</v>
      </c>
      <c r="DP52" s="53">
        <f>SUMIFS('MtM Releases'!$M:$M,'MtM Releases'!$G:$G,RESULTADO!$BN52,'MtM Releases'!$F:$F,RESULTADO!$BN48,'MtM Releases'!$D:$D,RESULTADO!DP$3)</f>
        <v>0</v>
      </c>
      <c r="DQ52" s="53">
        <f>SUMIFS('MtM Releases'!$M:$M,'MtM Releases'!$G:$G,RESULTADO!$BN52,'MtM Releases'!$F:$F,RESULTADO!$BN48,'MtM Releases'!$D:$D,RESULTADO!DQ$3)</f>
        <v>0</v>
      </c>
      <c r="DR52" s="53">
        <f>SUMIFS('MtM Releases'!$M:$M,'MtM Releases'!$G:$G,RESULTADO!$BN52,'MtM Releases'!$F:$F,RESULTADO!$BN48,'MtM Releases'!$D:$D,RESULTADO!DR$3)</f>
        <v>0</v>
      </c>
      <c r="DS52" s="53">
        <f>SUMIFS('MtM Releases'!$M:$M,'MtM Releases'!$G:$G,RESULTADO!$BN52,'MtM Releases'!$F:$F,RESULTADO!$BN48,'MtM Releases'!$D:$D,RESULTADO!DS$3)</f>
        <v>0</v>
      </c>
      <c r="DT52" s="53">
        <f>SUMIFS('MtM Releases'!$M:$M,'MtM Releases'!$G:$G,RESULTADO!$BN52,'MtM Releases'!$F:$F,RESULTADO!$BN48,'MtM Releases'!$D:$D,RESULTADO!DT$3)</f>
        <v>0</v>
      </c>
      <c r="DU52" s="53">
        <f>SUMIFS('MtM Releases'!$M:$M,'MtM Releases'!$G:$G,RESULTADO!$BN52,'MtM Releases'!$F:$F,RESULTADO!$BN48,'MtM Releases'!$D:$D,RESULTADO!DU$3)</f>
        <v>0</v>
      </c>
      <c r="DV52" s="63">
        <f>SUMIFS('MtM Releases'!$M:$M,'MtM Releases'!$G:$G,RESULTADO!$BN52,'MtM Releases'!$F:$F,RESULTADO!$BN48,'MtM Releases'!$D:$D,RESULTADO!DV$3)</f>
        <v>0</v>
      </c>
    </row>
    <row r="53" spans="2:126" x14ac:dyDescent="0.25">
      <c r="B53" s="56" t="s">
        <v>5</v>
      </c>
      <c r="C53" s="68">
        <f>SUM(C54:C57)</f>
        <v>0</v>
      </c>
      <c r="D53" s="68">
        <f t="shared" ref="D53:BJ53" si="47">SUM(D54:D57)</f>
        <v>2488483.2000000002</v>
      </c>
      <c r="E53" s="68">
        <f t="shared" si="47"/>
        <v>2109240</v>
      </c>
      <c r="F53" s="68">
        <f t="shared" si="47"/>
        <v>504000</v>
      </c>
      <c r="G53" s="68">
        <f t="shared" si="47"/>
        <v>0</v>
      </c>
      <c r="H53" s="68">
        <f t="shared" si="47"/>
        <v>-2378216.8600000003</v>
      </c>
      <c r="I53" s="68">
        <f t="shared" si="47"/>
        <v>-3105880.080000001</v>
      </c>
      <c r="J53" s="68">
        <f t="shared" si="47"/>
        <v>-761930.39999999991</v>
      </c>
      <c r="K53" s="68">
        <f t="shared" si="47"/>
        <v>0</v>
      </c>
      <c r="L53" s="68">
        <f t="shared" si="47"/>
        <v>0</v>
      </c>
      <c r="M53" s="68">
        <f t="shared" si="47"/>
        <v>0</v>
      </c>
      <c r="N53" s="69">
        <f t="shared" si="47"/>
        <v>0</v>
      </c>
      <c r="O53" s="68">
        <f t="shared" si="47"/>
        <v>0</v>
      </c>
      <c r="P53" s="68">
        <f t="shared" si="47"/>
        <v>0</v>
      </c>
      <c r="Q53" s="68">
        <f t="shared" si="47"/>
        <v>0</v>
      </c>
      <c r="R53" s="68">
        <f t="shared" si="47"/>
        <v>0</v>
      </c>
      <c r="S53" s="68">
        <f t="shared" si="47"/>
        <v>0</v>
      </c>
      <c r="T53" s="68">
        <f t="shared" si="47"/>
        <v>0</v>
      </c>
      <c r="U53" s="68">
        <f t="shared" si="47"/>
        <v>0</v>
      </c>
      <c r="V53" s="68">
        <f t="shared" si="47"/>
        <v>0</v>
      </c>
      <c r="W53" s="68">
        <f t="shared" si="47"/>
        <v>0</v>
      </c>
      <c r="X53" s="68">
        <f t="shared" si="47"/>
        <v>0</v>
      </c>
      <c r="Y53" s="68">
        <f t="shared" si="47"/>
        <v>0</v>
      </c>
      <c r="Z53" s="70">
        <f t="shared" si="47"/>
        <v>0</v>
      </c>
      <c r="AA53" s="68">
        <f t="shared" si="47"/>
        <v>124109.24710888113</v>
      </c>
      <c r="AB53" s="68">
        <f t="shared" si="47"/>
        <v>116102.19890830817</v>
      </c>
      <c r="AC53" s="68">
        <f t="shared" si="47"/>
        <v>124109.24710888113</v>
      </c>
      <c r="AD53" s="68">
        <f t="shared" si="47"/>
        <v>120105.72300859471</v>
      </c>
      <c r="AE53" s="68">
        <f t="shared" si="47"/>
        <v>124109.24710888113</v>
      </c>
      <c r="AF53" s="68">
        <f t="shared" si="47"/>
        <v>120105.72300859471</v>
      </c>
      <c r="AG53" s="68">
        <f t="shared" si="47"/>
        <v>124109.24710888113</v>
      </c>
      <c r="AH53" s="68">
        <f t="shared" si="47"/>
        <v>124109.24710888113</v>
      </c>
      <c r="AI53" s="68">
        <f t="shared" si="47"/>
        <v>120105.72300859471</v>
      </c>
      <c r="AJ53" s="68">
        <f t="shared" si="47"/>
        <v>124109.24710888113</v>
      </c>
      <c r="AK53" s="68">
        <f t="shared" si="47"/>
        <v>120105.72300859471</v>
      </c>
      <c r="AL53" s="69">
        <f t="shared" si="47"/>
        <v>124109.24710888113</v>
      </c>
      <c r="AM53" s="68">
        <f t="shared" si="47"/>
        <v>0</v>
      </c>
      <c r="AN53" s="68">
        <f t="shared" si="47"/>
        <v>0</v>
      </c>
      <c r="AO53" s="68">
        <f t="shared" si="47"/>
        <v>0</v>
      </c>
      <c r="AP53" s="68">
        <f t="shared" si="47"/>
        <v>0</v>
      </c>
      <c r="AQ53" s="68">
        <f t="shared" si="47"/>
        <v>0</v>
      </c>
      <c r="AR53" s="68">
        <f t="shared" si="47"/>
        <v>0</v>
      </c>
      <c r="AS53" s="68">
        <f t="shared" si="47"/>
        <v>0</v>
      </c>
      <c r="AT53" s="68">
        <f t="shared" si="47"/>
        <v>0</v>
      </c>
      <c r="AU53" s="68">
        <f t="shared" si="47"/>
        <v>0</v>
      </c>
      <c r="AV53" s="68">
        <f t="shared" si="47"/>
        <v>0</v>
      </c>
      <c r="AW53" s="68">
        <f t="shared" si="47"/>
        <v>0</v>
      </c>
      <c r="AX53" s="70">
        <f t="shared" si="47"/>
        <v>0</v>
      </c>
      <c r="AY53" s="68">
        <f t="shared" si="47"/>
        <v>0</v>
      </c>
      <c r="AZ53" s="68">
        <f t="shared" si="47"/>
        <v>0</v>
      </c>
      <c r="BA53" s="68">
        <f t="shared" si="47"/>
        <v>0</v>
      </c>
      <c r="BB53" s="68">
        <f t="shared" si="47"/>
        <v>0</v>
      </c>
      <c r="BC53" s="68">
        <f t="shared" si="47"/>
        <v>0</v>
      </c>
      <c r="BD53" s="68">
        <f t="shared" si="47"/>
        <v>0</v>
      </c>
      <c r="BE53" s="68">
        <f t="shared" si="47"/>
        <v>0</v>
      </c>
      <c r="BF53" s="68">
        <f t="shared" si="47"/>
        <v>0</v>
      </c>
      <c r="BG53" s="68">
        <f t="shared" si="47"/>
        <v>0</v>
      </c>
      <c r="BH53" s="68">
        <f t="shared" si="47"/>
        <v>0</v>
      </c>
      <c r="BI53" s="68">
        <f t="shared" si="47"/>
        <v>0</v>
      </c>
      <c r="BJ53" s="70">
        <f t="shared" si="47"/>
        <v>0</v>
      </c>
      <c r="BL53" s="120"/>
      <c r="BN53" s="56" t="s">
        <v>5</v>
      </c>
      <c r="BO53" s="68">
        <f>SUM(BO54:BO57)</f>
        <v>0</v>
      </c>
      <c r="BP53" s="68">
        <f t="shared" ref="BP53:DV53" si="48">SUM(BP54:BP57)</f>
        <v>-2488483.2000000002</v>
      </c>
      <c r="BQ53" s="68">
        <f t="shared" si="48"/>
        <v>-2109240</v>
      </c>
      <c r="BR53" s="68">
        <f t="shared" si="48"/>
        <v>-504000</v>
      </c>
      <c r="BS53" s="68">
        <f t="shared" si="48"/>
        <v>0</v>
      </c>
      <c r="BT53" s="68">
        <f t="shared" si="48"/>
        <v>2378231.2600000002</v>
      </c>
      <c r="BU53" s="68">
        <f t="shared" si="48"/>
        <v>3105880.080000001</v>
      </c>
      <c r="BV53" s="68">
        <f t="shared" si="48"/>
        <v>579650.39999999991</v>
      </c>
      <c r="BW53" s="68">
        <f t="shared" si="48"/>
        <v>0</v>
      </c>
      <c r="BX53" s="68">
        <f t="shared" si="48"/>
        <v>0</v>
      </c>
      <c r="BY53" s="68">
        <f t="shared" si="48"/>
        <v>0</v>
      </c>
      <c r="BZ53" s="69">
        <f t="shared" si="48"/>
        <v>0</v>
      </c>
      <c r="CA53" s="68">
        <f t="shared" si="48"/>
        <v>0</v>
      </c>
      <c r="CB53" s="68">
        <f t="shared" si="48"/>
        <v>0</v>
      </c>
      <c r="CC53" s="68">
        <f t="shared" si="48"/>
        <v>0</v>
      </c>
      <c r="CD53" s="68">
        <f t="shared" si="48"/>
        <v>0</v>
      </c>
      <c r="CE53" s="68">
        <f t="shared" si="48"/>
        <v>0</v>
      </c>
      <c r="CF53" s="68">
        <f t="shared" si="48"/>
        <v>0</v>
      </c>
      <c r="CG53" s="68">
        <f t="shared" si="48"/>
        <v>0</v>
      </c>
      <c r="CH53" s="68">
        <f t="shared" si="48"/>
        <v>0</v>
      </c>
      <c r="CI53" s="68">
        <f t="shared" si="48"/>
        <v>0</v>
      </c>
      <c r="CJ53" s="68">
        <f t="shared" si="48"/>
        <v>0</v>
      </c>
      <c r="CK53" s="68">
        <f t="shared" si="48"/>
        <v>0</v>
      </c>
      <c r="CL53" s="70">
        <f t="shared" si="48"/>
        <v>0</v>
      </c>
      <c r="CM53" s="68">
        <f t="shared" si="48"/>
        <v>0</v>
      </c>
      <c r="CN53" s="68">
        <f t="shared" si="48"/>
        <v>0</v>
      </c>
      <c r="CO53" s="68">
        <f t="shared" si="48"/>
        <v>0</v>
      </c>
      <c r="CP53" s="68">
        <f t="shared" si="48"/>
        <v>0</v>
      </c>
      <c r="CQ53" s="68">
        <f t="shared" si="48"/>
        <v>0</v>
      </c>
      <c r="CR53" s="68">
        <f t="shared" si="48"/>
        <v>0</v>
      </c>
      <c r="CS53" s="68">
        <f t="shared" si="48"/>
        <v>0</v>
      </c>
      <c r="CT53" s="68">
        <f t="shared" si="48"/>
        <v>0</v>
      </c>
      <c r="CU53" s="68">
        <f t="shared" si="48"/>
        <v>0</v>
      </c>
      <c r="CV53" s="68">
        <f t="shared" si="48"/>
        <v>0</v>
      </c>
      <c r="CW53" s="68">
        <f t="shared" si="48"/>
        <v>0</v>
      </c>
      <c r="CX53" s="69">
        <f t="shared" si="48"/>
        <v>0</v>
      </c>
      <c r="CY53" s="68">
        <f t="shared" si="48"/>
        <v>0</v>
      </c>
      <c r="CZ53" s="68">
        <f t="shared" si="48"/>
        <v>0</v>
      </c>
      <c r="DA53" s="68">
        <f t="shared" si="48"/>
        <v>0</v>
      </c>
      <c r="DB53" s="68">
        <f t="shared" si="48"/>
        <v>0</v>
      </c>
      <c r="DC53" s="68">
        <f t="shared" si="48"/>
        <v>0</v>
      </c>
      <c r="DD53" s="68">
        <f t="shared" si="48"/>
        <v>0</v>
      </c>
      <c r="DE53" s="68">
        <f t="shared" si="48"/>
        <v>0</v>
      </c>
      <c r="DF53" s="68">
        <f t="shared" si="48"/>
        <v>0</v>
      </c>
      <c r="DG53" s="68">
        <f t="shared" si="48"/>
        <v>0</v>
      </c>
      <c r="DH53" s="68">
        <f t="shared" si="48"/>
        <v>0</v>
      </c>
      <c r="DI53" s="68">
        <f t="shared" si="48"/>
        <v>0</v>
      </c>
      <c r="DJ53" s="70">
        <f t="shared" si="48"/>
        <v>0</v>
      </c>
      <c r="DK53" s="68">
        <f t="shared" si="48"/>
        <v>0</v>
      </c>
      <c r="DL53" s="68">
        <f t="shared" si="48"/>
        <v>0</v>
      </c>
      <c r="DM53" s="68">
        <f t="shared" si="48"/>
        <v>0</v>
      </c>
      <c r="DN53" s="68">
        <f t="shared" si="48"/>
        <v>0</v>
      </c>
      <c r="DO53" s="68">
        <f t="shared" si="48"/>
        <v>0</v>
      </c>
      <c r="DP53" s="68">
        <f t="shared" si="48"/>
        <v>0</v>
      </c>
      <c r="DQ53" s="68">
        <f t="shared" si="48"/>
        <v>0</v>
      </c>
      <c r="DR53" s="68">
        <f t="shared" si="48"/>
        <v>0</v>
      </c>
      <c r="DS53" s="68">
        <f t="shared" si="48"/>
        <v>0</v>
      </c>
      <c r="DT53" s="68">
        <f t="shared" si="48"/>
        <v>0</v>
      </c>
      <c r="DU53" s="68">
        <f t="shared" si="48"/>
        <v>0</v>
      </c>
      <c r="DV53" s="70">
        <f t="shared" si="48"/>
        <v>0</v>
      </c>
    </row>
    <row r="54" spans="2:126" x14ac:dyDescent="0.25">
      <c r="B54" s="57" t="s">
        <v>44</v>
      </c>
      <c r="C54" s="339">
        <f>(SUMIFS(MtM!$V:$V,MtM!$I:$I,RESULTADO!$B54,MtM!$H:$H,RESULTADO!$B$53,MtM!$E:$E,RESULTADO!C$42))</f>
        <v>0</v>
      </c>
      <c r="D54" s="339">
        <f>(SUMIFS(MtM!$V:$V,MtM!$I:$I,RESULTADO!$B54,MtM!$H:$H,RESULTADO!$B$53,MtM!$E:$E,RESULTADO!D$42))</f>
        <v>2488483.2000000002</v>
      </c>
      <c r="E54" s="53">
        <f>(SUMIFS(MtM!$V:$V,MtM!$I:$I,RESULTADO!$B54,MtM!$H:$H,RESULTADO!$B$53,MtM!$E:$E,RESULTADO!E$42))</f>
        <v>2109240</v>
      </c>
      <c r="F54" s="53">
        <f>(SUMIFS(MtM!$V:$V,MtM!$I:$I,RESULTADO!$B54,MtM!$H:$H,RESULTADO!$B$53,MtM!$E:$E,RESULTADO!F$42))</f>
        <v>504000</v>
      </c>
      <c r="G54" s="53">
        <f>(SUMIFS(MtM!$V:$V,MtM!$I:$I,RESULTADO!$B54,MtM!$H:$H,RESULTADO!$B$53,MtM!$E:$E,RESULTADO!G$42))</f>
        <v>0</v>
      </c>
      <c r="H54" s="53">
        <f>(SUMIFS(MtM!$V:$V,MtM!$I:$I,RESULTADO!$B54,MtM!$H:$H,RESULTADO!$B$53,MtM!$E:$E,RESULTADO!H$42))</f>
        <v>-2316492.7000000002</v>
      </c>
      <c r="I54" s="53">
        <f>(SUMIFS(MtM!$V:$V,MtM!$I:$I,RESULTADO!$B54,MtM!$H:$H,RESULTADO!$B$53,MtM!$E:$E,RESULTADO!I$42))</f>
        <v>-2658505.4400000004</v>
      </c>
      <c r="J54" s="53">
        <f>(SUMIFS(MtM!$V:$V,MtM!$I:$I,RESULTADO!$B54,MtM!$H:$H,RESULTADO!$B$53,MtM!$E:$E,RESULTADO!J$42))</f>
        <v>-761930.39999999991</v>
      </c>
      <c r="K54" s="53">
        <f>(SUMIFS(MtM!$V:$V,MtM!$I:$I,RESULTADO!$B54,MtM!$H:$H,RESULTADO!$B$53,MtM!$E:$E,RESULTADO!K$42))</f>
        <v>0</v>
      </c>
      <c r="L54" s="53">
        <f>(SUMIFS(MtM!$V:$V,MtM!$I:$I,RESULTADO!$B54,MtM!$H:$H,RESULTADO!$B$53,MtM!$E:$E,RESULTADO!L$42))</f>
        <v>0</v>
      </c>
      <c r="M54" s="53">
        <f>(SUMIFS(MtM!$V:$V,MtM!$I:$I,RESULTADO!$B54,MtM!$H:$H,RESULTADO!$B$53,MtM!$E:$E,RESULTADO!M$42))</f>
        <v>0</v>
      </c>
      <c r="N54" s="54">
        <f>(SUMIFS(MtM!$V:$V,MtM!$I:$I,RESULTADO!$B54,MtM!$H:$H,RESULTADO!$B$53,MtM!$E:$E,RESULTADO!N$42))</f>
        <v>0</v>
      </c>
      <c r="O54" s="53">
        <f>(SUMIFS(MtM!$V:$V,MtM!$I:$I,RESULTADO!$B54,MtM!$H:$H,RESULTADO!$B$53,MtM!$E:$E,RESULTADO!O$42))</f>
        <v>0</v>
      </c>
      <c r="P54" s="53">
        <f>(SUMIFS(MtM!$V:$V,MtM!$I:$I,RESULTADO!$B54,MtM!$H:$H,RESULTADO!$B$53,MtM!$E:$E,RESULTADO!P$42))</f>
        <v>0</v>
      </c>
      <c r="Q54" s="53">
        <f>(SUMIFS(MtM!$V:$V,MtM!$I:$I,RESULTADO!$B54,MtM!$H:$H,RESULTADO!$B$53,MtM!$E:$E,RESULTADO!Q$42))</f>
        <v>0</v>
      </c>
      <c r="R54" s="53">
        <f>(SUMIFS(MtM!$V:$V,MtM!$I:$I,RESULTADO!$B54,MtM!$H:$H,RESULTADO!$B$53,MtM!$E:$E,RESULTADO!R$42))</f>
        <v>0</v>
      </c>
      <c r="S54" s="53">
        <f>(SUMIFS(MtM!$V:$V,MtM!$I:$I,RESULTADO!$B54,MtM!$H:$H,RESULTADO!$B$53,MtM!$E:$E,RESULTADO!S$42))</f>
        <v>0</v>
      </c>
      <c r="T54" s="53">
        <f>(SUMIFS(MtM!$V:$V,MtM!$I:$I,RESULTADO!$B54,MtM!$H:$H,RESULTADO!$B$53,MtM!$E:$E,RESULTADO!T$42))</f>
        <v>0</v>
      </c>
      <c r="U54" s="53">
        <f>(SUMIFS(MtM!$V:$V,MtM!$I:$I,RESULTADO!$B54,MtM!$H:$H,RESULTADO!$B$53,MtM!$E:$E,RESULTADO!U$42))</f>
        <v>0</v>
      </c>
      <c r="V54" s="53">
        <f>(SUMIFS(MtM!$V:$V,MtM!$I:$I,RESULTADO!$B54,MtM!$H:$H,RESULTADO!$B$53,MtM!$E:$E,RESULTADO!V$42))</f>
        <v>0</v>
      </c>
      <c r="W54" s="53">
        <f>(SUMIFS(MtM!$V:$V,MtM!$I:$I,RESULTADO!$B54,MtM!$H:$H,RESULTADO!$B$53,MtM!$E:$E,RESULTADO!W$42))</f>
        <v>0</v>
      </c>
      <c r="X54" s="53">
        <f>(SUMIFS(MtM!$V:$V,MtM!$I:$I,RESULTADO!$B54,MtM!$H:$H,RESULTADO!$B$53,MtM!$E:$E,RESULTADO!X$42))</f>
        <v>0</v>
      </c>
      <c r="Y54" s="53">
        <f>(SUMIFS(MtM!$V:$V,MtM!$I:$I,RESULTADO!$B54,MtM!$H:$H,RESULTADO!$B$53,MtM!$E:$E,RESULTADO!Y$42))</f>
        <v>0</v>
      </c>
      <c r="Z54" s="63">
        <f>(SUMIFS(MtM!$V:$V,MtM!$I:$I,RESULTADO!$B54,MtM!$H:$H,RESULTADO!$B$53,MtM!$E:$E,RESULTADO!Z$42))</f>
        <v>0</v>
      </c>
      <c r="AA54" s="339">
        <f>(SUMIFS(MtM!$V:$V,MtM!$I:$I,RESULTADO!$B54,MtM!$H:$H,RESULTADO!$B$53,MtM!$E:$E,RESULTADO!AA$42))</f>
        <v>124109.24710888113</v>
      </c>
      <c r="AB54" s="339">
        <f>(SUMIFS(MtM!$V:$V,MtM!$I:$I,RESULTADO!$B54,MtM!$H:$H,RESULTADO!$B$53,MtM!$E:$E,RESULTADO!AB$42))</f>
        <v>116102.19890830817</v>
      </c>
      <c r="AC54" s="53">
        <f>(SUMIFS(MtM!$V:$V,MtM!$I:$I,RESULTADO!$B54,MtM!$H:$H,RESULTADO!$B$53,MtM!$E:$E,RESULTADO!AC$42))</f>
        <v>124109.24710888113</v>
      </c>
      <c r="AD54" s="53">
        <f>(SUMIFS(MtM!$V:$V,MtM!$I:$I,RESULTADO!$B54,MtM!$H:$H,RESULTADO!$B$53,MtM!$E:$E,RESULTADO!AD$42))</f>
        <v>120105.72300859471</v>
      </c>
      <c r="AE54" s="53">
        <f>(SUMIFS(MtM!$V:$V,MtM!$I:$I,RESULTADO!$B54,MtM!$H:$H,RESULTADO!$B$53,MtM!$E:$E,RESULTADO!AE$42))</f>
        <v>124109.24710888113</v>
      </c>
      <c r="AF54" s="53">
        <f>(SUMIFS(MtM!$V:$V,MtM!$I:$I,RESULTADO!$B54,MtM!$H:$H,RESULTADO!$B$53,MtM!$E:$E,RESULTADO!AF$42))</f>
        <v>120105.72300859471</v>
      </c>
      <c r="AG54" s="53">
        <f>(SUMIFS(MtM!$V:$V,MtM!$I:$I,RESULTADO!$B54,MtM!$H:$H,RESULTADO!$B$53,MtM!$E:$E,RESULTADO!AG$42))</f>
        <v>124109.24710888113</v>
      </c>
      <c r="AH54" s="53">
        <f>(SUMIFS(MtM!$V:$V,MtM!$I:$I,RESULTADO!$B54,MtM!$H:$H,RESULTADO!$B$53,MtM!$E:$E,RESULTADO!AH$42))</f>
        <v>124109.24710888113</v>
      </c>
      <c r="AI54" s="53">
        <f>(SUMIFS(MtM!$V:$V,MtM!$I:$I,RESULTADO!$B54,MtM!$H:$H,RESULTADO!$B$53,MtM!$E:$E,RESULTADO!AI$42))</f>
        <v>120105.72300859471</v>
      </c>
      <c r="AJ54" s="53">
        <f>(SUMIFS(MtM!$V:$V,MtM!$I:$I,RESULTADO!$B54,MtM!$H:$H,RESULTADO!$B$53,MtM!$E:$E,RESULTADO!AJ$42))</f>
        <v>124109.24710888113</v>
      </c>
      <c r="AK54" s="53">
        <f>(SUMIFS(MtM!$V:$V,MtM!$I:$I,RESULTADO!$B54,MtM!$H:$H,RESULTADO!$B$53,MtM!$E:$E,RESULTADO!AK$42))</f>
        <v>120105.72300859471</v>
      </c>
      <c r="AL54" s="54">
        <f>(SUMIFS(MtM!$V:$V,MtM!$I:$I,RESULTADO!$B54,MtM!$H:$H,RESULTADO!$B$53,MtM!$E:$E,RESULTADO!AL$42))</f>
        <v>124109.24710888113</v>
      </c>
      <c r="AM54" s="53">
        <f>(SUMIFS(MtM!$V:$V,MtM!$I:$I,RESULTADO!$B54,MtM!$H:$H,RESULTADO!$B$53,MtM!$E:$E,RESULTADO!AM$42))</f>
        <v>0</v>
      </c>
      <c r="AN54" s="53">
        <f>(SUMIFS(MtM!$V:$V,MtM!$I:$I,RESULTADO!$B54,MtM!$H:$H,RESULTADO!$B$53,MtM!$E:$E,RESULTADO!AN$42))</f>
        <v>0</v>
      </c>
      <c r="AO54" s="53">
        <f>(SUMIFS(MtM!$V:$V,MtM!$I:$I,RESULTADO!$B54,MtM!$H:$H,RESULTADO!$B$53,MtM!$E:$E,RESULTADO!AO$42))</f>
        <v>0</v>
      </c>
      <c r="AP54" s="53">
        <f>(SUMIFS(MtM!$V:$V,MtM!$I:$I,RESULTADO!$B54,MtM!$H:$H,RESULTADO!$B$53,MtM!$E:$E,RESULTADO!AP$42))</f>
        <v>0</v>
      </c>
      <c r="AQ54" s="53">
        <f>(SUMIFS(MtM!$V:$V,MtM!$I:$I,RESULTADO!$B54,MtM!$H:$H,RESULTADO!$B$53,MtM!$E:$E,RESULTADO!AQ$42))</f>
        <v>0</v>
      </c>
      <c r="AR54" s="53">
        <f>(SUMIFS(MtM!$V:$V,MtM!$I:$I,RESULTADO!$B54,MtM!$H:$H,RESULTADO!$B$53,MtM!$E:$E,RESULTADO!AR$42))</f>
        <v>0</v>
      </c>
      <c r="AS54" s="53">
        <f>(SUMIFS(MtM!$V:$V,MtM!$I:$I,RESULTADO!$B54,MtM!$H:$H,RESULTADO!$B$53,MtM!$E:$E,RESULTADO!AS$42))</f>
        <v>0</v>
      </c>
      <c r="AT54" s="53">
        <f>(SUMIFS(MtM!$V:$V,MtM!$I:$I,RESULTADO!$B54,MtM!$H:$H,RESULTADO!$B$53,MtM!$E:$E,RESULTADO!AT$42))</f>
        <v>0</v>
      </c>
      <c r="AU54" s="53">
        <f>(SUMIFS(MtM!$V:$V,MtM!$I:$I,RESULTADO!$B54,MtM!$H:$H,RESULTADO!$B$53,MtM!$E:$E,RESULTADO!AU$42))</f>
        <v>0</v>
      </c>
      <c r="AV54" s="53">
        <f>(SUMIFS(MtM!$V:$V,MtM!$I:$I,RESULTADO!$B54,MtM!$H:$H,RESULTADO!$B$53,MtM!$E:$E,RESULTADO!AV$42))</f>
        <v>0</v>
      </c>
      <c r="AW54" s="53">
        <f>(SUMIFS(MtM!$V:$V,MtM!$I:$I,RESULTADO!$B54,MtM!$H:$H,RESULTADO!$B$53,MtM!$E:$E,RESULTADO!AW$42))</f>
        <v>0</v>
      </c>
      <c r="AX54" s="63">
        <f>(SUMIFS(MtM!$V:$V,MtM!$I:$I,RESULTADO!$B54,MtM!$H:$H,RESULTADO!$B$53,MtM!$E:$E,RESULTADO!AX$42))</f>
        <v>0</v>
      </c>
      <c r="AY54" s="53">
        <f>(SUMIFS(MtM!$V:$V,MtM!$I:$I,RESULTADO!$B54,MtM!$H:$H,RESULTADO!$B$53,MtM!$E:$E,RESULTADO!AY$42))</f>
        <v>0</v>
      </c>
      <c r="AZ54" s="53">
        <f>(SUMIFS(MtM!$V:$V,MtM!$I:$I,RESULTADO!$B54,MtM!$H:$H,RESULTADO!$B$53,MtM!$E:$E,RESULTADO!AZ$42))</f>
        <v>0</v>
      </c>
      <c r="BA54" s="53">
        <f>(SUMIFS(MtM!$V:$V,MtM!$I:$I,RESULTADO!$B54,MtM!$H:$H,RESULTADO!$B$53,MtM!$E:$E,RESULTADO!BA$42))</f>
        <v>0</v>
      </c>
      <c r="BB54" s="53">
        <f>(SUMIFS(MtM!$V:$V,MtM!$I:$I,RESULTADO!$B54,MtM!$H:$H,RESULTADO!$B$53,MtM!$E:$E,RESULTADO!BB$42))</f>
        <v>0</v>
      </c>
      <c r="BC54" s="53">
        <f>(SUMIFS(MtM!$V:$V,MtM!$I:$I,RESULTADO!$B54,MtM!$H:$H,RESULTADO!$B$53,MtM!$E:$E,RESULTADO!BC$42))</f>
        <v>0</v>
      </c>
      <c r="BD54" s="53">
        <f>(SUMIFS(MtM!$V:$V,MtM!$I:$I,RESULTADO!$B54,MtM!$H:$H,RESULTADO!$B$53,MtM!$E:$E,RESULTADO!BD$42))</f>
        <v>0</v>
      </c>
      <c r="BE54" s="53">
        <f>(SUMIFS(MtM!$V:$V,MtM!$I:$I,RESULTADO!$B54,MtM!$H:$H,RESULTADO!$B$53,MtM!$E:$E,RESULTADO!BE$42))</f>
        <v>0</v>
      </c>
      <c r="BF54" s="53">
        <f>(SUMIFS(MtM!$V:$V,MtM!$I:$I,RESULTADO!$B54,MtM!$H:$H,RESULTADO!$B$53,MtM!$E:$E,RESULTADO!BF$42))</f>
        <v>0</v>
      </c>
      <c r="BG54" s="53">
        <f>(SUMIFS(MtM!$V:$V,MtM!$I:$I,RESULTADO!$B54,MtM!$H:$H,RESULTADO!$B$53,MtM!$E:$E,RESULTADO!BG$42))</f>
        <v>0</v>
      </c>
      <c r="BH54" s="53">
        <f>(SUMIFS(MtM!$V:$V,MtM!$I:$I,RESULTADO!$B54,MtM!$H:$H,RESULTADO!$B$53,MtM!$E:$E,RESULTADO!BH$42))</f>
        <v>0</v>
      </c>
      <c r="BI54" s="53">
        <f>(SUMIFS(MtM!$V:$V,MtM!$I:$I,RESULTADO!$B54,MtM!$H:$H,RESULTADO!$B$53,MtM!$E:$E,RESULTADO!BI$42))</f>
        <v>0</v>
      </c>
      <c r="BJ54" s="63">
        <f>(SUMIFS(MtM!$V:$V,MtM!$I:$I,RESULTADO!$B54,MtM!$H:$H,RESULTADO!$B$53,MtM!$E:$E,RESULTADO!BJ$42))</f>
        <v>0</v>
      </c>
      <c r="BL54" s="120"/>
      <c r="BN54" s="57" t="s">
        <v>44</v>
      </c>
      <c r="BO54" s="53">
        <f>SUMIFS('MtM Releases'!$M:$M,'MtM Releases'!$G:$G,RESULTADO!$BN54,'MtM Releases'!$F:$F,RESULTADO!$BN53,'MtM Releases'!$D:$D,RESULTADO!BO$3)</f>
        <v>0</v>
      </c>
      <c r="BP54" s="53">
        <f>SUMIFS('MtM Releases'!$M:$M,'MtM Releases'!$G:$G,RESULTADO!$BN54,'MtM Releases'!$F:$F,RESULTADO!$BN53,'MtM Releases'!$D:$D,RESULTADO!BP$3)</f>
        <v>-2488483.2000000002</v>
      </c>
      <c r="BQ54" s="53">
        <f>SUMIFS('MtM Releases'!$M:$M,'MtM Releases'!$G:$G,RESULTADO!$BN54,'MtM Releases'!$F:$F,RESULTADO!$BN53,'MtM Releases'!$D:$D,RESULTADO!BQ$3)</f>
        <v>-2109240</v>
      </c>
      <c r="BR54" s="53">
        <f>SUMIFS('MtM Releases'!$M:$M,'MtM Releases'!$G:$G,RESULTADO!$BN54,'MtM Releases'!$F:$F,RESULTADO!$BN53,'MtM Releases'!$D:$D,RESULTADO!BR$3)</f>
        <v>-504000</v>
      </c>
      <c r="BS54" s="53">
        <f>SUMIFS('MtM Releases'!$M:$M,'MtM Releases'!$G:$G,RESULTADO!$BN54,'MtM Releases'!$F:$F,RESULTADO!$BN53,'MtM Releases'!$D:$D,RESULTADO!BS$3)</f>
        <v>0</v>
      </c>
      <c r="BT54" s="53">
        <f>SUMIFS('MtM Releases'!$M:$M,'MtM Releases'!$G:$G,RESULTADO!$BN54,'MtM Releases'!$F:$F,RESULTADO!$BN53,'MtM Releases'!$D:$D,RESULTADO!BT$3)</f>
        <v>2316507.1</v>
      </c>
      <c r="BU54" s="53">
        <f>SUMIFS('MtM Releases'!$M:$M,'MtM Releases'!$G:$G,RESULTADO!$BN54,'MtM Releases'!$F:$F,RESULTADO!$BN53,'MtM Releases'!$D:$D,RESULTADO!BU$3)</f>
        <v>2658505.4400000004</v>
      </c>
      <c r="BV54" s="53">
        <f>SUMIFS('MtM Releases'!$M:$M,'MtM Releases'!$G:$G,RESULTADO!$BN54,'MtM Releases'!$F:$F,RESULTADO!$BN53,'MtM Releases'!$D:$D,RESULTADO!BV$3)</f>
        <v>579650.39999999991</v>
      </c>
      <c r="BW54" s="53">
        <f>SUMIFS('MtM Releases'!$M:$M,'MtM Releases'!$G:$G,RESULTADO!$BN54,'MtM Releases'!$F:$F,RESULTADO!$BN53,'MtM Releases'!$D:$D,RESULTADO!BW$3)</f>
        <v>0</v>
      </c>
      <c r="BX54" s="53">
        <f>SUMIFS('MtM Releases'!$M:$M,'MtM Releases'!$G:$G,RESULTADO!$BN54,'MtM Releases'!$F:$F,RESULTADO!$BN53,'MtM Releases'!$D:$D,RESULTADO!BX$3)</f>
        <v>0</v>
      </c>
      <c r="BY54" s="53">
        <f>SUMIFS('MtM Releases'!$M:$M,'MtM Releases'!$G:$G,RESULTADO!$BN54,'MtM Releases'!$F:$F,RESULTADO!$BN53,'MtM Releases'!$D:$D,RESULTADO!BY$3)</f>
        <v>0</v>
      </c>
      <c r="BZ54" s="54">
        <f>SUMIFS('MtM Releases'!$M:$M,'MtM Releases'!$G:$G,RESULTADO!$BN54,'MtM Releases'!$F:$F,RESULTADO!$BN53,'MtM Releases'!$D:$D,RESULTADO!BZ$3)</f>
        <v>0</v>
      </c>
      <c r="CA54" s="53">
        <f>SUMIFS('MtM Releases'!$M:$M,'MtM Releases'!$G:$G,RESULTADO!$BN54,'MtM Releases'!$F:$F,RESULTADO!$BN53,'MtM Releases'!$D:$D,RESULTADO!CA$3)</f>
        <v>0</v>
      </c>
      <c r="CB54" s="53">
        <f>SUMIFS('MtM Releases'!$M:$M,'MtM Releases'!$G:$G,RESULTADO!$BN54,'MtM Releases'!$F:$F,RESULTADO!$BN53,'MtM Releases'!$D:$D,RESULTADO!CB$3)</f>
        <v>0</v>
      </c>
      <c r="CC54" s="53">
        <f>SUMIFS('MtM Releases'!$M:$M,'MtM Releases'!$G:$G,RESULTADO!$BN54,'MtM Releases'!$F:$F,RESULTADO!$BN53,'MtM Releases'!$D:$D,RESULTADO!CC$3)</f>
        <v>0</v>
      </c>
      <c r="CD54" s="53">
        <f>SUMIFS('MtM Releases'!$M:$M,'MtM Releases'!$G:$G,RESULTADO!$BN54,'MtM Releases'!$F:$F,RESULTADO!$BN53,'MtM Releases'!$D:$D,RESULTADO!CD$3)</f>
        <v>0</v>
      </c>
      <c r="CE54" s="53">
        <f>SUMIFS('MtM Releases'!$M:$M,'MtM Releases'!$G:$G,RESULTADO!$BN54,'MtM Releases'!$F:$F,RESULTADO!$BN53,'MtM Releases'!$D:$D,RESULTADO!CE$3)</f>
        <v>0</v>
      </c>
      <c r="CF54" s="53">
        <f>SUMIFS('MtM Releases'!$M:$M,'MtM Releases'!$G:$G,RESULTADO!$BN54,'MtM Releases'!$F:$F,RESULTADO!$BN53,'MtM Releases'!$D:$D,RESULTADO!CF$3)</f>
        <v>0</v>
      </c>
      <c r="CG54" s="53">
        <f>SUMIFS('MtM Releases'!$M:$M,'MtM Releases'!$G:$G,RESULTADO!$BN54,'MtM Releases'!$F:$F,RESULTADO!$BN53,'MtM Releases'!$D:$D,RESULTADO!CG$3)</f>
        <v>0</v>
      </c>
      <c r="CH54" s="53">
        <f>SUMIFS('MtM Releases'!$M:$M,'MtM Releases'!$G:$G,RESULTADO!$BN54,'MtM Releases'!$F:$F,RESULTADO!$BN53,'MtM Releases'!$D:$D,RESULTADO!CH$3)</f>
        <v>0</v>
      </c>
      <c r="CI54" s="53">
        <f>SUMIFS('MtM Releases'!$M:$M,'MtM Releases'!$G:$G,RESULTADO!$BN54,'MtM Releases'!$F:$F,RESULTADO!$BN53,'MtM Releases'!$D:$D,RESULTADO!CI$3)</f>
        <v>0</v>
      </c>
      <c r="CJ54" s="53">
        <f>SUMIFS('MtM Releases'!$M:$M,'MtM Releases'!$G:$G,RESULTADO!$BN54,'MtM Releases'!$F:$F,RESULTADO!$BN53,'MtM Releases'!$D:$D,RESULTADO!CJ$3)</f>
        <v>0</v>
      </c>
      <c r="CK54" s="53">
        <f>SUMIFS('MtM Releases'!$M:$M,'MtM Releases'!$G:$G,RESULTADO!$BN54,'MtM Releases'!$F:$F,RESULTADO!$BN53,'MtM Releases'!$D:$D,RESULTADO!CK$3)</f>
        <v>0</v>
      </c>
      <c r="CL54" s="63">
        <f>SUMIFS('MtM Releases'!$M:$M,'MtM Releases'!$G:$G,RESULTADO!$BN54,'MtM Releases'!$F:$F,RESULTADO!$BN53,'MtM Releases'!$D:$D,RESULTADO!CL$3)</f>
        <v>0</v>
      </c>
      <c r="CM54" s="53">
        <f>SUMIFS('MtM Releases'!$M:$M,'MtM Releases'!$G:$G,RESULTADO!$BN54,'MtM Releases'!$F:$F,RESULTADO!$BN53,'MtM Releases'!$D:$D,RESULTADO!CM$3)</f>
        <v>0</v>
      </c>
      <c r="CN54" s="53">
        <f>SUMIFS('MtM Releases'!$M:$M,'MtM Releases'!$G:$G,RESULTADO!$BN54,'MtM Releases'!$F:$F,RESULTADO!$BN53,'MtM Releases'!$D:$D,RESULTADO!CN$3)</f>
        <v>0</v>
      </c>
      <c r="CO54" s="53">
        <f>SUMIFS('MtM Releases'!$M:$M,'MtM Releases'!$G:$G,RESULTADO!$BN54,'MtM Releases'!$F:$F,RESULTADO!$BN53,'MtM Releases'!$D:$D,RESULTADO!CO$3)</f>
        <v>0</v>
      </c>
      <c r="CP54" s="53">
        <f>SUMIFS('MtM Releases'!$M:$M,'MtM Releases'!$G:$G,RESULTADO!$BN54,'MtM Releases'!$F:$F,RESULTADO!$BN53,'MtM Releases'!$D:$D,RESULTADO!CP$3)</f>
        <v>0</v>
      </c>
      <c r="CQ54" s="53">
        <f>SUMIFS('MtM Releases'!$M:$M,'MtM Releases'!$G:$G,RESULTADO!$BN54,'MtM Releases'!$F:$F,RESULTADO!$BN53,'MtM Releases'!$D:$D,RESULTADO!CQ$3)</f>
        <v>0</v>
      </c>
      <c r="CR54" s="53">
        <f>SUMIFS('MtM Releases'!$M:$M,'MtM Releases'!$G:$G,RESULTADO!$BN54,'MtM Releases'!$F:$F,RESULTADO!$BN53,'MtM Releases'!$D:$D,RESULTADO!CR$3)</f>
        <v>0</v>
      </c>
      <c r="CS54" s="53">
        <f>SUMIFS('MtM Releases'!$M:$M,'MtM Releases'!$G:$G,RESULTADO!$BN54,'MtM Releases'!$F:$F,RESULTADO!$BN53,'MtM Releases'!$D:$D,RESULTADO!CS$3)</f>
        <v>0</v>
      </c>
      <c r="CT54" s="53">
        <f>SUMIFS('MtM Releases'!$M:$M,'MtM Releases'!$G:$G,RESULTADO!$BN54,'MtM Releases'!$F:$F,RESULTADO!$BN53,'MtM Releases'!$D:$D,RESULTADO!CT$3)</f>
        <v>0</v>
      </c>
      <c r="CU54" s="53">
        <f>SUMIFS('MtM Releases'!$M:$M,'MtM Releases'!$G:$G,RESULTADO!$BN54,'MtM Releases'!$F:$F,RESULTADO!$BN53,'MtM Releases'!$D:$D,RESULTADO!CU$3)</f>
        <v>0</v>
      </c>
      <c r="CV54" s="53">
        <f>SUMIFS('MtM Releases'!$M:$M,'MtM Releases'!$G:$G,RESULTADO!$BN54,'MtM Releases'!$F:$F,RESULTADO!$BN53,'MtM Releases'!$D:$D,RESULTADO!CV$3)</f>
        <v>0</v>
      </c>
      <c r="CW54" s="53">
        <f>SUMIFS('MtM Releases'!$M:$M,'MtM Releases'!$G:$G,RESULTADO!$BN54,'MtM Releases'!$F:$F,RESULTADO!$BN53,'MtM Releases'!$D:$D,RESULTADO!CW$3)</f>
        <v>0</v>
      </c>
      <c r="CX54" s="54">
        <f>SUMIFS('MtM Releases'!$M:$M,'MtM Releases'!$G:$G,RESULTADO!$BN54,'MtM Releases'!$F:$F,RESULTADO!$BN53,'MtM Releases'!$D:$D,RESULTADO!CX$3)</f>
        <v>0</v>
      </c>
      <c r="CY54" s="53">
        <f>SUMIFS('MtM Releases'!$M:$M,'MtM Releases'!$G:$G,RESULTADO!$BN54,'MtM Releases'!$F:$F,RESULTADO!$BN53,'MtM Releases'!$D:$D,RESULTADO!CY$3)</f>
        <v>0</v>
      </c>
      <c r="CZ54" s="53">
        <f>SUMIFS('MtM Releases'!$M:$M,'MtM Releases'!$G:$G,RESULTADO!$BN54,'MtM Releases'!$F:$F,RESULTADO!$BN53,'MtM Releases'!$D:$D,RESULTADO!CZ$3)</f>
        <v>0</v>
      </c>
      <c r="DA54" s="53">
        <f>SUMIFS('MtM Releases'!$M:$M,'MtM Releases'!$G:$G,RESULTADO!$BN54,'MtM Releases'!$F:$F,RESULTADO!$BN53,'MtM Releases'!$D:$D,RESULTADO!DA$3)</f>
        <v>0</v>
      </c>
      <c r="DB54" s="53">
        <f>SUMIFS('MtM Releases'!$M:$M,'MtM Releases'!$G:$G,RESULTADO!$BN54,'MtM Releases'!$F:$F,RESULTADO!$BN53,'MtM Releases'!$D:$D,RESULTADO!DB$3)</f>
        <v>0</v>
      </c>
      <c r="DC54" s="53">
        <f>SUMIFS('MtM Releases'!$M:$M,'MtM Releases'!$G:$G,RESULTADO!$BN54,'MtM Releases'!$F:$F,RESULTADO!$BN53,'MtM Releases'!$D:$D,RESULTADO!DC$3)</f>
        <v>0</v>
      </c>
      <c r="DD54" s="53">
        <f>SUMIFS('MtM Releases'!$M:$M,'MtM Releases'!$G:$G,RESULTADO!$BN54,'MtM Releases'!$F:$F,RESULTADO!$BN53,'MtM Releases'!$D:$D,RESULTADO!DD$3)</f>
        <v>0</v>
      </c>
      <c r="DE54" s="53">
        <f>SUMIFS('MtM Releases'!$M:$M,'MtM Releases'!$G:$G,RESULTADO!$BN54,'MtM Releases'!$F:$F,RESULTADO!$BN53,'MtM Releases'!$D:$D,RESULTADO!DE$3)</f>
        <v>0</v>
      </c>
      <c r="DF54" s="53">
        <f>SUMIFS('MtM Releases'!$M:$M,'MtM Releases'!$G:$G,RESULTADO!$BN54,'MtM Releases'!$F:$F,RESULTADO!$BN53,'MtM Releases'!$D:$D,RESULTADO!DF$3)</f>
        <v>0</v>
      </c>
      <c r="DG54" s="53">
        <f>SUMIFS('MtM Releases'!$M:$M,'MtM Releases'!$G:$G,RESULTADO!$BN54,'MtM Releases'!$F:$F,RESULTADO!$BN53,'MtM Releases'!$D:$D,RESULTADO!DG$3)</f>
        <v>0</v>
      </c>
      <c r="DH54" s="53">
        <f>SUMIFS('MtM Releases'!$M:$M,'MtM Releases'!$G:$G,RESULTADO!$BN54,'MtM Releases'!$F:$F,RESULTADO!$BN53,'MtM Releases'!$D:$D,RESULTADO!DH$3)</f>
        <v>0</v>
      </c>
      <c r="DI54" s="53">
        <f>SUMIFS('MtM Releases'!$M:$M,'MtM Releases'!$G:$G,RESULTADO!$BN54,'MtM Releases'!$F:$F,RESULTADO!$BN53,'MtM Releases'!$D:$D,RESULTADO!DI$3)</f>
        <v>0</v>
      </c>
      <c r="DJ54" s="63">
        <f>SUMIFS('MtM Releases'!$M:$M,'MtM Releases'!$G:$G,RESULTADO!$BN54,'MtM Releases'!$F:$F,RESULTADO!$BN53,'MtM Releases'!$D:$D,RESULTADO!DJ$3)</f>
        <v>0</v>
      </c>
      <c r="DK54" s="53">
        <f>SUMIFS('MtM Releases'!$M:$M,'MtM Releases'!$G:$G,RESULTADO!$BN54,'MtM Releases'!$F:$F,RESULTADO!$BN53,'MtM Releases'!$D:$D,RESULTADO!DK$3)</f>
        <v>0</v>
      </c>
      <c r="DL54" s="53">
        <f>SUMIFS('MtM Releases'!$M:$M,'MtM Releases'!$G:$G,RESULTADO!$BN54,'MtM Releases'!$F:$F,RESULTADO!$BN53,'MtM Releases'!$D:$D,RESULTADO!DL$3)</f>
        <v>0</v>
      </c>
      <c r="DM54" s="53">
        <f>SUMIFS('MtM Releases'!$M:$M,'MtM Releases'!$G:$G,RESULTADO!$BN54,'MtM Releases'!$F:$F,RESULTADO!$BN53,'MtM Releases'!$D:$D,RESULTADO!DM$3)</f>
        <v>0</v>
      </c>
      <c r="DN54" s="53">
        <f>SUMIFS('MtM Releases'!$M:$M,'MtM Releases'!$G:$G,RESULTADO!$BN54,'MtM Releases'!$F:$F,RESULTADO!$BN53,'MtM Releases'!$D:$D,RESULTADO!DN$3)</f>
        <v>0</v>
      </c>
      <c r="DO54" s="53">
        <f>SUMIFS('MtM Releases'!$M:$M,'MtM Releases'!$G:$G,RESULTADO!$BN54,'MtM Releases'!$F:$F,RESULTADO!$BN53,'MtM Releases'!$D:$D,RESULTADO!DO$3)</f>
        <v>0</v>
      </c>
      <c r="DP54" s="53">
        <f>SUMIFS('MtM Releases'!$M:$M,'MtM Releases'!$G:$G,RESULTADO!$BN54,'MtM Releases'!$F:$F,RESULTADO!$BN53,'MtM Releases'!$D:$D,RESULTADO!DP$3)</f>
        <v>0</v>
      </c>
      <c r="DQ54" s="53">
        <f>SUMIFS('MtM Releases'!$M:$M,'MtM Releases'!$G:$G,RESULTADO!$BN54,'MtM Releases'!$F:$F,RESULTADO!$BN53,'MtM Releases'!$D:$D,RESULTADO!DQ$3)</f>
        <v>0</v>
      </c>
      <c r="DR54" s="53">
        <f>SUMIFS('MtM Releases'!$M:$M,'MtM Releases'!$G:$G,RESULTADO!$BN54,'MtM Releases'!$F:$F,RESULTADO!$BN53,'MtM Releases'!$D:$D,RESULTADO!DR$3)</f>
        <v>0</v>
      </c>
      <c r="DS54" s="53">
        <f>SUMIFS('MtM Releases'!$M:$M,'MtM Releases'!$G:$G,RESULTADO!$BN54,'MtM Releases'!$F:$F,RESULTADO!$BN53,'MtM Releases'!$D:$D,RESULTADO!DS$3)</f>
        <v>0</v>
      </c>
      <c r="DT54" s="53">
        <f>SUMIFS('MtM Releases'!$M:$M,'MtM Releases'!$G:$G,RESULTADO!$BN54,'MtM Releases'!$F:$F,RESULTADO!$BN53,'MtM Releases'!$D:$D,RESULTADO!DT$3)</f>
        <v>0</v>
      </c>
      <c r="DU54" s="53">
        <f>SUMIFS('MtM Releases'!$M:$M,'MtM Releases'!$G:$G,RESULTADO!$BN54,'MtM Releases'!$F:$F,RESULTADO!$BN53,'MtM Releases'!$D:$D,RESULTADO!DU$3)</f>
        <v>0</v>
      </c>
      <c r="DV54" s="63">
        <f>SUMIFS('MtM Releases'!$M:$M,'MtM Releases'!$G:$G,RESULTADO!$BN54,'MtM Releases'!$F:$F,RESULTADO!$BN53,'MtM Releases'!$D:$D,RESULTADO!DV$3)</f>
        <v>0</v>
      </c>
    </row>
    <row r="55" spans="2:126" x14ac:dyDescent="0.25">
      <c r="B55" s="57" t="s">
        <v>12</v>
      </c>
      <c r="C55" s="53">
        <f>(SUMIFS(MtM!$V:$V,MtM!$I:$I,RESULTADO!$B55,MtM!$H:$H,RESULTADO!$B$53,MtM!$E:$E,RESULTADO!C$42))</f>
        <v>0</v>
      </c>
      <c r="D55" s="53">
        <f>(SUMIFS(MtM!$V:$V,MtM!$I:$I,RESULTADO!$B55,MtM!$H:$H,RESULTADO!$B$53,MtM!$E:$E,RESULTADO!D$42))</f>
        <v>0</v>
      </c>
      <c r="E55" s="53">
        <f>(SUMIFS(MtM!$V:$V,MtM!$I:$I,RESULTADO!$B55,MtM!$H:$H,RESULTADO!$B$53,MtM!$E:$E,RESULTADO!E$42))</f>
        <v>0</v>
      </c>
      <c r="F55" s="53">
        <f>(SUMIFS(MtM!$V:$V,MtM!$I:$I,RESULTADO!$B55,MtM!$H:$H,RESULTADO!$B$53,MtM!$E:$E,RESULTADO!F$42))</f>
        <v>0</v>
      </c>
      <c r="G55" s="53">
        <f>(SUMIFS(MtM!$V:$V,MtM!$I:$I,RESULTADO!$B55,MtM!$H:$H,RESULTADO!$B$53,MtM!$E:$E,RESULTADO!G$42))</f>
        <v>0</v>
      </c>
      <c r="H55" s="53">
        <f>(SUMIFS(MtM!$V:$V,MtM!$I:$I,RESULTADO!$B55,MtM!$H:$H,RESULTADO!$B$53,MtM!$E:$E,RESULTADO!H$42))</f>
        <v>0</v>
      </c>
      <c r="I55" s="53">
        <f>(SUMIFS(MtM!$V:$V,MtM!$I:$I,RESULTADO!$B55,MtM!$H:$H,RESULTADO!$B$53,MtM!$E:$E,RESULTADO!I$42))</f>
        <v>-434942.40000000014</v>
      </c>
      <c r="J55" s="53">
        <f>(SUMIFS(MtM!$V:$V,MtM!$I:$I,RESULTADO!$B55,MtM!$H:$H,RESULTADO!$B$53,MtM!$E:$E,RESULTADO!J$42))</f>
        <v>0</v>
      </c>
      <c r="K55" s="53">
        <f>(SUMIFS(MtM!$V:$V,MtM!$I:$I,RESULTADO!$B55,MtM!$H:$H,RESULTADO!$B$53,MtM!$E:$E,RESULTADO!K$42))</f>
        <v>0</v>
      </c>
      <c r="L55" s="53">
        <f>(SUMIFS(MtM!$V:$V,MtM!$I:$I,RESULTADO!$B55,MtM!$H:$H,RESULTADO!$B$53,MtM!$E:$E,RESULTADO!L$42))</f>
        <v>0</v>
      </c>
      <c r="M55" s="53">
        <f>(SUMIFS(MtM!$V:$V,MtM!$I:$I,RESULTADO!$B55,MtM!$H:$H,RESULTADO!$B$53,MtM!$E:$E,RESULTADO!M$42))</f>
        <v>0</v>
      </c>
      <c r="N55" s="54">
        <f>(SUMIFS(MtM!$V:$V,MtM!$I:$I,RESULTADO!$B55,MtM!$H:$H,RESULTADO!$B$53,MtM!$E:$E,RESULTADO!N$42))</f>
        <v>0</v>
      </c>
      <c r="O55" s="53">
        <f>(SUMIFS(MtM!$V:$V,MtM!$I:$I,RESULTADO!$B55,MtM!$H:$H,RESULTADO!$B$53,MtM!$E:$E,RESULTADO!O$42))</f>
        <v>0</v>
      </c>
      <c r="P55" s="53">
        <f>(SUMIFS(MtM!$V:$V,MtM!$I:$I,RESULTADO!$B55,MtM!$H:$H,RESULTADO!$B$53,MtM!$E:$E,RESULTADO!P$42))</f>
        <v>0</v>
      </c>
      <c r="Q55" s="53">
        <f>(SUMIFS(MtM!$V:$V,MtM!$I:$I,RESULTADO!$B55,MtM!$H:$H,RESULTADO!$B$53,MtM!$E:$E,RESULTADO!Q$42))</f>
        <v>0</v>
      </c>
      <c r="R55" s="53">
        <f>(SUMIFS(MtM!$V:$V,MtM!$I:$I,RESULTADO!$B55,MtM!$H:$H,RESULTADO!$B$53,MtM!$E:$E,RESULTADO!R$42))</f>
        <v>0</v>
      </c>
      <c r="S55" s="53">
        <f>(SUMIFS(MtM!$V:$V,MtM!$I:$I,RESULTADO!$B55,MtM!$H:$H,RESULTADO!$B$53,MtM!$E:$E,RESULTADO!S$42))</f>
        <v>0</v>
      </c>
      <c r="T55" s="53">
        <f>(SUMIFS(MtM!$V:$V,MtM!$I:$I,RESULTADO!$B55,MtM!$H:$H,RESULTADO!$B$53,MtM!$E:$E,RESULTADO!T$42))</f>
        <v>0</v>
      </c>
      <c r="U55" s="53">
        <f>(SUMIFS(MtM!$V:$V,MtM!$I:$I,RESULTADO!$B55,MtM!$H:$H,RESULTADO!$B$53,MtM!$E:$E,RESULTADO!U$42))</f>
        <v>0</v>
      </c>
      <c r="V55" s="53">
        <f>(SUMIFS(MtM!$V:$V,MtM!$I:$I,RESULTADO!$B55,MtM!$H:$H,RESULTADO!$B$53,MtM!$E:$E,RESULTADO!V$42))</f>
        <v>0</v>
      </c>
      <c r="W55" s="53">
        <f>(SUMIFS(MtM!$V:$V,MtM!$I:$I,RESULTADO!$B55,MtM!$H:$H,RESULTADO!$B$53,MtM!$E:$E,RESULTADO!W$42))</f>
        <v>0</v>
      </c>
      <c r="X55" s="53">
        <f>(SUMIFS(MtM!$V:$V,MtM!$I:$I,RESULTADO!$B55,MtM!$H:$H,RESULTADO!$B$53,MtM!$E:$E,RESULTADO!X$42))</f>
        <v>0</v>
      </c>
      <c r="Y55" s="53">
        <f>(SUMIFS(MtM!$V:$V,MtM!$I:$I,RESULTADO!$B55,MtM!$H:$H,RESULTADO!$B$53,MtM!$E:$E,RESULTADO!Y$42))</f>
        <v>0</v>
      </c>
      <c r="Z55" s="63">
        <f>(SUMIFS(MtM!$V:$V,MtM!$I:$I,RESULTADO!$B55,MtM!$H:$H,RESULTADO!$B$53,MtM!$E:$E,RESULTADO!Z$42))</f>
        <v>0</v>
      </c>
      <c r="AA55" s="53">
        <f>(SUMIFS(MtM!$V:$V,MtM!$I:$I,RESULTADO!$B55,MtM!$H:$H,RESULTADO!$B$53,MtM!$E:$E,RESULTADO!AA$42))</f>
        <v>0</v>
      </c>
      <c r="AB55" s="53">
        <f>(SUMIFS(MtM!$V:$V,MtM!$I:$I,RESULTADO!$B55,MtM!$H:$H,RESULTADO!$B$53,MtM!$E:$E,RESULTADO!AB$42))</f>
        <v>0</v>
      </c>
      <c r="AC55" s="53">
        <f>(SUMIFS(MtM!$V:$V,MtM!$I:$I,RESULTADO!$B55,MtM!$H:$H,RESULTADO!$B$53,MtM!$E:$E,RESULTADO!AC$42))</f>
        <v>0</v>
      </c>
      <c r="AD55" s="53">
        <f>(SUMIFS(MtM!$V:$V,MtM!$I:$I,RESULTADO!$B55,MtM!$H:$H,RESULTADO!$B$53,MtM!$E:$E,RESULTADO!AD$42))</f>
        <v>0</v>
      </c>
      <c r="AE55" s="53">
        <f>(SUMIFS(MtM!$V:$V,MtM!$I:$I,RESULTADO!$B55,MtM!$H:$H,RESULTADO!$B$53,MtM!$E:$E,RESULTADO!AE$42))</f>
        <v>0</v>
      </c>
      <c r="AF55" s="53">
        <f>(SUMIFS(MtM!$V:$V,MtM!$I:$I,RESULTADO!$B55,MtM!$H:$H,RESULTADO!$B$53,MtM!$E:$E,RESULTADO!AF$42))</f>
        <v>0</v>
      </c>
      <c r="AG55" s="53">
        <f>(SUMIFS(MtM!$V:$V,MtM!$I:$I,RESULTADO!$B55,MtM!$H:$H,RESULTADO!$B$53,MtM!$E:$E,RESULTADO!AG$42))</f>
        <v>0</v>
      </c>
      <c r="AH55" s="53">
        <f>(SUMIFS(MtM!$V:$V,MtM!$I:$I,RESULTADO!$B55,MtM!$H:$H,RESULTADO!$B$53,MtM!$E:$E,RESULTADO!AH$42))</f>
        <v>0</v>
      </c>
      <c r="AI55" s="53">
        <f>(SUMIFS(MtM!$V:$V,MtM!$I:$I,RESULTADO!$B55,MtM!$H:$H,RESULTADO!$B$53,MtM!$E:$E,RESULTADO!AI$42))</f>
        <v>0</v>
      </c>
      <c r="AJ55" s="53">
        <f>(SUMIFS(MtM!$V:$V,MtM!$I:$I,RESULTADO!$B55,MtM!$H:$H,RESULTADO!$B$53,MtM!$E:$E,RESULTADO!AJ$42))</f>
        <v>0</v>
      </c>
      <c r="AK55" s="53">
        <f>(SUMIFS(MtM!$V:$V,MtM!$I:$I,RESULTADO!$B55,MtM!$H:$H,RESULTADO!$B$53,MtM!$E:$E,RESULTADO!AK$42))</f>
        <v>0</v>
      </c>
      <c r="AL55" s="54">
        <f>(SUMIFS(MtM!$V:$V,MtM!$I:$I,RESULTADO!$B55,MtM!$H:$H,RESULTADO!$B$53,MtM!$E:$E,RESULTADO!AL$42))</f>
        <v>0</v>
      </c>
      <c r="AM55" s="53">
        <f>(SUMIFS(MtM!$V:$V,MtM!$I:$I,RESULTADO!$B55,MtM!$H:$H,RESULTADO!$B$53,MtM!$E:$E,RESULTADO!AM$42))</f>
        <v>0</v>
      </c>
      <c r="AN55" s="53">
        <f>(SUMIFS(MtM!$V:$V,MtM!$I:$I,RESULTADO!$B55,MtM!$H:$H,RESULTADO!$B$53,MtM!$E:$E,RESULTADO!AN$42))</f>
        <v>0</v>
      </c>
      <c r="AO55" s="53">
        <f>(SUMIFS(MtM!$V:$V,MtM!$I:$I,RESULTADO!$B55,MtM!$H:$H,RESULTADO!$B$53,MtM!$E:$E,RESULTADO!AO$42))</f>
        <v>0</v>
      </c>
      <c r="AP55" s="53">
        <f>(SUMIFS(MtM!$V:$V,MtM!$I:$I,RESULTADO!$B55,MtM!$H:$H,RESULTADO!$B$53,MtM!$E:$E,RESULTADO!AP$42))</f>
        <v>0</v>
      </c>
      <c r="AQ55" s="53">
        <f>(SUMIFS(MtM!$V:$V,MtM!$I:$I,RESULTADO!$B55,MtM!$H:$H,RESULTADO!$B$53,MtM!$E:$E,RESULTADO!AQ$42))</f>
        <v>0</v>
      </c>
      <c r="AR55" s="53">
        <f>(SUMIFS(MtM!$V:$V,MtM!$I:$I,RESULTADO!$B55,MtM!$H:$H,RESULTADO!$B$53,MtM!$E:$E,RESULTADO!AR$42))</f>
        <v>0</v>
      </c>
      <c r="AS55" s="53">
        <f>(SUMIFS(MtM!$V:$V,MtM!$I:$I,RESULTADO!$B55,MtM!$H:$H,RESULTADO!$B$53,MtM!$E:$E,RESULTADO!AS$42))</f>
        <v>0</v>
      </c>
      <c r="AT55" s="53">
        <f>(SUMIFS(MtM!$V:$V,MtM!$I:$I,RESULTADO!$B55,MtM!$H:$H,RESULTADO!$B$53,MtM!$E:$E,RESULTADO!AT$42))</f>
        <v>0</v>
      </c>
      <c r="AU55" s="53">
        <f>(SUMIFS(MtM!$V:$V,MtM!$I:$I,RESULTADO!$B55,MtM!$H:$H,RESULTADO!$B$53,MtM!$E:$E,RESULTADO!AU$42))</f>
        <v>0</v>
      </c>
      <c r="AV55" s="53">
        <f>(SUMIFS(MtM!$V:$V,MtM!$I:$I,RESULTADO!$B55,MtM!$H:$H,RESULTADO!$B$53,MtM!$E:$E,RESULTADO!AV$42))</f>
        <v>0</v>
      </c>
      <c r="AW55" s="53">
        <f>(SUMIFS(MtM!$V:$V,MtM!$I:$I,RESULTADO!$B55,MtM!$H:$H,RESULTADO!$B$53,MtM!$E:$E,RESULTADO!AW$42))</f>
        <v>0</v>
      </c>
      <c r="AX55" s="63">
        <f>(SUMIFS(MtM!$V:$V,MtM!$I:$I,RESULTADO!$B55,MtM!$H:$H,RESULTADO!$B$53,MtM!$E:$E,RESULTADO!AX$42))</f>
        <v>0</v>
      </c>
      <c r="AY55" s="53">
        <f>(SUMIFS(MtM!$V:$V,MtM!$I:$I,RESULTADO!$B55,MtM!$H:$H,RESULTADO!$B$53,MtM!$E:$E,RESULTADO!AY$42))</f>
        <v>0</v>
      </c>
      <c r="AZ55" s="53">
        <f>(SUMIFS(MtM!$V:$V,MtM!$I:$I,RESULTADO!$B55,MtM!$H:$H,RESULTADO!$B$53,MtM!$E:$E,RESULTADO!AZ$42))</f>
        <v>0</v>
      </c>
      <c r="BA55" s="53">
        <f>(SUMIFS(MtM!$V:$V,MtM!$I:$I,RESULTADO!$B55,MtM!$H:$H,RESULTADO!$B$53,MtM!$E:$E,RESULTADO!BA$42))</f>
        <v>0</v>
      </c>
      <c r="BB55" s="53">
        <f>(SUMIFS(MtM!$V:$V,MtM!$I:$I,RESULTADO!$B55,MtM!$H:$H,RESULTADO!$B$53,MtM!$E:$E,RESULTADO!BB$42))</f>
        <v>0</v>
      </c>
      <c r="BC55" s="53">
        <f>(SUMIFS(MtM!$V:$V,MtM!$I:$I,RESULTADO!$B55,MtM!$H:$H,RESULTADO!$B$53,MtM!$E:$E,RESULTADO!BC$42))</f>
        <v>0</v>
      </c>
      <c r="BD55" s="53">
        <f>(SUMIFS(MtM!$V:$V,MtM!$I:$I,RESULTADO!$B55,MtM!$H:$H,RESULTADO!$B$53,MtM!$E:$E,RESULTADO!BD$42))</f>
        <v>0</v>
      </c>
      <c r="BE55" s="53">
        <f>(SUMIFS(MtM!$V:$V,MtM!$I:$I,RESULTADO!$B55,MtM!$H:$H,RESULTADO!$B$53,MtM!$E:$E,RESULTADO!BE$42))</f>
        <v>0</v>
      </c>
      <c r="BF55" s="53">
        <f>(SUMIFS(MtM!$V:$V,MtM!$I:$I,RESULTADO!$B55,MtM!$H:$H,RESULTADO!$B$53,MtM!$E:$E,RESULTADO!BF$42))</f>
        <v>0</v>
      </c>
      <c r="BG55" s="53">
        <f>(SUMIFS(MtM!$V:$V,MtM!$I:$I,RESULTADO!$B55,MtM!$H:$H,RESULTADO!$B$53,MtM!$E:$E,RESULTADO!BG$42))</f>
        <v>0</v>
      </c>
      <c r="BH55" s="53">
        <f>(SUMIFS(MtM!$V:$V,MtM!$I:$I,RESULTADO!$B55,MtM!$H:$H,RESULTADO!$B$53,MtM!$E:$E,RESULTADO!BH$42))</f>
        <v>0</v>
      </c>
      <c r="BI55" s="53">
        <f>(SUMIFS(MtM!$V:$V,MtM!$I:$I,RESULTADO!$B55,MtM!$H:$H,RESULTADO!$B$53,MtM!$E:$E,RESULTADO!BI$42))</f>
        <v>0</v>
      </c>
      <c r="BJ55" s="63">
        <f>(SUMIFS(MtM!$V:$V,MtM!$I:$I,RESULTADO!$B55,MtM!$H:$H,RESULTADO!$B$53,MtM!$E:$E,RESULTADO!BJ$42))</f>
        <v>0</v>
      </c>
      <c r="BL55" s="120"/>
      <c r="BN55" s="57" t="s">
        <v>12</v>
      </c>
      <c r="BO55" s="53">
        <f>SUMIFS('MtM Releases'!$M:$M,'MtM Releases'!$G:$G,RESULTADO!$BN55,'MtM Releases'!$F:$F,RESULTADO!$BN53,'MtM Releases'!$D:$D,RESULTADO!BO$3)</f>
        <v>0</v>
      </c>
      <c r="BP55" s="53">
        <f>SUMIFS('MtM Releases'!$M:$M,'MtM Releases'!$G:$G,RESULTADO!$BN55,'MtM Releases'!$F:$F,RESULTADO!$BN53,'MtM Releases'!$D:$D,RESULTADO!BP$3)</f>
        <v>0</v>
      </c>
      <c r="BQ55" s="53">
        <f>SUMIFS('MtM Releases'!$M:$M,'MtM Releases'!$G:$G,RESULTADO!$BN55,'MtM Releases'!$F:$F,RESULTADO!$BN53,'MtM Releases'!$D:$D,RESULTADO!BQ$3)</f>
        <v>0</v>
      </c>
      <c r="BR55" s="53">
        <f>SUMIFS('MtM Releases'!$M:$M,'MtM Releases'!$G:$G,RESULTADO!$BN55,'MtM Releases'!$F:$F,RESULTADO!$BN53,'MtM Releases'!$D:$D,RESULTADO!BR$3)</f>
        <v>0</v>
      </c>
      <c r="BS55" s="53">
        <f>SUMIFS('MtM Releases'!$M:$M,'MtM Releases'!$G:$G,RESULTADO!$BN55,'MtM Releases'!$F:$F,RESULTADO!$BN53,'MtM Releases'!$D:$D,RESULTADO!BS$3)</f>
        <v>0</v>
      </c>
      <c r="BT55" s="53">
        <f>SUMIFS('MtM Releases'!$M:$M,'MtM Releases'!$G:$G,RESULTADO!$BN55,'MtM Releases'!$F:$F,RESULTADO!$BN53,'MtM Releases'!$D:$D,RESULTADO!BT$3)</f>
        <v>0</v>
      </c>
      <c r="BU55" s="53">
        <f>SUMIFS('MtM Releases'!$M:$M,'MtM Releases'!$G:$G,RESULTADO!$BN55,'MtM Releases'!$F:$F,RESULTADO!$BN53,'MtM Releases'!$D:$D,RESULTADO!BU$3)</f>
        <v>434942.40000000014</v>
      </c>
      <c r="BV55" s="53">
        <f>SUMIFS('MtM Releases'!$M:$M,'MtM Releases'!$G:$G,RESULTADO!$BN55,'MtM Releases'!$F:$F,RESULTADO!$BN53,'MtM Releases'!$D:$D,RESULTADO!BV$3)</f>
        <v>0</v>
      </c>
      <c r="BW55" s="53">
        <f>SUMIFS('MtM Releases'!$M:$M,'MtM Releases'!$G:$G,RESULTADO!$BN55,'MtM Releases'!$F:$F,RESULTADO!$BN53,'MtM Releases'!$D:$D,RESULTADO!BW$3)</f>
        <v>0</v>
      </c>
      <c r="BX55" s="53">
        <f>SUMIFS('MtM Releases'!$M:$M,'MtM Releases'!$G:$G,RESULTADO!$BN55,'MtM Releases'!$F:$F,RESULTADO!$BN53,'MtM Releases'!$D:$D,RESULTADO!BX$3)</f>
        <v>0</v>
      </c>
      <c r="BY55" s="53">
        <f>SUMIFS('MtM Releases'!$M:$M,'MtM Releases'!$G:$G,RESULTADO!$BN55,'MtM Releases'!$F:$F,RESULTADO!$BN53,'MtM Releases'!$D:$D,RESULTADO!BY$3)</f>
        <v>0</v>
      </c>
      <c r="BZ55" s="54">
        <f>SUMIFS('MtM Releases'!$M:$M,'MtM Releases'!$G:$G,RESULTADO!$BN55,'MtM Releases'!$F:$F,RESULTADO!$BN53,'MtM Releases'!$D:$D,RESULTADO!BZ$3)</f>
        <v>0</v>
      </c>
      <c r="CA55" s="53">
        <f>SUMIFS('MtM Releases'!$M:$M,'MtM Releases'!$G:$G,RESULTADO!$BN55,'MtM Releases'!$F:$F,RESULTADO!$BN53,'MtM Releases'!$D:$D,RESULTADO!CA$3)</f>
        <v>0</v>
      </c>
      <c r="CB55" s="53">
        <f>SUMIFS('MtM Releases'!$M:$M,'MtM Releases'!$G:$G,RESULTADO!$BN55,'MtM Releases'!$F:$F,RESULTADO!$BN53,'MtM Releases'!$D:$D,RESULTADO!CB$3)</f>
        <v>0</v>
      </c>
      <c r="CC55" s="53">
        <f>SUMIFS('MtM Releases'!$M:$M,'MtM Releases'!$G:$G,RESULTADO!$BN55,'MtM Releases'!$F:$F,RESULTADO!$BN53,'MtM Releases'!$D:$D,RESULTADO!CC$3)</f>
        <v>0</v>
      </c>
      <c r="CD55" s="53">
        <f>SUMIFS('MtM Releases'!$M:$M,'MtM Releases'!$G:$G,RESULTADO!$BN55,'MtM Releases'!$F:$F,RESULTADO!$BN53,'MtM Releases'!$D:$D,RESULTADO!CD$3)</f>
        <v>0</v>
      </c>
      <c r="CE55" s="53">
        <f>SUMIFS('MtM Releases'!$M:$M,'MtM Releases'!$G:$G,RESULTADO!$BN55,'MtM Releases'!$F:$F,RESULTADO!$BN53,'MtM Releases'!$D:$D,RESULTADO!CE$3)</f>
        <v>0</v>
      </c>
      <c r="CF55" s="53">
        <f>SUMIFS('MtM Releases'!$M:$M,'MtM Releases'!$G:$G,RESULTADO!$BN55,'MtM Releases'!$F:$F,RESULTADO!$BN53,'MtM Releases'!$D:$D,RESULTADO!CF$3)</f>
        <v>0</v>
      </c>
      <c r="CG55" s="53">
        <f>SUMIFS('MtM Releases'!$M:$M,'MtM Releases'!$G:$G,RESULTADO!$BN55,'MtM Releases'!$F:$F,RESULTADO!$BN53,'MtM Releases'!$D:$D,RESULTADO!CG$3)</f>
        <v>0</v>
      </c>
      <c r="CH55" s="53">
        <f>SUMIFS('MtM Releases'!$M:$M,'MtM Releases'!$G:$G,RESULTADO!$BN55,'MtM Releases'!$F:$F,RESULTADO!$BN53,'MtM Releases'!$D:$D,RESULTADO!CH$3)</f>
        <v>0</v>
      </c>
      <c r="CI55" s="53">
        <f>SUMIFS('MtM Releases'!$M:$M,'MtM Releases'!$G:$G,RESULTADO!$BN55,'MtM Releases'!$F:$F,RESULTADO!$BN53,'MtM Releases'!$D:$D,RESULTADO!CI$3)</f>
        <v>0</v>
      </c>
      <c r="CJ55" s="53">
        <f>SUMIFS('MtM Releases'!$M:$M,'MtM Releases'!$G:$G,RESULTADO!$BN55,'MtM Releases'!$F:$F,RESULTADO!$BN53,'MtM Releases'!$D:$D,RESULTADO!CJ$3)</f>
        <v>0</v>
      </c>
      <c r="CK55" s="53">
        <f>SUMIFS('MtM Releases'!$M:$M,'MtM Releases'!$G:$G,RESULTADO!$BN55,'MtM Releases'!$F:$F,RESULTADO!$BN53,'MtM Releases'!$D:$D,RESULTADO!CK$3)</f>
        <v>0</v>
      </c>
      <c r="CL55" s="63">
        <f>SUMIFS('MtM Releases'!$M:$M,'MtM Releases'!$G:$G,RESULTADO!$BN55,'MtM Releases'!$F:$F,RESULTADO!$BN53,'MtM Releases'!$D:$D,RESULTADO!CL$3)</f>
        <v>0</v>
      </c>
      <c r="CM55" s="53">
        <f>SUMIFS('MtM Releases'!$M:$M,'MtM Releases'!$G:$G,RESULTADO!$BN55,'MtM Releases'!$F:$F,RESULTADO!$BN53,'MtM Releases'!$D:$D,RESULTADO!CM$3)</f>
        <v>0</v>
      </c>
      <c r="CN55" s="53">
        <f>SUMIFS('MtM Releases'!$M:$M,'MtM Releases'!$G:$G,RESULTADO!$BN55,'MtM Releases'!$F:$F,RESULTADO!$BN53,'MtM Releases'!$D:$D,RESULTADO!CN$3)</f>
        <v>0</v>
      </c>
      <c r="CO55" s="53">
        <f>SUMIFS('MtM Releases'!$M:$M,'MtM Releases'!$G:$G,RESULTADO!$BN55,'MtM Releases'!$F:$F,RESULTADO!$BN53,'MtM Releases'!$D:$D,RESULTADO!CO$3)</f>
        <v>0</v>
      </c>
      <c r="CP55" s="53">
        <f>SUMIFS('MtM Releases'!$M:$M,'MtM Releases'!$G:$G,RESULTADO!$BN55,'MtM Releases'!$F:$F,RESULTADO!$BN53,'MtM Releases'!$D:$D,RESULTADO!CP$3)</f>
        <v>0</v>
      </c>
      <c r="CQ55" s="53">
        <f>SUMIFS('MtM Releases'!$M:$M,'MtM Releases'!$G:$G,RESULTADO!$BN55,'MtM Releases'!$F:$F,RESULTADO!$BN53,'MtM Releases'!$D:$D,RESULTADO!CQ$3)</f>
        <v>0</v>
      </c>
      <c r="CR55" s="53">
        <f>SUMIFS('MtM Releases'!$M:$M,'MtM Releases'!$G:$G,RESULTADO!$BN55,'MtM Releases'!$F:$F,RESULTADO!$BN53,'MtM Releases'!$D:$D,RESULTADO!CR$3)</f>
        <v>0</v>
      </c>
      <c r="CS55" s="53">
        <f>SUMIFS('MtM Releases'!$M:$M,'MtM Releases'!$G:$G,RESULTADO!$BN55,'MtM Releases'!$F:$F,RESULTADO!$BN53,'MtM Releases'!$D:$D,RESULTADO!CS$3)</f>
        <v>0</v>
      </c>
      <c r="CT55" s="53">
        <f>SUMIFS('MtM Releases'!$M:$M,'MtM Releases'!$G:$G,RESULTADO!$BN55,'MtM Releases'!$F:$F,RESULTADO!$BN53,'MtM Releases'!$D:$D,RESULTADO!CT$3)</f>
        <v>0</v>
      </c>
      <c r="CU55" s="53">
        <f>SUMIFS('MtM Releases'!$M:$M,'MtM Releases'!$G:$G,RESULTADO!$BN55,'MtM Releases'!$F:$F,RESULTADO!$BN53,'MtM Releases'!$D:$D,RESULTADO!CU$3)</f>
        <v>0</v>
      </c>
      <c r="CV55" s="53">
        <f>SUMIFS('MtM Releases'!$M:$M,'MtM Releases'!$G:$G,RESULTADO!$BN55,'MtM Releases'!$F:$F,RESULTADO!$BN53,'MtM Releases'!$D:$D,RESULTADO!CV$3)</f>
        <v>0</v>
      </c>
      <c r="CW55" s="53">
        <f>SUMIFS('MtM Releases'!$M:$M,'MtM Releases'!$G:$G,RESULTADO!$BN55,'MtM Releases'!$F:$F,RESULTADO!$BN53,'MtM Releases'!$D:$D,RESULTADO!CW$3)</f>
        <v>0</v>
      </c>
      <c r="CX55" s="54">
        <f>SUMIFS('MtM Releases'!$M:$M,'MtM Releases'!$G:$G,RESULTADO!$BN55,'MtM Releases'!$F:$F,RESULTADO!$BN53,'MtM Releases'!$D:$D,RESULTADO!CX$3)</f>
        <v>0</v>
      </c>
      <c r="CY55" s="53">
        <f>SUMIFS('MtM Releases'!$M:$M,'MtM Releases'!$G:$G,RESULTADO!$BN55,'MtM Releases'!$F:$F,RESULTADO!$BN53,'MtM Releases'!$D:$D,RESULTADO!CY$3)</f>
        <v>0</v>
      </c>
      <c r="CZ55" s="53">
        <f>SUMIFS('MtM Releases'!$M:$M,'MtM Releases'!$G:$G,RESULTADO!$BN55,'MtM Releases'!$F:$F,RESULTADO!$BN53,'MtM Releases'!$D:$D,RESULTADO!CZ$3)</f>
        <v>0</v>
      </c>
      <c r="DA55" s="53">
        <f>SUMIFS('MtM Releases'!$M:$M,'MtM Releases'!$G:$G,RESULTADO!$BN55,'MtM Releases'!$F:$F,RESULTADO!$BN53,'MtM Releases'!$D:$D,RESULTADO!DA$3)</f>
        <v>0</v>
      </c>
      <c r="DB55" s="53">
        <f>SUMIFS('MtM Releases'!$M:$M,'MtM Releases'!$G:$G,RESULTADO!$BN55,'MtM Releases'!$F:$F,RESULTADO!$BN53,'MtM Releases'!$D:$D,RESULTADO!DB$3)</f>
        <v>0</v>
      </c>
      <c r="DC55" s="53">
        <f>SUMIFS('MtM Releases'!$M:$M,'MtM Releases'!$G:$G,RESULTADO!$BN55,'MtM Releases'!$F:$F,RESULTADO!$BN53,'MtM Releases'!$D:$D,RESULTADO!DC$3)</f>
        <v>0</v>
      </c>
      <c r="DD55" s="53">
        <f>SUMIFS('MtM Releases'!$M:$M,'MtM Releases'!$G:$G,RESULTADO!$BN55,'MtM Releases'!$F:$F,RESULTADO!$BN53,'MtM Releases'!$D:$D,RESULTADO!DD$3)</f>
        <v>0</v>
      </c>
      <c r="DE55" s="53">
        <f>SUMIFS('MtM Releases'!$M:$M,'MtM Releases'!$G:$G,RESULTADO!$BN55,'MtM Releases'!$F:$F,RESULTADO!$BN53,'MtM Releases'!$D:$D,RESULTADO!DE$3)</f>
        <v>0</v>
      </c>
      <c r="DF55" s="53">
        <f>SUMIFS('MtM Releases'!$M:$M,'MtM Releases'!$G:$G,RESULTADO!$BN55,'MtM Releases'!$F:$F,RESULTADO!$BN53,'MtM Releases'!$D:$D,RESULTADO!DF$3)</f>
        <v>0</v>
      </c>
      <c r="DG55" s="53">
        <f>SUMIFS('MtM Releases'!$M:$M,'MtM Releases'!$G:$G,RESULTADO!$BN55,'MtM Releases'!$F:$F,RESULTADO!$BN53,'MtM Releases'!$D:$D,RESULTADO!DG$3)</f>
        <v>0</v>
      </c>
      <c r="DH55" s="53">
        <f>SUMIFS('MtM Releases'!$M:$M,'MtM Releases'!$G:$G,RESULTADO!$BN55,'MtM Releases'!$F:$F,RESULTADO!$BN53,'MtM Releases'!$D:$D,RESULTADO!DH$3)</f>
        <v>0</v>
      </c>
      <c r="DI55" s="53">
        <f>SUMIFS('MtM Releases'!$M:$M,'MtM Releases'!$G:$G,RESULTADO!$BN55,'MtM Releases'!$F:$F,RESULTADO!$BN53,'MtM Releases'!$D:$D,RESULTADO!DI$3)</f>
        <v>0</v>
      </c>
      <c r="DJ55" s="63">
        <f>SUMIFS('MtM Releases'!$M:$M,'MtM Releases'!$G:$G,RESULTADO!$BN55,'MtM Releases'!$F:$F,RESULTADO!$BN53,'MtM Releases'!$D:$D,RESULTADO!DJ$3)</f>
        <v>0</v>
      </c>
      <c r="DK55" s="53">
        <f>SUMIFS('MtM Releases'!$M:$M,'MtM Releases'!$G:$G,RESULTADO!$BN55,'MtM Releases'!$F:$F,RESULTADO!$BN53,'MtM Releases'!$D:$D,RESULTADO!DK$3)</f>
        <v>0</v>
      </c>
      <c r="DL55" s="53">
        <f>SUMIFS('MtM Releases'!$M:$M,'MtM Releases'!$G:$G,RESULTADO!$BN55,'MtM Releases'!$F:$F,RESULTADO!$BN53,'MtM Releases'!$D:$D,RESULTADO!DL$3)</f>
        <v>0</v>
      </c>
      <c r="DM55" s="53">
        <f>SUMIFS('MtM Releases'!$M:$M,'MtM Releases'!$G:$G,RESULTADO!$BN55,'MtM Releases'!$F:$F,RESULTADO!$BN53,'MtM Releases'!$D:$D,RESULTADO!DM$3)</f>
        <v>0</v>
      </c>
      <c r="DN55" s="53">
        <f>SUMIFS('MtM Releases'!$M:$M,'MtM Releases'!$G:$G,RESULTADO!$BN55,'MtM Releases'!$F:$F,RESULTADO!$BN53,'MtM Releases'!$D:$D,RESULTADO!DN$3)</f>
        <v>0</v>
      </c>
      <c r="DO55" s="53">
        <f>SUMIFS('MtM Releases'!$M:$M,'MtM Releases'!$G:$G,RESULTADO!$BN55,'MtM Releases'!$F:$F,RESULTADO!$BN53,'MtM Releases'!$D:$D,RESULTADO!DO$3)</f>
        <v>0</v>
      </c>
      <c r="DP55" s="53">
        <f>SUMIFS('MtM Releases'!$M:$M,'MtM Releases'!$G:$G,RESULTADO!$BN55,'MtM Releases'!$F:$F,RESULTADO!$BN53,'MtM Releases'!$D:$D,RESULTADO!DP$3)</f>
        <v>0</v>
      </c>
      <c r="DQ55" s="53">
        <f>SUMIFS('MtM Releases'!$M:$M,'MtM Releases'!$G:$G,RESULTADO!$BN55,'MtM Releases'!$F:$F,RESULTADO!$BN53,'MtM Releases'!$D:$D,RESULTADO!DQ$3)</f>
        <v>0</v>
      </c>
      <c r="DR55" s="53">
        <f>SUMIFS('MtM Releases'!$M:$M,'MtM Releases'!$G:$G,RESULTADO!$BN55,'MtM Releases'!$F:$F,RESULTADO!$BN53,'MtM Releases'!$D:$D,RESULTADO!DR$3)</f>
        <v>0</v>
      </c>
      <c r="DS55" s="53">
        <f>SUMIFS('MtM Releases'!$M:$M,'MtM Releases'!$G:$G,RESULTADO!$BN55,'MtM Releases'!$F:$F,RESULTADO!$BN53,'MtM Releases'!$D:$D,RESULTADO!DS$3)</f>
        <v>0</v>
      </c>
      <c r="DT55" s="53">
        <f>SUMIFS('MtM Releases'!$M:$M,'MtM Releases'!$G:$G,RESULTADO!$BN55,'MtM Releases'!$F:$F,RESULTADO!$BN53,'MtM Releases'!$D:$D,RESULTADO!DT$3)</f>
        <v>0</v>
      </c>
      <c r="DU55" s="53">
        <f>SUMIFS('MtM Releases'!$M:$M,'MtM Releases'!$G:$G,RESULTADO!$BN55,'MtM Releases'!$F:$F,RESULTADO!$BN53,'MtM Releases'!$D:$D,RESULTADO!DU$3)</f>
        <v>0</v>
      </c>
      <c r="DV55" s="63">
        <f>SUMIFS('MtM Releases'!$M:$M,'MtM Releases'!$G:$G,RESULTADO!$BN55,'MtM Releases'!$F:$F,RESULTADO!$BN53,'MtM Releases'!$D:$D,RESULTADO!DV$3)</f>
        <v>0</v>
      </c>
    </row>
    <row r="56" spans="2:126" x14ac:dyDescent="0.25">
      <c r="B56" s="57" t="s">
        <v>13</v>
      </c>
      <c r="C56" s="53">
        <f>(SUMIFS(MtM!$V:$V,MtM!$I:$I,RESULTADO!$B56,MtM!$H:$H,RESULTADO!$B$53,MtM!$E:$E,RESULTADO!C$42))</f>
        <v>0</v>
      </c>
      <c r="D56" s="53">
        <f>(SUMIFS(MtM!$V:$V,MtM!$I:$I,RESULTADO!$B56,MtM!$H:$H,RESULTADO!$B$53,MtM!$E:$E,RESULTADO!D$42))</f>
        <v>0</v>
      </c>
      <c r="E56" s="53">
        <f>(SUMIFS(MtM!$V:$V,MtM!$I:$I,RESULTADO!$B56,MtM!$H:$H,RESULTADO!$B$53,MtM!$E:$E,RESULTADO!E$42))</f>
        <v>0</v>
      </c>
      <c r="F56" s="53">
        <f>(SUMIFS(MtM!$V:$V,MtM!$I:$I,RESULTADO!$B56,MtM!$H:$H,RESULTADO!$B$53,MtM!$E:$E,RESULTADO!F$42))</f>
        <v>0</v>
      </c>
      <c r="G56" s="53">
        <f>(SUMIFS(MtM!$V:$V,MtM!$I:$I,RESULTADO!$B56,MtM!$H:$H,RESULTADO!$B$53,MtM!$E:$E,RESULTADO!G$42))</f>
        <v>0</v>
      </c>
      <c r="H56" s="53">
        <f>(SUMIFS(MtM!$V:$V,MtM!$I:$I,RESULTADO!$B56,MtM!$H:$H,RESULTADO!$B$53,MtM!$E:$E,RESULTADO!H$42))</f>
        <v>-61724.159999999989</v>
      </c>
      <c r="I56" s="53">
        <f>(SUMIFS(MtM!$V:$V,MtM!$I:$I,RESULTADO!$B56,MtM!$H:$H,RESULTADO!$B$53,MtM!$E:$E,RESULTADO!I$42))</f>
        <v>-12432.240000000002</v>
      </c>
      <c r="J56" s="53">
        <f>(SUMIFS(MtM!$V:$V,MtM!$I:$I,RESULTADO!$B56,MtM!$H:$H,RESULTADO!$B$53,MtM!$E:$E,RESULTADO!J$42))</f>
        <v>0</v>
      </c>
      <c r="K56" s="53">
        <f>(SUMIFS(MtM!$V:$V,MtM!$I:$I,RESULTADO!$B56,MtM!$H:$H,RESULTADO!$B$53,MtM!$E:$E,RESULTADO!K$42))</f>
        <v>0</v>
      </c>
      <c r="L56" s="53">
        <f>(SUMIFS(MtM!$V:$V,MtM!$I:$I,RESULTADO!$B56,MtM!$H:$H,RESULTADO!$B$53,MtM!$E:$E,RESULTADO!L$42))</f>
        <v>0</v>
      </c>
      <c r="M56" s="53">
        <f>(SUMIFS(MtM!$V:$V,MtM!$I:$I,RESULTADO!$B56,MtM!$H:$H,RESULTADO!$B$53,MtM!$E:$E,RESULTADO!M$42))</f>
        <v>0</v>
      </c>
      <c r="N56" s="54">
        <f>(SUMIFS(MtM!$V:$V,MtM!$I:$I,RESULTADO!$B56,MtM!$H:$H,RESULTADO!$B$53,MtM!$E:$E,RESULTADO!N$42))</f>
        <v>0</v>
      </c>
      <c r="O56" s="53">
        <f>(SUMIFS(MtM!$V:$V,MtM!$I:$I,RESULTADO!$B56,MtM!$H:$H,RESULTADO!$B$53,MtM!$E:$E,RESULTADO!O$42))</f>
        <v>0</v>
      </c>
      <c r="P56" s="53">
        <f>(SUMIFS(MtM!$V:$V,MtM!$I:$I,RESULTADO!$B56,MtM!$H:$H,RESULTADO!$B$53,MtM!$E:$E,RESULTADO!P$42))</f>
        <v>0</v>
      </c>
      <c r="Q56" s="53">
        <f>(SUMIFS(MtM!$V:$V,MtM!$I:$I,RESULTADO!$B56,MtM!$H:$H,RESULTADO!$B$53,MtM!$E:$E,RESULTADO!Q$42))</f>
        <v>0</v>
      </c>
      <c r="R56" s="53">
        <f>(SUMIFS(MtM!$V:$V,MtM!$I:$I,RESULTADO!$B56,MtM!$H:$H,RESULTADO!$B$53,MtM!$E:$E,RESULTADO!R$42))</f>
        <v>0</v>
      </c>
      <c r="S56" s="53">
        <f>(SUMIFS(MtM!$V:$V,MtM!$I:$I,RESULTADO!$B56,MtM!$H:$H,RESULTADO!$B$53,MtM!$E:$E,RESULTADO!S$42))</f>
        <v>0</v>
      </c>
      <c r="T56" s="53">
        <f>(SUMIFS(MtM!$V:$V,MtM!$I:$I,RESULTADO!$B56,MtM!$H:$H,RESULTADO!$B$53,MtM!$E:$E,RESULTADO!T$42))</f>
        <v>0</v>
      </c>
      <c r="U56" s="53">
        <f>(SUMIFS(MtM!$V:$V,MtM!$I:$I,RESULTADO!$B56,MtM!$H:$H,RESULTADO!$B$53,MtM!$E:$E,RESULTADO!U$42))</f>
        <v>0</v>
      </c>
      <c r="V56" s="53">
        <f>(SUMIFS(MtM!$V:$V,MtM!$I:$I,RESULTADO!$B56,MtM!$H:$H,RESULTADO!$B$53,MtM!$E:$E,RESULTADO!V$42))</f>
        <v>0</v>
      </c>
      <c r="W56" s="53">
        <f>(SUMIFS(MtM!$V:$V,MtM!$I:$I,RESULTADO!$B56,MtM!$H:$H,RESULTADO!$B$53,MtM!$E:$E,RESULTADO!W$42))</f>
        <v>0</v>
      </c>
      <c r="X56" s="53">
        <f>(SUMIFS(MtM!$V:$V,MtM!$I:$I,RESULTADO!$B56,MtM!$H:$H,RESULTADO!$B$53,MtM!$E:$E,RESULTADO!X$42))</f>
        <v>0</v>
      </c>
      <c r="Y56" s="53">
        <f>(SUMIFS(MtM!$V:$V,MtM!$I:$I,RESULTADO!$B56,MtM!$H:$H,RESULTADO!$B$53,MtM!$E:$E,RESULTADO!Y$42))</f>
        <v>0</v>
      </c>
      <c r="Z56" s="63">
        <f>(SUMIFS(MtM!$V:$V,MtM!$I:$I,RESULTADO!$B56,MtM!$H:$H,RESULTADO!$B$53,MtM!$E:$E,RESULTADO!Z$42))</f>
        <v>0</v>
      </c>
      <c r="AA56" s="53">
        <f>(SUMIFS(MtM!$V:$V,MtM!$I:$I,RESULTADO!$B56,MtM!$H:$H,RESULTADO!$B$53,MtM!$E:$E,RESULTADO!AA$42))</f>
        <v>0</v>
      </c>
      <c r="AB56" s="53">
        <f>(SUMIFS(MtM!$V:$V,MtM!$I:$I,RESULTADO!$B56,MtM!$H:$H,RESULTADO!$B$53,MtM!$E:$E,RESULTADO!AB$42))</f>
        <v>0</v>
      </c>
      <c r="AC56" s="53">
        <f>(SUMIFS(MtM!$V:$V,MtM!$I:$I,RESULTADO!$B56,MtM!$H:$H,RESULTADO!$B$53,MtM!$E:$E,RESULTADO!AC$42))</f>
        <v>0</v>
      </c>
      <c r="AD56" s="53">
        <f>(SUMIFS(MtM!$V:$V,MtM!$I:$I,RESULTADO!$B56,MtM!$H:$H,RESULTADO!$B$53,MtM!$E:$E,RESULTADO!AD$42))</f>
        <v>0</v>
      </c>
      <c r="AE56" s="53">
        <f>(SUMIFS(MtM!$V:$V,MtM!$I:$I,RESULTADO!$B56,MtM!$H:$H,RESULTADO!$B$53,MtM!$E:$E,RESULTADO!AE$42))</f>
        <v>0</v>
      </c>
      <c r="AF56" s="53">
        <f>(SUMIFS(MtM!$V:$V,MtM!$I:$I,RESULTADO!$B56,MtM!$H:$H,RESULTADO!$B$53,MtM!$E:$E,RESULTADO!AF$42))</f>
        <v>0</v>
      </c>
      <c r="AG56" s="53">
        <f>(SUMIFS(MtM!$V:$V,MtM!$I:$I,RESULTADO!$B56,MtM!$H:$H,RESULTADO!$B$53,MtM!$E:$E,RESULTADO!AG$42))</f>
        <v>0</v>
      </c>
      <c r="AH56" s="53">
        <f>(SUMIFS(MtM!$V:$V,MtM!$I:$I,RESULTADO!$B56,MtM!$H:$H,RESULTADO!$B$53,MtM!$E:$E,RESULTADO!AH$42))</f>
        <v>0</v>
      </c>
      <c r="AI56" s="53">
        <f>(SUMIFS(MtM!$V:$V,MtM!$I:$I,RESULTADO!$B56,MtM!$H:$H,RESULTADO!$B$53,MtM!$E:$E,RESULTADO!AI$42))</f>
        <v>0</v>
      </c>
      <c r="AJ56" s="53">
        <f>(SUMIFS(MtM!$V:$V,MtM!$I:$I,RESULTADO!$B56,MtM!$H:$H,RESULTADO!$B$53,MtM!$E:$E,RESULTADO!AJ$42))</f>
        <v>0</v>
      </c>
      <c r="AK56" s="53">
        <f>(SUMIFS(MtM!$V:$V,MtM!$I:$I,RESULTADO!$B56,MtM!$H:$H,RESULTADO!$B$53,MtM!$E:$E,RESULTADO!AK$42))</f>
        <v>0</v>
      </c>
      <c r="AL56" s="54">
        <f>(SUMIFS(MtM!$V:$V,MtM!$I:$I,RESULTADO!$B56,MtM!$H:$H,RESULTADO!$B$53,MtM!$E:$E,RESULTADO!AL$42))</f>
        <v>0</v>
      </c>
      <c r="AM56" s="53">
        <f>(SUMIFS(MtM!$V:$V,MtM!$I:$I,RESULTADO!$B56,MtM!$H:$H,RESULTADO!$B$53,MtM!$E:$E,RESULTADO!AM$42))</f>
        <v>0</v>
      </c>
      <c r="AN56" s="53">
        <f>(SUMIFS(MtM!$V:$V,MtM!$I:$I,RESULTADO!$B56,MtM!$H:$H,RESULTADO!$B$53,MtM!$E:$E,RESULTADO!AN$42))</f>
        <v>0</v>
      </c>
      <c r="AO56" s="53">
        <f>(SUMIFS(MtM!$V:$V,MtM!$I:$I,RESULTADO!$B56,MtM!$H:$H,RESULTADO!$B$53,MtM!$E:$E,RESULTADO!AO$42))</f>
        <v>0</v>
      </c>
      <c r="AP56" s="53">
        <f>(SUMIFS(MtM!$V:$V,MtM!$I:$I,RESULTADO!$B56,MtM!$H:$H,RESULTADO!$B$53,MtM!$E:$E,RESULTADO!AP$42))</f>
        <v>0</v>
      </c>
      <c r="AQ56" s="53">
        <f>(SUMIFS(MtM!$V:$V,MtM!$I:$I,RESULTADO!$B56,MtM!$H:$H,RESULTADO!$B$53,MtM!$E:$E,RESULTADO!AQ$42))</f>
        <v>0</v>
      </c>
      <c r="AR56" s="53">
        <f>(SUMIFS(MtM!$V:$V,MtM!$I:$I,RESULTADO!$B56,MtM!$H:$H,RESULTADO!$B$53,MtM!$E:$E,RESULTADO!AR$42))</f>
        <v>0</v>
      </c>
      <c r="AS56" s="53">
        <f>(SUMIFS(MtM!$V:$V,MtM!$I:$I,RESULTADO!$B56,MtM!$H:$H,RESULTADO!$B$53,MtM!$E:$E,RESULTADO!AS$42))</f>
        <v>0</v>
      </c>
      <c r="AT56" s="53">
        <f>(SUMIFS(MtM!$V:$V,MtM!$I:$I,RESULTADO!$B56,MtM!$H:$H,RESULTADO!$B$53,MtM!$E:$E,RESULTADO!AT$42))</f>
        <v>0</v>
      </c>
      <c r="AU56" s="53">
        <f>(SUMIFS(MtM!$V:$V,MtM!$I:$I,RESULTADO!$B56,MtM!$H:$H,RESULTADO!$B$53,MtM!$E:$E,RESULTADO!AU$42))</f>
        <v>0</v>
      </c>
      <c r="AV56" s="53">
        <f>(SUMIFS(MtM!$V:$V,MtM!$I:$I,RESULTADO!$B56,MtM!$H:$H,RESULTADO!$B$53,MtM!$E:$E,RESULTADO!AV$42))</f>
        <v>0</v>
      </c>
      <c r="AW56" s="53">
        <f>(SUMIFS(MtM!$V:$V,MtM!$I:$I,RESULTADO!$B56,MtM!$H:$H,RESULTADO!$B$53,MtM!$E:$E,RESULTADO!AW$42))</f>
        <v>0</v>
      </c>
      <c r="AX56" s="63">
        <f>(SUMIFS(MtM!$V:$V,MtM!$I:$I,RESULTADO!$B56,MtM!$H:$H,RESULTADO!$B$53,MtM!$E:$E,RESULTADO!AX$42))</f>
        <v>0</v>
      </c>
      <c r="AY56" s="53">
        <f>(SUMIFS(MtM!$V:$V,MtM!$I:$I,RESULTADO!$B56,MtM!$H:$H,RESULTADO!$B$53,MtM!$E:$E,RESULTADO!AY$42))</f>
        <v>0</v>
      </c>
      <c r="AZ56" s="53">
        <f>(SUMIFS(MtM!$V:$V,MtM!$I:$I,RESULTADO!$B56,MtM!$H:$H,RESULTADO!$B$53,MtM!$E:$E,RESULTADO!AZ$42))</f>
        <v>0</v>
      </c>
      <c r="BA56" s="53">
        <f>(SUMIFS(MtM!$V:$V,MtM!$I:$I,RESULTADO!$B56,MtM!$H:$H,RESULTADO!$B$53,MtM!$E:$E,RESULTADO!BA$42))</f>
        <v>0</v>
      </c>
      <c r="BB56" s="53">
        <f>(SUMIFS(MtM!$V:$V,MtM!$I:$I,RESULTADO!$B56,MtM!$H:$H,RESULTADO!$B$53,MtM!$E:$E,RESULTADO!BB$42))</f>
        <v>0</v>
      </c>
      <c r="BC56" s="53">
        <f>(SUMIFS(MtM!$V:$V,MtM!$I:$I,RESULTADO!$B56,MtM!$H:$H,RESULTADO!$B$53,MtM!$E:$E,RESULTADO!BC$42))</f>
        <v>0</v>
      </c>
      <c r="BD56" s="53">
        <f>(SUMIFS(MtM!$V:$V,MtM!$I:$I,RESULTADO!$B56,MtM!$H:$H,RESULTADO!$B$53,MtM!$E:$E,RESULTADO!BD$42))</f>
        <v>0</v>
      </c>
      <c r="BE56" s="53">
        <f>(SUMIFS(MtM!$V:$V,MtM!$I:$I,RESULTADO!$B56,MtM!$H:$H,RESULTADO!$B$53,MtM!$E:$E,RESULTADO!BE$42))</f>
        <v>0</v>
      </c>
      <c r="BF56" s="53">
        <f>(SUMIFS(MtM!$V:$V,MtM!$I:$I,RESULTADO!$B56,MtM!$H:$H,RESULTADO!$B$53,MtM!$E:$E,RESULTADO!BF$42))</f>
        <v>0</v>
      </c>
      <c r="BG56" s="53">
        <f>(SUMIFS(MtM!$V:$V,MtM!$I:$I,RESULTADO!$B56,MtM!$H:$H,RESULTADO!$B$53,MtM!$E:$E,RESULTADO!BG$42))</f>
        <v>0</v>
      </c>
      <c r="BH56" s="53">
        <f>(SUMIFS(MtM!$V:$V,MtM!$I:$I,RESULTADO!$B56,MtM!$H:$H,RESULTADO!$B$53,MtM!$E:$E,RESULTADO!BH$42))</f>
        <v>0</v>
      </c>
      <c r="BI56" s="53">
        <f>(SUMIFS(MtM!$V:$V,MtM!$I:$I,RESULTADO!$B56,MtM!$H:$H,RESULTADO!$B$53,MtM!$E:$E,RESULTADO!BI$42))</f>
        <v>0</v>
      </c>
      <c r="BJ56" s="63">
        <f>(SUMIFS(MtM!$V:$V,MtM!$I:$I,RESULTADO!$B56,MtM!$H:$H,RESULTADO!$B$53,MtM!$E:$E,RESULTADO!BJ$42))</f>
        <v>0</v>
      </c>
      <c r="BL56" s="120"/>
      <c r="BN56" s="57" t="s">
        <v>13</v>
      </c>
      <c r="BO56" s="53">
        <f>SUMIFS('MtM Releases'!$M:$M,'MtM Releases'!$G:$G,RESULTADO!$BN56,'MtM Releases'!$F:$F,RESULTADO!$BN53,'MtM Releases'!$D:$D,RESULTADO!BO$3)</f>
        <v>0</v>
      </c>
      <c r="BP56" s="53">
        <f>SUMIFS('MtM Releases'!$M:$M,'MtM Releases'!$G:$G,RESULTADO!$BN56,'MtM Releases'!$F:$F,RESULTADO!$BN53,'MtM Releases'!$D:$D,RESULTADO!BP$3)</f>
        <v>0</v>
      </c>
      <c r="BQ56" s="53">
        <f>SUMIFS('MtM Releases'!$M:$M,'MtM Releases'!$G:$G,RESULTADO!$BN56,'MtM Releases'!$F:$F,RESULTADO!$BN53,'MtM Releases'!$D:$D,RESULTADO!BQ$3)</f>
        <v>0</v>
      </c>
      <c r="BR56" s="53">
        <f>SUMIFS('MtM Releases'!$M:$M,'MtM Releases'!$G:$G,RESULTADO!$BN56,'MtM Releases'!$F:$F,RESULTADO!$BN53,'MtM Releases'!$D:$D,RESULTADO!BR$3)</f>
        <v>0</v>
      </c>
      <c r="BS56" s="53">
        <f>SUMIFS('MtM Releases'!$M:$M,'MtM Releases'!$G:$G,RESULTADO!$BN56,'MtM Releases'!$F:$F,RESULTADO!$BN53,'MtM Releases'!$D:$D,RESULTADO!BS$3)</f>
        <v>0</v>
      </c>
      <c r="BT56" s="53">
        <f>SUMIFS('MtM Releases'!$M:$M,'MtM Releases'!$G:$G,RESULTADO!$BN56,'MtM Releases'!$F:$F,RESULTADO!$BN53,'MtM Releases'!$D:$D,RESULTADO!BT$3)</f>
        <v>61724.159999999989</v>
      </c>
      <c r="BU56" s="53">
        <f>SUMIFS('MtM Releases'!$M:$M,'MtM Releases'!$G:$G,RESULTADO!$BN56,'MtM Releases'!$F:$F,RESULTADO!$BN53,'MtM Releases'!$D:$D,RESULTADO!BU$3)</f>
        <v>12432.240000000002</v>
      </c>
      <c r="BV56" s="53">
        <f>SUMIFS('MtM Releases'!$M:$M,'MtM Releases'!$G:$G,RESULTADO!$BN56,'MtM Releases'!$F:$F,RESULTADO!$BN53,'MtM Releases'!$D:$D,RESULTADO!BV$3)</f>
        <v>0</v>
      </c>
      <c r="BW56" s="53">
        <f>SUMIFS('MtM Releases'!$M:$M,'MtM Releases'!$G:$G,RESULTADO!$BN56,'MtM Releases'!$F:$F,RESULTADO!$BN53,'MtM Releases'!$D:$D,RESULTADO!BW$3)</f>
        <v>0</v>
      </c>
      <c r="BX56" s="53">
        <f>SUMIFS('MtM Releases'!$M:$M,'MtM Releases'!$G:$G,RESULTADO!$BN56,'MtM Releases'!$F:$F,RESULTADO!$BN53,'MtM Releases'!$D:$D,RESULTADO!BX$3)</f>
        <v>0</v>
      </c>
      <c r="BY56" s="53">
        <f>SUMIFS('MtM Releases'!$M:$M,'MtM Releases'!$G:$G,RESULTADO!$BN56,'MtM Releases'!$F:$F,RESULTADO!$BN53,'MtM Releases'!$D:$D,RESULTADO!BY$3)</f>
        <v>0</v>
      </c>
      <c r="BZ56" s="54">
        <f>SUMIFS('MtM Releases'!$M:$M,'MtM Releases'!$G:$G,RESULTADO!$BN56,'MtM Releases'!$F:$F,RESULTADO!$BN53,'MtM Releases'!$D:$D,RESULTADO!BZ$3)</f>
        <v>0</v>
      </c>
      <c r="CA56" s="53">
        <f>SUMIFS('MtM Releases'!$M:$M,'MtM Releases'!$G:$G,RESULTADO!$BN56,'MtM Releases'!$F:$F,RESULTADO!$BN53,'MtM Releases'!$D:$D,RESULTADO!CA$3)</f>
        <v>0</v>
      </c>
      <c r="CB56" s="53">
        <f>SUMIFS('MtM Releases'!$M:$M,'MtM Releases'!$G:$G,RESULTADO!$BN56,'MtM Releases'!$F:$F,RESULTADO!$BN53,'MtM Releases'!$D:$D,RESULTADO!CB$3)</f>
        <v>0</v>
      </c>
      <c r="CC56" s="53">
        <f>SUMIFS('MtM Releases'!$M:$M,'MtM Releases'!$G:$G,RESULTADO!$BN56,'MtM Releases'!$F:$F,RESULTADO!$BN53,'MtM Releases'!$D:$D,RESULTADO!CC$3)</f>
        <v>0</v>
      </c>
      <c r="CD56" s="53">
        <f>SUMIFS('MtM Releases'!$M:$M,'MtM Releases'!$G:$G,RESULTADO!$BN56,'MtM Releases'!$F:$F,RESULTADO!$BN53,'MtM Releases'!$D:$D,RESULTADO!CD$3)</f>
        <v>0</v>
      </c>
      <c r="CE56" s="53">
        <f>SUMIFS('MtM Releases'!$M:$M,'MtM Releases'!$G:$G,RESULTADO!$BN56,'MtM Releases'!$F:$F,RESULTADO!$BN53,'MtM Releases'!$D:$D,RESULTADO!CE$3)</f>
        <v>0</v>
      </c>
      <c r="CF56" s="53">
        <f>SUMIFS('MtM Releases'!$M:$M,'MtM Releases'!$G:$G,RESULTADO!$BN56,'MtM Releases'!$F:$F,RESULTADO!$BN53,'MtM Releases'!$D:$D,RESULTADO!CF$3)</f>
        <v>0</v>
      </c>
      <c r="CG56" s="53">
        <f>SUMIFS('MtM Releases'!$M:$M,'MtM Releases'!$G:$G,RESULTADO!$BN56,'MtM Releases'!$F:$F,RESULTADO!$BN53,'MtM Releases'!$D:$D,RESULTADO!CG$3)</f>
        <v>0</v>
      </c>
      <c r="CH56" s="53">
        <f>SUMIFS('MtM Releases'!$M:$M,'MtM Releases'!$G:$G,RESULTADO!$BN56,'MtM Releases'!$F:$F,RESULTADO!$BN53,'MtM Releases'!$D:$D,RESULTADO!CH$3)</f>
        <v>0</v>
      </c>
      <c r="CI56" s="53">
        <f>SUMIFS('MtM Releases'!$M:$M,'MtM Releases'!$G:$G,RESULTADO!$BN56,'MtM Releases'!$F:$F,RESULTADO!$BN53,'MtM Releases'!$D:$D,RESULTADO!CI$3)</f>
        <v>0</v>
      </c>
      <c r="CJ56" s="53">
        <f>SUMIFS('MtM Releases'!$M:$M,'MtM Releases'!$G:$G,RESULTADO!$BN56,'MtM Releases'!$F:$F,RESULTADO!$BN53,'MtM Releases'!$D:$D,RESULTADO!CJ$3)</f>
        <v>0</v>
      </c>
      <c r="CK56" s="53">
        <f>SUMIFS('MtM Releases'!$M:$M,'MtM Releases'!$G:$G,RESULTADO!$BN56,'MtM Releases'!$F:$F,RESULTADO!$BN53,'MtM Releases'!$D:$D,RESULTADO!CK$3)</f>
        <v>0</v>
      </c>
      <c r="CL56" s="63">
        <f>SUMIFS('MtM Releases'!$M:$M,'MtM Releases'!$G:$G,RESULTADO!$BN56,'MtM Releases'!$F:$F,RESULTADO!$BN53,'MtM Releases'!$D:$D,RESULTADO!CL$3)</f>
        <v>0</v>
      </c>
      <c r="CM56" s="53">
        <f>SUMIFS('MtM Releases'!$M:$M,'MtM Releases'!$G:$G,RESULTADO!$BN56,'MtM Releases'!$F:$F,RESULTADO!$BN53,'MtM Releases'!$D:$D,RESULTADO!CM$3)</f>
        <v>0</v>
      </c>
      <c r="CN56" s="53">
        <f>SUMIFS('MtM Releases'!$M:$M,'MtM Releases'!$G:$G,RESULTADO!$BN56,'MtM Releases'!$F:$F,RESULTADO!$BN53,'MtM Releases'!$D:$D,RESULTADO!CN$3)</f>
        <v>0</v>
      </c>
      <c r="CO56" s="53">
        <f>SUMIFS('MtM Releases'!$M:$M,'MtM Releases'!$G:$G,RESULTADO!$BN56,'MtM Releases'!$F:$F,RESULTADO!$BN53,'MtM Releases'!$D:$D,RESULTADO!CO$3)</f>
        <v>0</v>
      </c>
      <c r="CP56" s="53">
        <f>SUMIFS('MtM Releases'!$M:$M,'MtM Releases'!$G:$G,RESULTADO!$BN56,'MtM Releases'!$F:$F,RESULTADO!$BN53,'MtM Releases'!$D:$D,RESULTADO!CP$3)</f>
        <v>0</v>
      </c>
      <c r="CQ56" s="53">
        <f>SUMIFS('MtM Releases'!$M:$M,'MtM Releases'!$G:$G,RESULTADO!$BN56,'MtM Releases'!$F:$F,RESULTADO!$BN53,'MtM Releases'!$D:$D,RESULTADO!CQ$3)</f>
        <v>0</v>
      </c>
      <c r="CR56" s="53">
        <f>SUMIFS('MtM Releases'!$M:$M,'MtM Releases'!$G:$G,RESULTADO!$BN56,'MtM Releases'!$F:$F,RESULTADO!$BN53,'MtM Releases'!$D:$D,RESULTADO!CR$3)</f>
        <v>0</v>
      </c>
      <c r="CS56" s="53">
        <f>SUMIFS('MtM Releases'!$M:$M,'MtM Releases'!$G:$G,RESULTADO!$BN56,'MtM Releases'!$F:$F,RESULTADO!$BN53,'MtM Releases'!$D:$D,RESULTADO!CS$3)</f>
        <v>0</v>
      </c>
      <c r="CT56" s="53">
        <f>SUMIFS('MtM Releases'!$M:$M,'MtM Releases'!$G:$G,RESULTADO!$BN56,'MtM Releases'!$F:$F,RESULTADO!$BN53,'MtM Releases'!$D:$D,RESULTADO!CT$3)</f>
        <v>0</v>
      </c>
      <c r="CU56" s="53">
        <f>SUMIFS('MtM Releases'!$M:$M,'MtM Releases'!$G:$G,RESULTADO!$BN56,'MtM Releases'!$F:$F,RESULTADO!$BN53,'MtM Releases'!$D:$D,RESULTADO!CU$3)</f>
        <v>0</v>
      </c>
      <c r="CV56" s="53">
        <f>SUMIFS('MtM Releases'!$M:$M,'MtM Releases'!$G:$G,RESULTADO!$BN56,'MtM Releases'!$F:$F,RESULTADO!$BN53,'MtM Releases'!$D:$D,RESULTADO!CV$3)</f>
        <v>0</v>
      </c>
      <c r="CW56" s="53">
        <f>SUMIFS('MtM Releases'!$M:$M,'MtM Releases'!$G:$G,RESULTADO!$BN56,'MtM Releases'!$F:$F,RESULTADO!$BN53,'MtM Releases'!$D:$D,RESULTADO!CW$3)</f>
        <v>0</v>
      </c>
      <c r="CX56" s="54">
        <f>SUMIFS('MtM Releases'!$M:$M,'MtM Releases'!$G:$G,RESULTADO!$BN56,'MtM Releases'!$F:$F,RESULTADO!$BN53,'MtM Releases'!$D:$D,RESULTADO!CX$3)</f>
        <v>0</v>
      </c>
      <c r="CY56" s="53">
        <f>SUMIFS('MtM Releases'!$M:$M,'MtM Releases'!$G:$G,RESULTADO!$BN56,'MtM Releases'!$F:$F,RESULTADO!$BN53,'MtM Releases'!$D:$D,RESULTADO!CY$3)</f>
        <v>0</v>
      </c>
      <c r="CZ56" s="53">
        <f>SUMIFS('MtM Releases'!$M:$M,'MtM Releases'!$G:$G,RESULTADO!$BN56,'MtM Releases'!$F:$F,RESULTADO!$BN53,'MtM Releases'!$D:$D,RESULTADO!CZ$3)</f>
        <v>0</v>
      </c>
      <c r="DA56" s="53">
        <f>SUMIFS('MtM Releases'!$M:$M,'MtM Releases'!$G:$G,RESULTADO!$BN56,'MtM Releases'!$F:$F,RESULTADO!$BN53,'MtM Releases'!$D:$D,RESULTADO!DA$3)</f>
        <v>0</v>
      </c>
      <c r="DB56" s="53">
        <f>SUMIFS('MtM Releases'!$M:$M,'MtM Releases'!$G:$G,RESULTADO!$BN56,'MtM Releases'!$F:$F,RESULTADO!$BN53,'MtM Releases'!$D:$D,RESULTADO!DB$3)</f>
        <v>0</v>
      </c>
      <c r="DC56" s="53">
        <f>SUMIFS('MtM Releases'!$M:$M,'MtM Releases'!$G:$G,RESULTADO!$BN56,'MtM Releases'!$F:$F,RESULTADO!$BN53,'MtM Releases'!$D:$D,RESULTADO!DC$3)</f>
        <v>0</v>
      </c>
      <c r="DD56" s="53">
        <f>SUMIFS('MtM Releases'!$M:$M,'MtM Releases'!$G:$G,RESULTADO!$BN56,'MtM Releases'!$F:$F,RESULTADO!$BN53,'MtM Releases'!$D:$D,RESULTADO!DD$3)</f>
        <v>0</v>
      </c>
      <c r="DE56" s="53">
        <f>SUMIFS('MtM Releases'!$M:$M,'MtM Releases'!$G:$G,RESULTADO!$BN56,'MtM Releases'!$F:$F,RESULTADO!$BN53,'MtM Releases'!$D:$D,RESULTADO!DE$3)</f>
        <v>0</v>
      </c>
      <c r="DF56" s="53">
        <f>SUMIFS('MtM Releases'!$M:$M,'MtM Releases'!$G:$G,RESULTADO!$BN56,'MtM Releases'!$F:$F,RESULTADO!$BN53,'MtM Releases'!$D:$D,RESULTADO!DF$3)</f>
        <v>0</v>
      </c>
      <c r="DG56" s="53">
        <f>SUMIFS('MtM Releases'!$M:$M,'MtM Releases'!$G:$G,RESULTADO!$BN56,'MtM Releases'!$F:$F,RESULTADO!$BN53,'MtM Releases'!$D:$D,RESULTADO!DG$3)</f>
        <v>0</v>
      </c>
      <c r="DH56" s="53">
        <f>SUMIFS('MtM Releases'!$M:$M,'MtM Releases'!$G:$G,RESULTADO!$BN56,'MtM Releases'!$F:$F,RESULTADO!$BN53,'MtM Releases'!$D:$D,RESULTADO!DH$3)</f>
        <v>0</v>
      </c>
      <c r="DI56" s="53">
        <f>SUMIFS('MtM Releases'!$M:$M,'MtM Releases'!$G:$G,RESULTADO!$BN56,'MtM Releases'!$F:$F,RESULTADO!$BN53,'MtM Releases'!$D:$D,RESULTADO!DI$3)</f>
        <v>0</v>
      </c>
      <c r="DJ56" s="63">
        <f>SUMIFS('MtM Releases'!$M:$M,'MtM Releases'!$G:$G,RESULTADO!$BN56,'MtM Releases'!$F:$F,RESULTADO!$BN53,'MtM Releases'!$D:$D,RESULTADO!DJ$3)</f>
        <v>0</v>
      </c>
      <c r="DK56" s="53">
        <f>SUMIFS('MtM Releases'!$M:$M,'MtM Releases'!$G:$G,RESULTADO!$BN56,'MtM Releases'!$F:$F,RESULTADO!$BN53,'MtM Releases'!$D:$D,RESULTADO!DK$3)</f>
        <v>0</v>
      </c>
      <c r="DL56" s="53">
        <f>SUMIFS('MtM Releases'!$M:$M,'MtM Releases'!$G:$G,RESULTADO!$BN56,'MtM Releases'!$F:$F,RESULTADO!$BN53,'MtM Releases'!$D:$D,RESULTADO!DL$3)</f>
        <v>0</v>
      </c>
      <c r="DM56" s="53">
        <f>SUMIFS('MtM Releases'!$M:$M,'MtM Releases'!$G:$G,RESULTADO!$BN56,'MtM Releases'!$F:$F,RESULTADO!$BN53,'MtM Releases'!$D:$D,RESULTADO!DM$3)</f>
        <v>0</v>
      </c>
      <c r="DN56" s="53">
        <f>SUMIFS('MtM Releases'!$M:$M,'MtM Releases'!$G:$G,RESULTADO!$BN56,'MtM Releases'!$F:$F,RESULTADO!$BN53,'MtM Releases'!$D:$D,RESULTADO!DN$3)</f>
        <v>0</v>
      </c>
      <c r="DO56" s="53">
        <f>SUMIFS('MtM Releases'!$M:$M,'MtM Releases'!$G:$G,RESULTADO!$BN56,'MtM Releases'!$F:$F,RESULTADO!$BN53,'MtM Releases'!$D:$D,RESULTADO!DO$3)</f>
        <v>0</v>
      </c>
      <c r="DP56" s="53">
        <f>SUMIFS('MtM Releases'!$M:$M,'MtM Releases'!$G:$G,RESULTADO!$BN56,'MtM Releases'!$F:$F,RESULTADO!$BN53,'MtM Releases'!$D:$D,RESULTADO!DP$3)</f>
        <v>0</v>
      </c>
      <c r="DQ56" s="53">
        <f>SUMIFS('MtM Releases'!$M:$M,'MtM Releases'!$G:$G,RESULTADO!$BN56,'MtM Releases'!$F:$F,RESULTADO!$BN53,'MtM Releases'!$D:$D,RESULTADO!DQ$3)</f>
        <v>0</v>
      </c>
      <c r="DR56" s="53">
        <f>SUMIFS('MtM Releases'!$M:$M,'MtM Releases'!$G:$G,RESULTADO!$BN56,'MtM Releases'!$F:$F,RESULTADO!$BN53,'MtM Releases'!$D:$D,RESULTADO!DR$3)</f>
        <v>0</v>
      </c>
      <c r="DS56" s="53">
        <f>SUMIFS('MtM Releases'!$M:$M,'MtM Releases'!$G:$G,RESULTADO!$BN56,'MtM Releases'!$F:$F,RESULTADO!$BN53,'MtM Releases'!$D:$D,RESULTADO!DS$3)</f>
        <v>0</v>
      </c>
      <c r="DT56" s="53">
        <f>SUMIFS('MtM Releases'!$M:$M,'MtM Releases'!$G:$G,RESULTADO!$BN56,'MtM Releases'!$F:$F,RESULTADO!$BN53,'MtM Releases'!$D:$D,RESULTADO!DT$3)</f>
        <v>0</v>
      </c>
      <c r="DU56" s="53">
        <f>SUMIFS('MtM Releases'!$M:$M,'MtM Releases'!$G:$G,RESULTADO!$BN56,'MtM Releases'!$F:$F,RESULTADO!$BN53,'MtM Releases'!$D:$D,RESULTADO!DU$3)</f>
        <v>0</v>
      </c>
      <c r="DV56" s="63">
        <f>SUMIFS('MtM Releases'!$M:$M,'MtM Releases'!$G:$G,RESULTADO!$BN56,'MtM Releases'!$F:$F,RESULTADO!$BN53,'MtM Releases'!$D:$D,RESULTADO!DV$3)</f>
        <v>0</v>
      </c>
    </row>
    <row r="57" spans="2:126" x14ac:dyDescent="0.25">
      <c r="B57" s="57" t="s">
        <v>11</v>
      </c>
      <c r="C57" s="53">
        <f>(SUMIFS(MtM!$V:$V,MtM!$I:$I,RESULTADO!$B57,MtM!$H:$H,RESULTADO!$B$53,MtM!$E:$E,RESULTADO!C$42))</f>
        <v>0</v>
      </c>
      <c r="D57" s="53">
        <f>(SUMIFS(MtM!$V:$V,MtM!$I:$I,RESULTADO!$B57,MtM!$H:$H,RESULTADO!$B$53,MtM!$E:$E,RESULTADO!D$42))</f>
        <v>0</v>
      </c>
      <c r="E57" s="53">
        <f>(SUMIFS(MtM!$V:$V,MtM!$I:$I,RESULTADO!$B57,MtM!$H:$H,RESULTADO!$B$53,MtM!$E:$E,RESULTADO!E$42))</f>
        <v>0</v>
      </c>
      <c r="F57" s="53">
        <f>(SUMIFS(MtM!$V:$V,MtM!$I:$I,RESULTADO!$B57,MtM!$H:$H,RESULTADO!$B$53,MtM!$E:$E,RESULTADO!F$42))</f>
        <v>0</v>
      </c>
      <c r="G57" s="53">
        <f>(SUMIFS(MtM!$V:$V,MtM!$I:$I,RESULTADO!$B57,MtM!$H:$H,RESULTADO!$B$53,MtM!$E:$E,RESULTADO!G$42))</f>
        <v>0</v>
      </c>
      <c r="H57" s="53">
        <f>(SUMIFS(MtM!$V:$V,MtM!$I:$I,RESULTADO!$B57,MtM!$H:$H,RESULTADO!$B$53,MtM!$E:$E,RESULTADO!H$42))</f>
        <v>0</v>
      </c>
      <c r="I57" s="53">
        <f>(SUMIFS(MtM!$V:$V,MtM!$I:$I,RESULTADO!$B57,MtM!$H:$H,RESULTADO!$B$53,MtM!$E:$E,RESULTADO!I$42))</f>
        <v>0</v>
      </c>
      <c r="J57" s="53">
        <f>(SUMIFS(MtM!$V:$V,MtM!$I:$I,RESULTADO!$B57,MtM!$H:$H,RESULTADO!$B$53,MtM!$E:$E,RESULTADO!J$42))</f>
        <v>0</v>
      </c>
      <c r="K57" s="53">
        <f>(SUMIFS(MtM!$V:$V,MtM!$I:$I,RESULTADO!$B57,MtM!$H:$H,RESULTADO!$B$53,MtM!$E:$E,RESULTADO!K$42))</f>
        <v>0</v>
      </c>
      <c r="L57" s="53">
        <f>(SUMIFS(MtM!$V:$V,MtM!$I:$I,RESULTADO!$B57,MtM!$H:$H,RESULTADO!$B$53,MtM!$E:$E,RESULTADO!L$42))</f>
        <v>0</v>
      </c>
      <c r="M57" s="53">
        <f>(SUMIFS(MtM!$V:$V,MtM!$I:$I,RESULTADO!$B57,MtM!$H:$H,RESULTADO!$B$53,MtM!$E:$E,RESULTADO!M$42))</f>
        <v>0</v>
      </c>
      <c r="N57" s="54">
        <f>(SUMIFS(MtM!$V:$V,MtM!$I:$I,RESULTADO!$B57,MtM!$H:$H,RESULTADO!$B$53,MtM!$E:$E,RESULTADO!N$42))</f>
        <v>0</v>
      </c>
      <c r="O57" s="53">
        <f>(SUMIFS(MtM!$V:$V,MtM!$I:$I,RESULTADO!$B57,MtM!$H:$H,RESULTADO!$B$53,MtM!$E:$E,RESULTADO!O$42))</f>
        <v>0</v>
      </c>
      <c r="P57" s="53">
        <f>(SUMIFS(MtM!$V:$V,MtM!$I:$I,RESULTADO!$B57,MtM!$H:$H,RESULTADO!$B$53,MtM!$E:$E,RESULTADO!P$42))</f>
        <v>0</v>
      </c>
      <c r="Q57" s="53">
        <f>(SUMIFS(MtM!$V:$V,MtM!$I:$I,RESULTADO!$B57,MtM!$H:$H,RESULTADO!$B$53,MtM!$E:$E,RESULTADO!Q$42))</f>
        <v>0</v>
      </c>
      <c r="R57" s="53">
        <f>(SUMIFS(MtM!$V:$V,MtM!$I:$I,RESULTADO!$B57,MtM!$H:$H,RESULTADO!$B$53,MtM!$E:$E,RESULTADO!R$42))</f>
        <v>0</v>
      </c>
      <c r="S57" s="53">
        <f>(SUMIFS(MtM!$V:$V,MtM!$I:$I,RESULTADO!$B57,MtM!$H:$H,RESULTADO!$B$53,MtM!$E:$E,RESULTADO!S$42))</f>
        <v>0</v>
      </c>
      <c r="T57" s="53">
        <f>(SUMIFS(MtM!$V:$V,MtM!$I:$I,RESULTADO!$B57,MtM!$H:$H,RESULTADO!$B$53,MtM!$E:$E,RESULTADO!T$42))</f>
        <v>0</v>
      </c>
      <c r="U57" s="53">
        <f>(SUMIFS(MtM!$V:$V,MtM!$I:$I,RESULTADO!$B57,MtM!$H:$H,RESULTADO!$B$53,MtM!$E:$E,RESULTADO!U$42))</f>
        <v>0</v>
      </c>
      <c r="V57" s="53">
        <f>(SUMIFS(MtM!$V:$V,MtM!$I:$I,RESULTADO!$B57,MtM!$H:$H,RESULTADO!$B$53,MtM!$E:$E,RESULTADO!V$42))</f>
        <v>0</v>
      </c>
      <c r="W57" s="53">
        <f>(SUMIFS(MtM!$V:$V,MtM!$I:$I,RESULTADO!$B57,MtM!$H:$H,RESULTADO!$B$53,MtM!$E:$E,RESULTADO!W$42))</f>
        <v>0</v>
      </c>
      <c r="X57" s="53">
        <f>(SUMIFS(MtM!$V:$V,MtM!$I:$I,RESULTADO!$B57,MtM!$H:$H,RESULTADO!$B$53,MtM!$E:$E,RESULTADO!X$42))</f>
        <v>0</v>
      </c>
      <c r="Y57" s="53">
        <f>(SUMIFS(MtM!$V:$V,MtM!$I:$I,RESULTADO!$B57,MtM!$H:$H,RESULTADO!$B$53,MtM!$E:$E,RESULTADO!Y$42))</f>
        <v>0</v>
      </c>
      <c r="Z57" s="63">
        <f>(SUMIFS(MtM!$V:$V,MtM!$I:$I,RESULTADO!$B57,MtM!$H:$H,RESULTADO!$B$53,MtM!$E:$E,RESULTADO!Z$42))</f>
        <v>0</v>
      </c>
      <c r="AA57" s="53">
        <f>(SUMIFS(MtM!$V:$V,MtM!$I:$I,RESULTADO!$B57,MtM!$H:$H,RESULTADO!$B$53,MtM!$E:$E,RESULTADO!AA$42))</f>
        <v>0</v>
      </c>
      <c r="AB57" s="53">
        <f>(SUMIFS(MtM!$V:$V,MtM!$I:$I,RESULTADO!$B57,MtM!$H:$H,RESULTADO!$B$53,MtM!$E:$E,RESULTADO!AB$42))</f>
        <v>0</v>
      </c>
      <c r="AC57" s="53">
        <f>(SUMIFS(MtM!$V:$V,MtM!$I:$I,RESULTADO!$B57,MtM!$H:$H,RESULTADO!$B$53,MtM!$E:$E,RESULTADO!AC$42))</f>
        <v>0</v>
      </c>
      <c r="AD57" s="53">
        <f>(SUMIFS(MtM!$V:$V,MtM!$I:$I,RESULTADO!$B57,MtM!$H:$H,RESULTADO!$B$53,MtM!$E:$E,RESULTADO!AD$42))</f>
        <v>0</v>
      </c>
      <c r="AE57" s="53">
        <f>(SUMIFS(MtM!$V:$V,MtM!$I:$I,RESULTADO!$B57,MtM!$H:$H,RESULTADO!$B$53,MtM!$E:$E,RESULTADO!AE$42))</f>
        <v>0</v>
      </c>
      <c r="AF57" s="53">
        <f>(SUMIFS(MtM!$V:$V,MtM!$I:$I,RESULTADO!$B57,MtM!$H:$H,RESULTADO!$B$53,MtM!$E:$E,RESULTADO!AF$42))</f>
        <v>0</v>
      </c>
      <c r="AG57" s="53">
        <f>(SUMIFS(MtM!$V:$V,MtM!$I:$I,RESULTADO!$B57,MtM!$H:$H,RESULTADO!$B$53,MtM!$E:$E,RESULTADO!AG$42))</f>
        <v>0</v>
      </c>
      <c r="AH57" s="53">
        <f>(SUMIFS(MtM!$V:$V,MtM!$I:$I,RESULTADO!$B57,MtM!$H:$H,RESULTADO!$B$53,MtM!$E:$E,RESULTADO!AH$42))</f>
        <v>0</v>
      </c>
      <c r="AI57" s="53">
        <f>(SUMIFS(MtM!$V:$V,MtM!$I:$I,RESULTADO!$B57,MtM!$H:$H,RESULTADO!$B$53,MtM!$E:$E,RESULTADO!AI$42))</f>
        <v>0</v>
      </c>
      <c r="AJ57" s="53">
        <f>(SUMIFS(MtM!$V:$V,MtM!$I:$I,RESULTADO!$B57,MtM!$H:$H,RESULTADO!$B$53,MtM!$E:$E,RESULTADO!AJ$42))</f>
        <v>0</v>
      </c>
      <c r="AK57" s="53">
        <f>(SUMIFS(MtM!$V:$V,MtM!$I:$I,RESULTADO!$B57,MtM!$H:$H,RESULTADO!$B$53,MtM!$E:$E,RESULTADO!AK$42))</f>
        <v>0</v>
      </c>
      <c r="AL57" s="54">
        <f>(SUMIFS(MtM!$V:$V,MtM!$I:$I,RESULTADO!$B57,MtM!$H:$H,RESULTADO!$B$53,MtM!$E:$E,RESULTADO!AL$42))</f>
        <v>0</v>
      </c>
      <c r="AM57" s="53">
        <f>(SUMIFS(MtM!$V:$V,MtM!$I:$I,RESULTADO!$B57,MtM!$H:$H,RESULTADO!$B$53,MtM!$E:$E,RESULTADO!AM$42))</f>
        <v>0</v>
      </c>
      <c r="AN57" s="53">
        <f>(SUMIFS(MtM!$V:$V,MtM!$I:$I,RESULTADO!$B57,MtM!$H:$H,RESULTADO!$B$53,MtM!$E:$E,RESULTADO!AN$42))</f>
        <v>0</v>
      </c>
      <c r="AO57" s="53">
        <f>(SUMIFS(MtM!$V:$V,MtM!$I:$I,RESULTADO!$B57,MtM!$H:$H,RESULTADO!$B$53,MtM!$E:$E,RESULTADO!AO$42))</f>
        <v>0</v>
      </c>
      <c r="AP57" s="53">
        <f>(SUMIFS(MtM!$V:$V,MtM!$I:$I,RESULTADO!$B57,MtM!$H:$H,RESULTADO!$B$53,MtM!$E:$E,RESULTADO!AP$42))</f>
        <v>0</v>
      </c>
      <c r="AQ57" s="53">
        <f>(SUMIFS(MtM!$V:$V,MtM!$I:$I,RESULTADO!$B57,MtM!$H:$H,RESULTADO!$B$53,MtM!$E:$E,RESULTADO!AQ$42))</f>
        <v>0</v>
      </c>
      <c r="AR57" s="53">
        <f>(SUMIFS(MtM!$V:$V,MtM!$I:$I,RESULTADO!$B57,MtM!$H:$H,RESULTADO!$B$53,MtM!$E:$E,RESULTADO!AR$42))</f>
        <v>0</v>
      </c>
      <c r="AS57" s="53">
        <f>(SUMIFS(MtM!$V:$V,MtM!$I:$I,RESULTADO!$B57,MtM!$H:$H,RESULTADO!$B$53,MtM!$E:$E,RESULTADO!AS$42))</f>
        <v>0</v>
      </c>
      <c r="AT57" s="53">
        <f>(SUMIFS(MtM!$V:$V,MtM!$I:$I,RESULTADO!$B57,MtM!$H:$H,RESULTADO!$B$53,MtM!$E:$E,RESULTADO!AT$42))</f>
        <v>0</v>
      </c>
      <c r="AU57" s="53">
        <f>(SUMIFS(MtM!$V:$V,MtM!$I:$I,RESULTADO!$B57,MtM!$H:$H,RESULTADO!$B$53,MtM!$E:$E,RESULTADO!AU$42))</f>
        <v>0</v>
      </c>
      <c r="AV57" s="53">
        <f>(SUMIFS(MtM!$V:$V,MtM!$I:$I,RESULTADO!$B57,MtM!$H:$H,RESULTADO!$B$53,MtM!$E:$E,RESULTADO!AV$42))</f>
        <v>0</v>
      </c>
      <c r="AW57" s="53">
        <f>(SUMIFS(MtM!$V:$V,MtM!$I:$I,RESULTADO!$B57,MtM!$H:$H,RESULTADO!$B$53,MtM!$E:$E,RESULTADO!AW$42))</f>
        <v>0</v>
      </c>
      <c r="AX57" s="63">
        <f>(SUMIFS(MtM!$V:$V,MtM!$I:$I,RESULTADO!$B57,MtM!$H:$H,RESULTADO!$B$53,MtM!$E:$E,RESULTADO!AX$42))</f>
        <v>0</v>
      </c>
      <c r="AY57" s="53">
        <f>(SUMIFS(MtM!$V:$V,MtM!$I:$I,RESULTADO!$B57,MtM!$H:$H,RESULTADO!$B$53,MtM!$E:$E,RESULTADO!AY$42))</f>
        <v>0</v>
      </c>
      <c r="AZ57" s="53">
        <f>(SUMIFS(MtM!$V:$V,MtM!$I:$I,RESULTADO!$B57,MtM!$H:$H,RESULTADO!$B$53,MtM!$E:$E,RESULTADO!AZ$42))</f>
        <v>0</v>
      </c>
      <c r="BA57" s="53">
        <f>(SUMIFS(MtM!$V:$V,MtM!$I:$I,RESULTADO!$B57,MtM!$H:$H,RESULTADO!$B$53,MtM!$E:$E,RESULTADO!BA$42))</f>
        <v>0</v>
      </c>
      <c r="BB57" s="53">
        <f>(SUMIFS(MtM!$V:$V,MtM!$I:$I,RESULTADO!$B57,MtM!$H:$H,RESULTADO!$B$53,MtM!$E:$E,RESULTADO!BB$42))</f>
        <v>0</v>
      </c>
      <c r="BC57" s="53">
        <f>(SUMIFS(MtM!$V:$V,MtM!$I:$I,RESULTADO!$B57,MtM!$H:$H,RESULTADO!$B$53,MtM!$E:$E,RESULTADO!BC$42))</f>
        <v>0</v>
      </c>
      <c r="BD57" s="53">
        <f>(SUMIFS(MtM!$V:$V,MtM!$I:$I,RESULTADO!$B57,MtM!$H:$H,RESULTADO!$B$53,MtM!$E:$E,RESULTADO!BD$42))</f>
        <v>0</v>
      </c>
      <c r="BE57" s="53">
        <f>(SUMIFS(MtM!$V:$V,MtM!$I:$I,RESULTADO!$B57,MtM!$H:$H,RESULTADO!$B$53,MtM!$E:$E,RESULTADO!BE$42))</f>
        <v>0</v>
      </c>
      <c r="BF57" s="53">
        <f>(SUMIFS(MtM!$V:$V,MtM!$I:$I,RESULTADO!$B57,MtM!$H:$H,RESULTADO!$B$53,MtM!$E:$E,RESULTADO!BF$42))</f>
        <v>0</v>
      </c>
      <c r="BG57" s="53">
        <f>(SUMIFS(MtM!$V:$V,MtM!$I:$I,RESULTADO!$B57,MtM!$H:$H,RESULTADO!$B$53,MtM!$E:$E,RESULTADO!BG$42))</f>
        <v>0</v>
      </c>
      <c r="BH57" s="53">
        <f>(SUMIFS(MtM!$V:$V,MtM!$I:$I,RESULTADO!$B57,MtM!$H:$H,RESULTADO!$B$53,MtM!$E:$E,RESULTADO!BH$42))</f>
        <v>0</v>
      </c>
      <c r="BI57" s="53">
        <f>(SUMIFS(MtM!$V:$V,MtM!$I:$I,RESULTADO!$B57,MtM!$H:$H,RESULTADO!$B$53,MtM!$E:$E,RESULTADO!BI$42))</f>
        <v>0</v>
      </c>
      <c r="BJ57" s="63">
        <f>(SUMIFS(MtM!$V:$V,MtM!$I:$I,RESULTADO!$B57,MtM!$H:$H,RESULTADO!$B$53,MtM!$E:$E,RESULTADO!BJ$42))</f>
        <v>0</v>
      </c>
      <c r="BL57" s="120"/>
      <c r="BN57" s="57" t="s">
        <v>11</v>
      </c>
      <c r="BO57" s="53">
        <f>SUMIFS('MtM Releases'!$M:$M,'MtM Releases'!$G:$G,RESULTADO!$BN57,'MtM Releases'!$F:$F,RESULTADO!$BN53,'MtM Releases'!$D:$D,RESULTADO!BO$3)</f>
        <v>0</v>
      </c>
      <c r="BP57" s="53">
        <f>SUMIFS('MtM Releases'!$M:$M,'MtM Releases'!$G:$G,RESULTADO!$BN57,'MtM Releases'!$F:$F,RESULTADO!$BN53,'MtM Releases'!$D:$D,RESULTADO!BP$3)</f>
        <v>0</v>
      </c>
      <c r="BQ57" s="53">
        <f>SUMIFS('MtM Releases'!$M:$M,'MtM Releases'!$G:$G,RESULTADO!$BN57,'MtM Releases'!$F:$F,RESULTADO!$BN53,'MtM Releases'!$D:$D,RESULTADO!BQ$3)</f>
        <v>0</v>
      </c>
      <c r="BR57" s="53">
        <f>SUMIFS('MtM Releases'!$M:$M,'MtM Releases'!$G:$G,RESULTADO!$BN57,'MtM Releases'!$F:$F,RESULTADO!$BN53,'MtM Releases'!$D:$D,RESULTADO!BR$3)</f>
        <v>0</v>
      </c>
      <c r="BS57" s="53">
        <f>SUMIFS('MtM Releases'!$M:$M,'MtM Releases'!$G:$G,RESULTADO!$BN57,'MtM Releases'!$F:$F,RESULTADO!$BN53,'MtM Releases'!$D:$D,RESULTADO!BS$3)</f>
        <v>0</v>
      </c>
      <c r="BT57" s="53">
        <f>SUMIFS('MtM Releases'!$M:$M,'MtM Releases'!$G:$G,RESULTADO!$BN57,'MtM Releases'!$F:$F,RESULTADO!$BN53,'MtM Releases'!$D:$D,RESULTADO!BT$3)</f>
        <v>0</v>
      </c>
      <c r="BU57" s="53">
        <f>SUMIFS('MtM Releases'!$M:$M,'MtM Releases'!$G:$G,RESULTADO!$BN57,'MtM Releases'!$F:$F,RESULTADO!$BN53,'MtM Releases'!$D:$D,RESULTADO!BU$3)</f>
        <v>0</v>
      </c>
      <c r="BV57" s="53">
        <f>SUMIFS('MtM Releases'!$M:$M,'MtM Releases'!$G:$G,RESULTADO!$BN57,'MtM Releases'!$F:$F,RESULTADO!$BN53,'MtM Releases'!$D:$D,RESULTADO!BV$3)</f>
        <v>0</v>
      </c>
      <c r="BW57" s="53">
        <f>SUMIFS('MtM Releases'!$M:$M,'MtM Releases'!$G:$G,RESULTADO!$BN57,'MtM Releases'!$F:$F,RESULTADO!$BN53,'MtM Releases'!$D:$D,RESULTADO!BW$3)</f>
        <v>0</v>
      </c>
      <c r="BX57" s="53">
        <f>SUMIFS('MtM Releases'!$M:$M,'MtM Releases'!$G:$G,RESULTADO!$BN57,'MtM Releases'!$F:$F,RESULTADO!$BN53,'MtM Releases'!$D:$D,RESULTADO!BX$3)</f>
        <v>0</v>
      </c>
      <c r="BY57" s="53">
        <f>SUMIFS('MtM Releases'!$M:$M,'MtM Releases'!$G:$G,RESULTADO!$BN57,'MtM Releases'!$F:$F,RESULTADO!$BN53,'MtM Releases'!$D:$D,RESULTADO!BY$3)</f>
        <v>0</v>
      </c>
      <c r="BZ57" s="54">
        <f>SUMIFS('MtM Releases'!$M:$M,'MtM Releases'!$G:$G,RESULTADO!$BN57,'MtM Releases'!$F:$F,RESULTADO!$BN53,'MtM Releases'!$D:$D,RESULTADO!BZ$3)</f>
        <v>0</v>
      </c>
      <c r="CA57" s="53">
        <f>SUMIFS('MtM Releases'!$M:$M,'MtM Releases'!$G:$G,RESULTADO!$BN57,'MtM Releases'!$F:$F,RESULTADO!$BN53,'MtM Releases'!$D:$D,RESULTADO!CA$3)</f>
        <v>0</v>
      </c>
      <c r="CB57" s="53">
        <f>SUMIFS('MtM Releases'!$M:$M,'MtM Releases'!$G:$G,RESULTADO!$BN57,'MtM Releases'!$F:$F,RESULTADO!$BN53,'MtM Releases'!$D:$D,RESULTADO!CB$3)</f>
        <v>0</v>
      </c>
      <c r="CC57" s="53">
        <f>SUMIFS('MtM Releases'!$M:$M,'MtM Releases'!$G:$G,RESULTADO!$BN57,'MtM Releases'!$F:$F,RESULTADO!$BN53,'MtM Releases'!$D:$D,RESULTADO!CC$3)</f>
        <v>0</v>
      </c>
      <c r="CD57" s="53">
        <f>SUMIFS('MtM Releases'!$M:$M,'MtM Releases'!$G:$G,RESULTADO!$BN57,'MtM Releases'!$F:$F,RESULTADO!$BN53,'MtM Releases'!$D:$D,RESULTADO!CD$3)</f>
        <v>0</v>
      </c>
      <c r="CE57" s="53">
        <f>SUMIFS('MtM Releases'!$M:$M,'MtM Releases'!$G:$G,RESULTADO!$BN57,'MtM Releases'!$F:$F,RESULTADO!$BN53,'MtM Releases'!$D:$D,RESULTADO!CE$3)</f>
        <v>0</v>
      </c>
      <c r="CF57" s="53">
        <f>SUMIFS('MtM Releases'!$M:$M,'MtM Releases'!$G:$G,RESULTADO!$BN57,'MtM Releases'!$F:$F,RESULTADO!$BN53,'MtM Releases'!$D:$D,RESULTADO!CF$3)</f>
        <v>0</v>
      </c>
      <c r="CG57" s="53">
        <f>SUMIFS('MtM Releases'!$M:$M,'MtM Releases'!$G:$G,RESULTADO!$BN57,'MtM Releases'!$F:$F,RESULTADO!$BN53,'MtM Releases'!$D:$D,RESULTADO!CG$3)</f>
        <v>0</v>
      </c>
      <c r="CH57" s="53">
        <f>SUMIFS('MtM Releases'!$M:$M,'MtM Releases'!$G:$G,RESULTADO!$BN57,'MtM Releases'!$F:$F,RESULTADO!$BN53,'MtM Releases'!$D:$D,RESULTADO!CH$3)</f>
        <v>0</v>
      </c>
      <c r="CI57" s="53">
        <f>SUMIFS('MtM Releases'!$M:$M,'MtM Releases'!$G:$G,RESULTADO!$BN57,'MtM Releases'!$F:$F,RESULTADO!$BN53,'MtM Releases'!$D:$D,RESULTADO!CI$3)</f>
        <v>0</v>
      </c>
      <c r="CJ57" s="53">
        <f>SUMIFS('MtM Releases'!$M:$M,'MtM Releases'!$G:$G,RESULTADO!$BN57,'MtM Releases'!$F:$F,RESULTADO!$BN53,'MtM Releases'!$D:$D,RESULTADO!CJ$3)</f>
        <v>0</v>
      </c>
      <c r="CK57" s="53">
        <f>SUMIFS('MtM Releases'!$M:$M,'MtM Releases'!$G:$G,RESULTADO!$BN57,'MtM Releases'!$F:$F,RESULTADO!$BN53,'MtM Releases'!$D:$D,RESULTADO!CK$3)</f>
        <v>0</v>
      </c>
      <c r="CL57" s="63">
        <f>SUMIFS('MtM Releases'!$M:$M,'MtM Releases'!$G:$G,RESULTADO!$BN57,'MtM Releases'!$F:$F,RESULTADO!$BN53,'MtM Releases'!$D:$D,RESULTADO!CL$3)</f>
        <v>0</v>
      </c>
      <c r="CM57" s="53">
        <f>SUMIFS('MtM Releases'!$M:$M,'MtM Releases'!$G:$G,RESULTADO!$BN57,'MtM Releases'!$F:$F,RESULTADO!$BN53,'MtM Releases'!$D:$D,RESULTADO!CM$3)</f>
        <v>0</v>
      </c>
      <c r="CN57" s="53">
        <f>SUMIFS('MtM Releases'!$M:$M,'MtM Releases'!$G:$G,RESULTADO!$BN57,'MtM Releases'!$F:$F,RESULTADO!$BN53,'MtM Releases'!$D:$D,RESULTADO!CN$3)</f>
        <v>0</v>
      </c>
      <c r="CO57" s="53">
        <f>SUMIFS('MtM Releases'!$M:$M,'MtM Releases'!$G:$G,RESULTADO!$BN57,'MtM Releases'!$F:$F,RESULTADO!$BN53,'MtM Releases'!$D:$D,RESULTADO!CO$3)</f>
        <v>0</v>
      </c>
      <c r="CP57" s="53">
        <f>SUMIFS('MtM Releases'!$M:$M,'MtM Releases'!$G:$G,RESULTADO!$BN57,'MtM Releases'!$F:$F,RESULTADO!$BN53,'MtM Releases'!$D:$D,RESULTADO!CP$3)</f>
        <v>0</v>
      </c>
      <c r="CQ57" s="53">
        <f>SUMIFS('MtM Releases'!$M:$M,'MtM Releases'!$G:$G,RESULTADO!$BN57,'MtM Releases'!$F:$F,RESULTADO!$BN53,'MtM Releases'!$D:$D,RESULTADO!CQ$3)</f>
        <v>0</v>
      </c>
      <c r="CR57" s="53">
        <f>SUMIFS('MtM Releases'!$M:$M,'MtM Releases'!$G:$G,RESULTADO!$BN57,'MtM Releases'!$F:$F,RESULTADO!$BN53,'MtM Releases'!$D:$D,RESULTADO!CR$3)</f>
        <v>0</v>
      </c>
      <c r="CS57" s="53">
        <f>SUMIFS('MtM Releases'!$M:$M,'MtM Releases'!$G:$G,RESULTADO!$BN57,'MtM Releases'!$F:$F,RESULTADO!$BN53,'MtM Releases'!$D:$D,RESULTADO!CS$3)</f>
        <v>0</v>
      </c>
      <c r="CT57" s="53">
        <f>SUMIFS('MtM Releases'!$M:$M,'MtM Releases'!$G:$G,RESULTADO!$BN57,'MtM Releases'!$F:$F,RESULTADO!$BN53,'MtM Releases'!$D:$D,RESULTADO!CT$3)</f>
        <v>0</v>
      </c>
      <c r="CU57" s="53">
        <f>SUMIFS('MtM Releases'!$M:$M,'MtM Releases'!$G:$G,RESULTADO!$BN57,'MtM Releases'!$F:$F,RESULTADO!$BN53,'MtM Releases'!$D:$D,RESULTADO!CU$3)</f>
        <v>0</v>
      </c>
      <c r="CV57" s="53">
        <f>SUMIFS('MtM Releases'!$M:$M,'MtM Releases'!$G:$G,RESULTADO!$BN57,'MtM Releases'!$F:$F,RESULTADO!$BN53,'MtM Releases'!$D:$D,RESULTADO!CV$3)</f>
        <v>0</v>
      </c>
      <c r="CW57" s="53">
        <f>SUMIFS('MtM Releases'!$M:$M,'MtM Releases'!$G:$G,RESULTADO!$BN57,'MtM Releases'!$F:$F,RESULTADO!$BN53,'MtM Releases'!$D:$D,RESULTADO!CW$3)</f>
        <v>0</v>
      </c>
      <c r="CX57" s="54">
        <f>SUMIFS('MtM Releases'!$M:$M,'MtM Releases'!$G:$G,RESULTADO!$BN57,'MtM Releases'!$F:$F,RESULTADO!$BN53,'MtM Releases'!$D:$D,RESULTADO!CX$3)</f>
        <v>0</v>
      </c>
      <c r="CY57" s="53">
        <f>SUMIFS('MtM Releases'!$M:$M,'MtM Releases'!$G:$G,RESULTADO!$BN57,'MtM Releases'!$F:$F,RESULTADO!$BN53,'MtM Releases'!$D:$D,RESULTADO!CY$3)</f>
        <v>0</v>
      </c>
      <c r="CZ57" s="53">
        <f>SUMIFS('MtM Releases'!$M:$M,'MtM Releases'!$G:$G,RESULTADO!$BN57,'MtM Releases'!$F:$F,RESULTADO!$BN53,'MtM Releases'!$D:$D,RESULTADO!CZ$3)</f>
        <v>0</v>
      </c>
      <c r="DA57" s="53">
        <f>SUMIFS('MtM Releases'!$M:$M,'MtM Releases'!$G:$G,RESULTADO!$BN57,'MtM Releases'!$F:$F,RESULTADO!$BN53,'MtM Releases'!$D:$D,RESULTADO!DA$3)</f>
        <v>0</v>
      </c>
      <c r="DB57" s="53">
        <f>SUMIFS('MtM Releases'!$M:$M,'MtM Releases'!$G:$G,RESULTADO!$BN57,'MtM Releases'!$F:$F,RESULTADO!$BN53,'MtM Releases'!$D:$D,RESULTADO!DB$3)</f>
        <v>0</v>
      </c>
      <c r="DC57" s="53">
        <f>SUMIFS('MtM Releases'!$M:$M,'MtM Releases'!$G:$G,RESULTADO!$BN57,'MtM Releases'!$F:$F,RESULTADO!$BN53,'MtM Releases'!$D:$D,RESULTADO!DC$3)</f>
        <v>0</v>
      </c>
      <c r="DD57" s="53">
        <f>SUMIFS('MtM Releases'!$M:$M,'MtM Releases'!$G:$G,RESULTADO!$BN57,'MtM Releases'!$F:$F,RESULTADO!$BN53,'MtM Releases'!$D:$D,RESULTADO!DD$3)</f>
        <v>0</v>
      </c>
      <c r="DE57" s="53">
        <f>SUMIFS('MtM Releases'!$M:$M,'MtM Releases'!$G:$G,RESULTADO!$BN57,'MtM Releases'!$F:$F,RESULTADO!$BN53,'MtM Releases'!$D:$D,RESULTADO!DE$3)</f>
        <v>0</v>
      </c>
      <c r="DF57" s="53">
        <f>SUMIFS('MtM Releases'!$M:$M,'MtM Releases'!$G:$G,RESULTADO!$BN57,'MtM Releases'!$F:$F,RESULTADO!$BN53,'MtM Releases'!$D:$D,RESULTADO!DF$3)</f>
        <v>0</v>
      </c>
      <c r="DG57" s="53">
        <f>SUMIFS('MtM Releases'!$M:$M,'MtM Releases'!$G:$G,RESULTADO!$BN57,'MtM Releases'!$F:$F,RESULTADO!$BN53,'MtM Releases'!$D:$D,RESULTADO!DG$3)</f>
        <v>0</v>
      </c>
      <c r="DH57" s="53">
        <f>SUMIFS('MtM Releases'!$M:$M,'MtM Releases'!$G:$G,RESULTADO!$BN57,'MtM Releases'!$F:$F,RESULTADO!$BN53,'MtM Releases'!$D:$D,RESULTADO!DH$3)</f>
        <v>0</v>
      </c>
      <c r="DI57" s="53">
        <f>SUMIFS('MtM Releases'!$M:$M,'MtM Releases'!$G:$G,RESULTADO!$BN57,'MtM Releases'!$F:$F,RESULTADO!$BN53,'MtM Releases'!$D:$D,RESULTADO!DI$3)</f>
        <v>0</v>
      </c>
      <c r="DJ57" s="63">
        <f>SUMIFS('MtM Releases'!$M:$M,'MtM Releases'!$G:$G,RESULTADO!$BN57,'MtM Releases'!$F:$F,RESULTADO!$BN53,'MtM Releases'!$D:$D,RESULTADO!DJ$3)</f>
        <v>0</v>
      </c>
      <c r="DK57" s="53">
        <f>SUMIFS('MtM Releases'!$M:$M,'MtM Releases'!$G:$G,RESULTADO!$BN57,'MtM Releases'!$F:$F,RESULTADO!$BN53,'MtM Releases'!$D:$D,RESULTADO!DK$3)</f>
        <v>0</v>
      </c>
      <c r="DL57" s="53">
        <f>SUMIFS('MtM Releases'!$M:$M,'MtM Releases'!$G:$G,RESULTADO!$BN57,'MtM Releases'!$F:$F,RESULTADO!$BN53,'MtM Releases'!$D:$D,RESULTADO!DL$3)</f>
        <v>0</v>
      </c>
      <c r="DM57" s="53">
        <f>SUMIFS('MtM Releases'!$M:$M,'MtM Releases'!$G:$G,RESULTADO!$BN57,'MtM Releases'!$F:$F,RESULTADO!$BN53,'MtM Releases'!$D:$D,RESULTADO!DM$3)</f>
        <v>0</v>
      </c>
      <c r="DN57" s="53">
        <f>SUMIFS('MtM Releases'!$M:$M,'MtM Releases'!$G:$G,RESULTADO!$BN57,'MtM Releases'!$F:$F,RESULTADO!$BN53,'MtM Releases'!$D:$D,RESULTADO!DN$3)</f>
        <v>0</v>
      </c>
      <c r="DO57" s="53">
        <f>SUMIFS('MtM Releases'!$M:$M,'MtM Releases'!$G:$G,RESULTADO!$BN57,'MtM Releases'!$F:$F,RESULTADO!$BN53,'MtM Releases'!$D:$D,RESULTADO!DO$3)</f>
        <v>0</v>
      </c>
      <c r="DP57" s="53">
        <f>SUMIFS('MtM Releases'!$M:$M,'MtM Releases'!$G:$G,RESULTADO!$BN57,'MtM Releases'!$F:$F,RESULTADO!$BN53,'MtM Releases'!$D:$D,RESULTADO!DP$3)</f>
        <v>0</v>
      </c>
      <c r="DQ57" s="53">
        <f>SUMIFS('MtM Releases'!$M:$M,'MtM Releases'!$G:$G,RESULTADO!$BN57,'MtM Releases'!$F:$F,RESULTADO!$BN53,'MtM Releases'!$D:$D,RESULTADO!DQ$3)</f>
        <v>0</v>
      </c>
      <c r="DR57" s="53">
        <f>SUMIFS('MtM Releases'!$M:$M,'MtM Releases'!$G:$G,RESULTADO!$BN57,'MtM Releases'!$F:$F,RESULTADO!$BN53,'MtM Releases'!$D:$D,RESULTADO!DR$3)</f>
        <v>0</v>
      </c>
      <c r="DS57" s="53">
        <f>SUMIFS('MtM Releases'!$M:$M,'MtM Releases'!$G:$G,RESULTADO!$BN57,'MtM Releases'!$F:$F,RESULTADO!$BN53,'MtM Releases'!$D:$D,RESULTADO!DS$3)</f>
        <v>0</v>
      </c>
      <c r="DT57" s="53">
        <f>SUMIFS('MtM Releases'!$M:$M,'MtM Releases'!$G:$G,RESULTADO!$BN57,'MtM Releases'!$F:$F,RESULTADO!$BN53,'MtM Releases'!$D:$D,RESULTADO!DT$3)</f>
        <v>0</v>
      </c>
      <c r="DU57" s="53">
        <f>SUMIFS('MtM Releases'!$M:$M,'MtM Releases'!$G:$G,RESULTADO!$BN57,'MtM Releases'!$F:$F,RESULTADO!$BN53,'MtM Releases'!$D:$D,RESULTADO!DU$3)</f>
        <v>0</v>
      </c>
      <c r="DV57" s="63">
        <f>SUMIFS('MtM Releases'!$M:$M,'MtM Releases'!$G:$G,RESULTADO!$BN57,'MtM Releases'!$F:$F,RESULTADO!$BN53,'MtM Releases'!$D:$D,RESULTADO!DV$3)</f>
        <v>0</v>
      </c>
    </row>
    <row r="58" spans="2:126" x14ac:dyDescent="0.25">
      <c r="B58" s="56" t="s">
        <v>6</v>
      </c>
      <c r="C58" s="68">
        <f>SUM(C59:C62)</f>
        <v>1347937.5359999998</v>
      </c>
      <c r="D58" s="68">
        <f t="shared" ref="D58:BJ58" si="49">SUM(D59:D62)</f>
        <v>1171717.3003199999</v>
      </c>
      <c r="E58" s="68">
        <f t="shared" si="49"/>
        <v>2664502.08</v>
      </c>
      <c r="F58" s="68">
        <f t="shared" si="49"/>
        <v>561600</v>
      </c>
      <c r="G58" s="68">
        <f t="shared" si="49"/>
        <v>424080</v>
      </c>
      <c r="H58" s="68">
        <f t="shared" si="49"/>
        <v>0</v>
      </c>
      <c r="I58" s="68">
        <f t="shared" si="49"/>
        <v>0</v>
      </c>
      <c r="J58" s="68">
        <f t="shared" si="49"/>
        <v>0</v>
      </c>
      <c r="K58" s="68">
        <f t="shared" si="49"/>
        <v>0</v>
      </c>
      <c r="L58" s="68">
        <f t="shared" si="49"/>
        <v>0</v>
      </c>
      <c r="M58" s="68">
        <f t="shared" si="49"/>
        <v>918599.91191999998</v>
      </c>
      <c r="N58" s="69">
        <f t="shared" si="49"/>
        <v>-76972.38</v>
      </c>
      <c r="O58" s="68">
        <f t="shared" si="49"/>
        <v>0</v>
      </c>
      <c r="P58" s="68">
        <f t="shared" si="49"/>
        <v>0</v>
      </c>
      <c r="Q58" s="68">
        <f t="shared" si="49"/>
        <v>0</v>
      </c>
      <c r="R58" s="68">
        <f t="shared" si="49"/>
        <v>0</v>
      </c>
      <c r="S58" s="68">
        <f t="shared" si="49"/>
        <v>0</v>
      </c>
      <c r="T58" s="68">
        <f t="shared" si="49"/>
        <v>0</v>
      </c>
      <c r="U58" s="68">
        <f t="shared" si="49"/>
        <v>0</v>
      </c>
      <c r="V58" s="68">
        <f t="shared" si="49"/>
        <v>0</v>
      </c>
      <c r="W58" s="68">
        <f t="shared" si="49"/>
        <v>0</v>
      </c>
      <c r="X58" s="68">
        <f t="shared" si="49"/>
        <v>0</v>
      </c>
      <c r="Y58" s="68">
        <f t="shared" si="49"/>
        <v>0</v>
      </c>
      <c r="Z58" s="70">
        <f t="shared" si="49"/>
        <v>0</v>
      </c>
      <c r="AA58" s="68">
        <f t="shared" si="49"/>
        <v>0</v>
      </c>
      <c r="AB58" s="68">
        <f t="shared" si="49"/>
        <v>0</v>
      </c>
      <c r="AC58" s="68">
        <f t="shared" si="49"/>
        <v>0</v>
      </c>
      <c r="AD58" s="68">
        <f t="shared" si="49"/>
        <v>0</v>
      </c>
      <c r="AE58" s="68">
        <f t="shared" si="49"/>
        <v>0</v>
      </c>
      <c r="AF58" s="68">
        <f t="shared" si="49"/>
        <v>0</v>
      </c>
      <c r="AG58" s="68">
        <f t="shared" si="49"/>
        <v>0</v>
      </c>
      <c r="AH58" s="68">
        <f t="shared" si="49"/>
        <v>0</v>
      </c>
      <c r="AI58" s="68">
        <f t="shared" si="49"/>
        <v>0</v>
      </c>
      <c r="AJ58" s="68">
        <f t="shared" si="49"/>
        <v>0</v>
      </c>
      <c r="AK58" s="68">
        <f t="shared" si="49"/>
        <v>0</v>
      </c>
      <c r="AL58" s="69">
        <f t="shared" si="49"/>
        <v>0</v>
      </c>
      <c r="AM58" s="68">
        <f t="shared" si="49"/>
        <v>0</v>
      </c>
      <c r="AN58" s="68">
        <f t="shared" si="49"/>
        <v>0</v>
      </c>
      <c r="AO58" s="68">
        <f t="shared" si="49"/>
        <v>0</v>
      </c>
      <c r="AP58" s="68">
        <f t="shared" si="49"/>
        <v>0</v>
      </c>
      <c r="AQ58" s="68">
        <f t="shared" si="49"/>
        <v>0</v>
      </c>
      <c r="AR58" s="68">
        <f t="shared" si="49"/>
        <v>0</v>
      </c>
      <c r="AS58" s="68">
        <f t="shared" si="49"/>
        <v>0</v>
      </c>
      <c r="AT58" s="68">
        <f t="shared" si="49"/>
        <v>0</v>
      </c>
      <c r="AU58" s="68">
        <f t="shared" si="49"/>
        <v>0</v>
      </c>
      <c r="AV58" s="68">
        <f t="shared" si="49"/>
        <v>0</v>
      </c>
      <c r="AW58" s="68">
        <f t="shared" si="49"/>
        <v>0</v>
      </c>
      <c r="AX58" s="70">
        <f t="shared" si="49"/>
        <v>0</v>
      </c>
      <c r="AY58" s="68">
        <f t="shared" si="49"/>
        <v>0</v>
      </c>
      <c r="AZ58" s="68">
        <f t="shared" si="49"/>
        <v>0</v>
      </c>
      <c r="BA58" s="68">
        <f t="shared" si="49"/>
        <v>0</v>
      </c>
      <c r="BB58" s="68">
        <f t="shared" si="49"/>
        <v>0</v>
      </c>
      <c r="BC58" s="68">
        <f t="shared" si="49"/>
        <v>0</v>
      </c>
      <c r="BD58" s="68">
        <f t="shared" si="49"/>
        <v>0</v>
      </c>
      <c r="BE58" s="68">
        <f t="shared" si="49"/>
        <v>0</v>
      </c>
      <c r="BF58" s="68">
        <f t="shared" si="49"/>
        <v>0</v>
      </c>
      <c r="BG58" s="68">
        <f t="shared" si="49"/>
        <v>0</v>
      </c>
      <c r="BH58" s="68">
        <f t="shared" si="49"/>
        <v>0</v>
      </c>
      <c r="BI58" s="68">
        <f t="shared" si="49"/>
        <v>0</v>
      </c>
      <c r="BJ58" s="70">
        <f t="shared" si="49"/>
        <v>0</v>
      </c>
      <c r="BL58" s="120"/>
      <c r="BN58" s="56" t="s">
        <v>6</v>
      </c>
      <c r="BO58" s="68">
        <f>SUM(BO59:BO62)</f>
        <v>-1347937.5359999998</v>
      </c>
      <c r="BP58" s="68">
        <f t="shared" ref="BP58:DV58" si="50">SUM(BP59:BP62)</f>
        <v>-1171717.3003199999</v>
      </c>
      <c r="BQ58" s="68">
        <f t="shared" si="50"/>
        <v>-2664502.08</v>
      </c>
      <c r="BR58" s="68">
        <f t="shared" si="50"/>
        <v>-561600</v>
      </c>
      <c r="BS58" s="68">
        <f t="shared" si="50"/>
        <v>-424080</v>
      </c>
      <c r="BT58" s="68">
        <f t="shared" si="50"/>
        <v>0</v>
      </c>
      <c r="BU58" s="68">
        <f t="shared" si="50"/>
        <v>0</v>
      </c>
      <c r="BV58" s="68">
        <f t="shared" si="50"/>
        <v>0</v>
      </c>
      <c r="BW58" s="68">
        <f t="shared" si="50"/>
        <v>0</v>
      </c>
      <c r="BX58" s="68">
        <f t="shared" si="50"/>
        <v>0</v>
      </c>
      <c r="BY58" s="68">
        <f t="shared" si="50"/>
        <v>-918599.91191999998</v>
      </c>
      <c r="BZ58" s="69">
        <f t="shared" si="50"/>
        <v>76972.38</v>
      </c>
      <c r="CA58" s="68">
        <f t="shared" si="50"/>
        <v>0</v>
      </c>
      <c r="CB58" s="68">
        <f t="shared" si="50"/>
        <v>0</v>
      </c>
      <c r="CC58" s="68">
        <f t="shared" si="50"/>
        <v>0</v>
      </c>
      <c r="CD58" s="68">
        <f t="shared" si="50"/>
        <v>0</v>
      </c>
      <c r="CE58" s="68">
        <f t="shared" si="50"/>
        <v>0</v>
      </c>
      <c r="CF58" s="68">
        <f t="shared" si="50"/>
        <v>0</v>
      </c>
      <c r="CG58" s="68">
        <f t="shared" si="50"/>
        <v>0</v>
      </c>
      <c r="CH58" s="68">
        <f t="shared" si="50"/>
        <v>0</v>
      </c>
      <c r="CI58" s="68">
        <f t="shared" si="50"/>
        <v>0</v>
      </c>
      <c r="CJ58" s="68">
        <f t="shared" si="50"/>
        <v>0</v>
      </c>
      <c r="CK58" s="68">
        <f t="shared" si="50"/>
        <v>0</v>
      </c>
      <c r="CL58" s="70">
        <f t="shared" si="50"/>
        <v>0</v>
      </c>
      <c r="CM58" s="68">
        <f t="shared" si="50"/>
        <v>0</v>
      </c>
      <c r="CN58" s="68">
        <f t="shared" si="50"/>
        <v>0</v>
      </c>
      <c r="CO58" s="68">
        <f t="shared" si="50"/>
        <v>0</v>
      </c>
      <c r="CP58" s="68">
        <f t="shared" si="50"/>
        <v>0</v>
      </c>
      <c r="CQ58" s="68">
        <f t="shared" si="50"/>
        <v>0</v>
      </c>
      <c r="CR58" s="68">
        <f t="shared" si="50"/>
        <v>0</v>
      </c>
      <c r="CS58" s="68">
        <f t="shared" si="50"/>
        <v>0</v>
      </c>
      <c r="CT58" s="68">
        <f t="shared" si="50"/>
        <v>0</v>
      </c>
      <c r="CU58" s="68">
        <f t="shared" si="50"/>
        <v>0</v>
      </c>
      <c r="CV58" s="68">
        <f t="shared" si="50"/>
        <v>0</v>
      </c>
      <c r="CW58" s="68">
        <f t="shared" si="50"/>
        <v>0</v>
      </c>
      <c r="CX58" s="69">
        <f t="shared" si="50"/>
        <v>0</v>
      </c>
      <c r="CY58" s="68">
        <f t="shared" si="50"/>
        <v>0</v>
      </c>
      <c r="CZ58" s="68">
        <f t="shared" si="50"/>
        <v>0</v>
      </c>
      <c r="DA58" s="68">
        <f t="shared" si="50"/>
        <v>0</v>
      </c>
      <c r="DB58" s="68">
        <f t="shared" si="50"/>
        <v>0</v>
      </c>
      <c r="DC58" s="68">
        <f t="shared" si="50"/>
        <v>0</v>
      </c>
      <c r="DD58" s="68">
        <f t="shared" si="50"/>
        <v>0</v>
      </c>
      <c r="DE58" s="68">
        <f t="shared" si="50"/>
        <v>0</v>
      </c>
      <c r="DF58" s="68">
        <f t="shared" si="50"/>
        <v>0</v>
      </c>
      <c r="DG58" s="68">
        <f t="shared" si="50"/>
        <v>0</v>
      </c>
      <c r="DH58" s="68">
        <f t="shared" si="50"/>
        <v>0</v>
      </c>
      <c r="DI58" s="68">
        <f t="shared" si="50"/>
        <v>0</v>
      </c>
      <c r="DJ58" s="70">
        <f t="shared" si="50"/>
        <v>0</v>
      </c>
      <c r="DK58" s="68">
        <f t="shared" si="50"/>
        <v>0</v>
      </c>
      <c r="DL58" s="68">
        <f t="shared" si="50"/>
        <v>0</v>
      </c>
      <c r="DM58" s="68">
        <f t="shared" si="50"/>
        <v>0</v>
      </c>
      <c r="DN58" s="68">
        <f t="shared" si="50"/>
        <v>0</v>
      </c>
      <c r="DO58" s="68">
        <f t="shared" si="50"/>
        <v>0</v>
      </c>
      <c r="DP58" s="68">
        <f t="shared" si="50"/>
        <v>0</v>
      </c>
      <c r="DQ58" s="68">
        <f t="shared" si="50"/>
        <v>0</v>
      </c>
      <c r="DR58" s="68">
        <f t="shared" si="50"/>
        <v>0</v>
      </c>
      <c r="DS58" s="68">
        <f t="shared" si="50"/>
        <v>0</v>
      </c>
      <c r="DT58" s="68">
        <f t="shared" si="50"/>
        <v>0</v>
      </c>
      <c r="DU58" s="68">
        <f t="shared" si="50"/>
        <v>0</v>
      </c>
      <c r="DV58" s="70">
        <f t="shared" si="50"/>
        <v>0</v>
      </c>
    </row>
    <row r="59" spans="2:126" x14ac:dyDescent="0.25">
      <c r="B59" s="57" t="s">
        <v>44</v>
      </c>
      <c r="C59" s="53">
        <f>(SUMIFS(MtM!$V:$V,MtM!$I:$I,RESULTADO!$B59,MtM!$H:$H,RESULTADO!$B$58,MtM!$E:$E,RESULTADO!C$42))</f>
        <v>1347937.5359999998</v>
      </c>
      <c r="D59" s="53">
        <f>(SUMIFS(MtM!$V:$V,MtM!$I:$I,RESULTADO!$B59,MtM!$H:$H,RESULTADO!$B$58,MtM!$E:$E,RESULTADO!D$42))</f>
        <v>1171717.3003199999</v>
      </c>
      <c r="E59" s="53">
        <f>(SUMIFS(MtM!$V:$V,MtM!$I:$I,RESULTADO!$B59,MtM!$H:$H,RESULTADO!$B$58,MtM!$E:$E,RESULTADO!E$42))</f>
        <v>2664502.08</v>
      </c>
      <c r="F59" s="53">
        <f>(SUMIFS(MtM!$V:$V,MtM!$I:$I,RESULTADO!$B59,MtM!$H:$H,RESULTADO!$B$58,MtM!$E:$E,RESULTADO!F$42))</f>
        <v>561600</v>
      </c>
      <c r="G59" s="53">
        <f>(SUMIFS(MtM!$V:$V,MtM!$I:$I,RESULTADO!$B59,MtM!$H:$H,RESULTADO!$B$58,MtM!$E:$E,RESULTADO!G$42))</f>
        <v>424080</v>
      </c>
      <c r="H59" s="53">
        <f>(SUMIFS(MtM!$V:$V,MtM!$I:$I,RESULTADO!$B59,MtM!$H:$H,RESULTADO!$B$58,MtM!$E:$E,RESULTADO!H$42))</f>
        <v>0</v>
      </c>
      <c r="I59" s="53">
        <f>(SUMIFS(MtM!$V:$V,MtM!$I:$I,RESULTADO!$B59,MtM!$H:$H,RESULTADO!$B$58,MtM!$E:$E,RESULTADO!I$42))</f>
        <v>0</v>
      </c>
      <c r="J59" s="53">
        <f>(SUMIFS(MtM!$V:$V,MtM!$I:$I,RESULTADO!$B59,MtM!$H:$H,RESULTADO!$B$58,MtM!$E:$E,RESULTADO!J$42))</f>
        <v>0</v>
      </c>
      <c r="K59" s="53">
        <f>(SUMIFS(MtM!$V:$V,MtM!$I:$I,RESULTADO!$B59,MtM!$H:$H,RESULTADO!$B$58,MtM!$E:$E,RESULTADO!K$42))</f>
        <v>0</v>
      </c>
      <c r="L59" s="53">
        <f>(SUMIFS(MtM!$V:$V,MtM!$I:$I,RESULTADO!$B59,MtM!$H:$H,RESULTADO!$B$58,MtM!$E:$E,RESULTADO!L$42))</f>
        <v>0</v>
      </c>
      <c r="M59" s="53">
        <f>(SUMIFS(MtM!$V:$V,MtM!$I:$I,RESULTADO!$B59,MtM!$H:$H,RESULTADO!$B$58,MtM!$E:$E,RESULTADO!M$42))</f>
        <v>918599.91191999998</v>
      </c>
      <c r="N59" s="54">
        <f>(SUMIFS(MtM!$V:$V,MtM!$I:$I,RESULTADO!$B59,MtM!$H:$H,RESULTADO!$B$58,MtM!$E:$E,RESULTADO!N$42))</f>
        <v>-76972.38</v>
      </c>
      <c r="O59" s="53">
        <f>(SUMIFS(MtM!$V:$V,MtM!$I:$I,RESULTADO!$B59,MtM!$H:$H,RESULTADO!$B$58,MtM!$E:$E,RESULTADO!O$42))</f>
        <v>0</v>
      </c>
      <c r="P59" s="53">
        <f>(SUMIFS(MtM!$V:$V,MtM!$I:$I,RESULTADO!$B59,MtM!$H:$H,RESULTADO!$B$58,MtM!$E:$E,RESULTADO!P$42))</f>
        <v>0</v>
      </c>
      <c r="Q59" s="53">
        <f>(SUMIFS(MtM!$V:$V,MtM!$I:$I,RESULTADO!$B59,MtM!$H:$H,RESULTADO!$B$58,MtM!$E:$E,RESULTADO!Q$42))</f>
        <v>0</v>
      </c>
      <c r="R59" s="53">
        <f>(SUMIFS(MtM!$V:$V,MtM!$I:$I,RESULTADO!$B59,MtM!$H:$H,RESULTADO!$B$58,MtM!$E:$E,RESULTADO!R$42))</f>
        <v>0</v>
      </c>
      <c r="S59" s="53">
        <f>(SUMIFS(MtM!$V:$V,MtM!$I:$I,RESULTADO!$B59,MtM!$H:$H,RESULTADO!$B$58,MtM!$E:$E,RESULTADO!S$42))</f>
        <v>0</v>
      </c>
      <c r="T59" s="53">
        <f>(SUMIFS(MtM!$V:$V,MtM!$I:$I,RESULTADO!$B59,MtM!$H:$H,RESULTADO!$B$58,MtM!$E:$E,RESULTADO!T$42))</f>
        <v>0</v>
      </c>
      <c r="U59" s="53">
        <f>(SUMIFS(MtM!$V:$V,MtM!$I:$I,RESULTADO!$B59,MtM!$H:$H,RESULTADO!$B$58,MtM!$E:$E,RESULTADO!U$42))</f>
        <v>0</v>
      </c>
      <c r="V59" s="53">
        <f>(SUMIFS(MtM!$V:$V,MtM!$I:$I,RESULTADO!$B59,MtM!$H:$H,RESULTADO!$B$58,MtM!$E:$E,RESULTADO!V$42))</f>
        <v>0</v>
      </c>
      <c r="W59" s="53">
        <f>(SUMIFS(MtM!$V:$V,MtM!$I:$I,RESULTADO!$B59,MtM!$H:$H,RESULTADO!$B$58,MtM!$E:$E,RESULTADO!W$42))</f>
        <v>0</v>
      </c>
      <c r="X59" s="53">
        <f>(SUMIFS(MtM!$V:$V,MtM!$I:$I,RESULTADO!$B59,MtM!$H:$H,RESULTADO!$B$58,MtM!$E:$E,RESULTADO!X$42))</f>
        <v>0</v>
      </c>
      <c r="Y59" s="53">
        <f>(SUMIFS(MtM!$V:$V,MtM!$I:$I,RESULTADO!$B59,MtM!$H:$H,RESULTADO!$B$58,MtM!$E:$E,RESULTADO!Y$42))</f>
        <v>0</v>
      </c>
      <c r="Z59" s="63">
        <f>(SUMIFS(MtM!$V:$V,MtM!$I:$I,RESULTADO!$B59,MtM!$H:$H,RESULTADO!$B$58,MtM!$E:$E,RESULTADO!Z$42))</f>
        <v>0</v>
      </c>
      <c r="AA59" s="53">
        <f>(SUMIFS(MtM!$V:$V,MtM!$I:$I,RESULTADO!$B59,MtM!$H:$H,RESULTADO!$B$58,MtM!$E:$E,RESULTADO!AA$42))</f>
        <v>0</v>
      </c>
      <c r="AB59" s="53">
        <f>(SUMIFS(MtM!$V:$V,MtM!$I:$I,RESULTADO!$B59,MtM!$H:$H,RESULTADO!$B$58,MtM!$E:$E,RESULTADO!AB$42))</f>
        <v>0</v>
      </c>
      <c r="AC59" s="53">
        <f>(SUMIFS(MtM!$V:$V,MtM!$I:$I,RESULTADO!$B59,MtM!$H:$H,RESULTADO!$B$58,MtM!$E:$E,RESULTADO!AC$42))</f>
        <v>0</v>
      </c>
      <c r="AD59" s="53">
        <f>(SUMIFS(MtM!$V:$V,MtM!$I:$I,RESULTADO!$B59,MtM!$H:$H,RESULTADO!$B$58,MtM!$E:$E,RESULTADO!AD$42))</f>
        <v>0</v>
      </c>
      <c r="AE59" s="53">
        <f>(SUMIFS(MtM!$V:$V,MtM!$I:$I,RESULTADO!$B59,MtM!$H:$H,RESULTADO!$B$58,MtM!$E:$E,RESULTADO!AE$42))</f>
        <v>0</v>
      </c>
      <c r="AF59" s="53">
        <f>(SUMIFS(MtM!$V:$V,MtM!$I:$I,RESULTADO!$B59,MtM!$H:$H,RESULTADO!$B$58,MtM!$E:$E,RESULTADO!AF$42))</f>
        <v>0</v>
      </c>
      <c r="AG59" s="53">
        <f>(SUMIFS(MtM!$V:$V,MtM!$I:$I,RESULTADO!$B59,MtM!$H:$H,RESULTADO!$B$58,MtM!$E:$E,RESULTADO!AG$42))</f>
        <v>0</v>
      </c>
      <c r="AH59" s="53">
        <f>(SUMIFS(MtM!$V:$V,MtM!$I:$I,RESULTADO!$B59,MtM!$H:$H,RESULTADO!$B$58,MtM!$E:$E,RESULTADO!AH$42))</f>
        <v>0</v>
      </c>
      <c r="AI59" s="53">
        <f>(SUMIFS(MtM!$V:$V,MtM!$I:$I,RESULTADO!$B59,MtM!$H:$H,RESULTADO!$B$58,MtM!$E:$E,RESULTADO!AI$42))</f>
        <v>0</v>
      </c>
      <c r="AJ59" s="53">
        <f>(SUMIFS(MtM!$V:$V,MtM!$I:$I,RESULTADO!$B59,MtM!$H:$H,RESULTADO!$B$58,MtM!$E:$E,RESULTADO!AJ$42))</f>
        <v>0</v>
      </c>
      <c r="AK59" s="53">
        <f>(SUMIFS(MtM!$V:$V,MtM!$I:$I,RESULTADO!$B59,MtM!$H:$H,RESULTADO!$B$58,MtM!$E:$E,RESULTADO!AK$42))</f>
        <v>0</v>
      </c>
      <c r="AL59" s="54">
        <f>(SUMIFS(MtM!$V:$V,MtM!$I:$I,RESULTADO!$B59,MtM!$H:$H,RESULTADO!$B$58,MtM!$E:$E,RESULTADO!AL$42))</f>
        <v>0</v>
      </c>
      <c r="AM59" s="53">
        <f>(SUMIFS(MtM!$V:$V,MtM!$I:$I,RESULTADO!$B59,MtM!$H:$H,RESULTADO!$B$58,MtM!$E:$E,RESULTADO!AM$42))</f>
        <v>0</v>
      </c>
      <c r="AN59" s="53">
        <f>(SUMIFS(MtM!$V:$V,MtM!$I:$I,RESULTADO!$B59,MtM!$H:$H,RESULTADO!$B$58,MtM!$E:$E,RESULTADO!AN$42))</f>
        <v>0</v>
      </c>
      <c r="AO59" s="53">
        <f>(SUMIFS(MtM!$V:$V,MtM!$I:$I,RESULTADO!$B59,MtM!$H:$H,RESULTADO!$B$58,MtM!$E:$E,RESULTADO!AO$42))</f>
        <v>0</v>
      </c>
      <c r="AP59" s="53">
        <f>(SUMIFS(MtM!$V:$V,MtM!$I:$I,RESULTADO!$B59,MtM!$H:$H,RESULTADO!$B$58,MtM!$E:$E,RESULTADO!AP$42))</f>
        <v>0</v>
      </c>
      <c r="AQ59" s="53">
        <f>(SUMIFS(MtM!$V:$V,MtM!$I:$I,RESULTADO!$B59,MtM!$H:$H,RESULTADO!$B$58,MtM!$E:$E,RESULTADO!AQ$42))</f>
        <v>0</v>
      </c>
      <c r="AR59" s="53">
        <f>(SUMIFS(MtM!$V:$V,MtM!$I:$I,RESULTADO!$B59,MtM!$H:$H,RESULTADO!$B$58,MtM!$E:$E,RESULTADO!AR$42))</f>
        <v>0</v>
      </c>
      <c r="AS59" s="53">
        <f>(SUMIFS(MtM!$V:$V,MtM!$I:$I,RESULTADO!$B59,MtM!$H:$H,RESULTADO!$B$58,MtM!$E:$E,RESULTADO!AS$42))</f>
        <v>0</v>
      </c>
      <c r="AT59" s="53">
        <f>(SUMIFS(MtM!$V:$V,MtM!$I:$I,RESULTADO!$B59,MtM!$H:$H,RESULTADO!$B$58,MtM!$E:$E,RESULTADO!AT$42))</f>
        <v>0</v>
      </c>
      <c r="AU59" s="53">
        <f>(SUMIFS(MtM!$V:$V,MtM!$I:$I,RESULTADO!$B59,MtM!$H:$H,RESULTADO!$B$58,MtM!$E:$E,RESULTADO!AU$42))</f>
        <v>0</v>
      </c>
      <c r="AV59" s="53">
        <f>(SUMIFS(MtM!$V:$V,MtM!$I:$I,RESULTADO!$B59,MtM!$H:$H,RESULTADO!$B$58,MtM!$E:$E,RESULTADO!AV$42))</f>
        <v>0</v>
      </c>
      <c r="AW59" s="53">
        <f>(SUMIFS(MtM!$V:$V,MtM!$I:$I,RESULTADO!$B59,MtM!$H:$H,RESULTADO!$B$58,MtM!$E:$E,RESULTADO!AW$42))</f>
        <v>0</v>
      </c>
      <c r="AX59" s="63">
        <f>(SUMIFS(MtM!$V:$V,MtM!$I:$I,RESULTADO!$B59,MtM!$H:$H,RESULTADO!$B$58,MtM!$E:$E,RESULTADO!AX$42))</f>
        <v>0</v>
      </c>
      <c r="AY59" s="53">
        <f>(SUMIFS(MtM!$V:$V,MtM!$I:$I,RESULTADO!$B59,MtM!$H:$H,RESULTADO!$B$58,MtM!$E:$E,RESULTADO!AY$42))</f>
        <v>0</v>
      </c>
      <c r="AZ59" s="53">
        <f>(SUMIFS(MtM!$V:$V,MtM!$I:$I,RESULTADO!$B59,MtM!$H:$H,RESULTADO!$B$58,MtM!$E:$E,RESULTADO!AZ$42))</f>
        <v>0</v>
      </c>
      <c r="BA59" s="53">
        <f>(SUMIFS(MtM!$V:$V,MtM!$I:$I,RESULTADO!$B59,MtM!$H:$H,RESULTADO!$B$58,MtM!$E:$E,RESULTADO!BA$42))</f>
        <v>0</v>
      </c>
      <c r="BB59" s="53">
        <f>(SUMIFS(MtM!$V:$V,MtM!$I:$I,RESULTADO!$B59,MtM!$H:$H,RESULTADO!$B$58,MtM!$E:$E,RESULTADO!BB$42))</f>
        <v>0</v>
      </c>
      <c r="BC59" s="53">
        <f>(SUMIFS(MtM!$V:$V,MtM!$I:$I,RESULTADO!$B59,MtM!$H:$H,RESULTADO!$B$58,MtM!$E:$E,RESULTADO!BC$42))</f>
        <v>0</v>
      </c>
      <c r="BD59" s="53">
        <f>(SUMIFS(MtM!$V:$V,MtM!$I:$I,RESULTADO!$B59,MtM!$H:$H,RESULTADO!$B$58,MtM!$E:$E,RESULTADO!BD$42))</f>
        <v>0</v>
      </c>
      <c r="BE59" s="53">
        <f>(SUMIFS(MtM!$V:$V,MtM!$I:$I,RESULTADO!$B59,MtM!$H:$H,RESULTADO!$B$58,MtM!$E:$E,RESULTADO!BE$42))</f>
        <v>0</v>
      </c>
      <c r="BF59" s="53">
        <f>(SUMIFS(MtM!$V:$V,MtM!$I:$I,RESULTADO!$B59,MtM!$H:$H,RESULTADO!$B$58,MtM!$E:$E,RESULTADO!BF$42))</f>
        <v>0</v>
      </c>
      <c r="BG59" s="53">
        <f>(SUMIFS(MtM!$V:$V,MtM!$I:$I,RESULTADO!$B59,MtM!$H:$H,RESULTADO!$B$58,MtM!$E:$E,RESULTADO!BG$42))</f>
        <v>0</v>
      </c>
      <c r="BH59" s="53">
        <f>(SUMIFS(MtM!$V:$V,MtM!$I:$I,RESULTADO!$B59,MtM!$H:$H,RESULTADO!$B$58,MtM!$E:$E,RESULTADO!BH$42))</f>
        <v>0</v>
      </c>
      <c r="BI59" s="53">
        <f>(SUMIFS(MtM!$V:$V,MtM!$I:$I,RESULTADO!$B59,MtM!$H:$H,RESULTADO!$B$58,MtM!$E:$E,RESULTADO!BI$42))</f>
        <v>0</v>
      </c>
      <c r="BJ59" s="63">
        <f>(SUMIFS(MtM!$V:$V,MtM!$I:$I,RESULTADO!$B59,MtM!$H:$H,RESULTADO!$B$58,MtM!$E:$E,RESULTADO!BJ$42))</f>
        <v>0</v>
      </c>
      <c r="BL59" s="120"/>
      <c r="BN59" s="57" t="s">
        <v>44</v>
      </c>
      <c r="BO59" s="53">
        <f>SUMIFS('MtM Releases'!$M:$M,'MtM Releases'!$G:$G,RESULTADO!$BN59,'MtM Releases'!$F:$F,RESULTADO!$BN58,'MtM Releases'!$D:$D,RESULTADO!BO$3)</f>
        <v>-1347937.5359999998</v>
      </c>
      <c r="BP59" s="53">
        <f>SUMIFS('MtM Releases'!$M:$M,'MtM Releases'!$G:$G,RESULTADO!$BN59,'MtM Releases'!$F:$F,RESULTADO!$BN58,'MtM Releases'!$D:$D,RESULTADO!BP$3)</f>
        <v>-1171717.3003199999</v>
      </c>
      <c r="BQ59" s="53">
        <f>SUMIFS('MtM Releases'!$M:$M,'MtM Releases'!$G:$G,RESULTADO!$BN59,'MtM Releases'!$F:$F,RESULTADO!$BN58,'MtM Releases'!$D:$D,RESULTADO!BQ$3)</f>
        <v>-2664502.08</v>
      </c>
      <c r="BR59" s="53">
        <f>SUMIFS('MtM Releases'!$M:$M,'MtM Releases'!$G:$G,RESULTADO!$BN59,'MtM Releases'!$F:$F,RESULTADO!$BN58,'MtM Releases'!$D:$D,RESULTADO!BR$3)</f>
        <v>-561600</v>
      </c>
      <c r="BS59" s="53">
        <f>SUMIFS('MtM Releases'!$M:$M,'MtM Releases'!$G:$G,RESULTADO!$BN59,'MtM Releases'!$F:$F,RESULTADO!$BN58,'MtM Releases'!$D:$D,RESULTADO!BS$3)</f>
        <v>-424080</v>
      </c>
      <c r="BT59" s="53">
        <f>SUMIFS('MtM Releases'!$M:$M,'MtM Releases'!$G:$G,RESULTADO!$BN59,'MtM Releases'!$F:$F,RESULTADO!$BN58,'MtM Releases'!$D:$D,RESULTADO!BT$3)</f>
        <v>0</v>
      </c>
      <c r="BU59" s="53">
        <f>SUMIFS('MtM Releases'!$M:$M,'MtM Releases'!$G:$G,RESULTADO!$BN59,'MtM Releases'!$F:$F,RESULTADO!$BN58,'MtM Releases'!$D:$D,RESULTADO!BU$3)</f>
        <v>0</v>
      </c>
      <c r="BV59" s="53">
        <f>SUMIFS('MtM Releases'!$M:$M,'MtM Releases'!$G:$G,RESULTADO!$BN59,'MtM Releases'!$F:$F,RESULTADO!$BN58,'MtM Releases'!$D:$D,RESULTADO!BV$3)</f>
        <v>0</v>
      </c>
      <c r="BW59" s="53">
        <f>SUMIFS('MtM Releases'!$M:$M,'MtM Releases'!$G:$G,RESULTADO!$BN59,'MtM Releases'!$F:$F,RESULTADO!$BN58,'MtM Releases'!$D:$D,RESULTADO!BW$3)</f>
        <v>0</v>
      </c>
      <c r="BX59" s="53">
        <f>SUMIFS('MtM Releases'!$M:$M,'MtM Releases'!$G:$G,RESULTADO!$BN59,'MtM Releases'!$F:$F,RESULTADO!$BN58,'MtM Releases'!$D:$D,RESULTADO!BX$3)</f>
        <v>0</v>
      </c>
      <c r="BY59" s="53">
        <f>SUMIFS('MtM Releases'!$M:$M,'MtM Releases'!$G:$G,RESULTADO!$BN59,'MtM Releases'!$F:$F,RESULTADO!$BN58,'MtM Releases'!$D:$D,RESULTADO!BY$3)</f>
        <v>-918599.91191999998</v>
      </c>
      <c r="BZ59" s="54">
        <f>SUMIFS('MtM Releases'!$M:$M,'MtM Releases'!$G:$G,RESULTADO!$BN59,'MtM Releases'!$F:$F,RESULTADO!$BN58,'MtM Releases'!$D:$D,RESULTADO!BZ$3)</f>
        <v>76972.38</v>
      </c>
      <c r="CA59" s="53">
        <f>SUMIFS('MtM Releases'!$M:$M,'MtM Releases'!$G:$G,RESULTADO!$BN59,'MtM Releases'!$F:$F,RESULTADO!$BN58,'MtM Releases'!$D:$D,RESULTADO!CA$3)</f>
        <v>0</v>
      </c>
      <c r="CB59" s="53">
        <f>SUMIFS('MtM Releases'!$M:$M,'MtM Releases'!$G:$G,RESULTADO!$BN59,'MtM Releases'!$F:$F,RESULTADO!$BN58,'MtM Releases'!$D:$D,RESULTADO!CB$3)</f>
        <v>0</v>
      </c>
      <c r="CC59" s="53">
        <f>SUMIFS('MtM Releases'!$M:$M,'MtM Releases'!$G:$G,RESULTADO!$BN59,'MtM Releases'!$F:$F,RESULTADO!$BN58,'MtM Releases'!$D:$D,RESULTADO!CC$3)</f>
        <v>0</v>
      </c>
      <c r="CD59" s="53">
        <f>SUMIFS('MtM Releases'!$M:$M,'MtM Releases'!$G:$G,RESULTADO!$BN59,'MtM Releases'!$F:$F,RESULTADO!$BN58,'MtM Releases'!$D:$D,RESULTADO!CD$3)</f>
        <v>0</v>
      </c>
      <c r="CE59" s="53">
        <f>SUMIFS('MtM Releases'!$M:$M,'MtM Releases'!$G:$G,RESULTADO!$BN59,'MtM Releases'!$F:$F,RESULTADO!$BN58,'MtM Releases'!$D:$D,RESULTADO!CE$3)</f>
        <v>0</v>
      </c>
      <c r="CF59" s="53">
        <f>SUMIFS('MtM Releases'!$M:$M,'MtM Releases'!$G:$G,RESULTADO!$BN59,'MtM Releases'!$F:$F,RESULTADO!$BN58,'MtM Releases'!$D:$D,RESULTADO!CF$3)</f>
        <v>0</v>
      </c>
      <c r="CG59" s="53">
        <f>SUMIFS('MtM Releases'!$M:$M,'MtM Releases'!$G:$G,RESULTADO!$BN59,'MtM Releases'!$F:$F,RESULTADO!$BN58,'MtM Releases'!$D:$D,RESULTADO!CG$3)</f>
        <v>0</v>
      </c>
      <c r="CH59" s="53">
        <f>SUMIFS('MtM Releases'!$M:$M,'MtM Releases'!$G:$G,RESULTADO!$BN59,'MtM Releases'!$F:$F,RESULTADO!$BN58,'MtM Releases'!$D:$D,RESULTADO!CH$3)</f>
        <v>0</v>
      </c>
      <c r="CI59" s="53">
        <f>SUMIFS('MtM Releases'!$M:$M,'MtM Releases'!$G:$G,RESULTADO!$BN59,'MtM Releases'!$F:$F,RESULTADO!$BN58,'MtM Releases'!$D:$D,RESULTADO!CI$3)</f>
        <v>0</v>
      </c>
      <c r="CJ59" s="53">
        <f>SUMIFS('MtM Releases'!$M:$M,'MtM Releases'!$G:$G,RESULTADO!$BN59,'MtM Releases'!$F:$F,RESULTADO!$BN58,'MtM Releases'!$D:$D,RESULTADO!CJ$3)</f>
        <v>0</v>
      </c>
      <c r="CK59" s="53">
        <f>SUMIFS('MtM Releases'!$M:$M,'MtM Releases'!$G:$G,RESULTADO!$BN59,'MtM Releases'!$F:$F,RESULTADO!$BN58,'MtM Releases'!$D:$D,RESULTADO!CK$3)</f>
        <v>0</v>
      </c>
      <c r="CL59" s="63">
        <f>SUMIFS('MtM Releases'!$M:$M,'MtM Releases'!$G:$G,RESULTADO!$BN59,'MtM Releases'!$F:$F,RESULTADO!$BN58,'MtM Releases'!$D:$D,RESULTADO!CL$3)</f>
        <v>0</v>
      </c>
      <c r="CM59" s="53">
        <f>SUMIFS('MtM Releases'!$M:$M,'MtM Releases'!$G:$G,RESULTADO!$BN59,'MtM Releases'!$F:$F,RESULTADO!$BN58,'MtM Releases'!$D:$D,RESULTADO!CM$3)</f>
        <v>0</v>
      </c>
      <c r="CN59" s="53">
        <f>SUMIFS('MtM Releases'!$M:$M,'MtM Releases'!$G:$G,RESULTADO!$BN59,'MtM Releases'!$F:$F,RESULTADO!$BN58,'MtM Releases'!$D:$D,RESULTADO!CN$3)</f>
        <v>0</v>
      </c>
      <c r="CO59" s="53">
        <f>SUMIFS('MtM Releases'!$M:$M,'MtM Releases'!$G:$G,RESULTADO!$BN59,'MtM Releases'!$F:$F,RESULTADO!$BN58,'MtM Releases'!$D:$D,RESULTADO!CO$3)</f>
        <v>0</v>
      </c>
      <c r="CP59" s="53">
        <f>SUMIFS('MtM Releases'!$M:$M,'MtM Releases'!$G:$G,RESULTADO!$BN59,'MtM Releases'!$F:$F,RESULTADO!$BN58,'MtM Releases'!$D:$D,RESULTADO!CP$3)</f>
        <v>0</v>
      </c>
      <c r="CQ59" s="53">
        <f>SUMIFS('MtM Releases'!$M:$M,'MtM Releases'!$G:$G,RESULTADO!$BN59,'MtM Releases'!$F:$F,RESULTADO!$BN58,'MtM Releases'!$D:$D,RESULTADO!CQ$3)</f>
        <v>0</v>
      </c>
      <c r="CR59" s="53">
        <f>SUMIFS('MtM Releases'!$M:$M,'MtM Releases'!$G:$G,RESULTADO!$BN59,'MtM Releases'!$F:$F,RESULTADO!$BN58,'MtM Releases'!$D:$D,RESULTADO!CR$3)</f>
        <v>0</v>
      </c>
      <c r="CS59" s="53">
        <f>SUMIFS('MtM Releases'!$M:$M,'MtM Releases'!$G:$G,RESULTADO!$BN59,'MtM Releases'!$F:$F,RESULTADO!$BN58,'MtM Releases'!$D:$D,RESULTADO!CS$3)</f>
        <v>0</v>
      </c>
      <c r="CT59" s="53">
        <f>SUMIFS('MtM Releases'!$M:$M,'MtM Releases'!$G:$G,RESULTADO!$BN59,'MtM Releases'!$F:$F,RESULTADO!$BN58,'MtM Releases'!$D:$D,RESULTADO!CT$3)</f>
        <v>0</v>
      </c>
      <c r="CU59" s="53">
        <f>SUMIFS('MtM Releases'!$M:$M,'MtM Releases'!$G:$G,RESULTADO!$BN59,'MtM Releases'!$F:$F,RESULTADO!$BN58,'MtM Releases'!$D:$D,RESULTADO!CU$3)</f>
        <v>0</v>
      </c>
      <c r="CV59" s="53">
        <f>SUMIFS('MtM Releases'!$M:$M,'MtM Releases'!$G:$G,RESULTADO!$BN59,'MtM Releases'!$F:$F,RESULTADO!$BN58,'MtM Releases'!$D:$D,RESULTADO!CV$3)</f>
        <v>0</v>
      </c>
      <c r="CW59" s="53">
        <f>SUMIFS('MtM Releases'!$M:$M,'MtM Releases'!$G:$G,RESULTADO!$BN59,'MtM Releases'!$F:$F,RESULTADO!$BN58,'MtM Releases'!$D:$D,RESULTADO!CW$3)</f>
        <v>0</v>
      </c>
      <c r="CX59" s="54">
        <f>SUMIFS('MtM Releases'!$M:$M,'MtM Releases'!$G:$G,RESULTADO!$BN59,'MtM Releases'!$F:$F,RESULTADO!$BN58,'MtM Releases'!$D:$D,RESULTADO!CX$3)</f>
        <v>0</v>
      </c>
      <c r="CY59" s="53">
        <f>SUMIFS('MtM Releases'!$M:$M,'MtM Releases'!$G:$G,RESULTADO!$BN59,'MtM Releases'!$F:$F,RESULTADO!$BN58,'MtM Releases'!$D:$D,RESULTADO!CY$3)</f>
        <v>0</v>
      </c>
      <c r="CZ59" s="53">
        <f>SUMIFS('MtM Releases'!$M:$M,'MtM Releases'!$G:$G,RESULTADO!$BN59,'MtM Releases'!$F:$F,RESULTADO!$BN58,'MtM Releases'!$D:$D,RESULTADO!CZ$3)</f>
        <v>0</v>
      </c>
      <c r="DA59" s="53">
        <f>SUMIFS('MtM Releases'!$M:$M,'MtM Releases'!$G:$G,RESULTADO!$BN59,'MtM Releases'!$F:$F,RESULTADO!$BN58,'MtM Releases'!$D:$D,RESULTADO!DA$3)</f>
        <v>0</v>
      </c>
      <c r="DB59" s="53">
        <f>SUMIFS('MtM Releases'!$M:$M,'MtM Releases'!$G:$G,RESULTADO!$BN59,'MtM Releases'!$F:$F,RESULTADO!$BN58,'MtM Releases'!$D:$D,RESULTADO!DB$3)</f>
        <v>0</v>
      </c>
      <c r="DC59" s="53">
        <f>SUMIFS('MtM Releases'!$M:$M,'MtM Releases'!$G:$G,RESULTADO!$BN59,'MtM Releases'!$F:$F,RESULTADO!$BN58,'MtM Releases'!$D:$D,RESULTADO!DC$3)</f>
        <v>0</v>
      </c>
      <c r="DD59" s="53">
        <f>SUMIFS('MtM Releases'!$M:$M,'MtM Releases'!$G:$G,RESULTADO!$BN59,'MtM Releases'!$F:$F,RESULTADO!$BN58,'MtM Releases'!$D:$D,RESULTADO!DD$3)</f>
        <v>0</v>
      </c>
      <c r="DE59" s="53">
        <f>SUMIFS('MtM Releases'!$M:$M,'MtM Releases'!$G:$G,RESULTADO!$BN59,'MtM Releases'!$F:$F,RESULTADO!$BN58,'MtM Releases'!$D:$D,RESULTADO!DE$3)</f>
        <v>0</v>
      </c>
      <c r="DF59" s="53">
        <f>SUMIFS('MtM Releases'!$M:$M,'MtM Releases'!$G:$G,RESULTADO!$BN59,'MtM Releases'!$F:$F,RESULTADO!$BN58,'MtM Releases'!$D:$D,RESULTADO!DF$3)</f>
        <v>0</v>
      </c>
      <c r="DG59" s="53">
        <f>SUMIFS('MtM Releases'!$M:$M,'MtM Releases'!$G:$G,RESULTADO!$BN59,'MtM Releases'!$F:$F,RESULTADO!$BN58,'MtM Releases'!$D:$D,RESULTADO!DG$3)</f>
        <v>0</v>
      </c>
      <c r="DH59" s="53">
        <f>SUMIFS('MtM Releases'!$M:$M,'MtM Releases'!$G:$G,RESULTADO!$BN59,'MtM Releases'!$F:$F,RESULTADO!$BN58,'MtM Releases'!$D:$D,RESULTADO!DH$3)</f>
        <v>0</v>
      </c>
      <c r="DI59" s="53">
        <f>SUMIFS('MtM Releases'!$M:$M,'MtM Releases'!$G:$G,RESULTADO!$BN59,'MtM Releases'!$F:$F,RESULTADO!$BN58,'MtM Releases'!$D:$D,RESULTADO!DI$3)</f>
        <v>0</v>
      </c>
      <c r="DJ59" s="63">
        <f>SUMIFS('MtM Releases'!$M:$M,'MtM Releases'!$G:$G,RESULTADO!$BN59,'MtM Releases'!$F:$F,RESULTADO!$BN58,'MtM Releases'!$D:$D,RESULTADO!DJ$3)</f>
        <v>0</v>
      </c>
      <c r="DK59" s="53">
        <f>SUMIFS('MtM Releases'!$M:$M,'MtM Releases'!$G:$G,RESULTADO!$BN59,'MtM Releases'!$F:$F,RESULTADO!$BN58,'MtM Releases'!$D:$D,RESULTADO!DK$3)</f>
        <v>0</v>
      </c>
      <c r="DL59" s="53">
        <f>SUMIFS('MtM Releases'!$M:$M,'MtM Releases'!$G:$G,RESULTADO!$BN59,'MtM Releases'!$F:$F,RESULTADO!$BN58,'MtM Releases'!$D:$D,RESULTADO!DL$3)</f>
        <v>0</v>
      </c>
      <c r="DM59" s="53">
        <f>SUMIFS('MtM Releases'!$M:$M,'MtM Releases'!$G:$G,RESULTADO!$BN59,'MtM Releases'!$F:$F,RESULTADO!$BN58,'MtM Releases'!$D:$D,RESULTADO!DM$3)</f>
        <v>0</v>
      </c>
      <c r="DN59" s="53">
        <f>SUMIFS('MtM Releases'!$M:$M,'MtM Releases'!$G:$G,RESULTADO!$BN59,'MtM Releases'!$F:$F,RESULTADO!$BN58,'MtM Releases'!$D:$D,RESULTADO!DN$3)</f>
        <v>0</v>
      </c>
      <c r="DO59" s="53">
        <f>SUMIFS('MtM Releases'!$M:$M,'MtM Releases'!$G:$G,RESULTADO!$BN59,'MtM Releases'!$F:$F,RESULTADO!$BN58,'MtM Releases'!$D:$D,RESULTADO!DO$3)</f>
        <v>0</v>
      </c>
      <c r="DP59" s="53">
        <f>SUMIFS('MtM Releases'!$M:$M,'MtM Releases'!$G:$G,RESULTADO!$BN59,'MtM Releases'!$F:$F,RESULTADO!$BN58,'MtM Releases'!$D:$D,RESULTADO!DP$3)</f>
        <v>0</v>
      </c>
      <c r="DQ59" s="53">
        <f>SUMIFS('MtM Releases'!$M:$M,'MtM Releases'!$G:$G,RESULTADO!$BN59,'MtM Releases'!$F:$F,RESULTADO!$BN58,'MtM Releases'!$D:$D,RESULTADO!DQ$3)</f>
        <v>0</v>
      </c>
      <c r="DR59" s="53">
        <f>SUMIFS('MtM Releases'!$M:$M,'MtM Releases'!$G:$G,RESULTADO!$BN59,'MtM Releases'!$F:$F,RESULTADO!$BN58,'MtM Releases'!$D:$D,RESULTADO!DR$3)</f>
        <v>0</v>
      </c>
      <c r="DS59" s="53">
        <f>SUMIFS('MtM Releases'!$M:$M,'MtM Releases'!$G:$G,RESULTADO!$BN59,'MtM Releases'!$F:$F,RESULTADO!$BN58,'MtM Releases'!$D:$D,RESULTADO!DS$3)</f>
        <v>0</v>
      </c>
      <c r="DT59" s="53">
        <f>SUMIFS('MtM Releases'!$M:$M,'MtM Releases'!$G:$G,RESULTADO!$BN59,'MtM Releases'!$F:$F,RESULTADO!$BN58,'MtM Releases'!$D:$D,RESULTADO!DT$3)</f>
        <v>0</v>
      </c>
      <c r="DU59" s="53">
        <f>SUMIFS('MtM Releases'!$M:$M,'MtM Releases'!$G:$G,RESULTADO!$BN59,'MtM Releases'!$F:$F,RESULTADO!$BN58,'MtM Releases'!$D:$D,RESULTADO!DU$3)</f>
        <v>0</v>
      </c>
      <c r="DV59" s="63">
        <f>SUMIFS('MtM Releases'!$M:$M,'MtM Releases'!$G:$G,RESULTADO!$BN59,'MtM Releases'!$F:$F,RESULTADO!$BN58,'MtM Releases'!$D:$D,RESULTADO!DV$3)</f>
        <v>0</v>
      </c>
    </row>
    <row r="60" spans="2:126" x14ac:dyDescent="0.25">
      <c r="B60" s="57" t="s">
        <v>12</v>
      </c>
      <c r="C60" s="53">
        <f>(SUMIFS(MtM!$V:$V,MtM!$I:$I,RESULTADO!$B60,MtM!$H:$H,RESULTADO!$B$58,MtM!$E:$E,RESULTADO!C$42))</f>
        <v>0</v>
      </c>
      <c r="D60" s="53">
        <f>(SUMIFS(MtM!$V:$V,MtM!$I:$I,RESULTADO!$B60,MtM!$H:$H,RESULTADO!$B$58,MtM!$E:$E,RESULTADO!D$42))</f>
        <v>0</v>
      </c>
      <c r="E60" s="53">
        <f>(SUMIFS(MtM!$V:$V,MtM!$I:$I,RESULTADO!$B60,MtM!$H:$H,RESULTADO!$B$58,MtM!$E:$E,RESULTADO!E$42))</f>
        <v>0</v>
      </c>
      <c r="F60" s="53">
        <f>(SUMIFS(MtM!$V:$V,MtM!$I:$I,RESULTADO!$B60,MtM!$H:$H,RESULTADO!$B$58,MtM!$E:$E,RESULTADO!F$42))</f>
        <v>0</v>
      </c>
      <c r="G60" s="53">
        <f>(SUMIFS(MtM!$V:$V,MtM!$I:$I,RESULTADO!$B60,MtM!$H:$H,RESULTADO!$B$58,MtM!$E:$E,RESULTADO!G$42))</f>
        <v>0</v>
      </c>
      <c r="H60" s="53">
        <f>(SUMIFS(MtM!$V:$V,MtM!$I:$I,RESULTADO!$B60,MtM!$H:$H,RESULTADO!$B$58,MtM!$E:$E,RESULTADO!H$42))</f>
        <v>0</v>
      </c>
      <c r="I60" s="53">
        <f>(SUMIFS(MtM!$V:$V,MtM!$I:$I,RESULTADO!$B60,MtM!$H:$H,RESULTADO!$B$58,MtM!$E:$E,RESULTADO!I$42))</f>
        <v>0</v>
      </c>
      <c r="J60" s="53">
        <f>(SUMIFS(MtM!$V:$V,MtM!$I:$I,RESULTADO!$B60,MtM!$H:$H,RESULTADO!$B$58,MtM!$E:$E,RESULTADO!J$42))</f>
        <v>0</v>
      </c>
      <c r="K60" s="53">
        <f>(SUMIFS(MtM!$V:$V,MtM!$I:$I,RESULTADO!$B60,MtM!$H:$H,RESULTADO!$B$58,MtM!$E:$E,RESULTADO!K$42))</f>
        <v>0</v>
      </c>
      <c r="L60" s="53">
        <f>(SUMIFS(MtM!$V:$V,MtM!$I:$I,RESULTADO!$B60,MtM!$H:$H,RESULTADO!$B$58,MtM!$E:$E,RESULTADO!L$42))</f>
        <v>0</v>
      </c>
      <c r="M60" s="53">
        <f>(SUMIFS(MtM!$V:$V,MtM!$I:$I,RESULTADO!$B60,MtM!$H:$H,RESULTADO!$B$58,MtM!$E:$E,RESULTADO!M$42))</f>
        <v>0</v>
      </c>
      <c r="N60" s="54">
        <f>(SUMIFS(MtM!$V:$V,MtM!$I:$I,RESULTADO!$B60,MtM!$H:$H,RESULTADO!$B$58,MtM!$E:$E,RESULTADO!N$42))</f>
        <v>0</v>
      </c>
      <c r="O60" s="53">
        <f>(SUMIFS(MtM!$V:$V,MtM!$I:$I,RESULTADO!$B60,MtM!$H:$H,RESULTADO!$B$58,MtM!$E:$E,RESULTADO!O$42))</f>
        <v>0</v>
      </c>
      <c r="P60" s="53">
        <f>(SUMIFS(MtM!$V:$V,MtM!$I:$I,RESULTADO!$B60,MtM!$H:$H,RESULTADO!$B$58,MtM!$E:$E,RESULTADO!P$42))</f>
        <v>0</v>
      </c>
      <c r="Q60" s="53">
        <f>(SUMIFS(MtM!$V:$V,MtM!$I:$I,RESULTADO!$B60,MtM!$H:$H,RESULTADO!$B$58,MtM!$E:$E,RESULTADO!Q$42))</f>
        <v>0</v>
      </c>
      <c r="R60" s="53">
        <f>(SUMIFS(MtM!$V:$V,MtM!$I:$I,RESULTADO!$B60,MtM!$H:$H,RESULTADO!$B$58,MtM!$E:$E,RESULTADO!R$42))</f>
        <v>0</v>
      </c>
      <c r="S60" s="53">
        <f>(SUMIFS(MtM!$V:$V,MtM!$I:$I,RESULTADO!$B60,MtM!$H:$H,RESULTADO!$B$58,MtM!$E:$E,RESULTADO!S$42))</f>
        <v>0</v>
      </c>
      <c r="T60" s="53">
        <f>(SUMIFS(MtM!$V:$V,MtM!$I:$I,RESULTADO!$B60,MtM!$H:$H,RESULTADO!$B$58,MtM!$E:$E,RESULTADO!T$42))</f>
        <v>0</v>
      </c>
      <c r="U60" s="53">
        <f>(SUMIFS(MtM!$V:$V,MtM!$I:$I,RESULTADO!$B60,MtM!$H:$H,RESULTADO!$B$58,MtM!$E:$E,RESULTADO!U$42))</f>
        <v>0</v>
      </c>
      <c r="V60" s="53">
        <f>(SUMIFS(MtM!$V:$V,MtM!$I:$I,RESULTADO!$B60,MtM!$H:$H,RESULTADO!$B$58,MtM!$E:$E,RESULTADO!V$42))</f>
        <v>0</v>
      </c>
      <c r="W60" s="53">
        <f>(SUMIFS(MtM!$V:$V,MtM!$I:$I,RESULTADO!$B60,MtM!$H:$H,RESULTADO!$B$58,MtM!$E:$E,RESULTADO!W$42))</f>
        <v>0</v>
      </c>
      <c r="X60" s="53">
        <f>(SUMIFS(MtM!$V:$V,MtM!$I:$I,RESULTADO!$B60,MtM!$H:$H,RESULTADO!$B$58,MtM!$E:$E,RESULTADO!X$42))</f>
        <v>0</v>
      </c>
      <c r="Y60" s="53">
        <f>(SUMIFS(MtM!$V:$V,MtM!$I:$I,RESULTADO!$B60,MtM!$H:$H,RESULTADO!$B$58,MtM!$E:$E,RESULTADO!Y$42))</f>
        <v>0</v>
      </c>
      <c r="Z60" s="63">
        <f>(SUMIFS(MtM!$V:$V,MtM!$I:$I,RESULTADO!$B60,MtM!$H:$H,RESULTADO!$B$58,MtM!$E:$E,RESULTADO!Z$42))</f>
        <v>0</v>
      </c>
      <c r="AA60" s="53">
        <f>(SUMIFS(MtM!$V:$V,MtM!$I:$I,RESULTADO!$B60,MtM!$H:$H,RESULTADO!$B$58,MtM!$E:$E,RESULTADO!AA$42))</f>
        <v>0</v>
      </c>
      <c r="AB60" s="53">
        <f>(SUMIFS(MtM!$V:$V,MtM!$I:$I,RESULTADO!$B60,MtM!$H:$H,RESULTADO!$B$58,MtM!$E:$E,RESULTADO!AB$42))</f>
        <v>0</v>
      </c>
      <c r="AC60" s="53">
        <f>(SUMIFS(MtM!$V:$V,MtM!$I:$I,RESULTADO!$B60,MtM!$H:$H,RESULTADO!$B$58,MtM!$E:$E,RESULTADO!AC$42))</f>
        <v>0</v>
      </c>
      <c r="AD60" s="53">
        <f>(SUMIFS(MtM!$V:$V,MtM!$I:$I,RESULTADO!$B60,MtM!$H:$H,RESULTADO!$B$58,MtM!$E:$E,RESULTADO!AD$42))</f>
        <v>0</v>
      </c>
      <c r="AE60" s="53">
        <f>(SUMIFS(MtM!$V:$V,MtM!$I:$I,RESULTADO!$B60,MtM!$H:$H,RESULTADO!$B$58,MtM!$E:$E,RESULTADO!AE$42))</f>
        <v>0</v>
      </c>
      <c r="AF60" s="53">
        <f>(SUMIFS(MtM!$V:$V,MtM!$I:$I,RESULTADO!$B60,MtM!$H:$H,RESULTADO!$B$58,MtM!$E:$E,RESULTADO!AF$42))</f>
        <v>0</v>
      </c>
      <c r="AG60" s="53">
        <f>(SUMIFS(MtM!$V:$V,MtM!$I:$I,RESULTADO!$B60,MtM!$H:$H,RESULTADO!$B$58,MtM!$E:$E,RESULTADO!AG$42))</f>
        <v>0</v>
      </c>
      <c r="AH60" s="53">
        <f>(SUMIFS(MtM!$V:$V,MtM!$I:$I,RESULTADO!$B60,MtM!$H:$H,RESULTADO!$B$58,MtM!$E:$E,RESULTADO!AH$42))</f>
        <v>0</v>
      </c>
      <c r="AI60" s="53">
        <f>(SUMIFS(MtM!$V:$V,MtM!$I:$I,RESULTADO!$B60,MtM!$H:$H,RESULTADO!$B$58,MtM!$E:$E,RESULTADO!AI$42))</f>
        <v>0</v>
      </c>
      <c r="AJ60" s="53">
        <f>(SUMIFS(MtM!$V:$V,MtM!$I:$I,RESULTADO!$B60,MtM!$H:$H,RESULTADO!$B$58,MtM!$E:$E,RESULTADO!AJ$42))</f>
        <v>0</v>
      </c>
      <c r="AK60" s="53">
        <f>(SUMIFS(MtM!$V:$V,MtM!$I:$I,RESULTADO!$B60,MtM!$H:$H,RESULTADO!$B$58,MtM!$E:$E,RESULTADO!AK$42))</f>
        <v>0</v>
      </c>
      <c r="AL60" s="54">
        <f>(SUMIFS(MtM!$V:$V,MtM!$I:$I,RESULTADO!$B60,MtM!$H:$H,RESULTADO!$B$58,MtM!$E:$E,RESULTADO!AL$42))</f>
        <v>0</v>
      </c>
      <c r="AM60" s="53">
        <f>(SUMIFS(MtM!$V:$V,MtM!$I:$I,RESULTADO!$B60,MtM!$H:$H,RESULTADO!$B$58,MtM!$E:$E,RESULTADO!AM$42))</f>
        <v>0</v>
      </c>
      <c r="AN60" s="53">
        <f>(SUMIFS(MtM!$V:$V,MtM!$I:$I,RESULTADO!$B60,MtM!$H:$H,RESULTADO!$B$58,MtM!$E:$E,RESULTADO!AN$42))</f>
        <v>0</v>
      </c>
      <c r="AO60" s="53">
        <f>(SUMIFS(MtM!$V:$V,MtM!$I:$I,RESULTADO!$B60,MtM!$H:$H,RESULTADO!$B$58,MtM!$E:$E,RESULTADO!AO$42))</f>
        <v>0</v>
      </c>
      <c r="AP60" s="53">
        <f>(SUMIFS(MtM!$V:$V,MtM!$I:$I,RESULTADO!$B60,MtM!$H:$H,RESULTADO!$B$58,MtM!$E:$E,RESULTADO!AP$42))</f>
        <v>0</v>
      </c>
      <c r="AQ60" s="53">
        <f>(SUMIFS(MtM!$V:$V,MtM!$I:$I,RESULTADO!$B60,MtM!$H:$H,RESULTADO!$B$58,MtM!$E:$E,RESULTADO!AQ$42))</f>
        <v>0</v>
      </c>
      <c r="AR60" s="53">
        <f>(SUMIFS(MtM!$V:$V,MtM!$I:$I,RESULTADO!$B60,MtM!$H:$H,RESULTADO!$B$58,MtM!$E:$E,RESULTADO!AR$42))</f>
        <v>0</v>
      </c>
      <c r="AS60" s="53">
        <f>(SUMIFS(MtM!$V:$V,MtM!$I:$I,RESULTADO!$B60,MtM!$H:$H,RESULTADO!$B$58,MtM!$E:$E,RESULTADO!AS$42))</f>
        <v>0</v>
      </c>
      <c r="AT60" s="53">
        <f>(SUMIFS(MtM!$V:$V,MtM!$I:$I,RESULTADO!$B60,MtM!$H:$H,RESULTADO!$B$58,MtM!$E:$E,RESULTADO!AT$42))</f>
        <v>0</v>
      </c>
      <c r="AU60" s="53">
        <f>(SUMIFS(MtM!$V:$V,MtM!$I:$I,RESULTADO!$B60,MtM!$H:$H,RESULTADO!$B$58,MtM!$E:$E,RESULTADO!AU$42))</f>
        <v>0</v>
      </c>
      <c r="AV60" s="53">
        <f>(SUMIFS(MtM!$V:$V,MtM!$I:$I,RESULTADO!$B60,MtM!$H:$H,RESULTADO!$B$58,MtM!$E:$E,RESULTADO!AV$42))</f>
        <v>0</v>
      </c>
      <c r="AW60" s="53">
        <f>(SUMIFS(MtM!$V:$V,MtM!$I:$I,RESULTADO!$B60,MtM!$H:$H,RESULTADO!$B$58,MtM!$E:$E,RESULTADO!AW$42))</f>
        <v>0</v>
      </c>
      <c r="AX60" s="63">
        <f>(SUMIFS(MtM!$V:$V,MtM!$I:$I,RESULTADO!$B60,MtM!$H:$H,RESULTADO!$B$58,MtM!$E:$E,RESULTADO!AX$42))</f>
        <v>0</v>
      </c>
      <c r="AY60" s="53">
        <f>(SUMIFS(MtM!$V:$V,MtM!$I:$I,RESULTADO!$B60,MtM!$H:$H,RESULTADO!$B$58,MtM!$E:$E,RESULTADO!AY$42))</f>
        <v>0</v>
      </c>
      <c r="AZ60" s="53">
        <f>(SUMIFS(MtM!$V:$V,MtM!$I:$I,RESULTADO!$B60,MtM!$H:$H,RESULTADO!$B$58,MtM!$E:$E,RESULTADO!AZ$42))</f>
        <v>0</v>
      </c>
      <c r="BA60" s="53">
        <f>(SUMIFS(MtM!$V:$V,MtM!$I:$I,RESULTADO!$B60,MtM!$H:$H,RESULTADO!$B$58,MtM!$E:$E,RESULTADO!BA$42))</f>
        <v>0</v>
      </c>
      <c r="BB60" s="53">
        <f>(SUMIFS(MtM!$V:$V,MtM!$I:$I,RESULTADO!$B60,MtM!$H:$H,RESULTADO!$B$58,MtM!$E:$E,RESULTADO!BB$42))</f>
        <v>0</v>
      </c>
      <c r="BC60" s="53">
        <f>(SUMIFS(MtM!$V:$V,MtM!$I:$I,RESULTADO!$B60,MtM!$H:$H,RESULTADO!$B$58,MtM!$E:$E,RESULTADO!BC$42))</f>
        <v>0</v>
      </c>
      <c r="BD60" s="53">
        <f>(SUMIFS(MtM!$V:$V,MtM!$I:$I,RESULTADO!$B60,MtM!$H:$H,RESULTADO!$B$58,MtM!$E:$E,RESULTADO!BD$42))</f>
        <v>0</v>
      </c>
      <c r="BE60" s="53">
        <f>(SUMIFS(MtM!$V:$V,MtM!$I:$I,RESULTADO!$B60,MtM!$H:$H,RESULTADO!$B$58,MtM!$E:$E,RESULTADO!BE$42))</f>
        <v>0</v>
      </c>
      <c r="BF60" s="53">
        <f>(SUMIFS(MtM!$V:$V,MtM!$I:$I,RESULTADO!$B60,MtM!$H:$H,RESULTADO!$B$58,MtM!$E:$E,RESULTADO!BF$42))</f>
        <v>0</v>
      </c>
      <c r="BG60" s="53">
        <f>(SUMIFS(MtM!$V:$V,MtM!$I:$I,RESULTADO!$B60,MtM!$H:$H,RESULTADO!$B$58,MtM!$E:$E,RESULTADO!BG$42))</f>
        <v>0</v>
      </c>
      <c r="BH60" s="53">
        <f>(SUMIFS(MtM!$V:$V,MtM!$I:$I,RESULTADO!$B60,MtM!$H:$H,RESULTADO!$B$58,MtM!$E:$E,RESULTADO!BH$42))</f>
        <v>0</v>
      </c>
      <c r="BI60" s="53">
        <f>(SUMIFS(MtM!$V:$V,MtM!$I:$I,RESULTADO!$B60,MtM!$H:$H,RESULTADO!$B$58,MtM!$E:$E,RESULTADO!BI$42))</f>
        <v>0</v>
      </c>
      <c r="BJ60" s="63">
        <f>(SUMIFS(MtM!$V:$V,MtM!$I:$I,RESULTADO!$B60,MtM!$H:$H,RESULTADO!$B$58,MtM!$E:$E,RESULTADO!BJ$42))</f>
        <v>0</v>
      </c>
      <c r="BL60" s="120"/>
      <c r="BN60" s="57" t="s">
        <v>12</v>
      </c>
      <c r="BO60" s="53">
        <f>SUMIFS('MtM Releases'!$M:$M,'MtM Releases'!$G:$G,RESULTADO!$BN60,'MtM Releases'!$F:$F,RESULTADO!$BN58,'MtM Releases'!$D:$D,RESULTADO!BO$3)</f>
        <v>0</v>
      </c>
      <c r="BP60" s="53">
        <f>SUMIFS('MtM Releases'!$M:$M,'MtM Releases'!$G:$G,RESULTADO!$BN60,'MtM Releases'!$F:$F,RESULTADO!$BN58,'MtM Releases'!$D:$D,RESULTADO!BP$3)</f>
        <v>0</v>
      </c>
      <c r="BQ60" s="53">
        <f>SUMIFS('MtM Releases'!$M:$M,'MtM Releases'!$G:$G,RESULTADO!$BN60,'MtM Releases'!$F:$F,RESULTADO!$BN58,'MtM Releases'!$D:$D,RESULTADO!BQ$3)</f>
        <v>0</v>
      </c>
      <c r="BR60" s="53">
        <f>SUMIFS('MtM Releases'!$M:$M,'MtM Releases'!$G:$G,RESULTADO!$BN60,'MtM Releases'!$F:$F,RESULTADO!$BN58,'MtM Releases'!$D:$D,RESULTADO!BR$3)</f>
        <v>0</v>
      </c>
      <c r="BS60" s="53">
        <f>SUMIFS('MtM Releases'!$M:$M,'MtM Releases'!$G:$G,RESULTADO!$BN60,'MtM Releases'!$F:$F,RESULTADO!$BN58,'MtM Releases'!$D:$D,RESULTADO!BS$3)</f>
        <v>0</v>
      </c>
      <c r="BT60" s="53">
        <f>SUMIFS('MtM Releases'!$M:$M,'MtM Releases'!$G:$G,RESULTADO!$BN60,'MtM Releases'!$F:$F,RESULTADO!$BN58,'MtM Releases'!$D:$D,RESULTADO!BT$3)</f>
        <v>0</v>
      </c>
      <c r="BU60" s="53">
        <f>SUMIFS('MtM Releases'!$M:$M,'MtM Releases'!$G:$G,RESULTADO!$BN60,'MtM Releases'!$F:$F,RESULTADO!$BN58,'MtM Releases'!$D:$D,RESULTADO!BU$3)</f>
        <v>0</v>
      </c>
      <c r="BV60" s="53">
        <f>SUMIFS('MtM Releases'!$M:$M,'MtM Releases'!$G:$G,RESULTADO!$BN60,'MtM Releases'!$F:$F,RESULTADO!$BN58,'MtM Releases'!$D:$D,RESULTADO!BV$3)</f>
        <v>0</v>
      </c>
      <c r="BW60" s="53">
        <f>SUMIFS('MtM Releases'!$M:$M,'MtM Releases'!$G:$G,RESULTADO!$BN60,'MtM Releases'!$F:$F,RESULTADO!$BN58,'MtM Releases'!$D:$D,RESULTADO!BW$3)</f>
        <v>0</v>
      </c>
      <c r="BX60" s="53">
        <f>SUMIFS('MtM Releases'!$M:$M,'MtM Releases'!$G:$G,RESULTADO!$BN60,'MtM Releases'!$F:$F,RESULTADO!$BN58,'MtM Releases'!$D:$D,RESULTADO!BX$3)</f>
        <v>0</v>
      </c>
      <c r="BY60" s="53">
        <f>SUMIFS('MtM Releases'!$M:$M,'MtM Releases'!$G:$G,RESULTADO!$BN60,'MtM Releases'!$F:$F,RESULTADO!$BN58,'MtM Releases'!$D:$D,RESULTADO!BY$3)</f>
        <v>0</v>
      </c>
      <c r="BZ60" s="54">
        <f>SUMIFS('MtM Releases'!$M:$M,'MtM Releases'!$G:$G,RESULTADO!$BN60,'MtM Releases'!$F:$F,RESULTADO!$BN58,'MtM Releases'!$D:$D,RESULTADO!BZ$3)</f>
        <v>0</v>
      </c>
      <c r="CA60" s="53">
        <f>SUMIFS('MtM Releases'!$M:$M,'MtM Releases'!$G:$G,RESULTADO!$BN60,'MtM Releases'!$F:$F,RESULTADO!$BN58,'MtM Releases'!$D:$D,RESULTADO!CA$3)</f>
        <v>0</v>
      </c>
      <c r="CB60" s="53">
        <f>SUMIFS('MtM Releases'!$M:$M,'MtM Releases'!$G:$G,RESULTADO!$BN60,'MtM Releases'!$F:$F,RESULTADO!$BN58,'MtM Releases'!$D:$D,RESULTADO!CB$3)</f>
        <v>0</v>
      </c>
      <c r="CC60" s="53">
        <f>SUMIFS('MtM Releases'!$M:$M,'MtM Releases'!$G:$G,RESULTADO!$BN60,'MtM Releases'!$F:$F,RESULTADO!$BN58,'MtM Releases'!$D:$D,RESULTADO!CC$3)</f>
        <v>0</v>
      </c>
      <c r="CD60" s="53">
        <f>SUMIFS('MtM Releases'!$M:$M,'MtM Releases'!$G:$G,RESULTADO!$BN60,'MtM Releases'!$F:$F,RESULTADO!$BN58,'MtM Releases'!$D:$D,RESULTADO!CD$3)</f>
        <v>0</v>
      </c>
      <c r="CE60" s="53">
        <f>SUMIFS('MtM Releases'!$M:$M,'MtM Releases'!$G:$G,RESULTADO!$BN60,'MtM Releases'!$F:$F,RESULTADO!$BN58,'MtM Releases'!$D:$D,RESULTADO!CE$3)</f>
        <v>0</v>
      </c>
      <c r="CF60" s="53">
        <f>SUMIFS('MtM Releases'!$M:$M,'MtM Releases'!$G:$G,RESULTADO!$BN60,'MtM Releases'!$F:$F,RESULTADO!$BN58,'MtM Releases'!$D:$D,RESULTADO!CF$3)</f>
        <v>0</v>
      </c>
      <c r="CG60" s="53">
        <f>SUMIFS('MtM Releases'!$M:$M,'MtM Releases'!$G:$G,RESULTADO!$BN60,'MtM Releases'!$F:$F,RESULTADO!$BN58,'MtM Releases'!$D:$D,RESULTADO!CG$3)</f>
        <v>0</v>
      </c>
      <c r="CH60" s="53">
        <f>SUMIFS('MtM Releases'!$M:$M,'MtM Releases'!$G:$G,RESULTADO!$BN60,'MtM Releases'!$F:$F,RESULTADO!$BN58,'MtM Releases'!$D:$D,RESULTADO!CH$3)</f>
        <v>0</v>
      </c>
      <c r="CI60" s="53">
        <f>SUMIFS('MtM Releases'!$M:$M,'MtM Releases'!$G:$G,RESULTADO!$BN60,'MtM Releases'!$F:$F,RESULTADO!$BN58,'MtM Releases'!$D:$D,RESULTADO!CI$3)</f>
        <v>0</v>
      </c>
      <c r="CJ60" s="53">
        <f>SUMIFS('MtM Releases'!$M:$M,'MtM Releases'!$G:$G,RESULTADO!$BN60,'MtM Releases'!$F:$F,RESULTADO!$BN58,'MtM Releases'!$D:$D,RESULTADO!CJ$3)</f>
        <v>0</v>
      </c>
      <c r="CK60" s="53">
        <f>SUMIFS('MtM Releases'!$M:$M,'MtM Releases'!$G:$G,RESULTADO!$BN60,'MtM Releases'!$F:$F,RESULTADO!$BN58,'MtM Releases'!$D:$D,RESULTADO!CK$3)</f>
        <v>0</v>
      </c>
      <c r="CL60" s="63">
        <f>SUMIFS('MtM Releases'!$M:$M,'MtM Releases'!$G:$G,RESULTADO!$BN60,'MtM Releases'!$F:$F,RESULTADO!$BN58,'MtM Releases'!$D:$D,RESULTADO!CL$3)</f>
        <v>0</v>
      </c>
      <c r="CM60" s="53">
        <f>SUMIFS('MtM Releases'!$M:$M,'MtM Releases'!$G:$G,RESULTADO!$BN60,'MtM Releases'!$F:$F,RESULTADO!$BN58,'MtM Releases'!$D:$D,RESULTADO!CM$3)</f>
        <v>0</v>
      </c>
      <c r="CN60" s="53">
        <f>SUMIFS('MtM Releases'!$M:$M,'MtM Releases'!$G:$G,RESULTADO!$BN60,'MtM Releases'!$F:$F,RESULTADO!$BN58,'MtM Releases'!$D:$D,RESULTADO!CN$3)</f>
        <v>0</v>
      </c>
      <c r="CO60" s="53">
        <f>SUMIFS('MtM Releases'!$M:$M,'MtM Releases'!$G:$G,RESULTADO!$BN60,'MtM Releases'!$F:$F,RESULTADO!$BN58,'MtM Releases'!$D:$D,RESULTADO!CO$3)</f>
        <v>0</v>
      </c>
      <c r="CP60" s="53">
        <f>SUMIFS('MtM Releases'!$M:$M,'MtM Releases'!$G:$G,RESULTADO!$BN60,'MtM Releases'!$F:$F,RESULTADO!$BN58,'MtM Releases'!$D:$D,RESULTADO!CP$3)</f>
        <v>0</v>
      </c>
      <c r="CQ60" s="53">
        <f>SUMIFS('MtM Releases'!$M:$M,'MtM Releases'!$G:$G,RESULTADO!$BN60,'MtM Releases'!$F:$F,RESULTADO!$BN58,'MtM Releases'!$D:$D,RESULTADO!CQ$3)</f>
        <v>0</v>
      </c>
      <c r="CR60" s="53">
        <f>SUMIFS('MtM Releases'!$M:$M,'MtM Releases'!$G:$G,RESULTADO!$BN60,'MtM Releases'!$F:$F,RESULTADO!$BN58,'MtM Releases'!$D:$D,RESULTADO!CR$3)</f>
        <v>0</v>
      </c>
      <c r="CS60" s="53">
        <f>SUMIFS('MtM Releases'!$M:$M,'MtM Releases'!$G:$G,RESULTADO!$BN60,'MtM Releases'!$F:$F,RESULTADO!$BN58,'MtM Releases'!$D:$D,RESULTADO!CS$3)</f>
        <v>0</v>
      </c>
      <c r="CT60" s="53">
        <f>SUMIFS('MtM Releases'!$M:$M,'MtM Releases'!$G:$G,RESULTADO!$BN60,'MtM Releases'!$F:$F,RESULTADO!$BN58,'MtM Releases'!$D:$D,RESULTADO!CT$3)</f>
        <v>0</v>
      </c>
      <c r="CU60" s="53">
        <f>SUMIFS('MtM Releases'!$M:$M,'MtM Releases'!$G:$G,RESULTADO!$BN60,'MtM Releases'!$F:$F,RESULTADO!$BN58,'MtM Releases'!$D:$D,RESULTADO!CU$3)</f>
        <v>0</v>
      </c>
      <c r="CV60" s="53">
        <f>SUMIFS('MtM Releases'!$M:$M,'MtM Releases'!$G:$G,RESULTADO!$BN60,'MtM Releases'!$F:$F,RESULTADO!$BN58,'MtM Releases'!$D:$D,RESULTADO!CV$3)</f>
        <v>0</v>
      </c>
      <c r="CW60" s="53">
        <f>SUMIFS('MtM Releases'!$M:$M,'MtM Releases'!$G:$G,RESULTADO!$BN60,'MtM Releases'!$F:$F,RESULTADO!$BN58,'MtM Releases'!$D:$D,RESULTADO!CW$3)</f>
        <v>0</v>
      </c>
      <c r="CX60" s="54">
        <f>SUMIFS('MtM Releases'!$M:$M,'MtM Releases'!$G:$G,RESULTADO!$BN60,'MtM Releases'!$F:$F,RESULTADO!$BN58,'MtM Releases'!$D:$D,RESULTADO!CX$3)</f>
        <v>0</v>
      </c>
      <c r="CY60" s="53">
        <f>SUMIFS('MtM Releases'!$M:$M,'MtM Releases'!$G:$G,RESULTADO!$BN60,'MtM Releases'!$F:$F,RESULTADO!$BN58,'MtM Releases'!$D:$D,RESULTADO!CY$3)</f>
        <v>0</v>
      </c>
      <c r="CZ60" s="53">
        <f>SUMIFS('MtM Releases'!$M:$M,'MtM Releases'!$G:$G,RESULTADO!$BN60,'MtM Releases'!$F:$F,RESULTADO!$BN58,'MtM Releases'!$D:$D,RESULTADO!CZ$3)</f>
        <v>0</v>
      </c>
      <c r="DA60" s="53">
        <f>SUMIFS('MtM Releases'!$M:$M,'MtM Releases'!$G:$G,RESULTADO!$BN60,'MtM Releases'!$F:$F,RESULTADO!$BN58,'MtM Releases'!$D:$D,RESULTADO!DA$3)</f>
        <v>0</v>
      </c>
      <c r="DB60" s="53">
        <f>SUMIFS('MtM Releases'!$M:$M,'MtM Releases'!$G:$G,RESULTADO!$BN60,'MtM Releases'!$F:$F,RESULTADO!$BN58,'MtM Releases'!$D:$D,RESULTADO!DB$3)</f>
        <v>0</v>
      </c>
      <c r="DC60" s="53">
        <f>SUMIFS('MtM Releases'!$M:$M,'MtM Releases'!$G:$G,RESULTADO!$BN60,'MtM Releases'!$F:$F,RESULTADO!$BN58,'MtM Releases'!$D:$D,RESULTADO!DC$3)</f>
        <v>0</v>
      </c>
      <c r="DD60" s="53">
        <f>SUMIFS('MtM Releases'!$M:$M,'MtM Releases'!$G:$G,RESULTADO!$BN60,'MtM Releases'!$F:$F,RESULTADO!$BN58,'MtM Releases'!$D:$D,RESULTADO!DD$3)</f>
        <v>0</v>
      </c>
      <c r="DE60" s="53">
        <f>SUMIFS('MtM Releases'!$M:$M,'MtM Releases'!$G:$G,RESULTADO!$BN60,'MtM Releases'!$F:$F,RESULTADO!$BN58,'MtM Releases'!$D:$D,RESULTADO!DE$3)</f>
        <v>0</v>
      </c>
      <c r="DF60" s="53">
        <f>SUMIFS('MtM Releases'!$M:$M,'MtM Releases'!$G:$G,RESULTADO!$BN60,'MtM Releases'!$F:$F,RESULTADO!$BN58,'MtM Releases'!$D:$D,RESULTADO!DF$3)</f>
        <v>0</v>
      </c>
      <c r="DG60" s="53">
        <f>SUMIFS('MtM Releases'!$M:$M,'MtM Releases'!$G:$G,RESULTADO!$BN60,'MtM Releases'!$F:$F,RESULTADO!$BN58,'MtM Releases'!$D:$D,RESULTADO!DG$3)</f>
        <v>0</v>
      </c>
      <c r="DH60" s="53">
        <f>SUMIFS('MtM Releases'!$M:$M,'MtM Releases'!$G:$G,RESULTADO!$BN60,'MtM Releases'!$F:$F,RESULTADO!$BN58,'MtM Releases'!$D:$D,RESULTADO!DH$3)</f>
        <v>0</v>
      </c>
      <c r="DI60" s="53">
        <f>SUMIFS('MtM Releases'!$M:$M,'MtM Releases'!$G:$G,RESULTADO!$BN60,'MtM Releases'!$F:$F,RESULTADO!$BN58,'MtM Releases'!$D:$D,RESULTADO!DI$3)</f>
        <v>0</v>
      </c>
      <c r="DJ60" s="63">
        <f>SUMIFS('MtM Releases'!$M:$M,'MtM Releases'!$G:$G,RESULTADO!$BN60,'MtM Releases'!$F:$F,RESULTADO!$BN58,'MtM Releases'!$D:$D,RESULTADO!DJ$3)</f>
        <v>0</v>
      </c>
      <c r="DK60" s="53">
        <f>SUMIFS('MtM Releases'!$M:$M,'MtM Releases'!$G:$G,RESULTADO!$BN60,'MtM Releases'!$F:$F,RESULTADO!$BN58,'MtM Releases'!$D:$D,RESULTADO!DK$3)</f>
        <v>0</v>
      </c>
      <c r="DL60" s="53">
        <f>SUMIFS('MtM Releases'!$M:$M,'MtM Releases'!$G:$G,RESULTADO!$BN60,'MtM Releases'!$F:$F,RESULTADO!$BN58,'MtM Releases'!$D:$D,RESULTADO!DL$3)</f>
        <v>0</v>
      </c>
      <c r="DM60" s="53">
        <f>SUMIFS('MtM Releases'!$M:$M,'MtM Releases'!$G:$G,RESULTADO!$BN60,'MtM Releases'!$F:$F,RESULTADO!$BN58,'MtM Releases'!$D:$D,RESULTADO!DM$3)</f>
        <v>0</v>
      </c>
      <c r="DN60" s="53">
        <f>SUMIFS('MtM Releases'!$M:$M,'MtM Releases'!$G:$G,RESULTADO!$BN60,'MtM Releases'!$F:$F,RESULTADO!$BN58,'MtM Releases'!$D:$D,RESULTADO!DN$3)</f>
        <v>0</v>
      </c>
      <c r="DO60" s="53">
        <f>SUMIFS('MtM Releases'!$M:$M,'MtM Releases'!$G:$G,RESULTADO!$BN60,'MtM Releases'!$F:$F,RESULTADO!$BN58,'MtM Releases'!$D:$D,RESULTADO!DO$3)</f>
        <v>0</v>
      </c>
      <c r="DP60" s="53">
        <f>SUMIFS('MtM Releases'!$M:$M,'MtM Releases'!$G:$G,RESULTADO!$BN60,'MtM Releases'!$F:$F,RESULTADO!$BN58,'MtM Releases'!$D:$D,RESULTADO!DP$3)</f>
        <v>0</v>
      </c>
      <c r="DQ60" s="53">
        <f>SUMIFS('MtM Releases'!$M:$M,'MtM Releases'!$G:$G,RESULTADO!$BN60,'MtM Releases'!$F:$F,RESULTADO!$BN58,'MtM Releases'!$D:$D,RESULTADO!DQ$3)</f>
        <v>0</v>
      </c>
      <c r="DR60" s="53">
        <f>SUMIFS('MtM Releases'!$M:$M,'MtM Releases'!$G:$G,RESULTADO!$BN60,'MtM Releases'!$F:$F,RESULTADO!$BN58,'MtM Releases'!$D:$D,RESULTADO!DR$3)</f>
        <v>0</v>
      </c>
      <c r="DS60" s="53">
        <f>SUMIFS('MtM Releases'!$M:$M,'MtM Releases'!$G:$G,RESULTADO!$BN60,'MtM Releases'!$F:$F,RESULTADO!$BN58,'MtM Releases'!$D:$D,RESULTADO!DS$3)</f>
        <v>0</v>
      </c>
      <c r="DT60" s="53">
        <f>SUMIFS('MtM Releases'!$M:$M,'MtM Releases'!$G:$G,RESULTADO!$BN60,'MtM Releases'!$F:$F,RESULTADO!$BN58,'MtM Releases'!$D:$D,RESULTADO!DT$3)</f>
        <v>0</v>
      </c>
      <c r="DU60" s="53">
        <f>SUMIFS('MtM Releases'!$M:$M,'MtM Releases'!$G:$G,RESULTADO!$BN60,'MtM Releases'!$F:$F,RESULTADO!$BN58,'MtM Releases'!$D:$D,RESULTADO!DU$3)</f>
        <v>0</v>
      </c>
      <c r="DV60" s="63">
        <f>SUMIFS('MtM Releases'!$M:$M,'MtM Releases'!$G:$G,RESULTADO!$BN60,'MtM Releases'!$F:$F,RESULTADO!$BN58,'MtM Releases'!$D:$D,RESULTADO!DV$3)</f>
        <v>0</v>
      </c>
    </row>
    <row r="61" spans="2:126" x14ac:dyDescent="0.25">
      <c r="B61" s="57" t="s">
        <v>13</v>
      </c>
      <c r="C61" s="53">
        <f>(SUMIFS(MtM!$V:$V,MtM!$I:$I,RESULTADO!$B61,MtM!$H:$H,RESULTADO!$B$58,MtM!$E:$E,RESULTADO!C$42))</f>
        <v>0</v>
      </c>
      <c r="D61" s="53">
        <f>(SUMIFS(MtM!$V:$V,MtM!$I:$I,RESULTADO!$B61,MtM!$H:$H,RESULTADO!$B$58,MtM!$E:$E,RESULTADO!D$42))</f>
        <v>0</v>
      </c>
      <c r="E61" s="53">
        <f>(SUMIFS(MtM!$V:$V,MtM!$I:$I,RESULTADO!$B61,MtM!$H:$H,RESULTADO!$B$58,MtM!$E:$E,RESULTADO!E$42))</f>
        <v>0</v>
      </c>
      <c r="F61" s="53">
        <f>(SUMIFS(MtM!$V:$V,MtM!$I:$I,RESULTADO!$B61,MtM!$H:$H,RESULTADO!$B$58,MtM!$E:$E,RESULTADO!F$42))</f>
        <v>0</v>
      </c>
      <c r="G61" s="53">
        <f>(SUMIFS(MtM!$V:$V,MtM!$I:$I,RESULTADO!$B61,MtM!$H:$H,RESULTADO!$B$58,MtM!$E:$E,RESULTADO!G$42))</f>
        <v>0</v>
      </c>
      <c r="H61" s="53">
        <f>(SUMIFS(MtM!$V:$V,MtM!$I:$I,RESULTADO!$B61,MtM!$H:$H,RESULTADO!$B$58,MtM!$E:$E,RESULTADO!H$42))</f>
        <v>0</v>
      </c>
      <c r="I61" s="53">
        <f>(SUMIFS(MtM!$V:$V,MtM!$I:$I,RESULTADO!$B61,MtM!$H:$H,RESULTADO!$B$58,MtM!$E:$E,RESULTADO!I$42))</f>
        <v>0</v>
      </c>
      <c r="J61" s="53">
        <f>(SUMIFS(MtM!$V:$V,MtM!$I:$I,RESULTADO!$B61,MtM!$H:$H,RESULTADO!$B$58,MtM!$E:$E,RESULTADO!J$42))</f>
        <v>0</v>
      </c>
      <c r="K61" s="53">
        <f>(SUMIFS(MtM!$V:$V,MtM!$I:$I,RESULTADO!$B61,MtM!$H:$H,RESULTADO!$B$58,MtM!$E:$E,RESULTADO!K$42))</f>
        <v>0</v>
      </c>
      <c r="L61" s="53">
        <f>(SUMIFS(MtM!$V:$V,MtM!$I:$I,RESULTADO!$B61,MtM!$H:$H,RESULTADO!$B$58,MtM!$E:$E,RESULTADO!L$42))</f>
        <v>0</v>
      </c>
      <c r="M61" s="53">
        <f>(SUMIFS(MtM!$V:$V,MtM!$I:$I,RESULTADO!$B61,MtM!$H:$H,RESULTADO!$B$58,MtM!$E:$E,RESULTADO!M$42))</f>
        <v>0</v>
      </c>
      <c r="N61" s="54">
        <f>(SUMIFS(MtM!$V:$V,MtM!$I:$I,RESULTADO!$B61,MtM!$H:$H,RESULTADO!$B$58,MtM!$E:$E,RESULTADO!N$42))</f>
        <v>0</v>
      </c>
      <c r="O61" s="53">
        <f>(SUMIFS(MtM!$V:$V,MtM!$I:$I,RESULTADO!$B61,MtM!$H:$H,RESULTADO!$B$58,MtM!$E:$E,RESULTADO!O$42))</f>
        <v>0</v>
      </c>
      <c r="P61" s="53">
        <f>(SUMIFS(MtM!$V:$V,MtM!$I:$I,RESULTADO!$B61,MtM!$H:$H,RESULTADO!$B$58,MtM!$E:$E,RESULTADO!P$42))</f>
        <v>0</v>
      </c>
      <c r="Q61" s="53">
        <f>(SUMIFS(MtM!$V:$V,MtM!$I:$I,RESULTADO!$B61,MtM!$H:$H,RESULTADO!$B$58,MtM!$E:$E,RESULTADO!Q$42))</f>
        <v>0</v>
      </c>
      <c r="R61" s="53">
        <f>(SUMIFS(MtM!$V:$V,MtM!$I:$I,RESULTADO!$B61,MtM!$H:$H,RESULTADO!$B$58,MtM!$E:$E,RESULTADO!R$42))</f>
        <v>0</v>
      </c>
      <c r="S61" s="53">
        <f>(SUMIFS(MtM!$V:$V,MtM!$I:$I,RESULTADO!$B61,MtM!$H:$H,RESULTADO!$B$58,MtM!$E:$E,RESULTADO!S$42))</f>
        <v>0</v>
      </c>
      <c r="T61" s="53">
        <f>(SUMIFS(MtM!$V:$V,MtM!$I:$I,RESULTADO!$B61,MtM!$H:$H,RESULTADO!$B$58,MtM!$E:$E,RESULTADO!T$42))</f>
        <v>0</v>
      </c>
      <c r="U61" s="53">
        <f>(SUMIFS(MtM!$V:$V,MtM!$I:$I,RESULTADO!$B61,MtM!$H:$H,RESULTADO!$B$58,MtM!$E:$E,RESULTADO!U$42))</f>
        <v>0</v>
      </c>
      <c r="V61" s="53">
        <f>(SUMIFS(MtM!$V:$V,MtM!$I:$I,RESULTADO!$B61,MtM!$H:$H,RESULTADO!$B$58,MtM!$E:$E,RESULTADO!V$42))</f>
        <v>0</v>
      </c>
      <c r="W61" s="53">
        <f>(SUMIFS(MtM!$V:$V,MtM!$I:$I,RESULTADO!$B61,MtM!$H:$H,RESULTADO!$B$58,MtM!$E:$E,RESULTADO!W$42))</f>
        <v>0</v>
      </c>
      <c r="X61" s="53">
        <f>(SUMIFS(MtM!$V:$V,MtM!$I:$I,RESULTADO!$B61,MtM!$H:$H,RESULTADO!$B$58,MtM!$E:$E,RESULTADO!X$42))</f>
        <v>0</v>
      </c>
      <c r="Y61" s="53">
        <f>(SUMIFS(MtM!$V:$V,MtM!$I:$I,RESULTADO!$B61,MtM!$H:$H,RESULTADO!$B$58,MtM!$E:$E,RESULTADO!Y$42))</f>
        <v>0</v>
      </c>
      <c r="Z61" s="63">
        <f>(SUMIFS(MtM!$V:$V,MtM!$I:$I,RESULTADO!$B61,MtM!$H:$H,RESULTADO!$B$58,MtM!$E:$E,RESULTADO!Z$42))</f>
        <v>0</v>
      </c>
      <c r="AA61" s="53">
        <f>(SUMIFS(MtM!$V:$V,MtM!$I:$I,RESULTADO!$B61,MtM!$H:$H,RESULTADO!$B$58,MtM!$E:$E,RESULTADO!AA$42))</f>
        <v>0</v>
      </c>
      <c r="AB61" s="53">
        <f>(SUMIFS(MtM!$V:$V,MtM!$I:$I,RESULTADO!$B61,MtM!$H:$H,RESULTADO!$B$58,MtM!$E:$E,RESULTADO!AB$42))</f>
        <v>0</v>
      </c>
      <c r="AC61" s="53">
        <f>(SUMIFS(MtM!$V:$V,MtM!$I:$I,RESULTADO!$B61,MtM!$H:$H,RESULTADO!$B$58,MtM!$E:$E,RESULTADO!AC$42))</f>
        <v>0</v>
      </c>
      <c r="AD61" s="53">
        <f>(SUMIFS(MtM!$V:$V,MtM!$I:$I,RESULTADO!$B61,MtM!$H:$H,RESULTADO!$B$58,MtM!$E:$E,RESULTADO!AD$42))</f>
        <v>0</v>
      </c>
      <c r="AE61" s="53">
        <f>(SUMIFS(MtM!$V:$V,MtM!$I:$I,RESULTADO!$B61,MtM!$H:$H,RESULTADO!$B$58,MtM!$E:$E,RESULTADO!AE$42))</f>
        <v>0</v>
      </c>
      <c r="AF61" s="53">
        <f>(SUMIFS(MtM!$V:$V,MtM!$I:$I,RESULTADO!$B61,MtM!$H:$H,RESULTADO!$B$58,MtM!$E:$E,RESULTADO!AF$42))</f>
        <v>0</v>
      </c>
      <c r="AG61" s="53">
        <f>(SUMIFS(MtM!$V:$V,MtM!$I:$I,RESULTADO!$B61,MtM!$H:$H,RESULTADO!$B$58,MtM!$E:$E,RESULTADO!AG$42))</f>
        <v>0</v>
      </c>
      <c r="AH61" s="53">
        <f>(SUMIFS(MtM!$V:$V,MtM!$I:$I,RESULTADO!$B61,MtM!$H:$H,RESULTADO!$B$58,MtM!$E:$E,RESULTADO!AH$42))</f>
        <v>0</v>
      </c>
      <c r="AI61" s="53">
        <f>(SUMIFS(MtM!$V:$V,MtM!$I:$I,RESULTADO!$B61,MtM!$H:$H,RESULTADO!$B$58,MtM!$E:$E,RESULTADO!AI$42))</f>
        <v>0</v>
      </c>
      <c r="AJ61" s="53">
        <f>(SUMIFS(MtM!$V:$V,MtM!$I:$I,RESULTADO!$B61,MtM!$H:$H,RESULTADO!$B$58,MtM!$E:$E,RESULTADO!AJ$42))</f>
        <v>0</v>
      </c>
      <c r="AK61" s="53">
        <f>(SUMIFS(MtM!$V:$V,MtM!$I:$I,RESULTADO!$B61,MtM!$H:$H,RESULTADO!$B$58,MtM!$E:$E,RESULTADO!AK$42))</f>
        <v>0</v>
      </c>
      <c r="AL61" s="54">
        <f>(SUMIFS(MtM!$V:$V,MtM!$I:$I,RESULTADO!$B61,MtM!$H:$H,RESULTADO!$B$58,MtM!$E:$E,RESULTADO!AL$42))</f>
        <v>0</v>
      </c>
      <c r="AM61" s="53">
        <f>(SUMIFS(MtM!$V:$V,MtM!$I:$I,RESULTADO!$B61,MtM!$H:$H,RESULTADO!$B$58,MtM!$E:$E,RESULTADO!AM$42))</f>
        <v>0</v>
      </c>
      <c r="AN61" s="53">
        <f>(SUMIFS(MtM!$V:$V,MtM!$I:$I,RESULTADO!$B61,MtM!$H:$H,RESULTADO!$B$58,MtM!$E:$E,RESULTADO!AN$42))</f>
        <v>0</v>
      </c>
      <c r="AO61" s="53">
        <f>(SUMIFS(MtM!$V:$V,MtM!$I:$I,RESULTADO!$B61,MtM!$H:$H,RESULTADO!$B$58,MtM!$E:$E,RESULTADO!AO$42))</f>
        <v>0</v>
      </c>
      <c r="AP61" s="53">
        <f>(SUMIFS(MtM!$V:$V,MtM!$I:$I,RESULTADO!$B61,MtM!$H:$H,RESULTADO!$B$58,MtM!$E:$E,RESULTADO!AP$42))</f>
        <v>0</v>
      </c>
      <c r="AQ61" s="53">
        <f>(SUMIFS(MtM!$V:$V,MtM!$I:$I,RESULTADO!$B61,MtM!$H:$H,RESULTADO!$B$58,MtM!$E:$E,RESULTADO!AQ$42))</f>
        <v>0</v>
      </c>
      <c r="AR61" s="53">
        <f>(SUMIFS(MtM!$V:$V,MtM!$I:$I,RESULTADO!$B61,MtM!$H:$H,RESULTADO!$B$58,MtM!$E:$E,RESULTADO!AR$42))</f>
        <v>0</v>
      </c>
      <c r="AS61" s="53">
        <f>(SUMIFS(MtM!$V:$V,MtM!$I:$I,RESULTADO!$B61,MtM!$H:$H,RESULTADO!$B$58,MtM!$E:$E,RESULTADO!AS$42))</f>
        <v>0</v>
      </c>
      <c r="AT61" s="53">
        <f>(SUMIFS(MtM!$V:$V,MtM!$I:$I,RESULTADO!$B61,MtM!$H:$H,RESULTADO!$B$58,MtM!$E:$E,RESULTADO!AT$42))</f>
        <v>0</v>
      </c>
      <c r="AU61" s="53">
        <f>(SUMIFS(MtM!$V:$V,MtM!$I:$I,RESULTADO!$B61,MtM!$H:$H,RESULTADO!$B$58,MtM!$E:$E,RESULTADO!AU$42))</f>
        <v>0</v>
      </c>
      <c r="AV61" s="53">
        <f>(SUMIFS(MtM!$V:$V,MtM!$I:$I,RESULTADO!$B61,MtM!$H:$H,RESULTADO!$B$58,MtM!$E:$E,RESULTADO!AV$42))</f>
        <v>0</v>
      </c>
      <c r="AW61" s="53">
        <f>(SUMIFS(MtM!$V:$V,MtM!$I:$I,RESULTADO!$B61,MtM!$H:$H,RESULTADO!$B$58,MtM!$E:$E,RESULTADO!AW$42))</f>
        <v>0</v>
      </c>
      <c r="AX61" s="63">
        <f>(SUMIFS(MtM!$V:$V,MtM!$I:$I,RESULTADO!$B61,MtM!$H:$H,RESULTADO!$B$58,MtM!$E:$E,RESULTADO!AX$42))</f>
        <v>0</v>
      </c>
      <c r="AY61" s="53">
        <f>(SUMIFS(MtM!$V:$V,MtM!$I:$I,RESULTADO!$B61,MtM!$H:$H,RESULTADO!$B$58,MtM!$E:$E,RESULTADO!AY$42))</f>
        <v>0</v>
      </c>
      <c r="AZ61" s="53">
        <f>(SUMIFS(MtM!$V:$V,MtM!$I:$I,RESULTADO!$B61,MtM!$H:$H,RESULTADO!$B$58,MtM!$E:$E,RESULTADO!AZ$42))</f>
        <v>0</v>
      </c>
      <c r="BA61" s="53">
        <f>(SUMIFS(MtM!$V:$V,MtM!$I:$I,RESULTADO!$B61,MtM!$H:$H,RESULTADO!$B$58,MtM!$E:$E,RESULTADO!BA$42))</f>
        <v>0</v>
      </c>
      <c r="BB61" s="53">
        <f>(SUMIFS(MtM!$V:$V,MtM!$I:$I,RESULTADO!$B61,MtM!$H:$H,RESULTADO!$B$58,MtM!$E:$E,RESULTADO!BB$42))</f>
        <v>0</v>
      </c>
      <c r="BC61" s="53">
        <f>(SUMIFS(MtM!$V:$V,MtM!$I:$I,RESULTADO!$B61,MtM!$H:$H,RESULTADO!$B$58,MtM!$E:$E,RESULTADO!BC$42))</f>
        <v>0</v>
      </c>
      <c r="BD61" s="53">
        <f>(SUMIFS(MtM!$V:$V,MtM!$I:$I,RESULTADO!$B61,MtM!$H:$H,RESULTADO!$B$58,MtM!$E:$E,RESULTADO!BD$42))</f>
        <v>0</v>
      </c>
      <c r="BE61" s="53">
        <f>(SUMIFS(MtM!$V:$V,MtM!$I:$I,RESULTADO!$B61,MtM!$H:$H,RESULTADO!$B$58,MtM!$E:$E,RESULTADO!BE$42))</f>
        <v>0</v>
      </c>
      <c r="BF61" s="53">
        <f>(SUMIFS(MtM!$V:$V,MtM!$I:$I,RESULTADO!$B61,MtM!$H:$H,RESULTADO!$B$58,MtM!$E:$E,RESULTADO!BF$42))</f>
        <v>0</v>
      </c>
      <c r="BG61" s="53">
        <f>(SUMIFS(MtM!$V:$V,MtM!$I:$I,RESULTADO!$B61,MtM!$H:$H,RESULTADO!$B$58,MtM!$E:$E,RESULTADO!BG$42))</f>
        <v>0</v>
      </c>
      <c r="BH61" s="53">
        <f>(SUMIFS(MtM!$V:$V,MtM!$I:$I,RESULTADO!$B61,MtM!$H:$H,RESULTADO!$B$58,MtM!$E:$E,RESULTADO!BH$42))</f>
        <v>0</v>
      </c>
      <c r="BI61" s="53">
        <f>(SUMIFS(MtM!$V:$V,MtM!$I:$I,RESULTADO!$B61,MtM!$H:$H,RESULTADO!$B$58,MtM!$E:$E,RESULTADO!BI$42))</f>
        <v>0</v>
      </c>
      <c r="BJ61" s="63">
        <f>(SUMIFS(MtM!$V:$V,MtM!$I:$I,RESULTADO!$B61,MtM!$H:$H,RESULTADO!$B$58,MtM!$E:$E,RESULTADO!BJ$42))</f>
        <v>0</v>
      </c>
      <c r="BL61" s="120"/>
      <c r="BN61" s="57" t="s">
        <v>13</v>
      </c>
      <c r="BO61" s="53">
        <f>SUMIFS('MtM Releases'!$M:$M,'MtM Releases'!$G:$G,RESULTADO!$BN61,'MtM Releases'!$F:$F,RESULTADO!$BN58,'MtM Releases'!$D:$D,RESULTADO!BO$3)</f>
        <v>0</v>
      </c>
      <c r="BP61" s="53">
        <f>SUMIFS('MtM Releases'!$M:$M,'MtM Releases'!$G:$G,RESULTADO!$BN61,'MtM Releases'!$F:$F,RESULTADO!$BN58,'MtM Releases'!$D:$D,RESULTADO!BP$3)</f>
        <v>0</v>
      </c>
      <c r="BQ61" s="53">
        <f>SUMIFS('MtM Releases'!$M:$M,'MtM Releases'!$G:$G,RESULTADO!$BN61,'MtM Releases'!$F:$F,RESULTADO!$BN58,'MtM Releases'!$D:$D,RESULTADO!BQ$3)</f>
        <v>0</v>
      </c>
      <c r="BR61" s="53">
        <f>SUMIFS('MtM Releases'!$M:$M,'MtM Releases'!$G:$G,RESULTADO!$BN61,'MtM Releases'!$F:$F,RESULTADO!$BN58,'MtM Releases'!$D:$D,RESULTADO!BR$3)</f>
        <v>0</v>
      </c>
      <c r="BS61" s="53">
        <f>SUMIFS('MtM Releases'!$M:$M,'MtM Releases'!$G:$G,RESULTADO!$BN61,'MtM Releases'!$F:$F,RESULTADO!$BN58,'MtM Releases'!$D:$D,RESULTADO!BS$3)</f>
        <v>0</v>
      </c>
      <c r="BT61" s="53">
        <f>SUMIFS('MtM Releases'!$M:$M,'MtM Releases'!$G:$G,RESULTADO!$BN61,'MtM Releases'!$F:$F,RESULTADO!$BN58,'MtM Releases'!$D:$D,RESULTADO!BT$3)</f>
        <v>0</v>
      </c>
      <c r="BU61" s="53">
        <f>SUMIFS('MtM Releases'!$M:$M,'MtM Releases'!$G:$G,RESULTADO!$BN61,'MtM Releases'!$F:$F,RESULTADO!$BN58,'MtM Releases'!$D:$D,RESULTADO!BU$3)</f>
        <v>0</v>
      </c>
      <c r="BV61" s="53">
        <f>SUMIFS('MtM Releases'!$M:$M,'MtM Releases'!$G:$G,RESULTADO!$BN61,'MtM Releases'!$F:$F,RESULTADO!$BN58,'MtM Releases'!$D:$D,RESULTADO!BV$3)</f>
        <v>0</v>
      </c>
      <c r="BW61" s="53">
        <f>SUMIFS('MtM Releases'!$M:$M,'MtM Releases'!$G:$G,RESULTADO!$BN61,'MtM Releases'!$F:$F,RESULTADO!$BN58,'MtM Releases'!$D:$D,RESULTADO!BW$3)</f>
        <v>0</v>
      </c>
      <c r="BX61" s="53">
        <f>SUMIFS('MtM Releases'!$M:$M,'MtM Releases'!$G:$G,RESULTADO!$BN61,'MtM Releases'!$F:$F,RESULTADO!$BN58,'MtM Releases'!$D:$D,RESULTADO!BX$3)</f>
        <v>0</v>
      </c>
      <c r="BY61" s="53">
        <f>SUMIFS('MtM Releases'!$M:$M,'MtM Releases'!$G:$G,RESULTADO!$BN61,'MtM Releases'!$F:$F,RESULTADO!$BN58,'MtM Releases'!$D:$D,RESULTADO!BY$3)</f>
        <v>0</v>
      </c>
      <c r="BZ61" s="54">
        <f>SUMIFS('MtM Releases'!$M:$M,'MtM Releases'!$G:$G,RESULTADO!$BN61,'MtM Releases'!$F:$F,RESULTADO!$BN58,'MtM Releases'!$D:$D,RESULTADO!BZ$3)</f>
        <v>0</v>
      </c>
      <c r="CA61" s="53">
        <f>SUMIFS('MtM Releases'!$M:$M,'MtM Releases'!$G:$G,RESULTADO!$BN61,'MtM Releases'!$F:$F,RESULTADO!$BN58,'MtM Releases'!$D:$D,RESULTADO!CA$3)</f>
        <v>0</v>
      </c>
      <c r="CB61" s="53">
        <f>SUMIFS('MtM Releases'!$M:$M,'MtM Releases'!$G:$G,RESULTADO!$BN61,'MtM Releases'!$F:$F,RESULTADO!$BN58,'MtM Releases'!$D:$D,RESULTADO!CB$3)</f>
        <v>0</v>
      </c>
      <c r="CC61" s="53">
        <f>SUMIFS('MtM Releases'!$M:$M,'MtM Releases'!$G:$G,RESULTADO!$BN61,'MtM Releases'!$F:$F,RESULTADO!$BN58,'MtM Releases'!$D:$D,RESULTADO!CC$3)</f>
        <v>0</v>
      </c>
      <c r="CD61" s="53">
        <f>SUMIFS('MtM Releases'!$M:$M,'MtM Releases'!$G:$G,RESULTADO!$BN61,'MtM Releases'!$F:$F,RESULTADO!$BN58,'MtM Releases'!$D:$D,RESULTADO!CD$3)</f>
        <v>0</v>
      </c>
      <c r="CE61" s="53">
        <f>SUMIFS('MtM Releases'!$M:$M,'MtM Releases'!$G:$G,RESULTADO!$BN61,'MtM Releases'!$F:$F,RESULTADO!$BN58,'MtM Releases'!$D:$D,RESULTADO!CE$3)</f>
        <v>0</v>
      </c>
      <c r="CF61" s="53">
        <f>SUMIFS('MtM Releases'!$M:$M,'MtM Releases'!$G:$G,RESULTADO!$BN61,'MtM Releases'!$F:$F,RESULTADO!$BN58,'MtM Releases'!$D:$D,RESULTADO!CF$3)</f>
        <v>0</v>
      </c>
      <c r="CG61" s="53">
        <f>SUMIFS('MtM Releases'!$M:$M,'MtM Releases'!$G:$G,RESULTADO!$BN61,'MtM Releases'!$F:$F,RESULTADO!$BN58,'MtM Releases'!$D:$D,RESULTADO!CG$3)</f>
        <v>0</v>
      </c>
      <c r="CH61" s="53">
        <f>SUMIFS('MtM Releases'!$M:$M,'MtM Releases'!$G:$G,RESULTADO!$BN61,'MtM Releases'!$F:$F,RESULTADO!$BN58,'MtM Releases'!$D:$D,RESULTADO!CH$3)</f>
        <v>0</v>
      </c>
      <c r="CI61" s="53">
        <f>SUMIFS('MtM Releases'!$M:$M,'MtM Releases'!$G:$G,RESULTADO!$BN61,'MtM Releases'!$F:$F,RESULTADO!$BN58,'MtM Releases'!$D:$D,RESULTADO!CI$3)</f>
        <v>0</v>
      </c>
      <c r="CJ61" s="53">
        <f>SUMIFS('MtM Releases'!$M:$M,'MtM Releases'!$G:$G,RESULTADO!$BN61,'MtM Releases'!$F:$F,RESULTADO!$BN58,'MtM Releases'!$D:$D,RESULTADO!CJ$3)</f>
        <v>0</v>
      </c>
      <c r="CK61" s="53">
        <f>SUMIFS('MtM Releases'!$M:$M,'MtM Releases'!$G:$G,RESULTADO!$BN61,'MtM Releases'!$F:$F,RESULTADO!$BN58,'MtM Releases'!$D:$D,RESULTADO!CK$3)</f>
        <v>0</v>
      </c>
      <c r="CL61" s="63">
        <f>SUMIFS('MtM Releases'!$M:$M,'MtM Releases'!$G:$G,RESULTADO!$BN61,'MtM Releases'!$F:$F,RESULTADO!$BN58,'MtM Releases'!$D:$D,RESULTADO!CL$3)</f>
        <v>0</v>
      </c>
      <c r="CM61" s="53">
        <f>SUMIFS('MtM Releases'!$M:$M,'MtM Releases'!$G:$G,RESULTADO!$BN61,'MtM Releases'!$F:$F,RESULTADO!$BN58,'MtM Releases'!$D:$D,RESULTADO!CM$3)</f>
        <v>0</v>
      </c>
      <c r="CN61" s="53">
        <f>SUMIFS('MtM Releases'!$M:$M,'MtM Releases'!$G:$G,RESULTADO!$BN61,'MtM Releases'!$F:$F,RESULTADO!$BN58,'MtM Releases'!$D:$D,RESULTADO!CN$3)</f>
        <v>0</v>
      </c>
      <c r="CO61" s="53">
        <f>SUMIFS('MtM Releases'!$M:$M,'MtM Releases'!$G:$G,RESULTADO!$BN61,'MtM Releases'!$F:$F,RESULTADO!$BN58,'MtM Releases'!$D:$D,RESULTADO!CO$3)</f>
        <v>0</v>
      </c>
      <c r="CP61" s="53">
        <f>SUMIFS('MtM Releases'!$M:$M,'MtM Releases'!$G:$G,RESULTADO!$BN61,'MtM Releases'!$F:$F,RESULTADO!$BN58,'MtM Releases'!$D:$D,RESULTADO!CP$3)</f>
        <v>0</v>
      </c>
      <c r="CQ61" s="53">
        <f>SUMIFS('MtM Releases'!$M:$M,'MtM Releases'!$G:$G,RESULTADO!$BN61,'MtM Releases'!$F:$F,RESULTADO!$BN58,'MtM Releases'!$D:$D,RESULTADO!CQ$3)</f>
        <v>0</v>
      </c>
      <c r="CR61" s="53">
        <f>SUMIFS('MtM Releases'!$M:$M,'MtM Releases'!$G:$G,RESULTADO!$BN61,'MtM Releases'!$F:$F,RESULTADO!$BN58,'MtM Releases'!$D:$D,RESULTADO!CR$3)</f>
        <v>0</v>
      </c>
      <c r="CS61" s="53">
        <f>SUMIFS('MtM Releases'!$M:$M,'MtM Releases'!$G:$G,RESULTADO!$BN61,'MtM Releases'!$F:$F,RESULTADO!$BN58,'MtM Releases'!$D:$D,RESULTADO!CS$3)</f>
        <v>0</v>
      </c>
      <c r="CT61" s="53">
        <f>SUMIFS('MtM Releases'!$M:$M,'MtM Releases'!$G:$G,RESULTADO!$BN61,'MtM Releases'!$F:$F,RESULTADO!$BN58,'MtM Releases'!$D:$D,RESULTADO!CT$3)</f>
        <v>0</v>
      </c>
      <c r="CU61" s="53">
        <f>SUMIFS('MtM Releases'!$M:$M,'MtM Releases'!$G:$G,RESULTADO!$BN61,'MtM Releases'!$F:$F,RESULTADO!$BN58,'MtM Releases'!$D:$D,RESULTADO!CU$3)</f>
        <v>0</v>
      </c>
      <c r="CV61" s="53">
        <f>SUMIFS('MtM Releases'!$M:$M,'MtM Releases'!$G:$G,RESULTADO!$BN61,'MtM Releases'!$F:$F,RESULTADO!$BN58,'MtM Releases'!$D:$D,RESULTADO!CV$3)</f>
        <v>0</v>
      </c>
      <c r="CW61" s="53">
        <f>SUMIFS('MtM Releases'!$M:$M,'MtM Releases'!$G:$G,RESULTADO!$BN61,'MtM Releases'!$F:$F,RESULTADO!$BN58,'MtM Releases'!$D:$D,RESULTADO!CW$3)</f>
        <v>0</v>
      </c>
      <c r="CX61" s="54">
        <f>SUMIFS('MtM Releases'!$M:$M,'MtM Releases'!$G:$G,RESULTADO!$BN61,'MtM Releases'!$F:$F,RESULTADO!$BN58,'MtM Releases'!$D:$D,RESULTADO!CX$3)</f>
        <v>0</v>
      </c>
      <c r="CY61" s="53">
        <f>SUMIFS('MtM Releases'!$M:$M,'MtM Releases'!$G:$G,RESULTADO!$BN61,'MtM Releases'!$F:$F,RESULTADO!$BN58,'MtM Releases'!$D:$D,RESULTADO!CY$3)</f>
        <v>0</v>
      </c>
      <c r="CZ61" s="53">
        <f>SUMIFS('MtM Releases'!$M:$M,'MtM Releases'!$G:$G,RESULTADO!$BN61,'MtM Releases'!$F:$F,RESULTADO!$BN58,'MtM Releases'!$D:$D,RESULTADO!CZ$3)</f>
        <v>0</v>
      </c>
      <c r="DA61" s="53">
        <f>SUMIFS('MtM Releases'!$M:$M,'MtM Releases'!$G:$G,RESULTADO!$BN61,'MtM Releases'!$F:$F,RESULTADO!$BN58,'MtM Releases'!$D:$D,RESULTADO!DA$3)</f>
        <v>0</v>
      </c>
      <c r="DB61" s="53">
        <f>SUMIFS('MtM Releases'!$M:$M,'MtM Releases'!$G:$G,RESULTADO!$BN61,'MtM Releases'!$F:$F,RESULTADO!$BN58,'MtM Releases'!$D:$D,RESULTADO!DB$3)</f>
        <v>0</v>
      </c>
      <c r="DC61" s="53">
        <f>SUMIFS('MtM Releases'!$M:$M,'MtM Releases'!$G:$G,RESULTADO!$BN61,'MtM Releases'!$F:$F,RESULTADO!$BN58,'MtM Releases'!$D:$D,RESULTADO!DC$3)</f>
        <v>0</v>
      </c>
      <c r="DD61" s="53">
        <f>SUMIFS('MtM Releases'!$M:$M,'MtM Releases'!$G:$G,RESULTADO!$BN61,'MtM Releases'!$F:$F,RESULTADO!$BN58,'MtM Releases'!$D:$D,RESULTADO!DD$3)</f>
        <v>0</v>
      </c>
      <c r="DE61" s="53">
        <f>SUMIFS('MtM Releases'!$M:$M,'MtM Releases'!$G:$G,RESULTADO!$BN61,'MtM Releases'!$F:$F,RESULTADO!$BN58,'MtM Releases'!$D:$D,RESULTADO!DE$3)</f>
        <v>0</v>
      </c>
      <c r="DF61" s="53">
        <f>SUMIFS('MtM Releases'!$M:$M,'MtM Releases'!$G:$G,RESULTADO!$BN61,'MtM Releases'!$F:$F,RESULTADO!$BN58,'MtM Releases'!$D:$D,RESULTADO!DF$3)</f>
        <v>0</v>
      </c>
      <c r="DG61" s="53">
        <f>SUMIFS('MtM Releases'!$M:$M,'MtM Releases'!$G:$G,RESULTADO!$BN61,'MtM Releases'!$F:$F,RESULTADO!$BN58,'MtM Releases'!$D:$D,RESULTADO!DG$3)</f>
        <v>0</v>
      </c>
      <c r="DH61" s="53">
        <f>SUMIFS('MtM Releases'!$M:$M,'MtM Releases'!$G:$G,RESULTADO!$BN61,'MtM Releases'!$F:$F,RESULTADO!$BN58,'MtM Releases'!$D:$D,RESULTADO!DH$3)</f>
        <v>0</v>
      </c>
      <c r="DI61" s="53">
        <f>SUMIFS('MtM Releases'!$M:$M,'MtM Releases'!$G:$G,RESULTADO!$BN61,'MtM Releases'!$F:$F,RESULTADO!$BN58,'MtM Releases'!$D:$D,RESULTADO!DI$3)</f>
        <v>0</v>
      </c>
      <c r="DJ61" s="63">
        <f>SUMIFS('MtM Releases'!$M:$M,'MtM Releases'!$G:$G,RESULTADO!$BN61,'MtM Releases'!$F:$F,RESULTADO!$BN58,'MtM Releases'!$D:$D,RESULTADO!DJ$3)</f>
        <v>0</v>
      </c>
      <c r="DK61" s="53">
        <f>SUMIFS('MtM Releases'!$M:$M,'MtM Releases'!$G:$G,RESULTADO!$BN61,'MtM Releases'!$F:$F,RESULTADO!$BN58,'MtM Releases'!$D:$D,RESULTADO!DK$3)</f>
        <v>0</v>
      </c>
      <c r="DL61" s="53">
        <f>SUMIFS('MtM Releases'!$M:$M,'MtM Releases'!$G:$G,RESULTADO!$BN61,'MtM Releases'!$F:$F,RESULTADO!$BN58,'MtM Releases'!$D:$D,RESULTADO!DL$3)</f>
        <v>0</v>
      </c>
      <c r="DM61" s="53">
        <f>SUMIFS('MtM Releases'!$M:$M,'MtM Releases'!$G:$G,RESULTADO!$BN61,'MtM Releases'!$F:$F,RESULTADO!$BN58,'MtM Releases'!$D:$D,RESULTADO!DM$3)</f>
        <v>0</v>
      </c>
      <c r="DN61" s="53">
        <f>SUMIFS('MtM Releases'!$M:$M,'MtM Releases'!$G:$G,RESULTADO!$BN61,'MtM Releases'!$F:$F,RESULTADO!$BN58,'MtM Releases'!$D:$D,RESULTADO!DN$3)</f>
        <v>0</v>
      </c>
      <c r="DO61" s="53">
        <f>SUMIFS('MtM Releases'!$M:$M,'MtM Releases'!$G:$G,RESULTADO!$BN61,'MtM Releases'!$F:$F,RESULTADO!$BN58,'MtM Releases'!$D:$D,RESULTADO!DO$3)</f>
        <v>0</v>
      </c>
      <c r="DP61" s="53">
        <f>SUMIFS('MtM Releases'!$M:$M,'MtM Releases'!$G:$G,RESULTADO!$BN61,'MtM Releases'!$F:$F,RESULTADO!$BN58,'MtM Releases'!$D:$D,RESULTADO!DP$3)</f>
        <v>0</v>
      </c>
      <c r="DQ61" s="53">
        <f>SUMIFS('MtM Releases'!$M:$M,'MtM Releases'!$G:$G,RESULTADO!$BN61,'MtM Releases'!$F:$F,RESULTADO!$BN58,'MtM Releases'!$D:$D,RESULTADO!DQ$3)</f>
        <v>0</v>
      </c>
      <c r="DR61" s="53">
        <f>SUMIFS('MtM Releases'!$M:$M,'MtM Releases'!$G:$G,RESULTADO!$BN61,'MtM Releases'!$F:$F,RESULTADO!$BN58,'MtM Releases'!$D:$D,RESULTADO!DR$3)</f>
        <v>0</v>
      </c>
      <c r="DS61" s="53">
        <f>SUMIFS('MtM Releases'!$M:$M,'MtM Releases'!$G:$G,RESULTADO!$BN61,'MtM Releases'!$F:$F,RESULTADO!$BN58,'MtM Releases'!$D:$D,RESULTADO!DS$3)</f>
        <v>0</v>
      </c>
      <c r="DT61" s="53">
        <f>SUMIFS('MtM Releases'!$M:$M,'MtM Releases'!$G:$G,RESULTADO!$BN61,'MtM Releases'!$F:$F,RESULTADO!$BN58,'MtM Releases'!$D:$D,RESULTADO!DT$3)</f>
        <v>0</v>
      </c>
      <c r="DU61" s="53">
        <f>SUMIFS('MtM Releases'!$M:$M,'MtM Releases'!$G:$G,RESULTADO!$BN61,'MtM Releases'!$F:$F,RESULTADO!$BN58,'MtM Releases'!$D:$D,RESULTADO!DU$3)</f>
        <v>0</v>
      </c>
      <c r="DV61" s="63">
        <f>SUMIFS('MtM Releases'!$M:$M,'MtM Releases'!$G:$G,RESULTADO!$BN61,'MtM Releases'!$F:$F,RESULTADO!$BN58,'MtM Releases'!$D:$D,RESULTADO!DV$3)</f>
        <v>0</v>
      </c>
    </row>
    <row r="62" spans="2:126" x14ac:dyDescent="0.25">
      <c r="B62" s="57" t="s">
        <v>11</v>
      </c>
      <c r="C62" s="53">
        <f>(SUMIFS(MtM!$V:$V,MtM!$I:$I,RESULTADO!$B62,MtM!$H:$H,RESULTADO!$B$58,MtM!$E:$E,RESULTADO!C$42))</f>
        <v>0</v>
      </c>
      <c r="D62" s="53">
        <f>(SUMIFS(MtM!$V:$V,MtM!$I:$I,RESULTADO!$B62,MtM!$H:$H,RESULTADO!$B$58,MtM!$E:$E,RESULTADO!D$42))</f>
        <v>0</v>
      </c>
      <c r="E62" s="53">
        <f>(SUMIFS(MtM!$V:$V,MtM!$I:$I,RESULTADO!$B62,MtM!$H:$H,RESULTADO!$B$58,MtM!$E:$E,RESULTADO!E$42))</f>
        <v>0</v>
      </c>
      <c r="F62" s="53">
        <f>(SUMIFS(MtM!$V:$V,MtM!$I:$I,RESULTADO!$B62,MtM!$H:$H,RESULTADO!$B$58,MtM!$E:$E,RESULTADO!F$42))</f>
        <v>0</v>
      </c>
      <c r="G62" s="53">
        <f>(SUMIFS(MtM!$V:$V,MtM!$I:$I,RESULTADO!$B62,MtM!$H:$H,RESULTADO!$B$58,MtM!$E:$E,RESULTADO!G$42))</f>
        <v>0</v>
      </c>
      <c r="H62" s="53">
        <f>(SUMIFS(MtM!$V:$V,MtM!$I:$I,RESULTADO!$B62,MtM!$H:$H,RESULTADO!$B$58,MtM!$E:$E,RESULTADO!H$42))</f>
        <v>0</v>
      </c>
      <c r="I62" s="53">
        <f>(SUMIFS(MtM!$V:$V,MtM!$I:$I,RESULTADO!$B62,MtM!$H:$H,RESULTADO!$B$58,MtM!$E:$E,RESULTADO!I$42))</f>
        <v>0</v>
      </c>
      <c r="J62" s="53">
        <f>(SUMIFS(MtM!$V:$V,MtM!$I:$I,RESULTADO!$B62,MtM!$H:$H,RESULTADO!$B$58,MtM!$E:$E,RESULTADO!J$42))</f>
        <v>0</v>
      </c>
      <c r="K62" s="53">
        <f>(SUMIFS(MtM!$V:$V,MtM!$I:$I,RESULTADO!$B62,MtM!$H:$H,RESULTADO!$B$58,MtM!$E:$E,RESULTADO!K$42))</f>
        <v>0</v>
      </c>
      <c r="L62" s="53">
        <f>(SUMIFS(MtM!$V:$V,MtM!$I:$I,RESULTADO!$B62,MtM!$H:$H,RESULTADO!$B$58,MtM!$E:$E,RESULTADO!L$42))</f>
        <v>0</v>
      </c>
      <c r="M62" s="53">
        <f>(SUMIFS(MtM!$V:$V,MtM!$I:$I,RESULTADO!$B62,MtM!$H:$H,RESULTADO!$B$58,MtM!$E:$E,RESULTADO!M$42))</f>
        <v>0</v>
      </c>
      <c r="N62" s="54">
        <f>(SUMIFS(MtM!$V:$V,MtM!$I:$I,RESULTADO!$B62,MtM!$H:$H,RESULTADO!$B$58,MtM!$E:$E,RESULTADO!N$42))</f>
        <v>0</v>
      </c>
      <c r="O62" s="53">
        <f>(SUMIFS(MtM!$V:$V,MtM!$I:$I,RESULTADO!$B62,MtM!$H:$H,RESULTADO!$B$58,MtM!$E:$E,RESULTADO!O$42))</f>
        <v>0</v>
      </c>
      <c r="P62" s="53">
        <f>(SUMIFS(MtM!$V:$V,MtM!$I:$I,RESULTADO!$B62,MtM!$H:$H,RESULTADO!$B$58,MtM!$E:$E,RESULTADO!P$42))</f>
        <v>0</v>
      </c>
      <c r="Q62" s="53">
        <f>(SUMIFS(MtM!$V:$V,MtM!$I:$I,RESULTADO!$B62,MtM!$H:$H,RESULTADO!$B$58,MtM!$E:$E,RESULTADO!Q$42))</f>
        <v>0</v>
      </c>
      <c r="R62" s="53">
        <f>(SUMIFS(MtM!$V:$V,MtM!$I:$I,RESULTADO!$B62,MtM!$H:$H,RESULTADO!$B$58,MtM!$E:$E,RESULTADO!R$42))</f>
        <v>0</v>
      </c>
      <c r="S62" s="53">
        <f>(SUMIFS(MtM!$V:$V,MtM!$I:$I,RESULTADO!$B62,MtM!$H:$H,RESULTADO!$B$58,MtM!$E:$E,RESULTADO!S$42))</f>
        <v>0</v>
      </c>
      <c r="T62" s="53">
        <f>(SUMIFS(MtM!$V:$V,MtM!$I:$I,RESULTADO!$B62,MtM!$H:$H,RESULTADO!$B$58,MtM!$E:$E,RESULTADO!T$42))</f>
        <v>0</v>
      </c>
      <c r="U62" s="53">
        <f>(SUMIFS(MtM!$V:$V,MtM!$I:$I,RESULTADO!$B62,MtM!$H:$H,RESULTADO!$B$58,MtM!$E:$E,RESULTADO!U$42))</f>
        <v>0</v>
      </c>
      <c r="V62" s="53">
        <f>(SUMIFS(MtM!$V:$V,MtM!$I:$I,RESULTADO!$B62,MtM!$H:$H,RESULTADO!$B$58,MtM!$E:$E,RESULTADO!V$42))</f>
        <v>0</v>
      </c>
      <c r="W62" s="53">
        <f>(SUMIFS(MtM!$V:$V,MtM!$I:$I,RESULTADO!$B62,MtM!$H:$H,RESULTADO!$B$58,MtM!$E:$E,RESULTADO!W$42))</f>
        <v>0</v>
      </c>
      <c r="X62" s="53">
        <f>(SUMIFS(MtM!$V:$V,MtM!$I:$I,RESULTADO!$B62,MtM!$H:$H,RESULTADO!$B$58,MtM!$E:$E,RESULTADO!X$42))</f>
        <v>0</v>
      </c>
      <c r="Y62" s="53">
        <f>(SUMIFS(MtM!$V:$V,MtM!$I:$I,RESULTADO!$B62,MtM!$H:$H,RESULTADO!$B$58,MtM!$E:$E,RESULTADO!Y$42))</f>
        <v>0</v>
      </c>
      <c r="Z62" s="63">
        <f>(SUMIFS(MtM!$V:$V,MtM!$I:$I,RESULTADO!$B62,MtM!$H:$H,RESULTADO!$B$58,MtM!$E:$E,RESULTADO!Z$42))</f>
        <v>0</v>
      </c>
      <c r="AA62" s="53">
        <f>(SUMIFS(MtM!$V:$V,MtM!$I:$I,RESULTADO!$B62,MtM!$H:$H,RESULTADO!$B$58,MtM!$E:$E,RESULTADO!AA$42))</f>
        <v>0</v>
      </c>
      <c r="AB62" s="53">
        <f>(SUMIFS(MtM!$V:$V,MtM!$I:$I,RESULTADO!$B62,MtM!$H:$H,RESULTADO!$B$58,MtM!$E:$E,RESULTADO!AB$42))</f>
        <v>0</v>
      </c>
      <c r="AC62" s="53">
        <f>(SUMIFS(MtM!$V:$V,MtM!$I:$I,RESULTADO!$B62,MtM!$H:$H,RESULTADO!$B$58,MtM!$E:$E,RESULTADO!AC$42))</f>
        <v>0</v>
      </c>
      <c r="AD62" s="53">
        <f>(SUMIFS(MtM!$V:$V,MtM!$I:$I,RESULTADO!$B62,MtM!$H:$H,RESULTADO!$B$58,MtM!$E:$E,RESULTADO!AD$42))</f>
        <v>0</v>
      </c>
      <c r="AE62" s="53">
        <f>(SUMIFS(MtM!$V:$V,MtM!$I:$I,RESULTADO!$B62,MtM!$H:$H,RESULTADO!$B$58,MtM!$E:$E,RESULTADO!AE$42))</f>
        <v>0</v>
      </c>
      <c r="AF62" s="53">
        <f>(SUMIFS(MtM!$V:$V,MtM!$I:$I,RESULTADO!$B62,MtM!$H:$H,RESULTADO!$B$58,MtM!$E:$E,RESULTADO!AF$42))</f>
        <v>0</v>
      </c>
      <c r="AG62" s="53">
        <f>(SUMIFS(MtM!$V:$V,MtM!$I:$I,RESULTADO!$B62,MtM!$H:$H,RESULTADO!$B$58,MtM!$E:$E,RESULTADO!AG$42))</f>
        <v>0</v>
      </c>
      <c r="AH62" s="53">
        <f>(SUMIFS(MtM!$V:$V,MtM!$I:$I,RESULTADO!$B62,MtM!$H:$H,RESULTADO!$B$58,MtM!$E:$E,RESULTADO!AH$42))</f>
        <v>0</v>
      </c>
      <c r="AI62" s="53">
        <f>(SUMIFS(MtM!$V:$V,MtM!$I:$I,RESULTADO!$B62,MtM!$H:$H,RESULTADO!$B$58,MtM!$E:$E,RESULTADO!AI$42))</f>
        <v>0</v>
      </c>
      <c r="AJ62" s="53">
        <f>(SUMIFS(MtM!$V:$V,MtM!$I:$I,RESULTADO!$B62,MtM!$H:$H,RESULTADO!$B$58,MtM!$E:$E,RESULTADO!AJ$42))</f>
        <v>0</v>
      </c>
      <c r="AK62" s="53">
        <f>(SUMIFS(MtM!$V:$V,MtM!$I:$I,RESULTADO!$B62,MtM!$H:$H,RESULTADO!$B$58,MtM!$E:$E,RESULTADO!AK$42))</f>
        <v>0</v>
      </c>
      <c r="AL62" s="54">
        <f>(SUMIFS(MtM!$V:$V,MtM!$I:$I,RESULTADO!$B62,MtM!$H:$H,RESULTADO!$B$58,MtM!$E:$E,RESULTADO!AL$42))</f>
        <v>0</v>
      </c>
      <c r="AM62" s="53">
        <f>(SUMIFS(MtM!$V:$V,MtM!$I:$I,RESULTADO!$B62,MtM!$H:$H,RESULTADO!$B$58,MtM!$E:$E,RESULTADO!AM$42))</f>
        <v>0</v>
      </c>
      <c r="AN62" s="53">
        <f>(SUMIFS(MtM!$V:$V,MtM!$I:$I,RESULTADO!$B62,MtM!$H:$H,RESULTADO!$B$58,MtM!$E:$E,RESULTADO!AN$42))</f>
        <v>0</v>
      </c>
      <c r="AO62" s="53">
        <f>(SUMIFS(MtM!$V:$V,MtM!$I:$I,RESULTADO!$B62,MtM!$H:$H,RESULTADO!$B$58,MtM!$E:$E,RESULTADO!AO$42))</f>
        <v>0</v>
      </c>
      <c r="AP62" s="53">
        <f>(SUMIFS(MtM!$V:$V,MtM!$I:$I,RESULTADO!$B62,MtM!$H:$H,RESULTADO!$B$58,MtM!$E:$E,RESULTADO!AP$42))</f>
        <v>0</v>
      </c>
      <c r="AQ62" s="53">
        <f>(SUMIFS(MtM!$V:$V,MtM!$I:$I,RESULTADO!$B62,MtM!$H:$H,RESULTADO!$B$58,MtM!$E:$E,RESULTADO!AQ$42))</f>
        <v>0</v>
      </c>
      <c r="AR62" s="53">
        <f>(SUMIFS(MtM!$V:$V,MtM!$I:$I,RESULTADO!$B62,MtM!$H:$H,RESULTADO!$B$58,MtM!$E:$E,RESULTADO!AR$42))</f>
        <v>0</v>
      </c>
      <c r="AS62" s="53">
        <f>(SUMIFS(MtM!$V:$V,MtM!$I:$I,RESULTADO!$B62,MtM!$H:$H,RESULTADO!$B$58,MtM!$E:$E,RESULTADO!AS$42))</f>
        <v>0</v>
      </c>
      <c r="AT62" s="53">
        <f>(SUMIFS(MtM!$V:$V,MtM!$I:$I,RESULTADO!$B62,MtM!$H:$H,RESULTADO!$B$58,MtM!$E:$E,RESULTADO!AT$42))</f>
        <v>0</v>
      </c>
      <c r="AU62" s="53">
        <f>(SUMIFS(MtM!$V:$V,MtM!$I:$I,RESULTADO!$B62,MtM!$H:$H,RESULTADO!$B$58,MtM!$E:$E,RESULTADO!AU$42))</f>
        <v>0</v>
      </c>
      <c r="AV62" s="53">
        <f>(SUMIFS(MtM!$V:$V,MtM!$I:$I,RESULTADO!$B62,MtM!$H:$H,RESULTADO!$B$58,MtM!$E:$E,RESULTADO!AV$42))</f>
        <v>0</v>
      </c>
      <c r="AW62" s="53">
        <f>(SUMIFS(MtM!$V:$V,MtM!$I:$I,RESULTADO!$B62,MtM!$H:$H,RESULTADO!$B$58,MtM!$E:$E,RESULTADO!AW$42))</f>
        <v>0</v>
      </c>
      <c r="AX62" s="63">
        <f>(SUMIFS(MtM!$V:$V,MtM!$I:$I,RESULTADO!$B62,MtM!$H:$H,RESULTADO!$B$58,MtM!$E:$E,RESULTADO!AX$42))</f>
        <v>0</v>
      </c>
      <c r="AY62" s="53">
        <f>(SUMIFS(MtM!$V:$V,MtM!$I:$I,RESULTADO!$B62,MtM!$H:$H,RESULTADO!$B$58,MtM!$E:$E,RESULTADO!AY$42))</f>
        <v>0</v>
      </c>
      <c r="AZ62" s="53">
        <f>(SUMIFS(MtM!$V:$V,MtM!$I:$I,RESULTADO!$B62,MtM!$H:$H,RESULTADO!$B$58,MtM!$E:$E,RESULTADO!AZ$42))</f>
        <v>0</v>
      </c>
      <c r="BA62" s="53">
        <f>(SUMIFS(MtM!$V:$V,MtM!$I:$I,RESULTADO!$B62,MtM!$H:$H,RESULTADO!$B$58,MtM!$E:$E,RESULTADO!BA$42))</f>
        <v>0</v>
      </c>
      <c r="BB62" s="53">
        <f>(SUMIFS(MtM!$V:$V,MtM!$I:$I,RESULTADO!$B62,MtM!$H:$H,RESULTADO!$B$58,MtM!$E:$E,RESULTADO!BB$42))</f>
        <v>0</v>
      </c>
      <c r="BC62" s="53">
        <f>(SUMIFS(MtM!$V:$V,MtM!$I:$I,RESULTADO!$B62,MtM!$H:$H,RESULTADO!$B$58,MtM!$E:$E,RESULTADO!BC$42))</f>
        <v>0</v>
      </c>
      <c r="BD62" s="53">
        <f>(SUMIFS(MtM!$V:$V,MtM!$I:$I,RESULTADO!$B62,MtM!$H:$H,RESULTADO!$B$58,MtM!$E:$E,RESULTADO!BD$42))</f>
        <v>0</v>
      </c>
      <c r="BE62" s="53">
        <f>(SUMIFS(MtM!$V:$V,MtM!$I:$I,RESULTADO!$B62,MtM!$H:$H,RESULTADO!$B$58,MtM!$E:$E,RESULTADO!BE$42))</f>
        <v>0</v>
      </c>
      <c r="BF62" s="53">
        <f>(SUMIFS(MtM!$V:$V,MtM!$I:$I,RESULTADO!$B62,MtM!$H:$H,RESULTADO!$B$58,MtM!$E:$E,RESULTADO!BF$42))</f>
        <v>0</v>
      </c>
      <c r="BG62" s="53">
        <f>(SUMIFS(MtM!$V:$V,MtM!$I:$I,RESULTADO!$B62,MtM!$H:$H,RESULTADO!$B$58,MtM!$E:$E,RESULTADO!BG$42))</f>
        <v>0</v>
      </c>
      <c r="BH62" s="53">
        <f>(SUMIFS(MtM!$V:$V,MtM!$I:$I,RESULTADO!$B62,MtM!$H:$H,RESULTADO!$B$58,MtM!$E:$E,RESULTADO!BH$42))</f>
        <v>0</v>
      </c>
      <c r="BI62" s="53">
        <f>(SUMIFS(MtM!$V:$V,MtM!$I:$I,RESULTADO!$B62,MtM!$H:$H,RESULTADO!$B$58,MtM!$E:$E,RESULTADO!BI$42))</f>
        <v>0</v>
      </c>
      <c r="BJ62" s="63">
        <f>(SUMIFS(MtM!$V:$V,MtM!$I:$I,RESULTADO!$B62,MtM!$H:$H,RESULTADO!$B$58,MtM!$E:$E,RESULTADO!BJ$42))</f>
        <v>0</v>
      </c>
      <c r="BL62" s="120"/>
      <c r="BN62" s="57" t="s">
        <v>11</v>
      </c>
      <c r="BO62" s="53">
        <f>SUMIFS('MtM Releases'!$M:$M,'MtM Releases'!$G:$G,RESULTADO!$BN62,'MtM Releases'!$F:$F,RESULTADO!$BN58,'MtM Releases'!$D:$D,RESULTADO!BO$3)</f>
        <v>0</v>
      </c>
      <c r="BP62" s="53">
        <f>SUMIFS('MtM Releases'!$M:$M,'MtM Releases'!$G:$G,RESULTADO!$BN62,'MtM Releases'!$F:$F,RESULTADO!$BN58,'MtM Releases'!$D:$D,RESULTADO!BP$3)</f>
        <v>0</v>
      </c>
      <c r="BQ62" s="53">
        <f>SUMIFS('MtM Releases'!$M:$M,'MtM Releases'!$G:$G,RESULTADO!$BN62,'MtM Releases'!$F:$F,RESULTADO!$BN58,'MtM Releases'!$D:$D,RESULTADO!BQ$3)</f>
        <v>0</v>
      </c>
      <c r="BR62" s="53">
        <f>SUMIFS('MtM Releases'!$M:$M,'MtM Releases'!$G:$G,RESULTADO!$BN62,'MtM Releases'!$F:$F,RESULTADO!$BN58,'MtM Releases'!$D:$D,RESULTADO!BR$3)</f>
        <v>0</v>
      </c>
      <c r="BS62" s="53">
        <f>SUMIFS('MtM Releases'!$M:$M,'MtM Releases'!$G:$G,RESULTADO!$BN62,'MtM Releases'!$F:$F,RESULTADO!$BN58,'MtM Releases'!$D:$D,RESULTADO!BS$3)</f>
        <v>0</v>
      </c>
      <c r="BT62" s="53">
        <f>SUMIFS('MtM Releases'!$M:$M,'MtM Releases'!$G:$G,RESULTADO!$BN62,'MtM Releases'!$F:$F,RESULTADO!$BN58,'MtM Releases'!$D:$D,RESULTADO!BT$3)</f>
        <v>0</v>
      </c>
      <c r="BU62" s="53">
        <f>SUMIFS('MtM Releases'!$M:$M,'MtM Releases'!$G:$G,RESULTADO!$BN62,'MtM Releases'!$F:$F,RESULTADO!$BN58,'MtM Releases'!$D:$D,RESULTADO!BU$3)</f>
        <v>0</v>
      </c>
      <c r="BV62" s="53">
        <f>SUMIFS('MtM Releases'!$M:$M,'MtM Releases'!$G:$G,RESULTADO!$BN62,'MtM Releases'!$F:$F,RESULTADO!$BN58,'MtM Releases'!$D:$D,RESULTADO!BV$3)</f>
        <v>0</v>
      </c>
      <c r="BW62" s="53">
        <f>SUMIFS('MtM Releases'!$M:$M,'MtM Releases'!$G:$G,RESULTADO!$BN62,'MtM Releases'!$F:$F,RESULTADO!$BN58,'MtM Releases'!$D:$D,RESULTADO!BW$3)</f>
        <v>0</v>
      </c>
      <c r="BX62" s="53">
        <f>SUMIFS('MtM Releases'!$M:$M,'MtM Releases'!$G:$G,RESULTADO!$BN62,'MtM Releases'!$F:$F,RESULTADO!$BN58,'MtM Releases'!$D:$D,RESULTADO!BX$3)</f>
        <v>0</v>
      </c>
      <c r="BY62" s="53">
        <f>SUMIFS('MtM Releases'!$M:$M,'MtM Releases'!$G:$G,RESULTADO!$BN62,'MtM Releases'!$F:$F,RESULTADO!$BN58,'MtM Releases'!$D:$D,RESULTADO!BY$3)</f>
        <v>0</v>
      </c>
      <c r="BZ62" s="54">
        <f>SUMIFS('MtM Releases'!$M:$M,'MtM Releases'!$G:$G,RESULTADO!$BN62,'MtM Releases'!$F:$F,RESULTADO!$BN58,'MtM Releases'!$D:$D,RESULTADO!BZ$3)</f>
        <v>0</v>
      </c>
      <c r="CA62" s="53">
        <f>SUMIFS('MtM Releases'!$M:$M,'MtM Releases'!$G:$G,RESULTADO!$BN62,'MtM Releases'!$F:$F,RESULTADO!$BN58,'MtM Releases'!$D:$D,RESULTADO!CA$3)</f>
        <v>0</v>
      </c>
      <c r="CB62" s="53">
        <f>SUMIFS('MtM Releases'!$M:$M,'MtM Releases'!$G:$G,RESULTADO!$BN62,'MtM Releases'!$F:$F,RESULTADO!$BN58,'MtM Releases'!$D:$D,RESULTADO!CB$3)</f>
        <v>0</v>
      </c>
      <c r="CC62" s="53">
        <f>SUMIFS('MtM Releases'!$M:$M,'MtM Releases'!$G:$G,RESULTADO!$BN62,'MtM Releases'!$F:$F,RESULTADO!$BN58,'MtM Releases'!$D:$D,RESULTADO!CC$3)</f>
        <v>0</v>
      </c>
      <c r="CD62" s="53">
        <f>SUMIFS('MtM Releases'!$M:$M,'MtM Releases'!$G:$G,RESULTADO!$BN62,'MtM Releases'!$F:$F,RESULTADO!$BN58,'MtM Releases'!$D:$D,RESULTADO!CD$3)</f>
        <v>0</v>
      </c>
      <c r="CE62" s="53">
        <f>SUMIFS('MtM Releases'!$M:$M,'MtM Releases'!$G:$G,RESULTADO!$BN62,'MtM Releases'!$F:$F,RESULTADO!$BN58,'MtM Releases'!$D:$D,RESULTADO!CE$3)</f>
        <v>0</v>
      </c>
      <c r="CF62" s="53">
        <f>SUMIFS('MtM Releases'!$M:$M,'MtM Releases'!$G:$G,RESULTADO!$BN62,'MtM Releases'!$F:$F,RESULTADO!$BN58,'MtM Releases'!$D:$D,RESULTADO!CF$3)</f>
        <v>0</v>
      </c>
      <c r="CG62" s="53">
        <f>SUMIFS('MtM Releases'!$M:$M,'MtM Releases'!$G:$G,RESULTADO!$BN62,'MtM Releases'!$F:$F,RESULTADO!$BN58,'MtM Releases'!$D:$D,RESULTADO!CG$3)</f>
        <v>0</v>
      </c>
      <c r="CH62" s="53">
        <f>SUMIFS('MtM Releases'!$M:$M,'MtM Releases'!$G:$G,RESULTADO!$BN62,'MtM Releases'!$F:$F,RESULTADO!$BN58,'MtM Releases'!$D:$D,RESULTADO!CH$3)</f>
        <v>0</v>
      </c>
      <c r="CI62" s="53">
        <f>SUMIFS('MtM Releases'!$M:$M,'MtM Releases'!$G:$G,RESULTADO!$BN62,'MtM Releases'!$F:$F,RESULTADO!$BN58,'MtM Releases'!$D:$D,RESULTADO!CI$3)</f>
        <v>0</v>
      </c>
      <c r="CJ62" s="53">
        <f>SUMIFS('MtM Releases'!$M:$M,'MtM Releases'!$G:$G,RESULTADO!$BN62,'MtM Releases'!$F:$F,RESULTADO!$BN58,'MtM Releases'!$D:$D,RESULTADO!CJ$3)</f>
        <v>0</v>
      </c>
      <c r="CK62" s="53">
        <f>SUMIFS('MtM Releases'!$M:$M,'MtM Releases'!$G:$G,RESULTADO!$BN62,'MtM Releases'!$F:$F,RESULTADO!$BN58,'MtM Releases'!$D:$D,RESULTADO!CK$3)</f>
        <v>0</v>
      </c>
      <c r="CL62" s="63">
        <f>SUMIFS('MtM Releases'!$M:$M,'MtM Releases'!$G:$G,RESULTADO!$BN62,'MtM Releases'!$F:$F,RESULTADO!$BN58,'MtM Releases'!$D:$D,RESULTADO!CL$3)</f>
        <v>0</v>
      </c>
      <c r="CM62" s="53">
        <f>SUMIFS('MtM Releases'!$M:$M,'MtM Releases'!$G:$G,RESULTADO!$BN62,'MtM Releases'!$F:$F,RESULTADO!$BN58,'MtM Releases'!$D:$D,RESULTADO!CM$3)</f>
        <v>0</v>
      </c>
      <c r="CN62" s="53">
        <f>SUMIFS('MtM Releases'!$M:$M,'MtM Releases'!$G:$G,RESULTADO!$BN62,'MtM Releases'!$F:$F,RESULTADO!$BN58,'MtM Releases'!$D:$D,RESULTADO!CN$3)</f>
        <v>0</v>
      </c>
      <c r="CO62" s="53">
        <f>SUMIFS('MtM Releases'!$M:$M,'MtM Releases'!$G:$G,RESULTADO!$BN62,'MtM Releases'!$F:$F,RESULTADO!$BN58,'MtM Releases'!$D:$D,RESULTADO!CO$3)</f>
        <v>0</v>
      </c>
      <c r="CP62" s="53">
        <f>SUMIFS('MtM Releases'!$M:$M,'MtM Releases'!$G:$G,RESULTADO!$BN62,'MtM Releases'!$F:$F,RESULTADO!$BN58,'MtM Releases'!$D:$D,RESULTADO!CP$3)</f>
        <v>0</v>
      </c>
      <c r="CQ62" s="53">
        <f>SUMIFS('MtM Releases'!$M:$M,'MtM Releases'!$G:$G,RESULTADO!$BN62,'MtM Releases'!$F:$F,RESULTADO!$BN58,'MtM Releases'!$D:$D,RESULTADO!CQ$3)</f>
        <v>0</v>
      </c>
      <c r="CR62" s="53">
        <f>SUMIFS('MtM Releases'!$M:$M,'MtM Releases'!$G:$G,RESULTADO!$BN62,'MtM Releases'!$F:$F,RESULTADO!$BN58,'MtM Releases'!$D:$D,RESULTADO!CR$3)</f>
        <v>0</v>
      </c>
      <c r="CS62" s="53">
        <f>SUMIFS('MtM Releases'!$M:$M,'MtM Releases'!$G:$G,RESULTADO!$BN62,'MtM Releases'!$F:$F,RESULTADO!$BN58,'MtM Releases'!$D:$D,RESULTADO!CS$3)</f>
        <v>0</v>
      </c>
      <c r="CT62" s="53">
        <f>SUMIFS('MtM Releases'!$M:$M,'MtM Releases'!$G:$G,RESULTADO!$BN62,'MtM Releases'!$F:$F,RESULTADO!$BN58,'MtM Releases'!$D:$D,RESULTADO!CT$3)</f>
        <v>0</v>
      </c>
      <c r="CU62" s="53">
        <f>SUMIFS('MtM Releases'!$M:$M,'MtM Releases'!$G:$G,RESULTADO!$BN62,'MtM Releases'!$F:$F,RESULTADO!$BN58,'MtM Releases'!$D:$D,RESULTADO!CU$3)</f>
        <v>0</v>
      </c>
      <c r="CV62" s="53">
        <f>SUMIFS('MtM Releases'!$M:$M,'MtM Releases'!$G:$G,RESULTADO!$BN62,'MtM Releases'!$F:$F,RESULTADO!$BN58,'MtM Releases'!$D:$D,RESULTADO!CV$3)</f>
        <v>0</v>
      </c>
      <c r="CW62" s="53">
        <f>SUMIFS('MtM Releases'!$M:$M,'MtM Releases'!$G:$G,RESULTADO!$BN62,'MtM Releases'!$F:$F,RESULTADO!$BN58,'MtM Releases'!$D:$D,RESULTADO!CW$3)</f>
        <v>0</v>
      </c>
      <c r="CX62" s="54">
        <f>SUMIFS('MtM Releases'!$M:$M,'MtM Releases'!$G:$G,RESULTADO!$BN62,'MtM Releases'!$F:$F,RESULTADO!$BN58,'MtM Releases'!$D:$D,RESULTADO!CX$3)</f>
        <v>0</v>
      </c>
      <c r="CY62" s="53">
        <f>SUMIFS('MtM Releases'!$M:$M,'MtM Releases'!$G:$G,RESULTADO!$BN62,'MtM Releases'!$F:$F,RESULTADO!$BN58,'MtM Releases'!$D:$D,RESULTADO!CY$3)</f>
        <v>0</v>
      </c>
      <c r="CZ62" s="53">
        <f>SUMIFS('MtM Releases'!$M:$M,'MtM Releases'!$G:$G,RESULTADO!$BN62,'MtM Releases'!$F:$F,RESULTADO!$BN58,'MtM Releases'!$D:$D,RESULTADO!CZ$3)</f>
        <v>0</v>
      </c>
      <c r="DA62" s="53">
        <f>SUMIFS('MtM Releases'!$M:$M,'MtM Releases'!$G:$G,RESULTADO!$BN62,'MtM Releases'!$F:$F,RESULTADO!$BN58,'MtM Releases'!$D:$D,RESULTADO!DA$3)</f>
        <v>0</v>
      </c>
      <c r="DB62" s="53">
        <f>SUMIFS('MtM Releases'!$M:$M,'MtM Releases'!$G:$G,RESULTADO!$BN62,'MtM Releases'!$F:$F,RESULTADO!$BN58,'MtM Releases'!$D:$D,RESULTADO!DB$3)</f>
        <v>0</v>
      </c>
      <c r="DC62" s="53">
        <f>SUMIFS('MtM Releases'!$M:$M,'MtM Releases'!$G:$G,RESULTADO!$BN62,'MtM Releases'!$F:$F,RESULTADO!$BN58,'MtM Releases'!$D:$D,RESULTADO!DC$3)</f>
        <v>0</v>
      </c>
      <c r="DD62" s="53">
        <f>SUMIFS('MtM Releases'!$M:$M,'MtM Releases'!$G:$G,RESULTADO!$BN62,'MtM Releases'!$F:$F,RESULTADO!$BN58,'MtM Releases'!$D:$D,RESULTADO!DD$3)</f>
        <v>0</v>
      </c>
      <c r="DE62" s="53">
        <f>SUMIFS('MtM Releases'!$M:$M,'MtM Releases'!$G:$G,RESULTADO!$BN62,'MtM Releases'!$F:$F,RESULTADO!$BN58,'MtM Releases'!$D:$D,RESULTADO!DE$3)</f>
        <v>0</v>
      </c>
      <c r="DF62" s="53">
        <f>SUMIFS('MtM Releases'!$M:$M,'MtM Releases'!$G:$G,RESULTADO!$BN62,'MtM Releases'!$F:$F,RESULTADO!$BN58,'MtM Releases'!$D:$D,RESULTADO!DF$3)</f>
        <v>0</v>
      </c>
      <c r="DG62" s="53">
        <f>SUMIFS('MtM Releases'!$M:$M,'MtM Releases'!$G:$G,RESULTADO!$BN62,'MtM Releases'!$F:$F,RESULTADO!$BN58,'MtM Releases'!$D:$D,RESULTADO!DG$3)</f>
        <v>0</v>
      </c>
      <c r="DH62" s="53">
        <f>SUMIFS('MtM Releases'!$M:$M,'MtM Releases'!$G:$G,RESULTADO!$BN62,'MtM Releases'!$F:$F,RESULTADO!$BN58,'MtM Releases'!$D:$D,RESULTADO!DH$3)</f>
        <v>0</v>
      </c>
      <c r="DI62" s="53">
        <f>SUMIFS('MtM Releases'!$M:$M,'MtM Releases'!$G:$G,RESULTADO!$BN62,'MtM Releases'!$F:$F,RESULTADO!$BN58,'MtM Releases'!$D:$D,RESULTADO!DI$3)</f>
        <v>0</v>
      </c>
      <c r="DJ62" s="63">
        <f>SUMIFS('MtM Releases'!$M:$M,'MtM Releases'!$G:$G,RESULTADO!$BN62,'MtM Releases'!$F:$F,RESULTADO!$BN58,'MtM Releases'!$D:$D,RESULTADO!DJ$3)</f>
        <v>0</v>
      </c>
      <c r="DK62" s="53">
        <f>SUMIFS('MtM Releases'!$M:$M,'MtM Releases'!$G:$G,RESULTADO!$BN62,'MtM Releases'!$F:$F,RESULTADO!$BN58,'MtM Releases'!$D:$D,RESULTADO!DK$3)</f>
        <v>0</v>
      </c>
      <c r="DL62" s="53">
        <f>SUMIFS('MtM Releases'!$M:$M,'MtM Releases'!$G:$G,RESULTADO!$BN62,'MtM Releases'!$F:$F,RESULTADO!$BN58,'MtM Releases'!$D:$D,RESULTADO!DL$3)</f>
        <v>0</v>
      </c>
      <c r="DM62" s="53">
        <f>SUMIFS('MtM Releases'!$M:$M,'MtM Releases'!$G:$G,RESULTADO!$BN62,'MtM Releases'!$F:$F,RESULTADO!$BN58,'MtM Releases'!$D:$D,RESULTADO!DM$3)</f>
        <v>0</v>
      </c>
      <c r="DN62" s="53">
        <f>SUMIFS('MtM Releases'!$M:$M,'MtM Releases'!$G:$G,RESULTADO!$BN62,'MtM Releases'!$F:$F,RESULTADO!$BN58,'MtM Releases'!$D:$D,RESULTADO!DN$3)</f>
        <v>0</v>
      </c>
      <c r="DO62" s="53">
        <f>SUMIFS('MtM Releases'!$M:$M,'MtM Releases'!$G:$G,RESULTADO!$BN62,'MtM Releases'!$F:$F,RESULTADO!$BN58,'MtM Releases'!$D:$D,RESULTADO!DO$3)</f>
        <v>0</v>
      </c>
      <c r="DP62" s="53">
        <f>SUMIFS('MtM Releases'!$M:$M,'MtM Releases'!$G:$G,RESULTADO!$BN62,'MtM Releases'!$F:$F,RESULTADO!$BN58,'MtM Releases'!$D:$D,RESULTADO!DP$3)</f>
        <v>0</v>
      </c>
      <c r="DQ62" s="53">
        <f>SUMIFS('MtM Releases'!$M:$M,'MtM Releases'!$G:$G,RESULTADO!$BN62,'MtM Releases'!$F:$F,RESULTADO!$BN58,'MtM Releases'!$D:$D,RESULTADO!DQ$3)</f>
        <v>0</v>
      </c>
      <c r="DR62" s="53">
        <f>SUMIFS('MtM Releases'!$M:$M,'MtM Releases'!$G:$G,RESULTADO!$BN62,'MtM Releases'!$F:$F,RESULTADO!$BN58,'MtM Releases'!$D:$D,RESULTADO!DR$3)</f>
        <v>0</v>
      </c>
      <c r="DS62" s="53">
        <f>SUMIFS('MtM Releases'!$M:$M,'MtM Releases'!$G:$G,RESULTADO!$BN62,'MtM Releases'!$F:$F,RESULTADO!$BN58,'MtM Releases'!$D:$D,RESULTADO!DS$3)</f>
        <v>0</v>
      </c>
      <c r="DT62" s="53">
        <f>SUMIFS('MtM Releases'!$M:$M,'MtM Releases'!$G:$G,RESULTADO!$BN62,'MtM Releases'!$F:$F,RESULTADO!$BN58,'MtM Releases'!$D:$D,RESULTADO!DT$3)</f>
        <v>0</v>
      </c>
      <c r="DU62" s="53">
        <f>SUMIFS('MtM Releases'!$M:$M,'MtM Releases'!$G:$G,RESULTADO!$BN62,'MtM Releases'!$F:$F,RESULTADO!$BN58,'MtM Releases'!$D:$D,RESULTADO!DU$3)</f>
        <v>0</v>
      </c>
      <c r="DV62" s="63">
        <f>SUMIFS('MtM Releases'!$M:$M,'MtM Releases'!$G:$G,RESULTADO!$BN62,'MtM Releases'!$F:$F,RESULTADO!$BN58,'MtM Releases'!$D:$D,RESULTADO!DV$3)</f>
        <v>0</v>
      </c>
    </row>
    <row r="63" spans="2:126" x14ac:dyDescent="0.25">
      <c r="B63" s="56" t="s">
        <v>68</v>
      </c>
      <c r="C63" s="68">
        <f>SUM(C64:C67)</f>
        <v>0</v>
      </c>
      <c r="D63" s="68">
        <f t="shared" ref="D63:BJ63" si="51">SUM(D64:D67)</f>
        <v>0</v>
      </c>
      <c r="E63" s="68">
        <f t="shared" si="51"/>
        <v>0</v>
      </c>
      <c r="F63" s="68">
        <f t="shared" si="51"/>
        <v>0</v>
      </c>
      <c r="G63" s="68">
        <f t="shared" si="51"/>
        <v>0</v>
      </c>
      <c r="H63" s="68">
        <f t="shared" si="51"/>
        <v>0</v>
      </c>
      <c r="I63" s="68">
        <f t="shared" si="51"/>
        <v>0</v>
      </c>
      <c r="J63" s="68">
        <f t="shared" si="51"/>
        <v>0</v>
      </c>
      <c r="K63" s="68">
        <f t="shared" si="51"/>
        <v>0</v>
      </c>
      <c r="L63" s="68">
        <f t="shared" si="51"/>
        <v>0</v>
      </c>
      <c r="M63" s="68">
        <f t="shared" si="51"/>
        <v>0</v>
      </c>
      <c r="N63" s="69">
        <f t="shared" si="51"/>
        <v>0</v>
      </c>
      <c r="O63" s="68">
        <f t="shared" si="51"/>
        <v>0</v>
      </c>
      <c r="P63" s="68">
        <f t="shared" si="51"/>
        <v>0</v>
      </c>
      <c r="Q63" s="68">
        <f t="shared" si="51"/>
        <v>0</v>
      </c>
      <c r="R63" s="68">
        <f t="shared" si="51"/>
        <v>0</v>
      </c>
      <c r="S63" s="68">
        <f t="shared" si="51"/>
        <v>0</v>
      </c>
      <c r="T63" s="68">
        <f t="shared" si="51"/>
        <v>0</v>
      </c>
      <c r="U63" s="68">
        <f t="shared" si="51"/>
        <v>0</v>
      </c>
      <c r="V63" s="68">
        <f t="shared" si="51"/>
        <v>0</v>
      </c>
      <c r="W63" s="68">
        <f t="shared" si="51"/>
        <v>0</v>
      </c>
      <c r="X63" s="68">
        <f t="shared" si="51"/>
        <v>0</v>
      </c>
      <c r="Y63" s="68">
        <f t="shared" si="51"/>
        <v>0</v>
      </c>
      <c r="Z63" s="70">
        <f t="shared" si="51"/>
        <v>0</v>
      </c>
      <c r="AA63" s="68">
        <f t="shared" si="51"/>
        <v>0</v>
      </c>
      <c r="AB63" s="68">
        <f t="shared" si="51"/>
        <v>0</v>
      </c>
      <c r="AC63" s="68">
        <f t="shared" si="51"/>
        <v>0</v>
      </c>
      <c r="AD63" s="68">
        <f t="shared" si="51"/>
        <v>0</v>
      </c>
      <c r="AE63" s="68">
        <f t="shared" si="51"/>
        <v>0</v>
      </c>
      <c r="AF63" s="68">
        <f t="shared" si="51"/>
        <v>0</v>
      </c>
      <c r="AG63" s="68">
        <f t="shared" si="51"/>
        <v>0</v>
      </c>
      <c r="AH63" s="68">
        <f t="shared" si="51"/>
        <v>0</v>
      </c>
      <c r="AI63" s="68">
        <f t="shared" si="51"/>
        <v>0</v>
      </c>
      <c r="AJ63" s="68">
        <f t="shared" si="51"/>
        <v>0</v>
      </c>
      <c r="AK63" s="68">
        <f t="shared" si="51"/>
        <v>0</v>
      </c>
      <c r="AL63" s="69">
        <f t="shared" si="51"/>
        <v>0</v>
      </c>
      <c r="AM63" s="68">
        <f t="shared" si="51"/>
        <v>0</v>
      </c>
      <c r="AN63" s="68">
        <f t="shared" si="51"/>
        <v>0</v>
      </c>
      <c r="AO63" s="68">
        <f t="shared" si="51"/>
        <v>0</v>
      </c>
      <c r="AP63" s="68">
        <f t="shared" si="51"/>
        <v>0</v>
      </c>
      <c r="AQ63" s="68">
        <f t="shared" si="51"/>
        <v>0</v>
      </c>
      <c r="AR63" s="68">
        <f t="shared" si="51"/>
        <v>0</v>
      </c>
      <c r="AS63" s="68">
        <f t="shared" si="51"/>
        <v>0</v>
      </c>
      <c r="AT63" s="68">
        <f t="shared" si="51"/>
        <v>0</v>
      </c>
      <c r="AU63" s="68">
        <f t="shared" si="51"/>
        <v>0</v>
      </c>
      <c r="AV63" s="68">
        <f t="shared" si="51"/>
        <v>0</v>
      </c>
      <c r="AW63" s="68">
        <f t="shared" si="51"/>
        <v>0</v>
      </c>
      <c r="AX63" s="70">
        <f t="shared" si="51"/>
        <v>0</v>
      </c>
      <c r="AY63" s="68">
        <f t="shared" si="51"/>
        <v>0</v>
      </c>
      <c r="AZ63" s="68">
        <f t="shared" si="51"/>
        <v>0</v>
      </c>
      <c r="BA63" s="68">
        <f t="shared" si="51"/>
        <v>0</v>
      </c>
      <c r="BB63" s="68">
        <f t="shared" si="51"/>
        <v>0</v>
      </c>
      <c r="BC63" s="68">
        <f t="shared" si="51"/>
        <v>0</v>
      </c>
      <c r="BD63" s="68">
        <f t="shared" si="51"/>
        <v>0</v>
      </c>
      <c r="BE63" s="68">
        <f t="shared" si="51"/>
        <v>0</v>
      </c>
      <c r="BF63" s="68">
        <f t="shared" si="51"/>
        <v>0</v>
      </c>
      <c r="BG63" s="68">
        <f t="shared" si="51"/>
        <v>0</v>
      </c>
      <c r="BH63" s="68">
        <f t="shared" si="51"/>
        <v>0</v>
      </c>
      <c r="BI63" s="68">
        <f t="shared" si="51"/>
        <v>0</v>
      </c>
      <c r="BJ63" s="70">
        <f t="shared" si="51"/>
        <v>0</v>
      </c>
      <c r="BL63" s="120"/>
      <c r="BN63" s="56" t="s">
        <v>68</v>
      </c>
      <c r="BO63" s="68">
        <f>SUM(BO64:BO67)</f>
        <v>0</v>
      </c>
      <c r="BP63" s="68">
        <f t="shared" ref="BP63:DV63" si="52">SUM(BP64:BP67)</f>
        <v>0</v>
      </c>
      <c r="BQ63" s="68">
        <f t="shared" si="52"/>
        <v>0</v>
      </c>
      <c r="BR63" s="68">
        <f t="shared" si="52"/>
        <v>0</v>
      </c>
      <c r="BS63" s="68">
        <f t="shared" si="52"/>
        <v>0</v>
      </c>
      <c r="BT63" s="68">
        <f t="shared" si="52"/>
        <v>0</v>
      </c>
      <c r="BU63" s="68">
        <f t="shared" si="52"/>
        <v>0</v>
      </c>
      <c r="BV63" s="68">
        <f t="shared" si="52"/>
        <v>0</v>
      </c>
      <c r="BW63" s="68">
        <f t="shared" si="52"/>
        <v>0</v>
      </c>
      <c r="BX63" s="68">
        <f t="shared" si="52"/>
        <v>0</v>
      </c>
      <c r="BY63" s="68">
        <f t="shared" si="52"/>
        <v>0</v>
      </c>
      <c r="BZ63" s="69">
        <f t="shared" si="52"/>
        <v>0</v>
      </c>
      <c r="CA63" s="68">
        <f t="shared" si="52"/>
        <v>0</v>
      </c>
      <c r="CB63" s="68">
        <f t="shared" si="52"/>
        <v>0</v>
      </c>
      <c r="CC63" s="68">
        <f t="shared" si="52"/>
        <v>0</v>
      </c>
      <c r="CD63" s="68">
        <f t="shared" si="52"/>
        <v>0</v>
      </c>
      <c r="CE63" s="68">
        <f t="shared" si="52"/>
        <v>0</v>
      </c>
      <c r="CF63" s="68">
        <f t="shared" si="52"/>
        <v>0</v>
      </c>
      <c r="CG63" s="68">
        <f t="shared" si="52"/>
        <v>0</v>
      </c>
      <c r="CH63" s="68">
        <f t="shared" si="52"/>
        <v>0</v>
      </c>
      <c r="CI63" s="68">
        <f t="shared" si="52"/>
        <v>0</v>
      </c>
      <c r="CJ63" s="68">
        <f t="shared" si="52"/>
        <v>0</v>
      </c>
      <c r="CK63" s="68">
        <f t="shared" si="52"/>
        <v>0</v>
      </c>
      <c r="CL63" s="70">
        <f t="shared" si="52"/>
        <v>0</v>
      </c>
      <c r="CM63" s="68">
        <f t="shared" si="52"/>
        <v>0</v>
      </c>
      <c r="CN63" s="68">
        <f t="shared" si="52"/>
        <v>0</v>
      </c>
      <c r="CO63" s="68">
        <f t="shared" si="52"/>
        <v>0</v>
      </c>
      <c r="CP63" s="68">
        <f t="shared" si="52"/>
        <v>0</v>
      </c>
      <c r="CQ63" s="68">
        <f t="shared" si="52"/>
        <v>0</v>
      </c>
      <c r="CR63" s="68">
        <f t="shared" si="52"/>
        <v>0</v>
      </c>
      <c r="CS63" s="68">
        <f t="shared" si="52"/>
        <v>0</v>
      </c>
      <c r="CT63" s="68">
        <f t="shared" si="52"/>
        <v>0</v>
      </c>
      <c r="CU63" s="68">
        <f t="shared" si="52"/>
        <v>0</v>
      </c>
      <c r="CV63" s="68">
        <f t="shared" si="52"/>
        <v>0</v>
      </c>
      <c r="CW63" s="68">
        <f t="shared" si="52"/>
        <v>0</v>
      </c>
      <c r="CX63" s="69">
        <f t="shared" si="52"/>
        <v>0</v>
      </c>
      <c r="CY63" s="68">
        <f t="shared" si="52"/>
        <v>0</v>
      </c>
      <c r="CZ63" s="68">
        <f t="shared" si="52"/>
        <v>0</v>
      </c>
      <c r="DA63" s="68">
        <f t="shared" si="52"/>
        <v>0</v>
      </c>
      <c r="DB63" s="68">
        <f t="shared" si="52"/>
        <v>0</v>
      </c>
      <c r="DC63" s="68">
        <f t="shared" si="52"/>
        <v>0</v>
      </c>
      <c r="DD63" s="68">
        <f t="shared" si="52"/>
        <v>0</v>
      </c>
      <c r="DE63" s="68">
        <f t="shared" si="52"/>
        <v>0</v>
      </c>
      <c r="DF63" s="68">
        <f t="shared" si="52"/>
        <v>0</v>
      </c>
      <c r="DG63" s="68">
        <f t="shared" si="52"/>
        <v>0</v>
      </c>
      <c r="DH63" s="68">
        <f t="shared" si="52"/>
        <v>0</v>
      </c>
      <c r="DI63" s="68">
        <f t="shared" si="52"/>
        <v>0</v>
      </c>
      <c r="DJ63" s="70">
        <f t="shared" si="52"/>
        <v>0</v>
      </c>
      <c r="DK63" s="68">
        <f t="shared" si="52"/>
        <v>0</v>
      </c>
      <c r="DL63" s="68">
        <f t="shared" si="52"/>
        <v>0</v>
      </c>
      <c r="DM63" s="68">
        <f t="shared" si="52"/>
        <v>0</v>
      </c>
      <c r="DN63" s="68">
        <f t="shared" si="52"/>
        <v>0</v>
      </c>
      <c r="DO63" s="68">
        <f t="shared" si="52"/>
        <v>0</v>
      </c>
      <c r="DP63" s="68">
        <f t="shared" si="52"/>
        <v>0</v>
      </c>
      <c r="DQ63" s="68">
        <f t="shared" si="52"/>
        <v>0</v>
      </c>
      <c r="DR63" s="68">
        <f t="shared" si="52"/>
        <v>0</v>
      </c>
      <c r="DS63" s="68">
        <f t="shared" si="52"/>
        <v>0</v>
      </c>
      <c r="DT63" s="68">
        <f t="shared" si="52"/>
        <v>0</v>
      </c>
      <c r="DU63" s="68">
        <f t="shared" si="52"/>
        <v>0</v>
      </c>
      <c r="DV63" s="70">
        <f t="shared" si="52"/>
        <v>0</v>
      </c>
    </row>
    <row r="64" spans="2:126" x14ac:dyDescent="0.25">
      <c r="B64" s="57" t="s">
        <v>44</v>
      </c>
      <c r="C64" s="53">
        <f>(SUMIFS(MtM!$V:$V,MtM!$I:$I,RESULTADO!$B64,MtM!$H:$H,RESULTADO!$B$63,MtM!$E:$E,RESULTADO!C$42))</f>
        <v>0</v>
      </c>
      <c r="D64" s="53">
        <f>(SUMIFS(MtM!$V:$V,MtM!$I:$I,RESULTADO!$B64,MtM!$H:$H,RESULTADO!$B$63,MtM!$E:$E,RESULTADO!D$42))</f>
        <v>0</v>
      </c>
      <c r="E64" s="53">
        <f>(SUMIFS(MtM!$V:$V,MtM!$I:$I,RESULTADO!$B64,MtM!$H:$H,RESULTADO!$B$63,MtM!$E:$E,RESULTADO!E$42))</f>
        <v>0</v>
      </c>
      <c r="F64" s="53">
        <f>(SUMIFS(MtM!$V:$V,MtM!$I:$I,RESULTADO!$B64,MtM!$H:$H,RESULTADO!$B$63,MtM!$E:$E,RESULTADO!F$42))</f>
        <v>0</v>
      </c>
      <c r="G64" s="53">
        <f>(SUMIFS(MtM!$V:$V,MtM!$I:$I,RESULTADO!$B64,MtM!$H:$H,RESULTADO!$B$63,MtM!$E:$E,RESULTADO!G$42))</f>
        <v>0</v>
      </c>
      <c r="H64" s="53">
        <f>(SUMIFS(MtM!$V:$V,MtM!$I:$I,RESULTADO!$B64,MtM!$H:$H,RESULTADO!$B$63,MtM!$E:$E,RESULTADO!H$42))</f>
        <v>0</v>
      </c>
      <c r="I64" s="53">
        <f>(SUMIFS(MtM!$V:$V,MtM!$I:$I,RESULTADO!$B64,MtM!$H:$H,RESULTADO!$B$63,MtM!$E:$E,RESULTADO!I$42))</f>
        <v>0</v>
      </c>
      <c r="J64" s="53">
        <f>(SUMIFS(MtM!$V:$V,MtM!$I:$I,RESULTADO!$B64,MtM!$H:$H,RESULTADO!$B$63,MtM!$E:$E,RESULTADO!J$42))</f>
        <v>0</v>
      </c>
      <c r="K64" s="53">
        <f>(SUMIFS(MtM!$V:$V,MtM!$I:$I,RESULTADO!$B64,MtM!$H:$H,RESULTADO!$B$63,MtM!$E:$E,RESULTADO!K$42))</f>
        <v>0</v>
      </c>
      <c r="L64" s="53">
        <f>(SUMIFS(MtM!$V:$V,MtM!$I:$I,RESULTADO!$B64,MtM!$H:$H,RESULTADO!$B$63,MtM!$E:$E,RESULTADO!L$42))</f>
        <v>0</v>
      </c>
      <c r="M64" s="53">
        <f>(SUMIFS(MtM!$V:$V,MtM!$I:$I,RESULTADO!$B64,MtM!$H:$H,RESULTADO!$B$63,MtM!$E:$E,RESULTADO!M$42))</f>
        <v>0</v>
      </c>
      <c r="N64" s="54">
        <f>(SUMIFS(MtM!$V:$V,MtM!$I:$I,RESULTADO!$B64,MtM!$H:$H,RESULTADO!$B$63,MtM!$E:$E,RESULTADO!N$42))</f>
        <v>0</v>
      </c>
      <c r="O64" s="53">
        <f>(SUMIFS(MtM!$V:$V,MtM!$I:$I,RESULTADO!$B64,MtM!$H:$H,RESULTADO!$B$63,MtM!$E:$E,RESULTADO!O$42))</f>
        <v>0</v>
      </c>
      <c r="P64" s="53">
        <f>(SUMIFS(MtM!$V:$V,MtM!$I:$I,RESULTADO!$B64,MtM!$H:$H,RESULTADO!$B$63,MtM!$E:$E,RESULTADO!P$42))</f>
        <v>0</v>
      </c>
      <c r="Q64" s="53">
        <f>(SUMIFS(MtM!$V:$V,MtM!$I:$I,RESULTADO!$B64,MtM!$H:$H,RESULTADO!$B$63,MtM!$E:$E,RESULTADO!Q$42))</f>
        <v>0</v>
      </c>
      <c r="R64" s="53">
        <f>(SUMIFS(MtM!$V:$V,MtM!$I:$I,RESULTADO!$B64,MtM!$H:$H,RESULTADO!$B$63,MtM!$E:$E,RESULTADO!R$42))</f>
        <v>0</v>
      </c>
      <c r="S64" s="53">
        <f>(SUMIFS(MtM!$V:$V,MtM!$I:$I,RESULTADO!$B64,MtM!$H:$H,RESULTADO!$B$63,MtM!$E:$E,RESULTADO!S$42))</f>
        <v>0</v>
      </c>
      <c r="T64" s="53">
        <f>(SUMIFS(MtM!$V:$V,MtM!$I:$I,RESULTADO!$B64,MtM!$H:$H,RESULTADO!$B$63,MtM!$E:$E,RESULTADO!T$42))</f>
        <v>0</v>
      </c>
      <c r="U64" s="53">
        <f>(SUMIFS(MtM!$V:$V,MtM!$I:$I,RESULTADO!$B64,MtM!$H:$H,RESULTADO!$B$63,MtM!$E:$E,RESULTADO!U$42))</f>
        <v>0</v>
      </c>
      <c r="V64" s="53">
        <f>(SUMIFS(MtM!$V:$V,MtM!$I:$I,RESULTADO!$B64,MtM!$H:$H,RESULTADO!$B$63,MtM!$E:$E,RESULTADO!V$42))</f>
        <v>0</v>
      </c>
      <c r="W64" s="53">
        <f>(SUMIFS(MtM!$V:$V,MtM!$I:$I,RESULTADO!$B64,MtM!$H:$H,RESULTADO!$B$63,MtM!$E:$E,RESULTADO!W$42))</f>
        <v>0</v>
      </c>
      <c r="X64" s="53">
        <f>(SUMIFS(MtM!$V:$V,MtM!$I:$I,RESULTADO!$B64,MtM!$H:$H,RESULTADO!$B$63,MtM!$E:$E,RESULTADO!X$42))</f>
        <v>0</v>
      </c>
      <c r="Y64" s="53">
        <f>(SUMIFS(MtM!$V:$V,MtM!$I:$I,RESULTADO!$B64,MtM!$H:$H,RESULTADO!$B$63,MtM!$E:$E,RESULTADO!Y$42))</f>
        <v>0</v>
      </c>
      <c r="Z64" s="63">
        <f>(SUMIFS(MtM!$V:$V,MtM!$I:$I,RESULTADO!$B64,MtM!$H:$H,RESULTADO!$B$63,MtM!$E:$E,RESULTADO!Z$42))</f>
        <v>0</v>
      </c>
      <c r="AA64" s="53">
        <f>(SUMIFS(MtM!$V:$V,MtM!$I:$I,RESULTADO!$B64,MtM!$H:$H,RESULTADO!$B$63,MtM!$E:$E,RESULTADO!AA$42))</f>
        <v>0</v>
      </c>
      <c r="AB64" s="53">
        <f>(SUMIFS(MtM!$V:$V,MtM!$I:$I,RESULTADO!$B64,MtM!$H:$H,RESULTADO!$B$63,MtM!$E:$E,RESULTADO!AB$42))</f>
        <v>0</v>
      </c>
      <c r="AC64" s="53">
        <f>(SUMIFS(MtM!$V:$V,MtM!$I:$I,RESULTADO!$B64,MtM!$H:$H,RESULTADO!$B$63,MtM!$E:$E,RESULTADO!AC$42))</f>
        <v>0</v>
      </c>
      <c r="AD64" s="53">
        <f>(SUMIFS(MtM!$V:$V,MtM!$I:$I,RESULTADO!$B64,MtM!$H:$H,RESULTADO!$B$63,MtM!$E:$E,RESULTADO!AD$42))</f>
        <v>0</v>
      </c>
      <c r="AE64" s="53">
        <f>(SUMIFS(MtM!$V:$V,MtM!$I:$I,RESULTADO!$B64,MtM!$H:$H,RESULTADO!$B$63,MtM!$E:$E,RESULTADO!AE$42))</f>
        <v>0</v>
      </c>
      <c r="AF64" s="53">
        <f>(SUMIFS(MtM!$V:$V,MtM!$I:$I,RESULTADO!$B64,MtM!$H:$H,RESULTADO!$B$63,MtM!$E:$E,RESULTADO!AF$42))</f>
        <v>0</v>
      </c>
      <c r="AG64" s="53">
        <f>(SUMIFS(MtM!$V:$V,MtM!$I:$I,RESULTADO!$B64,MtM!$H:$H,RESULTADO!$B$63,MtM!$E:$E,RESULTADO!AG$42))</f>
        <v>0</v>
      </c>
      <c r="AH64" s="53">
        <f>(SUMIFS(MtM!$V:$V,MtM!$I:$I,RESULTADO!$B64,MtM!$H:$H,RESULTADO!$B$63,MtM!$E:$E,RESULTADO!AH$42))</f>
        <v>0</v>
      </c>
      <c r="AI64" s="53">
        <f>(SUMIFS(MtM!$V:$V,MtM!$I:$I,RESULTADO!$B64,MtM!$H:$H,RESULTADO!$B$63,MtM!$E:$E,RESULTADO!AI$42))</f>
        <v>0</v>
      </c>
      <c r="AJ64" s="53">
        <f>(SUMIFS(MtM!$V:$V,MtM!$I:$I,RESULTADO!$B64,MtM!$H:$H,RESULTADO!$B$63,MtM!$E:$E,RESULTADO!AJ$42))</f>
        <v>0</v>
      </c>
      <c r="AK64" s="53">
        <f>(SUMIFS(MtM!$V:$V,MtM!$I:$I,RESULTADO!$B64,MtM!$H:$H,RESULTADO!$B$63,MtM!$E:$E,RESULTADO!AK$42))</f>
        <v>0</v>
      </c>
      <c r="AL64" s="54">
        <f>(SUMIFS(MtM!$V:$V,MtM!$I:$I,RESULTADO!$B64,MtM!$H:$H,RESULTADO!$B$63,MtM!$E:$E,RESULTADO!AL$42))</f>
        <v>0</v>
      </c>
      <c r="AM64" s="53">
        <f>(SUMIFS(MtM!$V:$V,MtM!$I:$I,RESULTADO!$B64,MtM!$H:$H,RESULTADO!$B$63,MtM!$E:$E,RESULTADO!AM$42))</f>
        <v>0</v>
      </c>
      <c r="AN64" s="53">
        <f>(SUMIFS(MtM!$V:$V,MtM!$I:$I,RESULTADO!$B64,MtM!$H:$H,RESULTADO!$B$63,MtM!$E:$E,RESULTADO!AN$42))</f>
        <v>0</v>
      </c>
      <c r="AO64" s="53">
        <f>(SUMIFS(MtM!$V:$V,MtM!$I:$I,RESULTADO!$B64,MtM!$H:$H,RESULTADO!$B$63,MtM!$E:$E,RESULTADO!AO$42))</f>
        <v>0</v>
      </c>
      <c r="AP64" s="53">
        <f>(SUMIFS(MtM!$V:$V,MtM!$I:$I,RESULTADO!$B64,MtM!$H:$H,RESULTADO!$B$63,MtM!$E:$E,RESULTADO!AP$42))</f>
        <v>0</v>
      </c>
      <c r="AQ64" s="53">
        <f>(SUMIFS(MtM!$V:$V,MtM!$I:$I,RESULTADO!$B64,MtM!$H:$H,RESULTADO!$B$63,MtM!$E:$E,RESULTADO!AQ$42))</f>
        <v>0</v>
      </c>
      <c r="AR64" s="53">
        <f>(SUMIFS(MtM!$V:$V,MtM!$I:$I,RESULTADO!$B64,MtM!$H:$H,RESULTADO!$B$63,MtM!$E:$E,RESULTADO!AR$42))</f>
        <v>0</v>
      </c>
      <c r="AS64" s="53">
        <f>(SUMIFS(MtM!$V:$V,MtM!$I:$I,RESULTADO!$B64,MtM!$H:$H,RESULTADO!$B$63,MtM!$E:$E,RESULTADO!AS$42))</f>
        <v>0</v>
      </c>
      <c r="AT64" s="53">
        <f>(SUMIFS(MtM!$V:$V,MtM!$I:$I,RESULTADO!$B64,MtM!$H:$H,RESULTADO!$B$63,MtM!$E:$E,RESULTADO!AT$42))</f>
        <v>0</v>
      </c>
      <c r="AU64" s="53">
        <f>(SUMIFS(MtM!$V:$V,MtM!$I:$I,RESULTADO!$B64,MtM!$H:$H,RESULTADO!$B$63,MtM!$E:$E,RESULTADO!AU$42))</f>
        <v>0</v>
      </c>
      <c r="AV64" s="53">
        <f>(SUMIFS(MtM!$V:$V,MtM!$I:$I,RESULTADO!$B64,MtM!$H:$H,RESULTADO!$B$63,MtM!$E:$E,RESULTADO!AV$42))</f>
        <v>0</v>
      </c>
      <c r="AW64" s="53">
        <f>(SUMIFS(MtM!$V:$V,MtM!$I:$I,RESULTADO!$B64,MtM!$H:$H,RESULTADO!$B$63,MtM!$E:$E,RESULTADO!AW$42))</f>
        <v>0</v>
      </c>
      <c r="AX64" s="63">
        <f>(SUMIFS(MtM!$V:$V,MtM!$I:$I,RESULTADO!$B64,MtM!$H:$H,RESULTADO!$B$63,MtM!$E:$E,RESULTADO!AX$42))</f>
        <v>0</v>
      </c>
      <c r="AY64" s="53">
        <f>(SUMIFS(MtM!$V:$V,MtM!$I:$I,RESULTADO!$B64,MtM!$H:$H,RESULTADO!$B$63,MtM!$E:$E,RESULTADO!AY$42))</f>
        <v>0</v>
      </c>
      <c r="AZ64" s="53">
        <f>(SUMIFS(MtM!$V:$V,MtM!$I:$I,RESULTADO!$B64,MtM!$H:$H,RESULTADO!$B$63,MtM!$E:$E,RESULTADO!AZ$42))</f>
        <v>0</v>
      </c>
      <c r="BA64" s="53">
        <f>(SUMIFS(MtM!$V:$V,MtM!$I:$I,RESULTADO!$B64,MtM!$H:$H,RESULTADO!$B$63,MtM!$E:$E,RESULTADO!BA$42))</f>
        <v>0</v>
      </c>
      <c r="BB64" s="53">
        <f>(SUMIFS(MtM!$V:$V,MtM!$I:$I,RESULTADO!$B64,MtM!$H:$H,RESULTADO!$B$63,MtM!$E:$E,RESULTADO!BB$42))</f>
        <v>0</v>
      </c>
      <c r="BC64" s="53">
        <f>(SUMIFS(MtM!$V:$V,MtM!$I:$I,RESULTADO!$B64,MtM!$H:$H,RESULTADO!$B$63,MtM!$E:$E,RESULTADO!BC$42))</f>
        <v>0</v>
      </c>
      <c r="BD64" s="53">
        <f>(SUMIFS(MtM!$V:$V,MtM!$I:$I,RESULTADO!$B64,MtM!$H:$H,RESULTADO!$B$63,MtM!$E:$E,RESULTADO!BD$42))</f>
        <v>0</v>
      </c>
      <c r="BE64" s="53">
        <f>(SUMIFS(MtM!$V:$V,MtM!$I:$I,RESULTADO!$B64,MtM!$H:$H,RESULTADO!$B$63,MtM!$E:$E,RESULTADO!BE$42))</f>
        <v>0</v>
      </c>
      <c r="BF64" s="53">
        <f>(SUMIFS(MtM!$V:$V,MtM!$I:$I,RESULTADO!$B64,MtM!$H:$H,RESULTADO!$B$63,MtM!$E:$E,RESULTADO!BF$42))</f>
        <v>0</v>
      </c>
      <c r="BG64" s="53">
        <f>(SUMIFS(MtM!$V:$V,MtM!$I:$I,RESULTADO!$B64,MtM!$H:$H,RESULTADO!$B$63,MtM!$E:$E,RESULTADO!BG$42))</f>
        <v>0</v>
      </c>
      <c r="BH64" s="53">
        <f>(SUMIFS(MtM!$V:$V,MtM!$I:$I,RESULTADO!$B64,MtM!$H:$H,RESULTADO!$B$63,MtM!$E:$E,RESULTADO!BH$42))</f>
        <v>0</v>
      </c>
      <c r="BI64" s="53">
        <f>(SUMIFS(MtM!$V:$V,MtM!$I:$I,RESULTADO!$B64,MtM!$H:$H,RESULTADO!$B$63,MtM!$E:$E,RESULTADO!BI$42))</f>
        <v>0</v>
      </c>
      <c r="BJ64" s="63">
        <f>(SUMIFS(MtM!$V:$V,MtM!$I:$I,RESULTADO!$B64,MtM!$H:$H,RESULTADO!$B$63,MtM!$E:$E,RESULTADO!BJ$42))</f>
        <v>0</v>
      </c>
      <c r="BL64" s="120"/>
      <c r="BN64" s="57" t="s">
        <v>44</v>
      </c>
      <c r="BO64" s="53">
        <f>SUMIFS('MtM Releases'!$M:$M,'MtM Releases'!$G:$G,RESULTADO!$BN64,'MtM Releases'!$F:$F,RESULTADO!$BN63,'MtM Releases'!$D:$D,RESULTADO!BO$3)</f>
        <v>0</v>
      </c>
      <c r="BP64" s="53">
        <f>SUMIFS('MtM Releases'!$M:$M,'MtM Releases'!$G:$G,RESULTADO!$BN64,'MtM Releases'!$F:$F,RESULTADO!$BN63,'MtM Releases'!$D:$D,RESULTADO!BP$3)</f>
        <v>0</v>
      </c>
      <c r="BQ64" s="53">
        <f>SUMIFS('MtM Releases'!$M:$M,'MtM Releases'!$G:$G,RESULTADO!$BN64,'MtM Releases'!$F:$F,RESULTADO!$BN63,'MtM Releases'!$D:$D,RESULTADO!BQ$3)</f>
        <v>0</v>
      </c>
      <c r="BR64" s="53">
        <f>SUMIFS('MtM Releases'!$M:$M,'MtM Releases'!$G:$G,RESULTADO!$BN64,'MtM Releases'!$F:$F,RESULTADO!$BN63,'MtM Releases'!$D:$D,RESULTADO!BR$3)</f>
        <v>0</v>
      </c>
      <c r="BS64" s="53">
        <f>SUMIFS('MtM Releases'!$M:$M,'MtM Releases'!$G:$G,RESULTADO!$BN64,'MtM Releases'!$F:$F,RESULTADO!$BN63,'MtM Releases'!$D:$D,RESULTADO!BS$3)</f>
        <v>0</v>
      </c>
      <c r="BT64" s="53">
        <f>SUMIFS('MtM Releases'!$M:$M,'MtM Releases'!$G:$G,RESULTADO!$BN64,'MtM Releases'!$F:$F,RESULTADO!$BN63,'MtM Releases'!$D:$D,RESULTADO!BT$3)</f>
        <v>0</v>
      </c>
      <c r="BU64" s="53">
        <f>SUMIFS('MtM Releases'!$M:$M,'MtM Releases'!$G:$G,RESULTADO!$BN64,'MtM Releases'!$F:$F,RESULTADO!$BN63,'MtM Releases'!$D:$D,RESULTADO!BU$3)</f>
        <v>0</v>
      </c>
      <c r="BV64" s="53">
        <f>SUMIFS('MtM Releases'!$M:$M,'MtM Releases'!$G:$G,RESULTADO!$BN64,'MtM Releases'!$F:$F,RESULTADO!$BN63,'MtM Releases'!$D:$D,RESULTADO!BV$3)</f>
        <v>0</v>
      </c>
      <c r="BW64" s="53">
        <f>SUMIFS('MtM Releases'!$M:$M,'MtM Releases'!$G:$G,RESULTADO!$BN64,'MtM Releases'!$F:$F,RESULTADO!$BN63,'MtM Releases'!$D:$D,RESULTADO!BW$3)</f>
        <v>0</v>
      </c>
      <c r="BX64" s="53">
        <f>SUMIFS('MtM Releases'!$M:$M,'MtM Releases'!$G:$G,RESULTADO!$BN64,'MtM Releases'!$F:$F,RESULTADO!$BN63,'MtM Releases'!$D:$D,RESULTADO!BX$3)</f>
        <v>0</v>
      </c>
      <c r="BY64" s="53">
        <f>SUMIFS('MtM Releases'!$M:$M,'MtM Releases'!$G:$G,RESULTADO!$BN64,'MtM Releases'!$F:$F,RESULTADO!$BN63,'MtM Releases'!$D:$D,RESULTADO!BY$3)</f>
        <v>0</v>
      </c>
      <c r="BZ64" s="54">
        <f>SUMIFS('MtM Releases'!$M:$M,'MtM Releases'!$G:$G,RESULTADO!$BN64,'MtM Releases'!$F:$F,RESULTADO!$BN63,'MtM Releases'!$D:$D,RESULTADO!BZ$3)</f>
        <v>0</v>
      </c>
      <c r="CA64" s="53">
        <f>SUMIFS('MtM Releases'!$M:$M,'MtM Releases'!$G:$G,RESULTADO!$BN64,'MtM Releases'!$F:$F,RESULTADO!$BN63,'MtM Releases'!$D:$D,RESULTADO!CA$3)</f>
        <v>0</v>
      </c>
      <c r="CB64" s="53">
        <f>SUMIFS('MtM Releases'!$M:$M,'MtM Releases'!$G:$G,RESULTADO!$BN64,'MtM Releases'!$F:$F,RESULTADO!$BN63,'MtM Releases'!$D:$D,RESULTADO!CB$3)</f>
        <v>0</v>
      </c>
      <c r="CC64" s="53">
        <f>SUMIFS('MtM Releases'!$M:$M,'MtM Releases'!$G:$G,RESULTADO!$BN64,'MtM Releases'!$F:$F,RESULTADO!$BN63,'MtM Releases'!$D:$D,RESULTADO!CC$3)</f>
        <v>0</v>
      </c>
      <c r="CD64" s="53">
        <f>SUMIFS('MtM Releases'!$M:$M,'MtM Releases'!$G:$G,RESULTADO!$BN64,'MtM Releases'!$F:$F,RESULTADO!$BN63,'MtM Releases'!$D:$D,RESULTADO!CD$3)</f>
        <v>0</v>
      </c>
      <c r="CE64" s="53">
        <f>SUMIFS('MtM Releases'!$M:$M,'MtM Releases'!$G:$G,RESULTADO!$BN64,'MtM Releases'!$F:$F,RESULTADO!$BN63,'MtM Releases'!$D:$D,RESULTADO!CE$3)</f>
        <v>0</v>
      </c>
      <c r="CF64" s="53">
        <f>SUMIFS('MtM Releases'!$M:$M,'MtM Releases'!$G:$G,RESULTADO!$BN64,'MtM Releases'!$F:$F,RESULTADO!$BN63,'MtM Releases'!$D:$D,RESULTADO!CF$3)</f>
        <v>0</v>
      </c>
      <c r="CG64" s="53">
        <f>SUMIFS('MtM Releases'!$M:$M,'MtM Releases'!$G:$G,RESULTADO!$BN64,'MtM Releases'!$F:$F,RESULTADO!$BN63,'MtM Releases'!$D:$D,RESULTADO!CG$3)</f>
        <v>0</v>
      </c>
      <c r="CH64" s="53">
        <f>SUMIFS('MtM Releases'!$M:$M,'MtM Releases'!$G:$G,RESULTADO!$BN64,'MtM Releases'!$F:$F,RESULTADO!$BN63,'MtM Releases'!$D:$D,RESULTADO!CH$3)</f>
        <v>0</v>
      </c>
      <c r="CI64" s="53">
        <f>SUMIFS('MtM Releases'!$M:$M,'MtM Releases'!$G:$G,RESULTADO!$BN64,'MtM Releases'!$F:$F,RESULTADO!$BN63,'MtM Releases'!$D:$D,RESULTADO!CI$3)</f>
        <v>0</v>
      </c>
      <c r="CJ64" s="53">
        <f>SUMIFS('MtM Releases'!$M:$M,'MtM Releases'!$G:$G,RESULTADO!$BN64,'MtM Releases'!$F:$F,RESULTADO!$BN63,'MtM Releases'!$D:$D,RESULTADO!CJ$3)</f>
        <v>0</v>
      </c>
      <c r="CK64" s="53">
        <f>SUMIFS('MtM Releases'!$M:$M,'MtM Releases'!$G:$G,RESULTADO!$BN64,'MtM Releases'!$F:$F,RESULTADO!$BN63,'MtM Releases'!$D:$D,RESULTADO!CK$3)</f>
        <v>0</v>
      </c>
      <c r="CL64" s="63">
        <f>SUMIFS('MtM Releases'!$M:$M,'MtM Releases'!$G:$G,RESULTADO!$BN64,'MtM Releases'!$F:$F,RESULTADO!$BN63,'MtM Releases'!$D:$D,RESULTADO!CL$3)</f>
        <v>0</v>
      </c>
      <c r="CM64" s="53">
        <f>SUMIFS('MtM Releases'!$M:$M,'MtM Releases'!$G:$G,RESULTADO!$BN64,'MtM Releases'!$F:$F,RESULTADO!$BN63,'MtM Releases'!$D:$D,RESULTADO!CM$3)</f>
        <v>0</v>
      </c>
      <c r="CN64" s="53">
        <f>SUMIFS('MtM Releases'!$M:$M,'MtM Releases'!$G:$G,RESULTADO!$BN64,'MtM Releases'!$F:$F,RESULTADO!$BN63,'MtM Releases'!$D:$D,RESULTADO!CN$3)</f>
        <v>0</v>
      </c>
      <c r="CO64" s="53">
        <f>SUMIFS('MtM Releases'!$M:$M,'MtM Releases'!$G:$G,RESULTADO!$BN64,'MtM Releases'!$F:$F,RESULTADO!$BN63,'MtM Releases'!$D:$D,RESULTADO!CO$3)</f>
        <v>0</v>
      </c>
      <c r="CP64" s="53">
        <f>SUMIFS('MtM Releases'!$M:$M,'MtM Releases'!$G:$G,RESULTADO!$BN64,'MtM Releases'!$F:$F,RESULTADO!$BN63,'MtM Releases'!$D:$D,RESULTADO!CP$3)</f>
        <v>0</v>
      </c>
      <c r="CQ64" s="53">
        <f>SUMIFS('MtM Releases'!$M:$M,'MtM Releases'!$G:$G,RESULTADO!$BN64,'MtM Releases'!$F:$F,RESULTADO!$BN63,'MtM Releases'!$D:$D,RESULTADO!CQ$3)</f>
        <v>0</v>
      </c>
      <c r="CR64" s="53">
        <f>SUMIFS('MtM Releases'!$M:$M,'MtM Releases'!$G:$G,RESULTADO!$BN64,'MtM Releases'!$F:$F,RESULTADO!$BN63,'MtM Releases'!$D:$D,RESULTADO!CR$3)</f>
        <v>0</v>
      </c>
      <c r="CS64" s="53">
        <f>SUMIFS('MtM Releases'!$M:$M,'MtM Releases'!$G:$G,RESULTADO!$BN64,'MtM Releases'!$F:$F,RESULTADO!$BN63,'MtM Releases'!$D:$D,RESULTADO!CS$3)</f>
        <v>0</v>
      </c>
      <c r="CT64" s="53">
        <f>SUMIFS('MtM Releases'!$M:$M,'MtM Releases'!$G:$G,RESULTADO!$BN64,'MtM Releases'!$F:$F,RESULTADO!$BN63,'MtM Releases'!$D:$D,RESULTADO!CT$3)</f>
        <v>0</v>
      </c>
      <c r="CU64" s="53">
        <f>SUMIFS('MtM Releases'!$M:$M,'MtM Releases'!$G:$G,RESULTADO!$BN64,'MtM Releases'!$F:$F,RESULTADO!$BN63,'MtM Releases'!$D:$D,RESULTADO!CU$3)</f>
        <v>0</v>
      </c>
      <c r="CV64" s="53">
        <f>SUMIFS('MtM Releases'!$M:$M,'MtM Releases'!$G:$G,RESULTADO!$BN64,'MtM Releases'!$F:$F,RESULTADO!$BN63,'MtM Releases'!$D:$D,RESULTADO!CV$3)</f>
        <v>0</v>
      </c>
      <c r="CW64" s="53">
        <f>SUMIFS('MtM Releases'!$M:$M,'MtM Releases'!$G:$G,RESULTADO!$BN64,'MtM Releases'!$F:$F,RESULTADO!$BN63,'MtM Releases'!$D:$D,RESULTADO!CW$3)</f>
        <v>0</v>
      </c>
      <c r="CX64" s="54">
        <f>SUMIFS('MtM Releases'!$M:$M,'MtM Releases'!$G:$G,RESULTADO!$BN64,'MtM Releases'!$F:$F,RESULTADO!$BN63,'MtM Releases'!$D:$D,RESULTADO!CX$3)</f>
        <v>0</v>
      </c>
      <c r="CY64" s="53">
        <f>SUMIFS('MtM Releases'!$M:$M,'MtM Releases'!$G:$G,RESULTADO!$BN64,'MtM Releases'!$F:$F,RESULTADO!$BN63,'MtM Releases'!$D:$D,RESULTADO!CY$3)</f>
        <v>0</v>
      </c>
      <c r="CZ64" s="53">
        <f>SUMIFS('MtM Releases'!$M:$M,'MtM Releases'!$G:$G,RESULTADO!$BN64,'MtM Releases'!$F:$F,RESULTADO!$BN63,'MtM Releases'!$D:$D,RESULTADO!CZ$3)</f>
        <v>0</v>
      </c>
      <c r="DA64" s="53">
        <f>SUMIFS('MtM Releases'!$M:$M,'MtM Releases'!$G:$G,RESULTADO!$BN64,'MtM Releases'!$F:$F,RESULTADO!$BN63,'MtM Releases'!$D:$D,RESULTADO!DA$3)</f>
        <v>0</v>
      </c>
      <c r="DB64" s="53">
        <f>SUMIFS('MtM Releases'!$M:$M,'MtM Releases'!$G:$G,RESULTADO!$BN64,'MtM Releases'!$F:$F,RESULTADO!$BN63,'MtM Releases'!$D:$D,RESULTADO!DB$3)</f>
        <v>0</v>
      </c>
      <c r="DC64" s="53">
        <f>SUMIFS('MtM Releases'!$M:$M,'MtM Releases'!$G:$G,RESULTADO!$BN64,'MtM Releases'!$F:$F,RESULTADO!$BN63,'MtM Releases'!$D:$D,RESULTADO!DC$3)</f>
        <v>0</v>
      </c>
      <c r="DD64" s="53">
        <f>SUMIFS('MtM Releases'!$M:$M,'MtM Releases'!$G:$G,RESULTADO!$BN64,'MtM Releases'!$F:$F,RESULTADO!$BN63,'MtM Releases'!$D:$D,RESULTADO!DD$3)</f>
        <v>0</v>
      </c>
      <c r="DE64" s="53">
        <f>SUMIFS('MtM Releases'!$M:$M,'MtM Releases'!$G:$G,RESULTADO!$BN64,'MtM Releases'!$F:$F,RESULTADO!$BN63,'MtM Releases'!$D:$D,RESULTADO!DE$3)</f>
        <v>0</v>
      </c>
      <c r="DF64" s="53">
        <f>SUMIFS('MtM Releases'!$M:$M,'MtM Releases'!$G:$G,RESULTADO!$BN64,'MtM Releases'!$F:$F,RESULTADO!$BN63,'MtM Releases'!$D:$D,RESULTADO!DF$3)</f>
        <v>0</v>
      </c>
      <c r="DG64" s="53">
        <f>SUMIFS('MtM Releases'!$M:$M,'MtM Releases'!$G:$G,RESULTADO!$BN64,'MtM Releases'!$F:$F,RESULTADO!$BN63,'MtM Releases'!$D:$D,RESULTADO!DG$3)</f>
        <v>0</v>
      </c>
      <c r="DH64" s="53">
        <f>SUMIFS('MtM Releases'!$M:$M,'MtM Releases'!$G:$G,RESULTADO!$BN64,'MtM Releases'!$F:$F,RESULTADO!$BN63,'MtM Releases'!$D:$D,RESULTADO!DH$3)</f>
        <v>0</v>
      </c>
      <c r="DI64" s="53">
        <f>SUMIFS('MtM Releases'!$M:$M,'MtM Releases'!$G:$G,RESULTADO!$BN64,'MtM Releases'!$F:$F,RESULTADO!$BN63,'MtM Releases'!$D:$D,RESULTADO!DI$3)</f>
        <v>0</v>
      </c>
      <c r="DJ64" s="63">
        <f>SUMIFS('MtM Releases'!$M:$M,'MtM Releases'!$G:$G,RESULTADO!$BN64,'MtM Releases'!$F:$F,RESULTADO!$BN63,'MtM Releases'!$D:$D,RESULTADO!DJ$3)</f>
        <v>0</v>
      </c>
      <c r="DK64" s="53">
        <f>SUMIFS('MtM Releases'!$M:$M,'MtM Releases'!$G:$G,RESULTADO!$BN64,'MtM Releases'!$F:$F,RESULTADO!$BN63,'MtM Releases'!$D:$D,RESULTADO!DK$3)</f>
        <v>0</v>
      </c>
      <c r="DL64" s="53">
        <f>SUMIFS('MtM Releases'!$M:$M,'MtM Releases'!$G:$G,RESULTADO!$BN64,'MtM Releases'!$F:$F,RESULTADO!$BN63,'MtM Releases'!$D:$D,RESULTADO!DL$3)</f>
        <v>0</v>
      </c>
      <c r="DM64" s="53">
        <f>SUMIFS('MtM Releases'!$M:$M,'MtM Releases'!$G:$G,RESULTADO!$BN64,'MtM Releases'!$F:$F,RESULTADO!$BN63,'MtM Releases'!$D:$D,RESULTADO!DM$3)</f>
        <v>0</v>
      </c>
      <c r="DN64" s="53">
        <f>SUMIFS('MtM Releases'!$M:$M,'MtM Releases'!$G:$G,RESULTADO!$BN64,'MtM Releases'!$F:$F,RESULTADO!$BN63,'MtM Releases'!$D:$D,RESULTADO!DN$3)</f>
        <v>0</v>
      </c>
      <c r="DO64" s="53">
        <f>SUMIFS('MtM Releases'!$M:$M,'MtM Releases'!$G:$G,RESULTADO!$BN64,'MtM Releases'!$F:$F,RESULTADO!$BN63,'MtM Releases'!$D:$D,RESULTADO!DO$3)</f>
        <v>0</v>
      </c>
      <c r="DP64" s="53">
        <f>SUMIFS('MtM Releases'!$M:$M,'MtM Releases'!$G:$G,RESULTADO!$BN64,'MtM Releases'!$F:$F,RESULTADO!$BN63,'MtM Releases'!$D:$D,RESULTADO!DP$3)</f>
        <v>0</v>
      </c>
      <c r="DQ64" s="53">
        <f>SUMIFS('MtM Releases'!$M:$M,'MtM Releases'!$G:$G,RESULTADO!$BN64,'MtM Releases'!$F:$F,RESULTADO!$BN63,'MtM Releases'!$D:$D,RESULTADO!DQ$3)</f>
        <v>0</v>
      </c>
      <c r="DR64" s="53">
        <f>SUMIFS('MtM Releases'!$M:$M,'MtM Releases'!$G:$G,RESULTADO!$BN64,'MtM Releases'!$F:$F,RESULTADO!$BN63,'MtM Releases'!$D:$D,RESULTADO!DR$3)</f>
        <v>0</v>
      </c>
      <c r="DS64" s="53">
        <f>SUMIFS('MtM Releases'!$M:$M,'MtM Releases'!$G:$G,RESULTADO!$BN64,'MtM Releases'!$F:$F,RESULTADO!$BN63,'MtM Releases'!$D:$D,RESULTADO!DS$3)</f>
        <v>0</v>
      </c>
      <c r="DT64" s="53">
        <f>SUMIFS('MtM Releases'!$M:$M,'MtM Releases'!$G:$G,RESULTADO!$BN64,'MtM Releases'!$F:$F,RESULTADO!$BN63,'MtM Releases'!$D:$D,RESULTADO!DT$3)</f>
        <v>0</v>
      </c>
      <c r="DU64" s="53">
        <f>SUMIFS('MtM Releases'!$M:$M,'MtM Releases'!$G:$G,RESULTADO!$BN64,'MtM Releases'!$F:$F,RESULTADO!$BN63,'MtM Releases'!$D:$D,RESULTADO!DU$3)</f>
        <v>0</v>
      </c>
      <c r="DV64" s="63">
        <f>SUMIFS('MtM Releases'!$M:$M,'MtM Releases'!$G:$G,RESULTADO!$BN64,'MtM Releases'!$F:$F,RESULTADO!$BN63,'MtM Releases'!$D:$D,RESULTADO!DV$3)</f>
        <v>0</v>
      </c>
    </row>
    <row r="65" spans="2:126" x14ac:dyDescent="0.25">
      <c r="B65" s="57" t="s">
        <v>12</v>
      </c>
      <c r="C65" s="53">
        <f>(SUMIFS(MtM!$V:$V,MtM!$I:$I,RESULTADO!$B65,MtM!$H:$H,RESULTADO!$B$63,MtM!$E:$E,RESULTADO!C$42))</f>
        <v>0</v>
      </c>
      <c r="D65" s="53">
        <f>(SUMIFS(MtM!$V:$V,MtM!$I:$I,RESULTADO!$B65,MtM!$H:$H,RESULTADO!$B$63,MtM!$E:$E,RESULTADO!D$42))</f>
        <v>0</v>
      </c>
      <c r="E65" s="53">
        <f>(SUMIFS(MtM!$V:$V,MtM!$I:$I,RESULTADO!$B65,MtM!$H:$H,RESULTADO!$B$63,MtM!$E:$E,RESULTADO!E$42))</f>
        <v>0</v>
      </c>
      <c r="F65" s="53">
        <f>(SUMIFS(MtM!$V:$V,MtM!$I:$I,RESULTADO!$B65,MtM!$H:$H,RESULTADO!$B$63,MtM!$E:$E,RESULTADO!F$42))</f>
        <v>0</v>
      </c>
      <c r="G65" s="53">
        <f>(SUMIFS(MtM!$V:$V,MtM!$I:$I,RESULTADO!$B65,MtM!$H:$H,RESULTADO!$B$63,MtM!$E:$E,RESULTADO!G$42))</f>
        <v>0</v>
      </c>
      <c r="H65" s="53">
        <f>(SUMIFS(MtM!$V:$V,MtM!$I:$I,RESULTADO!$B65,MtM!$H:$H,RESULTADO!$B$63,MtM!$E:$E,RESULTADO!H$42))</f>
        <v>0</v>
      </c>
      <c r="I65" s="53">
        <f>(SUMIFS(MtM!$V:$V,MtM!$I:$I,RESULTADO!$B65,MtM!$H:$H,RESULTADO!$B$63,MtM!$E:$E,RESULTADO!I$42))</f>
        <v>0</v>
      </c>
      <c r="J65" s="53">
        <f>(SUMIFS(MtM!$V:$V,MtM!$I:$I,RESULTADO!$B65,MtM!$H:$H,RESULTADO!$B$63,MtM!$E:$E,RESULTADO!J$42))</f>
        <v>0</v>
      </c>
      <c r="K65" s="53">
        <f>(SUMIFS(MtM!$V:$V,MtM!$I:$I,RESULTADO!$B65,MtM!$H:$H,RESULTADO!$B$63,MtM!$E:$E,RESULTADO!K$42))</f>
        <v>0</v>
      </c>
      <c r="L65" s="53">
        <f>(SUMIFS(MtM!$V:$V,MtM!$I:$I,RESULTADO!$B65,MtM!$H:$H,RESULTADO!$B$63,MtM!$E:$E,RESULTADO!L$42))</f>
        <v>0</v>
      </c>
      <c r="M65" s="53">
        <f>(SUMIFS(MtM!$V:$V,MtM!$I:$I,RESULTADO!$B65,MtM!$H:$H,RESULTADO!$B$63,MtM!$E:$E,RESULTADO!M$42))</f>
        <v>0</v>
      </c>
      <c r="N65" s="54">
        <f>(SUMIFS(MtM!$V:$V,MtM!$I:$I,RESULTADO!$B65,MtM!$H:$H,RESULTADO!$B$63,MtM!$E:$E,RESULTADO!N$42))</f>
        <v>0</v>
      </c>
      <c r="O65" s="53">
        <f>(SUMIFS(MtM!$V:$V,MtM!$I:$I,RESULTADO!$B65,MtM!$H:$H,RESULTADO!$B$63,MtM!$E:$E,RESULTADO!O$42))</f>
        <v>0</v>
      </c>
      <c r="P65" s="53">
        <f>(SUMIFS(MtM!$V:$V,MtM!$I:$I,RESULTADO!$B65,MtM!$H:$H,RESULTADO!$B$63,MtM!$E:$E,RESULTADO!P$42))</f>
        <v>0</v>
      </c>
      <c r="Q65" s="53">
        <f>(SUMIFS(MtM!$V:$V,MtM!$I:$I,RESULTADO!$B65,MtM!$H:$H,RESULTADO!$B$63,MtM!$E:$E,RESULTADO!Q$42))</f>
        <v>0</v>
      </c>
      <c r="R65" s="53">
        <f>(SUMIFS(MtM!$V:$V,MtM!$I:$I,RESULTADO!$B65,MtM!$H:$H,RESULTADO!$B$63,MtM!$E:$E,RESULTADO!R$42))</f>
        <v>0</v>
      </c>
      <c r="S65" s="53">
        <f>(SUMIFS(MtM!$V:$V,MtM!$I:$I,RESULTADO!$B65,MtM!$H:$H,RESULTADO!$B$63,MtM!$E:$E,RESULTADO!S$42))</f>
        <v>0</v>
      </c>
      <c r="T65" s="53">
        <f>(SUMIFS(MtM!$V:$V,MtM!$I:$I,RESULTADO!$B65,MtM!$H:$H,RESULTADO!$B$63,MtM!$E:$E,RESULTADO!T$42))</f>
        <v>0</v>
      </c>
      <c r="U65" s="53">
        <f>(SUMIFS(MtM!$V:$V,MtM!$I:$I,RESULTADO!$B65,MtM!$H:$H,RESULTADO!$B$63,MtM!$E:$E,RESULTADO!U$42))</f>
        <v>0</v>
      </c>
      <c r="V65" s="53">
        <f>(SUMIFS(MtM!$V:$V,MtM!$I:$I,RESULTADO!$B65,MtM!$H:$H,RESULTADO!$B$63,MtM!$E:$E,RESULTADO!V$42))</f>
        <v>0</v>
      </c>
      <c r="W65" s="53">
        <f>(SUMIFS(MtM!$V:$V,MtM!$I:$I,RESULTADO!$B65,MtM!$H:$H,RESULTADO!$B$63,MtM!$E:$E,RESULTADO!W$42))</f>
        <v>0</v>
      </c>
      <c r="X65" s="53">
        <f>(SUMIFS(MtM!$V:$V,MtM!$I:$I,RESULTADO!$B65,MtM!$H:$H,RESULTADO!$B$63,MtM!$E:$E,RESULTADO!X$42))</f>
        <v>0</v>
      </c>
      <c r="Y65" s="53">
        <f>(SUMIFS(MtM!$V:$V,MtM!$I:$I,RESULTADO!$B65,MtM!$H:$H,RESULTADO!$B$63,MtM!$E:$E,RESULTADO!Y$42))</f>
        <v>0</v>
      </c>
      <c r="Z65" s="63">
        <f>(SUMIFS(MtM!$V:$V,MtM!$I:$I,RESULTADO!$B65,MtM!$H:$H,RESULTADO!$B$63,MtM!$E:$E,RESULTADO!Z$42))</f>
        <v>0</v>
      </c>
      <c r="AA65" s="53">
        <f>(SUMIFS(MtM!$V:$V,MtM!$I:$I,RESULTADO!$B65,MtM!$H:$H,RESULTADO!$B$63,MtM!$E:$E,RESULTADO!AA$42))</f>
        <v>0</v>
      </c>
      <c r="AB65" s="53">
        <f>(SUMIFS(MtM!$V:$V,MtM!$I:$I,RESULTADO!$B65,MtM!$H:$H,RESULTADO!$B$63,MtM!$E:$E,RESULTADO!AB$42))</f>
        <v>0</v>
      </c>
      <c r="AC65" s="53">
        <f>(SUMIFS(MtM!$V:$V,MtM!$I:$I,RESULTADO!$B65,MtM!$H:$H,RESULTADO!$B$63,MtM!$E:$E,RESULTADO!AC$42))</f>
        <v>0</v>
      </c>
      <c r="AD65" s="53">
        <f>(SUMIFS(MtM!$V:$V,MtM!$I:$I,RESULTADO!$B65,MtM!$H:$H,RESULTADO!$B$63,MtM!$E:$E,RESULTADO!AD$42))</f>
        <v>0</v>
      </c>
      <c r="AE65" s="53">
        <f>(SUMIFS(MtM!$V:$V,MtM!$I:$I,RESULTADO!$B65,MtM!$H:$H,RESULTADO!$B$63,MtM!$E:$E,RESULTADO!AE$42))</f>
        <v>0</v>
      </c>
      <c r="AF65" s="53">
        <f>(SUMIFS(MtM!$V:$V,MtM!$I:$I,RESULTADO!$B65,MtM!$H:$H,RESULTADO!$B$63,MtM!$E:$E,RESULTADO!AF$42))</f>
        <v>0</v>
      </c>
      <c r="AG65" s="53">
        <f>(SUMIFS(MtM!$V:$V,MtM!$I:$I,RESULTADO!$B65,MtM!$H:$H,RESULTADO!$B$63,MtM!$E:$E,RESULTADO!AG$42))</f>
        <v>0</v>
      </c>
      <c r="AH65" s="53">
        <f>(SUMIFS(MtM!$V:$V,MtM!$I:$I,RESULTADO!$B65,MtM!$H:$H,RESULTADO!$B$63,MtM!$E:$E,RESULTADO!AH$42))</f>
        <v>0</v>
      </c>
      <c r="AI65" s="53">
        <f>(SUMIFS(MtM!$V:$V,MtM!$I:$I,RESULTADO!$B65,MtM!$H:$H,RESULTADO!$B$63,MtM!$E:$E,RESULTADO!AI$42))</f>
        <v>0</v>
      </c>
      <c r="AJ65" s="53">
        <f>(SUMIFS(MtM!$V:$V,MtM!$I:$I,RESULTADO!$B65,MtM!$H:$H,RESULTADO!$B$63,MtM!$E:$E,RESULTADO!AJ$42))</f>
        <v>0</v>
      </c>
      <c r="AK65" s="53">
        <f>(SUMIFS(MtM!$V:$V,MtM!$I:$I,RESULTADO!$B65,MtM!$H:$H,RESULTADO!$B$63,MtM!$E:$E,RESULTADO!AK$42))</f>
        <v>0</v>
      </c>
      <c r="AL65" s="54">
        <f>(SUMIFS(MtM!$V:$V,MtM!$I:$I,RESULTADO!$B65,MtM!$H:$H,RESULTADO!$B$63,MtM!$E:$E,RESULTADO!AL$42))</f>
        <v>0</v>
      </c>
      <c r="AM65" s="53">
        <f>(SUMIFS(MtM!$V:$V,MtM!$I:$I,RESULTADO!$B65,MtM!$H:$H,RESULTADO!$B$63,MtM!$E:$E,RESULTADO!AM$42))</f>
        <v>0</v>
      </c>
      <c r="AN65" s="53">
        <f>(SUMIFS(MtM!$V:$V,MtM!$I:$I,RESULTADO!$B65,MtM!$H:$H,RESULTADO!$B$63,MtM!$E:$E,RESULTADO!AN$42))</f>
        <v>0</v>
      </c>
      <c r="AO65" s="53">
        <f>(SUMIFS(MtM!$V:$V,MtM!$I:$I,RESULTADO!$B65,MtM!$H:$H,RESULTADO!$B$63,MtM!$E:$E,RESULTADO!AO$42))</f>
        <v>0</v>
      </c>
      <c r="AP65" s="53">
        <f>(SUMIFS(MtM!$V:$V,MtM!$I:$I,RESULTADO!$B65,MtM!$H:$H,RESULTADO!$B$63,MtM!$E:$E,RESULTADO!AP$42))</f>
        <v>0</v>
      </c>
      <c r="AQ65" s="53">
        <f>(SUMIFS(MtM!$V:$V,MtM!$I:$I,RESULTADO!$B65,MtM!$H:$H,RESULTADO!$B$63,MtM!$E:$E,RESULTADO!AQ$42))</f>
        <v>0</v>
      </c>
      <c r="AR65" s="53">
        <f>(SUMIFS(MtM!$V:$V,MtM!$I:$I,RESULTADO!$B65,MtM!$H:$H,RESULTADO!$B$63,MtM!$E:$E,RESULTADO!AR$42))</f>
        <v>0</v>
      </c>
      <c r="AS65" s="53">
        <f>(SUMIFS(MtM!$V:$V,MtM!$I:$I,RESULTADO!$B65,MtM!$H:$H,RESULTADO!$B$63,MtM!$E:$E,RESULTADO!AS$42))</f>
        <v>0</v>
      </c>
      <c r="AT65" s="53">
        <f>(SUMIFS(MtM!$V:$V,MtM!$I:$I,RESULTADO!$B65,MtM!$H:$H,RESULTADO!$B$63,MtM!$E:$E,RESULTADO!AT$42))</f>
        <v>0</v>
      </c>
      <c r="AU65" s="53">
        <f>(SUMIFS(MtM!$V:$V,MtM!$I:$I,RESULTADO!$B65,MtM!$H:$H,RESULTADO!$B$63,MtM!$E:$E,RESULTADO!AU$42))</f>
        <v>0</v>
      </c>
      <c r="AV65" s="53">
        <f>(SUMIFS(MtM!$V:$V,MtM!$I:$I,RESULTADO!$B65,MtM!$H:$H,RESULTADO!$B$63,MtM!$E:$E,RESULTADO!AV$42))</f>
        <v>0</v>
      </c>
      <c r="AW65" s="53">
        <f>(SUMIFS(MtM!$V:$V,MtM!$I:$I,RESULTADO!$B65,MtM!$H:$H,RESULTADO!$B$63,MtM!$E:$E,RESULTADO!AW$42))</f>
        <v>0</v>
      </c>
      <c r="AX65" s="63">
        <f>(SUMIFS(MtM!$V:$V,MtM!$I:$I,RESULTADO!$B65,MtM!$H:$H,RESULTADO!$B$63,MtM!$E:$E,RESULTADO!AX$42))</f>
        <v>0</v>
      </c>
      <c r="AY65" s="53">
        <f>(SUMIFS(MtM!$V:$V,MtM!$I:$I,RESULTADO!$B65,MtM!$H:$H,RESULTADO!$B$63,MtM!$E:$E,RESULTADO!AY$42))</f>
        <v>0</v>
      </c>
      <c r="AZ65" s="53">
        <f>(SUMIFS(MtM!$V:$V,MtM!$I:$I,RESULTADO!$B65,MtM!$H:$H,RESULTADO!$B$63,MtM!$E:$E,RESULTADO!AZ$42))</f>
        <v>0</v>
      </c>
      <c r="BA65" s="53">
        <f>(SUMIFS(MtM!$V:$V,MtM!$I:$I,RESULTADO!$B65,MtM!$H:$H,RESULTADO!$B$63,MtM!$E:$E,RESULTADO!BA$42))</f>
        <v>0</v>
      </c>
      <c r="BB65" s="53">
        <f>(SUMIFS(MtM!$V:$V,MtM!$I:$I,RESULTADO!$B65,MtM!$H:$H,RESULTADO!$B$63,MtM!$E:$E,RESULTADO!BB$42))</f>
        <v>0</v>
      </c>
      <c r="BC65" s="53">
        <f>(SUMIFS(MtM!$V:$V,MtM!$I:$I,RESULTADO!$B65,MtM!$H:$H,RESULTADO!$B$63,MtM!$E:$E,RESULTADO!BC$42))</f>
        <v>0</v>
      </c>
      <c r="BD65" s="53">
        <f>(SUMIFS(MtM!$V:$V,MtM!$I:$I,RESULTADO!$B65,MtM!$H:$H,RESULTADO!$B$63,MtM!$E:$E,RESULTADO!BD$42))</f>
        <v>0</v>
      </c>
      <c r="BE65" s="53">
        <f>(SUMIFS(MtM!$V:$V,MtM!$I:$I,RESULTADO!$B65,MtM!$H:$H,RESULTADO!$B$63,MtM!$E:$E,RESULTADO!BE$42))</f>
        <v>0</v>
      </c>
      <c r="BF65" s="53">
        <f>(SUMIFS(MtM!$V:$V,MtM!$I:$I,RESULTADO!$B65,MtM!$H:$H,RESULTADO!$B$63,MtM!$E:$E,RESULTADO!BF$42))</f>
        <v>0</v>
      </c>
      <c r="BG65" s="53">
        <f>(SUMIFS(MtM!$V:$V,MtM!$I:$I,RESULTADO!$B65,MtM!$H:$H,RESULTADO!$B$63,MtM!$E:$E,RESULTADO!BG$42))</f>
        <v>0</v>
      </c>
      <c r="BH65" s="53">
        <f>(SUMIFS(MtM!$V:$V,MtM!$I:$I,RESULTADO!$B65,MtM!$H:$H,RESULTADO!$B$63,MtM!$E:$E,RESULTADO!BH$42))</f>
        <v>0</v>
      </c>
      <c r="BI65" s="53">
        <f>(SUMIFS(MtM!$V:$V,MtM!$I:$I,RESULTADO!$B65,MtM!$H:$H,RESULTADO!$B$63,MtM!$E:$E,RESULTADO!BI$42))</f>
        <v>0</v>
      </c>
      <c r="BJ65" s="63">
        <f>(SUMIFS(MtM!$V:$V,MtM!$I:$I,RESULTADO!$B65,MtM!$H:$H,RESULTADO!$B$63,MtM!$E:$E,RESULTADO!BJ$42))</f>
        <v>0</v>
      </c>
      <c r="BL65" s="120"/>
      <c r="BN65" s="57" t="s">
        <v>12</v>
      </c>
      <c r="BO65" s="53">
        <f>SUMIFS('MtM Releases'!$M:$M,'MtM Releases'!$G:$G,RESULTADO!$BN65,'MtM Releases'!$F:$F,RESULTADO!$BN63,'MtM Releases'!$D:$D,RESULTADO!BO$3)</f>
        <v>0</v>
      </c>
      <c r="BP65" s="53">
        <f>SUMIFS('MtM Releases'!$M:$M,'MtM Releases'!$G:$G,RESULTADO!$BN65,'MtM Releases'!$F:$F,RESULTADO!$BN63,'MtM Releases'!$D:$D,RESULTADO!BP$3)</f>
        <v>0</v>
      </c>
      <c r="BQ65" s="53">
        <f>SUMIFS('MtM Releases'!$M:$M,'MtM Releases'!$G:$G,RESULTADO!$BN65,'MtM Releases'!$F:$F,RESULTADO!$BN63,'MtM Releases'!$D:$D,RESULTADO!BQ$3)</f>
        <v>0</v>
      </c>
      <c r="BR65" s="53">
        <f>SUMIFS('MtM Releases'!$M:$M,'MtM Releases'!$G:$G,RESULTADO!$BN65,'MtM Releases'!$F:$F,RESULTADO!$BN63,'MtM Releases'!$D:$D,RESULTADO!BR$3)</f>
        <v>0</v>
      </c>
      <c r="BS65" s="53">
        <f>SUMIFS('MtM Releases'!$M:$M,'MtM Releases'!$G:$G,RESULTADO!$BN65,'MtM Releases'!$F:$F,RESULTADO!$BN63,'MtM Releases'!$D:$D,RESULTADO!BS$3)</f>
        <v>0</v>
      </c>
      <c r="BT65" s="53">
        <f>SUMIFS('MtM Releases'!$M:$M,'MtM Releases'!$G:$G,RESULTADO!$BN65,'MtM Releases'!$F:$F,RESULTADO!$BN63,'MtM Releases'!$D:$D,RESULTADO!BT$3)</f>
        <v>0</v>
      </c>
      <c r="BU65" s="53">
        <f>SUMIFS('MtM Releases'!$M:$M,'MtM Releases'!$G:$G,RESULTADO!$BN65,'MtM Releases'!$F:$F,RESULTADO!$BN63,'MtM Releases'!$D:$D,RESULTADO!BU$3)</f>
        <v>0</v>
      </c>
      <c r="BV65" s="53">
        <f>SUMIFS('MtM Releases'!$M:$M,'MtM Releases'!$G:$G,RESULTADO!$BN65,'MtM Releases'!$F:$F,RESULTADO!$BN63,'MtM Releases'!$D:$D,RESULTADO!BV$3)</f>
        <v>0</v>
      </c>
      <c r="BW65" s="53">
        <f>SUMIFS('MtM Releases'!$M:$M,'MtM Releases'!$G:$G,RESULTADO!$BN65,'MtM Releases'!$F:$F,RESULTADO!$BN63,'MtM Releases'!$D:$D,RESULTADO!BW$3)</f>
        <v>0</v>
      </c>
      <c r="BX65" s="53">
        <f>SUMIFS('MtM Releases'!$M:$M,'MtM Releases'!$G:$G,RESULTADO!$BN65,'MtM Releases'!$F:$F,RESULTADO!$BN63,'MtM Releases'!$D:$D,RESULTADO!BX$3)</f>
        <v>0</v>
      </c>
      <c r="BY65" s="53">
        <f>SUMIFS('MtM Releases'!$M:$M,'MtM Releases'!$G:$G,RESULTADO!$BN65,'MtM Releases'!$F:$F,RESULTADO!$BN63,'MtM Releases'!$D:$D,RESULTADO!BY$3)</f>
        <v>0</v>
      </c>
      <c r="BZ65" s="54">
        <f>SUMIFS('MtM Releases'!$M:$M,'MtM Releases'!$G:$G,RESULTADO!$BN65,'MtM Releases'!$F:$F,RESULTADO!$BN63,'MtM Releases'!$D:$D,RESULTADO!BZ$3)</f>
        <v>0</v>
      </c>
      <c r="CA65" s="53">
        <f>SUMIFS('MtM Releases'!$M:$M,'MtM Releases'!$G:$G,RESULTADO!$BN65,'MtM Releases'!$F:$F,RESULTADO!$BN63,'MtM Releases'!$D:$D,RESULTADO!CA$3)</f>
        <v>0</v>
      </c>
      <c r="CB65" s="53">
        <f>SUMIFS('MtM Releases'!$M:$M,'MtM Releases'!$G:$G,RESULTADO!$BN65,'MtM Releases'!$F:$F,RESULTADO!$BN63,'MtM Releases'!$D:$D,RESULTADO!CB$3)</f>
        <v>0</v>
      </c>
      <c r="CC65" s="53">
        <f>SUMIFS('MtM Releases'!$M:$M,'MtM Releases'!$G:$G,RESULTADO!$BN65,'MtM Releases'!$F:$F,RESULTADO!$BN63,'MtM Releases'!$D:$D,RESULTADO!CC$3)</f>
        <v>0</v>
      </c>
      <c r="CD65" s="53">
        <f>SUMIFS('MtM Releases'!$M:$M,'MtM Releases'!$G:$G,RESULTADO!$BN65,'MtM Releases'!$F:$F,RESULTADO!$BN63,'MtM Releases'!$D:$D,RESULTADO!CD$3)</f>
        <v>0</v>
      </c>
      <c r="CE65" s="53">
        <f>SUMIFS('MtM Releases'!$M:$M,'MtM Releases'!$G:$G,RESULTADO!$BN65,'MtM Releases'!$F:$F,RESULTADO!$BN63,'MtM Releases'!$D:$D,RESULTADO!CE$3)</f>
        <v>0</v>
      </c>
      <c r="CF65" s="53">
        <f>SUMIFS('MtM Releases'!$M:$M,'MtM Releases'!$G:$G,RESULTADO!$BN65,'MtM Releases'!$F:$F,RESULTADO!$BN63,'MtM Releases'!$D:$D,RESULTADO!CF$3)</f>
        <v>0</v>
      </c>
      <c r="CG65" s="53">
        <f>SUMIFS('MtM Releases'!$M:$M,'MtM Releases'!$G:$G,RESULTADO!$BN65,'MtM Releases'!$F:$F,RESULTADO!$BN63,'MtM Releases'!$D:$D,RESULTADO!CG$3)</f>
        <v>0</v>
      </c>
      <c r="CH65" s="53">
        <f>SUMIFS('MtM Releases'!$M:$M,'MtM Releases'!$G:$G,RESULTADO!$BN65,'MtM Releases'!$F:$F,RESULTADO!$BN63,'MtM Releases'!$D:$D,RESULTADO!CH$3)</f>
        <v>0</v>
      </c>
      <c r="CI65" s="53">
        <f>SUMIFS('MtM Releases'!$M:$M,'MtM Releases'!$G:$G,RESULTADO!$BN65,'MtM Releases'!$F:$F,RESULTADO!$BN63,'MtM Releases'!$D:$D,RESULTADO!CI$3)</f>
        <v>0</v>
      </c>
      <c r="CJ65" s="53">
        <f>SUMIFS('MtM Releases'!$M:$M,'MtM Releases'!$G:$G,RESULTADO!$BN65,'MtM Releases'!$F:$F,RESULTADO!$BN63,'MtM Releases'!$D:$D,RESULTADO!CJ$3)</f>
        <v>0</v>
      </c>
      <c r="CK65" s="53">
        <f>SUMIFS('MtM Releases'!$M:$M,'MtM Releases'!$G:$G,RESULTADO!$BN65,'MtM Releases'!$F:$F,RESULTADO!$BN63,'MtM Releases'!$D:$D,RESULTADO!CK$3)</f>
        <v>0</v>
      </c>
      <c r="CL65" s="63">
        <f>SUMIFS('MtM Releases'!$M:$M,'MtM Releases'!$G:$G,RESULTADO!$BN65,'MtM Releases'!$F:$F,RESULTADO!$BN63,'MtM Releases'!$D:$D,RESULTADO!CL$3)</f>
        <v>0</v>
      </c>
      <c r="CM65" s="53">
        <f>SUMIFS('MtM Releases'!$M:$M,'MtM Releases'!$G:$G,RESULTADO!$BN65,'MtM Releases'!$F:$F,RESULTADO!$BN63,'MtM Releases'!$D:$D,RESULTADO!CM$3)</f>
        <v>0</v>
      </c>
      <c r="CN65" s="53">
        <f>SUMIFS('MtM Releases'!$M:$M,'MtM Releases'!$G:$G,RESULTADO!$BN65,'MtM Releases'!$F:$F,RESULTADO!$BN63,'MtM Releases'!$D:$D,RESULTADO!CN$3)</f>
        <v>0</v>
      </c>
      <c r="CO65" s="53">
        <f>SUMIFS('MtM Releases'!$M:$M,'MtM Releases'!$G:$G,RESULTADO!$BN65,'MtM Releases'!$F:$F,RESULTADO!$BN63,'MtM Releases'!$D:$D,RESULTADO!CO$3)</f>
        <v>0</v>
      </c>
      <c r="CP65" s="53">
        <f>SUMIFS('MtM Releases'!$M:$M,'MtM Releases'!$G:$G,RESULTADO!$BN65,'MtM Releases'!$F:$F,RESULTADO!$BN63,'MtM Releases'!$D:$D,RESULTADO!CP$3)</f>
        <v>0</v>
      </c>
      <c r="CQ65" s="53">
        <f>SUMIFS('MtM Releases'!$M:$M,'MtM Releases'!$G:$G,RESULTADO!$BN65,'MtM Releases'!$F:$F,RESULTADO!$BN63,'MtM Releases'!$D:$D,RESULTADO!CQ$3)</f>
        <v>0</v>
      </c>
      <c r="CR65" s="53">
        <f>SUMIFS('MtM Releases'!$M:$M,'MtM Releases'!$G:$G,RESULTADO!$BN65,'MtM Releases'!$F:$F,RESULTADO!$BN63,'MtM Releases'!$D:$D,RESULTADO!CR$3)</f>
        <v>0</v>
      </c>
      <c r="CS65" s="53">
        <f>SUMIFS('MtM Releases'!$M:$M,'MtM Releases'!$G:$G,RESULTADO!$BN65,'MtM Releases'!$F:$F,RESULTADO!$BN63,'MtM Releases'!$D:$D,RESULTADO!CS$3)</f>
        <v>0</v>
      </c>
      <c r="CT65" s="53">
        <f>SUMIFS('MtM Releases'!$M:$M,'MtM Releases'!$G:$G,RESULTADO!$BN65,'MtM Releases'!$F:$F,RESULTADO!$BN63,'MtM Releases'!$D:$D,RESULTADO!CT$3)</f>
        <v>0</v>
      </c>
      <c r="CU65" s="53">
        <f>SUMIFS('MtM Releases'!$M:$M,'MtM Releases'!$G:$G,RESULTADO!$BN65,'MtM Releases'!$F:$F,RESULTADO!$BN63,'MtM Releases'!$D:$D,RESULTADO!CU$3)</f>
        <v>0</v>
      </c>
      <c r="CV65" s="53">
        <f>SUMIFS('MtM Releases'!$M:$M,'MtM Releases'!$G:$G,RESULTADO!$BN65,'MtM Releases'!$F:$F,RESULTADO!$BN63,'MtM Releases'!$D:$D,RESULTADO!CV$3)</f>
        <v>0</v>
      </c>
      <c r="CW65" s="53">
        <f>SUMIFS('MtM Releases'!$M:$M,'MtM Releases'!$G:$G,RESULTADO!$BN65,'MtM Releases'!$F:$F,RESULTADO!$BN63,'MtM Releases'!$D:$D,RESULTADO!CW$3)</f>
        <v>0</v>
      </c>
      <c r="CX65" s="54">
        <f>SUMIFS('MtM Releases'!$M:$M,'MtM Releases'!$G:$G,RESULTADO!$BN65,'MtM Releases'!$F:$F,RESULTADO!$BN63,'MtM Releases'!$D:$D,RESULTADO!CX$3)</f>
        <v>0</v>
      </c>
      <c r="CY65" s="53">
        <f>SUMIFS('MtM Releases'!$M:$M,'MtM Releases'!$G:$G,RESULTADO!$BN65,'MtM Releases'!$F:$F,RESULTADO!$BN63,'MtM Releases'!$D:$D,RESULTADO!CY$3)</f>
        <v>0</v>
      </c>
      <c r="CZ65" s="53">
        <f>SUMIFS('MtM Releases'!$M:$M,'MtM Releases'!$G:$G,RESULTADO!$BN65,'MtM Releases'!$F:$F,RESULTADO!$BN63,'MtM Releases'!$D:$D,RESULTADO!CZ$3)</f>
        <v>0</v>
      </c>
      <c r="DA65" s="53">
        <f>SUMIFS('MtM Releases'!$M:$M,'MtM Releases'!$G:$G,RESULTADO!$BN65,'MtM Releases'!$F:$F,RESULTADO!$BN63,'MtM Releases'!$D:$D,RESULTADO!DA$3)</f>
        <v>0</v>
      </c>
      <c r="DB65" s="53">
        <f>SUMIFS('MtM Releases'!$M:$M,'MtM Releases'!$G:$G,RESULTADO!$BN65,'MtM Releases'!$F:$F,RESULTADO!$BN63,'MtM Releases'!$D:$D,RESULTADO!DB$3)</f>
        <v>0</v>
      </c>
      <c r="DC65" s="53">
        <f>SUMIFS('MtM Releases'!$M:$M,'MtM Releases'!$G:$G,RESULTADO!$BN65,'MtM Releases'!$F:$F,RESULTADO!$BN63,'MtM Releases'!$D:$D,RESULTADO!DC$3)</f>
        <v>0</v>
      </c>
      <c r="DD65" s="53">
        <f>SUMIFS('MtM Releases'!$M:$M,'MtM Releases'!$G:$G,RESULTADO!$BN65,'MtM Releases'!$F:$F,RESULTADO!$BN63,'MtM Releases'!$D:$D,RESULTADO!DD$3)</f>
        <v>0</v>
      </c>
      <c r="DE65" s="53">
        <f>SUMIFS('MtM Releases'!$M:$M,'MtM Releases'!$G:$G,RESULTADO!$BN65,'MtM Releases'!$F:$F,RESULTADO!$BN63,'MtM Releases'!$D:$D,RESULTADO!DE$3)</f>
        <v>0</v>
      </c>
      <c r="DF65" s="53">
        <f>SUMIFS('MtM Releases'!$M:$M,'MtM Releases'!$G:$G,RESULTADO!$BN65,'MtM Releases'!$F:$F,RESULTADO!$BN63,'MtM Releases'!$D:$D,RESULTADO!DF$3)</f>
        <v>0</v>
      </c>
      <c r="DG65" s="53">
        <f>SUMIFS('MtM Releases'!$M:$M,'MtM Releases'!$G:$G,RESULTADO!$BN65,'MtM Releases'!$F:$F,RESULTADO!$BN63,'MtM Releases'!$D:$D,RESULTADO!DG$3)</f>
        <v>0</v>
      </c>
      <c r="DH65" s="53">
        <f>SUMIFS('MtM Releases'!$M:$M,'MtM Releases'!$G:$G,RESULTADO!$BN65,'MtM Releases'!$F:$F,RESULTADO!$BN63,'MtM Releases'!$D:$D,RESULTADO!DH$3)</f>
        <v>0</v>
      </c>
      <c r="DI65" s="53">
        <f>SUMIFS('MtM Releases'!$M:$M,'MtM Releases'!$G:$G,RESULTADO!$BN65,'MtM Releases'!$F:$F,RESULTADO!$BN63,'MtM Releases'!$D:$D,RESULTADO!DI$3)</f>
        <v>0</v>
      </c>
      <c r="DJ65" s="63">
        <f>SUMIFS('MtM Releases'!$M:$M,'MtM Releases'!$G:$G,RESULTADO!$BN65,'MtM Releases'!$F:$F,RESULTADO!$BN63,'MtM Releases'!$D:$D,RESULTADO!DJ$3)</f>
        <v>0</v>
      </c>
      <c r="DK65" s="53">
        <f>SUMIFS('MtM Releases'!$M:$M,'MtM Releases'!$G:$G,RESULTADO!$BN65,'MtM Releases'!$F:$F,RESULTADO!$BN63,'MtM Releases'!$D:$D,RESULTADO!DK$3)</f>
        <v>0</v>
      </c>
      <c r="DL65" s="53">
        <f>SUMIFS('MtM Releases'!$M:$M,'MtM Releases'!$G:$G,RESULTADO!$BN65,'MtM Releases'!$F:$F,RESULTADO!$BN63,'MtM Releases'!$D:$D,RESULTADO!DL$3)</f>
        <v>0</v>
      </c>
      <c r="DM65" s="53">
        <f>SUMIFS('MtM Releases'!$M:$M,'MtM Releases'!$G:$G,RESULTADO!$BN65,'MtM Releases'!$F:$F,RESULTADO!$BN63,'MtM Releases'!$D:$D,RESULTADO!DM$3)</f>
        <v>0</v>
      </c>
      <c r="DN65" s="53">
        <f>SUMIFS('MtM Releases'!$M:$M,'MtM Releases'!$G:$G,RESULTADO!$BN65,'MtM Releases'!$F:$F,RESULTADO!$BN63,'MtM Releases'!$D:$D,RESULTADO!DN$3)</f>
        <v>0</v>
      </c>
      <c r="DO65" s="53">
        <f>SUMIFS('MtM Releases'!$M:$M,'MtM Releases'!$G:$G,RESULTADO!$BN65,'MtM Releases'!$F:$F,RESULTADO!$BN63,'MtM Releases'!$D:$D,RESULTADO!DO$3)</f>
        <v>0</v>
      </c>
      <c r="DP65" s="53">
        <f>SUMIFS('MtM Releases'!$M:$M,'MtM Releases'!$G:$G,RESULTADO!$BN65,'MtM Releases'!$F:$F,RESULTADO!$BN63,'MtM Releases'!$D:$D,RESULTADO!DP$3)</f>
        <v>0</v>
      </c>
      <c r="DQ65" s="53">
        <f>SUMIFS('MtM Releases'!$M:$M,'MtM Releases'!$G:$G,RESULTADO!$BN65,'MtM Releases'!$F:$F,RESULTADO!$BN63,'MtM Releases'!$D:$D,RESULTADO!DQ$3)</f>
        <v>0</v>
      </c>
      <c r="DR65" s="53">
        <f>SUMIFS('MtM Releases'!$M:$M,'MtM Releases'!$G:$G,RESULTADO!$BN65,'MtM Releases'!$F:$F,RESULTADO!$BN63,'MtM Releases'!$D:$D,RESULTADO!DR$3)</f>
        <v>0</v>
      </c>
      <c r="DS65" s="53">
        <f>SUMIFS('MtM Releases'!$M:$M,'MtM Releases'!$G:$G,RESULTADO!$BN65,'MtM Releases'!$F:$F,RESULTADO!$BN63,'MtM Releases'!$D:$D,RESULTADO!DS$3)</f>
        <v>0</v>
      </c>
      <c r="DT65" s="53">
        <f>SUMIFS('MtM Releases'!$M:$M,'MtM Releases'!$G:$G,RESULTADO!$BN65,'MtM Releases'!$F:$F,RESULTADO!$BN63,'MtM Releases'!$D:$D,RESULTADO!DT$3)</f>
        <v>0</v>
      </c>
      <c r="DU65" s="53">
        <f>SUMIFS('MtM Releases'!$M:$M,'MtM Releases'!$G:$G,RESULTADO!$BN65,'MtM Releases'!$F:$F,RESULTADO!$BN63,'MtM Releases'!$D:$D,RESULTADO!DU$3)</f>
        <v>0</v>
      </c>
      <c r="DV65" s="63">
        <f>SUMIFS('MtM Releases'!$M:$M,'MtM Releases'!$G:$G,RESULTADO!$BN65,'MtM Releases'!$F:$F,RESULTADO!$BN63,'MtM Releases'!$D:$D,RESULTADO!DV$3)</f>
        <v>0</v>
      </c>
    </row>
    <row r="66" spans="2:126" x14ac:dyDescent="0.25">
      <c r="B66" s="57" t="s">
        <v>13</v>
      </c>
      <c r="C66" s="53">
        <f>(SUMIFS(MtM!$V:$V,MtM!$I:$I,RESULTADO!$B66,MtM!$H:$H,RESULTADO!$B$63,MtM!$E:$E,RESULTADO!C$42))</f>
        <v>0</v>
      </c>
      <c r="D66" s="53">
        <f>(SUMIFS(MtM!$V:$V,MtM!$I:$I,RESULTADO!$B66,MtM!$H:$H,RESULTADO!$B$63,MtM!$E:$E,RESULTADO!D$42))</f>
        <v>0</v>
      </c>
      <c r="E66" s="53">
        <f>(SUMIFS(MtM!$V:$V,MtM!$I:$I,RESULTADO!$B66,MtM!$H:$H,RESULTADO!$B$63,MtM!$E:$E,RESULTADO!E$42))</f>
        <v>0</v>
      </c>
      <c r="F66" s="53">
        <f>(SUMIFS(MtM!$V:$V,MtM!$I:$I,RESULTADO!$B66,MtM!$H:$H,RESULTADO!$B$63,MtM!$E:$E,RESULTADO!F$42))</f>
        <v>0</v>
      </c>
      <c r="G66" s="53">
        <f>(SUMIFS(MtM!$V:$V,MtM!$I:$I,RESULTADO!$B66,MtM!$H:$H,RESULTADO!$B$63,MtM!$E:$E,RESULTADO!G$42))</f>
        <v>0</v>
      </c>
      <c r="H66" s="53">
        <f>(SUMIFS(MtM!$V:$V,MtM!$I:$I,RESULTADO!$B66,MtM!$H:$H,RESULTADO!$B$63,MtM!$E:$E,RESULTADO!H$42))</f>
        <v>0</v>
      </c>
      <c r="I66" s="53">
        <f>(SUMIFS(MtM!$V:$V,MtM!$I:$I,RESULTADO!$B66,MtM!$H:$H,RESULTADO!$B$63,MtM!$E:$E,RESULTADO!I$42))</f>
        <v>0</v>
      </c>
      <c r="J66" s="53">
        <f>(SUMIFS(MtM!$V:$V,MtM!$I:$I,RESULTADO!$B66,MtM!$H:$H,RESULTADO!$B$63,MtM!$E:$E,RESULTADO!J$42))</f>
        <v>0</v>
      </c>
      <c r="K66" s="53">
        <f>(SUMIFS(MtM!$V:$V,MtM!$I:$I,RESULTADO!$B66,MtM!$H:$H,RESULTADO!$B$63,MtM!$E:$E,RESULTADO!K$42))</f>
        <v>0</v>
      </c>
      <c r="L66" s="53">
        <f>(SUMIFS(MtM!$V:$V,MtM!$I:$I,RESULTADO!$B66,MtM!$H:$H,RESULTADO!$B$63,MtM!$E:$E,RESULTADO!L$42))</f>
        <v>0</v>
      </c>
      <c r="M66" s="53">
        <f>(SUMIFS(MtM!$V:$V,MtM!$I:$I,RESULTADO!$B66,MtM!$H:$H,RESULTADO!$B$63,MtM!$E:$E,RESULTADO!M$42))</f>
        <v>0</v>
      </c>
      <c r="N66" s="54">
        <f>(SUMIFS(MtM!$V:$V,MtM!$I:$I,RESULTADO!$B66,MtM!$H:$H,RESULTADO!$B$63,MtM!$E:$E,RESULTADO!N$42))</f>
        <v>0</v>
      </c>
      <c r="O66" s="53">
        <f>(SUMIFS(MtM!$V:$V,MtM!$I:$I,RESULTADO!$B66,MtM!$H:$H,RESULTADO!$B$63,MtM!$E:$E,RESULTADO!O$42))</f>
        <v>0</v>
      </c>
      <c r="P66" s="53">
        <f>(SUMIFS(MtM!$V:$V,MtM!$I:$I,RESULTADO!$B66,MtM!$H:$H,RESULTADO!$B$63,MtM!$E:$E,RESULTADO!P$42))</f>
        <v>0</v>
      </c>
      <c r="Q66" s="53">
        <f>(SUMIFS(MtM!$V:$V,MtM!$I:$I,RESULTADO!$B66,MtM!$H:$H,RESULTADO!$B$63,MtM!$E:$E,RESULTADO!Q$42))</f>
        <v>0</v>
      </c>
      <c r="R66" s="53">
        <f>(SUMIFS(MtM!$V:$V,MtM!$I:$I,RESULTADO!$B66,MtM!$H:$H,RESULTADO!$B$63,MtM!$E:$E,RESULTADO!R$42))</f>
        <v>0</v>
      </c>
      <c r="S66" s="53">
        <f>(SUMIFS(MtM!$V:$V,MtM!$I:$I,RESULTADO!$B66,MtM!$H:$H,RESULTADO!$B$63,MtM!$E:$E,RESULTADO!S$42))</f>
        <v>0</v>
      </c>
      <c r="T66" s="53">
        <f>(SUMIFS(MtM!$V:$V,MtM!$I:$I,RESULTADO!$B66,MtM!$H:$H,RESULTADO!$B$63,MtM!$E:$E,RESULTADO!T$42))</f>
        <v>0</v>
      </c>
      <c r="U66" s="53">
        <f>(SUMIFS(MtM!$V:$V,MtM!$I:$I,RESULTADO!$B66,MtM!$H:$H,RESULTADO!$B$63,MtM!$E:$E,RESULTADO!U$42))</f>
        <v>0</v>
      </c>
      <c r="V66" s="53">
        <f>(SUMIFS(MtM!$V:$V,MtM!$I:$I,RESULTADO!$B66,MtM!$H:$H,RESULTADO!$B$63,MtM!$E:$E,RESULTADO!V$42))</f>
        <v>0</v>
      </c>
      <c r="W66" s="53">
        <f>(SUMIFS(MtM!$V:$V,MtM!$I:$I,RESULTADO!$B66,MtM!$H:$H,RESULTADO!$B$63,MtM!$E:$E,RESULTADO!W$42))</f>
        <v>0</v>
      </c>
      <c r="X66" s="53">
        <f>(SUMIFS(MtM!$V:$V,MtM!$I:$I,RESULTADO!$B66,MtM!$H:$H,RESULTADO!$B$63,MtM!$E:$E,RESULTADO!X$42))</f>
        <v>0</v>
      </c>
      <c r="Y66" s="53">
        <f>(SUMIFS(MtM!$V:$V,MtM!$I:$I,RESULTADO!$B66,MtM!$H:$H,RESULTADO!$B$63,MtM!$E:$E,RESULTADO!Y$42))</f>
        <v>0</v>
      </c>
      <c r="Z66" s="63">
        <f>(SUMIFS(MtM!$V:$V,MtM!$I:$I,RESULTADO!$B66,MtM!$H:$H,RESULTADO!$B$63,MtM!$E:$E,RESULTADO!Z$42))</f>
        <v>0</v>
      </c>
      <c r="AA66" s="53">
        <f>(SUMIFS(MtM!$V:$V,MtM!$I:$I,RESULTADO!$B66,MtM!$H:$H,RESULTADO!$B$63,MtM!$E:$E,RESULTADO!AA$42))</f>
        <v>0</v>
      </c>
      <c r="AB66" s="53">
        <f>(SUMIFS(MtM!$V:$V,MtM!$I:$I,RESULTADO!$B66,MtM!$H:$H,RESULTADO!$B$63,MtM!$E:$E,RESULTADO!AB$42))</f>
        <v>0</v>
      </c>
      <c r="AC66" s="53">
        <f>(SUMIFS(MtM!$V:$V,MtM!$I:$I,RESULTADO!$B66,MtM!$H:$H,RESULTADO!$B$63,MtM!$E:$E,RESULTADO!AC$42))</f>
        <v>0</v>
      </c>
      <c r="AD66" s="53">
        <f>(SUMIFS(MtM!$V:$V,MtM!$I:$I,RESULTADO!$B66,MtM!$H:$H,RESULTADO!$B$63,MtM!$E:$E,RESULTADO!AD$42))</f>
        <v>0</v>
      </c>
      <c r="AE66" s="53">
        <f>(SUMIFS(MtM!$V:$V,MtM!$I:$I,RESULTADO!$B66,MtM!$H:$H,RESULTADO!$B$63,MtM!$E:$E,RESULTADO!AE$42))</f>
        <v>0</v>
      </c>
      <c r="AF66" s="53">
        <f>(SUMIFS(MtM!$V:$V,MtM!$I:$I,RESULTADO!$B66,MtM!$H:$H,RESULTADO!$B$63,MtM!$E:$E,RESULTADO!AF$42))</f>
        <v>0</v>
      </c>
      <c r="AG66" s="53">
        <f>(SUMIFS(MtM!$V:$V,MtM!$I:$I,RESULTADO!$B66,MtM!$H:$H,RESULTADO!$B$63,MtM!$E:$E,RESULTADO!AG$42))</f>
        <v>0</v>
      </c>
      <c r="AH66" s="53">
        <f>(SUMIFS(MtM!$V:$V,MtM!$I:$I,RESULTADO!$B66,MtM!$H:$H,RESULTADO!$B$63,MtM!$E:$E,RESULTADO!AH$42))</f>
        <v>0</v>
      </c>
      <c r="AI66" s="53">
        <f>(SUMIFS(MtM!$V:$V,MtM!$I:$I,RESULTADO!$B66,MtM!$H:$H,RESULTADO!$B$63,MtM!$E:$E,RESULTADO!AI$42))</f>
        <v>0</v>
      </c>
      <c r="AJ66" s="53">
        <f>(SUMIFS(MtM!$V:$V,MtM!$I:$I,RESULTADO!$B66,MtM!$H:$H,RESULTADO!$B$63,MtM!$E:$E,RESULTADO!AJ$42))</f>
        <v>0</v>
      </c>
      <c r="AK66" s="53">
        <f>(SUMIFS(MtM!$V:$V,MtM!$I:$I,RESULTADO!$B66,MtM!$H:$H,RESULTADO!$B$63,MtM!$E:$E,RESULTADO!AK$42))</f>
        <v>0</v>
      </c>
      <c r="AL66" s="54">
        <f>(SUMIFS(MtM!$V:$V,MtM!$I:$I,RESULTADO!$B66,MtM!$H:$H,RESULTADO!$B$63,MtM!$E:$E,RESULTADO!AL$42))</f>
        <v>0</v>
      </c>
      <c r="AM66" s="53">
        <f>(SUMIFS(MtM!$V:$V,MtM!$I:$I,RESULTADO!$B66,MtM!$H:$H,RESULTADO!$B$63,MtM!$E:$E,RESULTADO!AM$42))</f>
        <v>0</v>
      </c>
      <c r="AN66" s="53">
        <f>(SUMIFS(MtM!$V:$V,MtM!$I:$I,RESULTADO!$B66,MtM!$H:$H,RESULTADO!$B$63,MtM!$E:$E,RESULTADO!AN$42))</f>
        <v>0</v>
      </c>
      <c r="AO66" s="53">
        <f>(SUMIFS(MtM!$V:$V,MtM!$I:$I,RESULTADO!$B66,MtM!$H:$H,RESULTADO!$B$63,MtM!$E:$E,RESULTADO!AO$42))</f>
        <v>0</v>
      </c>
      <c r="AP66" s="53">
        <f>(SUMIFS(MtM!$V:$V,MtM!$I:$I,RESULTADO!$B66,MtM!$H:$H,RESULTADO!$B$63,MtM!$E:$E,RESULTADO!AP$42))</f>
        <v>0</v>
      </c>
      <c r="AQ66" s="53">
        <f>(SUMIFS(MtM!$V:$V,MtM!$I:$I,RESULTADO!$B66,MtM!$H:$H,RESULTADO!$B$63,MtM!$E:$E,RESULTADO!AQ$42))</f>
        <v>0</v>
      </c>
      <c r="AR66" s="53">
        <f>(SUMIFS(MtM!$V:$V,MtM!$I:$I,RESULTADO!$B66,MtM!$H:$H,RESULTADO!$B$63,MtM!$E:$E,RESULTADO!AR$42))</f>
        <v>0</v>
      </c>
      <c r="AS66" s="53">
        <f>(SUMIFS(MtM!$V:$V,MtM!$I:$I,RESULTADO!$B66,MtM!$H:$H,RESULTADO!$B$63,MtM!$E:$E,RESULTADO!AS$42))</f>
        <v>0</v>
      </c>
      <c r="AT66" s="53">
        <f>(SUMIFS(MtM!$V:$V,MtM!$I:$I,RESULTADO!$B66,MtM!$H:$H,RESULTADO!$B$63,MtM!$E:$E,RESULTADO!AT$42))</f>
        <v>0</v>
      </c>
      <c r="AU66" s="53">
        <f>(SUMIFS(MtM!$V:$V,MtM!$I:$I,RESULTADO!$B66,MtM!$H:$H,RESULTADO!$B$63,MtM!$E:$E,RESULTADO!AU$42))</f>
        <v>0</v>
      </c>
      <c r="AV66" s="53">
        <f>(SUMIFS(MtM!$V:$V,MtM!$I:$I,RESULTADO!$B66,MtM!$H:$H,RESULTADO!$B$63,MtM!$E:$E,RESULTADO!AV$42))</f>
        <v>0</v>
      </c>
      <c r="AW66" s="53">
        <f>(SUMIFS(MtM!$V:$V,MtM!$I:$I,RESULTADO!$B66,MtM!$H:$H,RESULTADO!$B$63,MtM!$E:$E,RESULTADO!AW$42))</f>
        <v>0</v>
      </c>
      <c r="AX66" s="63">
        <f>(SUMIFS(MtM!$V:$V,MtM!$I:$I,RESULTADO!$B66,MtM!$H:$H,RESULTADO!$B$63,MtM!$E:$E,RESULTADO!AX$42))</f>
        <v>0</v>
      </c>
      <c r="AY66" s="53">
        <f>(SUMIFS(MtM!$V:$V,MtM!$I:$I,RESULTADO!$B66,MtM!$H:$H,RESULTADO!$B$63,MtM!$E:$E,RESULTADO!AY$42))</f>
        <v>0</v>
      </c>
      <c r="AZ66" s="53">
        <f>(SUMIFS(MtM!$V:$V,MtM!$I:$I,RESULTADO!$B66,MtM!$H:$H,RESULTADO!$B$63,MtM!$E:$E,RESULTADO!AZ$42))</f>
        <v>0</v>
      </c>
      <c r="BA66" s="53">
        <f>(SUMIFS(MtM!$V:$V,MtM!$I:$I,RESULTADO!$B66,MtM!$H:$H,RESULTADO!$B$63,MtM!$E:$E,RESULTADO!BA$42))</f>
        <v>0</v>
      </c>
      <c r="BB66" s="53">
        <f>(SUMIFS(MtM!$V:$V,MtM!$I:$I,RESULTADO!$B66,MtM!$H:$H,RESULTADO!$B$63,MtM!$E:$E,RESULTADO!BB$42))</f>
        <v>0</v>
      </c>
      <c r="BC66" s="53">
        <f>(SUMIFS(MtM!$V:$V,MtM!$I:$I,RESULTADO!$B66,MtM!$H:$H,RESULTADO!$B$63,MtM!$E:$E,RESULTADO!BC$42))</f>
        <v>0</v>
      </c>
      <c r="BD66" s="53">
        <f>(SUMIFS(MtM!$V:$V,MtM!$I:$I,RESULTADO!$B66,MtM!$H:$H,RESULTADO!$B$63,MtM!$E:$E,RESULTADO!BD$42))</f>
        <v>0</v>
      </c>
      <c r="BE66" s="53">
        <f>(SUMIFS(MtM!$V:$V,MtM!$I:$I,RESULTADO!$B66,MtM!$H:$H,RESULTADO!$B$63,MtM!$E:$E,RESULTADO!BE$42))</f>
        <v>0</v>
      </c>
      <c r="BF66" s="53">
        <f>(SUMIFS(MtM!$V:$V,MtM!$I:$I,RESULTADO!$B66,MtM!$H:$H,RESULTADO!$B$63,MtM!$E:$E,RESULTADO!BF$42))</f>
        <v>0</v>
      </c>
      <c r="BG66" s="53">
        <f>(SUMIFS(MtM!$V:$V,MtM!$I:$I,RESULTADO!$B66,MtM!$H:$H,RESULTADO!$B$63,MtM!$E:$E,RESULTADO!BG$42))</f>
        <v>0</v>
      </c>
      <c r="BH66" s="53">
        <f>(SUMIFS(MtM!$V:$V,MtM!$I:$I,RESULTADO!$B66,MtM!$H:$H,RESULTADO!$B$63,MtM!$E:$E,RESULTADO!BH$42))</f>
        <v>0</v>
      </c>
      <c r="BI66" s="53">
        <f>(SUMIFS(MtM!$V:$V,MtM!$I:$I,RESULTADO!$B66,MtM!$H:$H,RESULTADO!$B$63,MtM!$E:$E,RESULTADO!BI$42))</f>
        <v>0</v>
      </c>
      <c r="BJ66" s="63">
        <f>(SUMIFS(MtM!$V:$V,MtM!$I:$I,RESULTADO!$B66,MtM!$H:$H,RESULTADO!$B$63,MtM!$E:$E,RESULTADO!BJ$42))</f>
        <v>0</v>
      </c>
      <c r="BL66" s="120"/>
      <c r="BN66" s="57" t="s">
        <v>13</v>
      </c>
      <c r="BO66" s="53">
        <f>SUMIFS('MtM Releases'!$M:$M,'MtM Releases'!$G:$G,RESULTADO!$BN66,'MtM Releases'!$F:$F,RESULTADO!$BN63,'MtM Releases'!$D:$D,RESULTADO!BO$3)</f>
        <v>0</v>
      </c>
      <c r="BP66" s="53">
        <f>SUMIFS('MtM Releases'!$M:$M,'MtM Releases'!$G:$G,RESULTADO!$BN66,'MtM Releases'!$F:$F,RESULTADO!$BN63,'MtM Releases'!$D:$D,RESULTADO!BP$3)</f>
        <v>0</v>
      </c>
      <c r="BQ66" s="53">
        <f>SUMIFS('MtM Releases'!$M:$M,'MtM Releases'!$G:$G,RESULTADO!$BN66,'MtM Releases'!$F:$F,RESULTADO!$BN63,'MtM Releases'!$D:$D,RESULTADO!BQ$3)</f>
        <v>0</v>
      </c>
      <c r="BR66" s="53">
        <f>SUMIFS('MtM Releases'!$M:$M,'MtM Releases'!$G:$G,RESULTADO!$BN66,'MtM Releases'!$F:$F,RESULTADO!$BN63,'MtM Releases'!$D:$D,RESULTADO!BR$3)</f>
        <v>0</v>
      </c>
      <c r="BS66" s="53">
        <f>SUMIFS('MtM Releases'!$M:$M,'MtM Releases'!$G:$G,RESULTADO!$BN66,'MtM Releases'!$F:$F,RESULTADO!$BN63,'MtM Releases'!$D:$D,RESULTADO!BS$3)</f>
        <v>0</v>
      </c>
      <c r="BT66" s="53">
        <f>SUMIFS('MtM Releases'!$M:$M,'MtM Releases'!$G:$G,RESULTADO!$BN66,'MtM Releases'!$F:$F,RESULTADO!$BN63,'MtM Releases'!$D:$D,RESULTADO!BT$3)</f>
        <v>0</v>
      </c>
      <c r="BU66" s="53">
        <f>SUMIFS('MtM Releases'!$M:$M,'MtM Releases'!$G:$G,RESULTADO!$BN66,'MtM Releases'!$F:$F,RESULTADO!$BN63,'MtM Releases'!$D:$D,RESULTADO!BU$3)</f>
        <v>0</v>
      </c>
      <c r="BV66" s="53">
        <f>SUMIFS('MtM Releases'!$M:$M,'MtM Releases'!$G:$G,RESULTADO!$BN66,'MtM Releases'!$F:$F,RESULTADO!$BN63,'MtM Releases'!$D:$D,RESULTADO!BV$3)</f>
        <v>0</v>
      </c>
      <c r="BW66" s="53">
        <f>SUMIFS('MtM Releases'!$M:$M,'MtM Releases'!$G:$G,RESULTADO!$BN66,'MtM Releases'!$F:$F,RESULTADO!$BN63,'MtM Releases'!$D:$D,RESULTADO!BW$3)</f>
        <v>0</v>
      </c>
      <c r="BX66" s="53">
        <f>SUMIFS('MtM Releases'!$M:$M,'MtM Releases'!$G:$G,RESULTADO!$BN66,'MtM Releases'!$F:$F,RESULTADO!$BN63,'MtM Releases'!$D:$D,RESULTADO!BX$3)</f>
        <v>0</v>
      </c>
      <c r="BY66" s="53">
        <f>SUMIFS('MtM Releases'!$M:$M,'MtM Releases'!$G:$G,RESULTADO!$BN66,'MtM Releases'!$F:$F,RESULTADO!$BN63,'MtM Releases'!$D:$D,RESULTADO!BY$3)</f>
        <v>0</v>
      </c>
      <c r="BZ66" s="54">
        <f>SUMIFS('MtM Releases'!$M:$M,'MtM Releases'!$G:$G,RESULTADO!$BN66,'MtM Releases'!$F:$F,RESULTADO!$BN63,'MtM Releases'!$D:$D,RESULTADO!BZ$3)</f>
        <v>0</v>
      </c>
      <c r="CA66" s="53">
        <f>SUMIFS('MtM Releases'!$M:$M,'MtM Releases'!$G:$G,RESULTADO!$BN66,'MtM Releases'!$F:$F,RESULTADO!$BN63,'MtM Releases'!$D:$D,RESULTADO!CA$3)</f>
        <v>0</v>
      </c>
      <c r="CB66" s="53">
        <f>SUMIFS('MtM Releases'!$M:$M,'MtM Releases'!$G:$G,RESULTADO!$BN66,'MtM Releases'!$F:$F,RESULTADO!$BN63,'MtM Releases'!$D:$D,RESULTADO!CB$3)</f>
        <v>0</v>
      </c>
      <c r="CC66" s="53">
        <f>SUMIFS('MtM Releases'!$M:$M,'MtM Releases'!$G:$G,RESULTADO!$BN66,'MtM Releases'!$F:$F,RESULTADO!$BN63,'MtM Releases'!$D:$D,RESULTADO!CC$3)</f>
        <v>0</v>
      </c>
      <c r="CD66" s="53">
        <f>SUMIFS('MtM Releases'!$M:$M,'MtM Releases'!$G:$G,RESULTADO!$BN66,'MtM Releases'!$F:$F,RESULTADO!$BN63,'MtM Releases'!$D:$D,RESULTADO!CD$3)</f>
        <v>0</v>
      </c>
      <c r="CE66" s="53">
        <f>SUMIFS('MtM Releases'!$M:$M,'MtM Releases'!$G:$G,RESULTADO!$BN66,'MtM Releases'!$F:$F,RESULTADO!$BN63,'MtM Releases'!$D:$D,RESULTADO!CE$3)</f>
        <v>0</v>
      </c>
      <c r="CF66" s="53">
        <f>SUMIFS('MtM Releases'!$M:$M,'MtM Releases'!$G:$G,RESULTADO!$BN66,'MtM Releases'!$F:$F,RESULTADO!$BN63,'MtM Releases'!$D:$D,RESULTADO!CF$3)</f>
        <v>0</v>
      </c>
      <c r="CG66" s="53">
        <f>SUMIFS('MtM Releases'!$M:$M,'MtM Releases'!$G:$G,RESULTADO!$BN66,'MtM Releases'!$F:$F,RESULTADO!$BN63,'MtM Releases'!$D:$D,RESULTADO!CG$3)</f>
        <v>0</v>
      </c>
      <c r="CH66" s="53">
        <f>SUMIFS('MtM Releases'!$M:$M,'MtM Releases'!$G:$G,RESULTADO!$BN66,'MtM Releases'!$F:$F,RESULTADO!$BN63,'MtM Releases'!$D:$D,RESULTADO!CH$3)</f>
        <v>0</v>
      </c>
      <c r="CI66" s="53">
        <f>SUMIFS('MtM Releases'!$M:$M,'MtM Releases'!$G:$G,RESULTADO!$BN66,'MtM Releases'!$F:$F,RESULTADO!$BN63,'MtM Releases'!$D:$D,RESULTADO!CI$3)</f>
        <v>0</v>
      </c>
      <c r="CJ66" s="53">
        <f>SUMIFS('MtM Releases'!$M:$M,'MtM Releases'!$G:$G,RESULTADO!$BN66,'MtM Releases'!$F:$F,RESULTADO!$BN63,'MtM Releases'!$D:$D,RESULTADO!CJ$3)</f>
        <v>0</v>
      </c>
      <c r="CK66" s="53">
        <f>SUMIFS('MtM Releases'!$M:$M,'MtM Releases'!$G:$G,RESULTADO!$BN66,'MtM Releases'!$F:$F,RESULTADO!$BN63,'MtM Releases'!$D:$D,RESULTADO!CK$3)</f>
        <v>0</v>
      </c>
      <c r="CL66" s="63">
        <f>SUMIFS('MtM Releases'!$M:$M,'MtM Releases'!$G:$G,RESULTADO!$BN66,'MtM Releases'!$F:$F,RESULTADO!$BN63,'MtM Releases'!$D:$D,RESULTADO!CL$3)</f>
        <v>0</v>
      </c>
      <c r="CM66" s="53">
        <f>SUMIFS('MtM Releases'!$M:$M,'MtM Releases'!$G:$G,RESULTADO!$BN66,'MtM Releases'!$F:$F,RESULTADO!$BN63,'MtM Releases'!$D:$D,RESULTADO!CM$3)</f>
        <v>0</v>
      </c>
      <c r="CN66" s="53">
        <f>SUMIFS('MtM Releases'!$M:$M,'MtM Releases'!$G:$G,RESULTADO!$BN66,'MtM Releases'!$F:$F,RESULTADO!$BN63,'MtM Releases'!$D:$D,RESULTADO!CN$3)</f>
        <v>0</v>
      </c>
      <c r="CO66" s="53">
        <f>SUMIFS('MtM Releases'!$M:$M,'MtM Releases'!$G:$G,RESULTADO!$BN66,'MtM Releases'!$F:$F,RESULTADO!$BN63,'MtM Releases'!$D:$D,RESULTADO!CO$3)</f>
        <v>0</v>
      </c>
      <c r="CP66" s="53">
        <f>SUMIFS('MtM Releases'!$M:$M,'MtM Releases'!$G:$G,RESULTADO!$BN66,'MtM Releases'!$F:$F,RESULTADO!$BN63,'MtM Releases'!$D:$D,RESULTADO!CP$3)</f>
        <v>0</v>
      </c>
      <c r="CQ66" s="53">
        <f>SUMIFS('MtM Releases'!$M:$M,'MtM Releases'!$G:$G,RESULTADO!$BN66,'MtM Releases'!$F:$F,RESULTADO!$BN63,'MtM Releases'!$D:$D,RESULTADO!CQ$3)</f>
        <v>0</v>
      </c>
      <c r="CR66" s="53">
        <f>SUMIFS('MtM Releases'!$M:$M,'MtM Releases'!$G:$G,RESULTADO!$BN66,'MtM Releases'!$F:$F,RESULTADO!$BN63,'MtM Releases'!$D:$D,RESULTADO!CR$3)</f>
        <v>0</v>
      </c>
      <c r="CS66" s="53">
        <f>SUMIFS('MtM Releases'!$M:$M,'MtM Releases'!$G:$G,RESULTADO!$BN66,'MtM Releases'!$F:$F,RESULTADO!$BN63,'MtM Releases'!$D:$D,RESULTADO!CS$3)</f>
        <v>0</v>
      </c>
      <c r="CT66" s="53">
        <f>SUMIFS('MtM Releases'!$M:$M,'MtM Releases'!$G:$G,RESULTADO!$BN66,'MtM Releases'!$F:$F,RESULTADO!$BN63,'MtM Releases'!$D:$D,RESULTADO!CT$3)</f>
        <v>0</v>
      </c>
      <c r="CU66" s="53">
        <f>SUMIFS('MtM Releases'!$M:$M,'MtM Releases'!$G:$G,RESULTADO!$BN66,'MtM Releases'!$F:$F,RESULTADO!$BN63,'MtM Releases'!$D:$D,RESULTADO!CU$3)</f>
        <v>0</v>
      </c>
      <c r="CV66" s="53">
        <f>SUMIFS('MtM Releases'!$M:$M,'MtM Releases'!$G:$G,RESULTADO!$BN66,'MtM Releases'!$F:$F,RESULTADO!$BN63,'MtM Releases'!$D:$D,RESULTADO!CV$3)</f>
        <v>0</v>
      </c>
      <c r="CW66" s="53">
        <f>SUMIFS('MtM Releases'!$M:$M,'MtM Releases'!$G:$G,RESULTADO!$BN66,'MtM Releases'!$F:$F,RESULTADO!$BN63,'MtM Releases'!$D:$D,RESULTADO!CW$3)</f>
        <v>0</v>
      </c>
      <c r="CX66" s="54">
        <f>SUMIFS('MtM Releases'!$M:$M,'MtM Releases'!$G:$G,RESULTADO!$BN66,'MtM Releases'!$F:$F,RESULTADO!$BN63,'MtM Releases'!$D:$D,RESULTADO!CX$3)</f>
        <v>0</v>
      </c>
      <c r="CY66" s="53">
        <f>SUMIFS('MtM Releases'!$M:$M,'MtM Releases'!$G:$G,RESULTADO!$BN66,'MtM Releases'!$F:$F,RESULTADO!$BN63,'MtM Releases'!$D:$D,RESULTADO!CY$3)</f>
        <v>0</v>
      </c>
      <c r="CZ66" s="53">
        <f>SUMIFS('MtM Releases'!$M:$M,'MtM Releases'!$G:$G,RESULTADO!$BN66,'MtM Releases'!$F:$F,RESULTADO!$BN63,'MtM Releases'!$D:$D,RESULTADO!CZ$3)</f>
        <v>0</v>
      </c>
      <c r="DA66" s="53">
        <f>SUMIFS('MtM Releases'!$M:$M,'MtM Releases'!$G:$G,RESULTADO!$BN66,'MtM Releases'!$F:$F,RESULTADO!$BN63,'MtM Releases'!$D:$D,RESULTADO!DA$3)</f>
        <v>0</v>
      </c>
      <c r="DB66" s="53">
        <f>SUMIFS('MtM Releases'!$M:$M,'MtM Releases'!$G:$G,RESULTADO!$BN66,'MtM Releases'!$F:$F,RESULTADO!$BN63,'MtM Releases'!$D:$D,RESULTADO!DB$3)</f>
        <v>0</v>
      </c>
      <c r="DC66" s="53">
        <f>SUMIFS('MtM Releases'!$M:$M,'MtM Releases'!$G:$G,RESULTADO!$BN66,'MtM Releases'!$F:$F,RESULTADO!$BN63,'MtM Releases'!$D:$D,RESULTADO!DC$3)</f>
        <v>0</v>
      </c>
      <c r="DD66" s="53">
        <f>SUMIFS('MtM Releases'!$M:$M,'MtM Releases'!$G:$G,RESULTADO!$BN66,'MtM Releases'!$F:$F,RESULTADO!$BN63,'MtM Releases'!$D:$D,RESULTADO!DD$3)</f>
        <v>0</v>
      </c>
      <c r="DE66" s="53">
        <f>SUMIFS('MtM Releases'!$M:$M,'MtM Releases'!$G:$G,RESULTADO!$BN66,'MtM Releases'!$F:$F,RESULTADO!$BN63,'MtM Releases'!$D:$D,RESULTADO!DE$3)</f>
        <v>0</v>
      </c>
      <c r="DF66" s="53">
        <f>SUMIFS('MtM Releases'!$M:$M,'MtM Releases'!$G:$G,RESULTADO!$BN66,'MtM Releases'!$F:$F,RESULTADO!$BN63,'MtM Releases'!$D:$D,RESULTADO!DF$3)</f>
        <v>0</v>
      </c>
      <c r="DG66" s="53">
        <f>SUMIFS('MtM Releases'!$M:$M,'MtM Releases'!$G:$G,RESULTADO!$BN66,'MtM Releases'!$F:$F,RESULTADO!$BN63,'MtM Releases'!$D:$D,RESULTADO!DG$3)</f>
        <v>0</v>
      </c>
      <c r="DH66" s="53">
        <f>SUMIFS('MtM Releases'!$M:$M,'MtM Releases'!$G:$G,RESULTADO!$BN66,'MtM Releases'!$F:$F,RESULTADO!$BN63,'MtM Releases'!$D:$D,RESULTADO!DH$3)</f>
        <v>0</v>
      </c>
      <c r="DI66" s="53">
        <f>SUMIFS('MtM Releases'!$M:$M,'MtM Releases'!$G:$G,RESULTADO!$BN66,'MtM Releases'!$F:$F,RESULTADO!$BN63,'MtM Releases'!$D:$D,RESULTADO!DI$3)</f>
        <v>0</v>
      </c>
      <c r="DJ66" s="63">
        <f>SUMIFS('MtM Releases'!$M:$M,'MtM Releases'!$G:$G,RESULTADO!$BN66,'MtM Releases'!$F:$F,RESULTADO!$BN63,'MtM Releases'!$D:$D,RESULTADO!DJ$3)</f>
        <v>0</v>
      </c>
      <c r="DK66" s="53">
        <f>SUMIFS('MtM Releases'!$M:$M,'MtM Releases'!$G:$G,RESULTADO!$BN66,'MtM Releases'!$F:$F,RESULTADO!$BN63,'MtM Releases'!$D:$D,RESULTADO!DK$3)</f>
        <v>0</v>
      </c>
      <c r="DL66" s="53">
        <f>SUMIFS('MtM Releases'!$M:$M,'MtM Releases'!$G:$G,RESULTADO!$BN66,'MtM Releases'!$F:$F,RESULTADO!$BN63,'MtM Releases'!$D:$D,RESULTADO!DL$3)</f>
        <v>0</v>
      </c>
      <c r="DM66" s="53">
        <f>SUMIFS('MtM Releases'!$M:$M,'MtM Releases'!$G:$G,RESULTADO!$BN66,'MtM Releases'!$F:$F,RESULTADO!$BN63,'MtM Releases'!$D:$D,RESULTADO!DM$3)</f>
        <v>0</v>
      </c>
      <c r="DN66" s="53">
        <f>SUMIFS('MtM Releases'!$M:$M,'MtM Releases'!$G:$G,RESULTADO!$BN66,'MtM Releases'!$F:$F,RESULTADO!$BN63,'MtM Releases'!$D:$D,RESULTADO!DN$3)</f>
        <v>0</v>
      </c>
      <c r="DO66" s="53">
        <f>SUMIFS('MtM Releases'!$M:$M,'MtM Releases'!$G:$G,RESULTADO!$BN66,'MtM Releases'!$F:$F,RESULTADO!$BN63,'MtM Releases'!$D:$D,RESULTADO!DO$3)</f>
        <v>0</v>
      </c>
      <c r="DP66" s="53">
        <f>SUMIFS('MtM Releases'!$M:$M,'MtM Releases'!$G:$G,RESULTADO!$BN66,'MtM Releases'!$F:$F,RESULTADO!$BN63,'MtM Releases'!$D:$D,RESULTADO!DP$3)</f>
        <v>0</v>
      </c>
      <c r="DQ66" s="53">
        <f>SUMIFS('MtM Releases'!$M:$M,'MtM Releases'!$G:$G,RESULTADO!$BN66,'MtM Releases'!$F:$F,RESULTADO!$BN63,'MtM Releases'!$D:$D,RESULTADO!DQ$3)</f>
        <v>0</v>
      </c>
      <c r="DR66" s="53">
        <f>SUMIFS('MtM Releases'!$M:$M,'MtM Releases'!$G:$G,RESULTADO!$BN66,'MtM Releases'!$F:$F,RESULTADO!$BN63,'MtM Releases'!$D:$D,RESULTADO!DR$3)</f>
        <v>0</v>
      </c>
      <c r="DS66" s="53">
        <f>SUMIFS('MtM Releases'!$M:$M,'MtM Releases'!$G:$G,RESULTADO!$BN66,'MtM Releases'!$F:$F,RESULTADO!$BN63,'MtM Releases'!$D:$D,RESULTADO!DS$3)</f>
        <v>0</v>
      </c>
      <c r="DT66" s="53">
        <f>SUMIFS('MtM Releases'!$M:$M,'MtM Releases'!$G:$G,RESULTADO!$BN66,'MtM Releases'!$F:$F,RESULTADO!$BN63,'MtM Releases'!$D:$D,RESULTADO!DT$3)</f>
        <v>0</v>
      </c>
      <c r="DU66" s="53">
        <f>SUMIFS('MtM Releases'!$M:$M,'MtM Releases'!$G:$G,RESULTADO!$BN66,'MtM Releases'!$F:$F,RESULTADO!$BN63,'MtM Releases'!$D:$D,RESULTADO!DU$3)</f>
        <v>0</v>
      </c>
      <c r="DV66" s="63">
        <f>SUMIFS('MtM Releases'!$M:$M,'MtM Releases'!$G:$G,RESULTADO!$BN66,'MtM Releases'!$F:$F,RESULTADO!$BN63,'MtM Releases'!$D:$D,RESULTADO!DV$3)</f>
        <v>0</v>
      </c>
    </row>
    <row r="67" spans="2:126" x14ac:dyDescent="0.25">
      <c r="B67" s="57" t="s">
        <v>11</v>
      </c>
      <c r="C67" s="53">
        <f>(SUMIFS(MtM!$V:$V,MtM!$I:$I,RESULTADO!$B67,MtM!$H:$H,RESULTADO!$B$63,MtM!$E:$E,RESULTADO!C$42))</f>
        <v>0</v>
      </c>
      <c r="D67" s="53">
        <f>(SUMIFS(MtM!$V:$V,MtM!$I:$I,RESULTADO!$B67,MtM!$H:$H,RESULTADO!$B$63,MtM!$E:$E,RESULTADO!D$42))</f>
        <v>0</v>
      </c>
      <c r="E67" s="53">
        <f>(SUMIFS(MtM!$V:$V,MtM!$I:$I,RESULTADO!$B67,MtM!$H:$H,RESULTADO!$B$63,MtM!$E:$E,RESULTADO!E$42))</f>
        <v>0</v>
      </c>
      <c r="F67" s="53">
        <f>(SUMIFS(MtM!$V:$V,MtM!$I:$I,RESULTADO!$B67,MtM!$H:$H,RESULTADO!$B$63,MtM!$E:$E,RESULTADO!F$42))</f>
        <v>0</v>
      </c>
      <c r="G67" s="53">
        <f>(SUMIFS(MtM!$V:$V,MtM!$I:$I,RESULTADO!$B67,MtM!$H:$H,RESULTADO!$B$63,MtM!$E:$E,RESULTADO!G$42))</f>
        <v>0</v>
      </c>
      <c r="H67" s="53">
        <f>(SUMIFS(MtM!$V:$V,MtM!$I:$I,RESULTADO!$B67,MtM!$H:$H,RESULTADO!$B$63,MtM!$E:$E,RESULTADO!H$42))</f>
        <v>0</v>
      </c>
      <c r="I67" s="53">
        <f>(SUMIFS(MtM!$V:$V,MtM!$I:$I,RESULTADO!$B67,MtM!$H:$H,RESULTADO!$B$63,MtM!$E:$E,RESULTADO!I$42))</f>
        <v>0</v>
      </c>
      <c r="J67" s="53">
        <f>(SUMIFS(MtM!$V:$V,MtM!$I:$I,RESULTADO!$B67,MtM!$H:$H,RESULTADO!$B$63,MtM!$E:$E,RESULTADO!J$42))</f>
        <v>0</v>
      </c>
      <c r="K67" s="53">
        <f>(SUMIFS(MtM!$V:$V,MtM!$I:$I,RESULTADO!$B67,MtM!$H:$H,RESULTADO!$B$63,MtM!$E:$E,RESULTADO!K$42))</f>
        <v>0</v>
      </c>
      <c r="L67" s="53">
        <f>(SUMIFS(MtM!$V:$V,MtM!$I:$I,RESULTADO!$B67,MtM!$H:$H,RESULTADO!$B$63,MtM!$E:$E,RESULTADO!L$42))</f>
        <v>0</v>
      </c>
      <c r="M67" s="53">
        <f>(SUMIFS(MtM!$V:$V,MtM!$I:$I,RESULTADO!$B67,MtM!$H:$H,RESULTADO!$B$63,MtM!$E:$E,RESULTADO!M$42))</f>
        <v>0</v>
      </c>
      <c r="N67" s="54">
        <f>(SUMIFS(MtM!$V:$V,MtM!$I:$I,RESULTADO!$B67,MtM!$H:$H,RESULTADO!$B$63,MtM!$E:$E,RESULTADO!N$42))</f>
        <v>0</v>
      </c>
      <c r="O67" s="53">
        <f>(SUMIFS(MtM!$V:$V,MtM!$I:$I,RESULTADO!$B67,MtM!$H:$H,RESULTADO!$B$63,MtM!$E:$E,RESULTADO!O$42))</f>
        <v>0</v>
      </c>
      <c r="P67" s="53">
        <f>(SUMIFS(MtM!$V:$V,MtM!$I:$I,RESULTADO!$B67,MtM!$H:$H,RESULTADO!$B$63,MtM!$E:$E,RESULTADO!P$42))</f>
        <v>0</v>
      </c>
      <c r="Q67" s="53">
        <f>(SUMIFS(MtM!$V:$V,MtM!$I:$I,RESULTADO!$B67,MtM!$H:$H,RESULTADO!$B$63,MtM!$E:$E,RESULTADO!Q$42))</f>
        <v>0</v>
      </c>
      <c r="R67" s="53">
        <f>(SUMIFS(MtM!$V:$V,MtM!$I:$I,RESULTADO!$B67,MtM!$H:$H,RESULTADO!$B$63,MtM!$E:$E,RESULTADO!R$42))</f>
        <v>0</v>
      </c>
      <c r="S67" s="53">
        <f>(SUMIFS(MtM!$V:$V,MtM!$I:$I,RESULTADO!$B67,MtM!$H:$H,RESULTADO!$B$63,MtM!$E:$E,RESULTADO!S$42))</f>
        <v>0</v>
      </c>
      <c r="T67" s="53">
        <f>(SUMIFS(MtM!$V:$V,MtM!$I:$I,RESULTADO!$B67,MtM!$H:$H,RESULTADO!$B$63,MtM!$E:$E,RESULTADO!T$42))</f>
        <v>0</v>
      </c>
      <c r="U67" s="53">
        <f>(SUMIFS(MtM!$V:$V,MtM!$I:$I,RESULTADO!$B67,MtM!$H:$H,RESULTADO!$B$63,MtM!$E:$E,RESULTADO!U$42))</f>
        <v>0</v>
      </c>
      <c r="V67" s="53">
        <f>(SUMIFS(MtM!$V:$V,MtM!$I:$I,RESULTADO!$B67,MtM!$H:$H,RESULTADO!$B$63,MtM!$E:$E,RESULTADO!V$42))</f>
        <v>0</v>
      </c>
      <c r="W67" s="53">
        <f>(SUMIFS(MtM!$V:$V,MtM!$I:$I,RESULTADO!$B67,MtM!$H:$H,RESULTADO!$B$63,MtM!$E:$E,RESULTADO!W$42))</f>
        <v>0</v>
      </c>
      <c r="X67" s="53">
        <f>(SUMIFS(MtM!$V:$V,MtM!$I:$I,RESULTADO!$B67,MtM!$H:$H,RESULTADO!$B$63,MtM!$E:$E,RESULTADO!X$42))</f>
        <v>0</v>
      </c>
      <c r="Y67" s="53">
        <f>(SUMIFS(MtM!$V:$V,MtM!$I:$I,RESULTADO!$B67,MtM!$H:$H,RESULTADO!$B$63,MtM!$E:$E,RESULTADO!Y$42))</f>
        <v>0</v>
      </c>
      <c r="Z67" s="63">
        <f>(SUMIFS(MtM!$V:$V,MtM!$I:$I,RESULTADO!$B67,MtM!$H:$H,RESULTADO!$B$63,MtM!$E:$E,RESULTADO!Z$42))</f>
        <v>0</v>
      </c>
      <c r="AA67" s="53">
        <f>(SUMIFS(MtM!$V:$V,MtM!$I:$I,RESULTADO!$B67,MtM!$H:$H,RESULTADO!$B$63,MtM!$E:$E,RESULTADO!AA$42))</f>
        <v>0</v>
      </c>
      <c r="AB67" s="53">
        <f>(SUMIFS(MtM!$V:$V,MtM!$I:$I,RESULTADO!$B67,MtM!$H:$H,RESULTADO!$B$63,MtM!$E:$E,RESULTADO!AB$42))</f>
        <v>0</v>
      </c>
      <c r="AC67" s="53">
        <f>(SUMIFS(MtM!$V:$V,MtM!$I:$I,RESULTADO!$B67,MtM!$H:$H,RESULTADO!$B$63,MtM!$E:$E,RESULTADO!AC$42))</f>
        <v>0</v>
      </c>
      <c r="AD67" s="53">
        <f>(SUMIFS(MtM!$V:$V,MtM!$I:$I,RESULTADO!$B67,MtM!$H:$H,RESULTADO!$B$63,MtM!$E:$E,RESULTADO!AD$42))</f>
        <v>0</v>
      </c>
      <c r="AE67" s="53">
        <f>(SUMIFS(MtM!$V:$V,MtM!$I:$I,RESULTADO!$B67,MtM!$H:$H,RESULTADO!$B$63,MtM!$E:$E,RESULTADO!AE$42))</f>
        <v>0</v>
      </c>
      <c r="AF67" s="53">
        <f>(SUMIFS(MtM!$V:$V,MtM!$I:$I,RESULTADO!$B67,MtM!$H:$H,RESULTADO!$B$63,MtM!$E:$E,RESULTADO!AF$42))</f>
        <v>0</v>
      </c>
      <c r="AG67" s="53">
        <f>(SUMIFS(MtM!$V:$V,MtM!$I:$I,RESULTADO!$B67,MtM!$H:$H,RESULTADO!$B$63,MtM!$E:$E,RESULTADO!AG$42))</f>
        <v>0</v>
      </c>
      <c r="AH67" s="53">
        <f>(SUMIFS(MtM!$V:$V,MtM!$I:$I,RESULTADO!$B67,MtM!$H:$H,RESULTADO!$B$63,MtM!$E:$E,RESULTADO!AH$42))</f>
        <v>0</v>
      </c>
      <c r="AI67" s="53">
        <f>(SUMIFS(MtM!$V:$V,MtM!$I:$I,RESULTADO!$B67,MtM!$H:$H,RESULTADO!$B$63,MtM!$E:$E,RESULTADO!AI$42))</f>
        <v>0</v>
      </c>
      <c r="AJ67" s="53">
        <f>(SUMIFS(MtM!$V:$V,MtM!$I:$I,RESULTADO!$B67,MtM!$H:$H,RESULTADO!$B$63,MtM!$E:$E,RESULTADO!AJ$42))</f>
        <v>0</v>
      </c>
      <c r="AK67" s="53">
        <f>(SUMIFS(MtM!$V:$V,MtM!$I:$I,RESULTADO!$B67,MtM!$H:$H,RESULTADO!$B$63,MtM!$E:$E,RESULTADO!AK$42))</f>
        <v>0</v>
      </c>
      <c r="AL67" s="54">
        <f>(SUMIFS(MtM!$V:$V,MtM!$I:$I,RESULTADO!$B67,MtM!$H:$H,RESULTADO!$B$63,MtM!$E:$E,RESULTADO!AL$42))</f>
        <v>0</v>
      </c>
      <c r="AM67" s="53">
        <f>(SUMIFS(MtM!$V:$V,MtM!$I:$I,RESULTADO!$B67,MtM!$H:$H,RESULTADO!$B$63,MtM!$E:$E,RESULTADO!AM$42))</f>
        <v>0</v>
      </c>
      <c r="AN67" s="53">
        <f>(SUMIFS(MtM!$V:$V,MtM!$I:$I,RESULTADO!$B67,MtM!$H:$H,RESULTADO!$B$63,MtM!$E:$E,RESULTADO!AN$42))</f>
        <v>0</v>
      </c>
      <c r="AO67" s="53">
        <f>(SUMIFS(MtM!$V:$V,MtM!$I:$I,RESULTADO!$B67,MtM!$H:$H,RESULTADO!$B$63,MtM!$E:$E,RESULTADO!AO$42))</f>
        <v>0</v>
      </c>
      <c r="AP67" s="53">
        <f>(SUMIFS(MtM!$V:$V,MtM!$I:$I,RESULTADO!$B67,MtM!$H:$H,RESULTADO!$B$63,MtM!$E:$E,RESULTADO!AP$42))</f>
        <v>0</v>
      </c>
      <c r="AQ67" s="53">
        <f>(SUMIFS(MtM!$V:$V,MtM!$I:$I,RESULTADO!$B67,MtM!$H:$H,RESULTADO!$B$63,MtM!$E:$E,RESULTADO!AQ$42))</f>
        <v>0</v>
      </c>
      <c r="AR67" s="53">
        <f>(SUMIFS(MtM!$V:$V,MtM!$I:$I,RESULTADO!$B67,MtM!$H:$H,RESULTADO!$B$63,MtM!$E:$E,RESULTADO!AR$42))</f>
        <v>0</v>
      </c>
      <c r="AS67" s="53">
        <f>(SUMIFS(MtM!$V:$V,MtM!$I:$I,RESULTADO!$B67,MtM!$H:$H,RESULTADO!$B$63,MtM!$E:$E,RESULTADO!AS$42))</f>
        <v>0</v>
      </c>
      <c r="AT67" s="53">
        <f>(SUMIFS(MtM!$V:$V,MtM!$I:$I,RESULTADO!$B67,MtM!$H:$H,RESULTADO!$B$63,MtM!$E:$E,RESULTADO!AT$42))</f>
        <v>0</v>
      </c>
      <c r="AU67" s="53">
        <f>(SUMIFS(MtM!$V:$V,MtM!$I:$I,RESULTADO!$B67,MtM!$H:$H,RESULTADO!$B$63,MtM!$E:$E,RESULTADO!AU$42))</f>
        <v>0</v>
      </c>
      <c r="AV67" s="53">
        <f>(SUMIFS(MtM!$V:$V,MtM!$I:$I,RESULTADO!$B67,MtM!$H:$H,RESULTADO!$B$63,MtM!$E:$E,RESULTADO!AV$42))</f>
        <v>0</v>
      </c>
      <c r="AW67" s="53">
        <f>(SUMIFS(MtM!$V:$V,MtM!$I:$I,RESULTADO!$B67,MtM!$H:$H,RESULTADO!$B$63,MtM!$E:$E,RESULTADO!AW$42))</f>
        <v>0</v>
      </c>
      <c r="AX67" s="63">
        <f>(SUMIFS(MtM!$V:$V,MtM!$I:$I,RESULTADO!$B67,MtM!$H:$H,RESULTADO!$B$63,MtM!$E:$E,RESULTADO!AX$42))</f>
        <v>0</v>
      </c>
      <c r="AY67" s="53">
        <f>(SUMIFS(MtM!$V:$V,MtM!$I:$I,RESULTADO!$B67,MtM!$H:$H,RESULTADO!$B$63,MtM!$E:$E,RESULTADO!AY$42))</f>
        <v>0</v>
      </c>
      <c r="AZ67" s="53">
        <f>(SUMIFS(MtM!$V:$V,MtM!$I:$I,RESULTADO!$B67,MtM!$H:$H,RESULTADO!$B$63,MtM!$E:$E,RESULTADO!AZ$42))</f>
        <v>0</v>
      </c>
      <c r="BA67" s="53">
        <f>(SUMIFS(MtM!$V:$V,MtM!$I:$I,RESULTADO!$B67,MtM!$H:$H,RESULTADO!$B$63,MtM!$E:$E,RESULTADO!BA$42))</f>
        <v>0</v>
      </c>
      <c r="BB67" s="53">
        <f>(SUMIFS(MtM!$V:$V,MtM!$I:$I,RESULTADO!$B67,MtM!$H:$H,RESULTADO!$B$63,MtM!$E:$E,RESULTADO!BB$42))</f>
        <v>0</v>
      </c>
      <c r="BC67" s="53">
        <f>(SUMIFS(MtM!$V:$V,MtM!$I:$I,RESULTADO!$B67,MtM!$H:$H,RESULTADO!$B$63,MtM!$E:$E,RESULTADO!BC$42))</f>
        <v>0</v>
      </c>
      <c r="BD67" s="53">
        <f>(SUMIFS(MtM!$V:$V,MtM!$I:$I,RESULTADO!$B67,MtM!$H:$H,RESULTADO!$B$63,MtM!$E:$E,RESULTADO!BD$42))</f>
        <v>0</v>
      </c>
      <c r="BE67" s="53">
        <f>(SUMIFS(MtM!$V:$V,MtM!$I:$I,RESULTADO!$B67,MtM!$H:$H,RESULTADO!$B$63,MtM!$E:$E,RESULTADO!BE$42))</f>
        <v>0</v>
      </c>
      <c r="BF67" s="53">
        <f>(SUMIFS(MtM!$V:$V,MtM!$I:$I,RESULTADO!$B67,MtM!$H:$H,RESULTADO!$B$63,MtM!$E:$E,RESULTADO!BF$42))</f>
        <v>0</v>
      </c>
      <c r="BG67" s="53">
        <f>(SUMIFS(MtM!$V:$V,MtM!$I:$I,RESULTADO!$B67,MtM!$H:$H,RESULTADO!$B$63,MtM!$E:$E,RESULTADO!BG$42))</f>
        <v>0</v>
      </c>
      <c r="BH67" s="53">
        <f>(SUMIFS(MtM!$V:$V,MtM!$I:$I,RESULTADO!$B67,MtM!$H:$H,RESULTADO!$B$63,MtM!$E:$E,RESULTADO!BH$42))</f>
        <v>0</v>
      </c>
      <c r="BI67" s="53">
        <f>(SUMIFS(MtM!$V:$V,MtM!$I:$I,RESULTADO!$B67,MtM!$H:$H,RESULTADO!$B$63,MtM!$E:$E,RESULTADO!BI$42))</f>
        <v>0</v>
      </c>
      <c r="BJ67" s="63">
        <f>(SUMIFS(MtM!$V:$V,MtM!$I:$I,RESULTADO!$B67,MtM!$H:$H,RESULTADO!$B$63,MtM!$E:$E,RESULTADO!BJ$42))</f>
        <v>0</v>
      </c>
      <c r="BL67" s="120"/>
      <c r="BN67" s="57" t="s">
        <v>11</v>
      </c>
      <c r="BO67" s="53">
        <f>SUMIFS('MtM Releases'!$M:$M,'MtM Releases'!$G:$G,RESULTADO!$BN67,'MtM Releases'!$F:$F,RESULTADO!$BN63,'MtM Releases'!$D:$D,RESULTADO!BO$3)</f>
        <v>0</v>
      </c>
      <c r="BP67" s="53">
        <f>SUMIFS('MtM Releases'!$M:$M,'MtM Releases'!$G:$G,RESULTADO!$BN67,'MtM Releases'!$F:$F,RESULTADO!$BN63,'MtM Releases'!$D:$D,RESULTADO!BP$3)</f>
        <v>0</v>
      </c>
      <c r="BQ67" s="53">
        <f>SUMIFS('MtM Releases'!$M:$M,'MtM Releases'!$G:$G,RESULTADO!$BN67,'MtM Releases'!$F:$F,RESULTADO!$BN63,'MtM Releases'!$D:$D,RESULTADO!BQ$3)</f>
        <v>0</v>
      </c>
      <c r="BR67" s="53">
        <f>SUMIFS('MtM Releases'!$M:$M,'MtM Releases'!$G:$G,RESULTADO!$BN67,'MtM Releases'!$F:$F,RESULTADO!$BN63,'MtM Releases'!$D:$D,RESULTADO!BR$3)</f>
        <v>0</v>
      </c>
      <c r="BS67" s="53">
        <f>SUMIFS('MtM Releases'!$M:$M,'MtM Releases'!$G:$G,RESULTADO!$BN67,'MtM Releases'!$F:$F,RESULTADO!$BN63,'MtM Releases'!$D:$D,RESULTADO!BS$3)</f>
        <v>0</v>
      </c>
      <c r="BT67" s="53">
        <f>SUMIFS('MtM Releases'!$M:$M,'MtM Releases'!$G:$G,RESULTADO!$BN67,'MtM Releases'!$F:$F,RESULTADO!$BN63,'MtM Releases'!$D:$D,RESULTADO!BT$3)</f>
        <v>0</v>
      </c>
      <c r="BU67" s="53">
        <f>SUMIFS('MtM Releases'!$M:$M,'MtM Releases'!$G:$G,RESULTADO!$BN67,'MtM Releases'!$F:$F,RESULTADO!$BN63,'MtM Releases'!$D:$D,RESULTADO!BU$3)</f>
        <v>0</v>
      </c>
      <c r="BV67" s="53">
        <f>SUMIFS('MtM Releases'!$M:$M,'MtM Releases'!$G:$G,RESULTADO!$BN67,'MtM Releases'!$F:$F,RESULTADO!$BN63,'MtM Releases'!$D:$D,RESULTADO!BV$3)</f>
        <v>0</v>
      </c>
      <c r="BW67" s="53">
        <f>SUMIFS('MtM Releases'!$M:$M,'MtM Releases'!$G:$G,RESULTADO!$BN67,'MtM Releases'!$F:$F,RESULTADO!$BN63,'MtM Releases'!$D:$D,RESULTADO!BW$3)</f>
        <v>0</v>
      </c>
      <c r="BX67" s="53">
        <f>SUMIFS('MtM Releases'!$M:$M,'MtM Releases'!$G:$G,RESULTADO!$BN67,'MtM Releases'!$F:$F,RESULTADO!$BN63,'MtM Releases'!$D:$D,RESULTADO!BX$3)</f>
        <v>0</v>
      </c>
      <c r="BY67" s="53">
        <f>SUMIFS('MtM Releases'!$M:$M,'MtM Releases'!$G:$G,RESULTADO!$BN67,'MtM Releases'!$F:$F,RESULTADO!$BN63,'MtM Releases'!$D:$D,RESULTADO!BY$3)</f>
        <v>0</v>
      </c>
      <c r="BZ67" s="54">
        <f>SUMIFS('MtM Releases'!$M:$M,'MtM Releases'!$G:$G,RESULTADO!$BN67,'MtM Releases'!$F:$F,RESULTADO!$BN63,'MtM Releases'!$D:$D,RESULTADO!BZ$3)</f>
        <v>0</v>
      </c>
      <c r="CA67" s="53">
        <f>SUMIFS('MtM Releases'!$M:$M,'MtM Releases'!$G:$G,RESULTADO!$BN67,'MtM Releases'!$F:$F,RESULTADO!$BN63,'MtM Releases'!$D:$D,RESULTADO!CA$3)</f>
        <v>0</v>
      </c>
      <c r="CB67" s="53">
        <f>SUMIFS('MtM Releases'!$M:$M,'MtM Releases'!$G:$G,RESULTADO!$BN67,'MtM Releases'!$F:$F,RESULTADO!$BN63,'MtM Releases'!$D:$D,RESULTADO!CB$3)</f>
        <v>0</v>
      </c>
      <c r="CC67" s="53">
        <f>SUMIFS('MtM Releases'!$M:$M,'MtM Releases'!$G:$G,RESULTADO!$BN67,'MtM Releases'!$F:$F,RESULTADO!$BN63,'MtM Releases'!$D:$D,RESULTADO!CC$3)</f>
        <v>0</v>
      </c>
      <c r="CD67" s="53">
        <f>SUMIFS('MtM Releases'!$M:$M,'MtM Releases'!$G:$G,RESULTADO!$BN67,'MtM Releases'!$F:$F,RESULTADO!$BN63,'MtM Releases'!$D:$D,RESULTADO!CD$3)</f>
        <v>0</v>
      </c>
      <c r="CE67" s="53">
        <f>SUMIFS('MtM Releases'!$M:$M,'MtM Releases'!$G:$G,RESULTADO!$BN67,'MtM Releases'!$F:$F,RESULTADO!$BN63,'MtM Releases'!$D:$D,RESULTADO!CE$3)</f>
        <v>0</v>
      </c>
      <c r="CF67" s="53">
        <f>SUMIFS('MtM Releases'!$M:$M,'MtM Releases'!$G:$G,RESULTADO!$BN67,'MtM Releases'!$F:$F,RESULTADO!$BN63,'MtM Releases'!$D:$D,RESULTADO!CF$3)</f>
        <v>0</v>
      </c>
      <c r="CG67" s="53">
        <f>SUMIFS('MtM Releases'!$M:$M,'MtM Releases'!$G:$G,RESULTADO!$BN67,'MtM Releases'!$F:$F,RESULTADO!$BN63,'MtM Releases'!$D:$D,RESULTADO!CG$3)</f>
        <v>0</v>
      </c>
      <c r="CH67" s="53">
        <f>SUMIFS('MtM Releases'!$M:$M,'MtM Releases'!$G:$G,RESULTADO!$BN67,'MtM Releases'!$F:$F,RESULTADO!$BN63,'MtM Releases'!$D:$D,RESULTADO!CH$3)</f>
        <v>0</v>
      </c>
      <c r="CI67" s="53">
        <f>SUMIFS('MtM Releases'!$M:$M,'MtM Releases'!$G:$G,RESULTADO!$BN67,'MtM Releases'!$F:$F,RESULTADO!$BN63,'MtM Releases'!$D:$D,RESULTADO!CI$3)</f>
        <v>0</v>
      </c>
      <c r="CJ67" s="53">
        <f>SUMIFS('MtM Releases'!$M:$M,'MtM Releases'!$G:$G,RESULTADO!$BN67,'MtM Releases'!$F:$F,RESULTADO!$BN63,'MtM Releases'!$D:$D,RESULTADO!CJ$3)</f>
        <v>0</v>
      </c>
      <c r="CK67" s="53">
        <f>SUMIFS('MtM Releases'!$M:$M,'MtM Releases'!$G:$G,RESULTADO!$BN67,'MtM Releases'!$F:$F,RESULTADO!$BN63,'MtM Releases'!$D:$D,RESULTADO!CK$3)</f>
        <v>0</v>
      </c>
      <c r="CL67" s="63">
        <f>SUMIFS('MtM Releases'!$M:$M,'MtM Releases'!$G:$G,RESULTADO!$BN67,'MtM Releases'!$F:$F,RESULTADO!$BN63,'MtM Releases'!$D:$D,RESULTADO!CL$3)</f>
        <v>0</v>
      </c>
      <c r="CM67" s="53">
        <f>SUMIFS('MtM Releases'!$M:$M,'MtM Releases'!$G:$G,RESULTADO!$BN67,'MtM Releases'!$F:$F,RESULTADO!$BN63,'MtM Releases'!$D:$D,RESULTADO!CM$3)</f>
        <v>0</v>
      </c>
      <c r="CN67" s="53">
        <f>SUMIFS('MtM Releases'!$M:$M,'MtM Releases'!$G:$G,RESULTADO!$BN67,'MtM Releases'!$F:$F,RESULTADO!$BN63,'MtM Releases'!$D:$D,RESULTADO!CN$3)</f>
        <v>0</v>
      </c>
      <c r="CO67" s="53">
        <f>SUMIFS('MtM Releases'!$M:$M,'MtM Releases'!$G:$G,RESULTADO!$BN67,'MtM Releases'!$F:$F,RESULTADO!$BN63,'MtM Releases'!$D:$D,RESULTADO!CO$3)</f>
        <v>0</v>
      </c>
      <c r="CP67" s="53">
        <f>SUMIFS('MtM Releases'!$M:$M,'MtM Releases'!$G:$G,RESULTADO!$BN67,'MtM Releases'!$F:$F,RESULTADO!$BN63,'MtM Releases'!$D:$D,RESULTADO!CP$3)</f>
        <v>0</v>
      </c>
      <c r="CQ67" s="53">
        <f>SUMIFS('MtM Releases'!$M:$M,'MtM Releases'!$G:$G,RESULTADO!$BN67,'MtM Releases'!$F:$F,RESULTADO!$BN63,'MtM Releases'!$D:$D,RESULTADO!CQ$3)</f>
        <v>0</v>
      </c>
      <c r="CR67" s="53">
        <f>SUMIFS('MtM Releases'!$M:$M,'MtM Releases'!$G:$G,RESULTADO!$BN67,'MtM Releases'!$F:$F,RESULTADO!$BN63,'MtM Releases'!$D:$D,RESULTADO!CR$3)</f>
        <v>0</v>
      </c>
      <c r="CS67" s="53">
        <f>SUMIFS('MtM Releases'!$M:$M,'MtM Releases'!$G:$G,RESULTADO!$BN67,'MtM Releases'!$F:$F,RESULTADO!$BN63,'MtM Releases'!$D:$D,RESULTADO!CS$3)</f>
        <v>0</v>
      </c>
      <c r="CT67" s="53">
        <f>SUMIFS('MtM Releases'!$M:$M,'MtM Releases'!$G:$G,RESULTADO!$BN67,'MtM Releases'!$F:$F,RESULTADO!$BN63,'MtM Releases'!$D:$D,RESULTADO!CT$3)</f>
        <v>0</v>
      </c>
      <c r="CU67" s="53">
        <f>SUMIFS('MtM Releases'!$M:$M,'MtM Releases'!$G:$G,RESULTADO!$BN67,'MtM Releases'!$F:$F,RESULTADO!$BN63,'MtM Releases'!$D:$D,RESULTADO!CU$3)</f>
        <v>0</v>
      </c>
      <c r="CV67" s="53">
        <f>SUMIFS('MtM Releases'!$M:$M,'MtM Releases'!$G:$G,RESULTADO!$BN67,'MtM Releases'!$F:$F,RESULTADO!$BN63,'MtM Releases'!$D:$D,RESULTADO!CV$3)</f>
        <v>0</v>
      </c>
      <c r="CW67" s="53">
        <f>SUMIFS('MtM Releases'!$M:$M,'MtM Releases'!$G:$G,RESULTADO!$BN67,'MtM Releases'!$F:$F,RESULTADO!$BN63,'MtM Releases'!$D:$D,RESULTADO!CW$3)</f>
        <v>0</v>
      </c>
      <c r="CX67" s="54">
        <f>SUMIFS('MtM Releases'!$M:$M,'MtM Releases'!$G:$G,RESULTADO!$BN67,'MtM Releases'!$F:$F,RESULTADO!$BN63,'MtM Releases'!$D:$D,RESULTADO!CX$3)</f>
        <v>0</v>
      </c>
      <c r="CY67" s="53">
        <f>SUMIFS('MtM Releases'!$M:$M,'MtM Releases'!$G:$G,RESULTADO!$BN67,'MtM Releases'!$F:$F,RESULTADO!$BN63,'MtM Releases'!$D:$D,RESULTADO!CY$3)</f>
        <v>0</v>
      </c>
      <c r="CZ67" s="53">
        <f>SUMIFS('MtM Releases'!$M:$M,'MtM Releases'!$G:$G,RESULTADO!$BN67,'MtM Releases'!$F:$F,RESULTADO!$BN63,'MtM Releases'!$D:$D,RESULTADO!CZ$3)</f>
        <v>0</v>
      </c>
      <c r="DA67" s="53">
        <f>SUMIFS('MtM Releases'!$M:$M,'MtM Releases'!$G:$G,RESULTADO!$BN67,'MtM Releases'!$F:$F,RESULTADO!$BN63,'MtM Releases'!$D:$D,RESULTADO!DA$3)</f>
        <v>0</v>
      </c>
      <c r="DB67" s="53">
        <f>SUMIFS('MtM Releases'!$M:$M,'MtM Releases'!$G:$G,RESULTADO!$BN67,'MtM Releases'!$F:$F,RESULTADO!$BN63,'MtM Releases'!$D:$D,RESULTADO!DB$3)</f>
        <v>0</v>
      </c>
      <c r="DC67" s="53">
        <f>SUMIFS('MtM Releases'!$M:$M,'MtM Releases'!$G:$G,RESULTADO!$BN67,'MtM Releases'!$F:$F,RESULTADO!$BN63,'MtM Releases'!$D:$D,RESULTADO!DC$3)</f>
        <v>0</v>
      </c>
      <c r="DD67" s="53">
        <f>SUMIFS('MtM Releases'!$M:$M,'MtM Releases'!$G:$G,RESULTADO!$BN67,'MtM Releases'!$F:$F,RESULTADO!$BN63,'MtM Releases'!$D:$D,RESULTADO!DD$3)</f>
        <v>0</v>
      </c>
      <c r="DE67" s="53">
        <f>SUMIFS('MtM Releases'!$M:$M,'MtM Releases'!$G:$G,RESULTADO!$BN67,'MtM Releases'!$F:$F,RESULTADO!$BN63,'MtM Releases'!$D:$D,RESULTADO!DE$3)</f>
        <v>0</v>
      </c>
      <c r="DF67" s="53">
        <f>SUMIFS('MtM Releases'!$M:$M,'MtM Releases'!$G:$G,RESULTADO!$BN67,'MtM Releases'!$F:$F,RESULTADO!$BN63,'MtM Releases'!$D:$D,RESULTADO!DF$3)</f>
        <v>0</v>
      </c>
      <c r="DG67" s="53">
        <f>SUMIFS('MtM Releases'!$M:$M,'MtM Releases'!$G:$G,RESULTADO!$BN67,'MtM Releases'!$F:$F,RESULTADO!$BN63,'MtM Releases'!$D:$D,RESULTADO!DG$3)</f>
        <v>0</v>
      </c>
      <c r="DH67" s="53">
        <f>SUMIFS('MtM Releases'!$M:$M,'MtM Releases'!$G:$G,RESULTADO!$BN67,'MtM Releases'!$F:$F,RESULTADO!$BN63,'MtM Releases'!$D:$D,RESULTADO!DH$3)</f>
        <v>0</v>
      </c>
      <c r="DI67" s="53">
        <f>SUMIFS('MtM Releases'!$M:$M,'MtM Releases'!$G:$G,RESULTADO!$BN67,'MtM Releases'!$F:$F,RESULTADO!$BN63,'MtM Releases'!$D:$D,RESULTADO!DI$3)</f>
        <v>0</v>
      </c>
      <c r="DJ67" s="63">
        <f>SUMIFS('MtM Releases'!$M:$M,'MtM Releases'!$G:$G,RESULTADO!$BN67,'MtM Releases'!$F:$F,RESULTADO!$BN63,'MtM Releases'!$D:$D,RESULTADO!DJ$3)</f>
        <v>0</v>
      </c>
      <c r="DK67" s="53">
        <f>SUMIFS('MtM Releases'!$M:$M,'MtM Releases'!$G:$G,RESULTADO!$BN67,'MtM Releases'!$F:$F,RESULTADO!$BN63,'MtM Releases'!$D:$D,RESULTADO!DK$3)</f>
        <v>0</v>
      </c>
      <c r="DL67" s="53">
        <f>SUMIFS('MtM Releases'!$M:$M,'MtM Releases'!$G:$G,RESULTADO!$BN67,'MtM Releases'!$F:$F,RESULTADO!$BN63,'MtM Releases'!$D:$D,RESULTADO!DL$3)</f>
        <v>0</v>
      </c>
      <c r="DM67" s="53">
        <f>SUMIFS('MtM Releases'!$M:$M,'MtM Releases'!$G:$G,RESULTADO!$BN67,'MtM Releases'!$F:$F,RESULTADO!$BN63,'MtM Releases'!$D:$D,RESULTADO!DM$3)</f>
        <v>0</v>
      </c>
      <c r="DN67" s="53">
        <f>SUMIFS('MtM Releases'!$M:$M,'MtM Releases'!$G:$G,RESULTADO!$BN67,'MtM Releases'!$F:$F,RESULTADO!$BN63,'MtM Releases'!$D:$D,RESULTADO!DN$3)</f>
        <v>0</v>
      </c>
      <c r="DO67" s="53">
        <f>SUMIFS('MtM Releases'!$M:$M,'MtM Releases'!$G:$G,RESULTADO!$BN67,'MtM Releases'!$F:$F,RESULTADO!$BN63,'MtM Releases'!$D:$D,RESULTADO!DO$3)</f>
        <v>0</v>
      </c>
      <c r="DP67" s="53">
        <f>SUMIFS('MtM Releases'!$M:$M,'MtM Releases'!$G:$G,RESULTADO!$BN67,'MtM Releases'!$F:$F,RESULTADO!$BN63,'MtM Releases'!$D:$D,RESULTADO!DP$3)</f>
        <v>0</v>
      </c>
      <c r="DQ67" s="53">
        <f>SUMIFS('MtM Releases'!$M:$M,'MtM Releases'!$G:$G,RESULTADO!$BN67,'MtM Releases'!$F:$F,RESULTADO!$BN63,'MtM Releases'!$D:$D,RESULTADO!DQ$3)</f>
        <v>0</v>
      </c>
      <c r="DR67" s="53">
        <f>SUMIFS('MtM Releases'!$M:$M,'MtM Releases'!$G:$G,RESULTADO!$BN67,'MtM Releases'!$F:$F,RESULTADO!$BN63,'MtM Releases'!$D:$D,RESULTADO!DR$3)</f>
        <v>0</v>
      </c>
      <c r="DS67" s="53">
        <f>SUMIFS('MtM Releases'!$M:$M,'MtM Releases'!$G:$G,RESULTADO!$BN67,'MtM Releases'!$F:$F,RESULTADO!$BN63,'MtM Releases'!$D:$D,RESULTADO!DS$3)</f>
        <v>0</v>
      </c>
      <c r="DT67" s="53">
        <f>SUMIFS('MtM Releases'!$M:$M,'MtM Releases'!$G:$G,RESULTADO!$BN67,'MtM Releases'!$F:$F,RESULTADO!$BN63,'MtM Releases'!$D:$D,RESULTADO!DT$3)</f>
        <v>0</v>
      </c>
      <c r="DU67" s="53">
        <f>SUMIFS('MtM Releases'!$M:$M,'MtM Releases'!$G:$G,RESULTADO!$BN67,'MtM Releases'!$F:$F,RESULTADO!$BN63,'MtM Releases'!$D:$D,RESULTADO!DU$3)</f>
        <v>0</v>
      </c>
      <c r="DV67" s="63">
        <f>SUMIFS('MtM Releases'!$M:$M,'MtM Releases'!$G:$G,RESULTADO!$BN67,'MtM Releases'!$F:$F,RESULTADO!$BN63,'MtM Releases'!$D:$D,RESULTADO!DV$3)</f>
        <v>0</v>
      </c>
    </row>
    <row r="68" spans="2:126" x14ac:dyDescent="0.25">
      <c r="B68" s="56" t="s">
        <v>67</v>
      </c>
      <c r="C68" s="68">
        <f>SUM(C69:C72)</f>
        <v>0</v>
      </c>
      <c r="D68" s="68">
        <f t="shared" ref="D68:BJ68" si="53">SUM(D69:D72)</f>
        <v>0</v>
      </c>
      <c r="E68" s="68">
        <f t="shared" si="53"/>
        <v>0</v>
      </c>
      <c r="F68" s="68">
        <f t="shared" si="53"/>
        <v>0</v>
      </c>
      <c r="G68" s="68">
        <f t="shared" si="53"/>
        <v>0</v>
      </c>
      <c r="H68" s="68">
        <f t="shared" si="53"/>
        <v>0</v>
      </c>
      <c r="I68" s="68">
        <f t="shared" si="53"/>
        <v>0</v>
      </c>
      <c r="J68" s="68">
        <f t="shared" si="53"/>
        <v>0</v>
      </c>
      <c r="K68" s="68">
        <f t="shared" si="53"/>
        <v>0</v>
      </c>
      <c r="L68" s="68">
        <f t="shared" si="53"/>
        <v>0</v>
      </c>
      <c r="M68" s="68">
        <f t="shared" si="53"/>
        <v>0</v>
      </c>
      <c r="N68" s="69">
        <f t="shared" si="53"/>
        <v>0</v>
      </c>
      <c r="O68" s="68">
        <f t="shared" si="53"/>
        <v>0</v>
      </c>
      <c r="P68" s="68">
        <f t="shared" si="53"/>
        <v>0</v>
      </c>
      <c r="Q68" s="68">
        <f t="shared" si="53"/>
        <v>0</v>
      </c>
      <c r="R68" s="68">
        <f t="shared" si="53"/>
        <v>0</v>
      </c>
      <c r="S68" s="68">
        <f t="shared" si="53"/>
        <v>0</v>
      </c>
      <c r="T68" s="68">
        <f t="shared" si="53"/>
        <v>0</v>
      </c>
      <c r="U68" s="68">
        <f t="shared" si="53"/>
        <v>0</v>
      </c>
      <c r="V68" s="68">
        <f t="shared" si="53"/>
        <v>0</v>
      </c>
      <c r="W68" s="68">
        <f t="shared" si="53"/>
        <v>0</v>
      </c>
      <c r="X68" s="68">
        <f t="shared" si="53"/>
        <v>0</v>
      </c>
      <c r="Y68" s="68">
        <f t="shared" si="53"/>
        <v>0</v>
      </c>
      <c r="Z68" s="70">
        <f t="shared" si="53"/>
        <v>0</v>
      </c>
      <c r="AA68" s="68">
        <f t="shared" si="53"/>
        <v>0</v>
      </c>
      <c r="AB68" s="68">
        <f t="shared" si="53"/>
        <v>0</v>
      </c>
      <c r="AC68" s="68">
        <f t="shared" si="53"/>
        <v>0</v>
      </c>
      <c r="AD68" s="68">
        <f t="shared" si="53"/>
        <v>0</v>
      </c>
      <c r="AE68" s="68">
        <f t="shared" si="53"/>
        <v>0</v>
      </c>
      <c r="AF68" s="68">
        <f t="shared" si="53"/>
        <v>0</v>
      </c>
      <c r="AG68" s="68">
        <f t="shared" si="53"/>
        <v>0</v>
      </c>
      <c r="AH68" s="68">
        <f t="shared" si="53"/>
        <v>0</v>
      </c>
      <c r="AI68" s="68">
        <f t="shared" si="53"/>
        <v>0</v>
      </c>
      <c r="AJ68" s="68">
        <f t="shared" si="53"/>
        <v>0</v>
      </c>
      <c r="AK68" s="68">
        <f t="shared" si="53"/>
        <v>0</v>
      </c>
      <c r="AL68" s="69">
        <f t="shared" si="53"/>
        <v>0</v>
      </c>
      <c r="AM68" s="68">
        <f t="shared" si="53"/>
        <v>0</v>
      </c>
      <c r="AN68" s="68">
        <f t="shared" si="53"/>
        <v>0</v>
      </c>
      <c r="AO68" s="68">
        <f t="shared" si="53"/>
        <v>0</v>
      </c>
      <c r="AP68" s="68">
        <f t="shared" si="53"/>
        <v>0</v>
      </c>
      <c r="AQ68" s="68">
        <f t="shared" si="53"/>
        <v>0</v>
      </c>
      <c r="AR68" s="68">
        <f t="shared" si="53"/>
        <v>0</v>
      </c>
      <c r="AS68" s="68">
        <f t="shared" si="53"/>
        <v>0</v>
      </c>
      <c r="AT68" s="68">
        <f t="shared" si="53"/>
        <v>0</v>
      </c>
      <c r="AU68" s="68">
        <f t="shared" si="53"/>
        <v>0</v>
      </c>
      <c r="AV68" s="68">
        <f t="shared" si="53"/>
        <v>0</v>
      </c>
      <c r="AW68" s="68">
        <f t="shared" si="53"/>
        <v>0</v>
      </c>
      <c r="AX68" s="70">
        <f t="shared" si="53"/>
        <v>0</v>
      </c>
      <c r="AY68" s="68">
        <f t="shared" si="53"/>
        <v>0</v>
      </c>
      <c r="AZ68" s="68">
        <f t="shared" si="53"/>
        <v>0</v>
      </c>
      <c r="BA68" s="68">
        <f t="shared" si="53"/>
        <v>0</v>
      </c>
      <c r="BB68" s="68">
        <f t="shared" si="53"/>
        <v>0</v>
      </c>
      <c r="BC68" s="68">
        <f t="shared" si="53"/>
        <v>0</v>
      </c>
      <c r="BD68" s="68">
        <f t="shared" si="53"/>
        <v>0</v>
      </c>
      <c r="BE68" s="68">
        <f t="shared" si="53"/>
        <v>0</v>
      </c>
      <c r="BF68" s="68">
        <f t="shared" si="53"/>
        <v>0</v>
      </c>
      <c r="BG68" s="68">
        <f t="shared" si="53"/>
        <v>0</v>
      </c>
      <c r="BH68" s="68">
        <f t="shared" si="53"/>
        <v>0</v>
      </c>
      <c r="BI68" s="68">
        <f t="shared" si="53"/>
        <v>0</v>
      </c>
      <c r="BJ68" s="70">
        <f t="shared" si="53"/>
        <v>0</v>
      </c>
      <c r="BL68" s="120"/>
      <c r="BN68" s="56" t="s">
        <v>67</v>
      </c>
      <c r="BO68" s="68">
        <f>SUM(BO69:BO72)</f>
        <v>0</v>
      </c>
      <c r="BP68" s="68">
        <f t="shared" ref="BP68:DV68" si="54">SUM(BP69:BP72)</f>
        <v>0</v>
      </c>
      <c r="BQ68" s="68">
        <f t="shared" si="54"/>
        <v>0</v>
      </c>
      <c r="BR68" s="68">
        <f t="shared" si="54"/>
        <v>0</v>
      </c>
      <c r="BS68" s="68">
        <f t="shared" si="54"/>
        <v>0</v>
      </c>
      <c r="BT68" s="68">
        <f t="shared" si="54"/>
        <v>0</v>
      </c>
      <c r="BU68" s="68">
        <f t="shared" si="54"/>
        <v>0</v>
      </c>
      <c r="BV68" s="68">
        <f t="shared" si="54"/>
        <v>0</v>
      </c>
      <c r="BW68" s="68">
        <f t="shared" si="54"/>
        <v>0</v>
      </c>
      <c r="BX68" s="68">
        <f t="shared" si="54"/>
        <v>0</v>
      </c>
      <c r="BY68" s="68">
        <f t="shared" si="54"/>
        <v>0</v>
      </c>
      <c r="BZ68" s="69">
        <f t="shared" si="54"/>
        <v>0</v>
      </c>
      <c r="CA68" s="68">
        <f t="shared" si="54"/>
        <v>0</v>
      </c>
      <c r="CB68" s="68">
        <f t="shared" si="54"/>
        <v>0</v>
      </c>
      <c r="CC68" s="68">
        <f t="shared" si="54"/>
        <v>0</v>
      </c>
      <c r="CD68" s="68">
        <f t="shared" si="54"/>
        <v>0</v>
      </c>
      <c r="CE68" s="68">
        <f t="shared" si="54"/>
        <v>0</v>
      </c>
      <c r="CF68" s="68">
        <f t="shared" si="54"/>
        <v>0</v>
      </c>
      <c r="CG68" s="68">
        <f t="shared" si="54"/>
        <v>0</v>
      </c>
      <c r="CH68" s="68">
        <f t="shared" si="54"/>
        <v>0</v>
      </c>
      <c r="CI68" s="68">
        <f t="shared" si="54"/>
        <v>0</v>
      </c>
      <c r="CJ68" s="68">
        <f t="shared" si="54"/>
        <v>0</v>
      </c>
      <c r="CK68" s="68">
        <f t="shared" si="54"/>
        <v>0</v>
      </c>
      <c r="CL68" s="70">
        <f t="shared" si="54"/>
        <v>0</v>
      </c>
      <c r="CM68" s="68">
        <f t="shared" si="54"/>
        <v>0</v>
      </c>
      <c r="CN68" s="68">
        <f t="shared" si="54"/>
        <v>0</v>
      </c>
      <c r="CO68" s="68">
        <f t="shared" si="54"/>
        <v>0</v>
      </c>
      <c r="CP68" s="68">
        <f t="shared" si="54"/>
        <v>0</v>
      </c>
      <c r="CQ68" s="68">
        <f t="shared" si="54"/>
        <v>0</v>
      </c>
      <c r="CR68" s="68">
        <f t="shared" si="54"/>
        <v>0</v>
      </c>
      <c r="CS68" s="68">
        <f t="shared" si="54"/>
        <v>0</v>
      </c>
      <c r="CT68" s="68">
        <f t="shared" si="54"/>
        <v>0</v>
      </c>
      <c r="CU68" s="68">
        <f t="shared" si="54"/>
        <v>0</v>
      </c>
      <c r="CV68" s="68">
        <f t="shared" si="54"/>
        <v>0</v>
      </c>
      <c r="CW68" s="68">
        <f t="shared" si="54"/>
        <v>0</v>
      </c>
      <c r="CX68" s="69">
        <f t="shared" si="54"/>
        <v>0</v>
      </c>
      <c r="CY68" s="68">
        <f t="shared" si="54"/>
        <v>0</v>
      </c>
      <c r="CZ68" s="68">
        <f t="shared" si="54"/>
        <v>0</v>
      </c>
      <c r="DA68" s="68">
        <f t="shared" si="54"/>
        <v>0</v>
      </c>
      <c r="DB68" s="68">
        <f t="shared" si="54"/>
        <v>0</v>
      </c>
      <c r="DC68" s="68">
        <f t="shared" si="54"/>
        <v>0</v>
      </c>
      <c r="DD68" s="68">
        <f t="shared" si="54"/>
        <v>0</v>
      </c>
      <c r="DE68" s="68">
        <f t="shared" si="54"/>
        <v>0</v>
      </c>
      <c r="DF68" s="68">
        <f t="shared" si="54"/>
        <v>0</v>
      </c>
      <c r="DG68" s="68">
        <f t="shared" si="54"/>
        <v>0</v>
      </c>
      <c r="DH68" s="68">
        <f t="shared" si="54"/>
        <v>0</v>
      </c>
      <c r="DI68" s="68">
        <f t="shared" si="54"/>
        <v>0</v>
      </c>
      <c r="DJ68" s="70">
        <f t="shared" si="54"/>
        <v>0</v>
      </c>
      <c r="DK68" s="68">
        <f t="shared" si="54"/>
        <v>0</v>
      </c>
      <c r="DL68" s="68">
        <f t="shared" si="54"/>
        <v>0</v>
      </c>
      <c r="DM68" s="68">
        <f t="shared" si="54"/>
        <v>0</v>
      </c>
      <c r="DN68" s="68">
        <f t="shared" si="54"/>
        <v>0</v>
      </c>
      <c r="DO68" s="68">
        <f t="shared" si="54"/>
        <v>0</v>
      </c>
      <c r="DP68" s="68">
        <f t="shared" si="54"/>
        <v>0</v>
      </c>
      <c r="DQ68" s="68">
        <f t="shared" si="54"/>
        <v>0</v>
      </c>
      <c r="DR68" s="68">
        <f t="shared" si="54"/>
        <v>0</v>
      </c>
      <c r="DS68" s="68">
        <f t="shared" si="54"/>
        <v>0</v>
      </c>
      <c r="DT68" s="68">
        <f t="shared" si="54"/>
        <v>0</v>
      </c>
      <c r="DU68" s="68">
        <f t="shared" si="54"/>
        <v>0</v>
      </c>
      <c r="DV68" s="70">
        <f t="shared" si="54"/>
        <v>0</v>
      </c>
    </row>
    <row r="69" spans="2:126" x14ac:dyDescent="0.25">
      <c r="B69" s="57" t="s">
        <v>44</v>
      </c>
      <c r="C69" s="53">
        <f>(SUMIFS(MtM!$V:$V,MtM!$I:$I,RESULTADO!$B69,MtM!$H:$H,RESULTADO!$B$68,MtM!$E:$E,RESULTADO!C$42))</f>
        <v>0</v>
      </c>
      <c r="D69" s="53">
        <f>(SUMIFS(MtM!$V:$V,MtM!$I:$I,RESULTADO!$B69,MtM!$H:$H,RESULTADO!$B$68,MtM!$E:$E,RESULTADO!D$42))</f>
        <v>0</v>
      </c>
      <c r="E69" s="53">
        <f>(SUMIFS(MtM!$V:$V,MtM!$I:$I,RESULTADO!$B69,MtM!$H:$H,RESULTADO!$B$68,MtM!$E:$E,RESULTADO!E$42))</f>
        <v>0</v>
      </c>
      <c r="F69" s="53">
        <f>(SUMIFS(MtM!$V:$V,MtM!$I:$I,RESULTADO!$B69,MtM!$H:$H,RESULTADO!$B$68,MtM!$E:$E,RESULTADO!F$42))</f>
        <v>0</v>
      </c>
      <c r="G69" s="53">
        <f>(SUMIFS(MtM!$V:$V,MtM!$I:$I,RESULTADO!$B69,MtM!$H:$H,RESULTADO!$B$68,MtM!$E:$E,RESULTADO!G$42))</f>
        <v>0</v>
      </c>
      <c r="H69" s="53">
        <f>(SUMIFS(MtM!$V:$V,MtM!$I:$I,RESULTADO!$B69,MtM!$H:$H,RESULTADO!$B$68,MtM!$E:$E,RESULTADO!H$42))</f>
        <v>0</v>
      </c>
      <c r="I69" s="53">
        <f>(SUMIFS(MtM!$V:$V,MtM!$I:$I,RESULTADO!$B69,MtM!$H:$H,RESULTADO!$B$68,MtM!$E:$E,RESULTADO!I$42))</f>
        <v>0</v>
      </c>
      <c r="J69" s="53">
        <f>(SUMIFS(MtM!$V:$V,MtM!$I:$I,RESULTADO!$B69,MtM!$H:$H,RESULTADO!$B$68,MtM!$E:$E,RESULTADO!J$42))</f>
        <v>0</v>
      </c>
      <c r="K69" s="53">
        <f>(SUMIFS(MtM!$V:$V,MtM!$I:$I,RESULTADO!$B69,MtM!$H:$H,RESULTADO!$B$68,MtM!$E:$E,RESULTADO!K$42))</f>
        <v>0</v>
      </c>
      <c r="L69" s="53">
        <f>(SUMIFS(MtM!$V:$V,MtM!$I:$I,RESULTADO!$B69,MtM!$H:$H,RESULTADO!$B$68,MtM!$E:$E,RESULTADO!L$42))</f>
        <v>0</v>
      </c>
      <c r="M69" s="53">
        <f>(SUMIFS(MtM!$V:$V,MtM!$I:$I,RESULTADO!$B69,MtM!$H:$H,RESULTADO!$B$68,MtM!$E:$E,RESULTADO!M$42))</f>
        <v>0</v>
      </c>
      <c r="N69" s="54">
        <f>(SUMIFS(MtM!$V:$V,MtM!$I:$I,RESULTADO!$B69,MtM!$H:$H,RESULTADO!$B$68,MtM!$E:$E,RESULTADO!N$42))</f>
        <v>0</v>
      </c>
      <c r="O69" s="53">
        <f>(SUMIFS(MtM!$V:$V,MtM!$I:$I,RESULTADO!$B69,MtM!$H:$H,RESULTADO!$B$68,MtM!$E:$E,RESULTADO!O$42))</f>
        <v>0</v>
      </c>
      <c r="P69" s="53">
        <f>(SUMIFS(MtM!$V:$V,MtM!$I:$I,RESULTADO!$B69,MtM!$H:$H,RESULTADO!$B$68,MtM!$E:$E,RESULTADO!P$42))</f>
        <v>0</v>
      </c>
      <c r="Q69" s="53">
        <f>(SUMIFS(MtM!$V:$V,MtM!$I:$I,RESULTADO!$B69,MtM!$H:$H,RESULTADO!$B$68,MtM!$E:$E,RESULTADO!Q$42))</f>
        <v>0</v>
      </c>
      <c r="R69" s="53">
        <f>(SUMIFS(MtM!$V:$V,MtM!$I:$I,RESULTADO!$B69,MtM!$H:$H,RESULTADO!$B$68,MtM!$E:$E,RESULTADO!R$42))</f>
        <v>0</v>
      </c>
      <c r="S69" s="53">
        <f>(SUMIFS(MtM!$V:$V,MtM!$I:$I,RESULTADO!$B69,MtM!$H:$H,RESULTADO!$B$68,MtM!$E:$E,RESULTADO!S$42))</f>
        <v>0</v>
      </c>
      <c r="T69" s="53">
        <f>(SUMIFS(MtM!$V:$V,MtM!$I:$I,RESULTADO!$B69,MtM!$H:$H,RESULTADO!$B$68,MtM!$E:$E,RESULTADO!T$42))</f>
        <v>0</v>
      </c>
      <c r="U69" s="53">
        <f>(SUMIFS(MtM!$V:$V,MtM!$I:$I,RESULTADO!$B69,MtM!$H:$H,RESULTADO!$B$68,MtM!$E:$E,RESULTADO!U$42))</f>
        <v>0</v>
      </c>
      <c r="V69" s="53">
        <f>(SUMIFS(MtM!$V:$V,MtM!$I:$I,RESULTADO!$B69,MtM!$H:$H,RESULTADO!$B$68,MtM!$E:$E,RESULTADO!V$42))</f>
        <v>0</v>
      </c>
      <c r="W69" s="53">
        <f>(SUMIFS(MtM!$V:$V,MtM!$I:$I,RESULTADO!$B69,MtM!$H:$H,RESULTADO!$B$68,MtM!$E:$E,RESULTADO!W$42))</f>
        <v>0</v>
      </c>
      <c r="X69" s="53">
        <f>(SUMIFS(MtM!$V:$V,MtM!$I:$I,RESULTADO!$B69,MtM!$H:$H,RESULTADO!$B$68,MtM!$E:$E,RESULTADO!X$42))</f>
        <v>0</v>
      </c>
      <c r="Y69" s="53">
        <f>(SUMIFS(MtM!$V:$V,MtM!$I:$I,RESULTADO!$B69,MtM!$H:$H,RESULTADO!$B$68,MtM!$E:$E,RESULTADO!Y$42))</f>
        <v>0</v>
      </c>
      <c r="Z69" s="63">
        <f>(SUMIFS(MtM!$V:$V,MtM!$I:$I,RESULTADO!$B69,MtM!$H:$H,RESULTADO!$B$68,MtM!$E:$E,RESULTADO!Z$42))</f>
        <v>0</v>
      </c>
      <c r="AA69" s="53">
        <f>(SUMIFS(MtM!$V:$V,MtM!$I:$I,RESULTADO!$B69,MtM!$H:$H,RESULTADO!$B$68,MtM!$E:$E,RESULTADO!AA$42))</f>
        <v>0</v>
      </c>
      <c r="AB69" s="53">
        <f>(SUMIFS(MtM!$V:$V,MtM!$I:$I,RESULTADO!$B69,MtM!$H:$H,RESULTADO!$B$68,MtM!$E:$E,RESULTADO!AB$42))</f>
        <v>0</v>
      </c>
      <c r="AC69" s="53">
        <f>(SUMIFS(MtM!$V:$V,MtM!$I:$I,RESULTADO!$B69,MtM!$H:$H,RESULTADO!$B$68,MtM!$E:$E,RESULTADO!AC$42))</f>
        <v>0</v>
      </c>
      <c r="AD69" s="53">
        <f>(SUMIFS(MtM!$V:$V,MtM!$I:$I,RESULTADO!$B69,MtM!$H:$H,RESULTADO!$B$68,MtM!$E:$E,RESULTADO!AD$42))</f>
        <v>0</v>
      </c>
      <c r="AE69" s="53">
        <f>(SUMIFS(MtM!$V:$V,MtM!$I:$I,RESULTADO!$B69,MtM!$H:$H,RESULTADO!$B$68,MtM!$E:$E,RESULTADO!AE$42))</f>
        <v>0</v>
      </c>
      <c r="AF69" s="53">
        <f>(SUMIFS(MtM!$V:$V,MtM!$I:$I,RESULTADO!$B69,MtM!$H:$H,RESULTADO!$B$68,MtM!$E:$E,RESULTADO!AF$42))</f>
        <v>0</v>
      </c>
      <c r="AG69" s="53">
        <f>(SUMIFS(MtM!$V:$V,MtM!$I:$I,RESULTADO!$B69,MtM!$H:$H,RESULTADO!$B$68,MtM!$E:$E,RESULTADO!AG$42))</f>
        <v>0</v>
      </c>
      <c r="AH69" s="53">
        <f>(SUMIFS(MtM!$V:$V,MtM!$I:$I,RESULTADO!$B69,MtM!$H:$H,RESULTADO!$B$68,MtM!$E:$E,RESULTADO!AH$42))</f>
        <v>0</v>
      </c>
      <c r="AI69" s="53">
        <f>(SUMIFS(MtM!$V:$V,MtM!$I:$I,RESULTADO!$B69,MtM!$H:$H,RESULTADO!$B$68,MtM!$E:$E,RESULTADO!AI$42))</f>
        <v>0</v>
      </c>
      <c r="AJ69" s="53">
        <f>(SUMIFS(MtM!$V:$V,MtM!$I:$I,RESULTADO!$B69,MtM!$H:$H,RESULTADO!$B$68,MtM!$E:$E,RESULTADO!AJ$42))</f>
        <v>0</v>
      </c>
      <c r="AK69" s="53">
        <f>(SUMIFS(MtM!$V:$V,MtM!$I:$I,RESULTADO!$B69,MtM!$H:$H,RESULTADO!$B$68,MtM!$E:$E,RESULTADO!AK$42))</f>
        <v>0</v>
      </c>
      <c r="AL69" s="54">
        <f>(SUMIFS(MtM!$V:$V,MtM!$I:$I,RESULTADO!$B69,MtM!$H:$H,RESULTADO!$B$68,MtM!$E:$E,RESULTADO!AL$42))</f>
        <v>0</v>
      </c>
      <c r="AM69" s="53">
        <f>(SUMIFS(MtM!$V:$V,MtM!$I:$I,RESULTADO!$B69,MtM!$H:$H,RESULTADO!$B$68,MtM!$E:$E,RESULTADO!AM$42))</f>
        <v>0</v>
      </c>
      <c r="AN69" s="53">
        <f>(SUMIFS(MtM!$V:$V,MtM!$I:$I,RESULTADO!$B69,MtM!$H:$H,RESULTADO!$B$68,MtM!$E:$E,RESULTADO!AN$42))</f>
        <v>0</v>
      </c>
      <c r="AO69" s="53">
        <f>(SUMIFS(MtM!$V:$V,MtM!$I:$I,RESULTADO!$B69,MtM!$H:$H,RESULTADO!$B$68,MtM!$E:$E,RESULTADO!AO$42))</f>
        <v>0</v>
      </c>
      <c r="AP69" s="53">
        <f>(SUMIFS(MtM!$V:$V,MtM!$I:$I,RESULTADO!$B69,MtM!$H:$H,RESULTADO!$B$68,MtM!$E:$E,RESULTADO!AP$42))</f>
        <v>0</v>
      </c>
      <c r="AQ69" s="53">
        <f>(SUMIFS(MtM!$V:$V,MtM!$I:$I,RESULTADO!$B69,MtM!$H:$H,RESULTADO!$B$68,MtM!$E:$E,RESULTADO!AQ$42))</f>
        <v>0</v>
      </c>
      <c r="AR69" s="53">
        <f>(SUMIFS(MtM!$V:$V,MtM!$I:$I,RESULTADO!$B69,MtM!$H:$H,RESULTADO!$B$68,MtM!$E:$E,RESULTADO!AR$42))</f>
        <v>0</v>
      </c>
      <c r="AS69" s="53">
        <f>(SUMIFS(MtM!$V:$V,MtM!$I:$I,RESULTADO!$B69,MtM!$H:$H,RESULTADO!$B$68,MtM!$E:$E,RESULTADO!AS$42))</f>
        <v>0</v>
      </c>
      <c r="AT69" s="53">
        <f>(SUMIFS(MtM!$V:$V,MtM!$I:$I,RESULTADO!$B69,MtM!$H:$H,RESULTADO!$B$68,MtM!$E:$E,RESULTADO!AT$42))</f>
        <v>0</v>
      </c>
      <c r="AU69" s="53">
        <f>(SUMIFS(MtM!$V:$V,MtM!$I:$I,RESULTADO!$B69,MtM!$H:$H,RESULTADO!$B$68,MtM!$E:$E,RESULTADO!AU$42))</f>
        <v>0</v>
      </c>
      <c r="AV69" s="53">
        <f>(SUMIFS(MtM!$V:$V,MtM!$I:$I,RESULTADO!$B69,MtM!$H:$H,RESULTADO!$B$68,MtM!$E:$E,RESULTADO!AV$42))</f>
        <v>0</v>
      </c>
      <c r="AW69" s="53">
        <f>(SUMIFS(MtM!$V:$V,MtM!$I:$I,RESULTADO!$B69,MtM!$H:$H,RESULTADO!$B$68,MtM!$E:$E,RESULTADO!AW$42))</f>
        <v>0</v>
      </c>
      <c r="AX69" s="63">
        <f>(SUMIFS(MtM!$V:$V,MtM!$I:$I,RESULTADO!$B69,MtM!$H:$H,RESULTADO!$B$68,MtM!$E:$E,RESULTADO!AX$42))</f>
        <v>0</v>
      </c>
      <c r="AY69" s="53">
        <f>(SUMIFS(MtM!$V:$V,MtM!$I:$I,RESULTADO!$B69,MtM!$H:$H,RESULTADO!$B$68,MtM!$E:$E,RESULTADO!AY$42))</f>
        <v>0</v>
      </c>
      <c r="AZ69" s="53">
        <f>(SUMIFS(MtM!$V:$V,MtM!$I:$I,RESULTADO!$B69,MtM!$H:$H,RESULTADO!$B$68,MtM!$E:$E,RESULTADO!AZ$42))</f>
        <v>0</v>
      </c>
      <c r="BA69" s="53">
        <f>(SUMIFS(MtM!$V:$V,MtM!$I:$I,RESULTADO!$B69,MtM!$H:$H,RESULTADO!$B$68,MtM!$E:$E,RESULTADO!BA$42))</f>
        <v>0</v>
      </c>
      <c r="BB69" s="53">
        <f>(SUMIFS(MtM!$V:$V,MtM!$I:$I,RESULTADO!$B69,MtM!$H:$H,RESULTADO!$B$68,MtM!$E:$E,RESULTADO!BB$42))</f>
        <v>0</v>
      </c>
      <c r="BC69" s="53">
        <f>(SUMIFS(MtM!$V:$V,MtM!$I:$I,RESULTADO!$B69,MtM!$H:$H,RESULTADO!$B$68,MtM!$E:$E,RESULTADO!BC$42))</f>
        <v>0</v>
      </c>
      <c r="BD69" s="53">
        <f>(SUMIFS(MtM!$V:$V,MtM!$I:$I,RESULTADO!$B69,MtM!$H:$H,RESULTADO!$B$68,MtM!$E:$E,RESULTADO!BD$42))</f>
        <v>0</v>
      </c>
      <c r="BE69" s="53">
        <f>(SUMIFS(MtM!$V:$V,MtM!$I:$I,RESULTADO!$B69,MtM!$H:$H,RESULTADO!$B$68,MtM!$E:$E,RESULTADO!BE$42))</f>
        <v>0</v>
      </c>
      <c r="BF69" s="53">
        <f>(SUMIFS(MtM!$V:$V,MtM!$I:$I,RESULTADO!$B69,MtM!$H:$H,RESULTADO!$B$68,MtM!$E:$E,RESULTADO!BF$42))</f>
        <v>0</v>
      </c>
      <c r="BG69" s="53">
        <f>(SUMIFS(MtM!$V:$V,MtM!$I:$I,RESULTADO!$B69,MtM!$H:$H,RESULTADO!$B$68,MtM!$E:$E,RESULTADO!BG$42))</f>
        <v>0</v>
      </c>
      <c r="BH69" s="53">
        <f>(SUMIFS(MtM!$V:$V,MtM!$I:$I,RESULTADO!$B69,MtM!$H:$H,RESULTADO!$B$68,MtM!$E:$E,RESULTADO!BH$42))</f>
        <v>0</v>
      </c>
      <c r="BI69" s="53">
        <f>(SUMIFS(MtM!$V:$V,MtM!$I:$I,RESULTADO!$B69,MtM!$H:$H,RESULTADO!$B$68,MtM!$E:$E,RESULTADO!BI$42))</f>
        <v>0</v>
      </c>
      <c r="BJ69" s="63">
        <f>(SUMIFS(MtM!$V:$V,MtM!$I:$I,RESULTADO!$B69,MtM!$H:$H,RESULTADO!$B$68,MtM!$E:$E,RESULTADO!BJ$42))</f>
        <v>0</v>
      </c>
      <c r="BL69" s="120"/>
      <c r="BN69" s="57" t="s">
        <v>44</v>
      </c>
      <c r="BO69" s="53">
        <f>SUMIFS('MtM Releases'!$M:$M,'MtM Releases'!$G:$G,RESULTADO!$BN69,'MtM Releases'!$F:$F,RESULTADO!$BN68,'MtM Releases'!$D:$D,RESULTADO!BO$3)</f>
        <v>0</v>
      </c>
      <c r="BP69" s="53">
        <f>SUMIFS('MtM Releases'!$M:$M,'MtM Releases'!$G:$G,RESULTADO!$BN69,'MtM Releases'!$F:$F,RESULTADO!$BN68,'MtM Releases'!$D:$D,RESULTADO!BP$3)</f>
        <v>0</v>
      </c>
      <c r="BQ69" s="53">
        <f>SUMIFS('MtM Releases'!$M:$M,'MtM Releases'!$G:$G,RESULTADO!$BN69,'MtM Releases'!$F:$F,RESULTADO!$BN68,'MtM Releases'!$D:$D,RESULTADO!BQ$3)</f>
        <v>0</v>
      </c>
      <c r="BR69" s="53">
        <f>SUMIFS('MtM Releases'!$M:$M,'MtM Releases'!$G:$G,RESULTADO!$BN69,'MtM Releases'!$F:$F,RESULTADO!$BN68,'MtM Releases'!$D:$D,RESULTADO!BR$3)</f>
        <v>0</v>
      </c>
      <c r="BS69" s="53">
        <f>SUMIFS('MtM Releases'!$M:$M,'MtM Releases'!$G:$G,RESULTADO!$BN69,'MtM Releases'!$F:$F,RESULTADO!$BN68,'MtM Releases'!$D:$D,RESULTADO!BS$3)</f>
        <v>0</v>
      </c>
      <c r="BT69" s="53">
        <f>SUMIFS('MtM Releases'!$M:$M,'MtM Releases'!$G:$G,RESULTADO!$BN69,'MtM Releases'!$F:$F,RESULTADO!$BN68,'MtM Releases'!$D:$D,RESULTADO!BT$3)</f>
        <v>0</v>
      </c>
      <c r="BU69" s="53">
        <f>SUMIFS('MtM Releases'!$M:$M,'MtM Releases'!$G:$G,RESULTADO!$BN69,'MtM Releases'!$F:$F,RESULTADO!$BN68,'MtM Releases'!$D:$D,RESULTADO!BU$3)</f>
        <v>0</v>
      </c>
      <c r="BV69" s="53">
        <f>SUMIFS('MtM Releases'!$M:$M,'MtM Releases'!$G:$G,RESULTADO!$BN69,'MtM Releases'!$F:$F,RESULTADO!$BN68,'MtM Releases'!$D:$D,RESULTADO!BV$3)</f>
        <v>0</v>
      </c>
      <c r="BW69" s="53">
        <f>SUMIFS('MtM Releases'!$M:$M,'MtM Releases'!$G:$G,RESULTADO!$BN69,'MtM Releases'!$F:$F,RESULTADO!$BN68,'MtM Releases'!$D:$D,RESULTADO!BW$3)</f>
        <v>0</v>
      </c>
      <c r="BX69" s="53">
        <f>SUMIFS('MtM Releases'!$M:$M,'MtM Releases'!$G:$G,RESULTADO!$BN69,'MtM Releases'!$F:$F,RESULTADO!$BN68,'MtM Releases'!$D:$D,RESULTADO!BX$3)</f>
        <v>0</v>
      </c>
      <c r="BY69" s="53">
        <f>SUMIFS('MtM Releases'!$M:$M,'MtM Releases'!$G:$G,RESULTADO!$BN69,'MtM Releases'!$F:$F,RESULTADO!$BN68,'MtM Releases'!$D:$D,RESULTADO!BY$3)</f>
        <v>0</v>
      </c>
      <c r="BZ69" s="54">
        <f>SUMIFS('MtM Releases'!$M:$M,'MtM Releases'!$G:$G,RESULTADO!$BN69,'MtM Releases'!$F:$F,RESULTADO!$BN68,'MtM Releases'!$D:$D,RESULTADO!BZ$3)</f>
        <v>0</v>
      </c>
      <c r="CA69" s="53">
        <f>SUMIFS('MtM Releases'!$M:$M,'MtM Releases'!$G:$G,RESULTADO!$BN69,'MtM Releases'!$F:$F,RESULTADO!$BN68,'MtM Releases'!$D:$D,RESULTADO!CA$3)</f>
        <v>0</v>
      </c>
      <c r="CB69" s="53">
        <f>SUMIFS('MtM Releases'!$M:$M,'MtM Releases'!$G:$G,RESULTADO!$BN69,'MtM Releases'!$F:$F,RESULTADO!$BN68,'MtM Releases'!$D:$D,RESULTADO!CB$3)</f>
        <v>0</v>
      </c>
      <c r="CC69" s="53">
        <f>SUMIFS('MtM Releases'!$M:$M,'MtM Releases'!$G:$G,RESULTADO!$BN69,'MtM Releases'!$F:$F,RESULTADO!$BN68,'MtM Releases'!$D:$D,RESULTADO!CC$3)</f>
        <v>0</v>
      </c>
      <c r="CD69" s="53">
        <f>SUMIFS('MtM Releases'!$M:$M,'MtM Releases'!$G:$G,RESULTADO!$BN69,'MtM Releases'!$F:$F,RESULTADO!$BN68,'MtM Releases'!$D:$D,RESULTADO!CD$3)</f>
        <v>0</v>
      </c>
      <c r="CE69" s="53">
        <f>SUMIFS('MtM Releases'!$M:$M,'MtM Releases'!$G:$G,RESULTADO!$BN69,'MtM Releases'!$F:$F,RESULTADO!$BN68,'MtM Releases'!$D:$D,RESULTADO!CE$3)</f>
        <v>0</v>
      </c>
      <c r="CF69" s="53">
        <f>SUMIFS('MtM Releases'!$M:$M,'MtM Releases'!$G:$G,RESULTADO!$BN69,'MtM Releases'!$F:$F,RESULTADO!$BN68,'MtM Releases'!$D:$D,RESULTADO!CF$3)</f>
        <v>0</v>
      </c>
      <c r="CG69" s="53">
        <f>SUMIFS('MtM Releases'!$M:$M,'MtM Releases'!$G:$G,RESULTADO!$BN69,'MtM Releases'!$F:$F,RESULTADO!$BN68,'MtM Releases'!$D:$D,RESULTADO!CG$3)</f>
        <v>0</v>
      </c>
      <c r="CH69" s="53">
        <f>SUMIFS('MtM Releases'!$M:$M,'MtM Releases'!$G:$G,RESULTADO!$BN69,'MtM Releases'!$F:$F,RESULTADO!$BN68,'MtM Releases'!$D:$D,RESULTADO!CH$3)</f>
        <v>0</v>
      </c>
      <c r="CI69" s="53">
        <f>SUMIFS('MtM Releases'!$M:$M,'MtM Releases'!$G:$G,RESULTADO!$BN69,'MtM Releases'!$F:$F,RESULTADO!$BN68,'MtM Releases'!$D:$D,RESULTADO!CI$3)</f>
        <v>0</v>
      </c>
      <c r="CJ69" s="53">
        <f>SUMIFS('MtM Releases'!$M:$M,'MtM Releases'!$G:$G,RESULTADO!$BN69,'MtM Releases'!$F:$F,RESULTADO!$BN68,'MtM Releases'!$D:$D,RESULTADO!CJ$3)</f>
        <v>0</v>
      </c>
      <c r="CK69" s="53">
        <f>SUMIFS('MtM Releases'!$M:$M,'MtM Releases'!$G:$G,RESULTADO!$BN69,'MtM Releases'!$F:$F,RESULTADO!$BN68,'MtM Releases'!$D:$D,RESULTADO!CK$3)</f>
        <v>0</v>
      </c>
      <c r="CL69" s="63">
        <f>SUMIFS('MtM Releases'!$M:$M,'MtM Releases'!$G:$G,RESULTADO!$BN69,'MtM Releases'!$F:$F,RESULTADO!$BN68,'MtM Releases'!$D:$D,RESULTADO!CL$3)</f>
        <v>0</v>
      </c>
      <c r="CM69" s="53">
        <f>SUMIFS('MtM Releases'!$M:$M,'MtM Releases'!$G:$G,RESULTADO!$BN69,'MtM Releases'!$F:$F,RESULTADO!$BN68,'MtM Releases'!$D:$D,RESULTADO!CM$3)</f>
        <v>0</v>
      </c>
      <c r="CN69" s="53">
        <f>SUMIFS('MtM Releases'!$M:$M,'MtM Releases'!$G:$G,RESULTADO!$BN69,'MtM Releases'!$F:$F,RESULTADO!$BN68,'MtM Releases'!$D:$D,RESULTADO!CN$3)</f>
        <v>0</v>
      </c>
      <c r="CO69" s="53">
        <f>SUMIFS('MtM Releases'!$M:$M,'MtM Releases'!$G:$G,RESULTADO!$BN69,'MtM Releases'!$F:$F,RESULTADO!$BN68,'MtM Releases'!$D:$D,RESULTADO!CO$3)</f>
        <v>0</v>
      </c>
      <c r="CP69" s="53">
        <f>SUMIFS('MtM Releases'!$M:$M,'MtM Releases'!$G:$G,RESULTADO!$BN69,'MtM Releases'!$F:$F,RESULTADO!$BN68,'MtM Releases'!$D:$D,RESULTADO!CP$3)</f>
        <v>0</v>
      </c>
      <c r="CQ69" s="53">
        <f>SUMIFS('MtM Releases'!$M:$M,'MtM Releases'!$G:$G,RESULTADO!$BN69,'MtM Releases'!$F:$F,RESULTADO!$BN68,'MtM Releases'!$D:$D,RESULTADO!CQ$3)</f>
        <v>0</v>
      </c>
      <c r="CR69" s="53">
        <f>SUMIFS('MtM Releases'!$M:$M,'MtM Releases'!$G:$G,RESULTADO!$BN69,'MtM Releases'!$F:$F,RESULTADO!$BN68,'MtM Releases'!$D:$D,RESULTADO!CR$3)</f>
        <v>0</v>
      </c>
      <c r="CS69" s="53">
        <f>SUMIFS('MtM Releases'!$M:$M,'MtM Releases'!$G:$G,RESULTADO!$BN69,'MtM Releases'!$F:$F,RESULTADO!$BN68,'MtM Releases'!$D:$D,RESULTADO!CS$3)</f>
        <v>0</v>
      </c>
      <c r="CT69" s="53">
        <f>SUMIFS('MtM Releases'!$M:$M,'MtM Releases'!$G:$G,RESULTADO!$BN69,'MtM Releases'!$F:$F,RESULTADO!$BN68,'MtM Releases'!$D:$D,RESULTADO!CT$3)</f>
        <v>0</v>
      </c>
      <c r="CU69" s="53">
        <f>SUMIFS('MtM Releases'!$M:$M,'MtM Releases'!$G:$G,RESULTADO!$BN69,'MtM Releases'!$F:$F,RESULTADO!$BN68,'MtM Releases'!$D:$D,RESULTADO!CU$3)</f>
        <v>0</v>
      </c>
      <c r="CV69" s="53">
        <f>SUMIFS('MtM Releases'!$M:$M,'MtM Releases'!$G:$G,RESULTADO!$BN69,'MtM Releases'!$F:$F,RESULTADO!$BN68,'MtM Releases'!$D:$D,RESULTADO!CV$3)</f>
        <v>0</v>
      </c>
      <c r="CW69" s="53">
        <f>SUMIFS('MtM Releases'!$M:$M,'MtM Releases'!$G:$G,RESULTADO!$BN69,'MtM Releases'!$F:$F,RESULTADO!$BN68,'MtM Releases'!$D:$D,RESULTADO!CW$3)</f>
        <v>0</v>
      </c>
      <c r="CX69" s="54">
        <f>SUMIFS('MtM Releases'!$M:$M,'MtM Releases'!$G:$G,RESULTADO!$BN69,'MtM Releases'!$F:$F,RESULTADO!$BN68,'MtM Releases'!$D:$D,RESULTADO!CX$3)</f>
        <v>0</v>
      </c>
      <c r="CY69" s="53">
        <f>SUMIFS('MtM Releases'!$M:$M,'MtM Releases'!$G:$G,RESULTADO!$BN69,'MtM Releases'!$F:$F,RESULTADO!$BN68,'MtM Releases'!$D:$D,RESULTADO!CY$3)</f>
        <v>0</v>
      </c>
      <c r="CZ69" s="53">
        <f>SUMIFS('MtM Releases'!$M:$M,'MtM Releases'!$G:$G,RESULTADO!$BN69,'MtM Releases'!$F:$F,RESULTADO!$BN68,'MtM Releases'!$D:$D,RESULTADO!CZ$3)</f>
        <v>0</v>
      </c>
      <c r="DA69" s="53">
        <f>SUMIFS('MtM Releases'!$M:$M,'MtM Releases'!$G:$G,RESULTADO!$BN69,'MtM Releases'!$F:$F,RESULTADO!$BN68,'MtM Releases'!$D:$D,RESULTADO!DA$3)</f>
        <v>0</v>
      </c>
      <c r="DB69" s="53">
        <f>SUMIFS('MtM Releases'!$M:$M,'MtM Releases'!$G:$G,RESULTADO!$BN69,'MtM Releases'!$F:$F,RESULTADO!$BN68,'MtM Releases'!$D:$D,RESULTADO!DB$3)</f>
        <v>0</v>
      </c>
      <c r="DC69" s="53">
        <f>SUMIFS('MtM Releases'!$M:$M,'MtM Releases'!$G:$G,RESULTADO!$BN69,'MtM Releases'!$F:$F,RESULTADO!$BN68,'MtM Releases'!$D:$D,RESULTADO!DC$3)</f>
        <v>0</v>
      </c>
      <c r="DD69" s="53">
        <f>SUMIFS('MtM Releases'!$M:$M,'MtM Releases'!$G:$G,RESULTADO!$BN69,'MtM Releases'!$F:$F,RESULTADO!$BN68,'MtM Releases'!$D:$D,RESULTADO!DD$3)</f>
        <v>0</v>
      </c>
      <c r="DE69" s="53">
        <f>SUMIFS('MtM Releases'!$M:$M,'MtM Releases'!$G:$G,RESULTADO!$BN69,'MtM Releases'!$F:$F,RESULTADO!$BN68,'MtM Releases'!$D:$D,RESULTADO!DE$3)</f>
        <v>0</v>
      </c>
      <c r="DF69" s="53">
        <f>SUMIFS('MtM Releases'!$M:$M,'MtM Releases'!$G:$G,RESULTADO!$BN69,'MtM Releases'!$F:$F,RESULTADO!$BN68,'MtM Releases'!$D:$D,RESULTADO!DF$3)</f>
        <v>0</v>
      </c>
      <c r="DG69" s="53">
        <f>SUMIFS('MtM Releases'!$M:$M,'MtM Releases'!$G:$G,RESULTADO!$BN69,'MtM Releases'!$F:$F,RESULTADO!$BN68,'MtM Releases'!$D:$D,RESULTADO!DG$3)</f>
        <v>0</v>
      </c>
      <c r="DH69" s="53">
        <f>SUMIFS('MtM Releases'!$M:$M,'MtM Releases'!$G:$G,RESULTADO!$BN69,'MtM Releases'!$F:$F,RESULTADO!$BN68,'MtM Releases'!$D:$D,RESULTADO!DH$3)</f>
        <v>0</v>
      </c>
      <c r="DI69" s="53">
        <f>SUMIFS('MtM Releases'!$M:$M,'MtM Releases'!$G:$G,RESULTADO!$BN69,'MtM Releases'!$F:$F,RESULTADO!$BN68,'MtM Releases'!$D:$D,RESULTADO!DI$3)</f>
        <v>0</v>
      </c>
      <c r="DJ69" s="63">
        <f>SUMIFS('MtM Releases'!$M:$M,'MtM Releases'!$G:$G,RESULTADO!$BN69,'MtM Releases'!$F:$F,RESULTADO!$BN68,'MtM Releases'!$D:$D,RESULTADO!DJ$3)</f>
        <v>0</v>
      </c>
      <c r="DK69" s="53">
        <f>SUMIFS('MtM Releases'!$M:$M,'MtM Releases'!$G:$G,RESULTADO!$BN69,'MtM Releases'!$F:$F,RESULTADO!$BN68,'MtM Releases'!$D:$D,RESULTADO!DK$3)</f>
        <v>0</v>
      </c>
      <c r="DL69" s="53">
        <f>SUMIFS('MtM Releases'!$M:$M,'MtM Releases'!$G:$G,RESULTADO!$BN69,'MtM Releases'!$F:$F,RESULTADO!$BN68,'MtM Releases'!$D:$D,RESULTADO!DL$3)</f>
        <v>0</v>
      </c>
      <c r="DM69" s="53">
        <f>SUMIFS('MtM Releases'!$M:$M,'MtM Releases'!$G:$G,RESULTADO!$BN69,'MtM Releases'!$F:$F,RESULTADO!$BN68,'MtM Releases'!$D:$D,RESULTADO!DM$3)</f>
        <v>0</v>
      </c>
      <c r="DN69" s="53">
        <f>SUMIFS('MtM Releases'!$M:$M,'MtM Releases'!$G:$G,RESULTADO!$BN69,'MtM Releases'!$F:$F,RESULTADO!$BN68,'MtM Releases'!$D:$D,RESULTADO!DN$3)</f>
        <v>0</v>
      </c>
      <c r="DO69" s="53">
        <f>SUMIFS('MtM Releases'!$M:$M,'MtM Releases'!$G:$G,RESULTADO!$BN69,'MtM Releases'!$F:$F,RESULTADO!$BN68,'MtM Releases'!$D:$D,RESULTADO!DO$3)</f>
        <v>0</v>
      </c>
      <c r="DP69" s="53">
        <f>SUMIFS('MtM Releases'!$M:$M,'MtM Releases'!$G:$G,RESULTADO!$BN69,'MtM Releases'!$F:$F,RESULTADO!$BN68,'MtM Releases'!$D:$D,RESULTADO!DP$3)</f>
        <v>0</v>
      </c>
      <c r="DQ69" s="53">
        <f>SUMIFS('MtM Releases'!$M:$M,'MtM Releases'!$G:$G,RESULTADO!$BN69,'MtM Releases'!$F:$F,RESULTADO!$BN68,'MtM Releases'!$D:$D,RESULTADO!DQ$3)</f>
        <v>0</v>
      </c>
      <c r="DR69" s="53">
        <f>SUMIFS('MtM Releases'!$M:$M,'MtM Releases'!$G:$G,RESULTADO!$BN69,'MtM Releases'!$F:$F,RESULTADO!$BN68,'MtM Releases'!$D:$D,RESULTADO!DR$3)</f>
        <v>0</v>
      </c>
      <c r="DS69" s="53">
        <f>SUMIFS('MtM Releases'!$M:$M,'MtM Releases'!$G:$G,RESULTADO!$BN69,'MtM Releases'!$F:$F,RESULTADO!$BN68,'MtM Releases'!$D:$D,RESULTADO!DS$3)</f>
        <v>0</v>
      </c>
      <c r="DT69" s="53">
        <f>SUMIFS('MtM Releases'!$M:$M,'MtM Releases'!$G:$G,RESULTADO!$BN69,'MtM Releases'!$F:$F,RESULTADO!$BN68,'MtM Releases'!$D:$D,RESULTADO!DT$3)</f>
        <v>0</v>
      </c>
      <c r="DU69" s="53">
        <f>SUMIFS('MtM Releases'!$M:$M,'MtM Releases'!$G:$G,RESULTADO!$BN69,'MtM Releases'!$F:$F,RESULTADO!$BN68,'MtM Releases'!$D:$D,RESULTADO!DU$3)</f>
        <v>0</v>
      </c>
      <c r="DV69" s="63">
        <f>SUMIFS('MtM Releases'!$M:$M,'MtM Releases'!$G:$G,RESULTADO!$BN69,'MtM Releases'!$F:$F,RESULTADO!$BN68,'MtM Releases'!$D:$D,RESULTADO!DV$3)</f>
        <v>0</v>
      </c>
    </row>
    <row r="70" spans="2:126" x14ac:dyDescent="0.25">
      <c r="B70" s="57" t="s">
        <v>12</v>
      </c>
      <c r="C70" s="53">
        <f>(SUMIFS(MtM!$V:$V,MtM!$I:$I,RESULTADO!$B70,MtM!$H:$H,RESULTADO!$B$68,MtM!$E:$E,RESULTADO!C$42))</f>
        <v>0</v>
      </c>
      <c r="D70" s="53">
        <f>(SUMIFS(MtM!$V:$V,MtM!$I:$I,RESULTADO!$B70,MtM!$H:$H,RESULTADO!$B$68,MtM!$E:$E,RESULTADO!D$42))</f>
        <v>0</v>
      </c>
      <c r="E70" s="53">
        <f>(SUMIFS(MtM!$V:$V,MtM!$I:$I,RESULTADO!$B70,MtM!$H:$H,RESULTADO!$B$68,MtM!$E:$E,RESULTADO!E$42))</f>
        <v>0</v>
      </c>
      <c r="F70" s="53">
        <f>(SUMIFS(MtM!$V:$V,MtM!$I:$I,RESULTADO!$B70,MtM!$H:$H,RESULTADO!$B$68,MtM!$E:$E,RESULTADO!F$42))</f>
        <v>0</v>
      </c>
      <c r="G70" s="53">
        <f>(SUMIFS(MtM!$V:$V,MtM!$I:$I,RESULTADO!$B70,MtM!$H:$H,RESULTADO!$B$68,MtM!$E:$E,RESULTADO!G$42))</f>
        <v>0</v>
      </c>
      <c r="H70" s="53">
        <f>(SUMIFS(MtM!$V:$V,MtM!$I:$I,RESULTADO!$B70,MtM!$H:$H,RESULTADO!$B$68,MtM!$E:$E,RESULTADO!H$42))</f>
        <v>0</v>
      </c>
      <c r="I70" s="53">
        <f>(SUMIFS(MtM!$V:$V,MtM!$I:$I,RESULTADO!$B70,MtM!$H:$H,RESULTADO!$B$68,MtM!$E:$E,RESULTADO!I$42))</f>
        <v>0</v>
      </c>
      <c r="J70" s="53">
        <f>(SUMIFS(MtM!$V:$V,MtM!$I:$I,RESULTADO!$B70,MtM!$H:$H,RESULTADO!$B$68,MtM!$E:$E,RESULTADO!J$42))</f>
        <v>0</v>
      </c>
      <c r="K70" s="53">
        <f>(SUMIFS(MtM!$V:$V,MtM!$I:$I,RESULTADO!$B70,MtM!$H:$H,RESULTADO!$B$68,MtM!$E:$E,RESULTADO!K$42))</f>
        <v>0</v>
      </c>
      <c r="L70" s="53">
        <f>(SUMIFS(MtM!$V:$V,MtM!$I:$I,RESULTADO!$B70,MtM!$H:$H,RESULTADO!$B$68,MtM!$E:$E,RESULTADO!L$42))</f>
        <v>0</v>
      </c>
      <c r="M70" s="53">
        <f>(SUMIFS(MtM!$V:$V,MtM!$I:$I,RESULTADO!$B70,MtM!$H:$H,RESULTADO!$B$68,MtM!$E:$E,RESULTADO!M$42))</f>
        <v>0</v>
      </c>
      <c r="N70" s="54">
        <f>(SUMIFS(MtM!$V:$V,MtM!$I:$I,RESULTADO!$B70,MtM!$H:$H,RESULTADO!$B$68,MtM!$E:$E,RESULTADO!N$42))</f>
        <v>0</v>
      </c>
      <c r="O70" s="53">
        <f>(SUMIFS(MtM!$V:$V,MtM!$I:$I,RESULTADO!$B70,MtM!$H:$H,RESULTADO!$B$68,MtM!$E:$E,RESULTADO!O$42))</f>
        <v>0</v>
      </c>
      <c r="P70" s="53">
        <f>(SUMIFS(MtM!$V:$V,MtM!$I:$I,RESULTADO!$B70,MtM!$H:$H,RESULTADO!$B$68,MtM!$E:$E,RESULTADO!P$42))</f>
        <v>0</v>
      </c>
      <c r="Q70" s="53">
        <f>(SUMIFS(MtM!$V:$V,MtM!$I:$I,RESULTADO!$B70,MtM!$H:$H,RESULTADO!$B$68,MtM!$E:$E,RESULTADO!Q$42))</f>
        <v>0</v>
      </c>
      <c r="R70" s="53">
        <f>(SUMIFS(MtM!$V:$V,MtM!$I:$I,RESULTADO!$B70,MtM!$H:$H,RESULTADO!$B$68,MtM!$E:$E,RESULTADO!R$42))</f>
        <v>0</v>
      </c>
      <c r="S70" s="53">
        <f>(SUMIFS(MtM!$V:$V,MtM!$I:$I,RESULTADO!$B70,MtM!$H:$H,RESULTADO!$B$68,MtM!$E:$E,RESULTADO!S$42))</f>
        <v>0</v>
      </c>
      <c r="T70" s="53">
        <f>(SUMIFS(MtM!$V:$V,MtM!$I:$I,RESULTADO!$B70,MtM!$H:$H,RESULTADO!$B$68,MtM!$E:$E,RESULTADO!T$42))</f>
        <v>0</v>
      </c>
      <c r="U70" s="53">
        <f>(SUMIFS(MtM!$V:$V,MtM!$I:$I,RESULTADO!$B70,MtM!$H:$H,RESULTADO!$B$68,MtM!$E:$E,RESULTADO!U$42))</f>
        <v>0</v>
      </c>
      <c r="V70" s="53">
        <f>(SUMIFS(MtM!$V:$V,MtM!$I:$I,RESULTADO!$B70,MtM!$H:$H,RESULTADO!$B$68,MtM!$E:$E,RESULTADO!V$42))</f>
        <v>0</v>
      </c>
      <c r="W70" s="53">
        <f>(SUMIFS(MtM!$V:$V,MtM!$I:$I,RESULTADO!$B70,MtM!$H:$H,RESULTADO!$B$68,MtM!$E:$E,RESULTADO!W$42))</f>
        <v>0</v>
      </c>
      <c r="X70" s="53">
        <f>(SUMIFS(MtM!$V:$V,MtM!$I:$I,RESULTADO!$B70,MtM!$H:$H,RESULTADO!$B$68,MtM!$E:$E,RESULTADO!X$42))</f>
        <v>0</v>
      </c>
      <c r="Y70" s="53">
        <f>(SUMIFS(MtM!$V:$V,MtM!$I:$I,RESULTADO!$B70,MtM!$H:$H,RESULTADO!$B$68,MtM!$E:$E,RESULTADO!Y$42))</f>
        <v>0</v>
      </c>
      <c r="Z70" s="63">
        <f>(SUMIFS(MtM!$V:$V,MtM!$I:$I,RESULTADO!$B70,MtM!$H:$H,RESULTADO!$B$68,MtM!$E:$E,RESULTADO!Z$42))</f>
        <v>0</v>
      </c>
      <c r="AA70" s="53">
        <f>(SUMIFS(MtM!$V:$V,MtM!$I:$I,RESULTADO!$B70,MtM!$H:$H,RESULTADO!$B$68,MtM!$E:$E,RESULTADO!AA$42))</f>
        <v>0</v>
      </c>
      <c r="AB70" s="53">
        <f>(SUMIFS(MtM!$V:$V,MtM!$I:$I,RESULTADO!$B70,MtM!$H:$H,RESULTADO!$B$68,MtM!$E:$E,RESULTADO!AB$42))</f>
        <v>0</v>
      </c>
      <c r="AC70" s="53">
        <f>(SUMIFS(MtM!$V:$V,MtM!$I:$I,RESULTADO!$B70,MtM!$H:$H,RESULTADO!$B$68,MtM!$E:$E,RESULTADO!AC$42))</f>
        <v>0</v>
      </c>
      <c r="AD70" s="53">
        <f>(SUMIFS(MtM!$V:$V,MtM!$I:$I,RESULTADO!$B70,MtM!$H:$H,RESULTADO!$B$68,MtM!$E:$E,RESULTADO!AD$42))</f>
        <v>0</v>
      </c>
      <c r="AE70" s="53">
        <f>(SUMIFS(MtM!$V:$V,MtM!$I:$I,RESULTADO!$B70,MtM!$H:$H,RESULTADO!$B$68,MtM!$E:$E,RESULTADO!AE$42))</f>
        <v>0</v>
      </c>
      <c r="AF70" s="53">
        <f>(SUMIFS(MtM!$V:$V,MtM!$I:$I,RESULTADO!$B70,MtM!$H:$H,RESULTADO!$B$68,MtM!$E:$E,RESULTADO!AF$42))</f>
        <v>0</v>
      </c>
      <c r="AG70" s="53">
        <f>(SUMIFS(MtM!$V:$V,MtM!$I:$I,RESULTADO!$B70,MtM!$H:$H,RESULTADO!$B$68,MtM!$E:$E,RESULTADO!AG$42))</f>
        <v>0</v>
      </c>
      <c r="AH70" s="53">
        <f>(SUMIFS(MtM!$V:$V,MtM!$I:$I,RESULTADO!$B70,MtM!$H:$H,RESULTADO!$B$68,MtM!$E:$E,RESULTADO!AH$42))</f>
        <v>0</v>
      </c>
      <c r="AI70" s="53">
        <f>(SUMIFS(MtM!$V:$V,MtM!$I:$I,RESULTADO!$B70,MtM!$H:$H,RESULTADO!$B$68,MtM!$E:$E,RESULTADO!AI$42))</f>
        <v>0</v>
      </c>
      <c r="AJ70" s="53">
        <f>(SUMIFS(MtM!$V:$V,MtM!$I:$I,RESULTADO!$B70,MtM!$H:$H,RESULTADO!$B$68,MtM!$E:$E,RESULTADO!AJ$42))</f>
        <v>0</v>
      </c>
      <c r="AK70" s="53">
        <f>(SUMIFS(MtM!$V:$V,MtM!$I:$I,RESULTADO!$B70,MtM!$H:$H,RESULTADO!$B$68,MtM!$E:$E,RESULTADO!AK$42))</f>
        <v>0</v>
      </c>
      <c r="AL70" s="54">
        <f>(SUMIFS(MtM!$V:$V,MtM!$I:$I,RESULTADO!$B70,MtM!$H:$H,RESULTADO!$B$68,MtM!$E:$E,RESULTADO!AL$42))</f>
        <v>0</v>
      </c>
      <c r="AM70" s="53">
        <f>(SUMIFS(MtM!$V:$V,MtM!$I:$I,RESULTADO!$B70,MtM!$H:$H,RESULTADO!$B$68,MtM!$E:$E,RESULTADO!AM$42))</f>
        <v>0</v>
      </c>
      <c r="AN70" s="53">
        <f>(SUMIFS(MtM!$V:$V,MtM!$I:$I,RESULTADO!$B70,MtM!$H:$H,RESULTADO!$B$68,MtM!$E:$E,RESULTADO!AN$42))</f>
        <v>0</v>
      </c>
      <c r="AO70" s="53">
        <f>(SUMIFS(MtM!$V:$V,MtM!$I:$I,RESULTADO!$B70,MtM!$H:$H,RESULTADO!$B$68,MtM!$E:$E,RESULTADO!AO$42))</f>
        <v>0</v>
      </c>
      <c r="AP70" s="53">
        <f>(SUMIFS(MtM!$V:$V,MtM!$I:$I,RESULTADO!$B70,MtM!$H:$H,RESULTADO!$B$68,MtM!$E:$E,RESULTADO!AP$42))</f>
        <v>0</v>
      </c>
      <c r="AQ70" s="53">
        <f>(SUMIFS(MtM!$V:$V,MtM!$I:$I,RESULTADO!$B70,MtM!$H:$H,RESULTADO!$B$68,MtM!$E:$E,RESULTADO!AQ$42))</f>
        <v>0</v>
      </c>
      <c r="AR70" s="53">
        <f>(SUMIFS(MtM!$V:$V,MtM!$I:$I,RESULTADO!$B70,MtM!$H:$H,RESULTADO!$B$68,MtM!$E:$E,RESULTADO!AR$42))</f>
        <v>0</v>
      </c>
      <c r="AS70" s="53">
        <f>(SUMIFS(MtM!$V:$V,MtM!$I:$I,RESULTADO!$B70,MtM!$H:$H,RESULTADO!$B$68,MtM!$E:$E,RESULTADO!AS$42))</f>
        <v>0</v>
      </c>
      <c r="AT70" s="53">
        <f>(SUMIFS(MtM!$V:$V,MtM!$I:$I,RESULTADO!$B70,MtM!$H:$H,RESULTADO!$B$68,MtM!$E:$E,RESULTADO!AT$42))</f>
        <v>0</v>
      </c>
      <c r="AU70" s="53">
        <f>(SUMIFS(MtM!$V:$V,MtM!$I:$I,RESULTADO!$B70,MtM!$H:$H,RESULTADO!$B$68,MtM!$E:$E,RESULTADO!AU$42))</f>
        <v>0</v>
      </c>
      <c r="AV70" s="53">
        <f>(SUMIFS(MtM!$V:$V,MtM!$I:$I,RESULTADO!$B70,MtM!$H:$H,RESULTADO!$B$68,MtM!$E:$E,RESULTADO!AV$42))</f>
        <v>0</v>
      </c>
      <c r="AW70" s="53">
        <f>(SUMIFS(MtM!$V:$V,MtM!$I:$I,RESULTADO!$B70,MtM!$H:$H,RESULTADO!$B$68,MtM!$E:$E,RESULTADO!AW$42))</f>
        <v>0</v>
      </c>
      <c r="AX70" s="63">
        <f>(SUMIFS(MtM!$V:$V,MtM!$I:$I,RESULTADO!$B70,MtM!$H:$H,RESULTADO!$B$68,MtM!$E:$E,RESULTADO!AX$42))</f>
        <v>0</v>
      </c>
      <c r="AY70" s="53">
        <f>(SUMIFS(MtM!$V:$V,MtM!$I:$I,RESULTADO!$B70,MtM!$H:$H,RESULTADO!$B$68,MtM!$E:$E,RESULTADO!AY$42))</f>
        <v>0</v>
      </c>
      <c r="AZ70" s="53">
        <f>(SUMIFS(MtM!$V:$V,MtM!$I:$I,RESULTADO!$B70,MtM!$H:$H,RESULTADO!$B$68,MtM!$E:$E,RESULTADO!AZ$42))</f>
        <v>0</v>
      </c>
      <c r="BA70" s="53">
        <f>(SUMIFS(MtM!$V:$V,MtM!$I:$I,RESULTADO!$B70,MtM!$H:$H,RESULTADO!$B$68,MtM!$E:$E,RESULTADO!BA$42))</f>
        <v>0</v>
      </c>
      <c r="BB70" s="53">
        <f>(SUMIFS(MtM!$V:$V,MtM!$I:$I,RESULTADO!$B70,MtM!$H:$H,RESULTADO!$B$68,MtM!$E:$E,RESULTADO!BB$42))</f>
        <v>0</v>
      </c>
      <c r="BC70" s="53">
        <f>(SUMIFS(MtM!$V:$V,MtM!$I:$I,RESULTADO!$B70,MtM!$H:$H,RESULTADO!$B$68,MtM!$E:$E,RESULTADO!BC$42))</f>
        <v>0</v>
      </c>
      <c r="BD70" s="53">
        <f>(SUMIFS(MtM!$V:$V,MtM!$I:$I,RESULTADO!$B70,MtM!$H:$H,RESULTADO!$B$68,MtM!$E:$E,RESULTADO!BD$42))</f>
        <v>0</v>
      </c>
      <c r="BE70" s="53">
        <f>(SUMIFS(MtM!$V:$V,MtM!$I:$I,RESULTADO!$B70,MtM!$H:$H,RESULTADO!$B$68,MtM!$E:$E,RESULTADO!BE$42))</f>
        <v>0</v>
      </c>
      <c r="BF70" s="53">
        <f>(SUMIFS(MtM!$V:$V,MtM!$I:$I,RESULTADO!$B70,MtM!$H:$H,RESULTADO!$B$68,MtM!$E:$E,RESULTADO!BF$42))</f>
        <v>0</v>
      </c>
      <c r="BG70" s="53">
        <f>(SUMIFS(MtM!$V:$V,MtM!$I:$I,RESULTADO!$B70,MtM!$H:$H,RESULTADO!$B$68,MtM!$E:$E,RESULTADO!BG$42))</f>
        <v>0</v>
      </c>
      <c r="BH70" s="53">
        <f>(SUMIFS(MtM!$V:$V,MtM!$I:$I,RESULTADO!$B70,MtM!$H:$H,RESULTADO!$B$68,MtM!$E:$E,RESULTADO!BH$42))</f>
        <v>0</v>
      </c>
      <c r="BI70" s="53">
        <f>(SUMIFS(MtM!$V:$V,MtM!$I:$I,RESULTADO!$B70,MtM!$H:$H,RESULTADO!$B$68,MtM!$E:$E,RESULTADO!BI$42))</f>
        <v>0</v>
      </c>
      <c r="BJ70" s="63">
        <f>(SUMIFS(MtM!$V:$V,MtM!$I:$I,RESULTADO!$B70,MtM!$H:$H,RESULTADO!$B$68,MtM!$E:$E,RESULTADO!BJ$42))</f>
        <v>0</v>
      </c>
      <c r="BL70" s="120"/>
      <c r="BN70" s="57" t="s">
        <v>12</v>
      </c>
      <c r="BO70" s="53">
        <f>SUMIFS('MtM Releases'!$M:$M,'MtM Releases'!$G:$G,RESULTADO!$BN70,'MtM Releases'!$F:$F,RESULTADO!$BN68,'MtM Releases'!$D:$D,RESULTADO!BO$3)</f>
        <v>0</v>
      </c>
      <c r="BP70" s="53">
        <f>SUMIFS('MtM Releases'!$M:$M,'MtM Releases'!$G:$G,RESULTADO!$BN70,'MtM Releases'!$F:$F,RESULTADO!$BN68,'MtM Releases'!$D:$D,RESULTADO!BP$3)</f>
        <v>0</v>
      </c>
      <c r="BQ70" s="53">
        <f>SUMIFS('MtM Releases'!$M:$M,'MtM Releases'!$G:$G,RESULTADO!$BN70,'MtM Releases'!$F:$F,RESULTADO!$BN68,'MtM Releases'!$D:$D,RESULTADO!BQ$3)</f>
        <v>0</v>
      </c>
      <c r="BR70" s="53">
        <f>SUMIFS('MtM Releases'!$M:$M,'MtM Releases'!$G:$G,RESULTADO!$BN70,'MtM Releases'!$F:$F,RESULTADO!$BN68,'MtM Releases'!$D:$D,RESULTADO!BR$3)</f>
        <v>0</v>
      </c>
      <c r="BS70" s="53">
        <f>SUMIFS('MtM Releases'!$M:$M,'MtM Releases'!$G:$G,RESULTADO!$BN70,'MtM Releases'!$F:$F,RESULTADO!$BN68,'MtM Releases'!$D:$D,RESULTADO!BS$3)</f>
        <v>0</v>
      </c>
      <c r="BT70" s="53">
        <f>SUMIFS('MtM Releases'!$M:$M,'MtM Releases'!$G:$G,RESULTADO!$BN70,'MtM Releases'!$F:$F,RESULTADO!$BN68,'MtM Releases'!$D:$D,RESULTADO!BT$3)</f>
        <v>0</v>
      </c>
      <c r="BU70" s="53">
        <f>SUMIFS('MtM Releases'!$M:$M,'MtM Releases'!$G:$G,RESULTADO!$BN70,'MtM Releases'!$F:$F,RESULTADO!$BN68,'MtM Releases'!$D:$D,RESULTADO!BU$3)</f>
        <v>0</v>
      </c>
      <c r="BV70" s="53">
        <f>SUMIFS('MtM Releases'!$M:$M,'MtM Releases'!$G:$G,RESULTADO!$BN70,'MtM Releases'!$F:$F,RESULTADO!$BN68,'MtM Releases'!$D:$D,RESULTADO!BV$3)</f>
        <v>0</v>
      </c>
      <c r="BW70" s="53">
        <f>SUMIFS('MtM Releases'!$M:$M,'MtM Releases'!$G:$G,RESULTADO!$BN70,'MtM Releases'!$F:$F,RESULTADO!$BN68,'MtM Releases'!$D:$D,RESULTADO!BW$3)</f>
        <v>0</v>
      </c>
      <c r="BX70" s="53">
        <f>SUMIFS('MtM Releases'!$M:$M,'MtM Releases'!$G:$G,RESULTADO!$BN70,'MtM Releases'!$F:$F,RESULTADO!$BN68,'MtM Releases'!$D:$D,RESULTADO!BX$3)</f>
        <v>0</v>
      </c>
      <c r="BY70" s="53">
        <f>SUMIFS('MtM Releases'!$M:$M,'MtM Releases'!$G:$G,RESULTADO!$BN70,'MtM Releases'!$F:$F,RESULTADO!$BN68,'MtM Releases'!$D:$D,RESULTADO!BY$3)</f>
        <v>0</v>
      </c>
      <c r="BZ70" s="54">
        <f>SUMIFS('MtM Releases'!$M:$M,'MtM Releases'!$G:$G,RESULTADO!$BN70,'MtM Releases'!$F:$F,RESULTADO!$BN68,'MtM Releases'!$D:$D,RESULTADO!BZ$3)</f>
        <v>0</v>
      </c>
      <c r="CA70" s="53">
        <f>SUMIFS('MtM Releases'!$M:$M,'MtM Releases'!$G:$G,RESULTADO!$BN70,'MtM Releases'!$F:$F,RESULTADO!$BN68,'MtM Releases'!$D:$D,RESULTADO!CA$3)</f>
        <v>0</v>
      </c>
      <c r="CB70" s="53">
        <f>SUMIFS('MtM Releases'!$M:$M,'MtM Releases'!$G:$G,RESULTADO!$BN70,'MtM Releases'!$F:$F,RESULTADO!$BN68,'MtM Releases'!$D:$D,RESULTADO!CB$3)</f>
        <v>0</v>
      </c>
      <c r="CC70" s="53">
        <f>SUMIFS('MtM Releases'!$M:$M,'MtM Releases'!$G:$G,RESULTADO!$BN70,'MtM Releases'!$F:$F,RESULTADO!$BN68,'MtM Releases'!$D:$D,RESULTADO!CC$3)</f>
        <v>0</v>
      </c>
      <c r="CD70" s="53">
        <f>SUMIFS('MtM Releases'!$M:$M,'MtM Releases'!$G:$G,RESULTADO!$BN70,'MtM Releases'!$F:$F,RESULTADO!$BN68,'MtM Releases'!$D:$D,RESULTADO!CD$3)</f>
        <v>0</v>
      </c>
      <c r="CE70" s="53">
        <f>SUMIFS('MtM Releases'!$M:$M,'MtM Releases'!$G:$G,RESULTADO!$BN70,'MtM Releases'!$F:$F,RESULTADO!$BN68,'MtM Releases'!$D:$D,RESULTADO!CE$3)</f>
        <v>0</v>
      </c>
      <c r="CF70" s="53">
        <f>SUMIFS('MtM Releases'!$M:$M,'MtM Releases'!$G:$G,RESULTADO!$BN70,'MtM Releases'!$F:$F,RESULTADO!$BN68,'MtM Releases'!$D:$D,RESULTADO!CF$3)</f>
        <v>0</v>
      </c>
      <c r="CG70" s="53">
        <f>SUMIFS('MtM Releases'!$M:$M,'MtM Releases'!$G:$G,RESULTADO!$BN70,'MtM Releases'!$F:$F,RESULTADO!$BN68,'MtM Releases'!$D:$D,RESULTADO!CG$3)</f>
        <v>0</v>
      </c>
      <c r="CH70" s="53">
        <f>SUMIFS('MtM Releases'!$M:$M,'MtM Releases'!$G:$G,RESULTADO!$BN70,'MtM Releases'!$F:$F,RESULTADO!$BN68,'MtM Releases'!$D:$D,RESULTADO!CH$3)</f>
        <v>0</v>
      </c>
      <c r="CI70" s="53">
        <f>SUMIFS('MtM Releases'!$M:$M,'MtM Releases'!$G:$G,RESULTADO!$BN70,'MtM Releases'!$F:$F,RESULTADO!$BN68,'MtM Releases'!$D:$D,RESULTADO!CI$3)</f>
        <v>0</v>
      </c>
      <c r="CJ70" s="53">
        <f>SUMIFS('MtM Releases'!$M:$M,'MtM Releases'!$G:$G,RESULTADO!$BN70,'MtM Releases'!$F:$F,RESULTADO!$BN68,'MtM Releases'!$D:$D,RESULTADO!CJ$3)</f>
        <v>0</v>
      </c>
      <c r="CK70" s="53">
        <f>SUMIFS('MtM Releases'!$M:$M,'MtM Releases'!$G:$G,RESULTADO!$BN70,'MtM Releases'!$F:$F,RESULTADO!$BN68,'MtM Releases'!$D:$D,RESULTADO!CK$3)</f>
        <v>0</v>
      </c>
      <c r="CL70" s="63">
        <f>SUMIFS('MtM Releases'!$M:$M,'MtM Releases'!$G:$G,RESULTADO!$BN70,'MtM Releases'!$F:$F,RESULTADO!$BN68,'MtM Releases'!$D:$D,RESULTADO!CL$3)</f>
        <v>0</v>
      </c>
      <c r="CM70" s="53">
        <f>SUMIFS('MtM Releases'!$M:$M,'MtM Releases'!$G:$G,RESULTADO!$BN70,'MtM Releases'!$F:$F,RESULTADO!$BN68,'MtM Releases'!$D:$D,RESULTADO!CM$3)</f>
        <v>0</v>
      </c>
      <c r="CN70" s="53">
        <f>SUMIFS('MtM Releases'!$M:$M,'MtM Releases'!$G:$G,RESULTADO!$BN70,'MtM Releases'!$F:$F,RESULTADO!$BN68,'MtM Releases'!$D:$D,RESULTADO!CN$3)</f>
        <v>0</v>
      </c>
      <c r="CO70" s="53">
        <f>SUMIFS('MtM Releases'!$M:$M,'MtM Releases'!$G:$G,RESULTADO!$BN70,'MtM Releases'!$F:$F,RESULTADO!$BN68,'MtM Releases'!$D:$D,RESULTADO!CO$3)</f>
        <v>0</v>
      </c>
      <c r="CP70" s="53">
        <f>SUMIFS('MtM Releases'!$M:$M,'MtM Releases'!$G:$G,RESULTADO!$BN70,'MtM Releases'!$F:$F,RESULTADO!$BN68,'MtM Releases'!$D:$D,RESULTADO!CP$3)</f>
        <v>0</v>
      </c>
      <c r="CQ70" s="53">
        <f>SUMIFS('MtM Releases'!$M:$M,'MtM Releases'!$G:$G,RESULTADO!$BN70,'MtM Releases'!$F:$F,RESULTADO!$BN68,'MtM Releases'!$D:$D,RESULTADO!CQ$3)</f>
        <v>0</v>
      </c>
      <c r="CR70" s="53">
        <f>SUMIFS('MtM Releases'!$M:$M,'MtM Releases'!$G:$G,RESULTADO!$BN70,'MtM Releases'!$F:$F,RESULTADO!$BN68,'MtM Releases'!$D:$D,RESULTADO!CR$3)</f>
        <v>0</v>
      </c>
      <c r="CS70" s="53">
        <f>SUMIFS('MtM Releases'!$M:$M,'MtM Releases'!$G:$G,RESULTADO!$BN70,'MtM Releases'!$F:$F,RESULTADO!$BN68,'MtM Releases'!$D:$D,RESULTADO!CS$3)</f>
        <v>0</v>
      </c>
      <c r="CT70" s="53">
        <f>SUMIFS('MtM Releases'!$M:$M,'MtM Releases'!$G:$G,RESULTADO!$BN70,'MtM Releases'!$F:$F,RESULTADO!$BN68,'MtM Releases'!$D:$D,RESULTADO!CT$3)</f>
        <v>0</v>
      </c>
      <c r="CU70" s="53">
        <f>SUMIFS('MtM Releases'!$M:$M,'MtM Releases'!$G:$G,RESULTADO!$BN70,'MtM Releases'!$F:$F,RESULTADO!$BN68,'MtM Releases'!$D:$D,RESULTADO!CU$3)</f>
        <v>0</v>
      </c>
      <c r="CV70" s="53">
        <f>SUMIFS('MtM Releases'!$M:$M,'MtM Releases'!$G:$G,RESULTADO!$BN70,'MtM Releases'!$F:$F,RESULTADO!$BN68,'MtM Releases'!$D:$D,RESULTADO!CV$3)</f>
        <v>0</v>
      </c>
      <c r="CW70" s="53">
        <f>SUMIFS('MtM Releases'!$M:$M,'MtM Releases'!$G:$G,RESULTADO!$BN70,'MtM Releases'!$F:$F,RESULTADO!$BN68,'MtM Releases'!$D:$D,RESULTADO!CW$3)</f>
        <v>0</v>
      </c>
      <c r="CX70" s="54">
        <f>SUMIFS('MtM Releases'!$M:$M,'MtM Releases'!$G:$G,RESULTADO!$BN70,'MtM Releases'!$F:$F,RESULTADO!$BN68,'MtM Releases'!$D:$D,RESULTADO!CX$3)</f>
        <v>0</v>
      </c>
      <c r="CY70" s="53">
        <f>SUMIFS('MtM Releases'!$M:$M,'MtM Releases'!$G:$G,RESULTADO!$BN70,'MtM Releases'!$F:$F,RESULTADO!$BN68,'MtM Releases'!$D:$D,RESULTADO!CY$3)</f>
        <v>0</v>
      </c>
      <c r="CZ70" s="53">
        <f>SUMIFS('MtM Releases'!$M:$M,'MtM Releases'!$G:$G,RESULTADO!$BN70,'MtM Releases'!$F:$F,RESULTADO!$BN68,'MtM Releases'!$D:$D,RESULTADO!CZ$3)</f>
        <v>0</v>
      </c>
      <c r="DA70" s="53">
        <f>SUMIFS('MtM Releases'!$M:$M,'MtM Releases'!$G:$G,RESULTADO!$BN70,'MtM Releases'!$F:$F,RESULTADO!$BN68,'MtM Releases'!$D:$D,RESULTADO!DA$3)</f>
        <v>0</v>
      </c>
      <c r="DB70" s="53">
        <f>SUMIFS('MtM Releases'!$M:$M,'MtM Releases'!$G:$G,RESULTADO!$BN70,'MtM Releases'!$F:$F,RESULTADO!$BN68,'MtM Releases'!$D:$D,RESULTADO!DB$3)</f>
        <v>0</v>
      </c>
      <c r="DC70" s="53">
        <f>SUMIFS('MtM Releases'!$M:$M,'MtM Releases'!$G:$G,RESULTADO!$BN70,'MtM Releases'!$F:$F,RESULTADO!$BN68,'MtM Releases'!$D:$D,RESULTADO!DC$3)</f>
        <v>0</v>
      </c>
      <c r="DD70" s="53">
        <f>SUMIFS('MtM Releases'!$M:$M,'MtM Releases'!$G:$G,RESULTADO!$BN70,'MtM Releases'!$F:$F,RESULTADO!$BN68,'MtM Releases'!$D:$D,RESULTADO!DD$3)</f>
        <v>0</v>
      </c>
      <c r="DE70" s="53">
        <f>SUMIFS('MtM Releases'!$M:$M,'MtM Releases'!$G:$G,RESULTADO!$BN70,'MtM Releases'!$F:$F,RESULTADO!$BN68,'MtM Releases'!$D:$D,RESULTADO!DE$3)</f>
        <v>0</v>
      </c>
      <c r="DF70" s="53">
        <f>SUMIFS('MtM Releases'!$M:$M,'MtM Releases'!$G:$G,RESULTADO!$BN70,'MtM Releases'!$F:$F,RESULTADO!$BN68,'MtM Releases'!$D:$D,RESULTADO!DF$3)</f>
        <v>0</v>
      </c>
      <c r="DG70" s="53">
        <f>SUMIFS('MtM Releases'!$M:$M,'MtM Releases'!$G:$G,RESULTADO!$BN70,'MtM Releases'!$F:$F,RESULTADO!$BN68,'MtM Releases'!$D:$D,RESULTADO!DG$3)</f>
        <v>0</v>
      </c>
      <c r="DH70" s="53">
        <f>SUMIFS('MtM Releases'!$M:$M,'MtM Releases'!$G:$G,RESULTADO!$BN70,'MtM Releases'!$F:$F,RESULTADO!$BN68,'MtM Releases'!$D:$D,RESULTADO!DH$3)</f>
        <v>0</v>
      </c>
      <c r="DI70" s="53">
        <f>SUMIFS('MtM Releases'!$M:$M,'MtM Releases'!$G:$G,RESULTADO!$BN70,'MtM Releases'!$F:$F,RESULTADO!$BN68,'MtM Releases'!$D:$D,RESULTADO!DI$3)</f>
        <v>0</v>
      </c>
      <c r="DJ70" s="63">
        <f>SUMIFS('MtM Releases'!$M:$M,'MtM Releases'!$G:$G,RESULTADO!$BN70,'MtM Releases'!$F:$F,RESULTADO!$BN68,'MtM Releases'!$D:$D,RESULTADO!DJ$3)</f>
        <v>0</v>
      </c>
      <c r="DK70" s="53">
        <f>SUMIFS('MtM Releases'!$M:$M,'MtM Releases'!$G:$G,RESULTADO!$BN70,'MtM Releases'!$F:$F,RESULTADO!$BN68,'MtM Releases'!$D:$D,RESULTADO!DK$3)</f>
        <v>0</v>
      </c>
      <c r="DL70" s="53">
        <f>SUMIFS('MtM Releases'!$M:$M,'MtM Releases'!$G:$G,RESULTADO!$BN70,'MtM Releases'!$F:$F,RESULTADO!$BN68,'MtM Releases'!$D:$D,RESULTADO!DL$3)</f>
        <v>0</v>
      </c>
      <c r="DM70" s="53">
        <f>SUMIFS('MtM Releases'!$M:$M,'MtM Releases'!$G:$G,RESULTADO!$BN70,'MtM Releases'!$F:$F,RESULTADO!$BN68,'MtM Releases'!$D:$D,RESULTADO!DM$3)</f>
        <v>0</v>
      </c>
      <c r="DN70" s="53">
        <f>SUMIFS('MtM Releases'!$M:$M,'MtM Releases'!$G:$G,RESULTADO!$BN70,'MtM Releases'!$F:$F,RESULTADO!$BN68,'MtM Releases'!$D:$D,RESULTADO!DN$3)</f>
        <v>0</v>
      </c>
      <c r="DO70" s="53">
        <f>SUMIFS('MtM Releases'!$M:$M,'MtM Releases'!$G:$G,RESULTADO!$BN70,'MtM Releases'!$F:$F,RESULTADO!$BN68,'MtM Releases'!$D:$D,RESULTADO!DO$3)</f>
        <v>0</v>
      </c>
      <c r="DP70" s="53">
        <f>SUMIFS('MtM Releases'!$M:$M,'MtM Releases'!$G:$G,RESULTADO!$BN70,'MtM Releases'!$F:$F,RESULTADO!$BN68,'MtM Releases'!$D:$D,RESULTADO!DP$3)</f>
        <v>0</v>
      </c>
      <c r="DQ70" s="53">
        <f>SUMIFS('MtM Releases'!$M:$M,'MtM Releases'!$G:$G,RESULTADO!$BN70,'MtM Releases'!$F:$F,RESULTADO!$BN68,'MtM Releases'!$D:$D,RESULTADO!DQ$3)</f>
        <v>0</v>
      </c>
      <c r="DR70" s="53">
        <f>SUMIFS('MtM Releases'!$M:$M,'MtM Releases'!$G:$G,RESULTADO!$BN70,'MtM Releases'!$F:$F,RESULTADO!$BN68,'MtM Releases'!$D:$D,RESULTADO!DR$3)</f>
        <v>0</v>
      </c>
      <c r="DS70" s="53">
        <f>SUMIFS('MtM Releases'!$M:$M,'MtM Releases'!$G:$G,RESULTADO!$BN70,'MtM Releases'!$F:$F,RESULTADO!$BN68,'MtM Releases'!$D:$D,RESULTADO!DS$3)</f>
        <v>0</v>
      </c>
      <c r="DT70" s="53">
        <f>SUMIFS('MtM Releases'!$M:$M,'MtM Releases'!$G:$G,RESULTADO!$BN70,'MtM Releases'!$F:$F,RESULTADO!$BN68,'MtM Releases'!$D:$D,RESULTADO!DT$3)</f>
        <v>0</v>
      </c>
      <c r="DU70" s="53">
        <f>SUMIFS('MtM Releases'!$M:$M,'MtM Releases'!$G:$G,RESULTADO!$BN70,'MtM Releases'!$F:$F,RESULTADO!$BN68,'MtM Releases'!$D:$D,RESULTADO!DU$3)</f>
        <v>0</v>
      </c>
      <c r="DV70" s="63">
        <f>SUMIFS('MtM Releases'!$M:$M,'MtM Releases'!$G:$G,RESULTADO!$BN70,'MtM Releases'!$F:$F,RESULTADO!$BN68,'MtM Releases'!$D:$D,RESULTADO!DV$3)</f>
        <v>0</v>
      </c>
    </row>
    <row r="71" spans="2:126" x14ac:dyDescent="0.25">
      <c r="B71" s="57" t="s">
        <v>13</v>
      </c>
      <c r="C71" s="53">
        <f>(SUMIFS(MtM!$V:$V,MtM!$I:$I,RESULTADO!$B71,MtM!$H:$H,RESULTADO!$B$68,MtM!$E:$E,RESULTADO!C$42))</f>
        <v>0</v>
      </c>
      <c r="D71" s="53">
        <f>(SUMIFS(MtM!$V:$V,MtM!$I:$I,RESULTADO!$B71,MtM!$H:$H,RESULTADO!$B$68,MtM!$E:$E,RESULTADO!D$42))</f>
        <v>0</v>
      </c>
      <c r="E71" s="53">
        <f>(SUMIFS(MtM!$V:$V,MtM!$I:$I,RESULTADO!$B71,MtM!$H:$H,RESULTADO!$B$68,MtM!$E:$E,RESULTADO!E$42))</f>
        <v>0</v>
      </c>
      <c r="F71" s="53">
        <f>(SUMIFS(MtM!$V:$V,MtM!$I:$I,RESULTADO!$B71,MtM!$H:$H,RESULTADO!$B$68,MtM!$E:$E,RESULTADO!F$42))</f>
        <v>0</v>
      </c>
      <c r="G71" s="53">
        <f>(SUMIFS(MtM!$V:$V,MtM!$I:$I,RESULTADO!$B71,MtM!$H:$H,RESULTADO!$B$68,MtM!$E:$E,RESULTADO!G$42))</f>
        <v>0</v>
      </c>
      <c r="H71" s="53">
        <f>(SUMIFS(MtM!$V:$V,MtM!$I:$I,RESULTADO!$B71,MtM!$H:$H,RESULTADO!$B$68,MtM!$E:$E,RESULTADO!H$42))</f>
        <v>0</v>
      </c>
      <c r="I71" s="53">
        <f>(SUMIFS(MtM!$V:$V,MtM!$I:$I,RESULTADO!$B71,MtM!$H:$H,RESULTADO!$B$68,MtM!$E:$E,RESULTADO!I$42))</f>
        <v>0</v>
      </c>
      <c r="J71" s="53">
        <f>(SUMIFS(MtM!$V:$V,MtM!$I:$I,RESULTADO!$B71,MtM!$H:$H,RESULTADO!$B$68,MtM!$E:$E,RESULTADO!J$42))</f>
        <v>0</v>
      </c>
      <c r="K71" s="53">
        <f>(SUMIFS(MtM!$V:$V,MtM!$I:$I,RESULTADO!$B71,MtM!$H:$H,RESULTADO!$B$68,MtM!$E:$E,RESULTADO!K$42))</f>
        <v>0</v>
      </c>
      <c r="L71" s="53">
        <f>(SUMIFS(MtM!$V:$V,MtM!$I:$I,RESULTADO!$B71,MtM!$H:$H,RESULTADO!$B$68,MtM!$E:$E,RESULTADO!L$42))</f>
        <v>0</v>
      </c>
      <c r="M71" s="53">
        <f>(SUMIFS(MtM!$V:$V,MtM!$I:$I,RESULTADO!$B71,MtM!$H:$H,RESULTADO!$B$68,MtM!$E:$E,RESULTADO!M$42))</f>
        <v>0</v>
      </c>
      <c r="N71" s="54">
        <f>(SUMIFS(MtM!$V:$V,MtM!$I:$I,RESULTADO!$B71,MtM!$H:$H,RESULTADO!$B$68,MtM!$E:$E,RESULTADO!N$42))</f>
        <v>0</v>
      </c>
      <c r="O71" s="53">
        <f>(SUMIFS(MtM!$V:$V,MtM!$I:$I,RESULTADO!$B71,MtM!$H:$H,RESULTADO!$B$68,MtM!$E:$E,RESULTADO!O$42))</f>
        <v>0</v>
      </c>
      <c r="P71" s="53">
        <f>(SUMIFS(MtM!$V:$V,MtM!$I:$I,RESULTADO!$B71,MtM!$H:$H,RESULTADO!$B$68,MtM!$E:$E,RESULTADO!P$42))</f>
        <v>0</v>
      </c>
      <c r="Q71" s="53">
        <f>(SUMIFS(MtM!$V:$V,MtM!$I:$I,RESULTADO!$B71,MtM!$H:$H,RESULTADO!$B$68,MtM!$E:$E,RESULTADO!Q$42))</f>
        <v>0</v>
      </c>
      <c r="R71" s="53">
        <f>(SUMIFS(MtM!$V:$V,MtM!$I:$I,RESULTADO!$B71,MtM!$H:$H,RESULTADO!$B$68,MtM!$E:$E,RESULTADO!R$42))</f>
        <v>0</v>
      </c>
      <c r="S71" s="53">
        <f>(SUMIFS(MtM!$V:$V,MtM!$I:$I,RESULTADO!$B71,MtM!$H:$H,RESULTADO!$B$68,MtM!$E:$E,RESULTADO!S$42))</f>
        <v>0</v>
      </c>
      <c r="T71" s="53">
        <f>(SUMIFS(MtM!$V:$V,MtM!$I:$I,RESULTADO!$B71,MtM!$H:$H,RESULTADO!$B$68,MtM!$E:$E,RESULTADO!T$42))</f>
        <v>0</v>
      </c>
      <c r="U71" s="53">
        <f>(SUMIFS(MtM!$V:$V,MtM!$I:$I,RESULTADO!$B71,MtM!$H:$H,RESULTADO!$B$68,MtM!$E:$E,RESULTADO!U$42))</f>
        <v>0</v>
      </c>
      <c r="V71" s="53">
        <f>(SUMIFS(MtM!$V:$V,MtM!$I:$I,RESULTADO!$B71,MtM!$H:$H,RESULTADO!$B$68,MtM!$E:$E,RESULTADO!V$42))</f>
        <v>0</v>
      </c>
      <c r="W71" s="53">
        <f>(SUMIFS(MtM!$V:$V,MtM!$I:$I,RESULTADO!$B71,MtM!$H:$H,RESULTADO!$B$68,MtM!$E:$E,RESULTADO!W$42))</f>
        <v>0</v>
      </c>
      <c r="X71" s="53">
        <f>(SUMIFS(MtM!$V:$V,MtM!$I:$I,RESULTADO!$B71,MtM!$H:$H,RESULTADO!$B$68,MtM!$E:$E,RESULTADO!X$42))</f>
        <v>0</v>
      </c>
      <c r="Y71" s="53">
        <f>(SUMIFS(MtM!$V:$V,MtM!$I:$I,RESULTADO!$B71,MtM!$H:$H,RESULTADO!$B$68,MtM!$E:$E,RESULTADO!Y$42))</f>
        <v>0</v>
      </c>
      <c r="Z71" s="63">
        <f>(SUMIFS(MtM!$V:$V,MtM!$I:$I,RESULTADO!$B71,MtM!$H:$H,RESULTADO!$B$68,MtM!$E:$E,RESULTADO!Z$42))</f>
        <v>0</v>
      </c>
      <c r="AA71" s="53">
        <f>(SUMIFS(MtM!$V:$V,MtM!$I:$I,RESULTADO!$B71,MtM!$H:$H,RESULTADO!$B$68,MtM!$E:$E,RESULTADO!AA$42))</f>
        <v>0</v>
      </c>
      <c r="AB71" s="53">
        <f>(SUMIFS(MtM!$V:$V,MtM!$I:$I,RESULTADO!$B71,MtM!$H:$H,RESULTADO!$B$68,MtM!$E:$E,RESULTADO!AB$42))</f>
        <v>0</v>
      </c>
      <c r="AC71" s="53">
        <f>(SUMIFS(MtM!$V:$V,MtM!$I:$I,RESULTADO!$B71,MtM!$H:$H,RESULTADO!$B$68,MtM!$E:$E,RESULTADO!AC$42))</f>
        <v>0</v>
      </c>
      <c r="AD71" s="53">
        <f>(SUMIFS(MtM!$V:$V,MtM!$I:$I,RESULTADO!$B71,MtM!$H:$H,RESULTADO!$B$68,MtM!$E:$E,RESULTADO!AD$42))</f>
        <v>0</v>
      </c>
      <c r="AE71" s="53">
        <f>(SUMIFS(MtM!$V:$V,MtM!$I:$I,RESULTADO!$B71,MtM!$H:$H,RESULTADO!$B$68,MtM!$E:$E,RESULTADO!AE$42))</f>
        <v>0</v>
      </c>
      <c r="AF71" s="53">
        <f>(SUMIFS(MtM!$V:$V,MtM!$I:$I,RESULTADO!$B71,MtM!$H:$H,RESULTADO!$B$68,MtM!$E:$E,RESULTADO!AF$42))</f>
        <v>0</v>
      </c>
      <c r="AG71" s="53">
        <f>(SUMIFS(MtM!$V:$V,MtM!$I:$I,RESULTADO!$B71,MtM!$H:$H,RESULTADO!$B$68,MtM!$E:$E,RESULTADO!AG$42))</f>
        <v>0</v>
      </c>
      <c r="AH71" s="53">
        <f>(SUMIFS(MtM!$V:$V,MtM!$I:$I,RESULTADO!$B71,MtM!$H:$H,RESULTADO!$B$68,MtM!$E:$E,RESULTADO!AH$42))</f>
        <v>0</v>
      </c>
      <c r="AI71" s="53">
        <f>(SUMIFS(MtM!$V:$V,MtM!$I:$I,RESULTADO!$B71,MtM!$H:$H,RESULTADO!$B$68,MtM!$E:$E,RESULTADO!AI$42))</f>
        <v>0</v>
      </c>
      <c r="AJ71" s="53">
        <f>(SUMIFS(MtM!$V:$V,MtM!$I:$I,RESULTADO!$B71,MtM!$H:$H,RESULTADO!$B$68,MtM!$E:$E,RESULTADO!AJ$42))</f>
        <v>0</v>
      </c>
      <c r="AK71" s="53">
        <f>(SUMIFS(MtM!$V:$V,MtM!$I:$I,RESULTADO!$B71,MtM!$H:$H,RESULTADO!$B$68,MtM!$E:$E,RESULTADO!AK$42))</f>
        <v>0</v>
      </c>
      <c r="AL71" s="54">
        <f>(SUMIFS(MtM!$V:$V,MtM!$I:$I,RESULTADO!$B71,MtM!$H:$H,RESULTADO!$B$68,MtM!$E:$E,RESULTADO!AL$42))</f>
        <v>0</v>
      </c>
      <c r="AM71" s="53">
        <f>(SUMIFS(MtM!$V:$V,MtM!$I:$I,RESULTADO!$B71,MtM!$H:$H,RESULTADO!$B$68,MtM!$E:$E,RESULTADO!AM$42))</f>
        <v>0</v>
      </c>
      <c r="AN71" s="53">
        <f>(SUMIFS(MtM!$V:$V,MtM!$I:$I,RESULTADO!$B71,MtM!$H:$H,RESULTADO!$B$68,MtM!$E:$E,RESULTADO!AN$42))</f>
        <v>0</v>
      </c>
      <c r="AO71" s="53">
        <f>(SUMIFS(MtM!$V:$V,MtM!$I:$I,RESULTADO!$B71,MtM!$H:$H,RESULTADO!$B$68,MtM!$E:$E,RESULTADO!AO$42))</f>
        <v>0</v>
      </c>
      <c r="AP71" s="53">
        <f>(SUMIFS(MtM!$V:$V,MtM!$I:$I,RESULTADO!$B71,MtM!$H:$H,RESULTADO!$B$68,MtM!$E:$E,RESULTADO!AP$42))</f>
        <v>0</v>
      </c>
      <c r="AQ71" s="53">
        <f>(SUMIFS(MtM!$V:$V,MtM!$I:$I,RESULTADO!$B71,MtM!$H:$H,RESULTADO!$B$68,MtM!$E:$E,RESULTADO!AQ$42))</f>
        <v>0</v>
      </c>
      <c r="AR71" s="53">
        <f>(SUMIFS(MtM!$V:$V,MtM!$I:$I,RESULTADO!$B71,MtM!$H:$H,RESULTADO!$B$68,MtM!$E:$E,RESULTADO!AR$42))</f>
        <v>0</v>
      </c>
      <c r="AS71" s="53">
        <f>(SUMIFS(MtM!$V:$V,MtM!$I:$I,RESULTADO!$B71,MtM!$H:$H,RESULTADO!$B$68,MtM!$E:$E,RESULTADO!AS$42))</f>
        <v>0</v>
      </c>
      <c r="AT71" s="53">
        <f>(SUMIFS(MtM!$V:$V,MtM!$I:$I,RESULTADO!$B71,MtM!$H:$H,RESULTADO!$B$68,MtM!$E:$E,RESULTADO!AT$42))</f>
        <v>0</v>
      </c>
      <c r="AU71" s="53">
        <f>(SUMIFS(MtM!$V:$V,MtM!$I:$I,RESULTADO!$B71,MtM!$H:$H,RESULTADO!$B$68,MtM!$E:$E,RESULTADO!AU$42))</f>
        <v>0</v>
      </c>
      <c r="AV71" s="53">
        <f>(SUMIFS(MtM!$V:$V,MtM!$I:$I,RESULTADO!$B71,MtM!$H:$H,RESULTADO!$B$68,MtM!$E:$E,RESULTADO!AV$42))</f>
        <v>0</v>
      </c>
      <c r="AW71" s="53">
        <f>(SUMIFS(MtM!$V:$V,MtM!$I:$I,RESULTADO!$B71,MtM!$H:$H,RESULTADO!$B$68,MtM!$E:$E,RESULTADO!AW$42))</f>
        <v>0</v>
      </c>
      <c r="AX71" s="63">
        <f>(SUMIFS(MtM!$V:$V,MtM!$I:$I,RESULTADO!$B71,MtM!$H:$H,RESULTADO!$B$68,MtM!$E:$E,RESULTADO!AX$42))</f>
        <v>0</v>
      </c>
      <c r="AY71" s="53">
        <f>(SUMIFS(MtM!$V:$V,MtM!$I:$I,RESULTADO!$B71,MtM!$H:$H,RESULTADO!$B$68,MtM!$E:$E,RESULTADO!AY$42))</f>
        <v>0</v>
      </c>
      <c r="AZ71" s="53">
        <f>(SUMIFS(MtM!$V:$V,MtM!$I:$I,RESULTADO!$B71,MtM!$H:$H,RESULTADO!$B$68,MtM!$E:$E,RESULTADO!AZ$42))</f>
        <v>0</v>
      </c>
      <c r="BA71" s="53">
        <f>(SUMIFS(MtM!$V:$V,MtM!$I:$I,RESULTADO!$B71,MtM!$H:$H,RESULTADO!$B$68,MtM!$E:$E,RESULTADO!BA$42))</f>
        <v>0</v>
      </c>
      <c r="BB71" s="53">
        <f>(SUMIFS(MtM!$V:$V,MtM!$I:$I,RESULTADO!$B71,MtM!$H:$H,RESULTADO!$B$68,MtM!$E:$E,RESULTADO!BB$42))</f>
        <v>0</v>
      </c>
      <c r="BC71" s="53">
        <f>(SUMIFS(MtM!$V:$V,MtM!$I:$I,RESULTADO!$B71,MtM!$H:$H,RESULTADO!$B$68,MtM!$E:$E,RESULTADO!BC$42))</f>
        <v>0</v>
      </c>
      <c r="BD71" s="53">
        <f>(SUMIFS(MtM!$V:$V,MtM!$I:$I,RESULTADO!$B71,MtM!$H:$H,RESULTADO!$B$68,MtM!$E:$E,RESULTADO!BD$42))</f>
        <v>0</v>
      </c>
      <c r="BE71" s="53">
        <f>(SUMIFS(MtM!$V:$V,MtM!$I:$I,RESULTADO!$B71,MtM!$H:$H,RESULTADO!$B$68,MtM!$E:$E,RESULTADO!BE$42))</f>
        <v>0</v>
      </c>
      <c r="BF71" s="53">
        <f>(SUMIFS(MtM!$V:$V,MtM!$I:$I,RESULTADO!$B71,MtM!$H:$H,RESULTADO!$B$68,MtM!$E:$E,RESULTADO!BF$42))</f>
        <v>0</v>
      </c>
      <c r="BG71" s="53">
        <f>(SUMIFS(MtM!$V:$V,MtM!$I:$I,RESULTADO!$B71,MtM!$H:$H,RESULTADO!$B$68,MtM!$E:$E,RESULTADO!BG$42))</f>
        <v>0</v>
      </c>
      <c r="BH71" s="53">
        <f>(SUMIFS(MtM!$V:$V,MtM!$I:$I,RESULTADO!$B71,MtM!$H:$H,RESULTADO!$B$68,MtM!$E:$E,RESULTADO!BH$42))</f>
        <v>0</v>
      </c>
      <c r="BI71" s="53">
        <f>(SUMIFS(MtM!$V:$V,MtM!$I:$I,RESULTADO!$B71,MtM!$H:$H,RESULTADO!$B$68,MtM!$E:$E,RESULTADO!BI$42))</f>
        <v>0</v>
      </c>
      <c r="BJ71" s="63">
        <f>(SUMIFS(MtM!$V:$V,MtM!$I:$I,RESULTADO!$B71,MtM!$H:$H,RESULTADO!$B$68,MtM!$E:$E,RESULTADO!BJ$42))</f>
        <v>0</v>
      </c>
      <c r="BL71" s="120"/>
      <c r="BN71" s="57" t="s">
        <v>13</v>
      </c>
      <c r="BO71" s="53">
        <f>SUMIFS('MtM Releases'!$M:$M,'MtM Releases'!$G:$G,RESULTADO!$BN71,'MtM Releases'!$F:$F,RESULTADO!$BN68,'MtM Releases'!$D:$D,RESULTADO!BO$3)</f>
        <v>0</v>
      </c>
      <c r="BP71" s="53">
        <f>SUMIFS('MtM Releases'!$M:$M,'MtM Releases'!$G:$G,RESULTADO!$BN71,'MtM Releases'!$F:$F,RESULTADO!$BN68,'MtM Releases'!$D:$D,RESULTADO!BP$3)</f>
        <v>0</v>
      </c>
      <c r="BQ71" s="53">
        <f>SUMIFS('MtM Releases'!$M:$M,'MtM Releases'!$G:$G,RESULTADO!$BN71,'MtM Releases'!$F:$F,RESULTADO!$BN68,'MtM Releases'!$D:$D,RESULTADO!BQ$3)</f>
        <v>0</v>
      </c>
      <c r="BR71" s="53">
        <f>SUMIFS('MtM Releases'!$M:$M,'MtM Releases'!$G:$G,RESULTADO!$BN71,'MtM Releases'!$F:$F,RESULTADO!$BN68,'MtM Releases'!$D:$D,RESULTADO!BR$3)</f>
        <v>0</v>
      </c>
      <c r="BS71" s="53">
        <f>SUMIFS('MtM Releases'!$M:$M,'MtM Releases'!$G:$G,RESULTADO!$BN71,'MtM Releases'!$F:$F,RESULTADO!$BN68,'MtM Releases'!$D:$D,RESULTADO!BS$3)</f>
        <v>0</v>
      </c>
      <c r="BT71" s="53">
        <f>SUMIFS('MtM Releases'!$M:$M,'MtM Releases'!$G:$G,RESULTADO!$BN71,'MtM Releases'!$F:$F,RESULTADO!$BN68,'MtM Releases'!$D:$D,RESULTADO!BT$3)</f>
        <v>0</v>
      </c>
      <c r="BU71" s="53">
        <f>SUMIFS('MtM Releases'!$M:$M,'MtM Releases'!$G:$G,RESULTADO!$BN71,'MtM Releases'!$F:$F,RESULTADO!$BN68,'MtM Releases'!$D:$D,RESULTADO!BU$3)</f>
        <v>0</v>
      </c>
      <c r="BV71" s="53">
        <f>SUMIFS('MtM Releases'!$M:$M,'MtM Releases'!$G:$G,RESULTADO!$BN71,'MtM Releases'!$F:$F,RESULTADO!$BN68,'MtM Releases'!$D:$D,RESULTADO!BV$3)</f>
        <v>0</v>
      </c>
      <c r="BW71" s="53">
        <f>SUMIFS('MtM Releases'!$M:$M,'MtM Releases'!$G:$G,RESULTADO!$BN71,'MtM Releases'!$F:$F,RESULTADO!$BN68,'MtM Releases'!$D:$D,RESULTADO!BW$3)</f>
        <v>0</v>
      </c>
      <c r="BX71" s="53">
        <f>SUMIFS('MtM Releases'!$M:$M,'MtM Releases'!$G:$G,RESULTADO!$BN71,'MtM Releases'!$F:$F,RESULTADO!$BN68,'MtM Releases'!$D:$D,RESULTADO!BX$3)</f>
        <v>0</v>
      </c>
      <c r="BY71" s="53">
        <f>SUMIFS('MtM Releases'!$M:$M,'MtM Releases'!$G:$G,RESULTADO!$BN71,'MtM Releases'!$F:$F,RESULTADO!$BN68,'MtM Releases'!$D:$D,RESULTADO!BY$3)</f>
        <v>0</v>
      </c>
      <c r="BZ71" s="54">
        <f>SUMIFS('MtM Releases'!$M:$M,'MtM Releases'!$G:$G,RESULTADO!$BN71,'MtM Releases'!$F:$F,RESULTADO!$BN68,'MtM Releases'!$D:$D,RESULTADO!BZ$3)</f>
        <v>0</v>
      </c>
      <c r="CA71" s="53">
        <f>SUMIFS('MtM Releases'!$M:$M,'MtM Releases'!$G:$G,RESULTADO!$BN71,'MtM Releases'!$F:$F,RESULTADO!$BN68,'MtM Releases'!$D:$D,RESULTADO!CA$3)</f>
        <v>0</v>
      </c>
      <c r="CB71" s="53">
        <f>SUMIFS('MtM Releases'!$M:$M,'MtM Releases'!$G:$G,RESULTADO!$BN71,'MtM Releases'!$F:$F,RESULTADO!$BN68,'MtM Releases'!$D:$D,RESULTADO!CB$3)</f>
        <v>0</v>
      </c>
      <c r="CC71" s="53">
        <f>SUMIFS('MtM Releases'!$M:$M,'MtM Releases'!$G:$G,RESULTADO!$BN71,'MtM Releases'!$F:$F,RESULTADO!$BN68,'MtM Releases'!$D:$D,RESULTADO!CC$3)</f>
        <v>0</v>
      </c>
      <c r="CD71" s="53">
        <f>SUMIFS('MtM Releases'!$M:$M,'MtM Releases'!$G:$G,RESULTADO!$BN71,'MtM Releases'!$F:$F,RESULTADO!$BN68,'MtM Releases'!$D:$D,RESULTADO!CD$3)</f>
        <v>0</v>
      </c>
      <c r="CE71" s="53">
        <f>SUMIFS('MtM Releases'!$M:$M,'MtM Releases'!$G:$G,RESULTADO!$BN71,'MtM Releases'!$F:$F,RESULTADO!$BN68,'MtM Releases'!$D:$D,RESULTADO!CE$3)</f>
        <v>0</v>
      </c>
      <c r="CF71" s="53">
        <f>SUMIFS('MtM Releases'!$M:$M,'MtM Releases'!$G:$G,RESULTADO!$BN71,'MtM Releases'!$F:$F,RESULTADO!$BN68,'MtM Releases'!$D:$D,RESULTADO!CF$3)</f>
        <v>0</v>
      </c>
      <c r="CG71" s="53">
        <f>SUMIFS('MtM Releases'!$M:$M,'MtM Releases'!$G:$G,RESULTADO!$BN71,'MtM Releases'!$F:$F,RESULTADO!$BN68,'MtM Releases'!$D:$D,RESULTADO!CG$3)</f>
        <v>0</v>
      </c>
      <c r="CH71" s="53">
        <f>SUMIFS('MtM Releases'!$M:$M,'MtM Releases'!$G:$G,RESULTADO!$BN71,'MtM Releases'!$F:$F,RESULTADO!$BN68,'MtM Releases'!$D:$D,RESULTADO!CH$3)</f>
        <v>0</v>
      </c>
      <c r="CI71" s="53">
        <f>SUMIFS('MtM Releases'!$M:$M,'MtM Releases'!$G:$G,RESULTADO!$BN71,'MtM Releases'!$F:$F,RESULTADO!$BN68,'MtM Releases'!$D:$D,RESULTADO!CI$3)</f>
        <v>0</v>
      </c>
      <c r="CJ71" s="53">
        <f>SUMIFS('MtM Releases'!$M:$M,'MtM Releases'!$G:$G,RESULTADO!$BN71,'MtM Releases'!$F:$F,RESULTADO!$BN68,'MtM Releases'!$D:$D,RESULTADO!CJ$3)</f>
        <v>0</v>
      </c>
      <c r="CK71" s="53">
        <f>SUMIFS('MtM Releases'!$M:$M,'MtM Releases'!$G:$G,RESULTADO!$BN71,'MtM Releases'!$F:$F,RESULTADO!$BN68,'MtM Releases'!$D:$D,RESULTADO!CK$3)</f>
        <v>0</v>
      </c>
      <c r="CL71" s="63">
        <f>SUMIFS('MtM Releases'!$M:$M,'MtM Releases'!$G:$G,RESULTADO!$BN71,'MtM Releases'!$F:$F,RESULTADO!$BN68,'MtM Releases'!$D:$D,RESULTADO!CL$3)</f>
        <v>0</v>
      </c>
      <c r="CM71" s="53">
        <f>SUMIFS('MtM Releases'!$M:$M,'MtM Releases'!$G:$G,RESULTADO!$BN71,'MtM Releases'!$F:$F,RESULTADO!$BN68,'MtM Releases'!$D:$D,RESULTADO!CM$3)</f>
        <v>0</v>
      </c>
      <c r="CN71" s="53">
        <f>SUMIFS('MtM Releases'!$M:$M,'MtM Releases'!$G:$G,RESULTADO!$BN71,'MtM Releases'!$F:$F,RESULTADO!$BN68,'MtM Releases'!$D:$D,RESULTADO!CN$3)</f>
        <v>0</v>
      </c>
      <c r="CO71" s="53">
        <f>SUMIFS('MtM Releases'!$M:$M,'MtM Releases'!$G:$G,RESULTADO!$BN71,'MtM Releases'!$F:$F,RESULTADO!$BN68,'MtM Releases'!$D:$D,RESULTADO!CO$3)</f>
        <v>0</v>
      </c>
      <c r="CP71" s="53">
        <f>SUMIFS('MtM Releases'!$M:$M,'MtM Releases'!$G:$G,RESULTADO!$BN71,'MtM Releases'!$F:$F,RESULTADO!$BN68,'MtM Releases'!$D:$D,RESULTADO!CP$3)</f>
        <v>0</v>
      </c>
      <c r="CQ71" s="53">
        <f>SUMIFS('MtM Releases'!$M:$M,'MtM Releases'!$G:$G,RESULTADO!$BN71,'MtM Releases'!$F:$F,RESULTADO!$BN68,'MtM Releases'!$D:$D,RESULTADO!CQ$3)</f>
        <v>0</v>
      </c>
      <c r="CR71" s="53">
        <f>SUMIFS('MtM Releases'!$M:$M,'MtM Releases'!$G:$G,RESULTADO!$BN71,'MtM Releases'!$F:$F,RESULTADO!$BN68,'MtM Releases'!$D:$D,RESULTADO!CR$3)</f>
        <v>0</v>
      </c>
      <c r="CS71" s="53">
        <f>SUMIFS('MtM Releases'!$M:$M,'MtM Releases'!$G:$G,RESULTADO!$BN71,'MtM Releases'!$F:$F,RESULTADO!$BN68,'MtM Releases'!$D:$D,RESULTADO!CS$3)</f>
        <v>0</v>
      </c>
      <c r="CT71" s="53">
        <f>SUMIFS('MtM Releases'!$M:$M,'MtM Releases'!$G:$G,RESULTADO!$BN71,'MtM Releases'!$F:$F,RESULTADO!$BN68,'MtM Releases'!$D:$D,RESULTADO!CT$3)</f>
        <v>0</v>
      </c>
      <c r="CU71" s="53">
        <f>SUMIFS('MtM Releases'!$M:$M,'MtM Releases'!$G:$G,RESULTADO!$BN71,'MtM Releases'!$F:$F,RESULTADO!$BN68,'MtM Releases'!$D:$D,RESULTADO!CU$3)</f>
        <v>0</v>
      </c>
      <c r="CV71" s="53">
        <f>SUMIFS('MtM Releases'!$M:$M,'MtM Releases'!$G:$G,RESULTADO!$BN71,'MtM Releases'!$F:$F,RESULTADO!$BN68,'MtM Releases'!$D:$D,RESULTADO!CV$3)</f>
        <v>0</v>
      </c>
      <c r="CW71" s="53">
        <f>SUMIFS('MtM Releases'!$M:$M,'MtM Releases'!$G:$G,RESULTADO!$BN71,'MtM Releases'!$F:$F,RESULTADO!$BN68,'MtM Releases'!$D:$D,RESULTADO!CW$3)</f>
        <v>0</v>
      </c>
      <c r="CX71" s="54">
        <f>SUMIFS('MtM Releases'!$M:$M,'MtM Releases'!$G:$G,RESULTADO!$BN71,'MtM Releases'!$F:$F,RESULTADO!$BN68,'MtM Releases'!$D:$D,RESULTADO!CX$3)</f>
        <v>0</v>
      </c>
      <c r="CY71" s="53">
        <f>SUMIFS('MtM Releases'!$M:$M,'MtM Releases'!$G:$G,RESULTADO!$BN71,'MtM Releases'!$F:$F,RESULTADO!$BN68,'MtM Releases'!$D:$D,RESULTADO!CY$3)</f>
        <v>0</v>
      </c>
      <c r="CZ71" s="53">
        <f>SUMIFS('MtM Releases'!$M:$M,'MtM Releases'!$G:$G,RESULTADO!$BN71,'MtM Releases'!$F:$F,RESULTADO!$BN68,'MtM Releases'!$D:$D,RESULTADO!CZ$3)</f>
        <v>0</v>
      </c>
      <c r="DA71" s="53">
        <f>SUMIFS('MtM Releases'!$M:$M,'MtM Releases'!$G:$G,RESULTADO!$BN71,'MtM Releases'!$F:$F,RESULTADO!$BN68,'MtM Releases'!$D:$D,RESULTADO!DA$3)</f>
        <v>0</v>
      </c>
      <c r="DB71" s="53">
        <f>SUMIFS('MtM Releases'!$M:$M,'MtM Releases'!$G:$G,RESULTADO!$BN71,'MtM Releases'!$F:$F,RESULTADO!$BN68,'MtM Releases'!$D:$D,RESULTADO!DB$3)</f>
        <v>0</v>
      </c>
      <c r="DC71" s="53">
        <f>SUMIFS('MtM Releases'!$M:$M,'MtM Releases'!$G:$G,RESULTADO!$BN71,'MtM Releases'!$F:$F,RESULTADO!$BN68,'MtM Releases'!$D:$D,RESULTADO!DC$3)</f>
        <v>0</v>
      </c>
      <c r="DD71" s="53">
        <f>SUMIFS('MtM Releases'!$M:$M,'MtM Releases'!$G:$G,RESULTADO!$BN71,'MtM Releases'!$F:$F,RESULTADO!$BN68,'MtM Releases'!$D:$D,RESULTADO!DD$3)</f>
        <v>0</v>
      </c>
      <c r="DE71" s="53">
        <f>SUMIFS('MtM Releases'!$M:$M,'MtM Releases'!$G:$G,RESULTADO!$BN71,'MtM Releases'!$F:$F,RESULTADO!$BN68,'MtM Releases'!$D:$D,RESULTADO!DE$3)</f>
        <v>0</v>
      </c>
      <c r="DF71" s="53">
        <f>SUMIFS('MtM Releases'!$M:$M,'MtM Releases'!$G:$G,RESULTADO!$BN71,'MtM Releases'!$F:$F,RESULTADO!$BN68,'MtM Releases'!$D:$D,RESULTADO!DF$3)</f>
        <v>0</v>
      </c>
      <c r="DG71" s="53">
        <f>SUMIFS('MtM Releases'!$M:$M,'MtM Releases'!$G:$G,RESULTADO!$BN71,'MtM Releases'!$F:$F,RESULTADO!$BN68,'MtM Releases'!$D:$D,RESULTADO!DG$3)</f>
        <v>0</v>
      </c>
      <c r="DH71" s="53">
        <f>SUMIFS('MtM Releases'!$M:$M,'MtM Releases'!$G:$G,RESULTADO!$BN71,'MtM Releases'!$F:$F,RESULTADO!$BN68,'MtM Releases'!$D:$D,RESULTADO!DH$3)</f>
        <v>0</v>
      </c>
      <c r="DI71" s="53">
        <f>SUMIFS('MtM Releases'!$M:$M,'MtM Releases'!$G:$G,RESULTADO!$BN71,'MtM Releases'!$F:$F,RESULTADO!$BN68,'MtM Releases'!$D:$D,RESULTADO!DI$3)</f>
        <v>0</v>
      </c>
      <c r="DJ71" s="63">
        <f>SUMIFS('MtM Releases'!$M:$M,'MtM Releases'!$G:$G,RESULTADO!$BN71,'MtM Releases'!$F:$F,RESULTADO!$BN68,'MtM Releases'!$D:$D,RESULTADO!DJ$3)</f>
        <v>0</v>
      </c>
      <c r="DK71" s="53">
        <f>SUMIFS('MtM Releases'!$M:$M,'MtM Releases'!$G:$G,RESULTADO!$BN71,'MtM Releases'!$F:$F,RESULTADO!$BN68,'MtM Releases'!$D:$D,RESULTADO!DK$3)</f>
        <v>0</v>
      </c>
      <c r="DL71" s="53">
        <f>SUMIFS('MtM Releases'!$M:$M,'MtM Releases'!$G:$G,RESULTADO!$BN71,'MtM Releases'!$F:$F,RESULTADO!$BN68,'MtM Releases'!$D:$D,RESULTADO!DL$3)</f>
        <v>0</v>
      </c>
      <c r="DM71" s="53">
        <f>SUMIFS('MtM Releases'!$M:$M,'MtM Releases'!$G:$G,RESULTADO!$BN71,'MtM Releases'!$F:$F,RESULTADO!$BN68,'MtM Releases'!$D:$D,RESULTADO!DM$3)</f>
        <v>0</v>
      </c>
      <c r="DN71" s="53">
        <f>SUMIFS('MtM Releases'!$M:$M,'MtM Releases'!$G:$G,RESULTADO!$BN71,'MtM Releases'!$F:$F,RESULTADO!$BN68,'MtM Releases'!$D:$D,RESULTADO!DN$3)</f>
        <v>0</v>
      </c>
      <c r="DO71" s="53">
        <f>SUMIFS('MtM Releases'!$M:$M,'MtM Releases'!$G:$G,RESULTADO!$BN71,'MtM Releases'!$F:$F,RESULTADO!$BN68,'MtM Releases'!$D:$D,RESULTADO!DO$3)</f>
        <v>0</v>
      </c>
      <c r="DP71" s="53">
        <f>SUMIFS('MtM Releases'!$M:$M,'MtM Releases'!$G:$G,RESULTADO!$BN71,'MtM Releases'!$F:$F,RESULTADO!$BN68,'MtM Releases'!$D:$D,RESULTADO!DP$3)</f>
        <v>0</v>
      </c>
      <c r="DQ71" s="53">
        <f>SUMIFS('MtM Releases'!$M:$M,'MtM Releases'!$G:$G,RESULTADO!$BN71,'MtM Releases'!$F:$F,RESULTADO!$BN68,'MtM Releases'!$D:$D,RESULTADO!DQ$3)</f>
        <v>0</v>
      </c>
      <c r="DR71" s="53">
        <f>SUMIFS('MtM Releases'!$M:$M,'MtM Releases'!$G:$G,RESULTADO!$BN71,'MtM Releases'!$F:$F,RESULTADO!$BN68,'MtM Releases'!$D:$D,RESULTADO!DR$3)</f>
        <v>0</v>
      </c>
      <c r="DS71" s="53">
        <f>SUMIFS('MtM Releases'!$M:$M,'MtM Releases'!$G:$G,RESULTADO!$BN71,'MtM Releases'!$F:$F,RESULTADO!$BN68,'MtM Releases'!$D:$D,RESULTADO!DS$3)</f>
        <v>0</v>
      </c>
      <c r="DT71" s="53">
        <f>SUMIFS('MtM Releases'!$M:$M,'MtM Releases'!$G:$G,RESULTADO!$BN71,'MtM Releases'!$F:$F,RESULTADO!$BN68,'MtM Releases'!$D:$D,RESULTADO!DT$3)</f>
        <v>0</v>
      </c>
      <c r="DU71" s="53">
        <f>SUMIFS('MtM Releases'!$M:$M,'MtM Releases'!$G:$G,RESULTADO!$BN71,'MtM Releases'!$F:$F,RESULTADO!$BN68,'MtM Releases'!$D:$D,RESULTADO!DU$3)</f>
        <v>0</v>
      </c>
      <c r="DV71" s="63">
        <f>SUMIFS('MtM Releases'!$M:$M,'MtM Releases'!$G:$G,RESULTADO!$BN71,'MtM Releases'!$F:$F,RESULTADO!$BN68,'MtM Releases'!$D:$D,RESULTADO!DV$3)</f>
        <v>0</v>
      </c>
    </row>
    <row r="72" spans="2:126" x14ac:dyDescent="0.25">
      <c r="B72" s="57" t="s">
        <v>11</v>
      </c>
      <c r="C72" s="60">
        <f>(SUMIFS(MtM!$V:$V,MtM!$I:$I,RESULTADO!$B72,MtM!$H:$H,RESULTADO!$B$68,MtM!$E:$E,RESULTADO!C$42))</f>
        <v>0</v>
      </c>
      <c r="D72" s="60">
        <f>(SUMIFS(MtM!$V:$V,MtM!$I:$I,RESULTADO!$B72,MtM!$H:$H,RESULTADO!$B$68,MtM!$E:$E,RESULTADO!D$42))</f>
        <v>0</v>
      </c>
      <c r="E72" s="60">
        <f>(SUMIFS(MtM!$V:$V,MtM!$I:$I,RESULTADO!$B72,MtM!$H:$H,RESULTADO!$B$68,MtM!$E:$E,RESULTADO!E$42))</f>
        <v>0</v>
      </c>
      <c r="F72" s="60">
        <f>(SUMIFS(MtM!$V:$V,MtM!$I:$I,RESULTADO!$B72,MtM!$H:$H,RESULTADO!$B$68,MtM!$E:$E,RESULTADO!F$42))</f>
        <v>0</v>
      </c>
      <c r="G72" s="60">
        <f>(SUMIFS(MtM!$V:$V,MtM!$I:$I,RESULTADO!$B72,MtM!$H:$H,RESULTADO!$B$68,MtM!$E:$E,RESULTADO!G$42))</f>
        <v>0</v>
      </c>
      <c r="H72" s="60">
        <f>(SUMIFS(MtM!$V:$V,MtM!$I:$I,RESULTADO!$B72,MtM!$H:$H,RESULTADO!$B$68,MtM!$E:$E,RESULTADO!H$42))</f>
        <v>0</v>
      </c>
      <c r="I72" s="60">
        <f>(SUMIFS(MtM!$V:$V,MtM!$I:$I,RESULTADO!$B72,MtM!$H:$H,RESULTADO!$B$68,MtM!$E:$E,RESULTADO!I$42))</f>
        <v>0</v>
      </c>
      <c r="J72" s="60">
        <f>(SUMIFS(MtM!$V:$V,MtM!$I:$I,RESULTADO!$B72,MtM!$H:$H,RESULTADO!$B$68,MtM!$E:$E,RESULTADO!J$42))</f>
        <v>0</v>
      </c>
      <c r="K72" s="60">
        <f>(SUMIFS(MtM!$V:$V,MtM!$I:$I,RESULTADO!$B72,MtM!$H:$H,RESULTADO!$B$68,MtM!$E:$E,RESULTADO!K$42))</f>
        <v>0</v>
      </c>
      <c r="L72" s="60">
        <f>(SUMIFS(MtM!$V:$V,MtM!$I:$I,RESULTADO!$B72,MtM!$H:$H,RESULTADO!$B$68,MtM!$E:$E,RESULTADO!L$42))</f>
        <v>0</v>
      </c>
      <c r="M72" s="60">
        <f>(SUMIFS(MtM!$V:$V,MtM!$I:$I,RESULTADO!$B72,MtM!$H:$H,RESULTADO!$B$68,MtM!$E:$E,RESULTADO!M$42))</f>
        <v>0</v>
      </c>
      <c r="N72" s="54">
        <f>(SUMIFS(MtM!$V:$V,MtM!$I:$I,RESULTADO!$B72,MtM!$H:$H,RESULTADO!$B$68,MtM!$E:$E,RESULTADO!N$42))</f>
        <v>0</v>
      </c>
      <c r="O72" s="60">
        <f>(SUMIFS(MtM!$V:$V,MtM!$I:$I,RESULTADO!$B72,MtM!$H:$H,RESULTADO!$B$68,MtM!$E:$E,RESULTADO!O$42))</f>
        <v>0</v>
      </c>
      <c r="P72" s="60">
        <f>(SUMIFS(MtM!$V:$V,MtM!$I:$I,RESULTADO!$B72,MtM!$H:$H,RESULTADO!$B$68,MtM!$E:$E,RESULTADO!P$42))</f>
        <v>0</v>
      </c>
      <c r="Q72" s="60">
        <f>(SUMIFS(MtM!$V:$V,MtM!$I:$I,RESULTADO!$B72,MtM!$H:$H,RESULTADO!$B$68,MtM!$E:$E,RESULTADO!Q$42))</f>
        <v>0</v>
      </c>
      <c r="R72" s="60">
        <f>(SUMIFS(MtM!$V:$V,MtM!$I:$I,RESULTADO!$B72,MtM!$H:$H,RESULTADO!$B$68,MtM!$E:$E,RESULTADO!R$42))</f>
        <v>0</v>
      </c>
      <c r="S72" s="60">
        <f>(SUMIFS(MtM!$V:$V,MtM!$I:$I,RESULTADO!$B72,MtM!$H:$H,RESULTADO!$B$68,MtM!$E:$E,RESULTADO!S$42))</f>
        <v>0</v>
      </c>
      <c r="T72" s="60">
        <f>(SUMIFS(MtM!$V:$V,MtM!$I:$I,RESULTADO!$B72,MtM!$H:$H,RESULTADO!$B$68,MtM!$E:$E,RESULTADO!T$42))</f>
        <v>0</v>
      </c>
      <c r="U72" s="60">
        <f>(SUMIFS(MtM!$V:$V,MtM!$I:$I,RESULTADO!$B72,MtM!$H:$H,RESULTADO!$B$68,MtM!$E:$E,RESULTADO!U$42))</f>
        <v>0</v>
      </c>
      <c r="V72" s="60">
        <f>(SUMIFS(MtM!$V:$V,MtM!$I:$I,RESULTADO!$B72,MtM!$H:$H,RESULTADO!$B$68,MtM!$E:$E,RESULTADO!V$42))</f>
        <v>0</v>
      </c>
      <c r="W72" s="60">
        <f>(SUMIFS(MtM!$V:$V,MtM!$I:$I,RESULTADO!$B72,MtM!$H:$H,RESULTADO!$B$68,MtM!$E:$E,RESULTADO!W$42))</f>
        <v>0</v>
      </c>
      <c r="X72" s="60">
        <f>(SUMIFS(MtM!$V:$V,MtM!$I:$I,RESULTADO!$B72,MtM!$H:$H,RESULTADO!$B$68,MtM!$E:$E,RESULTADO!X$42))</f>
        <v>0</v>
      </c>
      <c r="Y72" s="60">
        <f>(SUMIFS(MtM!$V:$V,MtM!$I:$I,RESULTADO!$B72,MtM!$H:$H,RESULTADO!$B$68,MtM!$E:$E,RESULTADO!Y$42))</f>
        <v>0</v>
      </c>
      <c r="Z72" s="63">
        <f>(SUMIFS(MtM!$V:$V,MtM!$I:$I,RESULTADO!$B72,MtM!$H:$H,RESULTADO!$B$68,MtM!$E:$E,RESULTADO!Z$42))</f>
        <v>0</v>
      </c>
      <c r="AA72" s="60">
        <f>(SUMIFS(MtM!$V:$V,MtM!$I:$I,RESULTADO!$B72,MtM!$H:$H,RESULTADO!$B$68,MtM!$E:$E,RESULTADO!AA$42))</f>
        <v>0</v>
      </c>
      <c r="AB72" s="60">
        <f>(SUMIFS(MtM!$V:$V,MtM!$I:$I,RESULTADO!$B72,MtM!$H:$H,RESULTADO!$B$68,MtM!$E:$E,RESULTADO!AB$42))</f>
        <v>0</v>
      </c>
      <c r="AC72" s="60">
        <f>(SUMIFS(MtM!$V:$V,MtM!$I:$I,RESULTADO!$B72,MtM!$H:$H,RESULTADO!$B$68,MtM!$E:$E,RESULTADO!AC$42))</f>
        <v>0</v>
      </c>
      <c r="AD72" s="60">
        <f>(SUMIFS(MtM!$V:$V,MtM!$I:$I,RESULTADO!$B72,MtM!$H:$H,RESULTADO!$B$68,MtM!$E:$E,RESULTADO!AD$42))</f>
        <v>0</v>
      </c>
      <c r="AE72" s="60">
        <f>(SUMIFS(MtM!$V:$V,MtM!$I:$I,RESULTADO!$B72,MtM!$H:$H,RESULTADO!$B$68,MtM!$E:$E,RESULTADO!AE$42))</f>
        <v>0</v>
      </c>
      <c r="AF72" s="60">
        <f>(SUMIFS(MtM!$V:$V,MtM!$I:$I,RESULTADO!$B72,MtM!$H:$H,RESULTADO!$B$68,MtM!$E:$E,RESULTADO!AF$42))</f>
        <v>0</v>
      </c>
      <c r="AG72" s="60">
        <f>(SUMIFS(MtM!$V:$V,MtM!$I:$I,RESULTADO!$B72,MtM!$H:$H,RESULTADO!$B$68,MtM!$E:$E,RESULTADO!AG$42))</f>
        <v>0</v>
      </c>
      <c r="AH72" s="60">
        <f>(SUMIFS(MtM!$V:$V,MtM!$I:$I,RESULTADO!$B72,MtM!$H:$H,RESULTADO!$B$68,MtM!$E:$E,RESULTADO!AH$42))</f>
        <v>0</v>
      </c>
      <c r="AI72" s="60">
        <f>(SUMIFS(MtM!$V:$V,MtM!$I:$I,RESULTADO!$B72,MtM!$H:$H,RESULTADO!$B$68,MtM!$E:$E,RESULTADO!AI$42))</f>
        <v>0</v>
      </c>
      <c r="AJ72" s="60">
        <f>(SUMIFS(MtM!$V:$V,MtM!$I:$I,RESULTADO!$B72,MtM!$H:$H,RESULTADO!$B$68,MtM!$E:$E,RESULTADO!AJ$42))</f>
        <v>0</v>
      </c>
      <c r="AK72" s="60">
        <f>(SUMIFS(MtM!$V:$V,MtM!$I:$I,RESULTADO!$B72,MtM!$H:$H,RESULTADO!$B$68,MtM!$E:$E,RESULTADO!AK$42))</f>
        <v>0</v>
      </c>
      <c r="AL72" s="54">
        <f>(SUMIFS(MtM!$V:$V,MtM!$I:$I,RESULTADO!$B72,MtM!$H:$H,RESULTADO!$B$68,MtM!$E:$E,RESULTADO!AL$42))</f>
        <v>0</v>
      </c>
      <c r="AM72" s="60">
        <f>(SUMIFS(MtM!$V:$V,MtM!$I:$I,RESULTADO!$B72,MtM!$H:$H,RESULTADO!$B$68,MtM!$E:$E,RESULTADO!AM$42))</f>
        <v>0</v>
      </c>
      <c r="AN72" s="60">
        <f>(SUMIFS(MtM!$V:$V,MtM!$I:$I,RESULTADO!$B72,MtM!$H:$H,RESULTADO!$B$68,MtM!$E:$E,RESULTADO!AN$42))</f>
        <v>0</v>
      </c>
      <c r="AO72" s="60">
        <f>(SUMIFS(MtM!$V:$V,MtM!$I:$I,RESULTADO!$B72,MtM!$H:$H,RESULTADO!$B$68,MtM!$E:$E,RESULTADO!AO$42))</f>
        <v>0</v>
      </c>
      <c r="AP72" s="60">
        <f>(SUMIFS(MtM!$V:$V,MtM!$I:$I,RESULTADO!$B72,MtM!$H:$H,RESULTADO!$B$68,MtM!$E:$E,RESULTADO!AP$42))</f>
        <v>0</v>
      </c>
      <c r="AQ72" s="60">
        <f>(SUMIFS(MtM!$V:$V,MtM!$I:$I,RESULTADO!$B72,MtM!$H:$H,RESULTADO!$B$68,MtM!$E:$E,RESULTADO!AQ$42))</f>
        <v>0</v>
      </c>
      <c r="AR72" s="60">
        <f>(SUMIFS(MtM!$V:$V,MtM!$I:$I,RESULTADO!$B72,MtM!$H:$H,RESULTADO!$B$68,MtM!$E:$E,RESULTADO!AR$42))</f>
        <v>0</v>
      </c>
      <c r="AS72" s="60">
        <f>(SUMIFS(MtM!$V:$V,MtM!$I:$I,RESULTADO!$B72,MtM!$H:$H,RESULTADO!$B$68,MtM!$E:$E,RESULTADO!AS$42))</f>
        <v>0</v>
      </c>
      <c r="AT72" s="60">
        <f>(SUMIFS(MtM!$V:$V,MtM!$I:$I,RESULTADO!$B72,MtM!$H:$H,RESULTADO!$B$68,MtM!$E:$E,RESULTADO!AT$42))</f>
        <v>0</v>
      </c>
      <c r="AU72" s="60">
        <f>(SUMIFS(MtM!$V:$V,MtM!$I:$I,RESULTADO!$B72,MtM!$H:$H,RESULTADO!$B$68,MtM!$E:$E,RESULTADO!AU$42))</f>
        <v>0</v>
      </c>
      <c r="AV72" s="60">
        <f>(SUMIFS(MtM!$V:$V,MtM!$I:$I,RESULTADO!$B72,MtM!$H:$H,RESULTADO!$B$68,MtM!$E:$E,RESULTADO!AV$42))</f>
        <v>0</v>
      </c>
      <c r="AW72" s="60">
        <f>(SUMIFS(MtM!$V:$V,MtM!$I:$I,RESULTADO!$B72,MtM!$H:$H,RESULTADO!$B$68,MtM!$E:$E,RESULTADO!AW$42))</f>
        <v>0</v>
      </c>
      <c r="AX72" s="63">
        <f>(SUMIFS(MtM!$V:$V,MtM!$I:$I,RESULTADO!$B72,MtM!$H:$H,RESULTADO!$B$68,MtM!$E:$E,RESULTADO!AX$42))</f>
        <v>0</v>
      </c>
      <c r="AY72" s="60">
        <f>(SUMIFS(MtM!$V:$V,MtM!$I:$I,RESULTADO!$B72,MtM!$H:$H,RESULTADO!$B$68,MtM!$E:$E,RESULTADO!AY$42))</f>
        <v>0</v>
      </c>
      <c r="AZ72" s="60">
        <f>(SUMIFS(MtM!$V:$V,MtM!$I:$I,RESULTADO!$B72,MtM!$H:$H,RESULTADO!$B$68,MtM!$E:$E,RESULTADO!AZ$42))</f>
        <v>0</v>
      </c>
      <c r="BA72" s="60">
        <f>(SUMIFS(MtM!$V:$V,MtM!$I:$I,RESULTADO!$B72,MtM!$H:$H,RESULTADO!$B$68,MtM!$E:$E,RESULTADO!BA$42))</f>
        <v>0</v>
      </c>
      <c r="BB72" s="60">
        <f>(SUMIFS(MtM!$V:$V,MtM!$I:$I,RESULTADO!$B72,MtM!$H:$H,RESULTADO!$B$68,MtM!$E:$E,RESULTADO!BB$42))</f>
        <v>0</v>
      </c>
      <c r="BC72" s="60">
        <f>(SUMIFS(MtM!$V:$V,MtM!$I:$I,RESULTADO!$B72,MtM!$H:$H,RESULTADO!$B$68,MtM!$E:$E,RESULTADO!BC$42))</f>
        <v>0</v>
      </c>
      <c r="BD72" s="60">
        <f>(SUMIFS(MtM!$V:$V,MtM!$I:$I,RESULTADO!$B72,MtM!$H:$H,RESULTADO!$B$68,MtM!$E:$E,RESULTADO!BD$42))</f>
        <v>0</v>
      </c>
      <c r="BE72" s="60">
        <f>(SUMIFS(MtM!$V:$V,MtM!$I:$I,RESULTADO!$B72,MtM!$H:$H,RESULTADO!$B$68,MtM!$E:$E,RESULTADO!BE$42))</f>
        <v>0</v>
      </c>
      <c r="BF72" s="60">
        <f>(SUMIFS(MtM!$V:$V,MtM!$I:$I,RESULTADO!$B72,MtM!$H:$H,RESULTADO!$B$68,MtM!$E:$E,RESULTADO!BF$42))</f>
        <v>0</v>
      </c>
      <c r="BG72" s="60">
        <f>(SUMIFS(MtM!$V:$V,MtM!$I:$I,RESULTADO!$B72,MtM!$H:$H,RESULTADO!$B$68,MtM!$E:$E,RESULTADO!BG$42))</f>
        <v>0</v>
      </c>
      <c r="BH72" s="60">
        <f>(SUMIFS(MtM!$V:$V,MtM!$I:$I,RESULTADO!$B72,MtM!$H:$H,RESULTADO!$B$68,MtM!$E:$E,RESULTADO!BH$42))</f>
        <v>0</v>
      </c>
      <c r="BI72" s="60">
        <f>(SUMIFS(MtM!$V:$V,MtM!$I:$I,RESULTADO!$B72,MtM!$H:$H,RESULTADO!$B$68,MtM!$E:$E,RESULTADO!BI$42))</f>
        <v>0</v>
      </c>
      <c r="BJ72" s="63">
        <f>(SUMIFS(MtM!$V:$V,MtM!$I:$I,RESULTADO!$B72,MtM!$H:$H,RESULTADO!$B$68,MtM!$E:$E,RESULTADO!BJ$42))</f>
        <v>0</v>
      </c>
      <c r="BL72" s="120"/>
      <c r="BN72" s="57" t="s">
        <v>11</v>
      </c>
      <c r="BO72" s="60">
        <f>SUMIFS('MtM Releases'!$M:$M,'MtM Releases'!$G:$G,RESULTADO!$BN72,'MtM Releases'!$F:$F,RESULTADO!$BN68,'MtM Releases'!$D:$D,RESULTADO!BO$3)</f>
        <v>0</v>
      </c>
      <c r="BP72" s="60">
        <f>SUMIFS('MtM Releases'!$M:$M,'MtM Releases'!$G:$G,RESULTADO!$BN72,'MtM Releases'!$F:$F,RESULTADO!$BN68,'MtM Releases'!$D:$D,RESULTADO!BP$3)</f>
        <v>0</v>
      </c>
      <c r="BQ72" s="60">
        <f>SUMIFS('MtM Releases'!$M:$M,'MtM Releases'!$G:$G,RESULTADO!$BN72,'MtM Releases'!$F:$F,RESULTADO!$BN68,'MtM Releases'!$D:$D,RESULTADO!BQ$3)</f>
        <v>0</v>
      </c>
      <c r="BR72" s="60">
        <f>SUMIFS('MtM Releases'!$M:$M,'MtM Releases'!$G:$G,RESULTADO!$BN72,'MtM Releases'!$F:$F,RESULTADO!$BN68,'MtM Releases'!$D:$D,RESULTADO!BR$3)</f>
        <v>0</v>
      </c>
      <c r="BS72" s="60">
        <f>SUMIFS('MtM Releases'!$M:$M,'MtM Releases'!$G:$G,RESULTADO!$BN72,'MtM Releases'!$F:$F,RESULTADO!$BN68,'MtM Releases'!$D:$D,RESULTADO!BS$3)</f>
        <v>0</v>
      </c>
      <c r="BT72" s="60">
        <f>SUMIFS('MtM Releases'!$M:$M,'MtM Releases'!$G:$G,RESULTADO!$BN72,'MtM Releases'!$F:$F,RESULTADO!$BN68,'MtM Releases'!$D:$D,RESULTADO!BT$3)</f>
        <v>0</v>
      </c>
      <c r="BU72" s="60">
        <f>SUMIFS('MtM Releases'!$M:$M,'MtM Releases'!$G:$G,RESULTADO!$BN72,'MtM Releases'!$F:$F,RESULTADO!$BN68,'MtM Releases'!$D:$D,RESULTADO!BU$3)</f>
        <v>0</v>
      </c>
      <c r="BV72" s="60">
        <f>SUMIFS('MtM Releases'!$M:$M,'MtM Releases'!$G:$G,RESULTADO!$BN72,'MtM Releases'!$F:$F,RESULTADO!$BN68,'MtM Releases'!$D:$D,RESULTADO!BV$3)</f>
        <v>0</v>
      </c>
      <c r="BW72" s="60">
        <f>SUMIFS('MtM Releases'!$M:$M,'MtM Releases'!$G:$G,RESULTADO!$BN72,'MtM Releases'!$F:$F,RESULTADO!$BN68,'MtM Releases'!$D:$D,RESULTADO!BW$3)</f>
        <v>0</v>
      </c>
      <c r="BX72" s="60">
        <f>SUMIFS('MtM Releases'!$M:$M,'MtM Releases'!$G:$G,RESULTADO!$BN72,'MtM Releases'!$F:$F,RESULTADO!$BN68,'MtM Releases'!$D:$D,RESULTADO!BX$3)</f>
        <v>0</v>
      </c>
      <c r="BY72" s="60">
        <f>SUMIFS('MtM Releases'!$M:$M,'MtM Releases'!$G:$G,RESULTADO!$BN72,'MtM Releases'!$F:$F,RESULTADO!$BN68,'MtM Releases'!$D:$D,RESULTADO!BY$3)</f>
        <v>0</v>
      </c>
      <c r="BZ72" s="54">
        <f>SUMIFS('MtM Releases'!$M:$M,'MtM Releases'!$G:$G,RESULTADO!$BN72,'MtM Releases'!$F:$F,RESULTADO!$BN68,'MtM Releases'!$D:$D,RESULTADO!BZ$3)</f>
        <v>0</v>
      </c>
      <c r="CA72" s="60">
        <f>SUMIFS('MtM Releases'!$M:$M,'MtM Releases'!$G:$G,RESULTADO!$BN72,'MtM Releases'!$F:$F,RESULTADO!$BN68,'MtM Releases'!$D:$D,RESULTADO!CA$3)</f>
        <v>0</v>
      </c>
      <c r="CB72" s="60">
        <f>SUMIFS('MtM Releases'!$M:$M,'MtM Releases'!$G:$G,RESULTADO!$BN72,'MtM Releases'!$F:$F,RESULTADO!$BN68,'MtM Releases'!$D:$D,RESULTADO!CB$3)</f>
        <v>0</v>
      </c>
      <c r="CC72" s="60">
        <f>SUMIFS('MtM Releases'!$M:$M,'MtM Releases'!$G:$G,RESULTADO!$BN72,'MtM Releases'!$F:$F,RESULTADO!$BN68,'MtM Releases'!$D:$D,RESULTADO!CC$3)</f>
        <v>0</v>
      </c>
      <c r="CD72" s="60">
        <f>SUMIFS('MtM Releases'!$M:$M,'MtM Releases'!$G:$G,RESULTADO!$BN72,'MtM Releases'!$F:$F,RESULTADO!$BN68,'MtM Releases'!$D:$D,RESULTADO!CD$3)</f>
        <v>0</v>
      </c>
      <c r="CE72" s="60">
        <f>SUMIFS('MtM Releases'!$M:$M,'MtM Releases'!$G:$G,RESULTADO!$BN72,'MtM Releases'!$F:$F,RESULTADO!$BN68,'MtM Releases'!$D:$D,RESULTADO!CE$3)</f>
        <v>0</v>
      </c>
      <c r="CF72" s="60">
        <f>SUMIFS('MtM Releases'!$M:$M,'MtM Releases'!$G:$G,RESULTADO!$BN72,'MtM Releases'!$F:$F,RESULTADO!$BN68,'MtM Releases'!$D:$D,RESULTADO!CF$3)</f>
        <v>0</v>
      </c>
      <c r="CG72" s="60">
        <f>SUMIFS('MtM Releases'!$M:$M,'MtM Releases'!$G:$G,RESULTADO!$BN72,'MtM Releases'!$F:$F,RESULTADO!$BN68,'MtM Releases'!$D:$D,RESULTADO!CG$3)</f>
        <v>0</v>
      </c>
      <c r="CH72" s="60">
        <f>SUMIFS('MtM Releases'!$M:$M,'MtM Releases'!$G:$G,RESULTADO!$BN72,'MtM Releases'!$F:$F,RESULTADO!$BN68,'MtM Releases'!$D:$D,RESULTADO!CH$3)</f>
        <v>0</v>
      </c>
      <c r="CI72" s="60">
        <f>SUMIFS('MtM Releases'!$M:$M,'MtM Releases'!$G:$G,RESULTADO!$BN72,'MtM Releases'!$F:$F,RESULTADO!$BN68,'MtM Releases'!$D:$D,RESULTADO!CI$3)</f>
        <v>0</v>
      </c>
      <c r="CJ72" s="60">
        <f>SUMIFS('MtM Releases'!$M:$M,'MtM Releases'!$G:$G,RESULTADO!$BN72,'MtM Releases'!$F:$F,RESULTADO!$BN68,'MtM Releases'!$D:$D,RESULTADO!CJ$3)</f>
        <v>0</v>
      </c>
      <c r="CK72" s="60">
        <f>SUMIFS('MtM Releases'!$M:$M,'MtM Releases'!$G:$G,RESULTADO!$BN72,'MtM Releases'!$F:$F,RESULTADO!$BN68,'MtM Releases'!$D:$D,RESULTADO!CK$3)</f>
        <v>0</v>
      </c>
      <c r="CL72" s="63">
        <f>SUMIFS('MtM Releases'!$M:$M,'MtM Releases'!$G:$G,RESULTADO!$BN72,'MtM Releases'!$F:$F,RESULTADO!$BN68,'MtM Releases'!$D:$D,RESULTADO!CL$3)</f>
        <v>0</v>
      </c>
      <c r="CM72" s="60">
        <f>SUMIFS('MtM Releases'!$M:$M,'MtM Releases'!$G:$G,RESULTADO!$BN72,'MtM Releases'!$F:$F,RESULTADO!$BN68,'MtM Releases'!$D:$D,RESULTADO!CM$3)</f>
        <v>0</v>
      </c>
      <c r="CN72" s="60">
        <f>SUMIFS('MtM Releases'!$M:$M,'MtM Releases'!$G:$G,RESULTADO!$BN72,'MtM Releases'!$F:$F,RESULTADO!$BN68,'MtM Releases'!$D:$D,RESULTADO!CN$3)</f>
        <v>0</v>
      </c>
      <c r="CO72" s="60">
        <f>SUMIFS('MtM Releases'!$M:$M,'MtM Releases'!$G:$G,RESULTADO!$BN72,'MtM Releases'!$F:$F,RESULTADO!$BN68,'MtM Releases'!$D:$D,RESULTADO!CO$3)</f>
        <v>0</v>
      </c>
      <c r="CP72" s="60">
        <f>SUMIFS('MtM Releases'!$M:$M,'MtM Releases'!$G:$G,RESULTADO!$BN72,'MtM Releases'!$F:$F,RESULTADO!$BN68,'MtM Releases'!$D:$D,RESULTADO!CP$3)</f>
        <v>0</v>
      </c>
      <c r="CQ72" s="60">
        <f>SUMIFS('MtM Releases'!$M:$M,'MtM Releases'!$G:$G,RESULTADO!$BN72,'MtM Releases'!$F:$F,RESULTADO!$BN68,'MtM Releases'!$D:$D,RESULTADO!CQ$3)</f>
        <v>0</v>
      </c>
      <c r="CR72" s="60">
        <f>SUMIFS('MtM Releases'!$M:$M,'MtM Releases'!$G:$G,RESULTADO!$BN72,'MtM Releases'!$F:$F,RESULTADO!$BN68,'MtM Releases'!$D:$D,RESULTADO!CR$3)</f>
        <v>0</v>
      </c>
      <c r="CS72" s="60">
        <f>SUMIFS('MtM Releases'!$M:$M,'MtM Releases'!$G:$G,RESULTADO!$BN72,'MtM Releases'!$F:$F,RESULTADO!$BN68,'MtM Releases'!$D:$D,RESULTADO!CS$3)</f>
        <v>0</v>
      </c>
      <c r="CT72" s="60">
        <f>SUMIFS('MtM Releases'!$M:$M,'MtM Releases'!$G:$G,RESULTADO!$BN72,'MtM Releases'!$F:$F,RESULTADO!$BN68,'MtM Releases'!$D:$D,RESULTADO!CT$3)</f>
        <v>0</v>
      </c>
      <c r="CU72" s="60">
        <f>SUMIFS('MtM Releases'!$M:$M,'MtM Releases'!$G:$G,RESULTADO!$BN72,'MtM Releases'!$F:$F,RESULTADO!$BN68,'MtM Releases'!$D:$D,RESULTADO!CU$3)</f>
        <v>0</v>
      </c>
      <c r="CV72" s="60">
        <f>SUMIFS('MtM Releases'!$M:$M,'MtM Releases'!$G:$G,RESULTADO!$BN72,'MtM Releases'!$F:$F,RESULTADO!$BN68,'MtM Releases'!$D:$D,RESULTADO!CV$3)</f>
        <v>0</v>
      </c>
      <c r="CW72" s="60">
        <f>SUMIFS('MtM Releases'!$M:$M,'MtM Releases'!$G:$G,RESULTADO!$BN72,'MtM Releases'!$F:$F,RESULTADO!$BN68,'MtM Releases'!$D:$D,RESULTADO!CW$3)</f>
        <v>0</v>
      </c>
      <c r="CX72" s="54">
        <f>SUMIFS('MtM Releases'!$M:$M,'MtM Releases'!$G:$G,RESULTADO!$BN72,'MtM Releases'!$F:$F,RESULTADO!$BN68,'MtM Releases'!$D:$D,RESULTADO!CX$3)</f>
        <v>0</v>
      </c>
      <c r="CY72" s="60">
        <f>SUMIFS('MtM Releases'!$M:$M,'MtM Releases'!$G:$G,RESULTADO!$BN72,'MtM Releases'!$F:$F,RESULTADO!$BN68,'MtM Releases'!$D:$D,RESULTADO!CY$3)</f>
        <v>0</v>
      </c>
      <c r="CZ72" s="60">
        <f>SUMIFS('MtM Releases'!$M:$M,'MtM Releases'!$G:$G,RESULTADO!$BN72,'MtM Releases'!$F:$F,RESULTADO!$BN68,'MtM Releases'!$D:$D,RESULTADO!CZ$3)</f>
        <v>0</v>
      </c>
      <c r="DA72" s="60">
        <f>SUMIFS('MtM Releases'!$M:$M,'MtM Releases'!$G:$G,RESULTADO!$BN72,'MtM Releases'!$F:$F,RESULTADO!$BN68,'MtM Releases'!$D:$D,RESULTADO!DA$3)</f>
        <v>0</v>
      </c>
      <c r="DB72" s="60">
        <f>SUMIFS('MtM Releases'!$M:$M,'MtM Releases'!$G:$G,RESULTADO!$BN72,'MtM Releases'!$F:$F,RESULTADO!$BN68,'MtM Releases'!$D:$D,RESULTADO!DB$3)</f>
        <v>0</v>
      </c>
      <c r="DC72" s="60">
        <f>SUMIFS('MtM Releases'!$M:$M,'MtM Releases'!$G:$G,RESULTADO!$BN72,'MtM Releases'!$F:$F,RESULTADO!$BN68,'MtM Releases'!$D:$D,RESULTADO!DC$3)</f>
        <v>0</v>
      </c>
      <c r="DD72" s="60">
        <f>SUMIFS('MtM Releases'!$M:$M,'MtM Releases'!$G:$G,RESULTADO!$BN72,'MtM Releases'!$F:$F,RESULTADO!$BN68,'MtM Releases'!$D:$D,RESULTADO!DD$3)</f>
        <v>0</v>
      </c>
      <c r="DE72" s="60">
        <f>SUMIFS('MtM Releases'!$M:$M,'MtM Releases'!$G:$G,RESULTADO!$BN72,'MtM Releases'!$F:$F,RESULTADO!$BN68,'MtM Releases'!$D:$D,RESULTADO!DE$3)</f>
        <v>0</v>
      </c>
      <c r="DF72" s="60">
        <f>SUMIFS('MtM Releases'!$M:$M,'MtM Releases'!$G:$G,RESULTADO!$BN72,'MtM Releases'!$F:$F,RESULTADO!$BN68,'MtM Releases'!$D:$D,RESULTADO!DF$3)</f>
        <v>0</v>
      </c>
      <c r="DG72" s="60">
        <f>SUMIFS('MtM Releases'!$M:$M,'MtM Releases'!$G:$G,RESULTADO!$BN72,'MtM Releases'!$F:$F,RESULTADO!$BN68,'MtM Releases'!$D:$D,RESULTADO!DG$3)</f>
        <v>0</v>
      </c>
      <c r="DH72" s="60">
        <f>SUMIFS('MtM Releases'!$M:$M,'MtM Releases'!$G:$G,RESULTADO!$BN72,'MtM Releases'!$F:$F,RESULTADO!$BN68,'MtM Releases'!$D:$D,RESULTADO!DH$3)</f>
        <v>0</v>
      </c>
      <c r="DI72" s="60">
        <f>SUMIFS('MtM Releases'!$M:$M,'MtM Releases'!$G:$G,RESULTADO!$BN72,'MtM Releases'!$F:$F,RESULTADO!$BN68,'MtM Releases'!$D:$D,RESULTADO!DI$3)</f>
        <v>0</v>
      </c>
      <c r="DJ72" s="63">
        <f>SUMIFS('MtM Releases'!$M:$M,'MtM Releases'!$G:$G,RESULTADO!$BN72,'MtM Releases'!$F:$F,RESULTADO!$BN68,'MtM Releases'!$D:$D,RESULTADO!DJ$3)</f>
        <v>0</v>
      </c>
      <c r="DK72" s="60">
        <f>SUMIFS('MtM Releases'!$M:$M,'MtM Releases'!$G:$G,RESULTADO!$BN72,'MtM Releases'!$F:$F,RESULTADO!$BN68,'MtM Releases'!$D:$D,RESULTADO!DK$3)</f>
        <v>0</v>
      </c>
      <c r="DL72" s="60">
        <f>SUMIFS('MtM Releases'!$M:$M,'MtM Releases'!$G:$G,RESULTADO!$BN72,'MtM Releases'!$F:$F,RESULTADO!$BN68,'MtM Releases'!$D:$D,RESULTADO!DL$3)</f>
        <v>0</v>
      </c>
      <c r="DM72" s="60">
        <f>SUMIFS('MtM Releases'!$M:$M,'MtM Releases'!$G:$G,RESULTADO!$BN72,'MtM Releases'!$F:$F,RESULTADO!$BN68,'MtM Releases'!$D:$D,RESULTADO!DM$3)</f>
        <v>0</v>
      </c>
      <c r="DN72" s="60">
        <f>SUMIFS('MtM Releases'!$M:$M,'MtM Releases'!$G:$G,RESULTADO!$BN72,'MtM Releases'!$F:$F,RESULTADO!$BN68,'MtM Releases'!$D:$D,RESULTADO!DN$3)</f>
        <v>0</v>
      </c>
      <c r="DO72" s="60">
        <f>SUMIFS('MtM Releases'!$M:$M,'MtM Releases'!$G:$G,RESULTADO!$BN72,'MtM Releases'!$F:$F,RESULTADO!$BN68,'MtM Releases'!$D:$D,RESULTADO!DO$3)</f>
        <v>0</v>
      </c>
      <c r="DP72" s="60">
        <f>SUMIFS('MtM Releases'!$M:$M,'MtM Releases'!$G:$G,RESULTADO!$BN72,'MtM Releases'!$F:$F,RESULTADO!$BN68,'MtM Releases'!$D:$D,RESULTADO!DP$3)</f>
        <v>0</v>
      </c>
      <c r="DQ72" s="60">
        <f>SUMIFS('MtM Releases'!$M:$M,'MtM Releases'!$G:$G,RESULTADO!$BN72,'MtM Releases'!$F:$F,RESULTADO!$BN68,'MtM Releases'!$D:$D,RESULTADO!DQ$3)</f>
        <v>0</v>
      </c>
      <c r="DR72" s="60">
        <f>SUMIFS('MtM Releases'!$M:$M,'MtM Releases'!$G:$G,RESULTADO!$BN72,'MtM Releases'!$F:$F,RESULTADO!$BN68,'MtM Releases'!$D:$D,RESULTADO!DR$3)</f>
        <v>0</v>
      </c>
      <c r="DS72" s="60">
        <f>SUMIFS('MtM Releases'!$M:$M,'MtM Releases'!$G:$G,RESULTADO!$BN72,'MtM Releases'!$F:$F,RESULTADO!$BN68,'MtM Releases'!$D:$D,RESULTADO!DS$3)</f>
        <v>0</v>
      </c>
      <c r="DT72" s="60">
        <f>SUMIFS('MtM Releases'!$M:$M,'MtM Releases'!$G:$G,RESULTADO!$BN72,'MtM Releases'!$F:$F,RESULTADO!$BN68,'MtM Releases'!$D:$D,RESULTADO!DT$3)</f>
        <v>0</v>
      </c>
      <c r="DU72" s="60">
        <f>SUMIFS('MtM Releases'!$M:$M,'MtM Releases'!$G:$G,RESULTADO!$BN72,'MtM Releases'!$F:$F,RESULTADO!$BN68,'MtM Releases'!$D:$D,RESULTADO!DU$3)</f>
        <v>0</v>
      </c>
      <c r="DV72" s="63">
        <f>SUMIFS('MtM Releases'!$M:$M,'MtM Releases'!$G:$G,RESULTADO!$BN72,'MtM Releases'!$F:$F,RESULTADO!$BN68,'MtM Releases'!$D:$D,RESULTADO!DV$3)</f>
        <v>0</v>
      </c>
    </row>
    <row r="73" spans="2:126" x14ac:dyDescent="0.25">
      <c r="B73" s="61" t="s">
        <v>144</v>
      </c>
      <c r="C73" s="71">
        <f>SUM(C68,C63,C58,C53,C48,C43)</f>
        <v>7975607.418573983</v>
      </c>
      <c r="D73" s="71">
        <f t="shared" ref="D73:BJ73" si="55">SUM(D68,D63,D58,D53,D48,D43)</f>
        <v>12461919.575999726</v>
      </c>
      <c r="E73" s="71">
        <f t="shared" si="55"/>
        <v>22044631.050573982</v>
      </c>
      <c r="F73" s="71">
        <f t="shared" si="55"/>
        <v>11476255.854111057</v>
      </c>
      <c r="G73" s="71">
        <f t="shared" si="55"/>
        <v>11134364.73091476</v>
      </c>
      <c r="H73" s="71">
        <f t="shared" si="55"/>
        <v>4093244.8341110554</v>
      </c>
      <c r="I73" s="71">
        <f t="shared" si="55"/>
        <v>8899815.0597831123</v>
      </c>
      <c r="J73" s="71">
        <f t="shared" si="55"/>
        <v>13482965.171783119</v>
      </c>
      <c r="K73" s="71">
        <f t="shared" si="55"/>
        <v>16478713.342147274</v>
      </c>
      <c r="L73" s="71">
        <f t="shared" si="55"/>
        <v>25568074.37752232</v>
      </c>
      <c r="M73" s="71">
        <f t="shared" si="55"/>
        <v>28846525.302355271</v>
      </c>
      <c r="N73" s="72">
        <f t="shared" si="55"/>
        <v>20926835.83178312</v>
      </c>
      <c r="O73" s="71">
        <f t="shared" si="55"/>
        <v>5317340.1597422641</v>
      </c>
      <c r="P73" s="71">
        <f t="shared" si="55"/>
        <v>2547125.2448705081</v>
      </c>
      <c r="Q73" s="71">
        <f t="shared" si="55"/>
        <v>3789667.1118180426</v>
      </c>
      <c r="R73" s="71">
        <f t="shared" si="55"/>
        <v>-96520.817357658496</v>
      </c>
      <c r="S73" s="71">
        <f t="shared" si="55"/>
        <v>232717.66949293978</v>
      </c>
      <c r="T73" s="71">
        <f t="shared" si="55"/>
        <v>-794531.74968857353</v>
      </c>
      <c r="U73" s="71">
        <f t="shared" si="55"/>
        <v>601242.4339254509</v>
      </c>
      <c r="V73" s="71">
        <f t="shared" si="55"/>
        <v>122515.63392545111</v>
      </c>
      <c r="W73" s="71">
        <f t="shared" si="55"/>
        <v>488787.51670204953</v>
      </c>
      <c r="X73" s="71">
        <f t="shared" si="55"/>
        <v>560806.03392545122</v>
      </c>
      <c r="Y73" s="71">
        <f t="shared" si="55"/>
        <v>698523.51670204999</v>
      </c>
      <c r="Z73" s="73">
        <f t="shared" si="55"/>
        <v>-95169.129448998036</v>
      </c>
      <c r="AA73" s="71">
        <f t="shared" si="55"/>
        <v>1096548.4809219351</v>
      </c>
      <c r="AB73" s="71">
        <f t="shared" si="55"/>
        <v>1025803.417636649</v>
      </c>
      <c r="AC73" s="71">
        <f t="shared" si="55"/>
        <v>1096548.4809219351</v>
      </c>
      <c r="AD73" s="71">
        <f t="shared" si="55"/>
        <v>1061175.9492792923</v>
      </c>
      <c r="AE73" s="71">
        <f t="shared" si="55"/>
        <v>1096548.4809219351</v>
      </c>
      <c r="AF73" s="71">
        <f t="shared" si="55"/>
        <v>1061175.9492792923</v>
      </c>
      <c r="AG73" s="71">
        <f t="shared" si="55"/>
        <v>1096548.4809219351</v>
      </c>
      <c r="AH73" s="71">
        <f t="shared" si="55"/>
        <v>1096548.4809219351</v>
      </c>
      <c r="AI73" s="71">
        <f t="shared" si="55"/>
        <v>1061175.9492792923</v>
      </c>
      <c r="AJ73" s="71">
        <f t="shared" si="55"/>
        <v>1096548.4809219351</v>
      </c>
      <c r="AK73" s="71">
        <f t="shared" si="55"/>
        <v>1061175.9492792923</v>
      </c>
      <c r="AL73" s="72">
        <f t="shared" si="55"/>
        <v>1096548.4809219351</v>
      </c>
      <c r="AM73" s="71">
        <f t="shared" si="55"/>
        <v>484967.68422859581</v>
      </c>
      <c r="AN73" s="71">
        <f t="shared" si="55"/>
        <v>438035.3276903443</v>
      </c>
      <c r="AO73" s="71">
        <f t="shared" si="55"/>
        <v>484967.68422859581</v>
      </c>
      <c r="AP73" s="71">
        <f t="shared" si="55"/>
        <v>469323.56538251182</v>
      </c>
      <c r="AQ73" s="71">
        <f t="shared" si="55"/>
        <v>484967.68422859581</v>
      </c>
      <c r="AR73" s="71">
        <f t="shared" si="55"/>
        <v>469323.56538251182</v>
      </c>
      <c r="AS73" s="71">
        <f t="shared" si="55"/>
        <v>484967.68422859581</v>
      </c>
      <c r="AT73" s="71">
        <f t="shared" si="55"/>
        <v>484967.68422859581</v>
      </c>
      <c r="AU73" s="71">
        <f t="shared" si="55"/>
        <v>469323.56538251182</v>
      </c>
      <c r="AV73" s="71">
        <f t="shared" si="55"/>
        <v>484967.68422859581</v>
      </c>
      <c r="AW73" s="71">
        <f t="shared" si="55"/>
        <v>469323.56538251182</v>
      </c>
      <c r="AX73" s="73">
        <f t="shared" si="55"/>
        <v>484967.68422859581</v>
      </c>
      <c r="AY73" s="71">
        <f t="shared" si="55"/>
        <v>0</v>
      </c>
      <c r="AZ73" s="71">
        <f t="shared" si="55"/>
        <v>0</v>
      </c>
      <c r="BA73" s="71">
        <f t="shared" si="55"/>
        <v>0</v>
      </c>
      <c r="BB73" s="71">
        <f t="shared" si="55"/>
        <v>0</v>
      </c>
      <c r="BC73" s="71">
        <f t="shared" si="55"/>
        <v>0</v>
      </c>
      <c r="BD73" s="71">
        <f t="shared" si="55"/>
        <v>0</v>
      </c>
      <c r="BE73" s="71">
        <f t="shared" si="55"/>
        <v>0</v>
      </c>
      <c r="BF73" s="71">
        <f t="shared" si="55"/>
        <v>0</v>
      </c>
      <c r="BG73" s="71">
        <f t="shared" si="55"/>
        <v>0</v>
      </c>
      <c r="BH73" s="71">
        <f t="shared" si="55"/>
        <v>0</v>
      </c>
      <c r="BI73" s="71">
        <f t="shared" si="55"/>
        <v>0</v>
      </c>
      <c r="BJ73" s="73">
        <f t="shared" si="55"/>
        <v>0</v>
      </c>
      <c r="BL73" s="120"/>
      <c r="BN73" s="61" t="s">
        <v>144</v>
      </c>
      <c r="BO73" s="71">
        <f>SUM(BO68,BO63,BO58,BO53,BO48,BO43)</f>
        <v>-8625731.9383373521</v>
      </c>
      <c r="BP73" s="71">
        <f t="shared" ref="BP73:DV73" si="56">SUM(BP68,BP63,BP58,BP53,BP48,BP43)</f>
        <v>-13181321.636160189</v>
      </c>
      <c r="BQ73" s="71">
        <f t="shared" si="56"/>
        <v>-22844832.497537352</v>
      </c>
      <c r="BR73" s="71">
        <f t="shared" si="56"/>
        <v>-11849583.616971631</v>
      </c>
      <c r="BS73" s="71">
        <f t="shared" si="56"/>
        <v>-11582781.737537352</v>
      </c>
      <c r="BT73" s="71">
        <f t="shared" si="56"/>
        <v>-4802437.9809716307</v>
      </c>
      <c r="BU73" s="71">
        <f t="shared" si="56"/>
        <v>-8922575.8280057088</v>
      </c>
      <c r="BV73" s="71">
        <f t="shared" si="56"/>
        <v>-13891253.79440571</v>
      </c>
      <c r="BW73" s="71">
        <f t="shared" si="56"/>
        <v>-16290714.180675048</v>
      </c>
      <c r="BX73" s="71">
        <f t="shared" si="56"/>
        <v>-24511095.008893713</v>
      </c>
      <c r="BY73" s="71">
        <f t="shared" si="56"/>
        <v>-27673602.665215846</v>
      </c>
      <c r="BZ73" s="72">
        <f t="shared" si="56"/>
        <v>-21374955.238405708</v>
      </c>
      <c r="CA73" s="71">
        <f t="shared" si="56"/>
        <v>-4962035.5636679856</v>
      </c>
      <c r="CB73" s="71">
        <f t="shared" si="56"/>
        <v>-2692503.1968442025</v>
      </c>
      <c r="CC73" s="71">
        <f t="shared" si="56"/>
        <v>-3964856.4729441772</v>
      </c>
      <c r="CD73" s="71">
        <f t="shared" si="56"/>
        <v>686950.92029079492</v>
      </c>
      <c r="CE73" s="71">
        <f t="shared" si="56"/>
        <v>764682.08430048835</v>
      </c>
      <c r="CF73" s="71">
        <f t="shared" si="56"/>
        <v>1073713.0657681031</v>
      </c>
      <c r="CG73" s="71">
        <f t="shared" si="56"/>
        <v>413025.86965283169</v>
      </c>
      <c r="CH73" s="71">
        <f t="shared" si="56"/>
        <v>795590.66965283162</v>
      </c>
      <c r="CI73" s="71">
        <f t="shared" si="56"/>
        <v>399702.45450274018</v>
      </c>
      <c r="CJ73" s="71">
        <f t="shared" si="56"/>
        <v>19580.069652831517</v>
      </c>
      <c r="CK73" s="71">
        <f t="shared" si="56"/>
        <v>-136859.54549726014</v>
      </c>
      <c r="CL73" s="73">
        <f t="shared" si="56"/>
        <v>675555.23302728054</v>
      </c>
      <c r="CM73" s="71">
        <f t="shared" si="56"/>
        <v>-346623.55105160759</v>
      </c>
      <c r="CN73" s="71">
        <f t="shared" si="56"/>
        <v>-324260.74130634253</v>
      </c>
      <c r="CO73" s="71">
        <f t="shared" si="56"/>
        <v>-346623.55105160759</v>
      </c>
      <c r="CP73" s="71">
        <f t="shared" si="56"/>
        <v>-335442.146178975</v>
      </c>
      <c r="CQ73" s="71">
        <f t="shared" si="56"/>
        <v>-346623.55105160759</v>
      </c>
      <c r="CR73" s="71">
        <f t="shared" si="56"/>
        <v>-335442.146178975</v>
      </c>
      <c r="CS73" s="71">
        <f t="shared" si="56"/>
        <v>-346623.55105160759</v>
      </c>
      <c r="CT73" s="71">
        <f t="shared" si="56"/>
        <v>-346623.55105160759</v>
      </c>
      <c r="CU73" s="71">
        <f t="shared" si="56"/>
        <v>-335442.146178975</v>
      </c>
      <c r="CV73" s="71">
        <f t="shared" si="56"/>
        <v>-346623.55105160759</v>
      </c>
      <c r="CW73" s="71">
        <f t="shared" si="56"/>
        <v>-335442.146178975</v>
      </c>
      <c r="CX73" s="72">
        <f t="shared" si="56"/>
        <v>-346623.55105160759</v>
      </c>
      <c r="CY73" s="71">
        <f t="shared" si="56"/>
        <v>-484967.68422859581</v>
      </c>
      <c r="CZ73" s="71">
        <f t="shared" si="56"/>
        <v>-438035.3276903443</v>
      </c>
      <c r="DA73" s="71">
        <f t="shared" si="56"/>
        <v>-484967.68422859581</v>
      </c>
      <c r="DB73" s="71">
        <f t="shared" si="56"/>
        <v>-469323.56538251182</v>
      </c>
      <c r="DC73" s="71">
        <f t="shared" si="56"/>
        <v>-484967.68422859581</v>
      </c>
      <c r="DD73" s="71">
        <f t="shared" si="56"/>
        <v>-469323.56538251182</v>
      </c>
      <c r="DE73" s="71">
        <f t="shared" si="56"/>
        <v>-484967.68422859581</v>
      </c>
      <c r="DF73" s="71">
        <f t="shared" si="56"/>
        <v>-484967.68422859581</v>
      </c>
      <c r="DG73" s="71">
        <f t="shared" si="56"/>
        <v>-469323.56538251182</v>
      </c>
      <c r="DH73" s="71">
        <f t="shared" si="56"/>
        <v>-484967.68422859581</v>
      </c>
      <c r="DI73" s="71">
        <f t="shared" si="56"/>
        <v>-469323.56538251182</v>
      </c>
      <c r="DJ73" s="73">
        <f t="shared" si="56"/>
        <v>-484967.68422859581</v>
      </c>
      <c r="DK73" s="71">
        <f t="shared" si="56"/>
        <v>0</v>
      </c>
      <c r="DL73" s="71">
        <f t="shared" si="56"/>
        <v>0</v>
      </c>
      <c r="DM73" s="71">
        <f t="shared" si="56"/>
        <v>0</v>
      </c>
      <c r="DN73" s="71">
        <f t="shared" si="56"/>
        <v>0</v>
      </c>
      <c r="DO73" s="71">
        <f t="shared" si="56"/>
        <v>0</v>
      </c>
      <c r="DP73" s="71">
        <f t="shared" si="56"/>
        <v>0</v>
      </c>
      <c r="DQ73" s="71">
        <f t="shared" si="56"/>
        <v>0</v>
      </c>
      <c r="DR73" s="71">
        <f t="shared" si="56"/>
        <v>0</v>
      </c>
      <c r="DS73" s="71">
        <f t="shared" si="56"/>
        <v>0</v>
      </c>
      <c r="DT73" s="71">
        <f t="shared" si="56"/>
        <v>0</v>
      </c>
      <c r="DU73" s="71">
        <f t="shared" si="56"/>
        <v>0</v>
      </c>
      <c r="DV73" s="73">
        <f t="shared" si="56"/>
        <v>0</v>
      </c>
    </row>
    <row r="74" spans="2:126" x14ac:dyDescent="0.25">
      <c r="B74" s="61" t="s">
        <v>154</v>
      </c>
      <c r="C74" s="71">
        <f>SUMIFS(MtM!$V:$V,MtM!$E:$E,RESULTADO!C42)</f>
        <v>7975607.4185739877</v>
      </c>
      <c r="D74" s="71">
        <f>SUMIFS(MtM!$V:$V,MtM!$E:$E,RESULTADO!D42)</f>
        <v>12461919.575999727</v>
      </c>
      <c r="E74" s="71">
        <f>SUMIFS(MtM!$V:$V,MtM!$E:$E,RESULTADO!E42)</f>
        <v>22044631.050573979</v>
      </c>
      <c r="F74" s="71">
        <f>SUMIFS(MtM!$V:$V,MtM!$E:$E,RESULTADO!F42)</f>
        <v>11476255.854111059</v>
      </c>
      <c r="G74" s="71">
        <f>SUMIFS(MtM!$V:$V,MtM!$E:$E,RESULTADO!G42)</f>
        <v>11134364.730914755</v>
      </c>
      <c r="H74" s="71">
        <f>SUMIFS(MtM!$V:$V,MtM!$E:$E,RESULTADO!H42)</f>
        <v>4093244.8341110605</v>
      </c>
      <c r="I74" s="71">
        <f>SUMIFS(MtM!$V:$V,MtM!$E:$E,RESULTADO!I42)</f>
        <v>8899815.0597831272</v>
      </c>
      <c r="J74" s="71">
        <f>SUMIFS(MtM!$V:$V,MtM!$E:$E,RESULTADO!J42)</f>
        <v>13482965.171783114</v>
      </c>
      <c r="K74" s="71">
        <f>SUMIFS(MtM!$V:$V,MtM!$E:$E,RESULTADO!K42)</f>
        <v>16478713.342147268</v>
      </c>
      <c r="L74" s="71">
        <f>SUMIFS(MtM!$V:$V,MtM!$E:$E,RESULTADO!L42)</f>
        <v>25568074.37752232</v>
      </c>
      <c r="M74" s="71">
        <f>SUMIFS(MtM!$V:$V,MtM!$E:$E,RESULTADO!M42)</f>
        <v>28846525.302355271</v>
      </c>
      <c r="N74" s="72">
        <f>SUMIFS(MtM!$V:$V,MtM!$E:$E,RESULTADO!N42)</f>
        <v>20926835.831783112</v>
      </c>
      <c r="O74" s="71">
        <f>SUMIFS(MtM!$V:$V,MtM!$E:$E,RESULTADO!O42)</f>
        <v>5317340.1597422641</v>
      </c>
      <c r="P74" s="71">
        <f>SUMIFS(MtM!$V:$V,MtM!$E:$E,RESULTADO!P42)</f>
        <v>2547125.2448705076</v>
      </c>
      <c r="Q74" s="71">
        <f>SUMIFS(MtM!$V:$V,MtM!$E:$E,RESULTADO!Q42)</f>
        <v>3789667.1118180421</v>
      </c>
      <c r="R74" s="71">
        <f>SUMIFS(MtM!$V:$V,MtM!$E:$E,RESULTADO!R42)</f>
        <v>-96520.817357658816</v>
      </c>
      <c r="S74" s="71">
        <f>SUMIFS(MtM!$V:$V,MtM!$E:$E,RESULTADO!S42)</f>
        <v>232717.66949293972</v>
      </c>
      <c r="T74" s="71">
        <f>SUMIFS(MtM!$V:$V,MtM!$E:$E,RESULTADO!T42)</f>
        <v>-794531.74968857341</v>
      </c>
      <c r="U74" s="71">
        <f>SUMIFS(MtM!$V:$V,MtM!$E:$E,RESULTADO!U42)</f>
        <v>601242.43392545125</v>
      </c>
      <c r="V74" s="71">
        <f>SUMIFS(MtM!$V:$V,MtM!$E:$E,RESULTADO!V42)</f>
        <v>122515.63392545134</v>
      </c>
      <c r="W74" s="71">
        <f>SUMIFS(MtM!$V:$V,MtM!$E:$E,RESULTADO!W42)</f>
        <v>488787.51670204964</v>
      </c>
      <c r="X74" s="71">
        <f>SUMIFS(MtM!$V:$V,MtM!$E:$E,RESULTADO!X42)</f>
        <v>560806.03392545134</v>
      </c>
      <c r="Y74" s="71">
        <f>SUMIFS(MtM!$V:$V,MtM!$E:$E,RESULTADO!Y42)</f>
        <v>698523.51670204988</v>
      </c>
      <c r="Z74" s="73">
        <f>SUMIFS(MtM!$V:$V,MtM!$E:$E,RESULTADO!Z42)</f>
        <v>-95169.129448997672</v>
      </c>
      <c r="AA74" s="71">
        <f>SUMIFS(MtM!$V:$V,MtM!$E:$E,RESULTADO!AA42)</f>
        <v>1096548.4809219351</v>
      </c>
      <c r="AB74" s="71">
        <f>SUMIFS(MtM!$V:$V,MtM!$E:$E,RESULTADO!AB42)</f>
        <v>1025803.4176366491</v>
      </c>
      <c r="AC74" s="71">
        <f>SUMIFS(MtM!$V:$V,MtM!$E:$E,RESULTADO!AC42)</f>
        <v>1096548.4809219351</v>
      </c>
      <c r="AD74" s="71">
        <f>SUMIFS(MtM!$V:$V,MtM!$E:$E,RESULTADO!AD42)</f>
        <v>1061175.9492792923</v>
      </c>
      <c r="AE74" s="71">
        <f>SUMIFS(MtM!$V:$V,MtM!$E:$E,RESULTADO!AE42)</f>
        <v>1096548.4809219351</v>
      </c>
      <c r="AF74" s="71">
        <f>SUMIFS(MtM!$V:$V,MtM!$E:$E,RESULTADO!AF42)</f>
        <v>1061175.9492792923</v>
      </c>
      <c r="AG74" s="71">
        <f>SUMIFS(MtM!$V:$V,MtM!$E:$E,RESULTADO!AG42)</f>
        <v>1096548.4809219351</v>
      </c>
      <c r="AH74" s="71">
        <f>SUMIFS(MtM!$V:$V,MtM!$E:$E,RESULTADO!AH42)</f>
        <v>1096548.4809219351</v>
      </c>
      <c r="AI74" s="71">
        <f>SUMIFS(MtM!$V:$V,MtM!$E:$E,RESULTADO!AI42)</f>
        <v>1061175.9492792923</v>
      </c>
      <c r="AJ74" s="71">
        <f>SUMIFS(MtM!$V:$V,MtM!$E:$E,RESULTADO!AJ42)</f>
        <v>1096548.4809219351</v>
      </c>
      <c r="AK74" s="71">
        <f>SUMIFS(MtM!$V:$V,MtM!$E:$E,RESULTADO!AK42)</f>
        <v>1061175.9492792923</v>
      </c>
      <c r="AL74" s="72">
        <f>SUMIFS(MtM!$V:$V,MtM!$E:$E,RESULTADO!AL42)</f>
        <v>1096548.4809219351</v>
      </c>
      <c r="AM74" s="71">
        <f>SUMIFS(MtM!$V:$V,MtM!$E:$E,RESULTADO!AM42)</f>
        <v>484967.68422859581</v>
      </c>
      <c r="AN74" s="71">
        <f>SUMIFS(MtM!$V:$V,MtM!$E:$E,RESULTADO!AN42)</f>
        <v>438035.3276903443</v>
      </c>
      <c r="AO74" s="71">
        <f>SUMIFS(MtM!$V:$V,MtM!$E:$E,RESULTADO!AO42)</f>
        <v>484967.68422859581</v>
      </c>
      <c r="AP74" s="71">
        <f>SUMIFS(MtM!$V:$V,MtM!$E:$E,RESULTADO!AP42)</f>
        <v>469323.56538251182</v>
      </c>
      <c r="AQ74" s="71">
        <f>SUMIFS(MtM!$V:$V,MtM!$E:$E,RESULTADO!AQ42)</f>
        <v>484967.68422859581</v>
      </c>
      <c r="AR74" s="71">
        <f>SUMIFS(MtM!$V:$V,MtM!$E:$E,RESULTADO!AR42)</f>
        <v>469323.56538251182</v>
      </c>
      <c r="AS74" s="71">
        <f>SUMIFS(MtM!$V:$V,MtM!$E:$E,RESULTADO!AS42)</f>
        <v>484967.68422859581</v>
      </c>
      <c r="AT74" s="71">
        <f>SUMIFS(MtM!$V:$V,MtM!$E:$E,RESULTADO!AT42)</f>
        <v>484967.68422859581</v>
      </c>
      <c r="AU74" s="71">
        <f>SUMIFS(MtM!$V:$V,MtM!$E:$E,RESULTADO!AU42)</f>
        <v>469323.56538251182</v>
      </c>
      <c r="AV74" s="71">
        <f>SUMIFS(MtM!$V:$V,MtM!$E:$E,RESULTADO!AV42)</f>
        <v>484967.68422859581</v>
      </c>
      <c r="AW74" s="71">
        <f>SUMIFS(MtM!$V:$V,MtM!$E:$E,RESULTADO!AW42)</f>
        <v>469323.56538251182</v>
      </c>
      <c r="AX74" s="73">
        <f>SUMIFS(MtM!$V:$V,MtM!$E:$E,RESULTADO!AX42)</f>
        <v>484967.68422859581</v>
      </c>
      <c r="AY74" s="71">
        <f>SUMIFS(MtM!$V:$V,MtM!$E:$E,RESULTADO!AY42)</f>
        <v>0</v>
      </c>
      <c r="AZ74" s="71">
        <f>SUMIFS(MtM!$V:$V,MtM!$E:$E,RESULTADO!AZ42)</f>
        <v>0</v>
      </c>
      <c r="BA74" s="71">
        <f>SUMIFS(MtM!$V:$V,MtM!$E:$E,RESULTADO!BA42)</f>
        <v>0</v>
      </c>
      <c r="BB74" s="71">
        <f>SUMIFS(MtM!$V:$V,MtM!$E:$E,RESULTADO!BB42)</f>
        <v>0</v>
      </c>
      <c r="BC74" s="71">
        <f>SUMIFS(MtM!$V:$V,MtM!$E:$E,RESULTADO!BC42)</f>
        <v>0</v>
      </c>
      <c r="BD74" s="71">
        <f>SUMIFS(MtM!$V:$V,MtM!$E:$E,RESULTADO!BD42)</f>
        <v>0</v>
      </c>
      <c r="BE74" s="71">
        <f>SUMIFS(MtM!$V:$V,MtM!$E:$E,RESULTADO!BE42)</f>
        <v>0</v>
      </c>
      <c r="BF74" s="71">
        <f>SUMIFS(MtM!$V:$V,MtM!$E:$E,RESULTADO!BF42)</f>
        <v>0</v>
      </c>
      <c r="BG74" s="71">
        <f>SUMIFS(MtM!$V:$V,MtM!$E:$E,RESULTADO!BG42)</f>
        <v>0</v>
      </c>
      <c r="BH74" s="71">
        <f>SUMIFS(MtM!$V:$V,MtM!$E:$E,RESULTADO!BH42)</f>
        <v>0</v>
      </c>
      <c r="BI74" s="71">
        <f>SUMIFS(MtM!$V:$V,MtM!$E:$E,RESULTADO!BI42)</f>
        <v>0</v>
      </c>
      <c r="BJ74" s="73">
        <f>SUMIFS(MtM!$V:$V,MtM!$E:$E,RESULTADO!BJ42)</f>
        <v>0</v>
      </c>
      <c r="BL74" s="120"/>
      <c r="BN74" s="61" t="s">
        <v>154</v>
      </c>
      <c r="BO74" s="71">
        <f>SUMIFS('MtM Releases'!$M:$M,'MtM Releases'!$D:$D,RESULTADO!BO42)</f>
        <v>-8625731.9383373521</v>
      </c>
      <c r="BP74" s="71">
        <f>SUMIFS('MtM Releases'!$M:$M,'MtM Releases'!$D:$D,RESULTADO!BP42)</f>
        <v>-13181321.636160184</v>
      </c>
      <c r="BQ74" s="71">
        <f>SUMIFS('MtM Releases'!$M:$M,'MtM Releases'!$D:$D,RESULTADO!BQ42)</f>
        <v>-22844832.497537345</v>
      </c>
      <c r="BR74" s="71">
        <f>SUMIFS('MtM Releases'!$M:$M,'MtM Releases'!$D:$D,RESULTADO!BR42)</f>
        <v>-11849583.616971631</v>
      </c>
      <c r="BS74" s="71">
        <f>SUMIFS('MtM Releases'!$M:$M,'MtM Releases'!$D:$D,RESULTADO!BS42)</f>
        <v>-11582781.737537349</v>
      </c>
      <c r="BT74" s="71">
        <f>SUMIFS('MtM Releases'!$M:$M,'MtM Releases'!$D:$D,RESULTADO!BT42)</f>
        <v>-4802437.9809716307</v>
      </c>
      <c r="BU74" s="71">
        <f>SUMIFS('MtM Releases'!$M:$M,'MtM Releases'!$D:$D,RESULTADO!BU42)</f>
        <v>-8922575.8280057274</v>
      </c>
      <c r="BV74" s="71">
        <f>SUMIFS('MtM Releases'!$M:$M,'MtM Releases'!$D:$D,RESULTADO!BV42)</f>
        <v>-13891253.794405703</v>
      </c>
      <c r="BW74" s="71">
        <f>SUMIFS('MtM Releases'!$M:$M,'MtM Releases'!$D:$D,RESULTADO!BW42)</f>
        <v>-16290714.180675037</v>
      </c>
      <c r="BX74" s="71">
        <f>SUMIFS('MtM Releases'!$M:$M,'MtM Releases'!$D:$D,RESULTADO!BX42)</f>
        <v>-24511095.008893702</v>
      </c>
      <c r="BY74" s="71">
        <f>SUMIFS('MtM Releases'!$M:$M,'MtM Releases'!$D:$D,RESULTADO!BY42)</f>
        <v>-27673602.665215846</v>
      </c>
      <c r="BZ74" s="72">
        <f>SUMIFS('MtM Releases'!$M:$M,'MtM Releases'!$D:$D,RESULTADO!BZ42)</f>
        <v>-21374955.238405712</v>
      </c>
      <c r="CA74" s="71">
        <f>SUMIFS('MtM Releases'!$M:$M,'MtM Releases'!$D:$D,RESULTADO!CA42)</f>
        <v>-4962035.5636679856</v>
      </c>
      <c r="CB74" s="71">
        <f>SUMIFS('MtM Releases'!$M:$M,'MtM Releases'!$D:$D,RESULTADO!CB42)</f>
        <v>-2692503.1968442029</v>
      </c>
      <c r="CC74" s="71">
        <f>SUMIFS('MtM Releases'!$M:$M,'MtM Releases'!$D:$D,RESULTADO!CC42)</f>
        <v>-3964856.4729441768</v>
      </c>
      <c r="CD74" s="71">
        <f>SUMIFS('MtM Releases'!$M:$M,'MtM Releases'!$D:$D,RESULTADO!CD42)</f>
        <v>686950.92029079515</v>
      </c>
      <c r="CE74" s="71">
        <f>SUMIFS('MtM Releases'!$M:$M,'MtM Releases'!$D:$D,RESULTADO!CE42)</f>
        <v>764682.08430048847</v>
      </c>
      <c r="CF74" s="71">
        <f>SUMIFS('MtM Releases'!$M:$M,'MtM Releases'!$D:$D,RESULTADO!CF42)</f>
        <v>1073713.0657681031</v>
      </c>
      <c r="CG74" s="71">
        <f>SUMIFS('MtM Releases'!$M:$M,'MtM Releases'!$D:$D,RESULTADO!CG42)</f>
        <v>413025.86965283164</v>
      </c>
      <c r="CH74" s="71">
        <f>SUMIFS('MtM Releases'!$M:$M,'MtM Releases'!$D:$D,RESULTADO!CH42)</f>
        <v>795590.66965283151</v>
      </c>
      <c r="CI74" s="71">
        <f>SUMIFS('MtM Releases'!$M:$M,'MtM Releases'!$D:$D,RESULTADO!CI42)</f>
        <v>399702.45450274018</v>
      </c>
      <c r="CJ74" s="71">
        <f>SUMIFS('MtM Releases'!$M:$M,'MtM Releases'!$D:$D,RESULTADO!CJ42)</f>
        <v>19580.069652831618</v>
      </c>
      <c r="CK74" s="71">
        <f>SUMIFS('MtM Releases'!$M:$M,'MtM Releases'!$D:$D,RESULTADO!CK42)</f>
        <v>-136859.54549726006</v>
      </c>
      <c r="CL74" s="73">
        <f>SUMIFS('MtM Releases'!$M:$M,'MtM Releases'!$D:$D,RESULTADO!CL42)</f>
        <v>675555.23302728089</v>
      </c>
      <c r="CM74" s="71">
        <f>SUMIFS('MtM Releases'!$M:$M,'MtM Releases'!$D:$D,RESULTADO!CM42)</f>
        <v>-346623.55105160759</v>
      </c>
      <c r="CN74" s="71">
        <f>SUMIFS('MtM Releases'!$M:$M,'MtM Releases'!$D:$D,RESULTADO!CN42)</f>
        <v>-324260.74130634253</v>
      </c>
      <c r="CO74" s="71">
        <f>SUMIFS('MtM Releases'!$M:$M,'MtM Releases'!$D:$D,RESULTADO!CO42)</f>
        <v>-346623.55105160759</v>
      </c>
      <c r="CP74" s="71">
        <f>SUMIFS('MtM Releases'!$M:$M,'MtM Releases'!$D:$D,RESULTADO!CP42)</f>
        <v>-335442.146178975</v>
      </c>
      <c r="CQ74" s="71">
        <f>SUMIFS('MtM Releases'!$M:$M,'MtM Releases'!$D:$D,RESULTADO!CQ42)</f>
        <v>-346623.55105160759</v>
      </c>
      <c r="CR74" s="71">
        <f>SUMIFS('MtM Releases'!$M:$M,'MtM Releases'!$D:$D,RESULTADO!CR42)</f>
        <v>-335442.146178975</v>
      </c>
      <c r="CS74" s="71">
        <f>SUMIFS('MtM Releases'!$M:$M,'MtM Releases'!$D:$D,RESULTADO!CS42)</f>
        <v>-346623.55105160759</v>
      </c>
      <c r="CT74" s="71">
        <f>SUMIFS('MtM Releases'!$M:$M,'MtM Releases'!$D:$D,RESULTADO!CT42)</f>
        <v>-346623.55105160759</v>
      </c>
      <c r="CU74" s="71">
        <f>SUMIFS('MtM Releases'!$M:$M,'MtM Releases'!$D:$D,RESULTADO!CU42)</f>
        <v>-335442.146178975</v>
      </c>
      <c r="CV74" s="71">
        <f>SUMIFS('MtM Releases'!$M:$M,'MtM Releases'!$D:$D,RESULTADO!CV42)</f>
        <v>-346623.55105160759</v>
      </c>
      <c r="CW74" s="71">
        <f>SUMIFS('MtM Releases'!$M:$M,'MtM Releases'!$D:$D,RESULTADO!CW42)</f>
        <v>-335442.146178975</v>
      </c>
      <c r="CX74" s="72">
        <f>SUMIFS('MtM Releases'!$M:$M,'MtM Releases'!$D:$D,RESULTADO!CX42)</f>
        <v>-346623.55105160759</v>
      </c>
      <c r="CY74" s="71">
        <f>SUMIFS('MtM Releases'!$M:$M,'MtM Releases'!$D:$D,RESULTADO!CY42)</f>
        <v>-484967.68422859581</v>
      </c>
      <c r="CZ74" s="71">
        <f>SUMIFS('MtM Releases'!$M:$M,'MtM Releases'!$D:$D,RESULTADO!CZ42)</f>
        <v>-438035.3276903443</v>
      </c>
      <c r="DA74" s="71">
        <f>SUMIFS('MtM Releases'!$M:$M,'MtM Releases'!$D:$D,RESULTADO!DA42)</f>
        <v>-484967.68422859581</v>
      </c>
      <c r="DB74" s="71">
        <f>SUMIFS('MtM Releases'!$M:$M,'MtM Releases'!$D:$D,RESULTADO!DB42)</f>
        <v>-469323.56538251182</v>
      </c>
      <c r="DC74" s="71">
        <f>SUMIFS('MtM Releases'!$M:$M,'MtM Releases'!$D:$D,RESULTADO!DC42)</f>
        <v>-484967.68422859581</v>
      </c>
      <c r="DD74" s="71">
        <f>SUMIFS('MtM Releases'!$M:$M,'MtM Releases'!$D:$D,RESULTADO!DD42)</f>
        <v>-469323.56538251182</v>
      </c>
      <c r="DE74" s="71">
        <f>SUMIFS('MtM Releases'!$M:$M,'MtM Releases'!$D:$D,RESULTADO!DE42)</f>
        <v>-484967.68422859581</v>
      </c>
      <c r="DF74" s="71">
        <f>SUMIFS('MtM Releases'!$M:$M,'MtM Releases'!$D:$D,RESULTADO!DF42)</f>
        <v>-484967.68422859581</v>
      </c>
      <c r="DG74" s="71">
        <f>SUMIFS('MtM Releases'!$M:$M,'MtM Releases'!$D:$D,RESULTADO!DG42)</f>
        <v>-469323.56538251182</v>
      </c>
      <c r="DH74" s="71">
        <f>SUMIFS('MtM Releases'!$M:$M,'MtM Releases'!$D:$D,RESULTADO!DH42)</f>
        <v>-484967.68422859581</v>
      </c>
      <c r="DI74" s="71">
        <f>SUMIFS('MtM Releases'!$M:$M,'MtM Releases'!$D:$D,RESULTADO!DI42)</f>
        <v>-469323.56538251182</v>
      </c>
      <c r="DJ74" s="73">
        <f>SUMIFS('MtM Releases'!$M:$M,'MtM Releases'!$D:$D,RESULTADO!DJ42)</f>
        <v>-484967.68422859581</v>
      </c>
      <c r="DK74" s="71">
        <f>SUMIFS('MtM Releases'!$M:$M,'MtM Releases'!$D:$D,RESULTADO!DK42)</f>
        <v>0</v>
      </c>
      <c r="DL74" s="71">
        <f>SUMIFS('MtM Releases'!$M:$M,'MtM Releases'!$D:$D,RESULTADO!DL42)</f>
        <v>0</v>
      </c>
      <c r="DM74" s="71">
        <f>SUMIFS('MtM Releases'!$M:$M,'MtM Releases'!$D:$D,RESULTADO!DM42)</f>
        <v>0</v>
      </c>
      <c r="DN74" s="71">
        <f>SUMIFS('MtM Releases'!$M:$M,'MtM Releases'!$D:$D,RESULTADO!DN42)</f>
        <v>0</v>
      </c>
      <c r="DO74" s="71">
        <f>SUMIFS('MtM Releases'!$M:$M,'MtM Releases'!$D:$D,RESULTADO!DO42)</f>
        <v>0</v>
      </c>
      <c r="DP74" s="71">
        <f>SUMIFS('MtM Releases'!$M:$M,'MtM Releases'!$D:$D,RESULTADO!DP42)</f>
        <v>0</v>
      </c>
      <c r="DQ74" s="71">
        <f>SUMIFS('MtM Releases'!$M:$M,'MtM Releases'!$D:$D,RESULTADO!DQ42)</f>
        <v>0</v>
      </c>
      <c r="DR74" s="71">
        <f>SUMIFS('MtM Releases'!$M:$M,'MtM Releases'!$D:$D,RESULTADO!DR42)</f>
        <v>0</v>
      </c>
      <c r="DS74" s="71">
        <f>SUMIFS('MtM Releases'!$M:$M,'MtM Releases'!$D:$D,RESULTADO!DS42)</f>
        <v>0</v>
      </c>
      <c r="DT74" s="71">
        <f>SUMIFS('MtM Releases'!$M:$M,'MtM Releases'!$D:$D,RESULTADO!DT42)</f>
        <v>0</v>
      </c>
      <c r="DU74" s="71">
        <f>SUMIFS('MtM Releases'!$M:$M,'MtM Releases'!$D:$D,RESULTADO!DU42)</f>
        <v>0</v>
      </c>
      <c r="DV74" s="73">
        <f>SUMIFS('MtM Releases'!$M:$M,'MtM Releases'!$D:$D,RESULTADO!DV42)</f>
        <v>0</v>
      </c>
    </row>
    <row r="75" spans="2:126" x14ac:dyDescent="0.25">
      <c r="BL75" s="120"/>
    </row>
    <row r="76" spans="2:126" x14ac:dyDescent="0.25">
      <c r="B76" s="74" t="s">
        <v>145</v>
      </c>
      <c r="C76" s="75" t="b">
        <f>ROUND(C74,4)=ROUND(C73,4)</f>
        <v>1</v>
      </c>
      <c r="D76" s="75" t="b">
        <f t="shared" ref="D76:BJ76" si="57">ROUND(D74,4)=ROUND(D73,4)</f>
        <v>1</v>
      </c>
      <c r="E76" s="75" t="b">
        <f t="shared" si="57"/>
        <v>1</v>
      </c>
      <c r="F76" s="75" t="b">
        <f t="shared" si="57"/>
        <v>1</v>
      </c>
      <c r="G76" s="75" t="b">
        <f t="shared" si="57"/>
        <v>1</v>
      </c>
      <c r="H76" s="75" t="b">
        <f t="shared" si="57"/>
        <v>1</v>
      </c>
      <c r="I76" s="75" t="b">
        <f t="shared" si="57"/>
        <v>1</v>
      </c>
      <c r="J76" s="75" t="b">
        <f t="shared" si="57"/>
        <v>1</v>
      </c>
      <c r="K76" s="75" t="b">
        <f t="shared" si="57"/>
        <v>1</v>
      </c>
      <c r="L76" s="75" t="b">
        <f t="shared" si="57"/>
        <v>1</v>
      </c>
      <c r="M76" s="75" t="b">
        <f t="shared" si="57"/>
        <v>1</v>
      </c>
      <c r="N76" s="78" t="b">
        <f t="shared" si="57"/>
        <v>1</v>
      </c>
      <c r="O76" s="75" t="b">
        <f t="shared" si="57"/>
        <v>1</v>
      </c>
      <c r="P76" s="75" t="b">
        <f t="shared" si="57"/>
        <v>1</v>
      </c>
      <c r="Q76" s="75" t="b">
        <f t="shared" si="57"/>
        <v>1</v>
      </c>
      <c r="R76" s="75" t="b">
        <f t="shared" si="57"/>
        <v>1</v>
      </c>
      <c r="S76" s="75" t="b">
        <f t="shared" si="57"/>
        <v>1</v>
      </c>
      <c r="T76" s="75" t="b">
        <f t="shared" si="57"/>
        <v>1</v>
      </c>
      <c r="U76" s="75" t="b">
        <f t="shared" si="57"/>
        <v>1</v>
      </c>
      <c r="V76" s="75" t="b">
        <f t="shared" si="57"/>
        <v>1</v>
      </c>
      <c r="W76" s="75" t="b">
        <f t="shared" si="57"/>
        <v>1</v>
      </c>
      <c r="X76" s="75" t="b">
        <f t="shared" si="57"/>
        <v>1</v>
      </c>
      <c r="Y76" s="75" t="b">
        <f t="shared" si="57"/>
        <v>1</v>
      </c>
      <c r="Z76" s="76" t="b">
        <f t="shared" si="57"/>
        <v>1</v>
      </c>
      <c r="AA76" s="75" t="b">
        <f t="shared" si="57"/>
        <v>1</v>
      </c>
      <c r="AB76" s="75" t="b">
        <f t="shared" si="57"/>
        <v>1</v>
      </c>
      <c r="AC76" s="75" t="b">
        <f t="shared" si="57"/>
        <v>1</v>
      </c>
      <c r="AD76" s="75" t="b">
        <f t="shared" si="57"/>
        <v>1</v>
      </c>
      <c r="AE76" s="75" t="b">
        <f t="shared" si="57"/>
        <v>1</v>
      </c>
      <c r="AF76" s="75" t="b">
        <f t="shared" si="57"/>
        <v>1</v>
      </c>
      <c r="AG76" s="75" t="b">
        <f t="shared" si="57"/>
        <v>1</v>
      </c>
      <c r="AH76" s="75" t="b">
        <f t="shared" si="57"/>
        <v>1</v>
      </c>
      <c r="AI76" s="75" t="b">
        <f t="shared" si="57"/>
        <v>1</v>
      </c>
      <c r="AJ76" s="75" t="b">
        <f t="shared" si="57"/>
        <v>1</v>
      </c>
      <c r="AK76" s="75" t="b">
        <f t="shared" si="57"/>
        <v>1</v>
      </c>
      <c r="AL76" s="78" t="b">
        <f t="shared" si="57"/>
        <v>1</v>
      </c>
      <c r="AM76" s="75" t="b">
        <f t="shared" si="57"/>
        <v>1</v>
      </c>
      <c r="AN76" s="75" t="b">
        <f t="shared" si="57"/>
        <v>1</v>
      </c>
      <c r="AO76" s="75" t="b">
        <f t="shared" si="57"/>
        <v>1</v>
      </c>
      <c r="AP76" s="75" t="b">
        <f t="shared" si="57"/>
        <v>1</v>
      </c>
      <c r="AQ76" s="75" t="b">
        <f t="shared" si="57"/>
        <v>1</v>
      </c>
      <c r="AR76" s="75" t="b">
        <f t="shared" si="57"/>
        <v>1</v>
      </c>
      <c r="AS76" s="75" t="b">
        <f t="shared" si="57"/>
        <v>1</v>
      </c>
      <c r="AT76" s="75" t="b">
        <f t="shared" si="57"/>
        <v>1</v>
      </c>
      <c r="AU76" s="75" t="b">
        <f t="shared" si="57"/>
        <v>1</v>
      </c>
      <c r="AV76" s="75" t="b">
        <f t="shared" si="57"/>
        <v>1</v>
      </c>
      <c r="AW76" s="75" t="b">
        <f t="shared" si="57"/>
        <v>1</v>
      </c>
      <c r="AX76" s="76" t="b">
        <f t="shared" si="57"/>
        <v>1</v>
      </c>
      <c r="AY76" s="75" t="b">
        <f t="shared" si="57"/>
        <v>1</v>
      </c>
      <c r="AZ76" s="75" t="b">
        <f t="shared" si="57"/>
        <v>1</v>
      </c>
      <c r="BA76" s="75" t="b">
        <f t="shared" si="57"/>
        <v>1</v>
      </c>
      <c r="BB76" s="75" t="b">
        <f t="shared" si="57"/>
        <v>1</v>
      </c>
      <c r="BC76" s="75" t="b">
        <f t="shared" si="57"/>
        <v>1</v>
      </c>
      <c r="BD76" s="75" t="b">
        <f t="shared" si="57"/>
        <v>1</v>
      </c>
      <c r="BE76" s="75" t="b">
        <f t="shared" si="57"/>
        <v>1</v>
      </c>
      <c r="BF76" s="75" t="b">
        <f t="shared" si="57"/>
        <v>1</v>
      </c>
      <c r="BG76" s="75" t="b">
        <f t="shared" si="57"/>
        <v>1</v>
      </c>
      <c r="BH76" s="75" t="b">
        <f t="shared" si="57"/>
        <v>1</v>
      </c>
      <c r="BI76" s="75" t="b">
        <f t="shared" si="57"/>
        <v>1</v>
      </c>
      <c r="BJ76" s="76" t="b">
        <f t="shared" si="57"/>
        <v>1</v>
      </c>
      <c r="BL76" s="120"/>
      <c r="BN76" s="74" t="s">
        <v>145</v>
      </c>
      <c r="BO76" s="75" t="b">
        <f>ROUND(BO74,4)=ROUND(BO73,4)</f>
        <v>1</v>
      </c>
      <c r="BP76" s="75" t="b">
        <f t="shared" ref="BP76:DV76" si="58">ROUND(BP74,4)=ROUND(BP73,4)</f>
        <v>1</v>
      </c>
      <c r="BQ76" s="75" t="b">
        <f t="shared" si="58"/>
        <v>1</v>
      </c>
      <c r="BR76" s="75" t="b">
        <f t="shared" si="58"/>
        <v>1</v>
      </c>
      <c r="BS76" s="75" t="b">
        <f t="shared" si="58"/>
        <v>1</v>
      </c>
      <c r="BT76" s="75" t="b">
        <f t="shared" si="58"/>
        <v>1</v>
      </c>
      <c r="BU76" s="75" t="b">
        <f t="shared" si="58"/>
        <v>1</v>
      </c>
      <c r="BV76" s="75" t="b">
        <f t="shared" si="58"/>
        <v>1</v>
      </c>
      <c r="BW76" s="75" t="b">
        <f t="shared" si="58"/>
        <v>1</v>
      </c>
      <c r="BX76" s="75" t="b">
        <f t="shared" si="58"/>
        <v>1</v>
      </c>
      <c r="BY76" s="75" t="b">
        <f t="shared" si="58"/>
        <v>1</v>
      </c>
      <c r="BZ76" s="78" t="b">
        <f t="shared" si="58"/>
        <v>1</v>
      </c>
      <c r="CA76" s="75" t="b">
        <f t="shared" si="58"/>
        <v>1</v>
      </c>
      <c r="CB76" s="75" t="b">
        <f t="shared" si="58"/>
        <v>1</v>
      </c>
      <c r="CC76" s="75" t="b">
        <f t="shared" si="58"/>
        <v>1</v>
      </c>
      <c r="CD76" s="75" t="b">
        <f t="shared" si="58"/>
        <v>1</v>
      </c>
      <c r="CE76" s="75" t="b">
        <f t="shared" si="58"/>
        <v>1</v>
      </c>
      <c r="CF76" s="75" t="b">
        <f t="shared" si="58"/>
        <v>1</v>
      </c>
      <c r="CG76" s="75" t="b">
        <f t="shared" si="58"/>
        <v>1</v>
      </c>
      <c r="CH76" s="75" t="b">
        <f t="shared" si="58"/>
        <v>1</v>
      </c>
      <c r="CI76" s="75" t="b">
        <f t="shared" si="58"/>
        <v>1</v>
      </c>
      <c r="CJ76" s="75" t="b">
        <f t="shared" si="58"/>
        <v>1</v>
      </c>
      <c r="CK76" s="75" t="b">
        <f t="shared" si="58"/>
        <v>1</v>
      </c>
      <c r="CL76" s="76" t="b">
        <f t="shared" si="58"/>
        <v>1</v>
      </c>
      <c r="CM76" s="75" t="b">
        <f t="shared" si="58"/>
        <v>1</v>
      </c>
      <c r="CN76" s="75" t="b">
        <f t="shared" si="58"/>
        <v>1</v>
      </c>
      <c r="CO76" s="75" t="b">
        <f t="shared" si="58"/>
        <v>1</v>
      </c>
      <c r="CP76" s="75" t="b">
        <f t="shared" si="58"/>
        <v>1</v>
      </c>
      <c r="CQ76" s="75" t="b">
        <f t="shared" si="58"/>
        <v>1</v>
      </c>
      <c r="CR76" s="75" t="b">
        <f t="shared" si="58"/>
        <v>1</v>
      </c>
      <c r="CS76" s="75" t="b">
        <f t="shared" si="58"/>
        <v>1</v>
      </c>
      <c r="CT76" s="75" t="b">
        <f t="shared" si="58"/>
        <v>1</v>
      </c>
      <c r="CU76" s="75" t="b">
        <f t="shared" si="58"/>
        <v>1</v>
      </c>
      <c r="CV76" s="75" t="b">
        <f t="shared" si="58"/>
        <v>1</v>
      </c>
      <c r="CW76" s="75" t="b">
        <f t="shared" si="58"/>
        <v>1</v>
      </c>
      <c r="CX76" s="78" t="b">
        <f t="shared" si="58"/>
        <v>1</v>
      </c>
      <c r="CY76" s="75" t="b">
        <f t="shared" si="58"/>
        <v>1</v>
      </c>
      <c r="CZ76" s="75" t="b">
        <f t="shared" si="58"/>
        <v>1</v>
      </c>
      <c r="DA76" s="75" t="b">
        <f t="shared" si="58"/>
        <v>1</v>
      </c>
      <c r="DB76" s="75" t="b">
        <f t="shared" si="58"/>
        <v>1</v>
      </c>
      <c r="DC76" s="75" t="b">
        <f t="shared" si="58"/>
        <v>1</v>
      </c>
      <c r="DD76" s="75" t="b">
        <f t="shared" si="58"/>
        <v>1</v>
      </c>
      <c r="DE76" s="75" t="b">
        <f t="shared" si="58"/>
        <v>1</v>
      </c>
      <c r="DF76" s="75" t="b">
        <f t="shared" si="58"/>
        <v>1</v>
      </c>
      <c r="DG76" s="75" t="b">
        <f t="shared" si="58"/>
        <v>1</v>
      </c>
      <c r="DH76" s="75" t="b">
        <f t="shared" si="58"/>
        <v>1</v>
      </c>
      <c r="DI76" s="75" t="b">
        <f t="shared" si="58"/>
        <v>1</v>
      </c>
      <c r="DJ76" s="76" t="b">
        <f t="shared" si="58"/>
        <v>1</v>
      </c>
      <c r="DK76" s="75" t="b">
        <f t="shared" si="58"/>
        <v>1</v>
      </c>
      <c r="DL76" s="75" t="b">
        <f t="shared" si="58"/>
        <v>1</v>
      </c>
      <c r="DM76" s="75" t="b">
        <f t="shared" si="58"/>
        <v>1</v>
      </c>
      <c r="DN76" s="75" t="b">
        <f t="shared" si="58"/>
        <v>1</v>
      </c>
      <c r="DO76" s="75" t="b">
        <f t="shared" si="58"/>
        <v>1</v>
      </c>
      <c r="DP76" s="75" t="b">
        <f t="shared" si="58"/>
        <v>1</v>
      </c>
      <c r="DQ76" s="75" t="b">
        <f t="shared" si="58"/>
        <v>1</v>
      </c>
      <c r="DR76" s="75" t="b">
        <f t="shared" si="58"/>
        <v>1</v>
      </c>
      <c r="DS76" s="75" t="b">
        <f t="shared" si="58"/>
        <v>1</v>
      </c>
      <c r="DT76" s="75" t="b">
        <f t="shared" si="58"/>
        <v>1</v>
      </c>
      <c r="DU76" s="75" t="b">
        <f t="shared" si="58"/>
        <v>1</v>
      </c>
      <c r="DV76" s="76" t="b">
        <f t="shared" si="58"/>
        <v>1</v>
      </c>
    </row>
    <row r="77" spans="2:126" x14ac:dyDescent="0.25">
      <c r="B77" s="291" t="b">
        <f>SUM(C77:Z77)=24</f>
        <v>1</v>
      </c>
      <c r="C77" s="292">
        <f>IF(C76=TRUE,1,0)</f>
        <v>1</v>
      </c>
      <c r="D77" s="292">
        <f t="shared" ref="D77:BJ77" si="59">IF(D76=TRUE,1,0)</f>
        <v>1</v>
      </c>
      <c r="E77" s="292">
        <f t="shared" si="59"/>
        <v>1</v>
      </c>
      <c r="F77" s="292">
        <f t="shared" si="59"/>
        <v>1</v>
      </c>
      <c r="G77" s="292">
        <f t="shared" si="59"/>
        <v>1</v>
      </c>
      <c r="H77" s="292">
        <f t="shared" si="59"/>
        <v>1</v>
      </c>
      <c r="I77" s="292">
        <f t="shared" si="59"/>
        <v>1</v>
      </c>
      <c r="J77" s="292">
        <f t="shared" si="59"/>
        <v>1</v>
      </c>
      <c r="K77" s="292">
        <f t="shared" si="59"/>
        <v>1</v>
      </c>
      <c r="L77" s="292">
        <f t="shared" si="59"/>
        <v>1</v>
      </c>
      <c r="M77" s="292">
        <f t="shared" si="59"/>
        <v>1</v>
      </c>
      <c r="N77" s="292">
        <f t="shared" si="59"/>
        <v>1</v>
      </c>
      <c r="O77" s="292">
        <f t="shared" si="59"/>
        <v>1</v>
      </c>
      <c r="P77" s="292">
        <f t="shared" si="59"/>
        <v>1</v>
      </c>
      <c r="Q77" s="292">
        <f t="shared" si="59"/>
        <v>1</v>
      </c>
      <c r="R77" s="292">
        <f t="shared" si="59"/>
        <v>1</v>
      </c>
      <c r="S77" s="292">
        <f t="shared" si="59"/>
        <v>1</v>
      </c>
      <c r="T77" s="292">
        <f t="shared" si="59"/>
        <v>1</v>
      </c>
      <c r="U77" s="292">
        <f t="shared" si="59"/>
        <v>1</v>
      </c>
      <c r="V77" s="292">
        <f t="shared" si="59"/>
        <v>1</v>
      </c>
      <c r="W77" s="292">
        <f t="shared" si="59"/>
        <v>1</v>
      </c>
      <c r="X77" s="292">
        <f t="shared" si="59"/>
        <v>1</v>
      </c>
      <c r="Y77" s="292">
        <f t="shared" si="59"/>
        <v>1</v>
      </c>
      <c r="Z77" s="292">
        <f t="shared" si="59"/>
        <v>1</v>
      </c>
      <c r="AA77" s="292">
        <f t="shared" si="59"/>
        <v>1</v>
      </c>
      <c r="AB77" s="292">
        <f t="shared" si="59"/>
        <v>1</v>
      </c>
      <c r="AC77" s="292">
        <f t="shared" si="59"/>
        <v>1</v>
      </c>
      <c r="AD77" s="292">
        <f t="shared" si="59"/>
        <v>1</v>
      </c>
      <c r="AE77" s="292">
        <f t="shared" si="59"/>
        <v>1</v>
      </c>
      <c r="AF77" s="292">
        <f t="shared" si="59"/>
        <v>1</v>
      </c>
      <c r="AG77" s="292">
        <f t="shared" si="59"/>
        <v>1</v>
      </c>
      <c r="AH77" s="292">
        <f t="shared" si="59"/>
        <v>1</v>
      </c>
      <c r="AI77" s="292">
        <f t="shared" si="59"/>
        <v>1</v>
      </c>
      <c r="AJ77" s="292">
        <f t="shared" si="59"/>
        <v>1</v>
      </c>
      <c r="AK77" s="292">
        <f t="shared" si="59"/>
        <v>1</v>
      </c>
      <c r="AL77" s="292">
        <f t="shared" si="59"/>
        <v>1</v>
      </c>
      <c r="AM77" s="292">
        <f t="shared" si="59"/>
        <v>1</v>
      </c>
      <c r="AN77" s="292">
        <f t="shared" si="59"/>
        <v>1</v>
      </c>
      <c r="AO77" s="292">
        <f t="shared" si="59"/>
        <v>1</v>
      </c>
      <c r="AP77" s="292">
        <f t="shared" si="59"/>
        <v>1</v>
      </c>
      <c r="AQ77" s="292">
        <f t="shared" si="59"/>
        <v>1</v>
      </c>
      <c r="AR77" s="292">
        <f t="shared" si="59"/>
        <v>1</v>
      </c>
      <c r="AS77" s="292">
        <f t="shared" si="59"/>
        <v>1</v>
      </c>
      <c r="AT77" s="292">
        <f t="shared" si="59"/>
        <v>1</v>
      </c>
      <c r="AU77" s="292">
        <f t="shared" si="59"/>
        <v>1</v>
      </c>
      <c r="AV77" s="292">
        <f t="shared" si="59"/>
        <v>1</v>
      </c>
      <c r="AW77" s="292">
        <f t="shared" si="59"/>
        <v>1</v>
      </c>
      <c r="AX77" s="292">
        <f t="shared" si="59"/>
        <v>1</v>
      </c>
      <c r="AY77" s="292">
        <f t="shared" si="59"/>
        <v>1</v>
      </c>
      <c r="AZ77" s="292">
        <f t="shared" si="59"/>
        <v>1</v>
      </c>
      <c r="BA77" s="292">
        <f t="shared" si="59"/>
        <v>1</v>
      </c>
      <c r="BB77" s="292">
        <f t="shared" si="59"/>
        <v>1</v>
      </c>
      <c r="BC77" s="292">
        <f t="shared" si="59"/>
        <v>1</v>
      </c>
      <c r="BD77" s="292">
        <f t="shared" si="59"/>
        <v>1</v>
      </c>
      <c r="BE77" s="292">
        <f t="shared" si="59"/>
        <v>1</v>
      </c>
      <c r="BF77" s="292">
        <f t="shared" si="59"/>
        <v>1</v>
      </c>
      <c r="BG77" s="292">
        <f t="shared" si="59"/>
        <v>1</v>
      </c>
      <c r="BH77" s="292">
        <f t="shared" si="59"/>
        <v>1</v>
      </c>
      <c r="BI77" s="292">
        <f t="shared" si="59"/>
        <v>1</v>
      </c>
      <c r="BJ77" s="292">
        <f t="shared" si="59"/>
        <v>1</v>
      </c>
      <c r="BL77" s="120"/>
      <c r="BN77" s="293" t="b">
        <f>SUM(BO77:CL77)=24</f>
        <v>1</v>
      </c>
      <c r="BO77" s="292">
        <f>IF(BO76=TRUE,1,0)</f>
        <v>1</v>
      </c>
      <c r="BP77" s="292">
        <f t="shared" ref="BP77:DV77" si="60">IF(BP76=TRUE,1,0)</f>
        <v>1</v>
      </c>
      <c r="BQ77" s="292">
        <f t="shared" si="60"/>
        <v>1</v>
      </c>
      <c r="BR77" s="292">
        <f t="shared" si="60"/>
        <v>1</v>
      </c>
      <c r="BS77" s="292">
        <f t="shared" si="60"/>
        <v>1</v>
      </c>
      <c r="BT77" s="292">
        <f t="shared" si="60"/>
        <v>1</v>
      </c>
      <c r="BU77" s="292">
        <f t="shared" si="60"/>
        <v>1</v>
      </c>
      <c r="BV77" s="292">
        <f t="shared" si="60"/>
        <v>1</v>
      </c>
      <c r="BW77" s="292">
        <f t="shared" si="60"/>
        <v>1</v>
      </c>
      <c r="BX77" s="292">
        <f t="shared" si="60"/>
        <v>1</v>
      </c>
      <c r="BY77" s="292">
        <f t="shared" si="60"/>
        <v>1</v>
      </c>
      <c r="BZ77" s="292">
        <f t="shared" si="60"/>
        <v>1</v>
      </c>
      <c r="CA77" s="292">
        <f t="shared" si="60"/>
        <v>1</v>
      </c>
      <c r="CB77" s="292">
        <f t="shared" si="60"/>
        <v>1</v>
      </c>
      <c r="CC77" s="292">
        <f t="shared" si="60"/>
        <v>1</v>
      </c>
      <c r="CD77" s="292">
        <f t="shared" si="60"/>
        <v>1</v>
      </c>
      <c r="CE77" s="292">
        <f t="shared" si="60"/>
        <v>1</v>
      </c>
      <c r="CF77" s="292">
        <f t="shared" si="60"/>
        <v>1</v>
      </c>
      <c r="CG77" s="292">
        <f t="shared" si="60"/>
        <v>1</v>
      </c>
      <c r="CH77" s="292">
        <f t="shared" si="60"/>
        <v>1</v>
      </c>
      <c r="CI77" s="292">
        <f t="shared" si="60"/>
        <v>1</v>
      </c>
      <c r="CJ77" s="292">
        <f t="shared" si="60"/>
        <v>1</v>
      </c>
      <c r="CK77" s="292">
        <f t="shared" si="60"/>
        <v>1</v>
      </c>
      <c r="CL77" s="292">
        <f t="shared" si="60"/>
        <v>1</v>
      </c>
      <c r="CM77" s="292">
        <f t="shared" si="60"/>
        <v>1</v>
      </c>
      <c r="CN77" s="292">
        <f t="shared" si="60"/>
        <v>1</v>
      </c>
      <c r="CO77" s="292">
        <f t="shared" si="60"/>
        <v>1</v>
      </c>
      <c r="CP77" s="292">
        <f t="shared" si="60"/>
        <v>1</v>
      </c>
      <c r="CQ77" s="292">
        <f t="shared" si="60"/>
        <v>1</v>
      </c>
      <c r="CR77" s="292">
        <f t="shared" si="60"/>
        <v>1</v>
      </c>
      <c r="CS77" s="292">
        <f t="shared" si="60"/>
        <v>1</v>
      </c>
      <c r="CT77" s="292">
        <f t="shared" si="60"/>
        <v>1</v>
      </c>
      <c r="CU77" s="292">
        <f t="shared" si="60"/>
        <v>1</v>
      </c>
      <c r="CV77" s="292">
        <f t="shared" si="60"/>
        <v>1</v>
      </c>
      <c r="CW77" s="292">
        <f t="shared" si="60"/>
        <v>1</v>
      </c>
      <c r="CX77" s="292">
        <f t="shared" si="60"/>
        <v>1</v>
      </c>
      <c r="CY77" s="292">
        <f t="shared" si="60"/>
        <v>1</v>
      </c>
      <c r="CZ77" s="292">
        <f t="shared" si="60"/>
        <v>1</v>
      </c>
      <c r="DA77" s="292">
        <f t="shared" si="60"/>
        <v>1</v>
      </c>
      <c r="DB77" s="292">
        <f t="shared" si="60"/>
        <v>1</v>
      </c>
      <c r="DC77" s="292">
        <f t="shared" si="60"/>
        <v>1</v>
      </c>
      <c r="DD77" s="292">
        <f t="shared" si="60"/>
        <v>1</v>
      </c>
      <c r="DE77" s="292">
        <f t="shared" si="60"/>
        <v>1</v>
      </c>
      <c r="DF77" s="292">
        <f t="shared" si="60"/>
        <v>1</v>
      </c>
      <c r="DG77" s="292">
        <f t="shared" si="60"/>
        <v>1</v>
      </c>
      <c r="DH77" s="292">
        <f t="shared" si="60"/>
        <v>1</v>
      </c>
      <c r="DI77" s="292">
        <f t="shared" si="60"/>
        <v>1</v>
      </c>
      <c r="DJ77" s="292">
        <f t="shared" si="60"/>
        <v>1</v>
      </c>
      <c r="DK77" s="292">
        <f t="shared" si="60"/>
        <v>1</v>
      </c>
      <c r="DL77" s="292">
        <f t="shared" si="60"/>
        <v>1</v>
      </c>
      <c r="DM77" s="292">
        <f t="shared" si="60"/>
        <v>1</v>
      </c>
      <c r="DN77" s="292">
        <f t="shared" si="60"/>
        <v>1</v>
      </c>
      <c r="DO77" s="292">
        <f t="shared" si="60"/>
        <v>1</v>
      </c>
      <c r="DP77" s="292">
        <f t="shared" si="60"/>
        <v>1</v>
      </c>
      <c r="DQ77" s="292">
        <f t="shared" si="60"/>
        <v>1</v>
      </c>
      <c r="DR77" s="292">
        <f t="shared" si="60"/>
        <v>1</v>
      </c>
      <c r="DS77" s="292">
        <f t="shared" si="60"/>
        <v>1</v>
      </c>
      <c r="DT77" s="292">
        <f t="shared" si="60"/>
        <v>1</v>
      </c>
      <c r="DU77" s="292">
        <f t="shared" si="60"/>
        <v>1</v>
      </c>
      <c r="DV77" s="292">
        <f t="shared" si="60"/>
        <v>1</v>
      </c>
    </row>
    <row r="78" spans="2:126" x14ac:dyDescent="0.25">
      <c r="B78" s="780" t="s">
        <v>219</v>
      </c>
      <c r="C78" s="780"/>
      <c r="D78" s="780"/>
      <c r="E78" s="780"/>
      <c r="F78" s="780"/>
      <c r="G78" s="780"/>
      <c r="H78" s="780"/>
      <c r="I78" s="780"/>
      <c r="J78" s="780"/>
      <c r="K78" s="780"/>
      <c r="L78" s="780"/>
      <c r="M78" s="780"/>
      <c r="N78" s="780"/>
      <c r="O78" s="780"/>
      <c r="P78" s="780"/>
      <c r="Q78" s="780"/>
      <c r="R78" s="780"/>
      <c r="S78" s="780"/>
      <c r="T78" s="780"/>
      <c r="U78" s="780"/>
      <c r="V78" s="780"/>
      <c r="W78" s="780"/>
      <c r="X78" s="780"/>
      <c r="Y78" s="780"/>
      <c r="Z78" s="780"/>
      <c r="AA78" s="780"/>
      <c r="AB78" s="780"/>
      <c r="AC78" s="780"/>
      <c r="AD78" s="780"/>
      <c r="AE78" s="780"/>
      <c r="AF78" s="780"/>
      <c r="AG78" s="780"/>
      <c r="AH78" s="780"/>
      <c r="AI78" s="780"/>
      <c r="AJ78" s="780"/>
      <c r="AK78" s="780"/>
      <c r="AL78" s="780"/>
      <c r="AM78" s="780"/>
      <c r="AN78" s="780"/>
      <c r="AO78" s="780"/>
      <c r="AP78" s="780"/>
      <c r="AQ78" s="780"/>
      <c r="AR78" s="780"/>
      <c r="AS78" s="780"/>
      <c r="AT78" s="780"/>
      <c r="AU78" s="780"/>
      <c r="AV78" s="780"/>
      <c r="AW78" s="780"/>
      <c r="AX78" s="780"/>
      <c r="AY78" s="780"/>
      <c r="AZ78" s="780"/>
      <c r="BA78" s="780"/>
      <c r="BB78" s="780"/>
      <c r="BC78" s="780"/>
      <c r="BD78" s="780"/>
      <c r="BE78" s="780"/>
      <c r="BF78" s="780"/>
      <c r="BG78" s="780"/>
      <c r="BH78" s="780"/>
      <c r="BI78" s="780"/>
      <c r="BJ78" s="780"/>
      <c r="BL78" s="120"/>
    </row>
    <row r="79" spans="2:126" x14ac:dyDescent="0.25">
      <c r="B79" s="97"/>
      <c r="C79" s="97"/>
      <c r="D79" s="97"/>
      <c r="E79" s="97"/>
      <c r="F79" s="97"/>
      <c r="G79" s="97"/>
      <c r="H79" s="97"/>
      <c r="I79" s="97"/>
      <c r="J79" s="97"/>
      <c r="K79" s="97"/>
      <c r="L79" s="97"/>
      <c r="M79" s="97"/>
      <c r="N79" s="97"/>
      <c r="O79" s="97"/>
      <c r="P79" s="97"/>
      <c r="Q79" s="97"/>
      <c r="R79" s="97"/>
      <c r="S79" s="97"/>
      <c r="T79" s="97"/>
      <c r="U79" s="97"/>
      <c r="V79" s="97"/>
      <c r="W79" s="97"/>
      <c r="X79" s="97"/>
      <c r="Y79" s="97"/>
      <c r="Z79" s="97"/>
      <c r="AA79" s="97"/>
      <c r="AB79" s="97"/>
      <c r="AC79" s="97"/>
      <c r="AD79" s="97"/>
      <c r="AE79" s="97"/>
      <c r="AF79" s="97"/>
      <c r="AG79" s="97"/>
      <c r="AH79" s="97"/>
      <c r="AI79" s="97"/>
      <c r="AJ79" s="97"/>
      <c r="AK79" s="97"/>
      <c r="AL79" s="97"/>
      <c r="AM79" s="97"/>
      <c r="AN79" s="97"/>
      <c r="AO79" s="97"/>
      <c r="AP79" s="97"/>
      <c r="AQ79" s="97"/>
      <c r="AR79" s="97"/>
      <c r="AS79" s="97"/>
      <c r="AT79" s="97"/>
      <c r="AU79" s="97"/>
      <c r="AV79" s="97"/>
      <c r="AW79" s="97"/>
      <c r="AX79" s="97"/>
      <c r="AY79" s="97"/>
      <c r="AZ79" s="97"/>
      <c r="BA79" s="97"/>
      <c r="BB79" s="97"/>
      <c r="BC79" s="97"/>
      <c r="BD79" s="97"/>
      <c r="BE79" s="97"/>
      <c r="BF79" s="97"/>
      <c r="BG79" s="97"/>
      <c r="BH79" s="97"/>
      <c r="BI79" s="97"/>
      <c r="BJ79" s="97"/>
      <c r="BL79" s="120"/>
    </row>
    <row r="80" spans="2:126" x14ac:dyDescent="0.25">
      <c r="C80" s="52">
        <f>C2</f>
        <v>744</v>
      </c>
      <c r="D80" s="52">
        <f t="shared" ref="D80:Z80" si="61">D2</f>
        <v>672</v>
      </c>
      <c r="E80" s="52">
        <f t="shared" si="61"/>
        <v>744</v>
      </c>
      <c r="F80" s="52">
        <f t="shared" si="61"/>
        <v>720</v>
      </c>
      <c r="G80" s="52">
        <f t="shared" si="61"/>
        <v>744</v>
      </c>
      <c r="H80" s="52">
        <f t="shared" si="61"/>
        <v>720</v>
      </c>
      <c r="I80" s="52">
        <f t="shared" si="61"/>
        <v>744</v>
      </c>
      <c r="J80" s="52">
        <f t="shared" si="61"/>
        <v>744</v>
      </c>
      <c r="K80" s="52">
        <f t="shared" si="61"/>
        <v>720</v>
      </c>
      <c r="L80" s="52">
        <f t="shared" si="61"/>
        <v>744</v>
      </c>
      <c r="M80" s="52">
        <f t="shared" si="61"/>
        <v>720</v>
      </c>
      <c r="N80" s="52">
        <f t="shared" si="61"/>
        <v>744</v>
      </c>
      <c r="O80" s="52">
        <f t="shared" si="61"/>
        <v>744</v>
      </c>
      <c r="P80" s="52">
        <f t="shared" si="61"/>
        <v>672</v>
      </c>
      <c r="Q80" s="52">
        <f t="shared" si="61"/>
        <v>744</v>
      </c>
      <c r="R80" s="52">
        <f t="shared" si="61"/>
        <v>720</v>
      </c>
      <c r="S80" s="52">
        <f t="shared" si="61"/>
        <v>744</v>
      </c>
      <c r="T80" s="52">
        <f t="shared" si="61"/>
        <v>720</v>
      </c>
      <c r="U80" s="52">
        <f t="shared" si="61"/>
        <v>744</v>
      </c>
      <c r="V80" s="52">
        <f t="shared" si="61"/>
        <v>744</v>
      </c>
      <c r="W80" s="52">
        <f t="shared" si="61"/>
        <v>720</v>
      </c>
      <c r="X80" s="52">
        <f t="shared" si="61"/>
        <v>744</v>
      </c>
      <c r="Y80" s="52">
        <f t="shared" si="61"/>
        <v>720</v>
      </c>
      <c r="Z80" s="52">
        <f t="shared" si="61"/>
        <v>744</v>
      </c>
      <c r="AA80" s="52">
        <f>AA2</f>
        <v>744</v>
      </c>
      <c r="AB80" s="52">
        <f t="shared" ref="AB80:AX80" si="62">AB2</f>
        <v>696</v>
      </c>
      <c r="AC80" s="52">
        <f t="shared" si="62"/>
        <v>744</v>
      </c>
      <c r="AD80" s="52">
        <f t="shared" si="62"/>
        <v>720</v>
      </c>
      <c r="AE80" s="52">
        <f t="shared" si="62"/>
        <v>744</v>
      </c>
      <c r="AF80" s="52">
        <f t="shared" si="62"/>
        <v>720</v>
      </c>
      <c r="AG80" s="52">
        <f t="shared" si="62"/>
        <v>744</v>
      </c>
      <c r="AH80" s="52">
        <f t="shared" si="62"/>
        <v>744</v>
      </c>
      <c r="AI80" s="52">
        <f t="shared" si="62"/>
        <v>720</v>
      </c>
      <c r="AJ80" s="52">
        <f t="shared" si="62"/>
        <v>744</v>
      </c>
      <c r="AK80" s="52">
        <f t="shared" si="62"/>
        <v>720</v>
      </c>
      <c r="AL80" s="52">
        <f t="shared" si="62"/>
        <v>744</v>
      </c>
      <c r="AM80" s="52">
        <f t="shared" si="62"/>
        <v>744</v>
      </c>
      <c r="AN80" s="52">
        <f t="shared" si="62"/>
        <v>672</v>
      </c>
      <c r="AO80" s="52">
        <f t="shared" si="62"/>
        <v>744</v>
      </c>
      <c r="AP80" s="52">
        <f t="shared" si="62"/>
        <v>720</v>
      </c>
      <c r="AQ80" s="52">
        <f t="shared" si="62"/>
        <v>744</v>
      </c>
      <c r="AR80" s="52">
        <f t="shared" si="62"/>
        <v>720</v>
      </c>
      <c r="AS80" s="52">
        <f t="shared" si="62"/>
        <v>744</v>
      </c>
      <c r="AT80" s="52">
        <f t="shared" si="62"/>
        <v>744</v>
      </c>
      <c r="AU80" s="52">
        <f t="shared" si="62"/>
        <v>720</v>
      </c>
      <c r="AV80" s="52">
        <f t="shared" si="62"/>
        <v>744</v>
      </c>
      <c r="AW80" s="52">
        <f t="shared" si="62"/>
        <v>720</v>
      </c>
      <c r="AX80" s="52">
        <f t="shared" si="62"/>
        <v>744</v>
      </c>
      <c r="AY80" s="52">
        <f t="shared" ref="AY80:BJ80" si="63">AY2</f>
        <v>744</v>
      </c>
      <c r="AZ80" s="52">
        <f t="shared" si="63"/>
        <v>672</v>
      </c>
      <c r="BA80" s="52">
        <f t="shared" si="63"/>
        <v>744</v>
      </c>
      <c r="BB80" s="52">
        <f t="shared" si="63"/>
        <v>720</v>
      </c>
      <c r="BC80" s="52">
        <f t="shared" si="63"/>
        <v>744</v>
      </c>
      <c r="BD80" s="52">
        <f t="shared" si="63"/>
        <v>720</v>
      </c>
      <c r="BE80" s="52">
        <f t="shared" si="63"/>
        <v>744</v>
      </c>
      <c r="BF80" s="52">
        <f t="shared" si="63"/>
        <v>744</v>
      </c>
      <c r="BG80" s="52">
        <f t="shared" si="63"/>
        <v>720</v>
      </c>
      <c r="BH80" s="52">
        <f t="shared" si="63"/>
        <v>744</v>
      </c>
      <c r="BI80" s="52">
        <f t="shared" si="63"/>
        <v>720</v>
      </c>
      <c r="BJ80" s="52">
        <f t="shared" si="63"/>
        <v>744</v>
      </c>
      <c r="BL80" s="120"/>
    </row>
    <row r="81" spans="1:126" ht="15.75" thickBot="1" x14ac:dyDescent="0.3">
      <c r="B81" s="59" t="s">
        <v>151</v>
      </c>
      <c r="C81" s="55">
        <f>C3</f>
        <v>44562</v>
      </c>
      <c r="D81" s="55">
        <f t="shared" ref="D81:BJ81" si="64">D3</f>
        <v>44593</v>
      </c>
      <c r="E81" s="55">
        <f t="shared" si="64"/>
        <v>44621</v>
      </c>
      <c r="F81" s="55">
        <f t="shared" si="64"/>
        <v>44652</v>
      </c>
      <c r="G81" s="55">
        <f t="shared" si="64"/>
        <v>44682</v>
      </c>
      <c r="H81" s="55">
        <f t="shared" si="64"/>
        <v>44713</v>
      </c>
      <c r="I81" s="55">
        <f t="shared" si="64"/>
        <v>44743</v>
      </c>
      <c r="J81" s="55">
        <f t="shared" si="64"/>
        <v>44774</v>
      </c>
      <c r="K81" s="55">
        <f t="shared" si="64"/>
        <v>44805</v>
      </c>
      <c r="L81" s="55">
        <f t="shared" si="64"/>
        <v>44835</v>
      </c>
      <c r="M81" s="55">
        <f t="shared" si="64"/>
        <v>44866</v>
      </c>
      <c r="N81" s="58">
        <f t="shared" si="64"/>
        <v>44896</v>
      </c>
      <c r="O81" s="55">
        <f t="shared" si="64"/>
        <v>44927</v>
      </c>
      <c r="P81" s="55">
        <f t="shared" si="64"/>
        <v>44958</v>
      </c>
      <c r="Q81" s="55">
        <f t="shared" si="64"/>
        <v>44986</v>
      </c>
      <c r="R81" s="55">
        <f t="shared" si="64"/>
        <v>45017</v>
      </c>
      <c r="S81" s="55">
        <f t="shared" si="64"/>
        <v>45047</v>
      </c>
      <c r="T81" s="55">
        <f t="shared" si="64"/>
        <v>45078</v>
      </c>
      <c r="U81" s="55">
        <f t="shared" si="64"/>
        <v>45108</v>
      </c>
      <c r="V81" s="55">
        <f t="shared" si="64"/>
        <v>45139</v>
      </c>
      <c r="W81" s="55">
        <f t="shared" si="64"/>
        <v>45170</v>
      </c>
      <c r="X81" s="55">
        <f t="shared" si="64"/>
        <v>45200</v>
      </c>
      <c r="Y81" s="55">
        <f t="shared" si="64"/>
        <v>45231</v>
      </c>
      <c r="Z81" s="58">
        <f t="shared" si="64"/>
        <v>45261</v>
      </c>
      <c r="AA81" s="55">
        <f t="shared" si="64"/>
        <v>45292</v>
      </c>
      <c r="AB81" s="55">
        <f t="shared" si="64"/>
        <v>45323</v>
      </c>
      <c r="AC81" s="55">
        <f t="shared" si="64"/>
        <v>45352</v>
      </c>
      <c r="AD81" s="55">
        <f t="shared" si="64"/>
        <v>45383</v>
      </c>
      <c r="AE81" s="55">
        <f t="shared" si="64"/>
        <v>45413</v>
      </c>
      <c r="AF81" s="55">
        <f t="shared" si="64"/>
        <v>45444</v>
      </c>
      <c r="AG81" s="55">
        <f t="shared" si="64"/>
        <v>45474</v>
      </c>
      <c r="AH81" s="55">
        <f t="shared" si="64"/>
        <v>45505</v>
      </c>
      <c r="AI81" s="55">
        <f t="shared" si="64"/>
        <v>45536</v>
      </c>
      <c r="AJ81" s="55">
        <f t="shared" si="64"/>
        <v>45566</v>
      </c>
      <c r="AK81" s="55">
        <f t="shared" si="64"/>
        <v>45597</v>
      </c>
      <c r="AL81" s="58">
        <f t="shared" si="64"/>
        <v>45627</v>
      </c>
      <c r="AM81" s="55">
        <f t="shared" si="64"/>
        <v>45658</v>
      </c>
      <c r="AN81" s="55">
        <f t="shared" si="64"/>
        <v>45689</v>
      </c>
      <c r="AO81" s="55">
        <f t="shared" si="64"/>
        <v>45717</v>
      </c>
      <c r="AP81" s="55">
        <f t="shared" si="64"/>
        <v>45748</v>
      </c>
      <c r="AQ81" s="55">
        <f t="shared" si="64"/>
        <v>45778</v>
      </c>
      <c r="AR81" s="55">
        <f t="shared" si="64"/>
        <v>45809</v>
      </c>
      <c r="AS81" s="55">
        <f t="shared" si="64"/>
        <v>45839</v>
      </c>
      <c r="AT81" s="55">
        <f t="shared" si="64"/>
        <v>45870</v>
      </c>
      <c r="AU81" s="55">
        <f t="shared" si="64"/>
        <v>45901</v>
      </c>
      <c r="AV81" s="55">
        <f t="shared" si="64"/>
        <v>45931</v>
      </c>
      <c r="AW81" s="55">
        <f t="shared" si="64"/>
        <v>45962</v>
      </c>
      <c r="AX81" s="58">
        <f t="shared" si="64"/>
        <v>45992</v>
      </c>
      <c r="AY81" s="55">
        <f t="shared" si="64"/>
        <v>46023</v>
      </c>
      <c r="AZ81" s="55">
        <f t="shared" si="64"/>
        <v>46054</v>
      </c>
      <c r="BA81" s="55">
        <f t="shared" si="64"/>
        <v>46082</v>
      </c>
      <c r="BB81" s="55">
        <f t="shared" si="64"/>
        <v>46113</v>
      </c>
      <c r="BC81" s="55">
        <f t="shared" si="64"/>
        <v>46143</v>
      </c>
      <c r="BD81" s="55">
        <f t="shared" si="64"/>
        <v>46174</v>
      </c>
      <c r="BE81" s="55">
        <f t="shared" si="64"/>
        <v>46204</v>
      </c>
      <c r="BF81" s="55">
        <f t="shared" si="64"/>
        <v>46235</v>
      </c>
      <c r="BG81" s="55">
        <f t="shared" si="64"/>
        <v>46266</v>
      </c>
      <c r="BH81" s="55">
        <f t="shared" si="64"/>
        <v>46296</v>
      </c>
      <c r="BI81" s="55">
        <f t="shared" si="64"/>
        <v>46327</v>
      </c>
      <c r="BJ81" s="58">
        <f t="shared" si="64"/>
        <v>46357</v>
      </c>
      <c r="BK81" s="51"/>
      <c r="BL81" s="120"/>
      <c r="BM81" s="51"/>
    </row>
    <row r="82" spans="1:126" ht="15.75" thickTop="1" x14ac:dyDescent="0.25">
      <c r="B82" s="141" t="s">
        <v>3</v>
      </c>
      <c r="C82" s="71">
        <f>((C4+BO4)*C$80)</f>
        <v>22.320000000011419</v>
      </c>
      <c r="D82" s="71">
        <f t="shared" ref="D82" si="65">((D4+BP4)*D$80)</f>
        <v>20.159999999981665</v>
      </c>
      <c r="E82" s="71">
        <f t="shared" ref="E82" si="66">((E4+BQ4)*E$80)</f>
        <v>-14857.679999999998</v>
      </c>
      <c r="F82" s="71">
        <f t="shared" ref="F82" si="67">((F4+BR4)*F$80)</f>
        <v>-21578.399999999998</v>
      </c>
      <c r="G82" s="71">
        <f t="shared" ref="G82" si="68">((G4+BS4)*G$80)</f>
        <v>-6673.6800000000203</v>
      </c>
      <c r="H82" s="71">
        <f t="shared" ref="H82" si="69">((H4+BT4)*H$80)</f>
        <v>21.599999999980355</v>
      </c>
      <c r="I82" s="71">
        <f t="shared" ref="I82" si="70">((I4+BU4)*I$80)</f>
        <v>22.319999999990273</v>
      </c>
      <c r="J82" s="71">
        <f t="shared" ref="J82" si="71">((J4+BV4)*J$80)</f>
        <v>22.320000000006132</v>
      </c>
      <c r="K82" s="71">
        <f t="shared" ref="K82" si="72">((K4+BW4)*K$80)</f>
        <v>-174.39983999997821</v>
      </c>
      <c r="L82" s="71">
        <f t="shared" ref="L82" si="73">((L4+BX4)*L$80)</f>
        <v>677.45812799999908</v>
      </c>
      <c r="M82" s="71">
        <f t="shared" ref="M82" si="74">((M4+BY4)*M$80)</f>
        <v>21.599999999980355</v>
      </c>
      <c r="N82" s="72">
        <f t="shared" ref="N82" si="75">((N4+BZ4)*N$80)</f>
        <v>3370.3200000000006</v>
      </c>
      <c r="O82" s="71">
        <f t="shared" ref="O82" si="76">((O4+CA4)*O$80)</f>
        <v>-10168.000248000002</v>
      </c>
      <c r="P82" s="71">
        <f t="shared" ref="P82" si="77">((P4+CB4)*P$80)</f>
        <v>-1926.4002240000141</v>
      </c>
      <c r="Q82" s="71">
        <f t="shared" ref="Q82" si="78">((Q4+CC4)*Q$80)</f>
        <v>-124.00024800001347</v>
      </c>
      <c r="R82" s="71">
        <f t="shared" ref="R82" si="79">((R4+CD4)*R$80)</f>
        <v>-11102.400000000001</v>
      </c>
      <c r="S82" s="71">
        <f t="shared" ref="S82" si="80">((S4+CE4)*S$80)</f>
        <v>-25772.16</v>
      </c>
      <c r="T82" s="71">
        <f t="shared" ref="T82" si="81">((T4+CF4)*T$80)</f>
        <v>-23040</v>
      </c>
      <c r="U82" s="71">
        <f t="shared" ref="U82" si="82">((U4+CG4)*U$80)</f>
        <v>-19716</v>
      </c>
      <c r="V82" s="71">
        <f t="shared" ref="V82" si="83">((V4+CH4)*V$80)</f>
        <v>-15995.999999999998</v>
      </c>
      <c r="W82" s="71">
        <f t="shared" ref="W82" si="84">((W4+CI4)*W$80)</f>
        <v>-15480</v>
      </c>
      <c r="X82" s="71">
        <f t="shared" ref="X82" si="85">((X4+CJ4)*X$80)</f>
        <v>-5208</v>
      </c>
      <c r="Y82" s="71">
        <f t="shared" ref="Y82" si="86">((Y4+CK4)*Y$80)</f>
        <v>-5040</v>
      </c>
      <c r="Z82" s="73">
        <f t="shared" ref="Z82" si="87">((Z4+CL4)*Z$80)</f>
        <v>-5207.9999999999964</v>
      </c>
      <c r="AA82" s="71">
        <f t="shared" ref="AA82" si="88">((AA4+CM4)*AA$80)</f>
        <v>-6696</v>
      </c>
      <c r="AB82" s="71">
        <f t="shared" ref="AB82" si="89">((AB4+CN4)*AB$80)</f>
        <v>-6264</v>
      </c>
      <c r="AC82" s="71">
        <f t="shared" ref="AC82" si="90">((AC4+CO4)*AC$80)</f>
        <v>-6696</v>
      </c>
      <c r="AD82" s="71">
        <f t="shared" ref="AD82" si="91">((AD4+CP4)*AD$80)</f>
        <v>-6480</v>
      </c>
      <c r="AE82" s="71">
        <f t="shared" ref="AE82" si="92">((AE4+CQ4)*AE$80)</f>
        <v>-6696</v>
      </c>
      <c r="AF82" s="71">
        <f t="shared" ref="AF82" si="93">((AF4+CR4)*AF$80)</f>
        <v>-6480</v>
      </c>
      <c r="AG82" s="71">
        <f t="shared" ref="AG82" si="94">((AG4+CS4)*AG$80)</f>
        <v>-6696</v>
      </c>
      <c r="AH82" s="71">
        <f t="shared" ref="AH82" si="95">((AH4+CT4)*AH$80)</f>
        <v>-6696</v>
      </c>
      <c r="AI82" s="71">
        <f t="shared" ref="AI82" si="96">((AI4+CU4)*AI$80)</f>
        <v>-6480</v>
      </c>
      <c r="AJ82" s="71">
        <f t="shared" ref="AJ82" si="97">((AJ4+CV4)*AJ$80)</f>
        <v>-6696</v>
      </c>
      <c r="AK82" s="71">
        <f t="shared" ref="AK82" si="98">((AK4+CW4)*AK$80)</f>
        <v>-6480</v>
      </c>
      <c r="AL82" s="72">
        <f t="shared" ref="AL82" si="99">((AL4+CX4)*AL$80)</f>
        <v>-6696</v>
      </c>
      <c r="AM82" s="71">
        <f t="shared" ref="AM82" si="100">((AM4+CY4)*AM$80)</f>
        <v>0</v>
      </c>
      <c r="AN82" s="71">
        <f t="shared" ref="AN82" si="101">((AN4+CZ4)*AN$80)</f>
        <v>0</v>
      </c>
      <c r="AO82" s="71">
        <f t="shared" ref="AO82" si="102">((AO4+DA4)*AO$80)</f>
        <v>0</v>
      </c>
      <c r="AP82" s="71">
        <f t="shared" ref="AP82" si="103">((AP4+DB4)*AP$80)</f>
        <v>0</v>
      </c>
      <c r="AQ82" s="71">
        <f t="shared" ref="AQ82" si="104">((AQ4+DC4)*AQ$80)</f>
        <v>0</v>
      </c>
      <c r="AR82" s="71">
        <f t="shared" ref="AR82" si="105">((AR4+DD4)*AR$80)</f>
        <v>0</v>
      </c>
      <c r="AS82" s="71">
        <f t="shared" ref="AS82" si="106">((AS4+DE4)*AS$80)</f>
        <v>0</v>
      </c>
      <c r="AT82" s="71">
        <f t="shared" ref="AT82" si="107">((AT4+DF4)*AT$80)</f>
        <v>0</v>
      </c>
      <c r="AU82" s="71">
        <f t="shared" ref="AU82" si="108">((AU4+DG4)*AU$80)</f>
        <v>0</v>
      </c>
      <c r="AV82" s="71">
        <f t="shared" ref="AV82" si="109">((AV4+DH4)*AV$80)</f>
        <v>0</v>
      </c>
      <c r="AW82" s="71">
        <f t="shared" ref="AW82" si="110">((AW4+DI4)*AW$80)</f>
        <v>0</v>
      </c>
      <c r="AX82" s="73">
        <f t="shared" ref="AX82" si="111">((AX4+DJ4)*AX$80)</f>
        <v>0</v>
      </c>
      <c r="AY82" s="71">
        <f t="shared" ref="AY82" si="112">((AY4+DK4)*AY$80)</f>
        <v>0</v>
      </c>
      <c r="AZ82" s="71">
        <f t="shared" ref="AZ82" si="113">((AZ4+DL4)*AZ$80)</f>
        <v>0</v>
      </c>
      <c r="BA82" s="71">
        <f t="shared" ref="BA82" si="114">((BA4+DM4)*BA$80)</f>
        <v>0</v>
      </c>
      <c r="BB82" s="71">
        <f t="shared" ref="BB82" si="115">((BB4+DN4)*BB$80)</f>
        <v>0</v>
      </c>
      <c r="BC82" s="71">
        <f t="shared" ref="BC82" si="116">((BC4+DO4)*BC$80)</f>
        <v>0</v>
      </c>
      <c r="BD82" s="71">
        <f t="shared" ref="BD82" si="117">((BD4+DP4)*BD$80)</f>
        <v>0</v>
      </c>
      <c r="BE82" s="71">
        <f t="shared" ref="BE82" si="118">((BE4+DQ4)*BE$80)</f>
        <v>0</v>
      </c>
      <c r="BF82" s="71">
        <f t="shared" ref="BF82" si="119">((BF4+DR4)*BF$80)</f>
        <v>0</v>
      </c>
      <c r="BG82" s="71">
        <f t="shared" ref="BG82" si="120">((BG4+DS4)*BG$80)</f>
        <v>0</v>
      </c>
      <c r="BH82" s="71">
        <f t="shared" ref="BH82" si="121">((BH4+DT4)*BH$80)</f>
        <v>0</v>
      </c>
      <c r="BI82" s="71">
        <f t="shared" ref="BI82" si="122">((BI4+DU4)*BI$80)</f>
        <v>0</v>
      </c>
      <c r="BJ82" s="73">
        <f t="shared" ref="BJ82" si="123">((BJ4+DV4)*BJ$80)</f>
        <v>0</v>
      </c>
      <c r="BK82" s="51"/>
      <c r="BL82" s="120"/>
      <c r="BM82" s="51"/>
    </row>
    <row r="83" spans="1:126" x14ac:dyDescent="0.25">
      <c r="A83" s="103" t="s">
        <v>48</v>
      </c>
      <c r="B83" s="74" t="s">
        <v>24</v>
      </c>
      <c r="C83" s="71">
        <f t="shared" ref="C83" si="124">((C9+BO9)*C$80)</f>
        <v>0</v>
      </c>
      <c r="D83" s="71">
        <f t="shared" ref="D83" si="125">((D9+BP9)*D$80)</f>
        <v>0</v>
      </c>
      <c r="E83" s="71">
        <f t="shared" ref="E83" si="126">((E9+BQ9)*E$80)</f>
        <v>0</v>
      </c>
      <c r="F83" s="71">
        <f t="shared" ref="F83" si="127">((F9+BR9)*F$80)</f>
        <v>0</v>
      </c>
      <c r="G83" s="71">
        <f t="shared" ref="G83" si="128">((G9+BS9)*G$80)</f>
        <v>0</v>
      </c>
      <c r="H83" s="71">
        <f t="shared" ref="H83" si="129">((H9+BT9)*H$80)</f>
        <v>0</v>
      </c>
      <c r="I83" s="71">
        <f t="shared" ref="I83" si="130">((I9+BU9)*I$80)</f>
        <v>0</v>
      </c>
      <c r="J83" s="71">
        <f t="shared" ref="J83" si="131">((J9+BV9)*J$80)</f>
        <v>0</v>
      </c>
      <c r="K83" s="71">
        <f t="shared" ref="K83" si="132">((K9+BW9)*K$80)</f>
        <v>0</v>
      </c>
      <c r="L83" s="71">
        <f t="shared" ref="L83" si="133">((L9+BX9)*L$80)</f>
        <v>0</v>
      </c>
      <c r="M83" s="71">
        <f t="shared" ref="M83" si="134">((M9+BY9)*M$80)</f>
        <v>0</v>
      </c>
      <c r="N83" s="72">
        <f t="shared" ref="N83" si="135">((N9+BZ9)*N$80)</f>
        <v>0</v>
      </c>
      <c r="O83" s="71">
        <f t="shared" ref="O83" si="136">((O9+CA9)*O$80)</f>
        <v>0</v>
      </c>
      <c r="P83" s="71">
        <f t="shared" ref="P83" si="137">((P9+CB9)*P$80)</f>
        <v>0</v>
      </c>
      <c r="Q83" s="71">
        <f t="shared" ref="Q83" si="138">((Q9+CC9)*Q$80)</f>
        <v>0</v>
      </c>
      <c r="R83" s="71">
        <f t="shared" ref="R83" si="139">((R9+CD9)*R$80)</f>
        <v>0</v>
      </c>
      <c r="S83" s="71">
        <f t="shared" ref="S83" si="140">((S9+CE9)*S$80)</f>
        <v>0</v>
      </c>
      <c r="T83" s="71">
        <f t="shared" ref="T83" si="141">((T9+CF9)*T$80)</f>
        <v>0</v>
      </c>
      <c r="U83" s="71">
        <f t="shared" ref="U83" si="142">((U9+CG9)*U$80)</f>
        <v>0</v>
      </c>
      <c r="V83" s="71">
        <f t="shared" ref="V83" si="143">((V9+CH9)*V$80)</f>
        <v>0</v>
      </c>
      <c r="W83" s="71">
        <f t="shared" ref="W83" si="144">((W9+CI9)*W$80)</f>
        <v>0</v>
      </c>
      <c r="X83" s="71">
        <f t="shared" ref="X83" si="145">((X9+CJ9)*X$80)</f>
        <v>0</v>
      </c>
      <c r="Y83" s="71">
        <f t="shared" ref="Y83" si="146">((Y9+CK9)*Y$80)</f>
        <v>0</v>
      </c>
      <c r="Z83" s="73">
        <f t="shared" ref="Z83" si="147">((Z9+CL9)*Z$80)</f>
        <v>0</v>
      </c>
      <c r="AA83" s="71">
        <f t="shared" ref="AA83" si="148">((AA9+CM9)*AA$80)</f>
        <v>0</v>
      </c>
      <c r="AB83" s="71">
        <f t="shared" ref="AB83" si="149">((AB9+CN9)*AB$80)</f>
        <v>0</v>
      </c>
      <c r="AC83" s="71">
        <f t="shared" ref="AC83" si="150">((AC9+CO9)*AC$80)</f>
        <v>0</v>
      </c>
      <c r="AD83" s="71">
        <f t="shared" ref="AD83" si="151">((AD9+CP9)*AD$80)</f>
        <v>0</v>
      </c>
      <c r="AE83" s="71">
        <f t="shared" ref="AE83" si="152">((AE9+CQ9)*AE$80)</f>
        <v>0</v>
      </c>
      <c r="AF83" s="71">
        <f t="shared" ref="AF83" si="153">((AF9+CR9)*AF$80)</f>
        <v>0</v>
      </c>
      <c r="AG83" s="71">
        <f t="shared" ref="AG83" si="154">((AG9+CS9)*AG$80)</f>
        <v>0</v>
      </c>
      <c r="AH83" s="71">
        <f t="shared" ref="AH83" si="155">((AH9+CT9)*AH$80)</f>
        <v>0</v>
      </c>
      <c r="AI83" s="71">
        <f t="shared" ref="AI83" si="156">((AI9+CU9)*AI$80)</f>
        <v>0</v>
      </c>
      <c r="AJ83" s="71">
        <f t="shared" ref="AJ83" si="157">((AJ9+CV9)*AJ$80)</f>
        <v>0</v>
      </c>
      <c r="AK83" s="71">
        <f t="shared" ref="AK83" si="158">((AK9+CW9)*AK$80)</f>
        <v>0</v>
      </c>
      <c r="AL83" s="72">
        <f t="shared" ref="AL83" si="159">((AL9+CX9)*AL$80)</f>
        <v>0</v>
      </c>
      <c r="AM83" s="71">
        <f t="shared" ref="AM83" si="160">((AM9+CY9)*AM$80)</f>
        <v>0</v>
      </c>
      <c r="AN83" s="71">
        <f t="shared" ref="AN83" si="161">((AN9+CZ9)*AN$80)</f>
        <v>0</v>
      </c>
      <c r="AO83" s="71">
        <f t="shared" ref="AO83" si="162">((AO9+DA9)*AO$80)</f>
        <v>0</v>
      </c>
      <c r="AP83" s="71">
        <f t="shared" ref="AP83" si="163">((AP9+DB9)*AP$80)</f>
        <v>0</v>
      </c>
      <c r="AQ83" s="71">
        <f t="shared" ref="AQ83" si="164">((AQ9+DC9)*AQ$80)</f>
        <v>0</v>
      </c>
      <c r="AR83" s="71">
        <f t="shared" ref="AR83" si="165">((AR9+DD9)*AR$80)</f>
        <v>0</v>
      </c>
      <c r="AS83" s="71">
        <f t="shared" ref="AS83" si="166">((AS9+DE9)*AS$80)</f>
        <v>0</v>
      </c>
      <c r="AT83" s="71">
        <f t="shared" ref="AT83" si="167">((AT9+DF9)*AT$80)</f>
        <v>0</v>
      </c>
      <c r="AU83" s="71">
        <f t="shared" ref="AU83" si="168">((AU9+DG9)*AU$80)</f>
        <v>0</v>
      </c>
      <c r="AV83" s="71">
        <f t="shared" ref="AV83" si="169">((AV9+DH9)*AV$80)</f>
        <v>0</v>
      </c>
      <c r="AW83" s="71">
        <f t="shared" ref="AW83" si="170">((AW9+DI9)*AW$80)</f>
        <v>0</v>
      </c>
      <c r="AX83" s="73">
        <f t="shared" ref="AX83" si="171">((AX9+DJ9)*AX$80)</f>
        <v>0</v>
      </c>
      <c r="AY83" s="71">
        <f t="shared" ref="AY83" si="172">((AY9+DK9)*AY$80)</f>
        <v>0</v>
      </c>
      <c r="AZ83" s="71">
        <f t="shared" ref="AZ83" si="173">((AZ9+DL9)*AZ$80)</f>
        <v>0</v>
      </c>
      <c r="BA83" s="71">
        <f t="shared" ref="BA83" si="174">((BA9+DM9)*BA$80)</f>
        <v>0</v>
      </c>
      <c r="BB83" s="71">
        <f t="shared" ref="BB83" si="175">((BB9+DN9)*BB$80)</f>
        <v>0</v>
      </c>
      <c r="BC83" s="71">
        <f t="shared" ref="BC83" si="176">((BC9+DO9)*BC$80)</f>
        <v>0</v>
      </c>
      <c r="BD83" s="71">
        <f t="shared" ref="BD83" si="177">((BD9+DP9)*BD$80)</f>
        <v>0</v>
      </c>
      <c r="BE83" s="71">
        <f t="shared" ref="BE83" si="178">((BE9+DQ9)*BE$80)</f>
        <v>0</v>
      </c>
      <c r="BF83" s="71">
        <f t="shared" ref="BF83" si="179">((BF9+DR9)*BF$80)</f>
        <v>0</v>
      </c>
      <c r="BG83" s="71">
        <f t="shared" ref="BG83" si="180">((BG9+DS9)*BG$80)</f>
        <v>0</v>
      </c>
      <c r="BH83" s="71">
        <f t="shared" ref="BH83" si="181">((BH9+DT9)*BH$80)</f>
        <v>0</v>
      </c>
      <c r="BI83" s="71">
        <f t="shared" ref="BI83" si="182">((BI9+DU9)*BI$80)</f>
        <v>0</v>
      </c>
      <c r="BJ83" s="73">
        <f t="shared" ref="BJ83" si="183">((BJ9+DV9)*BJ$80)</f>
        <v>0</v>
      </c>
      <c r="BL83" s="120"/>
    </row>
    <row r="84" spans="1:126" x14ac:dyDescent="0.25">
      <c r="B84" s="74" t="s">
        <v>5</v>
      </c>
      <c r="C84" s="71">
        <f t="shared" ref="C84" si="184">((C14+BO14)*C$80)</f>
        <v>0</v>
      </c>
      <c r="D84" s="71">
        <f t="shared" ref="D84" si="185">((D14+BP14)*D$80)</f>
        <v>0</v>
      </c>
      <c r="E84" s="71">
        <f t="shared" ref="E84" si="186">((E14+BQ14)*E$80)</f>
        <v>0</v>
      </c>
      <c r="F84" s="71">
        <f t="shared" ref="F84" si="187">((F14+BR14)*F$80)</f>
        <v>0</v>
      </c>
      <c r="G84" s="71">
        <f t="shared" ref="G84" si="188">((G14+BS14)*G$80)</f>
        <v>0</v>
      </c>
      <c r="H84" s="71">
        <f t="shared" ref="H84" si="189">((H14+BT14)*H$80)</f>
        <v>0</v>
      </c>
      <c r="I84" s="71">
        <f t="shared" ref="I84" si="190">((I14+BU14)*I$80)</f>
        <v>0</v>
      </c>
      <c r="J84" s="71">
        <f t="shared" ref="J84" si="191">((J14+BV14)*J$80)</f>
        <v>7440</v>
      </c>
      <c r="K84" s="71">
        <f t="shared" ref="K84" si="192">((K14+BW14)*K$80)</f>
        <v>0</v>
      </c>
      <c r="L84" s="71">
        <f t="shared" ref="L84" si="193">((L14+BX14)*L$80)</f>
        <v>0</v>
      </c>
      <c r="M84" s="71">
        <f t="shared" ref="M84" si="194">((M14+BY14)*M$80)</f>
        <v>0</v>
      </c>
      <c r="N84" s="72">
        <f t="shared" ref="N84" si="195">((N14+BZ14)*N$80)</f>
        <v>0</v>
      </c>
      <c r="O84" s="71">
        <f t="shared" ref="O84" si="196">((O14+CA14)*O$80)</f>
        <v>0</v>
      </c>
      <c r="P84" s="71">
        <f t="shared" ref="P84" si="197">((P14+CB14)*P$80)</f>
        <v>0</v>
      </c>
      <c r="Q84" s="71">
        <f t="shared" ref="Q84" si="198">((Q14+CC14)*Q$80)</f>
        <v>0</v>
      </c>
      <c r="R84" s="71">
        <f t="shared" ref="R84" si="199">((R14+CD14)*R$80)</f>
        <v>0</v>
      </c>
      <c r="S84" s="71">
        <f t="shared" ref="S84" si="200">((S14+CE14)*S$80)</f>
        <v>0</v>
      </c>
      <c r="T84" s="71">
        <f t="shared" ref="T84" si="201">((T14+CF14)*T$80)</f>
        <v>0</v>
      </c>
      <c r="U84" s="71">
        <f t="shared" ref="U84" si="202">((U14+CG14)*U$80)</f>
        <v>0</v>
      </c>
      <c r="V84" s="71">
        <f t="shared" ref="V84" si="203">((V14+CH14)*V$80)</f>
        <v>0</v>
      </c>
      <c r="W84" s="71">
        <f t="shared" ref="W84" si="204">((W14+CI14)*W$80)</f>
        <v>0</v>
      </c>
      <c r="X84" s="71">
        <f t="shared" ref="X84" si="205">((X14+CJ14)*X$80)</f>
        <v>0</v>
      </c>
      <c r="Y84" s="71">
        <f t="shared" ref="Y84" si="206">((Y14+CK14)*Y$80)</f>
        <v>0</v>
      </c>
      <c r="Z84" s="73">
        <f t="shared" ref="Z84" si="207">((Z14+CL14)*Z$80)</f>
        <v>0</v>
      </c>
      <c r="AA84" s="71">
        <f t="shared" ref="AA84" si="208">((AA14+CM14)*AA$80)</f>
        <v>-3720</v>
      </c>
      <c r="AB84" s="71">
        <f t="shared" ref="AB84" si="209">((AB14+CN14)*AB$80)</f>
        <v>-3480</v>
      </c>
      <c r="AC84" s="71">
        <f t="shared" ref="AC84" si="210">((AC14+CO14)*AC$80)</f>
        <v>-3720</v>
      </c>
      <c r="AD84" s="71">
        <f t="shared" ref="AD84" si="211">((AD14+CP14)*AD$80)</f>
        <v>-3600</v>
      </c>
      <c r="AE84" s="71">
        <f t="shared" ref="AE84" si="212">((AE14+CQ14)*AE$80)</f>
        <v>-3720</v>
      </c>
      <c r="AF84" s="71">
        <f t="shared" ref="AF84" si="213">((AF14+CR14)*AF$80)</f>
        <v>-3600</v>
      </c>
      <c r="AG84" s="71">
        <f t="shared" ref="AG84" si="214">((AG14+CS14)*AG$80)</f>
        <v>-3720</v>
      </c>
      <c r="AH84" s="71">
        <f t="shared" ref="AH84" si="215">((AH14+CT14)*AH$80)</f>
        <v>-3720</v>
      </c>
      <c r="AI84" s="71">
        <f t="shared" ref="AI84" si="216">((AI14+CU14)*AI$80)</f>
        <v>-3600</v>
      </c>
      <c r="AJ84" s="71">
        <f t="shared" ref="AJ84" si="217">((AJ14+CV14)*AJ$80)</f>
        <v>-3720</v>
      </c>
      <c r="AK84" s="71">
        <f t="shared" ref="AK84" si="218">((AK14+CW14)*AK$80)</f>
        <v>-3600</v>
      </c>
      <c r="AL84" s="72">
        <f t="shared" ref="AL84" si="219">((AL14+CX14)*AL$80)</f>
        <v>-3720</v>
      </c>
      <c r="AM84" s="71">
        <f t="shared" ref="AM84" si="220">((AM14+CY14)*AM$80)</f>
        <v>0</v>
      </c>
      <c r="AN84" s="71">
        <f t="shared" ref="AN84" si="221">((AN14+CZ14)*AN$80)</f>
        <v>0</v>
      </c>
      <c r="AO84" s="71">
        <f t="shared" ref="AO84" si="222">((AO14+DA14)*AO$80)</f>
        <v>0</v>
      </c>
      <c r="AP84" s="71">
        <f t="shared" ref="AP84" si="223">((AP14+DB14)*AP$80)</f>
        <v>0</v>
      </c>
      <c r="AQ84" s="71">
        <f t="shared" ref="AQ84" si="224">((AQ14+DC14)*AQ$80)</f>
        <v>0</v>
      </c>
      <c r="AR84" s="71">
        <f t="shared" ref="AR84" si="225">((AR14+DD14)*AR$80)</f>
        <v>0</v>
      </c>
      <c r="AS84" s="71">
        <f t="shared" ref="AS84" si="226">((AS14+DE14)*AS$80)</f>
        <v>0</v>
      </c>
      <c r="AT84" s="71">
        <f t="shared" ref="AT84" si="227">((AT14+DF14)*AT$80)</f>
        <v>0</v>
      </c>
      <c r="AU84" s="71">
        <f t="shared" ref="AU84" si="228">((AU14+DG14)*AU$80)</f>
        <v>0</v>
      </c>
      <c r="AV84" s="71">
        <f t="shared" ref="AV84" si="229">((AV14+DH14)*AV$80)</f>
        <v>0</v>
      </c>
      <c r="AW84" s="71">
        <f t="shared" ref="AW84" si="230">((AW14+DI14)*AW$80)</f>
        <v>0</v>
      </c>
      <c r="AX84" s="73">
        <f t="shared" ref="AX84" si="231">((AX14+DJ14)*AX$80)</f>
        <v>0</v>
      </c>
      <c r="AY84" s="71">
        <f t="shared" ref="AY84" si="232">((AY14+DK14)*AY$80)</f>
        <v>0</v>
      </c>
      <c r="AZ84" s="71">
        <f t="shared" ref="AZ84" si="233">((AZ14+DL14)*AZ$80)</f>
        <v>0</v>
      </c>
      <c r="BA84" s="71">
        <f t="shared" ref="BA84" si="234">((BA14+DM14)*BA$80)</f>
        <v>0</v>
      </c>
      <c r="BB84" s="71">
        <f t="shared" ref="BB84" si="235">((BB14+DN14)*BB$80)</f>
        <v>0</v>
      </c>
      <c r="BC84" s="71">
        <f t="shared" ref="BC84" si="236">((BC14+DO14)*BC$80)</f>
        <v>0</v>
      </c>
      <c r="BD84" s="71">
        <f t="shared" ref="BD84" si="237">((BD14+DP14)*BD$80)</f>
        <v>0</v>
      </c>
      <c r="BE84" s="71">
        <f t="shared" ref="BE84" si="238">((BE14+DQ14)*BE$80)</f>
        <v>0</v>
      </c>
      <c r="BF84" s="71">
        <f t="shared" ref="BF84" si="239">((BF14+DR14)*BF$80)</f>
        <v>0</v>
      </c>
      <c r="BG84" s="71">
        <f t="shared" ref="BG84" si="240">((BG14+DS14)*BG$80)</f>
        <v>0</v>
      </c>
      <c r="BH84" s="71">
        <f t="shared" ref="BH84" si="241">((BH14+DT14)*BH$80)</f>
        <v>0</v>
      </c>
      <c r="BI84" s="71">
        <f t="shared" ref="BI84" si="242">((BI14+DU14)*BI$80)</f>
        <v>0</v>
      </c>
      <c r="BJ84" s="73">
        <f t="shared" ref="BJ84" si="243">((BJ14+DV14)*BJ$80)</f>
        <v>0</v>
      </c>
      <c r="BL84" s="120"/>
    </row>
    <row r="85" spans="1:126" x14ac:dyDescent="0.25">
      <c r="B85" s="74" t="s">
        <v>6</v>
      </c>
      <c r="C85" s="71">
        <f t="shared" ref="C85" si="244">((C19+BO19)*C$80)</f>
        <v>0</v>
      </c>
      <c r="D85" s="71">
        <f t="shared" ref="D85" si="245">((D19+BP19)*D$80)</f>
        <v>0</v>
      </c>
      <c r="E85" s="71">
        <f t="shared" ref="E85" si="246">((E19+BQ19)*E$80)</f>
        <v>0</v>
      </c>
      <c r="F85" s="71">
        <f t="shared" ref="F85" si="247">((F19+BR19)*F$80)</f>
        <v>0</v>
      </c>
      <c r="G85" s="71">
        <f t="shared" ref="G85" si="248">((G19+BS19)*G$80)</f>
        <v>0</v>
      </c>
      <c r="H85" s="71">
        <f t="shared" ref="H85" si="249">((H19+BT19)*H$80)</f>
        <v>0</v>
      </c>
      <c r="I85" s="71">
        <f t="shared" ref="I85" si="250">((I19+BU19)*I$80)</f>
        <v>0</v>
      </c>
      <c r="J85" s="71">
        <f t="shared" ref="J85" si="251">((J19+BV19)*J$80)</f>
        <v>0</v>
      </c>
      <c r="K85" s="71">
        <f t="shared" ref="K85" si="252">((K19+BW19)*K$80)</f>
        <v>0</v>
      </c>
      <c r="L85" s="71">
        <f t="shared" ref="L85" si="253">((L19+BX19)*L$80)</f>
        <v>0</v>
      </c>
      <c r="M85" s="71">
        <f t="shared" ref="M85" si="254">((M19+BY19)*M$80)</f>
        <v>0</v>
      </c>
      <c r="N85" s="72">
        <f t="shared" ref="N85" si="255">((N19+BZ19)*N$80)</f>
        <v>0</v>
      </c>
      <c r="O85" s="71">
        <f t="shared" ref="O85" si="256">((O19+CA19)*O$80)</f>
        <v>0</v>
      </c>
      <c r="P85" s="71">
        <f t="shared" ref="P85" si="257">((P19+CB19)*P$80)</f>
        <v>0</v>
      </c>
      <c r="Q85" s="71">
        <f t="shared" ref="Q85" si="258">((Q19+CC19)*Q$80)</f>
        <v>0</v>
      </c>
      <c r="R85" s="71">
        <f t="shared" ref="R85" si="259">((R19+CD19)*R$80)</f>
        <v>0</v>
      </c>
      <c r="S85" s="71">
        <f t="shared" ref="S85" si="260">((S19+CE19)*S$80)</f>
        <v>0</v>
      </c>
      <c r="T85" s="71">
        <f t="shared" ref="T85" si="261">((T19+CF19)*T$80)</f>
        <v>0</v>
      </c>
      <c r="U85" s="71">
        <f t="shared" ref="U85" si="262">((U19+CG19)*U$80)</f>
        <v>0</v>
      </c>
      <c r="V85" s="71">
        <f t="shared" ref="V85" si="263">((V19+CH19)*V$80)</f>
        <v>0</v>
      </c>
      <c r="W85" s="71">
        <f t="shared" ref="W85" si="264">((W19+CI19)*W$80)</f>
        <v>0</v>
      </c>
      <c r="X85" s="71">
        <f t="shared" ref="X85" si="265">((X19+CJ19)*X$80)</f>
        <v>0</v>
      </c>
      <c r="Y85" s="71">
        <f t="shared" ref="Y85" si="266">((Y19+CK19)*Y$80)</f>
        <v>0</v>
      </c>
      <c r="Z85" s="73">
        <f t="shared" ref="Z85" si="267">((Z19+CL19)*Z$80)</f>
        <v>0</v>
      </c>
      <c r="AA85" s="71">
        <f t="shared" ref="AA85" si="268">((AA19+CM19)*AA$80)</f>
        <v>0</v>
      </c>
      <c r="AB85" s="71">
        <f t="shared" ref="AB85" si="269">((AB19+CN19)*AB$80)</f>
        <v>0</v>
      </c>
      <c r="AC85" s="71">
        <f t="shared" ref="AC85" si="270">((AC19+CO19)*AC$80)</f>
        <v>0</v>
      </c>
      <c r="AD85" s="71">
        <f t="shared" ref="AD85" si="271">((AD19+CP19)*AD$80)</f>
        <v>0</v>
      </c>
      <c r="AE85" s="71">
        <f t="shared" ref="AE85" si="272">((AE19+CQ19)*AE$80)</f>
        <v>0</v>
      </c>
      <c r="AF85" s="71">
        <f t="shared" ref="AF85" si="273">((AF19+CR19)*AF$80)</f>
        <v>0</v>
      </c>
      <c r="AG85" s="71">
        <f t="shared" ref="AG85" si="274">((AG19+CS19)*AG$80)</f>
        <v>0</v>
      </c>
      <c r="AH85" s="71">
        <f t="shared" ref="AH85" si="275">((AH19+CT19)*AH$80)</f>
        <v>0</v>
      </c>
      <c r="AI85" s="71">
        <f t="shared" ref="AI85" si="276">((AI19+CU19)*AI$80)</f>
        <v>0</v>
      </c>
      <c r="AJ85" s="71">
        <f t="shared" ref="AJ85" si="277">((AJ19+CV19)*AJ$80)</f>
        <v>0</v>
      </c>
      <c r="AK85" s="71">
        <f t="shared" ref="AK85" si="278">((AK19+CW19)*AK$80)</f>
        <v>0</v>
      </c>
      <c r="AL85" s="72">
        <f t="shared" ref="AL85" si="279">((AL19+CX19)*AL$80)</f>
        <v>0</v>
      </c>
      <c r="AM85" s="71">
        <f t="shared" ref="AM85" si="280">((AM19+CY19)*AM$80)</f>
        <v>0</v>
      </c>
      <c r="AN85" s="71">
        <f t="shared" ref="AN85" si="281">((AN19+CZ19)*AN$80)</f>
        <v>0</v>
      </c>
      <c r="AO85" s="71">
        <f t="shared" ref="AO85" si="282">((AO19+DA19)*AO$80)</f>
        <v>0</v>
      </c>
      <c r="AP85" s="71">
        <f t="shared" ref="AP85" si="283">((AP19+DB19)*AP$80)</f>
        <v>0</v>
      </c>
      <c r="AQ85" s="71">
        <f t="shared" ref="AQ85" si="284">((AQ19+DC19)*AQ$80)</f>
        <v>0</v>
      </c>
      <c r="AR85" s="71">
        <f t="shared" ref="AR85" si="285">((AR19+DD19)*AR$80)</f>
        <v>0</v>
      </c>
      <c r="AS85" s="71">
        <f t="shared" ref="AS85" si="286">((AS19+DE19)*AS$80)</f>
        <v>0</v>
      </c>
      <c r="AT85" s="71">
        <f t="shared" ref="AT85" si="287">((AT19+DF19)*AT$80)</f>
        <v>0</v>
      </c>
      <c r="AU85" s="71">
        <f t="shared" ref="AU85" si="288">((AU19+DG19)*AU$80)</f>
        <v>0</v>
      </c>
      <c r="AV85" s="71">
        <f t="shared" ref="AV85" si="289">((AV19+DH19)*AV$80)</f>
        <v>0</v>
      </c>
      <c r="AW85" s="71">
        <f t="shared" ref="AW85" si="290">((AW19+DI19)*AW$80)</f>
        <v>0</v>
      </c>
      <c r="AX85" s="73">
        <f t="shared" ref="AX85" si="291">((AX19+DJ19)*AX$80)</f>
        <v>0</v>
      </c>
      <c r="AY85" s="71">
        <f t="shared" ref="AY85" si="292">((AY19+DK19)*AY$80)</f>
        <v>0</v>
      </c>
      <c r="AZ85" s="71">
        <f t="shared" ref="AZ85" si="293">((AZ19+DL19)*AZ$80)</f>
        <v>0</v>
      </c>
      <c r="BA85" s="71">
        <f t="shared" ref="BA85" si="294">((BA19+DM19)*BA$80)</f>
        <v>0</v>
      </c>
      <c r="BB85" s="71">
        <f t="shared" ref="BB85" si="295">((BB19+DN19)*BB$80)</f>
        <v>0</v>
      </c>
      <c r="BC85" s="71">
        <f t="shared" ref="BC85" si="296">((BC19+DO19)*BC$80)</f>
        <v>0</v>
      </c>
      <c r="BD85" s="71">
        <f t="shared" ref="BD85" si="297">((BD19+DP19)*BD$80)</f>
        <v>0</v>
      </c>
      <c r="BE85" s="71">
        <f t="shared" ref="BE85" si="298">((BE19+DQ19)*BE$80)</f>
        <v>0</v>
      </c>
      <c r="BF85" s="71">
        <f t="shared" ref="BF85" si="299">((BF19+DR19)*BF$80)</f>
        <v>0</v>
      </c>
      <c r="BG85" s="71">
        <f t="shared" ref="BG85" si="300">((BG19+DS19)*BG$80)</f>
        <v>0</v>
      </c>
      <c r="BH85" s="71">
        <f t="shared" ref="BH85" si="301">((BH19+DT19)*BH$80)</f>
        <v>0</v>
      </c>
      <c r="BI85" s="71">
        <f t="shared" ref="BI85" si="302">((BI19+DU19)*BI$80)</f>
        <v>0</v>
      </c>
      <c r="BJ85" s="73">
        <f t="shared" ref="BJ85" si="303">((BJ19+DV19)*BJ$80)</f>
        <v>0</v>
      </c>
      <c r="BL85" s="120"/>
    </row>
    <row r="86" spans="1:126" x14ac:dyDescent="0.25">
      <c r="A86" s="103" t="s">
        <v>48</v>
      </c>
      <c r="B86" s="74" t="s">
        <v>68</v>
      </c>
      <c r="C86" s="71">
        <f t="shared" ref="C86" si="304">((C24+BO24)*C$80)</f>
        <v>0</v>
      </c>
      <c r="D86" s="71">
        <f t="shared" ref="D86" si="305">((D24+BP24)*D$80)</f>
        <v>0</v>
      </c>
      <c r="E86" s="71">
        <f t="shared" ref="E86" si="306">((E24+BQ24)*E$80)</f>
        <v>0</v>
      </c>
      <c r="F86" s="71">
        <f t="shared" ref="F86" si="307">((F24+BR24)*F$80)</f>
        <v>0</v>
      </c>
      <c r="G86" s="71">
        <f t="shared" ref="G86" si="308">((G24+BS24)*G$80)</f>
        <v>0</v>
      </c>
      <c r="H86" s="71">
        <f t="shared" ref="H86" si="309">((H24+BT24)*H$80)</f>
        <v>0</v>
      </c>
      <c r="I86" s="71">
        <f t="shared" ref="I86" si="310">((I24+BU24)*I$80)</f>
        <v>0</v>
      </c>
      <c r="J86" s="71">
        <f t="shared" ref="J86" si="311">((J24+BV24)*J$80)</f>
        <v>0</v>
      </c>
      <c r="K86" s="71">
        <f t="shared" ref="K86" si="312">((K24+BW24)*K$80)</f>
        <v>0</v>
      </c>
      <c r="L86" s="71">
        <f t="shared" ref="L86" si="313">((L24+BX24)*L$80)</f>
        <v>0</v>
      </c>
      <c r="M86" s="71">
        <f t="shared" ref="M86" si="314">((M24+BY24)*M$80)</f>
        <v>0</v>
      </c>
      <c r="N86" s="72">
        <f t="shared" ref="N86" si="315">((N24+BZ24)*N$80)</f>
        <v>0</v>
      </c>
      <c r="O86" s="71">
        <f t="shared" ref="O86" si="316">((O24+CA24)*O$80)</f>
        <v>0</v>
      </c>
      <c r="P86" s="71">
        <f t="shared" ref="P86" si="317">((P24+CB24)*P$80)</f>
        <v>0</v>
      </c>
      <c r="Q86" s="71">
        <f t="shared" ref="Q86" si="318">((Q24+CC24)*Q$80)</f>
        <v>0</v>
      </c>
      <c r="R86" s="71">
        <f t="shared" ref="R86" si="319">((R24+CD24)*R$80)</f>
        <v>0</v>
      </c>
      <c r="S86" s="71">
        <f t="shared" ref="S86" si="320">((S24+CE24)*S$80)</f>
        <v>0</v>
      </c>
      <c r="T86" s="71">
        <f t="shared" ref="T86" si="321">((T24+CF24)*T$80)</f>
        <v>0</v>
      </c>
      <c r="U86" s="71">
        <f t="shared" ref="U86" si="322">((U24+CG24)*U$80)</f>
        <v>0</v>
      </c>
      <c r="V86" s="71">
        <f t="shared" ref="V86" si="323">((V24+CH24)*V$80)</f>
        <v>0</v>
      </c>
      <c r="W86" s="71">
        <f t="shared" ref="W86" si="324">((W24+CI24)*W$80)</f>
        <v>0</v>
      </c>
      <c r="X86" s="71">
        <f t="shared" ref="X86" si="325">((X24+CJ24)*X$80)</f>
        <v>0</v>
      </c>
      <c r="Y86" s="71">
        <f t="shared" ref="Y86" si="326">((Y24+CK24)*Y$80)</f>
        <v>0</v>
      </c>
      <c r="Z86" s="73">
        <f t="shared" ref="Z86" si="327">((Z24+CL24)*Z$80)</f>
        <v>0</v>
      </c>
      <c r="AA86" s="71">
        <f t="shared" ref="AA86" si="328">((AA24+CM24)*AA$80)</f>
        <v>0</v>
      </c>
      <c r="AB86" s="71">
        <f t="shared" ref="AB86" si="329">((AB24+CN24)*AB$80)</f>
        <v>0</v>
      </c>
      <c r="AC86" s="71">
        <f t="shared" ref="AC86" si="330">((AC24+CO24)*AC$80)</f>
        <v>0</v>
      </c>
      <c r="AD86" s="71">
        <f t="shared" ref="AD86" si="331">((AD24+CP24)*AD$80)</f>
        <v>0</v>
      </c>
      <c r="AE86" s="71">
        <f t="shared" ref="AE86" si="332">((AE24+CQ24)*AE$80)</f>
        <v>0</v>
      </c>
      <c r="AF86" s="71">
        <f t="shared" ref="AF86" si="333">((AF24+CR24)*AF$80)</f>
        <v>0</v>
      </c>
      <c r="AG86" s="71">
        <f t="shared" ref="AG86" si="334">((AG24+CS24)*AG$80)</f>
        <v>0</v>
      </c>
      <c r="AH86" s="71">
        <f t="shared" ref="AH86" si="335">((AH24+CT24)*AH$80)</f>
        <v>0</v>
      </c>
      <c r="AI86" s="71">
        <f t="shared" ref="AI86" si="336">((AI24+CU24)*AI$80)</f>
        <v>0</v>
      </c>
      <c r="AJ86" s="71">
        <f t="shared" ref="AJ86" si="337">((AJ24+CV24)*AJ$80)</f>
        <v>0</v>
      </c>
      <c r="AK86" s="71">
        <f t="shared" ref="AK86" si="338">((AK24+CW24)*AK$80)</f>
        <v>0</v>
      </c>
      <c r="AL86" s="72">
        <f t="shared" ref="AL86" si="339">((AL24+CX24)*AL$80)</f>
        <v>0</v>
      </c>
      <c r="AM86" s="71">
        <f t="shared" ref="AM86" si="340">((AM24+CY24)*AM$80)</f>
        <v>0</v>
      </c>
      <c r="AN86" s="71">
        <f t="shared" ref="AN86" si="341">((AN24+CZ24)*AN$80)</f>
        <v>0</v>
      </c>
      <c r="AO86" s="71">
        <f t="shared" ref="AO86" si="342">((AO24+DA24)*AO$80)</f>
        <v>0</v>
      </c>
      <c r="AP86" s="71">
        <f t="shared" ref="AP86" si="343">((AP24+DB24)*AP$80)</f>
        <v>0</v>
      </c>
      <c r="AQ86" s="71">
        <f t="shared" ref="AQ86" si="344">((AQ24+DC24)*AQ$80)</f>
        <v>0</v>
      </c>
      <c r="AR86" s="71">
        <f t="shared" ref="AR86" si="345">((AR24+DD24)*AR$80)</f>
        <v>0</v>
      </c>
      <c r="AS86" s="71">
        <f t="shared" ref="AS86" si="346">((AS24+DE24)*AS$80)</f>
        <v>0</v>
      </c>
      <c r="AT86" s="71">
        <f t="shared" ref="AT86" si="347">((AT24+DF24)*AT$80)</f>
        <v>0</v>
      </c>
      <c r="AU86" s="71">
        <f t="shared" ref="AU86" si="348">((AU24+DG24)*AU$80)</f>
        <v>0</v>
      </c>
      <c r="AV86" s="71">
        <f t="shared" ref="AV86" si="349">((AV24+DH24)*AV$80)</f>
        <v>0</v>
      </c>
      <c r="AW86" s="71">
        <f t="shared" ref="AW86" si="350">((AW24+DI24)*AW$80)</f>
        <v>0</v>
      </c>
      <c r="AX86" s="73">
        <f t="shared" ref="AX86" si="351">((AX24+DJ24)*AX$80)</f>
        <v>0</v>
      </c>
      <c r="AY86" s="71">
        <f t="shared" ref="AY86" si="352">((AY24+DK24)*AY$80)</f>
        <v>0</v>
      </c>
      <c r="AZ86" s="71">
        <f t="shared" ref="AZ86" si="353">((AZ24+DL24)*AZ$80)</f>
        <v>0</v>
      </c>
      <c r="BA86" s="71">
        <f t="shared" ref="BA86" si="354">((BA24+DM24)*BA$80)</f>
        <v>0</v>
      </c>
      <c r="BB86" s="71">
        <f t="shared" ref="BB86" si="355">((BB24+DN24)*BB$80)</f>
        <v>0</v>
      </c>
      <c r="BC86" s="71">
        <f t="shared" ref="BC86" si="356">((BC24+DO24)*BC$80)</f>
        <v>0</v>
      </c>
      <c r="BD86" s="71">
        <f t="shared" ref="BD86" si="357">((BD24+DP24)*BD$80)</f>
        <v>0</v>
      </c>
      <c r="BE86" s="71">
        <f t="shared" ref="BE86" si="358">((BE24+DQ24)*BE$80)</f>
        <v>0</v>
      </c>
      <c r="BF86" s="71">
        <f t="shared" ref="BF86" si="359">((BF24+DR24)*BF$80)</f>
        <v>0</v>
      </c>
      <c r="BG86" s="71">
        <f t="shared" ref="BG86" si="360">((BG24+DS24)*BG$80)</f>
        <v>0</v>
      </c>
      <c r="BH86" s="71">
        <f t="shared" ref="BH86" si="361">((BH24+DT24)*BH$80)</f>
        <v>0</v>
      </c>
      <c r="BI86" s="71">
        <f t="shared" ref="BI86" si="362">((BI24+DU24)*BI$80)</f>
        <v>0</v>
      </c>
      <c r="BJ86" s="73">
        <f t="shared" ref="BJ86" si="363">((BJ24+DV24)*BJ$80)</f>
        <v>0</v>
      </c>
      <c r="BL86" s="120"/>
    </row>
    <row r="87" spans="1:126" x14ac:dyDescent="0.25">
      <c r="B87" s="74" t="s">
        <v>67</v>
      </c>
      <c r="C87" s="71">
        <f t="shared" ref="C87" si="364">((C29+BO29)*C$80)</f>
        <v>0</v>
      </c>
      <c r="D87" s="71">
        <f t="shared" ref="D87" si="365">((D29+BP29)*D$80)</f>
        <v>0</v>
      </c>
      <c r="E87" s="71">
        <f t="shared" ref="E87" si="366">((E29+BQ29)*E$80)</f>
        <v>0</v>
      </c>
      <c r="F87" s="71">
        <f t="shared" ref="F87" si="367">((F29+BR29)*F$80)</f>
        <v>0</v>
      </c>
      <c r="G87" s="71">
        <f t="shared" ref="G87" si="368">((G29+BS29)*G$80)</f>
        <v>0</v>
      </c>
      <c r="H87" s="71">
        <f t="shared" ref="H87" si="369">((H29+BT29)*H$80)</f>
        <v>0</v>
      </c>
      <c r="I87" s="71">
        <f t="shared" ref="I87" si="370">((I29+BU29)*I$80)</f>
        <v>0</v>
      </c>
      <c r="J87" s="71">
        <f t="shared" ref="J87" si="371">((J29+BV29)*J$80)</f>
        <v>0</v>
      </c>
      <c r="K87" s="71">
        <f t="shared" ref="K87" si="372">((K29+BW29)*K$80)</f>
        <v>0</v>
      </c>
      <c r="L87" s="71">
        <f t="shared" ref="L87" si="373">((L29+BX29)*L$80)</f>
        <v>0</v>
      </c>
      <c r="M87" s="71">
        <f t="shared" ref="M87" si="374">((M29+BY29)*M$80)</f>
        <v>0</v>
      </c>
      <c r="N87" s="72">
        <f t="shared" ref="N87" si="375">((N29+BZ29)*N$80)</f>
        <v>0</v>
      </c>
      <c r="O87" s="71">
        <f t="shared" ref="O87" si="376">((O29+CA29)*O$80)</f>
        <v>0</v>
      </c>
      <c r="P87" s="71">
        <f t="shared" ref="P87" si="377">((P29+CB29)*P$80)</f>
        <v>0</v>
      </c>
      <c r="Q87" s="71">
        <f t="shared" ref="Q87" si="378">((Q29+CC29)*Q$80)</f>
        <v>0</v>
      </c>
      <c r="R87" s="71">
        <f t="shared" ref="R87" si="379">((R29+CD29)*R$80)</f>
        <v>0</v>
      </c>
      <c r="S87" s="71">
        <f t="shared" ref="S87" si="380">((S29+CE29)*S$80)</f>
        <v>0</v>
      </c>
      <c r="T87" s="71">
        <f t="shared" ref="T87" si="381">((T29+CF29)*T$80)</f>
        <v>0</v>
      </c>
      <c r="U87" s="71">
        <f t="shared" ref="U87" si="382">((U29+CG29)*U$80)</f>
        <v>0</v>
      </c>
      <c r="V87" s="71">
        <f t="shared" ref="V87" si="383">((V29+CH29)*V$80)</f>
        <v>0</v>
      </c>
      <c r="W87" s="71">
        <f t="shared" ref="W87" si="384">((W29+CI29)*W$80)</f>
        <v>0</v>
      </c>
      <c r="X87" s="71">
        <f t="shared" ref="X87" si="385">((X29+CJ29)*X$80)</f>
        <v>0</v>
      </c>
      <c r="Y87" s="71">
        <f t="shared" ref="Y87" si="386">((Y29+CK29)*Y$80)</f>
        <v>0</v>
      </c>
      <c r="Z87" s="73">
        <f t="shared" ref="Z87" si="387">((Z29+CL29)*Z$80)</f>
        <v>0</v>
      </c>
      <c r="AA87" s="71">
        <f t="shared" ref="AA87" si="388">((AA29+CM29)*AA$80)</f>
        <v>0</v>
      </c>
      <c r="AB87" s="71">
        <f t="shared" ref="AB87" si="389">((AB29+CN29)*AB$80)</f>
        <v>0</v>
      </c>
      <c r="AC87" s="71">
        <f t="shared" ref="AC87" si="390">((AC29+CO29)*AC$80)</f>
        <v>0</v>
      </c>
      <c r="AD87" s="71">
        <f t="shared" ref="AD87" si="391">((AD29+CP29)*AD$80)</f>
        <v>0</v>
      </c>
      <c r="AE87" s="71">
        <f t="shared" ref="AE87" si="392">((AE29+CQ29)*AE$80)</f>
        <v>0</v>
      </c>
      <c r="AF87" s="71">
        <f t="shared" ref="AF87" si="393">((AF29+CR29)*AF$80)</f>
        <v>0</v>
      </c>
      <c r="AG87" s="71">
        <f t="shared" ref="AG87" si="394">((AG29+CS29)*AG$80)</f>
        <v>0</v>
      </c>
      <c r="AH87" s="71">
        <f t="shared" ref="AH87" si="395">((AH29+CT29)*AH$80)</f>
        <v>0</v>
      </c>
      <c r="AI87" s="71">
        <f t="shared" ref="AI87" si="396">((AI29+CU29)*AI$80)</f>
        <v>0</v>
      </c>
      <c r="AJ87" s="71">
        <f t="shared" ref="AJ87" si="397">((AJ29+CV29)*AJ$80)</f>
        <v>0</v>
      </c>
      <c r="AK87" s="71">
        <f t="shared" ref="AK87" si="398">((AK29+CW29)*AK$80)</f>
        <v>0</v>
      </c>
      <c r="AL87" s="72">
        <f t="shared" ref="AL87" si="399">((AL29+CX29)*AL$80)</f>
        <v>0</v>
      </c>
      <c r="AM87" s="71">
        <f t="shared" ref="AM87" si="400">((AM29+CY29)*AM$80)</f>
        <v>0</v>
      </c>
      <c r="AN87" s="71">
        <f t="shared" ref="AN87" si="401">((AN29+CZ29)*AN$80)</f>
        <v>0</v>
      </c>
      <c r="AO87" s="71">
        <f t="shared" ref="AO87" si="402">((AO29+DA29)*AO$80)</f>
        <v>0</v>
      </c>
      <c r="AP87" s="71">
        <f t="shared" ref="AP87" si="403">((AP29+DB29)*AP$80)</f>
        <v>0</v>
      </c>
      <c r="AQ87" s="71">
        <f t="shared" ref="AQ87" si="404">((AQ29+DC29)*AQ$80)</f>
        <v>0</v>
      </c>
      <c r="AR87" s="71">
        <f t="shared" ref="AR87" si="405">((AR29+DD29)*AR$80)</f>
        <v>0</v>
      </c>
      <c r="AS87" s="71">
        <f t="shared" ref="AS87" si="406">((AS29+DE29)*AS$80)</f>
        <v>0</v>
      </c>
      <c r="AT87" s="71">
        <f t="shared" ref="AT87" si="407">((AT29+DF29)*AT$80)</f>
        <v>0</v>
      </c>
      <c r="AU87" s="71">
        <f t="shared" ref="AU87" si="408">((AU29+DG29)*AU$80)</f>
        <v>0</v>
      </c>
      <c r="AV87" s="71">
        <f t="shared" ref="AV87" si="409">((AV29+DH29)*AV$80)</f>
        <v>0</v>
      </c>
      <c r="AW87" s="71">
        <f t="shared" ref="AW87" si="410">((AW29+DI29)*AW$80)</f>
        <v>0</v>
      </c>
      <c r="AX87" s="73">
        <f t="shared" ref="AX87" si="411">((AX29+DJ29)*AX$80)</f>
        <v>0</v>
      </c>
      <c r="AY87" s="71">
        <f t="shared" ref="AY87" si="412">((AY29+DK29)*AY$80)</f>
        <v>0</v>
      </c>
      <c r="AZ87" s="71">
        <f t="shared" ref="AZ87" si="413">((AZ29+DL29)*AZ$80)</f>
        <v>0</v>
      </c>
      <c r="BA87" s="71">
        <f t="shared" ref="BA87" si="414">((BA29+DM29)*BA$80)</f>
        <v>0</v>
      </c>
      <c r="BB87" s="71">
        <f t="shared" ref="BB87" si="415">((BB29+DN29)*BB$80)</f>
        <v>0</v>
      </c>
      <c r="BC87" s="71">
        <f t="shared" ref="BC87" si="416">((BC29+DO29)*BC$80)</f>
        <v>0</v>
      </c>
      <c r="BD87" s="71">
        <f t="shared" ref="BD87" si="417">((BD29+DP29)*BD$80)</f>
        <v>0</v>
      </c>
      <c r="BE87" s="71">
        <f t="shared" ref="BE87" si="418">((BE29+DQ29)*BE$80)</f>
        <v>0</v>
      </c>
      <c r="BF87" s="71">
        <f t="shared" ref="BF87" si="419">((BF29+DR29)*BF$80)</f>
        <v>0</v>
      </c>
      <c r="BG87" s="71">
        <f t="shared" ref="BG87" si="420">((BG29+DS29)*BG$80)</f>
        <v>0</v>
      </c>
      <c r="BH87" s="71">
        <f t="shared" ref="BH87" si="421">((BH29+DT29)*BH$80)</f>
        <v>0</v>
      </c>
      <c r="BI87" s="71">
        <f t="shared" ref="BI87" si="422">((BI29+DU29)*BI$80)</f>
        <v>0</v>
      </c>
      <c r="BJ87" s="73">
        <f t="shared" ref="BJ87" si="423">((BJ29+DV29)*BJ$80)</f>
        <v>0</v>
      </c>
      <c r="BL87" s="120"/>
    </row>
    <row r="88" spans="1:126" x14ac:dyDescent="0.25">
      <c r="C88" s="1"/>
      <c r="F88" s="1"/>
      <c r="AA88" s="1"/>
      <c r="AD88" s="1"/>
      <c r="BL88" s="120"/>
    </row>
    <row r="89" spans="1:126" x14ac:dyDescent="0.25">
      <c r="C89" s="1"/>
      <c r="AA89" s="1"/>
      <c r="BL89" s="120"/>
    </row>
    <row r="90" spans="1:126" x14ac:dyDescent="0.25">
      <c r="A90" s="103"/>
      <c r="B90" s="74" t="s">
        <v>92</v>
      </c>
      <c r="C90" s="71">
        <f>(SUMIFS(MtM!$M:$M,MtM!$L:$L,"PLD+",MtM!$G:$G,"LONG",MtM!$E:$E,RESULTADO!C81)-SUMIFS(MtM!$N:$N,MtM!$L:$L,"PLD+",MtM!$G:$G,"SHORT",MtM!$E:$E,RESULTADO!C81)+SUMIFS(RELEASES!O:O,RELEASES!$H:$H,"PLD+"))*C80</f>
        <v>0</v>
      </c>
      <c r="D90" s="71">
        <f>(SUMIFS(MtM!$M:$M,MtM!$L:$L,"PLD+",MtM!$G:$G,"LONG",MtM!$E:$E,RESULTADO!D81)-SUMIFS(MtM!$N:$N,MtM!$L:$L,"PLD+",MtM!$G:$G,"SHORT",MtM!$E:$E,RESULTADO!D81)+SUMIFS(RELEASES!P:P,RELEASES!$H:$H,"PLD+"))*D80</f>
        <v>0</v>
      </c>
      <c r="E90" s="71">
        <f>(SUMIFS(MtM!$M:$M,MtM!$L:$L,"PLD+",MtM!$G:$G,"LONG",MtM!$E:$E,RESULTADO!E81)-SUMIFS(MtM!$N:$N,MtM!$L:$L,"PLD+",MtM!$G:$G,"SHORT",MtM!$E:$E,RESULTADO!E81)+SUMIFS(RELEASES!Q:Q,RELEASES!$H:$H,"PLD+"))*E80</f>
        <v>0</v>
      </c>
      <c r="F90" s="71">
        <f>(SUMIFS(MtM!$M:$M,MtM!$L:$L,"PLD+",MtM!$G:$G,"LONG",MtM!$E:$E,RESULTADO!F81)-SUMIFS(MtM!$N:$N,MtM!$L:$L,"PLD+",MtM!$G:$G,"SHORT",MtM!$E:$E,RESULTADO!F81)+SUMIFS(RELEASES!R:R,RELEASES!$H:$H,"PLD+"))*F80</f>
        <v>0</v>
      </c>
      <c r="G90" s="71">
        <f>(SUMIFS(MtM!$M:$M,MtM!$L:$L,"PLD+",MtM!$G:$G,"LONG",MtM!$E:$E,RESULTADO!G81)-SUMIFS(MtM!$N:$N,MtM!$L:$L,"PLD+",MtM!$G:$G,"SHORT",MtM!$E:$E,RESULTADO!G81)+SUMIFS(RELEASES!S:S,RELEASES!$H:$H,"PLD+"))*G80</f>
        <v>0</v>
      </c>
      <c r="H90" s="71">
        <f>(SUMIFS(MtM!$M:$M,MtM!$L:$L,"PLD+",MtM!$G:$G,"LONG",MtM!$E:$E,RESULTADO!H81)-SUMIFS(MtM!$N:$N,MtM!$L:$L,"PLD+",MtM!$G:$G,"SHORT",MtM!$E:$E,RESULTADO!H81)+SUMIFS(RELEASES!T:T,RELEASES!$H:$H,"PLD+"))*H80</f>
        <v>0</v>
      </c>
      <c r="I90" s="71">
        <f>(SUMIFS(MtM!$M:$M,MtM!$L:$L,"PLD+",MtM!$G:$G,"LONG",MtM!$E:$E,RESULTADO!I81)-SUMIFS(MtM!$N:$N,MtM!$L:$L,"PLD+",MtM!$G:$G,"SHORT",MtM!$E:$E,RESULTADO!I81)+SUMIFS(RELEASES!U:U,RELEASES!$H:$H,"PLD+"))*I80</f>
        <v>-1.0572875908110291E-11</v>
      </c>
      <c r="J90" s="71">
        <f>(SUMIFS(MtM!$M:$M,MtM!$L:$L,"PLD+",MtM!$G:$G,"LONG",MtM!$E:$E,RESULTADO!J81)-SUMIFS(MtM!$N:$N,MtM!$L:$L,"PLD+",MtM!$G:$G,"SHORT",MtM!$E:$E,RESULTADO!J81)+SUMIFS(RELEASES!V:V,RELEASES!$H:$H,"PLD+"))*J80</f>
        <v>7440</v>
      </c>
      <c r="K90" s="71">
        <f>(SUMIFS(MtM!$M:$M,MtM!$L:$L,"PLD+",MtM!$G:$G,"LONG",MtM!$E:$E,RESULTADO!K81)-SUMIFS(MtM!$N:$N,MtM!$L:$L,"PLD+",MtM!$G:$G,"SHORT",MtM!$E:$E,RESULTADO!K81)+SUMIFS(RELEASES!W:W,RELEASES!$H:$H,"PLD+"))*K80</f>
        <v>4320</v>
      </c>
      <c r="L90" s="71">
        <f>(SUMIFS(MtM!$M:$M,MtM!$L:$L,"PLD+",MtM!$G:$G,"LONG",MtM!$E:$E,RESULTADO!L81)-SUMIFS(MtM!$N:$N,MtM!$L:$L,"PLD+",MtM!$G:$G,"SHORT",MtM!$E:$E,RESULTADO!L81)+SUMIFS(RELEASES!X:X,RELEASES!$H:$H,"PLD+"))*L80</f>
        <v>14344.738127999999</v>
      </c>
      <c r="M90" s="71">
        <f>(SUMIFS(MtM!$M:$M,MtM!$L:$L,"PLD+",MtM!$G:$G,"LONG",MtM!$E:$E,RESULTADO!M81)-SUMIFS(MtM!$N:$N,MtM!$L:$L,"PLD+",MtM!$G:$G,"SHORT",MtM!$E:$E,RESULTADO!M81)+SUMIFS(RELEASES!Y:Y,RELEASES!$H:$H,"PLD+"))*M80</f>
        <v>29088</v>
      </c>
      <c r="N90" s="72">
        <f>(SUMIFS(MtM!$M:$M,MtM!$L:$L,"PLD+",MtM!$G:$G,"LONG",MtM!$E:$E,RESULTADO!N81)-SUMIFS(MtM!$N:$N,MtM!$L:$L,"PLD+",MtM!$G:$G,"SHORT",MtM!$E:$E,RESULTADO!N81)+SUMIFS(RELEASES!Z:Z,RELEASES!$H:$H,"PLD+"))*N80</f>
        <v>12648</v>
      </c>
      <c r="O90" s="71">
        <f>(SUMIFS(MtM!$M:$M,MtM!$L:$L,"PLD+",MtM!$G:$G,"LONG",MtM!$E:$E,RESULTADO!O81)-SUMIFS(MtM!$N:$N,MtM!$L:$L,"PLD+",MtM!$G:$G,"SHORT",MtM!$E:$E,RESULTADO!O81)+SUMIFS(RELEASES!AA:AA,RELEASES!$H:$H,"PLD+"))*O80</f>
        <v>0</v>
      </c>
      <c r="P90" s="71">
        <f>(SUMIFS(MtM!$M:$M,MtM!$L:$L,"PLD+",MtM!$G:$G,"LONG",MtM!$E:$E,RESULTADO!P81)-SUMIFS(MtM!$N:$N,MtM!$L:$L,"PLD+",MtM!$G:$G,"SHORT",MtM!$E:$E,RESULTADO!P81)+SUMIFS(RELEASES!AB:AB,RELEASES!$H:$H,"PLD+"))*P80</f>
        <v>0</v>
      </c>
      <c r="Q90" s="71">
        <f>(SUMIFS(MtM!$M:$M,MtM!$L:$L,"PLD+",MtM!$G:$G,"LONG",MtM!$E:$E,RESULTADO!Q81)-SUMIFS(MtM!$N:$N,MtM!$L:$L,"PLD+",MtM!$G:$G,"SHORT",MtM!$E:$E,RESULTADO!Q81)+SUMIFS(RELEASES!AC:AC,RELEASES!$H:$H,"PLD+"))*Q80</f>
        <v>0</v>
      </c>
      <c r="R90" s="71">
        <f>(SUMIFS(MtM!$M:$M,MtM!$L:$L,"PLD+",MtM!$G:$G,"LONG",MtM!$E:$E,RESULTADO!R81)-SUMIFS(MtM!$N:$N,MtM!$L:$L,"PLD+",MtM!$G:$G,"SHORT",MtM!$E:$E,RESULTADO!R81)+SUMIFS(RELEASES!AD:AD,RELEASES!$H:$H,"PLD+"))*R80</f>
        <v>0</v>
      </c>
      <c r="S90" s="71">
        <f>(SUMIFS(MtM!$M:$M,MtM!$L:$L,"PLD+",MtM!$G:$G,"LONG",MtM!$E:$E,RESULTADO!S81)-SUMIFS(MtM!$N:$N,MtM!$L:$L,"PLD+",MtM!$G:$G,"SHORT",MtM!$E:$E,RESULTADO!S81)+SUMIFS(RELEASES!AE:AE,RELEASES!$H:$H,"PLD+"))*S80</f>
        <v>0</v>
      </c>
      <c r="T90" s="71">
        <f>(SUMIFS(MtM!$M:$M,MtM!$L:$L,"PLD+",MtM!$G:$G,"LONG",MtM!$E:$E,RESULTADO!T81)-SUMIFS(MtM!$N:$N,MtM!$L:$L,"PLD+",MtM!$G:$G,"SHORT",MtM!$E:$E,RESULTADO!T81)+SUMIFS(RELEASES!AF:AF,RELEASES!$H:$H,"PLD+"))*T80</f>
        <v>0</v>
      </c>
      <c r="U90" s="71">
        <f>(SUMIFS(MtM!$M:$M,MtM!$L:$L,"PLD+",MtM!$G:$G,"LONG",MtM!$E:$E,RESULTADO!U81)-SUMIFS(MtM!$N:$N,MtM!$L:$L,"PLD+",MtM!$G:$G,"SHORT",MtM!$E:$E,RESULTADO!U81)+SUMIFS(RELEASES!AG:AG,RELEASES!$H:$H,"PLD+"))*U80</f>
        <v>0</v>
      </c>
      <c r="V90" s="71">
        <f>(SUMIFS(MtM!$M:$M,MtM!$L:$L,"PLD+",MtM!$G:$G,"LONG",MtM!$E:$E,RESULTADO!V81)-SUMIFS(MtM!$N:$N,MtM!$L:$L,"PLD+",MtM!$G:$G,"SHORT",MtM!$E:$E,RESULTADO!V81)+SUMIFS(RELEASES!AH:AH,RELEASES!$H:$H,"PLD+"))*V80</f>
        <v>0</v>
      </c>
      <c r="W90" s="71">
        <f>(SUMIFS(MtM!$M:$M,MtM!$L:$L,"PLD+",MtM!$G:$G,"LONG",MtM!$E:$E,RESULTADO!W81)-SUMIFS(MtM!$N:$N,MtM!$L:$L,"PLD+",MtM!$G:$G,"SHORT",MtM!$E:$E,RESULTADO!W81)+SUMIFS(RELEASES!AI:AI,RELEASES!$H:$H,"PLD+"))*W80</f>
        <v>0</v>
      </c>
      <c r="X90" s="71">
        <f>(SUMIFS(MtM!$M:$M,MtM!$L:$L,"PLD+",MtM!$G:$G,"LONG",MtM!$E:$E,RESULTADO!X81)-SUMIFS(MtM!$N:$N,MtM!$L:$L,"PLD+",MtM!$G:$G,"SHORT",MtM!$E:$E,RESULTADO!X81)+SUMIFS(RELEASES!AJ:AJ,RELEASES!$H:$H,"PLD+"))*X80</f>
        <v>0</v>
      </c>
      <c r="Y90" s="71">
        <f>(SUMIFS(MtM!$M:$M,MtM!$L:$L,"PLD+",MtM!$G:$G,"LONG",MtM!$E:$E,RESULTADO!Y81)-SUMIFS(MtM!$N:$N,MtM!$L:$L,"PLD+",MtM!$G:$G,"SHORT",MtM!$E:$E,RESULTADO!Y81)+SUMIFS(RELEASES!AK:AK,RELEASES!$H:$H,"PLD+"))*Y80</f>
        <v>0</v>
      </c>
      <c r="Z90" s="73">
        <f>(SUMIFS(MtM!$M:$M,MtM!$L:$L,"PLD+",MtM!$G:$G,"LONG",MtM!$E:$E,RESULTADO!Z81)-SUMIFS(MtM!$N:$N,MtM!$L:$L,"PLD+",MtM!$G:$G,"SHORT",MtM!$E:$E,RESULTADO!Z81)+SUMIFS(RELEASES!AL:AL,RELEASES!$H:$H,"PLD+"))*Z80</f>
        <v>0</v>
      </c>
      <c r="AA90" s="71">
        <f>(SUMIFS(MtM!$M:$M,MtM!$L:$L,"PLD+",MtM!$G:$G,"LONG",MtM!$E:$E,RESULTADO!AA81)-SUMIFS(MtM!$N:$N,MtM!$L:$L,"PLD+",MtM!$G:$G,"SHORT",MtM!$E:$E,RESULTADO!AA81)+SUMIFS(RELEASES!AM:AM,RELEASES!$H:$H,"PLD+"))*AA80</f>
        <v>0</v>
      </c>
      <c r="AB90" s="71">
        <f>(SUMIFS(MtM!$M:$M,MtM!$L:$L,"PLD+",MtM!$G:$G,"LONG",MtM!$E:$E,RESULTADO!AB81)-SUMIFS(MtM!$N:$N,MtM!$L:$L,"PLD+",MtM!$G:$G,"SHORT",MtM!$E:$E,RESULTADO!AB81)+SUMIFS(RELEASES!AN:AN,RELEASES!$H:$H,"PLD+"))*AB80</f>
        <v>0</v>
      </c>
      <c r="AC90" s="71">
        <f>(SUMIFS(MtM!$M:$M,MtM!$L:$L,"PLD+",MtM!$G:$G,"LONG",MtM!$E:$E,RESULTADO!AC81)-SUMIFS(MtM!$N:$N,MtM!$L:$L,"PLD+",MtM!$G:$G,"SHORT",MtM!$E:$E,RESULTADO!AC81)+SUMIFS(RELEASES!AO:AO,RELEASES!$H:$H,"PLD+"))*AC80</f>
        <v>0</v>
      </c>
      <c r="AD90" s="71">
        <f>(SUMIFS(MtM!$M:$M,MtM!$L:$L,"PLD+",MtM!$G:$G,"LONG",MtM!$E:$E,RESULTADO!AD81)-SUMIFS(MtM!$N:$N,MtM!$L:$L,"PLD+",MtM!$G:$G,"SHORT",MtM!$E:$E,RESULTADO!AD81)+SUMIFS(RELEASES!AP:AP,RELEASES!$H:$H,"PLD+"))*AD80</f>
        <v>0</v>
      </c>
      <c r="AE90" s="71">
        <f>(SUMIFS(MtM!$M:$M,MtM!$L:$L,"PLD+",MtM!$G:$G,"LONG",MtM!$E:$E,RESULTADO!AE81)-SUMIFS(MtM!$N:$N,MtM!$L:$L,"PLD+",MtM!$G:$G,"SHORT",MtM!$E:$E,RESULTADO!AE81)+SUMIFS(RELEASES!AQ:AQ,RELEASES!$H:$H,"PLD+"))*AE80</f>
        <v>0</v>
      </c>
      <c r="AF90" s="71">
        <f>(SUMIFS(MtM!$M:$M,MtM!$L:$L,"PLD+",MtM!$G:$G,"LONG",MtM!$E:$E,RESULTADO!AF81)-SUMIFS(MtM!$N:$N,MtM!$L:$L,"PLD+",MtM!$G:$G,"SHORT",MtM!$E:$E,RESULTADO!AF81)+SUMIFS(RELEASES!AR:AR,RELEASES!$H:$H,"PLD+"))*AF80</f>
        <v>0</v>
      </c>
      <c r="AG90" s="71">
        <f>(SUMIFS(MtM!$M:$M,MtM!$L:$L,"PLD+",MtM!$G:$G,"LONG",MtM!$E:$E,RESULTADO!AG81)-SUMIFS(MtM!$N:$N,MtM!$L:$L,"PLD+",MtM!$G:$G,"SHORT",MtM!$E:$E,RESULTADO!AG81)+SUMIFS(RELEASES!AS:AS,RELEASES!$H:$H,"PLD+"))*AG80</f>
        <v>0</v>
      </c>
      <c r="AH90" s="71">
        <f>(SUMIFS(MtM!$M:$M,MtM!$L:$L,"PLD+",MtM!$G:$G,"LONG",MtM!$E:$E,RESULTADO!AH81)-SUMIFS(MtM!$N:$N,MtM!$L:$L,"PLD+",MtM!$G:$G,"SHORT",MtM!$E:$E,RESULTADO!AH81)+SUMIFS(RELEASES!AT:AT,RELEASES!$H:$H,"PLD+"))*AH80</f>
        <v>0</v>
      </c>
      <c r="AI90" s="71">
        <f>(SUMIFS(MtM!$M:$M,MtM!$L:$L,"PLD+",MtM!$G:$G,"LONG",MtM!$E:$E,RESULTADO!AI81)-SUMIFS(MtM!$N:$N,MtM!$L:$L,"PLD+",MtM!$G:$G,"SHORT",MtM!$E:$E,RESULTADO!AI81)+SUMIFS(RELEASES!AU:AU,RELEASES!$H:$H,"PLD+"))*AI80</f>
        <v>0</v>
      </c>
      <c r="AJ90" s="71">
        <f>(SUMIFS(MtM!$M:$M,MtM!$L:$L,"PLD+",MtM!$G:$G,"LONG",MtM!$E:$E,RESULTADO!AJ81)-SUMIFS(MtM!$N:$N,MtM!$L:$L,"PLD+",MtM!$G:$G,"SHORT",MtM!$E:$E,RESULTADO!AJ81)+SUMIFS(RELEASES!AV:AV,RELEASES!$H:$H,"PLD+"))*AJ80</f>
        <v>0</v>
      </c>
      <c r="AK90" s="71">
        <f>(SUMIFS(MtM!$M:$M,MtM!$L:$L,"PLD+",MtM!$G:$G,"LONG",MtM!$E:$E,RESULTADO!AK81)-SUMIFS(MtM!$N:$N,MtM!$L:$L,"PLD+",MtM!$G:$G,"SHORT",MtM!$E:$E,RESULTADO!AK81)+SUMIFS(RELEASES!AW:AW,RELEASES!$H:$H,"PLD+"))*AK80</f>
        <v>0</v>
      </c>
      <c r="AL90" s="72">
        <f>(SUMIFS(MtM!$M:$M,MtM!$L:$L,"PLD+",MtM!$G:$G,"LONG",MtM!$E:$E,RESULTADO!AL81)-SUMIFS(MtM!$N:$N,MtM!$L:$L,"PLD+",MtM!$G:$G,"SHORT",MtM!$E:$E,RESULTADO!AL81)+SUMIFS(RELEASES!AX:AX,RELEASES!$H:$H,"PLD+"))*AL80</f>
        <v>0</v>
      </c>
      <c r="AM90" s="71">
        <f>(SUMIFS(MtM!$M:$M,MtM!$L:$L,"PLD+",MtM!$G:$G,"LONG",MtM!$E:$E,RESULTADO!AM81)-SUMIFS(MtM!$N:$N,MtM!$L:$L,"PLD+",MtM!$G:$G,"SHORT",MtM!$E:$E,RESULTADO!AM81)+SUMIFS(RELEASES!AY:AY,RELEASES!$H:$H,"PLD+"))*AM80</f>
        <v>0</v>
      </c>
      <c r="AN90" s="71">
        <f>(SUMIFS(MtM!$M:$M,MtM!$L:$L,"PLD+",MtM!$G:$G,"LONG",MtM!$E:$E,RESULTADO!AN81)-SUMIFS(MtM!$N:$N,MtM!$L:$L,"PLD+",MtM!$G:$G,"SHORT",MtM!$E:$E,RESULTADO!AN81)+SUMIFS(RELEASES!AZ:AZ,RELEASES!$H:$H,"PLD+"))*AN80</f>
        <v>0</v>
      </c>
      <c r="AO90" s="71">
        <f>(SUMIFS(MtM!$M:$M,MtM!$L:$L,"PLD+",MtM!$G:$G,"LONG",MtM!$E:$E,RESULTADO!AO81)-SUMIFS(MtM!$N:$N,MtM!$L:$L,"PLD+",MtM!$G:$G,"SHORT",MtM!$E:$E,RESULTADO!AO81)+SUMIFS(RELEASES!BA:BA,RELEASES!$H:$H,"PLD+"))*AO80</f>
        <v>0</v>
      </c>
      <c r="AP90" s="71">
        <f>(SUMIFS(MtM!$M:$M,MtM!$L:$L,"PLD+",MtM!$G:$G,"LONG",MtM!$E:$E,RESULTADO!AP81)-SUMIFS(MtM!$N:$N,MtM!$L:$L,"PLD+",MtM!$G:$G,"SHORT",MtM!$E:$E,RESULTADO!AP81)+SUMIFS(RELEASES!BB:BB,RELEASES!$H:$H,"PLD+"))*AP80</f>
        <v>0</v>
      </c>
      <c r="AQ90" s="71">
        <f>(SUMIFS(MtM!$M:$M,MtM!$L:$L,"PLD+",MtM!$G:$G,"LONG",MtM!$E:$E,RESULTADO!AQ81)-SUMIFS(MtM!$N:$N,MtM!$L:$L,"PLD+",MtM!$G:$G,"SHORT",MtM!$E:$E,RESULTADO!AQ81)+SUMIFS(RELEASES!BC:BC,RELEASES!$H:$H,"PLD+"))*AQ80</f>
        <v>0</v>
      </c>
      <c r="AR90" s="71">
        <f>(SUMIFS(MtM!$M:$M,MtM!$L:$L,"PLD+",MtM!$G:$G,"LONG",MtM!$E:$E,RESULTADO!AR81)-SUMIFS(MtM!$N:$N,MtM!$L:$L,"PLD+",MtM!$G:$G,"SHORT",MtM!$E:$E,RESULTADO!AR81)+SUMIFS(RELEASES!BD:BD,RELEASES!$H:$H,"PLD+"))*AR80</f>
        <v>0</v>
      </c>
      <c r="AS90" s="71">
        <f>(SUMIFS(MtM!$M:$M,MtM!$L:$L,"PLD+",MtM!$G:$G,"LONG",MtM!$E:$E,RESULTADO!AS81)-SUMIFS(MtM!$N:$N,MtM!$L:$L,"PLD+",MtM!$G:$G,"SHORT",MtM!$E:$E,RESULTADO!AS81)+SUMIFS(RELEASES!BE:BE,RELEASES!$H:$H,"PLD+"))*AS80</f>
        <v>0</v>
      </c>
      <c r="AT90" s="71">
        <f>(SUMIFS(MtM!$M:$M,MtM!$L:$L,"PLD+",MtM!$G:$G,"LONG",MtM!$E:$E,RESULTADO!AT81)-SUMIFS(MtM!$N:$N,MtM!$L:$L,"PLD+",MtM!$G:$G,"SHORT",MtM!$E:$E,RESULTADO!AT81)+SUMIFS(RELEASES!BF:BF,RELEASES!$H:$H,"PLD+"))*AT80</f>
        <v>0</v>
      </c>
      <c r="AU90" s="71">
        <f>(SUMIFS(MtM!$M:$M,MtM!$L:$L,"PLD+",MtM!$G:$G,"LONG",MtM!$E:$E,RESULTADO!AU81)-SUMIFS(MtM!$N:$N,MtM!$L:$L,"PLD+",MtM!$G:$G,"SHORT",MtM!$E:$E,RESULTADO!AU81)+SUMIFS(RELEASES!BG:BG,RELEASES!$H:$H,"PLD+"))*AU80</f>
        <v>0</v>
      </c>
      <c r="AV90" s="71">
        <f>(SUMIFS(MtM!$M:$M,MtM!$L:$L,"PLD+",MtM!$G:$G,"LONG",MtM!$E:$E,RESULTADO!AV81)-SUMIFS(MtM!$N:$N,MtM!$L:$L,"PLD+",MtM!$G:$G,"SHORT",MtM!$E:$E,RESULTADO!AV81)+SUMIFS(RELEASES!BH:BH,RELEASES!$H:$H,"PLD+"))*AV80</f>
        <v>0</v>
      </c>
      <c r="AW90" s="71">
        <f>(SUMIFS(MtM!$M:$M,MtM!$L:$L,"PLD+",MtM!$G:$G,"LONG",MtM!$E:$E,RESULTADO!AW81)-SUMIFS(MtM!$N:$N,MtM!$L:$L,"PLD+",MtM!$G:$G,"SHORT",MtM!$E:$E,RESULTADO!AW81)+SUMIFS(RELEASES!BI:BI,RELEASES!$H:$H,"PLD+"))*AW80</f>
        <v>0</v>
      </c>
      <c r="AX90" s="73">
        <f>(SUMIFS(MtM!$M:$M,MtM!$L:$L,"PLD+",MtM!$G:$G,"LONG",MtM!$E:$E,RESULTADO!AX81)-SUMIFS(MtM!$N:$N,MtM!$L:$L,"PLD+",MtM!$G:$G,"SHORT",MtM!$E:$E,RESULTADO!AX81)+SUMIFS(RELEASES!BJ:BJ,RELEASES!$H:$H,"PLD+"))*AX80</f>
        <v>0</v>
      </c>
      <c r="AY90" s="71">
        <f>(SUMIFS(MtM!$M:$M,MtM!$L:$L,"PLD+",MtM!$G:$G,"LONG",MtM!$E:$E,RESULTADO!AY81)-SUMIFS(MtM!$N:$N,MtM!$L:$L,"PLD+",MtM!$G:$G,"SHORT",MtM!$E:$E,RESULTADO!AY81)+SUMIFS(RELEASES!BK:BK,RELEASES!$H:$H,"PLD+"))*AY80</f>
        <v>0</v>
      </c>
      <c r="AZ90" s="71">
        <f>(SUMIFS(MtM!$M:$M,MtM!$L:$L,"PLD+",MtM!$G:$G,"LONG",MtM!$E:$E,RESULTADO!AZ81)-SUMIFS(MtM!$N:$N,MtM!$L:$L,"PLD+",MtM!$G:$G,"SHORT",MtM!$E:$E,RESULTADO!AZ81)+SUMIFS(RELEASES!BL:BL,RELEASES!$H:$H,"PLD+"))*AZ80</f>
        <v>0</v>
      </c>
      <c r="BA90" s="71">
        <f>(SUMIFS(MtM!$M:$M,MtM!$L:$L,"PLD+",MtM!$G:$G,"LONG",MtM!$E:$E,RESULTADO!BA81)-SUMIFS(MtM!$N:$N,MtM!$L:$L,"PLD+",MtM!$G:$G,"SHORT",MtM!$E:$E,RESULTADO!BA81)+SUMIFS(RELEASES!BM:BM,RELEASES!$H:$H,"PLD+"))*BA80</f>
        <v>0</v>
      </c>
      <c r="BB90" s="71">
        <f>(SUMIFS(MtM!$M:$M,MtM!$L:$L,"PLD+",MtM!$G:$G,"LONG",MtM!$E:$E,RESULTADO!BB81)-SUMIFS(MtM!$N:$N,MtM!$L:$L,"PLD+",MtM!$G:$G,"SHORT",MtM!$E:$E,RESULTADO!BB81)+SUMIFS(RELEASES!BN:BN,RELEASES!$H:$H,"PLD+"))*BB80</f>
        <v>0</v>
      </c>
      <c r="BC90" s="71">
        <f>(SUMIFS(MtM!$M:$M,MtM!$L:$L,"PLD+",MtM!$G:$G,"LONG",MtM!$E:$E,RESULTADO!BC81)-SUMIFS(MtM!$N:$N,MtM!$L:$L,"PLD+",MtM!$G:$G,"SHORT",MtM!$E:$E,RESULTADO!BC81)+SUMIFS(RELEASES!BO:BO,RELEASES!$H:$H,"PLD+"))*BC80</f>
        <v>0</v>
      </c>
      <c r="BD90" s="71">
        <f>(SUMIFS(MtM!$M:$M,MtM!$L:$L,"PLD+",MtM!$G:$G,"LONG",MtM!$E:$E,RESULTADO!BD81)-SUMIFS(MtM!$N:$N,MtM!$L:$L,"PLD+",MtM!$G:$G,"SHORT",MtM!$E:$E,RESULTADO!BD81)+SUMIFS(RELEASES!BP:BP,RELEASES!$H:$H,"PLD+"))*BD80</f>
        <v>0</v>
      </c>
      <c r="BE90" s="71">
        <f>(SUMIFS(MtM!$M:$M,MtM!$L:$L,"PLD+",MtM!$G:$G,"LONG",MtM!$E:$E,RESULTADO!BE81)-SUMIFS(MtM!$N:$N,MtM!$L:$L,"PLD+",MtM!$G:$G,"SHORT",MtM!$E:$E,RESULTADO!BE81)+SUMIFS(RELEASES!BQ:BQ,RELEASES!$H:$H,"PLD+"))*BE80</f>
        <v>0</v>
      </c>
      <c r="BF90" s="71">
        <f>(SUMIFS(MtM!$M:$M,MtM!$L:$L,"PLD+",MtM!$G:$G,"LONG",MtM!$E:$E,RESULTADO!BF81)-SUMIFS(MtM!$N:$N,MtM!$L:$L,"PLD+",MtM!$G:$G,"SHORT",MtM!$E:$E,RESULTADO!BF81)+SUMIFS(RELEASES!BR:BR,RELEASES!$H:$H,"PLD+"))*BF80</f>
        <v>0</v>
      </c>
      <c r="BG90" s="71">
        <f>(SUMIFS(MtM!$M:$M,MtM!$L:$L,"PLD+",MtM!$G:$G,"LONG",MtM!$E:$E,RESULTADO!BG81)-SUMIFS(MtM!$N:$N,MtM!$L:$L,"PLD+",MtM!$G:$G,"SHORT",MtM!$E:$E,RESULTADO!BG81)+SUMIFS(RELEASES!BS:BS,RELEASES!$H:$H,"PLD+"))*BG80</f>
        <v>0</v>
      </c>
      <c r="BH90" s="71">
        <f>(SUMIFS(MtM!$M:$M,MtM!$L:$L,"PLD+",MtM!$G:$G,"LONG",MtM!$E:$E,RESULTADO!BH81)-SUMIFS(MtM!$N:$N,MtM!$L:$L,"PLD+",MtM!$G:$G,"SHORT",MtM!$E:$E,RESULTADO!BH81)+SUMIFS(RELEASES!BT:BT,RELEASES!$H:$H,"PLD+"))*BH80</f>
        <v>0</v>
      </c>
      <c r="BI90" s="71">
        <f>(SUMIFS(MtM!$M:$M,MtM!$L:$L,"PLD+",MtM!$G:$G,"LONG",MtM!$E:$E,RESULTADO!BI81)-SUMIFS(MtM!$N:$N,MtM!$L:$L,"PLD+",MtM!$G:$G,"SHORT",MtM!$E:$E,RESULTADO!BI81)+SUMIFS(RELEASES!BU:BU,RELEASES!$H:$H,"PLD+"))*BI80</f>
        <v>0</v>
      </c>
      <c r="BJ90" s="73">
        <f>(SUMIFS(MtM!$M:$M,MtM!$L:$L,"PLD+",MtM!$G:$G,"LONG",MtM!$E:$E,RESULTADO!BJ81)-SUMIFS(MtM!$N:$N,MtM!$L:$L,"PLD+",MtM!$G:$G,"SHORT",MtM!$E:$E,RESULTADO!BJ81)+SUMIFS(RELEASES!BV:BV,RELEASES!$H:$H,"PLD+"))*BJ80</f>
        <v>0</v>
      </c>
      <c r="BL90" s="120"/>
    </row>
    <row r="91" spans="1:126" x14ac:dyDescent="0.25">
      <c r="B91" s="74" t="s">
        <v>54</v>
      </c>
      <c r="C91" s="71">
        <f>(SUMIFS(MtM!$M:$M,MtM!$L:$L,"FIXO",MtM!$G:$G,"LONG",MtM!$E:$E,RESULTADO!C81)-SUMIFS(MtM!$N:$N,MtM!$L:$L,"FIXO",MtM!$G:$G,"SHORT",MtM!$E:$E,RESULTADO!C81)+SUMIFS(RELEASES!O:O,RELEASES!$H:$H,"Fixo"))*C80</f>
        <v>22.320000000032564</v>
      </c>
      <c r="D91" s="71">
        <f>(SUMIFS(MtM!$M:$M,MtM!$L:$L,"FIXO",MtM!$G:$G,"LONG",MtM!$E:$E,RESULTADO!D81)-SUMIFS(MtM!$N:$N,MtM!$L:$L,"FIXO",MtM!$G:$G,"SHORT",MtM!$E:$E,RESULTADO!D81)+SUMIFS(RELEASES!P:P,RELEASES!$H:$H,"Fixo"))*D80</f>
        <v>20.160000000000764</v>
      </c>
      <c r="E91" s="71">
        <f>(SUMIFS(MtM!$M:$M,MtM!$L:$L,"FIXO",MtM!$G:$G,"LONG",MtM!$E:$E,RESULTADO!E81)-SUMIFS(MtM!$N:$N,MtM!$L:$L,"FIXO",MtM!$G:$G,"SHORT",MtM!$E:$E,RESULTADO!E81)+SUMIFS(RELEASES!Q:Q,RELEASES!$H:$H,"Fixo"))*E80</f>
        <v>-14857.679999999957</v>
      </c>
      <c r="F91" s="71">
        <f>(SUMIFS(MtM!$M:$M,MtM!$L:$L,"FIXO",MtM!$G:$G,"LONG",MtM!$E:$E,RESULTADO!F81)-SUMIFS(MtM!$N:$N,MtM!$L:$L,"FIXO",MtM!$G:$G,"SHORT",MtM!$E:$E,RESULTADO!F81)+SUMIFS(RELEASES!R:R,RELEASES!$H:$H,"Fixo"))*F80</f>
        <v>-21578.400000000009</v>
      </c>
      <c r="G91" s="71">
        <f>(SUMIFS(MtM!$M:$M,MtM!$L:$L,"FIXO",MtM!$G:$G,"LONG",MtM!$E:$E,RESULTADO!G81)-SUMIFS(MtM!$N:$N,MtM!$L:$L,"FIXO",MtM!$G:$G,"SHORT",MtM!$E:$E,RESULTADO!G81)+SUMIFS(RELEASES!S:S,RELEASES!$H:$H,"Fixo"))*G80</f>
        <v>-6673.6799999999994</v>
      </c>
      <c r="H91" s="71">
        <f>(SUMIFS(MtM!$M:$M,MtM!$L:$L,"FIXO",MtM!$G:$G,"LONG",MtM!$E:$E,RESULTADO!H81)-SUMIFS(MtM!$N:$N,MtM!$L:$L,"FIXO",MtM!$G:$G,"SHORT",MtM!$E:$E,RESULTADO!H81)+SUMIFS(RELEASES!T:T,RELEASES!$H:$H,"Fixo"))*H80</f>
        <v>21.59999999997396</v>
      </c>
      <c r="I91" s="71">
        <f>(SUMIFS(MtM!$M:$M,MtM!$L:$L,"FIXO",MtM!$G:$G,"LONG",MtM!$E:$E,RESULTADO!I81)-SUMIFS(MtM!$N:$N,MtM!$L:$L,"FIXO",MtM!$G:$G,"SHORT",MtM!$E:$E,RESULTADO!I81)+SUMIFS(RELEASES!U:U,RELEASES!$H:$H,"Fixo"))*I80</f>
        <v>22.3199999999797</v>
      </c>
      <c r="J91" s="71">
        <f>(SUMIFS(MtM!$M:$M,MtM!$L:$L,"FIXO",MtM!$G:$G,"LONG",MtM!$E:$E,RESULTADO!J81)-SUMIFS(MtM!$N:$N,MtM!$L:$L,"FIXO",MtM!$G:$G,"SHORT",MtM!$E:$E,RESULTADO!J81)+SUMIFS(RELEASES!V:V,RELEASES!$H:$H,"Fixo"))*J80</f>
        <v>22.320000000011419</v>
      </c>
      <c r="K91" s="71">
        <f>(SUMIFS(MtM!$M:$M,MtM!$L:$L,"FIXO",MtM!$G:$G,"LONG",MtM!$E:$E,RESULTADO!K81)-SUMIFS(MtM!$N:$N,MtM!$L:$L,"FIXO",MtM!$G:$G,"SHORT",MtM!$E:$E,RESULTADO!K81)+SUMIFS(RELEASES!W:W,RELEASES!$H:$H,"Fixo"))*K80</f>
        <v>-4494.3998399999682</v>
      </c>
      <c r="L91" s="71">
        <f>(SUMIFS(MtM!$M:$M,MtM!$L:$L,"FIXO",MtM!$G:$G,"LONG",MtM!$E:$E,RESULTADO!L81)-SUMIFS(MtM!$N:$N,MtM!$L:$L,"FIXO",MtM!$G:$G,"SHORT",MtM!$E:$E,RESULTADO!L81)+SUMIFS(RELEASES!X:X,RELEASES!$H:$H,"Fixo"))*L80</f>
        <v>-13667.279999999982</v>
      </c>
      <c r="M91" s="71">
        <f>(SUMIFS(MtM!$M:$M,MtM!$L:$L,"FIXO",MtM!$G:$G,"LONG",MtM!$E:$E,RESULTADO!M81)-SUMIFS(MtM!$N:$N,MtM!$L:$L,"FIXO",MtM!$G:$G,"SHORT",MtM!$E:$E,RESULTADO!M81)+SUMIFS(RELEASES!Y:Y,RELEASES!$H:$H,"Fixo"))*M80</f>
        <v>-29066.399999999983</v>
      </c>
      <c r="N91" s="72">
        <f>(SUMIFS(MtM!$M:$M,MtM!$L:$L,"FIXO",MtM!$G:$G,"LONG",MtM!$E:$E,RESULTADO!N81)-SUMIFS(MtM!$N:$N,MtM!$L:$L,"FIXO",MtM!$G:$G,"SHORT",MtM!$E:$E,RESULTADO!N81)+SUMIFS(RELEASES!Z:Z,RELEASES!$H:$H,"Fixo"))*N80</f>
        <v>-9277.6799999999985</v>
      </c>
      <c r="O91" s="71">
        <f>(SUMIFS(MtM!$M:$M,MtM!$L:$L,"FIXO",MtM!$G:$G,"LONG",MtM!$E:$E,RESULTADO!O81)-SUMIFS(MtM!$N:$N,MtM!$L:$L,"FIXO",MtM!$G:$G,"SHORT",MtM!$E:$E,RESULTADO!O81)+SUMIFS(RELEASES!AA:AA,RELEASES!$H:$H,"Fixo"))*O80</f>
        <v>-10168.000248000002</v>
      </c>
      <c r="P91" s="71">
        <f>(SUMIFS(MtM!$M:$M,MtM!$L:$L,"FIXO",MtM!$G:$G,"LONG",MtM!$E:$E,RESULTADO!P81)-SUMIFS(MtM!$N:$N,MtM!$L:$L,"FIXO",MtM!$G:$G,"SHORT",MtM!$E:$E,RESULTADO!P81)+SUMIFS(RELEASES!AB:AB,RELEASES!$H:$H,"Fixo"))*P80</f>
        <v>-1926.4002240000141</v>
      </c>
      <c r="Q91" s="71">
        <f>(SUMIFS(MtM!$M:$M,MtM!$L:$L,"FIXO",MtM!$G:$G,"LONG",MtM!$E:$E,RESULTADO!Q81)-SUMIFS(MtM!$N:$N,MtM!$L:$L,"FIXO",MtM!$G:$G,"SHORT",MtM!$E:$E,RESULTADO!Q81)+SUMIFS(RELEASES!AC:AC,RELEASES!$H:$H,"Fixo"))*Q80</f>
        <v>-124.00024800001347</v>
      </c>
      <c r="R91" s="71">
        <f>(SUMIFS(MtM!$M:$M,MtM!$L:$L,"FIXO",MtM!$G:$G,"LONG",MtM!$E:$E,RESULTADO!R81)-SUMIFS(MtM!$N:$N,MtM!$L:$L,"FIXO",MtM!$G:$G,"SHORT",MtM!$E:$E,RESULTADO!R81)+SUMIFS(RELEASES!AD:AD,RELEASES!$H:$H,"Fixo"))*R80</f>
        <v>-11102.400000000001</v>
      </c>
      <c r="S91" s="71">
        <f>(SUMIFS(MtM!$M:$M,MtM!$L:$L,"FIXO",MtM!$G:$G,"LONG",MtM!$E:$E,RESULTADO!S81)-SUMIFS(MtM!$N:$N,MtM!$L:$L,"FIXO",MtM!$G:$G,"SHORT",MtM!$E:$E,RESULTADO!S81)+SUMIFS(RELEASES!AE:AE,RELEASES!$H:$H,"Fixo"))*S80</f>
        <v>-25772.16</v>
      </c>
      <c r="T91" s="71">
        <f>(SUMIFS(MtM!$M:$M,MtM!$L:$L,"FIXO",MtM!$G:$G,"LONG",MtM!$E:$E,RESULTADO!T81)-SUMIFS(MtM!$N:$N,MtM!$L:$L,"FIXO",MtM!$G:$G,"SHORT",MtM!$E:$E,RESULTADO!T81)+SUMIFS(RELEASES!AF:AF,RELEASES!$H:$H,"Fixo"))*T80</f>
        <v>-23040</v>
      </c>
      <c r="U91" s="71">
        <f>(SUMIFS(MtM!$M:$M,MtM!$L:$L,"FIXO",MtM!$G:$G,"LONG",MtM!$E:$E,RESULTADO!U81)-SUMIFS(MtM!$N:$N,MtM!$L:$L,"FIXO",MtM!$G:$G,"SHORT",MtM!$E:$E,RESULTADO!U81)+SUMIFS(RELEASES!AG:AG,RELEASES!$H:$H,"Fixo"))*U80</f>
        <v>-19716</v>
      </c>
      <c r="V91" s="71">
        <f>(SUMIFS(MtM!$M:$M,MtM!$L:$L,"FIXO",MtM!$G:$G,"LONG",MtM!$E:$E,RESULTADO!V81)-SUMIFS(MtM!$N:$N,MtM!$L:$L,"FIXO",MtM!$G:$G,"SHORT",MtM!$E:$E,RESULTADO!V81)+SUMIFS(RELEASES!AH:AH,RELEASES!$H:$H,"Fixo"))*V80</f>
        <v>-15996</v>
      </c>
      <c r="W91" s="71">
        <f>(SUMIFS(MtM!$M:$M,MtM!$L:$L,"FIXO",MtM!$G:$G,"LONG",MtM!$E:$E,RESULTADO!W81)-SUMIFS(MtM!$N:$N,MtM!$L:$L,"FIXO",MtM!$G:$G,"SHORT",MtM!$E:$E,RESULTADO!W81)+SUMIFS(RELEASES!AI:AI,RELEASES!$H:$H,"Fixo"))*W80</f>
        <v>-15480</v>
      </c>
      <c r="X91" s="71">
        <f>(SUMIFS(MtM!$M:$M,MtM!$L:$L,"FIXO",MtM!$G:$G,"LONG",MtM!$E:$E,RESULTADO!X81)-SUMIFS(MtM!$N:$N,MtM!$L:$L,"FIXO",MtM!$G:$G,"SHORT",MtM!$E:$E,RESULTADO!X81)+SUMIFS(RELEASES!AJ:AJ,RELEASES!$H:$H,"Fixo"))*X80</f>
        <v>-5208</v>
      </c>
      <c r="Y91" s="71">
        <f>(SUMIFS(MtM!$M:$M,MtM!$L:$L,"FIXO",MtM!$G:$G,"LONG",MtM!$E:$E,RESULTADO!Y81)-SUMIFS(MtM!$N:$N,MtM!$L:$L,"FIXO",MtM!$G:$G,"SHORT",MtM!$E:$E,RESULTADO!Y81)+SUMIFS(RELEASES!AK:AK,RELEASES!$H:$H,"Fixo"))*Y80</f>
        <v>-5040</v>
      </c>
      <c r="Z91" s="73">
        <f>(SUMIFS(MtM!$M:$M,MtM!$L:$L,"FIXO",MtM!$G:$G,"LONG",MtM!$E:$E,RESULTADO!Z81)-SUMIFS(MtM!$N:$N,MtM!$L:$L,"FIXO",MtM!$G:$G,"SHORT",MtM!$E:$E,RESULTADO!Z81)+SUMIFS(RELEASES!AL:AL,RELEASES!$H:$H,"Fixo"))*Z80</f>
        <v>-5208.0000000000055</v>
      </c>
      <c r="AA91" s="71">
        <f>(SUMIFS(MtM!$M:$M,MtM!$L:$L,"FIXO",MtM!$G:$G,"LONG",MtM!$E:$E,RESULTADO!AA81)-SUMIFS(MtM!$N:$N,MtM!$L:$L,"FIXO",MtM!$G:$G,"SHORT",MtM!$E:$E,RESULTADO!AA81)+SUMIFS(RELEASES!AM:AM,RELEASES!$H:$H,"Fixo"))*AA80</f>
        <v>-10416</v>
      </c>
      <c r="AB91" s="71">
        <f>(SUMIFS(MtM!$M:$M,MtM!$L:$L,"FIXO",MtM!$G:$G,"LONG",MtM!$E:$E,RESULTADO!AB81)-SUMIFS(MtM!$N:$N,MtM!$L:$L,"FIXO",MtM!$G:$G,"SHORT",MtM!$E:$E,RESULTADO!AB81)+SUMIFS(RELEASES!AN:AN,RELEASES!$H:$H,"Fixo"))*AB80</f>
        <v>-9744</v>
      </c>
      <c r="AC91" s="71">
        <f>(SUMIFS(MtM!$M:$M,MtM!$L:$L,"FIXO",MtM!$G:$G,"LONG",MtM!$E:$E,RESULTADO!AC81)-SUMIFS(MtM!$N:$N,MtM!$L:$L,"FIXO",MtM!$G:$G,"SHORT",MtM!$E:$E,RESULTADO!AC81)+SUMIFS(RELEASES!AO:AO,RELEASES!$H:$H,"Fixo"))*AC80</f>
        <v>-10416</v>
      </c>
      <c r="AD91" s="71">
        <f>(SUMIFS(MtM!$M:$M,MtM!$L:$L,"FIXO",MtM!$G:$G,"LONG",MtM!$E:$E,RESULTADO!AD81)-SUMIFS(MtM!$N:$N,MtM!$L:$L,"FIXO",MtM!$G:$G,"SHORT",MtM!$E:$E,RESULTADO!AD81)+SUMIFS(RELEASES!AP:AP,RELEASES!$H:$H,"Fixo"))*AD80</f>
        <v>-10080</v>
      </c>
      <c r="AE91" s="71">
        <f>(SUMIFS(MtM!$M:$M,MtM!$L:$L,"FIXO",MtM!$G:$G,"LONG",MtM!$E:$E,RESULTADO!AE81)-SUMIFS(MtM!$N:$N,MtM!$L:$L,"FIXO",MtM!$G:$G,"SHORT",MtM!$E:$E,RESULTADO!AE81)+SUMIFS(RELEASES!AQ:AQ,RELEASES!$H:$H,"Fixo"))*AE80</f>
        <v>-10416</v>
      </c>
      <c r="AF91" s="71">
        <f>(SUMIFS(MtM!$M:$M,MtM!$L:$L,"FIXO",MtM!$G:$G,"LONG",MtM!$E:$E,RESULTADO!AF81)-SUMIFS(MtM!$N:$N,MtM!$L:$L,"FIXO",MtM!$G:$G,"SHORT",MtM!$E:$E,RESULTADO!AF81)+SUMIFS(RELEASES!AR:AR,RELEASES!$H:$H,"Fixo"))*AF80</f>
        <v>-10080</v>
      </c>
      <c r="AG91" s="71">
        <f>(SUMIFS(MtM!$M:$M,MtM!$L:$L,"FIXO",MtM!$G:$G,"LONG",MtM!$E:$E,RESULTADO!AG81)-SUMIFS(MtM!$N:$N,MtM!$L:$L,"FIXO",MtM!$G:$G,"SHORT",MtM!$E:$E,RESULTADO!AG81)+SUMIFS(RELEASES!AS:AS,RELEASES!$H:$H,"Fixo"))*AG80</f>
        <v>-10416</v>
      </c>
      <c r="AH91" s="71">
        <f>(SUMIFS(MtM!$M:$M,MtM!$L:$L,"FIXO",MtM!$G:$G,"LONG",MtM!$E:$E,RESULTADO!AH81)-SUMIFS(MtM!$N:$N,MtM!$L:$L,"FIXO",MtM!$G:$G,"SHORT",MtM!$E:$E,RESULTADO!AH81)+SUMIFS(RELEASES!AT:AT,RELEASES!$H:$H,"Fixo"))*AH80</f>
        <v>-10416</v>
      </c>
      <c r="AI91" s="71">
        <f>(SUMIFS(MtM!$M:$M,MtM!$L:$L,"FIXO",MtM!$G:$G,"LONG",MtM!$E:$E,RESULTADO!AI81)-SUMIFS(MtM!$N:$N,MtM!$L:$L,"FIXO",MtM!$G:$G,"SHORT",MtM!$E:$E,RESULTADO!AI81)+SUMIFS(RELEASES!AU:AU,RELEASES!$H:$H,"Fixo"))*AI80</f>
        <v>-10080</v>
      </c>
      <c r="AJ91" s="71">
        <f>(SUMIFS(MtM!$M:$M,MtM!$L:$L,"FIXO",MtM!$G:$G,"LONG",MtM!$E:$E,RESULTADO!AJ81)-SUMIFS(MtM!$N:$N,MtM!$L:$L,"FIXO",MtM!$G:$G,"SHORT",MtM!$E:$E,RESULTADO!AJ81)+SUMIFS(RELEASES!AV:AV,RELEASES!$H:$H,"Fixo"))*AJ80</f>
        <v>-10416</v>
      </c>
      <c r="AK91" s="71">
        <f>(SUMIFS(MtM!$M:$M,MtM!$L:$L,"FIXO",MtM!$G:$G,"LONG",MtM!$E:$E,RESULTADO!AK81)-SUMIFS(MtM!$N:$N,MtM!$L:$L,"FIXO",MtM!$G:$G,"SHORT",MtM!$E:$E,RESULTADO!AK81)+SUMIFS(RELEASES!AW:AW,RELEASES!$H:$H,"Fixo"))*AK80</f>
        <v>-10080</v>
      </c>
      <c r="AL91" s="72">
        <f>(SUMIFS(MtM!$M:$M,MtM!$L:$L,"FIXO",MtM!$G:$G,"LONG",MtM!$E:$E,RESULTADO!AL81)-SUMIFS(MtM!$N:$N,MtM!$L:$L,"FIXO",MtM!$G:$G,"SHORT",MtM!$E:$E,RESULTADO!AL81)+SUMIFS(RELEASES!AX:AX,RELEASES!$H:$H,"Fixo"))*AL80</f>
        <v>-10416</v>
      </c>
      <c r="AM91" s="71">
        <f>(SUMIFS(MtM!$M:$M,MtM!$L:$L,"FIXO",MtM!$G:$G,"LONG",MtM!$E:$E,RESULTADO!AM81)-SUMIFS(MtM!$N:$N,MtM!$L:$L,"FIXO",MtM!$G:$G,"SHORT",MtM!$E:$E,RESULTADO!AM81)+SUMIFS(RELEASES!AY:AY,RELEASES!$H:$H,"Fixo"))*AM80</f>
        <v>0</v>
      </c>
      <c r="AN91" s="71">
        <f>(SUMIFS(MtM!$M:$M,MtM!$L:$L,"FIXO",MtM!$G:$G,"LONG",MtM!$E:$E,RESULTADO!AN81)-SUMIFS(MtM!$N:$N,MtM!$L:$L,"FIXO",MtM!$G:$G,"SHORT",MtM!$E:$E,RESULTADO!AN81)+SUMIFS(RELEASES!AZ:AZ,RELEASES!$H:$H,"Fixo"))*AN80</f>
        <v>0</v>
      </c>
      <c r="AO91" s="71">
        <f>(SUMIFS(MtM!$M:$M,MtM!$L:$L,"FIXO",MtM!$G:$G,"LONG",MtM!$E:$E,RESULTADO!AO81)-SUMIFS(MtM!$N:$N,MtM!$L:$L,"FIXO",MtM!$G:$G,"SHORT",MtM!$E:$E,RESULTADO!AO81)+SUMIFS(RELEASES!BA:BA,RELEASES!$H:$H,"Fixo"))*AO80</f>
        <v>0</v>
      </c>
      <c r="AP91" s="71">
        <f>(SUMIFS(MtM!$M:$M,MtM!$L:$L,"FIXO",MtM!$G:$G,"LONG",MtM!$E:$E,RESULTADO!AP81)-SUMIFS(MtM!$N:$N,MtM!$L:$L,"FIXO",MtM!$G:$G,"SHORT",MtM!$E:$E,RESULTADO!AP81)+SUMIFS(RELEASES!BB:BB,RELEASES!$H:$H,"Fixo"))*AP80</f>
        <v>0</v>
      </c>
      <c r="AQ91" s="71">
        <f>(SUMIFS(MtM!$M:$M,MtM!$L:$L,"FIXO",MtM!$G:$G,"LONG",MtM!$E:$E,RESULTADO!AQ81)-SUMIFS(MtM!$N:$N,MtM!$L:$L,"FIXO",MtM!$G:$G,"SHORT",MtM!$E:$E,RESULTADO!AQ81)+SUMIFS(RELEASES!BC:BC,RELEASES!$H:$H,"Fixo"))*AQ80</f>
        <v>0</v>
      </c>
      <c r="AR91" s="71">
        <f>(SUMIFS(MtM!$M:$M,MtM!$L:$L,"FIXO",MtM!$G:$G,"LONG",MtM!$E:$E,RESULTADO!AR81)-SUMIFS(MtM!$N:$N,MtM!$L:$L,"FIXO",MtM!$G:$G,"SHORT",MtM!$E:$E,RESULTADO!AR81)+SUMIFS(RELEASES!BD:BD,RELEASES!$H:$H,"Fixo"))*AR80</f>
        <v>0</v>
      </c>
      <c r="AS91" s="71">
        <f>(SUMIFS(MtM!$M:$M,MtM!$L:$L,"FIXO",MtM!$G:$G,"LONG",MtM!$E:$E,RESULTADO!AS81)-SUMIFS(MtM!$N:$N,MtM!$L:$L,"FIXO",MtM!$G:$G,"SHORT",MtM!$E:$E,RESULTADO!AS81)+SUMIFS(RELEASES!BE:BE,RELEASES!$H:$H,"Fixo"))*AS80</f>
        <v>0</v>
      </c>
      <c r="AT91" s="71">
        <f>(SUMIFS(MtM!$M:$M,MtM!$L:$L,"FIXO",MtM!$G:$G,"LONG",MtM!$E:$E,RESULTADO!AT81)-SUMIFS(MtM!$N:$N,MtM!$L:$L,"FIXO",MtM!$G:$G,"SHORT",MtM!$E:$E,RESULTADO!AT81)+SUMIFS(RELEASES!BF:BF,RELEASES!$H:$H,"Fixo"))*AT80</f>
        <v>0</v>
      </c>
      <c r="AU91" s="71">
        <f>(SUMIFS(MtM!$M:$M,MtM!$L:$L,"FIXO",MtM!$G:$G,"LONG",MtM!$E:$E,RESULTADO!AU81)-SUMIFS(MtM!$N:$N,MtM!$L:$L,"FIXO",MtM!$G:$G,"SHORT",MtM!$E:$E,RESULTADO!AU81)+SUMIFS(RELEASES!BG:BG,RELEASES!$H:$H,"Fixo"))*AU80</f>
        <v>0</v>
      </c>
      <c r="AV91" s="71">
        <f>(SUMIFS(MtM!$M:$M,MtM!$L:$L,"FIXO",MtM!$G:$G,"LONG",MtM!$E:$E,RESULTADO!AV81)-SUMIFS(MtM!$N:$N,MtM!$L:$L,"FIXO",MtM!$G:$G,"SHORT",MtM!$E:$E,RESULTADO!AV81)+SUMIFS(RELEASES!BH:BH,RELEASES!$H:$H,"Fixo"))*AV80</f>
        <v>0</v>
      </c>
      <c r="AW91" s="71">
        <f>(SUMIFS(MtM!$M:$M,MtM!$L:$L,"FIXO",MtM!$G:$G,"LONG",MtM!$E:$E,RESULTADO!AW81)-SUMIFS(MtM!$N:$N,MtM!$L:$L,"FIXO",MtM!$G:$G,"SHORT",MtM!$E:$E,RESULTADO!AW81)+SUMIFS(RELEASES!BI:BI,RELEASES!$H:$H,"Fixo"))*AW80</f>
        <v>0</v>
      </c>
      <c r="AX91" s="73">
        <f>(SUMIFS(MtM!$M:$M,MtM!$L:$L,"FIXO",MtM!$G:$G,"LONG",MtM!$E:$E,RESULTADO!AX81)-SUMIFS(MtM!$N:$N,MtM!$L:$L,"FIXO",MtM!$G:$G,"SHORT",MtM!$E:$E,RESULTADO!AX81)+SUMIFS(RELEASES!BJ:BJ,RELEASES!$H:$H,"Fixo"))*AX80</f>
        <v>0</v>
      </c>
      <c r="AY91" s="71">
        <f>(SUMIFS(MtM!$M:$M,MtM!$L:$L,"FIXO",MtM!$G:$G,"LONG",MtM!$E:$E,RESULTADO!AY81)-SUMIFS(MtM!$N:$N,MtM!$L:$L,"FIXO",MtM!$G:$G,"SHORT",MtM!$E:$E,RESULTADO!AY81)+SUMIFS(RELEASES!BK:BK,RELEASES!$H:$H,"Fixo"))*AY80</f>
        <v>0</v>
      </c>
      <c r="AZ91" s="71">
        <f>(SUMIFS(MtM!$M:$M,MtM!$L:$L,"FIXO",MtM!$G:$G,"LONG",MtM!$E:$E,RESULTADO!AZ81)-SUMIFS(MtM!$N:$N,MtM!$L:$L,"FIXO",MtM!$G:$G,"SHORT",MtM!$E:$E,RESULTADO!AZ81)+SUMIFS(RELEASES!BL:BL,RELEASES!$H:$H,"Fixo"))*AZ80</f>
        <v>0</v>
      </c>
      <c r="BA91" s="71">
        <f>(SUMIFS(MtM!$M:$M,MtM!$L:$L,"FIXO",MtM!$G:$G,"LONG",MtM!$E:$E,RESULTADO!BA81)-SUMIFS(MtM!$N:$N,MtM!$L:$L,"FIXO",MtM!$G:$G,"SHORT",MtM!$E:$E,RESULTADO!BA81)+SUMIFS(RELEASES!BM:BM,RELEASES!$H:$H,"Fixo"))*BA80</f>
        <v>0</v>
      </c>
      <c r="BB91" s="71">
        <f>(SUMIFS(MtM!$M:$M,MtM!$L:$L,"FIXO",MtM!$G:$G,"LONG",MtM!$E:$E,RESULTADO!BB81)-SUMIFS(MtM!$N:$N,MtM!$L:$L,"FIXO",MtM!$G:$G,"SHORT",MtM!$E:$E,RESULTADO!BB81)+SUMIFS(RELEASES!BN:BN,RELEASES!$H:$H,"Fixo"))*BB80</f>
        <v>0</v>
      </c>
      <c r="BC91" s="71">
        <f>(SUMIFS(MtM!$M:$M,MtM!$L:$L,"FIXO",MtM!$G:$G,"LONG",MtM!$E:$E,RESULTADO!BC81)-SUMIFS(MtM!$N:$N,MtM!$L:$L,"FIXO",MtM!$G:$G,"SHORT",MtM!$E:$E,RESULTADO!BC81)+SUMIFS(RELEASES!BO:BO,RELEASES!$H:$H,"Fixo"))*BC80</f>
        <v>0</v>
      </c>
      <c r="BD91" s="71">
        <f>(SUMIFS(MtM!$M:$M,MtM!$L:$L,"FIXO",MtM!$G:$G,"LONG",MtM!$E:$E,RESULTADO!BD81)-SUMIFS(MtM!$N:$N,MtM!$L:$L,"FIXO",MtM!$G:$G,"SHORT",MtM!$E:$E,RESULTADO!BD81)+SUMIFS(RELEASES!BP:BP,RELEASES!$H:$H,"Fixo"))*BD80</f>
        <v>0</v>
      </c>
      <c r="BE91" s="71">
        <f>(SUMIFS(MtM!$M:$M,MtM!$L:$L,"FIXO",MtM!$G:$G,"LONG",MtM!$E:$E,RESULTADO!BE81)-SUMIFS(MtM!$N:$N,MtM!$L:$L,"FIXO",MtM!$G:$G,"SHORT",MtM!$E:$E,RESULTADO!BE81)+SUMIFS(RELEASES!BQ:BQ,RELEASES!$H:$H,"Fixo"))*BE80</f>
        <v>0</v>
      </c>
      <c r="BF91" s="71">
        <f>(SUMIFS(MtM!$M:$M,MtM!$L:$L,"FIXO",MtM!$G:$G,"LONG",MtM!$E:$E,RESULTADO!BF81)-SUMIFS(MtM!$N:$N,MtM!$L:$L,"FIXO",MtM!$G:$G,"SHORT",MtM!$E:$E,RESULTADO!BF81)+SUMIFS(RELEASES!BR:BR,RELEASES!$H:$H,"Fixo"))*BF80</f>
        <v>0</v>
      </c>
      <c r="BG91" s="71">
        <f>(SUMIFS(MtM!$M:$M,MtM!$L:$L,"FIXO",MtM!$G:$G,"LONG",MtM!$E:$E,RESULTADO!BG81)-SUMIFS(MtM!$N:$N,MtM!$L:$L,"FIXO",MtM!$G:$G,"SHORT",MtM!$E:$E,RESULTADO!BG81)+SUMIFS(RELEASES!BS:BS,RELEASES!$H:$H,"Fixo"))*BG80</f>
        <v>0</v>
      </c>
      <c r="BH91" s="71">
        <f>(SUMIFS(MtM!$M:$M,MtM!$L:$L,"FIXO",MtM!$G:$G,"LONG",MtM!$E:$E,RESULTADO!BH81)-SUMIFS(MtM!$N:$N,MtM!$L:$L,"FIXO",MtM!$G:$G,"SHORT",MtM!$E:$E,RESULTADO!BH81)+SUMIFS(RELEASES!BT:BT,RELEASES!$H:$H,"Fixo"))*BH80</f>
        <v>0</v>
      </c>
      <c r="BI91" s="71">
        <f>(SUMIFS(MtM!$M:$M,MtM!$L:$L,"FIXO",MtM!$G:$G,"LONG",MtM!$E:$E,RESULTADO!BI81)-SUMIFS(MtM!$N:$N,MtM!$L:$L,"FIXO",MtM!$G:$G,"SHORT",MtM!$E:$E,RESULTADO!BI81)+SUMIFS(RELEASES!BU:BU,RELEASES!$H:$H,"Fixo"))*BI80</f>
        <v>0</v>
      </c>
      <c r="BJ91" s="73">
        <f>(SUMIFS(MtM!$M:$M,MtM!$L:$L,"FIXO",MtM!$G:$G,"LONG",MtM!$E:$E,RESULTADO!BJ81)-SUMIFS(MtM!$N:$N,MtM!$L:$L,"FIXO",MtM!$G:$G,"SHORT",MtM!$E:$E,RESULTADO!BJ81)+SUMIFS(RELEASES!BV:BV,RELEASES!$H:$H,"Fixo"))*BJ80</f>
        <v>0</v>
      </c>
      <c r="BL91" s="120"/>
    </row>
    <row r="92" spans="1:126" x14ac:dyDescent="0.25">
      <c r="B92" s="74" t="s">
        <v>56</v>
      </c>
      <c r="C92" s="71">
        <f>(SUMIFS(MtM!$M:$M,MtM!$L:$L,"%",MtM!$G:$G,"LONG",MtM!$E:$E,RESULTADO!C81)-SUMIFS(MtM!$N:$N,MtM!$L:$L,"%",MtM!$G:$G,"SHORT",MtM!$E:$E,RESULTADO!C81)+SUMIFS(RELEASES!O:O,RELEASES!$H:$H,"%"))*C80</f>
        <v>0</v>
      </c>
      <c r="D92" s="71">
        <f>(SUMIFS(MtM!$M:$M,MtM!$L:$L,"%",MtM!$G:$G,"LONG",MtM!$E:$E,RESULTADO!D81)-SUMIFS(MtM!$N:$N,MtM!$L:$L,"%",MtM!$G:$G,"SHORT",MtM!$E:$E,RESULTADO!D81)+SUMIFS(RELEASES!P:P,RELEASES!$H:$H,"%"))*D80</f>
        <v>0</v>
      </c>
      <c r="E92" s="71">
        <f>(SUMIFS(MtM!$M:$M,MtM!$L:$L,"%",MtM!$G:$G,"LONG",MtM!$E:$E,RESULTADO!E81)-SUMIFS(MtM!$N:$N,MtM!$L:$L,"%",MtM!$G:$G,"SHORT",MtM!$E:$E,RESULTADO!E81)+SUMIFS(RELEASES!Q:Q,RELEASES!$H:$H,"%"))*E80</f>
        <v>0</v>
      </c>
      <c r="F92" s="71">
        <f>(SUMIFS(MtM!$M:$M,MtM!$L:$L,"%",MtM!$G:$G,"LONG",MtM!$E:$E,RESULTADO!F81)-SUMIFS(MtM!$N:$N,MtM!$L:$L,"%",MtM!$G:$G,"SHORT",MtM!$E:$E,RESULTADO!F81)+SUMIFS(RELEASES!R:R,RELEASES!$H:$H,"%"))*F80</f>
        <v>0</v>
      </c>
      <c r="G92" s="71">
        <f>(SUMIFS(MtM!$M:$M,MtM!$L:$L,"%",MtM!$G:$G,"LONG",MtM!$E:$E,RESULTADO!G81)-SUMIFS(MtM!$N:$N,MtM!$L:$L,"%",MtM!$G:$G,"SHORT",MtM!$E:$E,RESULTADO!G81)+SUMIFS(RELEASES!S:S,RELEASES!$H:$H,"%"))*G80</f>
        <v>0</v>
      </c>
      <c r="H92" s="71">
        <f>(SUMIFS(MtM!$M:$M,MtM!$L:$L,"%",MtM!$G:$G,"LONG",MtM!$E:$E,RESULTADO!H81)-SUMIFS(MtM!$N:$N,MtM!$L:$L,"%",MtM!$G:$G,"SHORT",MtM!$E:$E,RESULTADO!H81)+SUMIFS(RELEASES!T:T,RELEASES!$H:$H,"%"))*H80</f>
        <v>0</v>
      </c>
      <c r="I92" s="71">
        <f>(SUMIFS(MtM!$M:$M,MtM!$L:$L,"%",MtM!$G:$G,"LONG",MtM!$E:$E,RESULTADO!I81)-SUMIFS(MtM!$N:$N,MtM!$L:$L,"%",MtM!$G:$G,"SHORT",MtM!$E:$E,RESULTADO!I81)+SUMIFS(RELEASES!U:U,RELEASES!$H:$H,"%"))*I80</f>
        <v>0</v>
      </c>
      <c r="J92" s="71">
        <f>(SUMIFS(MtM!$M:$M,MtM!$L:$L,"%",MtM!$G:$G,"LONG",MtM!$E:$E,RESULTADO!J81)-SUMIFS(MtM!$N:$N,MtM!$L:$L,"%",MtM!$G:$G,"SHORT",MtM!$E:$E,RESULTADO!J81)+SUMIFS(RELEASES!V:V,RELEASES!$H:$H,"%"))*J80</f>
        <v>0</v>
      </c>
      <c r="K92" s="71">
        <f>(SUMIFS(MtM!$M:$M,MtM!$L:$L,"%",MtM!$G:$G,"LONG",MtM!$E:$E,RESULTADO!K81)-SUMIFS(MtM!$N:$N,MtM!$L:$L,"%",MtM!$G:$G,"SHORT",MtM!$E:$E,RESULTADO!K81)+SUMIFS(RELEASES!W:W,RELEASES!$H:$H,"%"))*K80</f>
        <v>0</v>
      </c>
      <c r="L92" s="71">
        <f>(SUMIFS(MtM!$M:$M,MtM!$L:$L,"%",MtM!$G:$G,"LONG",MtM!$E:$E,RESULTADO!L81)-SUMIFS(MtM!$N:$N,MtM!$L:$L,"%",MtM!$G:$G,"SHORT",MtM!$E:$E,RESULTADO!L81)+SUMIFS(RELEASES!X:X,RELEASES!$H:$H,"%"))*L80</f>
        <v>0</v>
      </c>
      <c r="M92" s="71">
        <f>(SUMIFS(MtM!$M:$M,MtM!$L:$L,"%",MtM!$G:$G,"LONG",MtM!$E:$E,RESULTADO!M81)-SUMIFS(MtM!$N:$N,MtM!$L:$L,"%",MtM!$G:$G,"SHORT",MtM!$E:$E,RESULTADO!M81)+SUMIFS(RELEASES!Y:Y,RELEASES!$H:$H,"%"))*M80</f>
        <v>0</v>
      </c>
      <c r="N92" s="72">
        <f>(SUMIFS(MtM!$M:$M,MtM!$L:$L,"%",MtM!$G:$G,"LONG",MtM!$E:$E,RESULTADO!N81)-SUMIFS(MtM!$N:$N,MtM!$L:$L,"%",MtM!$G:$G,"SHORT",MtM!$E:$E,RESULTADO!N81)+SUMIFS(RELEASES!Z:Z,RELEASES!$H:$H,"%"))*N80</f>
        <v>0</v>
      </c>
      <c r="O92" s="71">
        <f>(SUMIFS(MtM!$M:$M,MtM!$L:$L,"%",MtM!$G:$G,"LONG",MtM!$E:$E,RESULTADO!O81)-SUMIFS(MtM!$N:$N,MtM!$L:$L,"%",MtM!$G:$G,"SHORT",MtM!$E:$E,RESULTADO!O81)+SUMIFS(RELEASES!AA:AA,RELEASES!$H:$H,"%"))*O80</f>
        <v>0</v>
      </c>
      <c r="P92" s="71">
        <f>(SUMIFS(MtM!$M:$M,MtM!$L:$L,"%",MtM!$G:$G,"LONG",MtM!$E:$E,RESULTADO!P81)-SUMIFS(MtM!$N:$N,MtM!$L:$L,"%",MtM!$G:$G,"SHORT",MtM!$E:$E,RESULTADO!P81)+SUMIFS(RELEASES!AB:AB,RELEASES!$H:$H,"%"))*P80</f>
        <v>0</v>
      </c>
      <c r="Q92" s="71">
        <f>(SUMIFS(MtM!$M:$M,MtM!$L:$L,"%",MtM!$G:$G,"LONG",MtM!$E:$E,RESULTADO!Q81)-SUMIFS(MtM!$N:$N,MtM!$L:$L,"%",MtM!$G:$G,"SHORT",MtM!$E:$E,RESULTADO!Q81)+SUMIFS(RELEASES!AC:AC,RELEASES!$H:$H,"%"))*Q80</f>
        <v>0</v>
      </c>
      <c r="R92" s="71">
        <f>(SUMIFS(MtM!$M:$M,MtM!$L:$L,"%",MtM!$G:$G,"LONG",MtM!$E:$E,RESULTADO!R81)-SUMIFS(MtM!$N:$N,MtM!$L:$L,"%",MtM!$G:$G,"SHORT",MtM!$E:$E,RESULTADO!R81)+SUMIFS(RELEASES!AD:AD,RELEASES!$H:$H,"%"))*R80</f>
        <v>0</v>
      </c>
      <c r="S92" s="71">
        <f>(SUMIFS(MtM!$M:$M,MtM!$L:$L,"%",MtM!$G:$G,"LONG",MtM!$E:$E,RESULTADO!S81)-SUMIFS(MtM!$N:$N,MtM!$L:$L,"%",MtM!$G:$G,"SHORT",MtM!$E:$E,RESULTADO!S81)+SUMIFS(RELEASES!AE:AE,RELEASES!$H:$H,"%"))*S80</f>
        <v>0</v>
      </c>
      <c r="T92" s="71">
        <f>(SUMIFS(MtM!$M:$M,MtM!$L:$L,"%",MtM!$G:$G,"LONG",MtM!$E:$E,RESULTADO!T81)-SUMIFS(MtM!$N:$N,MtM!$L:$L,"%",MtM!$G:$G,"SHORT",MtM!$E:$E,RESULTADO!T81)+SUMIFS(RELEASES!AF:AF,RELEASES!$H:$H,"%"))*T80</f>
        <v>0</v>
      </c>
      <c r="U92" s="71">
        <f>(SUMIFS(MtM!$M:$M,MtM!$L:$L,"%",MtM!$G:$G,"LONG",MtM!$E:$E,RESULTADO!U81)-SUMIFS(MtM!$N:$N,MtM!$L:$L,"%",MtM!$G:$G,"SHORT",MtM!$E:$E,RESULTADO!U81)+SUMIFS(RELEASES!AG:AG,RELEASES!$H:$H,"%"))*U80</f>
        <v>0</v>
      </c>
      <c r="V92" s="71">
        <f>(SUMIFS(MtM!$M:$M,MtM!$L:$L,"%",MtM!$G:$G,"LONG",MtM!$E:$E,RESULTADO!V81)-SUMIFS(MtM!$N:$N,MtM!$L:$L,"%",MtM!$G:$G,"SHORT",MtM!$E:$E,RESULTADO!V81)+SUMIFS(RELEASES!AH:AH,RELEASES!$H:$H,"%"))*V80</f>
        <v>0</v>
      </c>
      <c r="W92" s="71">
        <f>(SUMIFS(MtM!$M:$M,MtM!$L:$L,"%",MtM!$G:$G,"LONG",MtM!$E:$E,RESULTADO!W81)-SUMIFS(MtM!$N:$N,MtM!$L:$L,"%",MtM!$G:$G,"SHORT",MtM!$E:$E,RESULTADO!W81)+SUMIFS(RELEASES!AI:AI,RELEASES!$H:$H,"%"))*W80</f>
        <v>0</v>
      </c>
      <c r="X92" s="71">
        <f>(SUMIFS(MtM!$M:$M,MtM!$L:$L,"%",MtM!$G:$G,"LONG",MtM!$E:$E,RESULTADO!X81)-SUMIFS(MtM!$N:$N,MtM!$L:$L,"%",MtM!$G:$G,"SHORT",MtM!$E:$E,RESULTADO!X81)+SUMIFS(RELEASES!AJ:AJ,RELEASES!$H:$H,"%"))*X80</f>
        <v>0</v>
      </c>
      <c r="Y92" s="71">
        <f>(SUMIFS(MtM!$M:$M,MtM!$L:$L,"%",MtM!$G:$G,"LONG",MtM!$E:$E,RESULTADO!Y81)-SUMIFS(MtM!$N:$N,MtM!$L:$L,"%",MtM!$G:$G,"SHORT",MtM!$E:$E,RESULTADO!Y81)+SUMIFS(RELEASES!AK:AK,RELEASES!$H:$H,"%"))*Y80</f>
        <v>0</v>
      </c>
      <c r="Z92" s="73">
        <f>(SUMIFS(MtM!$M:$M,MtM!$L:$L,"%",MtM!$G:$G,"LONG",MtM!$E:$E,RESULTADO!Z81)-SUMIFS(MtM!$N:$N,MtM!$L:$L,"%",MtM!$G:$G,"SHORT",MtM!$E:$E,RESULTADO!Z81)+SUMIFS(RELEASES!AL:AL,RELEASES!$H:$H,"%"))*Z80</f>
        <v>0</v>
      </c>
      <c r="AA92" s="71">
        <f>(SUMIFS(MtM!$M:$M,MtM!$L:$L,"%",MtM!$G:$G,"LONG",MtM!$E:$E,RESULTADO!AA81)-SUMIFS(MtM!$N:$N,MtM!$L:$L,"%",MtM!$G:$G,"SHORT",MtM!$E:$E,RESULTADO!AA81)+SUMIFS(RELEASES!AM:AM,RELEASES!$H:$H,"%"))*AA80</f>
        <v>0</v>
      </c>
      <c r="AB92" s="71">
        <f>(SUMIFS(MtM!$M:$M,MtM!$L:$L,"%",MtM!$G:$G,"LONG",MtM!$E:$E,RESULTADO!AB81)-SUMIFS(MtM!$N:$N,MtM!$L:$L,"%",MtM!$G:$G,"SHORT",MtM!$E:$E,RESULTADO!AB81)+SUMIFS(RELEASES!AN:AN,RELEASES!$H:$H,"%"))*AB80</f>
        <v>0</v>
      </c>
      <c r="AC92" s="71">
        <f>(SUMIFS(MtM!$M:$M,MtM!$L:$L,"%",MtM!$G:$G,"LONG",MtM!$E:$E,RESULTADO!AC81)-SUMIFS(MtM!$N:$N,MtM!$L:$L,"%",MtM!$G:$G,"SHORT",MtM!$E:$E,RESULTADO!AC81)+SUMIFS(RELEASES!AO:AO,RELEASES!$H:$H,"%"))*AC80</f>
        <v>0</v>
      </c>
      <c r="AD92" s="71">
        <f>(SUMIFS(MtM!$M:$M,MtM!$L:$L,"%",MtM!$G:$G,"LONG",MtM!$E:$E,RESULTADO!AD81)-SUMIFS(MtM!$N:$N,MtM!$L:$L,"%",MtM!$G:$G,"SHORT",MtM!$E:$E,RESULTADO!AD81)+SUMIFS(RELEASES!AP:AP,RELEASES!$H:$H,"%"))*AD80</f>
        <v>0</v>
      </c>
      <c r="AE92" s="71">
        <f>(SUMIFS(MtM!$M:$M,MtM!$L:$L,"%",MtM!$G:$G,"LONG",MtM!$E:$E,RESULTADO!AE81)-SUMIFS(MtM!$N:$N,MtM!$L:$L,"%",MtM!$G:$G,"SHORT",MtM!$E:$E,RESULTADO!AE81)+SUMIFS(RELEASES!AQ:AQ,RELEASES!$H:$H,"%"))*AE80</f>
        <v>0</v>
      </c>
      <c r="AF92" s="71">
        <f>(SUMIFS(MtM!$M:$M,MtM!$L:$L,"%",MtM!$G:$G,"LONG",MtM!$E:$E,RESULTADO!AF81)-SUMIFS(MtM!$N:$N,MtM!$L:$L,"%",MtM!$G:$G,"SHORT",MtM!$E:$E,RESULTADO!AF81)+SUMIFS(RELEASES!AR:AR,RELEASES!$H:$H,"%"))*AF80</f>
        <v>0</v>
      </c>
      <c r="AG92" s="71">
        <f>(SUMIFS(MtM!$M:$M,MtM!$L:$L,"%",MtM!$G:$G,"LONG",MtM!$E:$E,RESULTADO!AG81)-SUMIFS(MtM!$N:$N,MtM!$L:$L,"%",MtM!$G:$G,"SHORT",MtM!$E:$E,RESULTADO!AG81)+SUMIFS(RELEASES!AS:AS,RELEASES!$H:$H,"%"))*AG80</f>
        <v>0</v>
      </c>
      <c r="AH92" s="71">
        <f>(SUMIFS(MtM!$M:$M,MtM!$L:$L,"%",MtM!$G:$G,"LONG",MtM!$E:$E,RESULTADO!AH81)-SUMIFS(MtM!$N:$N,MtM!$L:$L,"%",MtM!$G:$G,"SHORT",MtM!$E:$E,RESULTADO!AH81)+SUMIFS(RELEASES!AT:AT,RELEASES!$H:$H,"%"))*AH80</f>
        <v>0</v>
      </c>
      <c r="AI92" s="71">
        <f>(SUMIFS(MtM!$M:$M,MtM!$L:$L,"%",MtM!$G:$G,"LONG",MtM!$E:$E,RESULTADO!AI81)-SUMIFS(MtM!$N:$N,MtM!$L:$L,"%",MtM!$G:$G,"SHORT",MtM!$E:$E,RESULTADO!AI81)+SUMIFS(RELEASES!AU:AU,RELEASES!$H:$H,"%"))*AI80</f>
        <v>0</v>
      </c>
      <c r="AJ92" s="71">
        <f>(SUMIFS(MtM!$M:$M,MtM!$L:$L,"%",MtM!$G:$G,"LONG",MtM!$E:$E,RESULTADO!AJ81)-SUMIFS(MtM!$N:$N,MtM!$L:$L,"%",MtM!$G:$G,"SHORT",MtM!$E:$E,RESULTADO!AJ81)+SUMIFS(RELEASES!AV:AV,RELEASES!$H:$H,"%"))*AJ80</f>
        <v>0</v>
      </c>
      <c r="AK92" s="71">
        <f>(SUMIFS(MtM!$M:$M,MtM!$L:$L,"%",MtM!$G:$G,"LONG",MtM!$E:$E,RESULTADO!AK81)-SUMIFS(MtM!$N:$N,MtM!$L:$L,"%",MtM!$G:$G,"SHORT",MtM!$E:$E,RESULTADO!AK81)+SUMIFS(RELEASES!AW:AW,RELEASES!$H:$H,"%"))*AK80</f>
        <v>0</v>
      </c>
      <c r="AL92" s="72">
        <f>(SUMIFS(MtM!$M:$M,MtM!$L:$L,"%",MtM!$G:$G,"LONG",MtM!$E:$E,RESULTADO!AL81)-SUMIFS(MtM!$N:$N,MtM!$L:$L,"%",MtM!$G:$G,"SHORT",MtM!$E:$E,RESULTADO!AL81)+SUMIFS(RELEASES!AX:AX,RELEASES!$H:$H,"%"))*AL80</f>
        <v>0</v>
      </c>
      <c r="AM92" s="71">
        <f>(SUMIFS(MtM!$M:$M,MtM!$L:$L,"%",MtM!$G:$G,"LONG",MtM!$E:$E,RESULTADO!AM81)-SUMIFS(MtM!$N:$N,MtM!$L:$L,"%",MtM!$G:$G,"SHORT",MtM!$E:$E,RESULTADO!AM81)+SUMIFS(RELEASES!AY:AY,RELEASES!$H:$H,"%"))*AM80</f>
        <v>0</v>
      </c>
      <c r="AN92" s="71">
        <f>(SUMIFS(MtM!$M:$M,MtM!$L:$L,"%",MtM!$G:$G,"LONG",MtM!$E:$E,RESULTADO!AN81)-SUMIFS(MtM!$N:$N,MtM!$L:$L,"%",MtM!$G:$G,"SHORT",MtM!$E:$E,RESULTADO!AN81)+SUMIFS(RELEASES!AZ:AZ,RELEASES!$H:$H,"%"))*AN80</f>
        <v>0</v>
      </c>
      <c r="AO92" s="71">
        <f>(SUMIFS(MtM!$M:$M,MtM!$L:$L,"%",MtM!$G:$G,"LONG",MtM!$E:$E,RESULTADO!AO81)-SUMIFS(MtM!$N:$N,MtM!$L:$L,"%",MtM!$G:$G,"SHORT",MtM!$E:$E,RESULTADO!AO81)+SUMIFS(RELEASES!BA:BA,RELEASES!$H:$H,"%"))*AO80</f>
        <v>0</v>
      </c>
      <c r="AP92" s="71">
        <f>(SUMIFS(MtM!$M:$M,MtM!$L:$L,"%",MtM!$G:$G,"LONG",MtM!$E:$E,RESULTADO!AP81)-SUMIFS(MtM!$N:$N,MtM!$L:$L,"%",MtM!$G:$G,"SHORT",MtM!$E:$E,RESULTADO!AP81)+SUMIFS(RELEASES!BB:BB,RELEASES!$H:$H,"%"))*AP80</f>
        <v>0</v>
      </c>
      <c r="AQ92" s="71">
        <f>(SUMIFS(MtM!$M:$M,MtM!$L:$L,"%",MtM!$G:$G,"LONG",MtM!$E:$E,RESULTADO!AQ81)-SUMIFS(MtM!$N:$N,MtM!$L:$L,"%",MtM!$G:$G,"SHORT",MtM!$E:$E,RESULTADO!AQ81)+SUMIFS(RELEASES!BC:BC,RELEASES!$H:$H,"%"))*AQ80</f>
        <v>0</v>
      </c>
      <c r="AR92" s="71">
        <f>(SUMIFS(MtM!$M:$M,MtM!$L:$L,"%",MtM!$G:$G,"LONG",MtM!$E:$E,RESULTADO!AR81)-SUMIFS(MtM!$N:$N,MtM!$L:$L,"%",MtM!$G:$G,"SHORT",MtM!$E:$E,RESULTADO!AR81)+SUMIFS(RELEASES!BD:BD,RELEASES!$H:$H,"%"))*AR80</f>
        <v>0</v>
      </c>
      <c r="AS92" s="71">
        <f>(SUMIFS(MtM!$M:$M,MtM!$L:$L,"%",MtM!$G:$G,"LONG",MtM!$E:$E,RESULTADO!AS81)-SUMIFS(MtM!$N:$N,MtM!$L:$L,"%",MtM!$G:$G,"SHORT",MtM!$E:$E,RESULTADO!AS81)+SUMIFS(RELEASES!BE:BE,RELEASES!$H:$H,"%"))*AS80</f>
        <v>0</v>
      </c>
      <c r="AT92" s="71">
        <f>(SUMIFS(MtM!$M:$M,MtM!$L:$L,"%",MtM!$G:$G,"LONG",MtM!$E:$E,RESULTADO!AT81)-SUMIFS(MtM!$N:$N,MtM!$L:$L,"%",MtM!$G:$G,"SHORT",MtM!$E:$E,RESULTADO!AT81)+SUMIFS(RELEASES!BF:BF,RELEASES!$H:$H,"%"))*AT80</f>
        <v>0</v>
      </c>
      <c r="AU92" s="71">
        <f>(SUMIFS(MtM!$M:$M,MtM!$L:$L,"%",MtM!$G:$G,"LONG",MtM!$E:$E,RESULTADO!AU81)-SUMIFS(MtM!$N:$N,MtM!$L:$L,"%",MtM!$G:$G,"SHORT",MtM!$E:$E,RESULTADO!AU81)+SUMIFS(RELEASES!BG:BG,RELEASES!$H:$H,"%"))*AU80</f>
        <v>0</v>
      </c>
      <c r="AV92" s="71">
        <f>(SUMIFS(MtM!$M:$M,MtM!$L:$L,"%",MtM!$G:$G,"LONG",MtM!$E:$E,RESULTADO!AV81)-SUMIFS(MtM!$N:$N,MtM!$L:$L,"%",MtM!$G:$G,"SHORT",MtM!$E:$E,RESULTADO!AV81)+SUMIFS(RELEASES!BH:BH,RELEASES!$H:$H,"%"))*AV80</f>
        <v>0</v>
      </c>
      <c r="AW92" s="71">
        <f>(SUMIFS(MtM!$M:$M,MtM!$L:$L,"%",MtM!$G:$G,"LONG",MtM!$E:$E,RESULTADO!AW81)-SUMIFS(MtM!$N:$N,MtM!$L:$L,"%",MtM!$G:$G,"SHORT",MtM!$E:$E,RESULTADO!AW81)+SUMIFS(RELEASES!BI:BI,RELEASES!$H:$H,"%"))*AW80</f>
        <v>0</v>
      </c>
      <c r="AX92" s="73">
        <f>(SUMIFS(MtM!$M:$M,MtM!$L:$L,"%",MtM!$G:$G,"LONG",MtM!$E:$E,RESULTADO!AX81)-SUMIFS(MtM!$N:$N,MtM!$L:$L,"%",MtM!$G:$G,"SHORT",MtM!$E:$E,RESULTADO!AX81)+SUMIFS(RELEASES!BJ:BJ,RELEASES!$H:$H,"%"))*AX80</f>
        <v>0</v>
      </c>
      <c r="AY92" s="71">
        <f>(SUMIFS(MtM!$M:$M,MtM!$L:$L,"%",MtM!$G:$G,"LONG",MtM!$E:$E,RESULTADO!AY81)-SUMIFS(MtM!$N:$N,MtM!$L:$L,"%",MtM!$G:$G,"SHORT",MtM!$E:$E,RESULTADO!AY81)+SUMIFS(RELEASES!BK:BK,RELEASES!$H:$H,"%"))*AY80</f>
        <v>0</v>
      </c>
      <c r="AZ92" s="71">
        <f>(SUMIFS(MtM!$M:$M,MtM!$L:$L,"%",MtM!$G:$G,"LONG",MtM!$E:$E,RESULTADO!AZ81)-SUMIFS(MtM!$N:$N,MtM!$L:$L,"%",MtM!$G:$G,"SHORT",MtM!$E:$E,RESULTADO!AZ81)+SUMIFS(RELEASES!BL:BL,RELEASES!$H:$H,"%"))*AZ80</f>
        <v>0</v>
      </c>
      <c r="BA92" s="71">
        <f>(SUMIFS(MtM!$M:$M,MtM!$L:$L,"%",MtM!$G:$G,"LONG",MtM!$E:$E,RESULTADO!BA81)-SUMIFS(MtM!$N:$N,MtM!$L:$L,"%",MtM!$G:$G,"SHORT",MtM!$E:$E,RESULTADO!BA81)+SUMIFS(RELEASES!BM:BM,RELEASES!$H:$H,"%"))*BA80</f>
        <v>0</v>
      </c>
      <c r="BB92" s="71">
        <f>(SUMIFS(MtM!$M:$M,MtM!$L:$L,"%",MtM!$G:$G,"LONG",MtM!$E:$E,RESULTADO!BB81)-SUMIFS(MtM!$N:$N,MtM!$L:$L,"%",MtM!$G:$G,"SHORT",MtM!$E:$E,RESULTADO!BB81)+SUMIFS(RELEASES!BN:BN,RELEASES!$H:$H,"%"))*BB80</f>
        <v>0</v>
      </c>
      <c r="BC92" s="71">
        <f>(SUMIFS(MtM!$M:$M,MtM!$L:$L,"%",MtM!$G:$G,"LONG",MtM!$E:$E,RESULTADO!BC81)-SUMIFS(MtM!$N:$N,MtM!$L:$L,"%",MtM!$G:$G,"SHORT",MtM!$E:$E,RESULTADO!BC81)+SUMIFS(RELEASES!BO:BO,RELEASES!$H:$H,"%"))*BC80</f>
        <v>0</v>
      </c>
      <c r="BD92" s="71">
        <f>(SUMIFS(MtM!$M:$M,MtM!$L:$L,"%",MtM!$G:$G,"LONG",MtM!$E:$E,RESULTADO!BD81)-SUMIFS(MtM!$N:$N,MtM!$L:$L,"%",MtM!$G:$G,"SHORT",MtM!$E:$E,RESULTADO!BD81)+SUMIFS(RELEASES!BP:BP,RELEASES!$H:$H,"%"))*BD80</f>
        <v>0</v>
      </c>
      <c r="BE92" s="71">
        <f>(SUMIFS(MtM!$M:$M,MtM!$L:$L,"%",MtM!$G:$G,"LONG",MtM!$E:$E,RESULTADO!BE81)-SUMIFS(MtM!$N:$N,MtM!$L:$L,"%",MtM!$G:$G,"SHORT",MtM!$E:$E,RESULTADO!BE81)+SUMIFS(RELEASES!BQ:BQ,RELEASES!$H:$H,"%"))*BE80</f>
        <v>0</v>
      </c>
      <c r="BF92" s="71">
        <f>(SUMIFS(MtM!$M:$M,MtM!$L:$L,"%",MtM!$G:$G,"LONG",MtM!$E:$E,RESULTADO!BF81)-SUMIFS(MtM!$N:$N,MtM!$L:$L,"%",MtM!$G:$G,"SHORT",MtM!$E:$E,RESULTADO!BF81)+SUMIFS(RELEASES!BR:BR,RELEASES!$H:$H,"%"))*BF80</f>
        <v>0</v>
      </c>
      <c r="BG92" s="71">
        <f>(SUMIFS(MtM!$M:$M,MtM!$L:$L,"%",MtM!$G:$G,"LONG",MtM!$E:$E,RESULTADO!BG81)-SUMIFS(MtM!$N:$N,MtM!$L:$L,"%",MtM!$G:$G,"SHORT",MtM!$E:$E,RESULTADO!BG81)+SUMIFS(RELEASES!BS:BS,RELEASES!$H:$H,"%"))*BG80</f>
        <v>0</v>
      </c>
      <c r="BH92" s="71">
        <f>(SUMIFS(MtM!$M:$M,MtM!$L:$L,"%",MtM!$G:$G,"LONG",MtM!$E:$E,RESULTADO!BH81)-SUMIFS(MtM!$N:$N,MtM!$L:$L,"%",MtM!$G:$G,"SHORT",MtM!$E:$E,RESULTADO!BH81)+SUMIFS(RELEASES!BT:BT,RELEASES!$H:$H,"%"))*BH80</f>
        <v>0</v>
      </c>
      <c r="BI92" s="71">
        <f>(SUMIFS(MtM!$M:$M,MtM!$L:$L,"%",MtM!$G:$G,"LONG",MtM!$E:$E,RESULTADO!BI81)-SUMIFS(MtM!$N:$N,MtM!$L:$L,"%",MtM!$G:$G,"SHORT",MtM!$E:$E,RESULTADO!BI81)+SUMIFS(RELEASES!BU:BU,RELEASES!$H:$H,"%"))*BI80</f>
        <v>0</v>
      </c>
      <c r="BJ92" s="73">
        <f>(SUMIFS(MtM!$M:$M,MtM!$L:$L,"%",MtM!$G:$G,"LONG",MtM!$E:$E,RESULTADO!BJ81)-SUMIFS(MtM!$N:$N,MtM!$L:$L,"%",MtM!$G:$G,"SHORT",MtM!$E:$E,RESULTADO!BJ81)+SUMIFS(RELEASES!BV:BV,RELEASES!$H:$H,"%"))*BJ80</f>
        <v>0</v>
      </c>
      <c r="BL92" s="120"/>
    </row>
    <row r="93" spans="1:126" x14ac:dyDescent="0.25">
      <c r="B93" s="74" t="s">
        <v>145</v>
      </c>
      <c r="C93" s="75" t="b">
        <f>ROUND(SUM(C90:C92),2)=ROUND(SUM(C82:C87),2)</f>
        <v>1</v>
      </c>
      <c r="D93" s="75" t="b">
        <f t="shared" ref="D93:BJ93" si="424">ROUND(SUM(D90:D92),2)=ROUND(SUM(D82:D87),2)</f>
        <v>1</v>
      </c>
      <c r="E93" s="75" t="b">
        <f t="shared" si="424"/>
        <v>1</v>
      </c>
      <c r="F93" s="75" t="b">
        <f t="shared" si="424"/>
        <v>1</v>
      </c>
      <c r="G93" s="75" t="b">
        <f t="shared" si="424"/>
        <v>1</v>
      </c>
      <c r="H93" s="75" t="b">
        <f t="shared" si="424"/>
        <v>1</v>
      </c>
      <c r="I93" s="75" t="b">
        <f t="shared" si="424"/>
        <v>1</v>
      </c>
      <c r="J93" s="75" t="b">
        <f t="shared" si="424"/>
        <v>1</v>
      </c>
      <c r="K93" s="75" t="b">
        <f t="shared" si="424"/>
        <v>1</v>
      </c>
      <c r="L93" s="75" t="b">
        <f t="shared" si="424"/>
        <v>1</v>
      </c>
      <c r="M93" s="75" t="b">
        <f t="shared" si="424"/>
        <v>1</v>
      </c>
      <c r="N93" s="78" t="b">
        <f t="shared" si="424"/>
        <v>1</v>
      </c>
      <c r="O93" s="75" t="b">
        <f t="shared" si="424"/>
        <v>1</v>
      </c>
      <c r="P93" s="75" t="b">
        <f t="shared" si="424"/>
        <v>1</v>
      </c>
      <c r="Q93" s="75" t="b">
        <f t="shared" si="424"/>
        <v>1</v>
      </c>
      <c r="R93" s="75" t="b">
        <f t="shared" si="424"/>
        <v>1</v>
      </c>
      <c r="S93" s="75" t="b">
        <f t="shared" si="424"/>
        <v>1</v>
      </c>
      <c r="T93" s="75" t="b">
        <f t="shared" si="424"/>
        <v>1</v>
      </c>
      <c r="U93" s="75" t="b">
        <f t="shared" si="424"/>
        <v>1</v>
      </c>
      <c r="V93" s="75" t="b">
        <f t="shared" si="424"/>
        <v>1</v>
      </c>
      <c r="W93" s="75" t="b">
        <f t="shared" si="424"/>
        <v>1</v>
      </c>
      <c r="X93" s="75" t="b">
        <f t="shared" si="424"/>
        <v>1</v>
      </c>
      <c r="Y93" s="75" t="b">
        <f t="shared" si="424"/>
        <v>1</v>
      </c>
      <c r="Z93" s="76" t="b">
        <f t="shared" si="424"/>
        <v>1</v>
      </c>
      <c r="AA93" s="75" t="b">
        <f t="shared" si="424"/>
        <v>1</v>
      </c>
      <c r="AB93" s="75" t="b">
        <f t="shared" si="424"/>
        <v>1</v>
      </c>
      <c r="AC93" s="75" t="b">
        <f t="shared" si="424"/>
        <v>1</v>
      </c>
      <c r="AD93" s="75" t="b">
        <f t="shared" si="424"/>
        <v>1</v>
      </c>
      <c r="AE93" s="75" t="b">
        <f t="shared" si="424"/>
        <v>1</v>
      </c>
      <c r="AF93" s="75" t="b">
        <f t="shared" si="424"/>
        <v>1</v>
      </c>
      <c r="AG93" s="75" t="b">
        <f t="shared" si="424"/>
        <v>1</v>
      </c>
      <c r="AH93" s="75" t="b">
        <f t="shared" si="424"/>
        <v>1</v>
      </c>
      <c r="AI93" s="75" t="b">
        <f t="shared" si="424"/>
        <v>1</v>
      </c>
      <c r="AJ93" s="75" t="b">
        <f t="shared" si="424"/>
        <v>1</v>
      </c>
      <c r="AK93" s="75" t="b">
        <f t="shared" si="424"/>
        <v>1</v>
      </c>
      <c r="AL93" s="78" t="b">
        <f t="shared" si="424"/>
        <v>1</v>
      </c>
      <c r="AM93" s="75" t="b">
        <f t="shared" si="424"/>
        <v>1</v>
      </c>
      <c r="AN93" s="75" t="b">
        <f t="shared" si="424"/>
        <v>1</v>
      </c>
      <c r="AO93" s="75" t="b">
        <f t="shared" si="424"/>
        <v>1</v>
      </c>
      <c r="AP93" s="75" t="b">
        <f t="shared" si="424"/>
        <v>1</v>
      </c>
      <c r="AQ93" s="75" t="b">
        <f t="shared" si="424"/>
        <v>1</v>
      </c>
      <c r="AR93" s="75" t="b">
        <f t="shared" si="424"/>
        <v>1</v>
      </c>
      <c r="AS93" s="75" t="b">
        <f t="shared" si="424"/>
        <v>1</v>
      </c>
      <c r="AT93" s="75" t="b">
        <f t="shared" si="424"/>
        <v>1</v>
      </c>
      <c r="AU93" s="75" t="b">
        <f t="shared" si="424"/>
        <v>1</v>
      </c>
      <c r="AV93" s="75" t="b">
        <f t="shared" si="424"/>
        <v>1</v>
      </c>
      <c r="AW93" s="75" t="b">
        <f t="shared" si="424"/>
        <v>1</v>
      </c>
      <c r="AX93" s="76" t="b">
        <f t="shared" si="424"/>
        <v>1</v>
      </c>
      <c r="AY93" s="75" t="b">
        <f t="shared" si="424"/>
        <v>1</v>
      </c>
      <c r="AZ93" s="75" t="b">
        <f t="shared" si="424"/>
        <v>1</v>
      </c>
      <c r="BA93" s="75" t="b">
        <f t="shared" si="424"/>
        <v>1</v>
      </c>
      <c r="BB93" s="75" t="b">
        <f t="shared" si="424"/>
        <v>1</v>
      </c>
      <c r="BC93" s="75" t="b">
        <f t="shared" si="424"/>
        <v>1</v>
      </c>
      <c r="BD93" s="75" t="b">
        <f t="shared" si="424"/>
        <v>1</v>
      </c>
      <c r="BE93" s="75" t="b">
        <f t="shared" si="424"/>
        <v>1</v>
      </c>
      <c r="BF93" s="75" t="b">
        <f t="shared" si="424"/>
        <v>1</v>
      </c>
      <c r="BG93" s="75" t="b">
        <f t="shared" si="424"/>
        <v>1</v>
      </c>
      <c r="BH93" s="75" t="b">
        <f t="shared" si="424"/>
        <v>1</v>
      </c>
      <c r="BI93" s="75" t="b">
        <f t="shared" si="424"/>
        <v>1</v>
      </c>
      <c r="BJ93" s="76" t="b">
        <f t="shared" si="424"/>
        <v>1</v>
      </c>
      <c r="BL93" s="120"/>
      <c r="BN93" s="294"/>
      <c r="BO93" s="162"/>
      <c r="BP93" s="162"/>
      <c r="BQ93" s="162"/>
      <c r="BR93" s="162"/>
      <c r="BS93" s="162"/>
      <c r="BT93" s="162"/>
      <c r="BU93" s="162"/>
      <c r="BV93" s="162"/>
      <c r="BW93" s="162"/>
      <c r="BX93" s="162"/>
      <c r="BY93" s="162"/>
      <c r="BZ93" s="162"/>
      <c r="CA93" s="162"/>
      <c r="CB93" s="162"/>
      <c r="CC93" s="162"/>
      <c r="CD93" s="162"/>
      <c r="CE93" s="162"/>
      <c r="CF93" s="162"/>
      <c r="CG93" s="162"/>
      <c r="CH93" s="162"/>
      <c r="CI93" s="162"/>
      <c r="CJ93" s="162"/>
      <c r="CK93" s="162"/>
      <c r="CL93" s="162"/>
      <c r="CM93" s="162"/>
      <c r="CN93" s="162"/>
      <c r="CO93" s="162"/>
      <c r="CP93" s="162"/>
      <c r="CQ93" s="162"/>
      <c r="CR93" s="162"/>
      <c r="CS93" s="162"/>
      <c r="CT93" s="162"/>
      <c r="CU93" s="162"/>
      <c r="CV93" s="162"/>
      <c r="CW93" s="162"/>
      <c r="CX93" s="162"/>
      <c r="CY93" s="162"/>
      <c r="CZ93" s="162"/>
      <c r="DA93" s="162"/>
      <c r="DB93" s="162"/>
      <c r="DC93" s="162"/>
      <c r="DD93" s="162"/>
      <c r="DE93" s="162"/>
      <c r="DF93" s="162"/>
      <c r="DG93" s="162"/>
      <c r="DH93" s="162"/>
      <c r="DI93" s="162"/>
      <c r="DJ93" s="162"/>
      <c r="DK93" s="162"/>
      <c r="DL93" s="162"/>
      <c r="DM93" s="162"/>
      <c r="DN93" s="162"/>
      <c r="DO93" s="162"/>
      <c r="DP93" s="162"/>
      <c r="DQ93" s="162"/>
      <c r="DR93" s="162"/>
      <c r="DS93" s="162"/>
      <c r="DT93" s="162"/>
      <c r="DU93" s="162"/>
      <c r="DV93" s="162"/>
    </row>
    <row r="94" spans="1:126" x14ac:dyDescent="0.25">
      <c r="B94" s="291" t="b">
        <f>SUM(C94:Z94)=24</f>
        <v>1</v>
      </c>
      <c r="C94" s="292">
        <f>IF(C93=TRUE,1,0)</f>
        <v>1</v>
      </c>
      <c r="D94" s="292">
        <f t="shared" ref="D94:BJ94" si="425">IF(D93=TRUE,1,0)</f>
        <v>1</v>
      </c>
      <c r="E94" s="292">
        <f t="shared" si="425"/>
        <v>1</v>
      </c>
      <c r="F94" s="292">
        <f t="shared" si="425"/>
        <v>1</v>
      </c>
      <c r="G94" s="292">
        <f t="shared" si="425"/>
        <v>1</v>
      </c>
      <c r="H94" s="292">
        <f t="shared" si="425"/>
        <v>1</v>
      </c>
      <c r="I94" s="292">
        <f t="shared" si="425"/>
        <v>1</v>
      </c>
      <c r="J94" s="292">
        <f t="shared" si="425"/>
        <v>1</v>
      </c>
      <c r="K94" s="292">
        <f t="shared" si="425"/>
        <v>1</v>
      </c>
      <c r="L94" s="292">
        <f t="shared" si="425"/>
        <v>1</v>
      </c>
      <c r="M94" s="292">
        <f t="shared" si="425"/>
        <v>1</v>
      </c>
      <c r="N94" s="292">
        <f t="shared" si="425"/>
        <v>1</v>
      </c>
      <c r="O94" s="292">
        <f t="shared" si="425"/>
        <v>1</v>
      </c>
      <c r="P94" s="292">
        <f t="shared" si="425"/>
        <v>1</v>
      </c>
      <c r="Q94" s="292">
        <f t="shared" si="425"/>
        <v>1</v>
      </c>
      <c r="R94" s="292">
        <f t="shared" si="425"/>
        <v>1</v>
      </c>
      <c r="S94" s="292">
        <f t="shared" si="425"/>
        <v>1</v>
      </c>
      <c r="T94" s="292">
        <f t="shared" si="425"/>
        <v>1</v>
      </c>
      <c r="U94" s="292">
        <f t="shared" si="425"/>
        <v>1</v>
      </c>
      <c r="V94" s="292">
        <f t="shared" si="425"/>
        <v>1</v>
      </c>
      <c r="W94" s="292">
        <f t="shared" si="425"/>
        <v>1</v>
      </c>
      <c r="X94" s="292">
        <f t="shared" si="425"/>
        <v>1</v>
      </c>
      <c r="Y94" s="292">
        <f t="shared" si="425"/>
        <v>1</v>
      </c>
      <c r="Z94" s="292">
        <f t="shared" si="425"/>
        <v>1</v>
      </c>
      <c r="AA94" s="292">
        <f t="shared" si="425"/>
        <v>1</v>
      </c>
      <c r="AB94" s="292">
        <f t="shared" si="425"/>
        <v>1</v>
      </c>
      <c r="AC94" s="292">
        <f t="shared" si="425"/>
        <v>1</v>
      </c>
      <c r="AD94" s="292">
        <f t="shared" si="425"/>
        <v>1</v>
      </c>
      <c r="AE94" s="292">
        <f t="shared" si="425"/>
        <v>1</v>
      </c>
      <c r="AF94" s="292">
        <f t="shared" si="425"/>
        <v>1</v>
      </c>
      <c r="AG94" s="292">
        <f t="shared" si="425"/>
        <v>1</v>
      </c>
      <c r="AH94" s="292">
        <f t="shared" si="425"/>
        <v>1</v>
      </c>
      <c r="AI94" s="292">
        <f t="shared" si="425"/>
        <v>1</v>
      </c>
      <c r="AJ94" s="292">
        <f t="shared" si="425"/>
        <v>1</v>
      </c>
      <c r="AK94" s="292">
        <f t="shared" si="425"/>
        <v>1</v>
      </c>
      <c r="AL94" s="292">
        <f t="shared" si="425"/>
        <v>1</v>
      </c>
      <c r="AM94" s="292">
        <f t="shared" si="425"/>
        <v>1</v>
      </c>
      <c r="AN94" s="292">
        <f t="shared" si="425"/>
        <v>1</v>
      </c>
      <c r="AO94" s="292">
        <f t="shared" si="425"/>
        <v>1</v>
      </c>
      <c r="AP94" s="292">
        <f t="shared" si="425"/>
        <v>1</v>
      </c>
      <c r="AQ94" s="292">
        <f t="shared" si="425"/>
        <v>1</v>
      </c>
      <c r="AR94" s="292">
        <f t="shared" si="425"/>
        <v>1</v>
      </c>
      <c r="AS94" s="292">
        <f t="shared" si="425"/>
        <v>1</v>
      </c>
      <c r="AT94" s="292">
        <f t="shared" si="425"/>
        <v>1</v>
      </c>
      <c r="AU94" s="292">
        <f t="shared" si="425"/>
        <v>1</v>
      </c>
      <c r="AV94" s="292">
        <f t="shared" si="425"/>
        <v>1</v>
      </c>
      <c r="AW94" s="292">
        <f t="shared" si="425"/>
        <v>1</v>
      </c>
      <c r="AX94" s="292">
        <f t="shared" si="425"/>
        <v>1</v>
      </c>
      <c r="AY94" s="292">
        <f t="shared" si="425"/>
        <v>1</v>
      </c>
      <c r="AZ94" s="292">
        <f t="shared" si="425"/>
        <v>1</v>
      </c>
      <c r="BA94" s="292">
        <f t="shared" si="425"/>
        <v>1</v>
      </c>
      <c r="BB94" s="292">
        <f t="shared" si="425"/>
        <v>1</v>
      </c>
      <c r="BC94" s="292">
        <f t="shared" si="425"/>
        <v>1</v>
      </c>
      <c r="BD94" s="292">
        <f t="shared" si="425"/>
        <v>1</v>
      </c>
      <c r="BE94" s="292">
        <f t="shared" si="425"/>
        <v>1</v>
      </c>
      <c r="BF94" s="292">
        <f t="shared" si="425"/>
        <v>1</v>
      </c>
      <c r="BG94" s="292">
        <f t="shared" si="425"/>
        <v>1</v>
      </c>
      <c r="BH94" s="292">
        <f t="shared" si="425"/>
        <v>1</v>
      </c>
      <c r="BI94" s="292">
        <f t="shared" si="425"/>
        <v>1</v>
      </c>
      <c r="BJ94" s="292">
        <f t="shared" si="425"/>
        <v>1</v>
      </c>
      <c r="BL94" s="120"/>
    </row>
    <row r="95" spans="1:126" x14ac:dyDescent="0.25">
      <c r="A95" s="103" t="s">
        <v>48</v>
      </c>
      <c r="B95" s="780" t="s">
        <v>220</v>
      </c>
      <c r="C95" s="780"/>
      <c r="D95" s="780"/>
      <c r="E95" s="780"/>
      <c r="F95" s="780"/>
      <c r="G95" s="780"/>
      <c r="H95" s="780"/>
      <c r="I95" s="780"/>
      <c r="J95" s="780"/>
      <c r="K95" s="780"/>
      <c r="L95" s="780"/>
      <c r="M95" s="780"/>
      <c r="N95" s="780"/>
      <c r="O95" s="780"/>
      <c r="P95" s="780"/>
      <c r="Q95" s="780"/>
      <c r="R95" s="780"/>
      <c r="S95" s="780"/>
      <c r="T95" s="780"/>
      <c r="U95" s="780"/>
      <c r="V95" s="780"/>
      <c r="W95" s="780"/>
      <c r="X95" s="780"/>
      <c r="Y95" s="780"/>
      <c r="Z95" s="780"/>
      <c r="AA95" s="780"/>
      <c r="AB95" s="780"/>
      <c r="AC95" s="780"/>
      <c r="AD95" s="780"/>
      <c r="AE95" s="780"/>
      <c r="AF95" s="780"/>
      <c r="AG95" s="780"/>
      <c r="AH95" s="780"/>
      <c r="AI95" s="780"/>
      <c r="AJ95" s="780"/>
      <c r="AK95" s="780"/>
      <c r="AL95" s="780"/>
      <c r="AM95" s="780"/>
      <c r="AN95" s="780"/>
      <c r="AO95" s="780"/>
      <c r="AP95" s="780"/>
      <c r="AQ95" s="780"/>
      <c r="AR95" s="780"/>
      <c r="AS95" s="780"/>
      <c r="AT95" s="780"/>
      <c r="AU95" s="780"/>
      <c r="AV95" s="780"/>
      <c r="AW95" s="780"/>
      <c r="AX95" s="780"/>
      <c r="AY95" s="780"/>
      <c r="AZ95" s="780"/>
      <c r="BA95" s="780"/>
      <c r="BB95" s="780"/>
      <c r="BC95" s="780"/>
      <c r="BD95" s="780"/>
      <c r="BE95" s="780"/>
      <c r="BF95" s="780"/>
      <c r="BG95" s="780"/>
      <c r="BH95" s="780"/>
      <c r="BI95" s="780"/>
      <c r="BJ95" s="780"/>
      <c r="BL95" s="120"/>
    </row>
    <row r="96" spans="1:126" x14ac:dyDescent="0.25">
      <c r="M96" s="237"/>
      <c r="N96" s="237"/>
      <c r="AK96" s="237"/>
      <c r="AL96" s="237"/>
      <c r="BL96" s="120"/>
    </row>
    <row r="97" spans="2:65" x14ac:dyDescent="0.25">
      <c r="B97" s="98" t="s">
        <v>839</v>
      </c>
      <c r="C97" s="99" t="s">
        <v>151</v>
      </c>
      <c r="D97" s="99" t="s">
        <v>144</v>
      </c>
      <c r="F97" s="98" t="s">
        <v>838</v>
      </c>
      <c r="G97" s="99" t="s">
        <v>151</v>
      </c>
      <c r="H97" s="99" t="s">
        <v>144</v>
      </c>
      <c r="J97" s="338" t="s">
        <v>837</v>
      </c>
      <c r="K97" s="99" t="s">
        <v>151</v>
      </c>
      <c r="L97" s="99" t="s">
        <v>144</v>
      </c>
      <c r="N97" s="1"/>
      <c r="BL97" s="120"/>
    </row>
    <row r="98" spans="2:65" x14ac:dyDescent="0.25">
      <c r="B98" s="154">
        <v>0.5</v>
      </c>
      <c r="C98" s="102">
        <f>K98+C102</f>
        <v>8812</v>
      </c>
      <c r="D98" s="102">
        <f>C98*(HLOOKUP($C$106,pREFs!$C$16:$BJ$23,8,0)-HLOOKUP($C$106,pREFs!$C$16:$BJ$22,7,0))</f>
        <v>396540</v>
      </c>
      <c r="F98" s="154">
        <v>0.5</v>
      </c>
      <c r="G98" s="102">
        <f>HLOOKUP($F$148,$C$106:$BJ$107,2,0)</f>
        <v>16252</v>
      </c>
      <c r="H98" s="496">
        <f>HLOOKUP($F$148,$106:$109,4,0)</f>
        <v>438804</v>
      </c>
      <c r="J98" s="154">
        <v>0.5</v>
      </c>
      <c r="K98" s="102">
        <v>8812</v>
      </c>
      <c r="L98" s="323">
        <v>458224</v>
      </c>
      <c r="M98" t="s">
        <v>840</v>
      </c>
      <c r="BL98" s="120"/>
    </row>
    <row r="99" spans="2:65" x14ac:dyDescent="0.25">
      <c r="B99" s="154">
        <v>1</v>
      </c>
      <c r="C99" s="102">
        <f>K99</f>
        <v>0</v>
      </c>
      <c r="D99" s="102">
        <f>C99*(HLOOKUP($C$106,pREFs!$C$16:$Z$24,9,0)-HLOOKUP($C$106,pREFs!$C$16:$Z$22,7,0))</f>
        <v>0</v>
      </c>
      <c r="F99" s="154">
        <v>1</v>
      </c>
      <c r="G99" s="102">
        <f>HLOOKUP($F$148,$C$112:$BJ$113,2,0)+K99</f>
        <v>0</v>
      </c>
      <c r="H99" s="102">
        <f>HLOOKUP($F$148,$112:$115,4,0)</f>
        <v>0</v>
      </c>
      <c r="J99" s="154">
        <v>1</v>
      </c>
      <c r="K99" s="617">
        <v>0</v>
      </c>
      <c r="L99" s="617">
        <v>0</v>
      </c>
      <c r="BL99" s="120"/>
    </row>
    <row r="100" spans="2:65" x14ac:dyDescent="0.25">
      <c r="C100" s="1"/>
      <c r="G100" s="1"/>
      <c r="L100" s="1"/>
      <c r="M100" s="117"/>
      <c r="N100" s="117"/>
      <c r="O100" s="117"/>
      <c r="AY100" s="117"/>
      <c r="BL100" s="120"/>
    </row>
    <row r="101" spans="2:65" x14ac:dyDescent="0.25">
      <c r="B101" s="98" t="s">
        <v>351</v>
      </c>
      <c r="C101" s="99" t="s">
        <v>151</v>
      </c>
      <c r="G101" s="1"/>
      <c r="L101" s="1"/>
      <c r="M101" s="117"/>
      <c r="N101" s="117"/>
      <c r="O101" s="117"/>
      <c r="AY101" s="117"/>
      <c r="BL101" s="120"/>
    </row>
    <row r="102" spans="2:65" x14ac:dyDescent="0.25">
      <c r="B102" s="154">
        <v>0.5</v>
      </c>
      <c r="C102" s="102">
        <f>+IF(SUM(C86:N86)&lt;0,IF(N103="negativo",0,SUM(C86:N86)),IF(N103="positivo",0,SUM(C86:N86)))</f>
        <v>0</v>
      </c>
      <c r="G102" s="1"/>
      <c r="L102" s="1"/>
      <c r="M102" s="117"/>
      <c r="N102" s="117"/>
      <c r="O102" s="117"/>
      <c r="AY102" s="117"/>
      <c r="BL102" s="120"/>
    </row>
    <row r="103" spans="2:65" x14ac:dyDescent="0.25">
      <c r="B103" s="154">
        <v>1</v>
      </c>
      <c r="C103" s="102">
        <f>+IF(SUM(C87:N87)&lt;0,IF(N104="negativo",0,SUM(C87:N87)),IF(N104="positivo",0,SUM(C87:N87)))</f>
        <v>0</v>
      </c>
      <c r="G103" s="1"/>
      <c r="L103" s="1"/>
      <c r="M103" s="158">
        <v>0.5</v>
      </c>
      <c r="N103" s="117" t="s">
        <v>352</v>
      </c>
      <c r="O103" s="117"/>
      <c r="AY103" s="117"/>
      <c r="BL103" s="120"/>
    </row>
    <row r="104" spans="2:65" x14ac:dyDescent="0.25">
      <c r="C104" s="1"/>
      <c r="G104" s="1"/>
      <c r="L104" s="1"/>
      <c r="M104" s="116">
        <v>1</v>
      </c>
      <c r="N104" s="117" t="s">
        <v>352</v>
      </c>
      <c r="O104" s="117"/>
      <c r="AY104" s="117"/>
      <c r="BL104" s="120"/>
    </row>
    <row r="105" spans="2:65" x14ac:dyDescent="0.25">
      <c r="C105" s="52">
        <f>C2</f>
        <v>744</v>
      </c>
      <c r="D105" s="52">
        <f t="shared" ref="D105:Z105" si="426">D2</f>
        <v>672</v>
      </c>
      <c r="E105" s="52">
        <f t="shared" si="426"/>
        <v>744</v>
      </c>
      <c r="F105" s="52">
        <f t="shared" si="426"/>
        <v>720</v>
      </c>
      <c r="G105" s="52">
        <f t="shared" si="426"/>
        <v>744</v>
      </c>
      <c r="H105" s="52">
        <f t="shared" si="426"/>
        <v>720</v>
      </c>
      <c r="I105" s="52">
        <f t="shared" si="426"/>
        <v>744</v>
      </c>
      <c r="J105" s="52">
        <f t="shared" si="426"/>
        <v>744</v>
      </c>
      <c r="K105" s="52">
        <f t="shared" si="426"/>
        <v>720</v>
      </c>
      <c r="L105" s="52">
        <f t="shared" si="426"/>
        <v>744</v>
      </c>
      <c r="M105" s="52">
        <f t="shared" si="426"/>
        <v>720</v>
      </c>
      <c r="N105" s="52">
        <f t="shared" si="426"/>
        <v>744</v>
      </c>
      <c r="O105" s="52">
        <f t="shared" si="426"/>
        <v>744</v>
      </c>
      <c r="P105" s="52">
        <f t="shared" si="426"/>
        <v>672</v>
      </c>
      <c r="Q105" s="52">
        <f t="shared" si="426"/>
        <v>744</v>
      </c>
      <c r="R105" s="52">
        <f t="shared" si="426"/>
        <v>720</v>
      </c>
      <c r="S105" s="52">
        <f t="shared" si="426"/>
        <v>744</v>
      </c>
      <c r="T105" s="52">
        <f t="shared" si="426"/>
        <v>720</v>
      </c>
      <c r="U105" s="52">
        <f t="shared" si="426"/>
        <v>744</v>
      </c>
      <c r="V105" s="52">
        <f t="shared" si="426"/>
        <v>744</v>
      </c>
      <c r="W105" s="52">
        <f t="shared" si="426"/>
        <v>720</v>
      </c>
      <c r="X105" s="52">
        <f t="shared" si="426"/>
        <v>744</v>
      </c>
      <c r="Y105" s="52">
        <f t="shared" si="426"/>
        <v>720</v>
      </c>
      <c r="Z105" s="52">
        <f t="shared" si="426"/>
        <v>744</v>
      </c>
      <c r="AA105" s="52">
        <f>AA2</f>
        <v>744</v>
      </c>
      <c r="AB105" s="52">
        <f t="shared" ref="AB105:AX105" si="427">AB2</f>
        <v>696</v>
      </c>
      <c r="AC105" s="52">
        <f t="shared" si="427"/>
        <v>744</v>
      </c>
      <c r="AD105" s="52">
        <f t="shared" si="427"/>
        <v>720</v>
      </c>
      <c r="AE105" s="52">
        <f t="shared" si="427"/>
        <v>744</v>
      </c>
      <c r="AF105" s="52">
        <f t="shared" si="427"/>
        <v>720</v>
      </c>
      <c r="AG105" s="52">
        <f t="shared" si="427"/>
        <v>744</v>
      </c>
      <c r="AH105" s="52">
        <f t="shared" si="427"/>
        <v>744</v>
      </c>
      <c r="AI105" s="52">
        <f t="shared" si="427"/>
        <v>720</v>
      </c>
      <c r="AJ105" s="52">
        <f t="shared" si="427"/>
        <v>744</v>
      </c>
      <c r="AK105" s="52">
        <f t="shared" si="427"/>
        <v>720</v>
      </c>
      <c r="AL105" s="52">
        <f t="shared" si="427"/>
        <v>744</v>
      </c>
      <c r="AM105" s="52">
        <f t="shared" si="427"/>
        <v>744</v>
      </c>
      <c r="AN105" s="52">
        <f t="shared" si="427"/>
        <v>672</v>
      </c>
      <c r="AO105" s="52">
        <f t="shared" si="427"/>
        <v>744</v>
      </c>
      <c r="AP105" s="52">
        <f t="shared" si="427"/>
        <v>720</v>
      </c>
      <c r="AQ105" s="52">
        <f t="shared" si="427"/>
        <v>744</v>
      </c>
      <c r="AR105" s="52">
        <f t="shared" si="427"/>
        <v>720</v>
      </c>
      <c r="AS105" s="52">
        <f t="shared" si="427"/>
        <v>744</v>
      </c>
      <c r="AT105" s="52">
        <f t="shared" si="427"/>
        <v>744</v>
      </c>
      <c r="AU105" s="52">
        <f t="shared" si="427"/>
        <v>720</v>
      </c>
      <c r="AV105" s="52">
        <f t="shared" si="427"/>
        <v>744</v>
      </c>
      <c r="AW105" s="52">
        <f t="shared" si="427"/>
        <v>720</v>
      </c>
      <c r="AX105" s="52">
        <f t="shared" si="427"/>
        <v>744</v>
      </c>
      <c r="AY105" s="52">
        <f t="shared" ref="AY105:BJ105" si="428">AY2</f>
        <v>744</v>
      </c>
      <c r="AZ105" s="52">
        <f t="shared" si="428"/>
        <v>672</v>
      </c>
      <c r="BA105" s="52">
        <f t="shared" si="428"/>
        <v>744</v>
      </c>
      <c r="BB105" s="52">
        <f t="shared" si="428"/>
        <v>720</v>
      </c>
      <c r="BC105" s="52">
        <f t="shared" si="428"/>
        <v>744</v>
      </c>
      <c r="BD105" s="52">
        <f t="shared" si="428"/>
        <v>720</v>
      </c>
      <c r="BE105" s="52">
        <f t="shared" si="428"/>
        <v>744</v>
      </c>
      <c r="BF105" s="52">
        <f t="shared" si="428"/>
        <v>744</v>
      </c>
      <c r="BG105" s="52">
        <f t="shared" si="428"/>
        <v>720</v>
      </c>
      <c r="BH105" s="52">
        <f t="shared" si="428"/>
        <v>744</v>
      </c>
      <c r="BI105" s="52">
        <f t="shared" si="428"/>
        <v>720</v>
      </c>
      <c r="BJ105" s="52">
        <f t="shared" si="428"/>
        <v>744</v>
      </c>
      <c r="BL105" s="120"/>
    </row>
    <row r="106" spans="2:65" ht="15.75" thickBot="1" x14ac:dyDescent="0.3">
      <c r="B106" s="59" t="s">
        <v>223</v>
      </c>
      <c r="C106" s="55">
        <f>C3</f>
        <v>44562</v>
      </c>
      <c r="D106" s="55">
        <f t="shared" ref="D106:BJ106" si="429">D3</f>
        <v>44593</v>
      </c>
      <c r="E106" s="55">
        <f t="shared" si="429"/>
        <v>44621</v>
      </c>
      <c r="F106" s="55">
        <f t="shared" si="429"/>
        <v>44652</v>
      </c>
      <c r="G106" s="55">
        <f t="shared" si="429"/>
        <v>44682</v>
      </c>
      <c r="H106" s="55">
        <f t="shared" si="429"/>
        <v>44713</v>
      </c>
      <c r="I106" s="55">
        <f t="shared" si="429"/>
        <v>44743</v>
      </c>
      <c r="J106" s="55">
        <f t="shared" si="429"/>
        <v>44774</v>
      </c>
      <c r="K106" s="55">
        <f t="shared" si="429"/>
        <v>44805</v>
      </c>
      <c r="L106" s="55">
        <f t="shared" si="429"/>
        <v>44835</v>
      </c>
      <c r="M106" s="55">
        <f t="shared" si="429"/>
        <v>44866</v>
      </c>
      <c r="N106" s="58">
        <f t="shared" si="429"/>
        <v>44896</v>
      </c>
      <c r="O106" s="55">
        <f t="shared" si="429"/>
        <v>44927</v>
      </c>
      <c r="P106" s="55">
        <f t="shared" si="429"/>
        <v>44958</v>
      </c>
      <c r="Q106" s="55">
        <f t="shared" si="429"/>
        <v>44986</v>
      </c>
      <c r="R106" s="55">
        <f t="shared" si="429"/>
        <v>45017</v>
      </c>
      <c r="S106" s="55">
        <f t="shared" si="429"/>
        <v>45047</v>
      </c>
      <c r="T106" s="55">
        <f t="shared" si="429"/>
        <v>45078</v>
      </c>
      <c r="U106" s="55">
        <f t="shared" si="429"/>
        <v>45108</v>
      </c>
      <c r="V106" s="55">
        <f t="shared" si="429"/>
        <v>45139</v>
      </c>
      <c r="W106" s="55">
        <f t="shared" si="429"/>
        <v>45170</v>
      </c>
      <c r="X106" s="55">
        <f t="shared" si="429"/>
        <v>45200</v>
      </c>
      <c r="Y106" s="55">
        <f t="shared" si="429"/>
        <v>45231</v>
      </c>
      <c r="Z106" s="58">
        <f t="shared" si="429"/>
        <v>45261</v>
      </c>
      <c r="AA106" s="55">
        <f t="shared" si="429"/>
        <v>45292</v>
      </c>
      <c r="AB106" s="55">
        <f t="shared" si="429"/>
        <v>45323</v>
      </c>
      <c r="AC106" s="55">
        <f t="shared" si="429"/>
        <v>45352</v>
      </c>
      <c r="AD106" s="55">
        <f t="shared" si="429"/>
        <v>45383</v>
      </c>
      <c r="AE106" s="55">
        <f t="shared" si="429"/>
        <v>45413</v>
      </c>
      <c r="AF106" s="55">
        <f t="shared" si="429"/>
        <v>45444</v>
      </c>
      <c r="AG106" s="55">
        <f t="shared" si="429"/>
        <v>45474</v>
      </c>
      <c r="AH106" s="55">
        <f t="shared" si="429"/>
        <v>45505</v>
      </c>
      <c r="AI106" s="55">
        <f t="shared" si="429"/>
        <v>45536</v>
      </c>
      <c r="AJ106" s="55">
        <f t="shared" si="429"/>
        <v>45566</v>
      </c>
      <c r="AK106" s="55">
        <f t="shared" si="429"/>
        <v>45597</v>
      </c>
      <c r="AL106" s="58">
        <f t="shared" si="429"/>
        <v>45627</v>
      </c>
      <c r="AM106" s="55">
        <f t="shared" si="429"/>
        <v>45658</v>
      </c>
      <c r="AN106" s="55">
        <f t="shared" si="429"/>
        <v>45689</v>
      </c>
      <c r="AO106" s="55">
        <f t="shared" si="429"/>
        <v>45717</v>
      </c>
      <c r="AP106" s="55">
        <f t="shared" si="429"/>
        <v>45748</v>
      </c>
      <c r="AQ106" s="55">
        <f t="shared" si="429"/>
        <v>45778</v>
      </c>
      <c r="AR106" s="55">
        <f t="shared" si="429"/>
        <v>45809</v>
      </c>
      <c r="AS106" s="55">
        <f t="shared" si="429"/>
        <v>45839</v>
      </c>
      <c r="AT106" s="55">
        <f t="shared" si="429"/>
        <v>45870</v>
      </c>
      <c r="AU106" s="55">
        <f t="shared" si="429"/>
        <v>45901</v>
      </c>
      <c r="AV106" s="55">
        <f t="shared" si="429"/>
        <v>45931</v>
      </c>
      <c r="AW106" s="55">
        <f t="shared" si="429"/>
        <v>45962</v>
      </c>
      <c r="AX106" s="58">
        <f t="shared" si="429"/>
        <v>45992</v>
      </c>
      <c r="AY106" s="55">
        <f t="shared" si="429"/>
        <v>46023</v>
      </c>
      <c r="AZ106" s="55">
        <f t="shared" si="429"/>
        <v>46054</v>
      </c>
      <c r="BA106" s="55">
        <f t="shared" si="429"/>
        <v>46082</v>
      </c>
      <c r="BB106" s="55">
        <f t="shared" si="429"/>
        <v>46113</v>
      </c>
      <c r="BC106" s="55">
        <f t="shared" si="429"/>
        <v>46143</v>
      </c>
      <c r="BD106" s="55">
        <f t="shared" si="429"/>
        <v>46174</v>
      </c>
      <c r="BE106" s="55">
        <f t="shared" si="429"/>
        <v>46204</v>
      </c>
      <c r="BF106" s="55">
        <f t="shared" si="429"/>
        <v>46235</v>
      </c>
      <c r="BG106" s="55">
        <f t="shared" si="429"/>
        <v>46266</v>
      </c>
      <c r="BH106" s="55">
        <f t="shared" si="429"/>
        <v>46296</v>
      </c>
      <c r="BI106" s="55">
        <f t="shared" si="429"/>
        <v>46327</v>
      </c>
      <c r="BJ106" s="58">
        <f t="shared" si="429"/>
        <v>46357</v>
      </c>
      <c r="BK106" s="51"/>
      <c r="BL106" s="120"/>
      <c r="BM106" s="51"/>
    </row>
    <row r="107" spans="2:65" ht="15.75" thickTop="1" x14ac:dyDescent="0.25">
      <c r="B107" s="74" t="s">
        <v>221</v>
      </c>
      <c r="C107" s="71">
        <f>C98</f>
        <v>8812</v>
      </c>
      <c r="D107" s="71">
        <f>C108</f>
        <v>8812</v>
      </c>
      <c r="E107" s="71">
        <f t="shared" ref="E107:BJ107" si="430">D108</f>
        <v>8812</v>
      </c>
      <c r="F107" s="71">
        <f t="shared" si="430"/>
        <v>8812</v>
      </c>
      <c r="G107" s="71">
        <f t="shared" si="430"/>
        <v>8812</v>
      </c>
      <c r="H107" s="71">
        <f t="shared" si="430"/>
        <v>8812</v>
      </c>
      <c r="I107" s="71">
        <f t="shared" si="430"/>
        <v>8812</v>
      </c>
      <c r="J107" s="71">
        <f t="shared" si="430"/>
        <v>8812</v>
      </c>
      <c r="K107" s="71">
        <f t="shared" si="430"/>
        <v>16252</v>
      </c>
      <c r="L107" s="71">
        <f t="shared" si="430"/>
        <v>16252</v>
      </c>
      <c r="M107" s="71">
        <f t="shared" si="430"/>
        <v>16252</v>
      </c>
      <c r="N107" s="72">
        <f t="shared" si="430"/>
        <v>16252</v>
      </c>
      <c r="O107" s="71">
        <f t="shared" si="430"/>
        <v>16252</v>
      </c>
      <c r="P107" s="71">
        <f t="shared" si="430"/>
        <v>16252</v>
      </c>
      <c r="Q107" s="71">
        <f t="shared" si="430"/>
        <v>16252</v>
      </c>
      <c r="R107" s="71">
        <f t="shared" si="430"/>
        <v>16252</v>
      </c>
      <c r="S107" s="71">
        <f t="shared" si="430"/>
        <v>16252</v>
      </c>
      <c r="T107" s="71">
        <f t="shared" si="430"/>
        <v>16252</v>
      </c>
      <c r="U107" s="71">
        <f t="shared" si="430"/>
        <v>16252</v>
      </c>
      <c r="V107" s="71">
        <f t="shared" si="430"/>
        <v>16252</v>
      </c>
      <c r="W107" s="71">
        <f t="shared" si="430"/>
        <v>16252</v>
      </c>
      <c r="X107" s="71">
        <f t="shared" si="430"/>
        <v>16252</v>
      </c>
      <c r="Y107" s="71">
        <f t="shared" si="430"/>
        <v>16252</v>
      </c>
      <c r="Z107" s="73">
        <f t="shared" si="430"/>
        <v>16252</v>
      </c>
      <c r="AA107" s="71">
        <f t="shared" si="430"/>
        <v>16252</v>
      </c>
      <c r="AB107" s="71">
        <f t="shared" si="430"/>
        <v>12532</v>
      </c>
      <c r="AC107" s="71">
        <f t="shared" si="430"/>
        <v>9052</v>
      </c>
      <c r="AD107" s="71">
        <f t="shared" si="430"/>
        <v>5332</v>
      </c>
      <c r="AE107" s="71">
        <f t="shared" si="430"/>
        <v>1732</v>
      </c>
      <c r="AF107" s="71">
        <f t="shared" si="430"/>
        <v>-1988</v>
      </c>
      <c r="AG107" s="71">
        <f t="shared" si="430"/>
        <v>-5588</v>
      </c>
      <c r="AH107" s="71">
        <f t="shared" si="430"/>
        <v>-9308</v>
      </c>
      <c r="AI107" s="71">
        <f t="shared" si="430"/>
        <v>-13028</v>
      </c>
      <c r="AJ107" s="71">
        <f t="shared" si="430"/>
        <v>-16628</v>
      </c>
      <c r="AK107" s="71">
        <f t="shared" si="430"/>
        <v>-20348</v>
      </c>
      <c r="AL107" s="72">
        <f t="shared" si="430"/>
        <v>-23948</v>
      </c>
      <c r="AM107" s="71">
        <f t="shared" si="430"/>
        <v>-27668</v>
      </c>
      <c r="AN107" s="71">
        <f t="shared" si="430"/>
        <v>-27668</v>
      </c>
      <c r="AO107" s="71">
        <f t="shared" si="430"/>
        <v>-27668</v>
      </c>
      <c r="AP107" s="71">
        <f t="shared" si="430"/>
        <v>-27668</v>
      </c>
      <c r="AQ107" s="71">
        <f t="shared" si="430"/>
        <v>-27668</v>
      </c>
      <c r="AR107" s="71">
        <f t="shared" si="430"/>
        <v>-27668</v>
      </c>
      <c r="AS107" s="71">
        <f t="shared" si="430"/>
        <v>-27668</v>
      </c>
      <c r="AT107" s="71">
        <f t="shared" si="430"/>
        <v>-27668</v>
      </c>
      <c r="AU107" s="71">
        <f t="shared" si="430"/>
        <v>-27668</v>
      </c>
      <c r="AV107" s="71">
        <f t="shared" si="430"/>
        <v>-27668</v>
      </c>
      <c r="AW107" s="71">
        <f t="shared" si="430"/>
        <v>-27668</v>
      </c>
      <c r="AX107" s="73">
        <f t="shared" si="430"/>
        <v>-27668</v>
      </c>
      <c r="AY107" s="71">
        <f t="shared" si="430"/>
        <v>-27668</v>
      </c>
      <c r="AZ107" s="71">
        <f t="shared" si="430"/>
        <v>-27668</v>
      </c>
      <c r="BA107" s="71">
        <f t="shared" si="430"/>
        <v>-27668</v>
      </c>
      <c r="BB107" s="71">
        <f t="shared" si="430"/>
        <v>-27668</v>
      </c>
      <c r="BC107" s="71">
        <f t="shared" si="430"/>
        <v>-27668</v>
      </c>
      <c r="BD107" s="71">
        <f t="shared" si="430"/>
        <v>-27668</v>
      </c>
      <c r="BE107" s="71">
        <f t="shared" si="430"/>
        <v>-27668</v>
      </c>
      <c r="BF107" s="71">
        <f t="shared" si="430"/>
        <v>-27668</v>
      </c>
      <c r="BG107" s="71">
        <f t="shared" si="430"/>
        <v>-27668</v>
      </c>
      <c r="BH107" s="71">
        <f t="shared" si="430"/>
        <v>-27668</v>
      </c>
      <c r="BI107" s="71">
        <f t="shared" si="430"/>
        <v>-27668</v>
      </c>
      <c r="BJ107" s="73">
        <f t="shared" si="430"/>
        <v>-27668</v>
      </c>
      <c r="BL107" s="120"/>
    </row>
    <row r="108" spans="2:65" x14ac:dyDescent="0.25">
      <c r="B108" s="74" t="s">
        <v>222</v>
      </c>
      <c r="C108" s="71">
        <f>C107+C84+IF($C$102&lt;&gt;0,0,C86)</f>
        <v>8812</v>
      </c>
      <c r="D108" s="71">
        <f t="shared" ref="D108:BJ108" si="431">D107+D84+IF($C$102&lt;&gt;0,0,D86)</f>
        <v>8812</v>
      </c>
      <c r="E108" s="71">
        <f t="shared" si="431"/>
        <v>8812</v>
      </c>
      <c r="F108" s="71">
        <f t="shared" si="431"/>
        <v>8812</v>
      </c>
      <c r="G108" s="71">
        <f t="shared" si="431"/>
        <v>8812</v>
      </c>
      <c r="H108" s="71">
        <f t="shared" si="431"/>
        <v>8812</v>
      </c>
      <c r="I108" s="71">
        <f t="shared" si="431"/>
        <v>8812</v>
      </c>
      <c r="J108" s="71">
        <f t="shared" si="431"/>
        <v>16252</v>
      </c>
      <c r="K108" s="71">
        <f t="shared" si="431"/>
        <v>16252</v>
      </c>
      <c r="L108" s="71">
        <f t="shared" si="431"/>
        <v>16252</v>
      </c>
      <c r="M108" s="71">
        <f t="shared" si="431"/>
        <v>16252</v>
      </c>
      <c r="N108" s="72">
        <f t="shared" si="431"/>
        <v>16252</v>
      </c>
      <c r="O108" s="71">
        <f t="shared" si="431"/>
        <v>16252</v>
      </c>
      <c r="P108" s="71">
        <f t="shared" si="431"/>
        <v>16252</v>
      </c>
      <c r="Q108" s="71">
        <f t="shared" si="431"/>
        <v>16252</v>
      </c>
      <c r="R108" s="71">
        <f t="shared" si="431"/>
        <v>16252</v>
      </c>
      <c r="S108" s="71">
        <f t="shared" si="431"/>
        <v>16252</v>
      </c>
      <c r="T108" s="71">
        <f t="shared" si="431"/>
        <v>16252</v>
      </c>
      <c r="U108" s="71">
        <f t="shared" si="431"/>
        <v>16252</v>
      </c>
      <c r="V108" s="71">
        <f t="shared" si="431"/>
        <v>16252</v>
      </c>
      <c r="W108" s="71">
        <f t="shared" si="431"/>
        <v>16252</v>
      </c>
      <c r="X108" s="71">
        <f t="shared" si="431"/>
        <v>16252</v>
      </c>
      <c r="Y108" s="71">
        <f t="shared" si="431"/>
        <v>16252</v>
      </c>
      <c r="Z108" s="73">
        <f t="shared" si="431"/>
        <v>16252</v>
      </c>
      <c r="AA108" s="71">
        <f t="shared" si="431"/>
        <v>12532</v>
      </c>
      <c r="AB108" s="71">
        <f t="shared" si="431"/>
        <v>9052</v>
      </c>
      <c r="AC108" s="71">
        <f t="shared" si="431"/>
        <v>5332</v>
      </c>
      <c r="AD108" s="71">
        <f t="shared" si="431"/>
        <v>1732</v>
      </c>
      <c r="AE108" s="71">
        <f t="shared" si="431"/>
        <v>-1988</v>
      </c>
      <c r="AF108" s="71">
        <f t="shared" si="431"/>
        <v>-5588</v>
      </c>
      <c r="AG108" s="71">
        <f t="shared" si="431"/>
        <v>-9308</v>
      </c>
      <c r="AH108" s="71">
        <f t="shared" si="431"/>
        <v>-13028</v>
      </c>
      <c r="AI108" s="71">
        <f t="shared" si="431"/>
        <v>-16628</v>
      </c>
      <c r="AJ108" s="71">
        <f t="shared" si="431"/>
        <v>-20348</v>
      </c>
      <c r="AK108" s="71">
        <f t="shared" si="431"/>
        <v>-23948</v>
      </c>
      <c r="AL108" s="72">
        <f t="shared" si="431"/>
        <v>-27668</v>
      </c>
      <c r="AM108" s="71">
        <f t="shared" si="431"/>
        <v>-27668</v>
      </c>
      <c r="AN108" s="71">
        <f t="shared" si="431"/>
        <v>-27668</v>
      </c>
      <c r="AO108" s="71">
        <f t="shared" si="431"/>
        <v>-27668</v>
      </c>
      <c r="AP108" s="71">
        <f t="shared" si="431"/>
        <v>-27668</v>
      </c>
      <c r="AQ108" s="71">
        <f t="shared" si="431"/>
        <v>-27668</v>
      </c>
      <c r="AR108" s="71">
        <f t="shared" si="431"/>
        <v>-27668</v>
      </c>
      <c r="AS108" s="71">
        <f t="shared" si="431"/>
        <v>-27668</v>
      </c>
      <c r="AT108" s="71">
        <f t="shared" si="431"/>
        <v>-27668</v>
      </c>
      <c r="AU108" s="71">
        <f t="shared" si="431"/>
        <v>-27668</v>
      </c>
      <c r="AV108" s="71">
        <f t="shared" si="431"/>
        <v>-27668</v>
      </c>
      <c r="AW108" s="71">
        <f t="shared" si="431"/>
        <v>-27668</v>
      </c>
      <c r="AX108" s="73">
        <f t="shared" si="431"/>
        <v>-27668</v>
      </c>
      <c r="AY108" s="71">
        <f t="shared" si="431"/>
        <v>-27668</v>
      </c>
      <c r="AZ108" s="71">
        <f t="shared" si="431"/>
        <v>-27668</v>
      </c>
      <c r="BA108" s="71">
        <f t="shared" si="431"/>
        <v>-27668</v>
      </c>
      <c r="BB108" s="71">
        <f t="shared" si="431"/>
        <v>-27668</v>
      </c>
      <c r="BC108" s="71">
        <f t="shared" si="431"/>
        <v>-27668</v>
      </c>
      <c r="BD108" s="71">
        <f t="shared" si="431"/>
        <v>-27668</v>
      </c>
      <c r="BE108" s="71">
        <f t="shared" si="431"/>
        <v>-27668</v>
      </c>
      <c r="BF108" s="71">
        <f t="shared" si="431"/>
        <v>-27668</v>
      </c>
      <c r="BG108" s="71">
        <f t="shared" si="431"/>
        <v>-27668</v>
      </c>
      <c r="BH108" s="71">
        <f t="shared" si="431"/>
        <v>-27668</v>
      </c>
      <c r="BI108" s="71">
        <f t="shared" si="431"/>
        <v>-27668</v>
      </c>
      <c r="BJ108" s="73">
        <f t="shared" si="431"/>
        <v>-27668</v>
      </c>
      <c r="BL108" s="120"/>
    </row>
    <row r="109" spans="2:65" x14ac:dyDescent="0.25">
      <c r="B109" s="74" t="s">
        <v>225</v>
      </c>
      <c r="C109" s="71">
        <f>C107*(HLOOKUP(C106,pREFs!$C$16:$BJ$23,8,0)-HLOOKUP(C106,pREFs!$C$16:$BJ$24,7,0))</f>
        <v>396540</v>
      </c>
      <c r="D109" s="71">
        <f>D107*(HLOOKUP(D106,pREFs!$C$16:$BJ$24,8,0)-HLOOKUP(D106,pREFs!$C$16:$BJ$24,7,0))</f>
        <v>370104</v>
      </c>
      <c r="E109" s="71">
        <f>E107*(HLOOKUP(E106,pREFs!$C$16:$BJ$24,8,0)-HLOOKUP(E106,pREFs!$C$16:$BJ$24,7,0))</f>
        <v>352480</v>
      </c>
      <c r="F109" s="71">
        <f>F107*(HLOOKUP(F106,pREFs!$C$16:$BJ$24,8,0)-HLOOKUP(F106,pREFs!$C$16:$BJ$24,7,0))</f>
        <v>352480</v>
      </c>
      <c r="G109" s="71">
        <f>G107*(HLOOKUP(G106,pREFs!$C$16:$BJ$24,8,0)-HLOOKUP(G106,pREFs!$C$16:$BJ$24,7,0))</f>
        <v>317232</v>
      </c>
      <c r="H109" s="71">
        <f>H107*(HLOOKUP(H106,pREFs!$C$16:$BJ$24,8,0)-HLOOKUP(H106,pREFs!$C$16:$BJ$24,7,0))</f>
        <v>317232</v>
      </c>
      <c r="I109" s="71">
        <f>I107*(HLOOKUP(I106,pREFs!$C$16:$BJ$24,8,0)-HLOOKUP(I106,pREFs!$C$16:$BJ$24,7,0))</f>
        <v>264360</v>
      </c>
      <c r="J109" s="71">
        <f>J107*(HLOOKUP(J106,pREFs!$C$16:$BJ$24,8,0)-HLOOKUP(J106,pREFs!$C$16:$BJ$24,7,0))</f>
        <v>255548</v>
      </c>
      <c r="K109" s="71">
        <f>K107*(HLOOKUP(K106,pREFs!$C$16:$BJ$24,8,0)-HLOOKUP(K106,pREFs!$C$16:$BJ$24,7,0))</f>
        <v>373796</v>
      </c>
      <c r="L109" s="71">
        <f>L107*(HLOOKUP(L106,pREFs!$C$16:$BJ$24,8,0)-HLOOKUP(L106,pREFs!$C$16:$BJ$24,7,0))</f>
        <v>373796</v>
      </c>
      <c r="M109" s="71">
        <f>M107*(HLOOKUP(M106,pREFs!$C$16:$BJ$24,8,0)-HLOOKUP(M106,pREFs!$C$16:$BJ$24,7,0))</f>
        <v>373796</v>
      </c>
      <c r="N109" s="72">
        <f>N107*(HLOOKUP(N106,pREFs!$C$16:$BJ$24,8,0)-HLOOKUP(N106,pREFs!$C$16:$BJ$24,7,0))</f>
        <v>438804</v>
      </c>
      <c r="O109" s="71">
        <f>O107*(HLOOKUP(O106,pREFs!$C$16:$BJ$24,8,0)-HLOOKUP(O106,pREFs!$C$16:$BJ$24,7,0))</f>
        <v>487560</v>
      </c>
      <c r="P109" s="71">
        <f>P107*(HLOOKUP(P106,pREFs!$C$16:$BJ$24,8,0)-HLOOKUP(P106,pREFs!$C$16:$BJ$24,7,0))</f>
        <v>487560</v>
      </c>
      <c r="Q109" s="71">
        <f>Q107*(HLOOKUP(Q106,pREFs!$C$16:$BJ$24,8,0)-HLOOKUP(Q106,pREFs!$C$16:$BJ$24,7,0))</f>
        <v>487560</v>
      </c>
      <c r="R109" s="71">
        <f>R107*(HLOOKUP(R106,pREFs!$C$16:$BJ$24,8,0)-HLOOKUP(R106,pREFs!$C$16:$BJ$24,7,0))</f>
        <v>487560</v>
      </c>
      <c r="S109" s="71">
        <f>S107*(HLOOKUP(S106,pREFs!$C$16:$BJ$24,8,0)-HLOOKUP(S106,pREFs!$C$16:$BJ$24,7,0))</f>
        <v>487560</v>
      </c>
      <c r="T109" s="71">
        <f>T107*(HLOOKUP(T106,pREFs!$C$16:$BJ$24,8,0)-HLOOKUP(T106,pREFs!$C$16:$BJ$24,7,0))</f>
        <v>487560</v>
      </c>
      <c r="U109" s="71">
        <f>U107*(HLOOKUP(U106,pREFs!$C$16:$BJ$24,8,0)-HLOOKUP(U106,pREFs!$C$16:$BJ$24,7,0))</f>
        <v>487560</v>
      </c>
      <c r="V109" s="71">
        <f>V107*(HLOOKUP(V106,pREFs!$C$16:$BJ$24,8,0)-HLOOKUP(V106,pREFs!$C$16:$BJ$24,7,0))</f>
        <v>487560</v>
      </c>
      <c r="W109" s="71">
        <f>W107*(HLOOKUP(W106,pREFs!$C$16:$BJ$24,8,0)-HLOOKUP(W106,pREFs!$C$16:$BJ$24,7,0))</f>
        <v>487560</v>
      </c>
      <c r="X109" s="71">
        <f>X107*(HLOOKUP(X106,pREFs!$C$16:$BJ$24,8,0)-HLOOKUP(X106,pREFs!$C$16:$BJ$24,7,0))</f>
        <v>487560</v>
      </c>
      <c r="Y109" s="71">
        <f>Y107*(HLOOKUP(Y106,pREFs!$C$16:$BJ$24,8,0)-HLOOKUP(Y106,pREFs!$C$16:$BJ$24,7,0))</f>
        <v>487560</v>
      </c>
      <c r="Z109" s="73">
        <f>Z107*(HLOOKUP(Z106,pREFs!$C$16:$BJ$24,8,0)-HLOOKUP(Z106,pREFs!$C$16:$BJ$24,7,0))</f>
        <v>487560</v>
      </c>
      <c r="AA109" s="71">
        <f>AA107*(HLOOKUP(AA106,pREFs!$C$16:$BJ$24,8,0)-HLOOKUP(AA106,pREFs!$C$16:$BJ$24,7,0))</f>
        <v>520064</v>
      </c>
      <c r="AB109" s="71">
        <f>AB107*(HLOOKUP(AB106,pREFs!$C$16:$BJ$24,8,0)-HLOOKUP(AB106,pREFs!$C$16:$BJ$24,7,0))</f>
        <v>401024</v>
      </c>
      <c r="AC109" s="71">
        <f>AC107*(HLOOKUP(AC106,pREFs!$C$16:$BJ$24,8,0)-HLOOKUP(AC106,pREFs!$C$16:$BJ$24,7,0))</f>
        <v>289664</v>
      </c>
      <c r="AD109" s="71">
        <f>AD107*(HLOOKUP(AD106,pREFs!$C$16:$BJ$24,8,0)-HLOOKUP(AD106,pREFs!$C$16:$BJ$24,7,0))</f>
        <v>170624</v>
      </c>
      <c r="AE109" s="71">
        <f>AE107*(HLOOKUP(AE106,pREFs!$C$16:$BJ$24,8,0)-HLOOKUP(AE106,pREFs!$C$16:$BJ$24,7,0))</f>
        <v>55424</v>
      </c>
      <c r="AF109" s="71">
        <f>AF107*(HLOOKUP(AF106,pREFs!$C$16:$BJ$24,8,0)-HLOOKUP(AF106,pREFs!$C$16:$BJ$24,7,0))</f>
        <v>-63616</v>
      </c>
      <c r="AG109" s="71">
        <f>AG107*(HLOOKUP(AG106,pREFs!$C$16:$BJ$24,8,0)-HLOOKUP(AG106,pREFs!$C$16:$BJ$24,7,0))</f>
        <v>-178816</v>
      </c>
      <c r="AH109" s="71">
        <f>AH107*(HLOOKUP(AH106,pREFs!$C$16:$BJ$24,8,0)-HLOOKUP(AH106,pREFs!$C$16:$BJ$24,7,0))</f>
        <v>-297856</v>
      </c>
      <c r="AI109" s="71">
        <f>AI107*(HLOOKUP(AI106,pREFs!$C$16:$BJ$24,8,0)-HLOOKUP(AI106,pREFs!$C$16:$BJ$24,7,0))</f>
        <v>-416896</v>
      </c>
      <c r="AJ109" s="71">
        <f>AJ107*(HLOOKUP(AJ106,pREFs!$C$16:$BJ$24,8,0)-HLOOKUP(AJ106,pREFs!$C$16:$BJ$24,7,0))</f>
        <v>-532096</v>
      </c>
      <c r="AK109" s="71">
        <f>AK107*(HLOOKUP(AK106,pREFs!$C$16:$BJ$24,8,0)-HLOOKUP(AK106,pREFs!$C$16:$BJ$24,7,0))</f>
        <v>-651136</v>
      </c>
      <c r="AL109" s="72">
        <f>AL107*(HLOOKUP(AL106,pREFs!$C$16:$BJ$24,8,0)-HLOOKUP(AL106,pREFs!$C$16:$BJ$24,7,0))</f>
        <v>-766336</v>
      </c>
      <c r="AM109" s="71">
        <f>AM107*(HLOOKUP(AM106,pREFs!$C$16:$BJ$24,8,0)-HLOOKUP(AM106,pREFs!$C$16:$BJ$24,7,0))</f>
        <v>-1023716</v>
      </c>
      <c r="AN109" s="71">
        <f>AN107*(HLOOKUP(AN106,pREFs!$C$16:$BJ$24,8,0)-HLOOKUP(AN106,pREFs!$C$16:$BJ$24,7,0))</f>
        <v>-1023716</v>
      </c>
      <c r="AO109" s="71">
        <f>AO107*(HLOOKUP(AO106,pREFs!$C$16:$BJ$24,8,0)-HLOOKUP(AO106,pREFs!$C$16:$BJ$24,7,0))</f>
        <v>-1023716</v>
      </c>
      <c r="AP109" s="71">
        <f>AP107*(HLOOKUP(AP106,pREFs!$C$16:$BJ$24,8,0)-HLOOKUP(AP106,pREFs!$C$16:$BJ$24,7,0))</f>
        <v>-1023716</v>
      </c>
      <c r="AQ109" s="71">
        <f>AQ107*(HLOOKUP(AQ106,pREFs!$C$16:$BJ$24,8,0)-HLOOKUP(AQ106,pREFs!$C$16:$BJ$24,7,0))</f>
        <v>-1023716</v>
      </c>
      <c r="AR109" s="71">
        <f>AR107*(HLOOKUP(AR106,pREFs!$C$16:$BJ$24,8,0)-HLOOKUP(AR106,pREFs!$C$16:$BJ$24,7,0))</f>
        <v>-1023716</v>
      </c>
      <c r="AS109" s="71">
        <f>AS107*(HLOOKUP(AS106,pREFs!$C$16:$BJ$24,8,0)-HLOOKUP(AS106,pREFs!$C$16:$BJ$24,7,0))</f>
        <v>-1023716</v>
      </c>
      <c r="AT109" s="71">
        <f>AT107*(HLOOKUP(AT106,pREFs!$C$16:$BJ$24,8,0)-HLOOKUP(AT106,pREFs!$C$16:$BJ$24,7,0))</f>
        <v>-1023716</v>
      </c>
      <c r="AU109" s="71">
        <f>AU107*(HLOOKUP(AU106,pREFs!$C$16:$BJ$24,8,0)-HLOOKUP(AU106,pREFs!$C$16:$BJ$24,7,0))</f>
        <v>-1023716</v>
      </c>
      <c r="AV109" s="71">
        <f>AV107*(HLOOKUP(AV106,pREFs!$C$16:$BJ$24,8,0)-HLOOKUP(AV106,pREFs!$C$16:$BJ$24,7,0))</f>
        <v>-1023716</v>
      </c>
      <c r="AW109" s="71">
        <f>AW107*(HLOOKUP(AW106,pREFs!$C$16:$BJ$24,8,0)-HLOOKUP(AW106,pREFs!$C$16:$BJ$24,7,0))</f>
        <v>-1023716</v>
      </c>
      <c r="AX109" s="73">
        <f>AX107*(HLOOKUP(AX106,pREFs!$C$16:$BJ$24,8,0)-HLOOKUP(AX106,pREFs!$C$16:$BJ$24,7,0))</f>
        <v>-1023716</v>
      </c>
      <c r="AY109" s="71">
        <f>AY107*(HLOOKUP(AY106,pREFs!$C$16:$BJ$24,8,0)-HLOOKUP(AY106,pREFs!$C$16:$BJ$24,7,0))</f>
        <v>-968380</v>
      </c>
      <c r="AZ109" s="71">
        <f>AZ107*(HLOOKUP(AZ106,pREFs!$C$16:$BJ$24,8,0)-HLOOKUP(AZ106,pREFs!$C$16:$BJ$24,7,0))</f>
        <v>-968380</v>
      </c>
      <c r="BA109" s="71">
        <f>BA107*(HLOOKUP(BA106,pREFs!$C$16:$BJ$24,8,0)-HLOOKUP(BA106,pREFs!$C$16:$BJ$24,7,0))</f>
        <v>-968380</v>
      </c>
      <c r="BB109" s="71">
        <f>BB107*(HLOOKUP(BB106,pREFs!$C$16:$BJ$24,8,0)-HLOOKUP(BB106,pREFs!$C$16:$BJ$24,7,0))</f>
        <v>-968380</v>
      </c>
      <c r="BC109" s="71">
        <f>BC107*(HLOOKUP(BC106,pREFs!$C$16:$BJ$24,8,0)-HLOOKUP(BC106,pREFs!$C$16:$BJ$24,7,0))</f>
        <v>-968380</v>
      </c>
      <c r="BD109" s="71">
        <f>BD107*(HLOOKUP(BD106,pREFs!$C$16:$BJ$24,8,0)-HLOOKUP(BD106,pREFs!$C$16:$BJ$24,7,0))</f>
        <v>-968380</v>
      </c>
      <c r="BE109" s="71">
        <f>BE107*(HLOOKUP(BE106,pREFs!$C$16:$BJ$24,8,0)-HLOOKUP(BE106,pREFs!$C$16:$BJ$24,7,0))</f>
        <v>-968380</v>
      </c>
      <c r="BF109" s="71">
        <f>BF107*(HLOOKUP(BF106,pREFs!$C$16:$BJ$24,8,0)-HLOOKUP(BF106,pREFs!$C$16:$BJ$24,7,0))</f>
        <v>-968380</v>
      </c>
      <c r="BG109" s="71">
        <f>BG107*(HLOOKUP(BG106,pREFs!$C$16:$BJ$24,8,0)-HLOOKUP(BG106,pREFs!$C$16:$BJ$24,7,0))</f>
        <v>-968380</v>
      </c>
      <c r="BH109" s="71">
        <f>BH107*(HLOOKUP(BH106,pREFs!$C$16:$BJ$24,8,0)-HLOOKUP(BH106,pREFs!$C$16:$BJ$24,7,0))</f>
        <v>-968380</v>
      </c>
      <c r="BI109" s="71">
        <f>BI107*(HLOOKUP(BI106,pREFs!$C$16:$BJ$24,8,0)-HLOOKUP(BI106,pREFs!$C$16:$BJ$24,7,0))</f>
        <v>-968380</v>
      </c>
      <c r="BJ109" s="73">
        <f>BJ107*(HLOOKUP(BJ106,pREFs!$C$16:$BJ$24,8,0)-HLOOKUP(BJ106,pREFs!$C$16:$BJ$24,7,0))</f>
        <v>-968380</v>
      </c>
      <c r="BL109" s="120"/>
    </row>
    <row r="110" spans="2:65" x14ac:dyDescent="0.25">
      <c r="B110" s="74" t="s">
        <v>226</v>
      </c>
      <c r="C110" s="71">
        <f>C108*(HLOOKUP(C106,pREFs!$C$16:$BJ$23,8,0)-HLOOKUP(C106,pREFs!$C$16:$BJ$24,7,0))</f>
        <v>396540</v>
      </c>
      <c r="D110" s="71">
        <f>D108*(HLOOKUP(D106,pREFs!$C$16:$BJ$24,8,0)-HLOOKUP(D106,pREFs!$C$16:$BJ$24,7,0))</f>
        <v>370104</v>
      </c>
      <c r="E110" s="71">
        <f>E108*(HLOOKUP(E106,pREFs!$C$16:$BJ$24,8,0)-HLOOKUP(E106,pREFs!$C$16:$BJ$24,7,0))</f>
        <v>352480</v>
      </c>
      <c r="F110" s="71">
        <f>F108*(HLOOKUP(F106,pREFs!$C$16:$BJ$24,8,0)-HLOOKUP(F106,pREFs!$C$16:$BJ$24,7,0))</f>
        <v>352480</v>
      </c>
      <c r="G110" s="71">
        <f>G108*(HLOOKUP(G106,pREFs!$C$16:$BJ$24,8,0)-HLOOKUP(G106,pREFs!$C$16:$BJ$24,7,0))</f>
        <v>317232</v>
      </c>
      <c r="H110" s="71">
        <f>H108*(HLOOKUP(H106,pREFs!$C$16:$BJ$24,8,0)-HLOOKUP(H106,pREFs!$C$16:$BJ$24,7,0))</f>
        <v>317232</v>
      </c>
      <c r="I110" s="71">
        <f>I108*(HLOOKUP(I106,pREFs!$C$16:$BJ$24,8,0)-HLOOKUP(I106,pREFs!$C$16:$BJ$24,7,0))</f>
        <v>264360</v>
      </c>
      <c r="J110" s="71">
        <f>J108*(HLOOKUP(J106,pREFs!$C$16:$BJ$24,8,0)-HLOOKUP(J106,pREFs!$C$16:$BJ$24,7,0))</f>
        <v>471308</v>
      </c>
      <c r="K110" s="71">
        <f>K108*(HLOOKUP(K106,pREFs!$C$16:$BJ$24,8,0)-HLOOKUP(K106,pREFs!$C$16:$BJ$24,7,0))</f>
        <v>373796</v>
      </c>
      <c r="L110" s="71">
        <f>L108*(HLOOKUP(L106,pREFs!$C$16:$BJ$24,8,0)-HLOOKUP(L106,pREFs!$C$16:$BJ$24,7,0))</f>
        <v>373796</v>
      </c>
      <c r="M110" s="71">
        <f>M108*(HLOOKUP(M106,pREFs!$C$16:$BJ$24,8,0)-HLOOKUP(M106,pREFs!$C$16:$BJ$24,7,0))</f>
        <v>373796</v>
      </c>
      <c r="N110" s="72">
        <f>N108*(HLOOKUP(N106,pREFs!$C$16:$BJ$24,8,0)-HLOOKUP(N106,pREFs!$C$16:$BJ$24,7,0))</f>
        <v>438804</v>
      </c>
      <c r="O110" s="71">
        <f>O108*(HLOOKUP(O106,pREFs!$C$16:$BJ$24,8,0)-HLOOKUP(O106,pREFs!$C$16:$BJ$24,7,0))</f>
        <v>487560</v>
      </c>
      <c r="P110" s="71">
        <f>P108*(HLOOKUP(P106,pREFs!$C$16:$BJ$24,8,0)-HLOOKUP(P106,pREFs!$C$16:$BJ$24,7,0))</f>
        <v>487560</v>
      </c>
      <c r="Q110" s="71">
        <f>Q108*(HLOOKUP(Q106,pREFs!$C$16:$BJ$24,8,0)-HLOOKUP(Q106,pREFs!$C$16:$BJ$24,7,0))</f>
        <v>487560</v>
      </c>
      <c r="R110" s="71">
        <f>R108*(HLOOKUP(R106,pREFs!$C$16:$BJ$24,8,0)-HLOOKUP(R106,pREFs!$C$16:$BJ$24,7,0))</f>
        <v>487560</v>
      </c>
      <c r="S110" s="71">
        <f>S108*(HLOOKUP(S106,pREFs!$C$16:$BJ$24,8,0)-HLOOKUP(S106,pREFs!$C$16:$BJ$24,7,0))</f>
        <v>487560</v>
      </c>
      <c r="T110" s="71">
        <f>T108*(HLOOKUP(T106,pREFs!$C$16:$BJ$24,8,0)-HLOOKUP(T106,pREFs!$C$16:$BJ$24,7,0))</f>
        <v>487560</v>
      </c>
      <c r="U110" s="71">
        <f>U108*(HLOOKUP(U106,pREFs!$C$16:$BJ$24,8,0)-HLOOKUP(U106,pREFs!$C$16:$BJ$24,7,0))</f>
        <v>487560</v>
      </c>
      <c r="V110" s="71">
        <f>V108*(HLOOKUP(V106,pREFs!$C$16:$BJ$24,8,0)-HLOOKUP(V106,pREFs!$C$16:$BJ$24,7,0))</f>
        <v>487560</v>
      </c>
      <c r="W110" s="71">
        <f>W108*(HLOOKUP(W106,pREFs!$C$16:$BJ$24,8,0)-HLOOKUP(W106,pREFs!$C$16:$BJ$24,7,0))</f>
        <v>487560</v>
      </c>
      <c r="X110" s="71">
        <f>X108*(HLOOKUP(X106,pREFs!$C$16:$BJ$24,8,0)-HLOOKUP(X106,pREFs!$C$16:$BJ$24,7,0))</f>
        <v>487560</v>
      </c>
      <c r="Y110" s="71">
        <f>Y108*(HLOOKUP(Y106,pREFs!$C$16:$BJ$24,8,0)-HLOOKUP(Y106,pREFs!$C$16:$BJ$24,7,0))</f>
        <v>487560</v>
      </c>
      <c r="Z110" s="73">
        <f>Z108*(HLOOKUP(Z106,pREFs!$C$16:$BJ$24,8,0)-HLOOKUP(Z106,pREFs!$C$16:$BJ$24,7,0))</f>
        <v>487560</v>
      </c>
      <c r="AA110" s="71">
        <f>AA108*(HLOOKUP(AA106,pREFs!$C$16:$BJ$24,8,0)-HLOOKUP(AA106,pREFs!$C$16:$BJ$24,7,0))</f>
        <v>401024</v>
      </c>
      <c r="AB110" s="71">
        <f>AB108*(HLOOKUP(AB106,pREFs!$C$16:$BJ$24,8,0)-HLOOKUP(AB106,pREFs!$C$16:$BJ$24,7,0))</f>
        <v>289664</v>
      </c>
      <c r="AC110" s="71">
        <f>AC108*(HLOOKUP(AC106,pREFs!$C$16:$BJ$24,8,0)-HLOOKUP(AC106,pREFs!$C$16:$BJ$24,7,0))</f>
        <v>170624</v>
      </c>
      <c r="AD110" s="71">
        <f>AD108*(HLOOKUP(AD106,pREFs!$C$16:$BJ$24,8,0)-HLOOKUP(AD106,pREFs!$C$16:$BJ$24,7,0))</f>
        <v>55424</v>
      </c>
      <c r="AE110" s="71">
        <f>AE108*(HLOOKUP(AE106,pREFs!$C$16:$BJ$24,8,0)-HLOOKUP(AE106,pREFs!$C$16:$BJ$24,7,0))</f>
        <v>-63616</v>
      </c>
      <c r="AF110" s="71">
        <f>AF108*(HLOOKUP(AF106,pREFs!$C$16:$BJ$24,8,0)-HLOOKUP(AF106,pREFs!$C$16:$BJ$24,7,0))</f>
        <v>-178816</v>
      </c>
      <c r="AG110" s="71">
        <f>AG108*(HLOOKUP(AG106,pREFs!$C$16:$BJ$24,8,0)-HLOOKUP(AG106,pREFs!$C$16:$BJ$24,7,0))</f>
        <v>-297856</v>
      </c>
      <c r="AH110" s="71">
        <f>AH108*(HLOOKUP(AH106,pREFs!$C$16:$BJ$24,8,0)-HLOOKUP(AH106,pREFs!$C$16:$BJ$24,7,0))</f>
        <v>-416896</v>
      </c>
      <c r="AI110" s="71">
        <f>AI108*(HLOOKUP(AI106,pREFs!$C$16:$BJ$24,8,0)-HLOOKUP(AI106,pREFs!$C$16:$BJ$24,7,0))</f>
        <v>-532096</v>
      </c>
      <c r="AJ110" s="71">
        <f>AJ108*(HLOOKUP(AJ106,pREFs!$C$16:$BJ$24,8,0)-HLOOKUP(AJ106,pREFs!$C$16:$BJ$24,7,0))</f>
        <v>-651136</v>
      </c>
      <c r="AK110" s="71">
        <f>AK108*(HLOOKUP(AK106,pREFs!$C$16:$BJ$24,8,0)-HLOOKUP(AK106,pREFs!$C$16:$BJ$24,7,0))</f>
        <v>-766336</v>
      </c>
      <c r="AL110" s="72">
        <f>AL108*(HLOOKUP(AL106,pREFs!$C$16:$BJ$24,8,0)-HLOOKUP(AL106,pREFs!$C$16:$BJ$24,7,0))</f>
        <v>-885376</v>
      </c>
      <c r="AM110" s="71">
        <f>AM108*(HLOOKUP(AM106,pREFs!$C$16:$BJ$24,8,0)-HLOOKUP(AM106,pREFs!$C$16:$BJ$24,7,0))</f>
        <v>-1023716</v>
      </c>
      <c r="AN110" s="71">
        <f>AN108*(HLOOKUP(AN106,pREFs!$C$16:$BJ$24,8,0)-HLOOKUP(AN106,pREFs!$C$16:$BJ$24,7,0))</f>
        <v>-1023716</v>
      </c>
      <c r="AO110" s="71">
        <f>AO108*(HLOOKUP(AO106,pREFs!$C$16:$BJ$24,8,0)-HLOOKUP(AO106,pREFs!$C$16:$BJ$24,7,0))</f>
        <v>-1023716</v>
      </c>
      <c r="AP110" s="71">
        <f>AP108*(HLOOKUP(AP106,pREFs!$C$16:$BJ$24,8,0)-HLOOKUP(AP106,pREFs!$C$16:$BJ$24,7,0))</f>
        <v>-1023716</v>
      </c>
      <c r="AQ110" s="71">
        <f>AQ108*(HLOOKUP(AQ106,pREFs!$C$16:$BJ$24,8,0)-HLOOKUP(AQ106,pREFs!$C$16:$BJ$24,7,0))</f>
        <v>-1023716</v>
      </c>
      <c r="AR110" s="71">
        <f>AR108*(HLOOKUP(AR106,pREFs!$C$16:$BJ$24,8,0)-HLOOKUP(AR106,pREFs!$C$16:$BJ$24,7,0))</f>
        <v>-1023716</v>
      </c>
      <c r="AS110" s="71">
        <f>AS108*(HLOOKUP(AS106,pREFs!$C$16:$BJ$24,8,0)-HLOOKUP(AS106,pREFs!$C$16:$BJ$24,7,0))</f>
        <v>-1023716</v>
      </c>
      <c r="AT110" s="71">
        <f>AT108*(HLOOKUP(AT106,pREFs!$C$16:$BJ$24,8,0)-HLOOKUP(AT106,pREFs!$C$16:$BJ$24,7,0))</f>
        <v>-1023716</v>
      </c>
      <c r="AU110" s="71">
        <f>AU108*(HLOOKUP(AU106,pREFs!$C$16:$BJ$24,8,0)-HLOOKUP(AU106,pREFs!$C$16:$BJ$24,7,0))</f>
        <v>-1023716</v>
      </c>
      <c r="AV110" s="71">
        <f>AV108*(HLOOKUP(AV106,pREFs!$C$16:$BJ$24,8,0)-HLOOKUP(AV106,pREFs!$C$16:$BJ$24,7,0))</f>
        <v>-1023716</v>
      </c>
      <c r="AW110" s="71">
        <f>AW108*(HLOOKUP(AW106,pREFs!$C$16:$BJ$24,8,0)-HLOOKUP(AW106,pREFs!$C$16:$BJ$24,7,0))</f>
        <v>-1023716</v>
      </c>
      <c r="AX110" s="73">
        <f>AX108*(HLOOKUP(AX106,pREFs!$C$16:$BJ$24,8,0)-HLOOKUP(AX106,pREFs!$C$16:$BJ$24,7,0))</f>
        <v>-1023716</v>
      </c>
      <c r="AY110" s="71">
        <f>AY108*(HLOOKUP(AY106,pREFs!$C$16:$BJ$24,8,0)-HLOOKUP(AY106,pREFs!$C$16:$BJ$24,7,0))</f>
        <v>-968380</v>
      </c>
      <c r="AZ110" s="71">
        <f>AZ108*(HLOOKUP(AZ106,pREFs!$C$16:$BJ$24,8,0)-HLOOKUP(AZ106,pREFs!$C$16:$BJ$24,7,0))</f>
        <v>-968380</v>
      </c>
      <c r="BA110" s="71">
        <f>BA108*(HLOOKUP(BA106,pREFs!$C$16:$BJ$24,8,0)-HLOOKUP(BA106,pREFs!$C$16:$BJ$24,7,0))</f>
        <v>-968380</v>
      </c>
      <c r="BB110" s="71">
        <f>BB108*(HLOOKUP(BB106,pREFs!$C$16:$BJ$24,8,0)-HLOOKUP(BB106,pREFs!$C$16:$BJ$24,7,0))</f>
        <v>-968380</v>
      </c>
      <c r="BC110" s="71">
        <f>BC108*(HLOOKUP(BC106,pREFs!$C$16:$BJ$24,8,0)-HLOOKUP(BC106,pREFs!$C$16:$BJ$24,7,0))</f>
        <v>-968380</v>
      </c>
      <c r="BD110" s="71">
        <f>BD108*(HLOOKUP(BD106,pREFs!$C$16:$BJ$24,8,0)-HLOOKUP(BD106,pREFs!$C$16:$BJ$24,7,0))</f>
        <v>-968380</v>
      </c>
      <c r="BE110" s="71">
        <f>BE108*(HLOOKUP(BE106,pREFs!$C$16:$BJ$24,8,0)-HLOOKUP(BE106,pREFs!$C$16:$BJ$24,7,0))</f>
        <v>-968380</v>
      </c>
      <c r="BF110" s="71">
        <f>BF108*(HLOOKUP(BF106,pREFs!$C$16:$BJ$24,8,0)-HLOOKUP(BF106,pREFs!$C$16:$BJ$24,7,0))</f>
        <v>-968380</v>
      </c>
      <c r="BG110" s="71">
        <f>BG108*(HLOOKUP(BG106,pREFs!$C$16:$BJ$24,8,0)-HLOOKUP(BG106,pREFs!$C$16:$BJ$24,7,0))</f>
        <v>-968380</v>
      </c>
      <c r="BH110" s="71">
        <f>BH108*(HLOOKUP(BH106,pREFs!$C$16:$BJ$24,8,0)-HLOOKUP(BH106,pREFs!$C$16:$BJ$24,7,0))</f>
        <v>-968380</v>
      </c>
      <c r="BI110" s="71">
        <f>BI108*(HLOOKUP(BI106,pREFs!$C$16:$BJ$24,8,0)-HLOOKUP(BI106,pREFs!$C$16:$BJ$24,7,0))</f>
        <v>-968380</v>
      </c>
      <c r="BJ110" s="73">
        <f>BJ108*(HLOOKUP(BJ106,pREFs!$C$16:$BJ$24,8,0)-HLOOKUP(BJ106,pREFs!$C$16:$BJ$24,7,0))</f>
        <v>-968380</v>
      </c>
      <c r="BL110" s="120"/>
    </row>
    <row r="111" spans="2:65" x14ac:dyDescent="0.25">
      <c r="B111" s="74" t="s">
        <v>341</v>
      </c>
      <c r="C111" s="71"/>
      <c r="D111" s="71">
        <f>D109-C110</f>
        <v>-26436</v>
      </c>
      <c r="E111" s="71">
        <f t="shared" ref="E111:BJ111" si="432">E109-D110</f>
        <v>-17624</v>
      </c>
      <c r="F111" s="71">
        <f t="shared" si="432"/>
        <v>0</v>
      </c>
      <c r="G111" s="71">
        <f t="shared" si="432"/>
        <v>-35248</v>
      </c>
      <c r="H111" s="71">
        <f t="shared" si="432"/>
        <v>0</v>
      </c>
      <c r="I111" s="71">
        <f t="shared" si="432"/>
        <v>-52872</v>
      </c>
      <c r="J111" s="71">
        <f t="shared" si="432"/>
        <v>-8812</v>
      </c>
      <c r="K111" s="71">
        <f t="shared" si="432"/>
        <v>-97512</v>
      </c>
      <c r="L111" s="71">
        <f t="shared" si="432"/>
        <v>0</v>
      </c>
      <c r="M111" s="71">
        <f t="shared" si="432"/>
        <v>0</v>
      </c>
      <c r="N111" s="72">
        <f t="shared" si="432"/>
        <v>65008</v>
      </c>
      <c r="O111" s="71">
        <f t="shared" si="432"/>
        <v>48756</v>
      </c>
      <c r="P111" s="71">
        <f t="shared" si="432"/>
        <v>0</v>
      </c>
      <c r="Q111" s="71">
        <f t="shared" si="432"/>
        <v>0</v>
      </c>
      <c r="R111" s="71">
        <f t="shared" si="432"/>
        <v>0</v>
      </c>
      <c r="S111" s="71">
        <f t="shared" si="432"/>
        <v>0</v>
      </c>
      <c r="T111" s="71">
        <f t="shared" si="432"/>
        <v>0</v>
      </c>
      <c r="U111" s="71">
        <f t="shared" si="432"/>
        <v>0</v>
      </c>
      <c r="V111" s="71">
        <f t="shared" si="432"/>
        <v>0</v>
      </c>
      <c r="W111" s="71">
        <f t="shared" si="432"/>
        <v>0</v>
      </c>
      <c r="X111" s="71">
        <f t="shared" si="432"/>
        <v>0</v>
      </c>
      <c r="Y111" s="71">
        <f t="shared" si="432"/>
        <v>0</v>
      </c>
      <c r="Z111" s="328">
        <f t="shared" si="432"/>
        <v>0</v>
      </c>
      <c r="AA111" s="71">
        <f t="shared" si="432"/>
        <v>32504</v>
      </c>
      <c r="AB111" s="71">
        <f t="shared" si="432"/>
        <v>0</v>
      </c>
      <c r="AC111" s="71">
        <f t="shared" si="432"/>
        <v>0</v>
      </c>
      <c r="AD111" s="71">
        <f t="shared" si="432"/>
        <v>0</v>
      </c>
      <c r="AE111" s="71">
        <f t="shared" si="432"/>
        <v>0</v>
      </c>
      <c r="AF111" s="71">
        <f t="shared" si="432"/>
        <v>0</v>
      </c>
      <c r="AG111" s="71">
        <f t="shared" si="432"/>
        <v>0</v>
      </c>
      <c r="AH111" s="71">
        <f t="shared" si="432"/>
        <v>0</v>
      </c>
      <c r="AI111" s="71">
        <f t="shared" si="432"/>
        <v>0</v>
      </c>
      <c r="AJ111" s="71">
        <f t="shared" si="432"/>
        <v>0</v>
      </c>
      <c r="AK111" s="71">
        <f t="shared" si="432"/>
        <v>0</v>
      </c>
      <c r="AL111" s="72">
        <f t="shared" si="432"/>
        <v>0</v>
      </c>
      <c r="AM111" s="71">
        <f t="shared" si="432"/>
        <v>-138340</v>
      </c>
      <c r="AN111" s="71">
        <f t="shared" si="432"/>
        <v>0</v>
      </c>
      <c r="AO111" s="71">
        <f t="shared" si="432"/>
        <v>0</v>
      </c>
      <c r="AP111" s="71">
        <f t="shared" si="432"/>
        <v>0</v>
      </c>
      <c r="AQ111" s="71">
        <f t="shared" si="432"/>
        <v>0</v>
      </c>
      <c r="AR111" s="71">
        <f t="shared" si="432"/>
        <v>0</v>
      </c>
      <c r="AS111" s="71">
        <f t="shared" si="432"/>
        <v>0</v>
      </c>
      <c r="AT111" s="71">
        <f t="shared" si="432"/>
        <v>0</v>
      </c>
      <c r="AU111" s="71">
        <f t="shared" si="432"/>
        <v>0</v>
      </c>
      <c r="AV111" s="71">
        <f t="shared" si="432"/>
        <v>0</v>
      </c>
      <c r="AW111" s="71">
        <f t="shared" si="432"/>
        <v>0</v>
      </c>
      <c r="AX111" s="328">
        <f t="shared" si="432"/>
        <v>0</v>
      </c>
      <c r="AY111" s="71">
        <f t="shared" si="432"/>
        <v>55336</v>
      </c>
      <c r="AZ111" s="71">
        <f t="shared" si="432"/>
        <v>0</v>
      </c>
      <c r="BA111" s="71">
        <f t="shared" si="432"/>
        <v>0</v>
      </c>
      <c r="BB111" s="71">
        <f t="shared" si="432"/>
        <v>0</v>
      </c>
      <c r="BC111" s="71">
        <f t="shared" si="432"/>
        <v>0</v>
      </c>
      <c r="BD111" s="71">
        <f t="shared" si="432"/>
        <v>0</v>
      </c>
      <c r="BE111" s="71">
        <f t="shared" si="432"/>
        <v>0</v>
      </c>
      <c r="BF111" s="71">
        <f t="shared" si="432"/>
        <v>0</v>
      </c>
      <c r="BG111" s="71">
        <f t="shared" si="432"/>
        <v>0</v>
      </c>
      <c r="BH111" s="71">
        <f t="shared" si="432"/>
        <v>0</v>
      </c>
      <c r="BI111" s="71">
        <f t="shared" si="432"/>
        <v>0</v>
      </c>
      <c r="BJ111" s="328">
        <f t="shared" si="432"/>
        <v>0</v>
      </c>
      <c r="BL111" s="120"/>
    </row>
    <row r="112" spans="2:65" ht="15.75" thickBot="1" x14ac:dyDescent="0.3">
      <c r="B112" s="59" t="s">
        <v>224</v>
      </c>
      <c r="C112" s="55">
        <f t="shared" ref="C112" si="433">C106</f>
        <v>44562</v>
      </c>
      <c r="D112" s="55">
        <f t="shared" ref="D112:BJ112" si="434">D106</f>
        <v>44593</v>
      </c>
      <c r="E112" s="55">
        <f t="shared" si="434"/>
        <v>44621</v>
      </c>
      <c r="F112" s="55">
        <f t="shared" si="434"/>
        <v>44652</v>
      </c>
      <c r="G112" s="55">
        <f t="shared" si="434"/>
        <v>44682</v>
      </c>
      <c r="H112" s="55">
        <f t="shared" si="434"/>
        <v>44713</v>
      </c>
      <c r="I112" s="55">
        <f t="shared" si="434"/>
        <v>44743</v>
      </c>
      <c r="J112" s="55">
        <f t="shared" si="434"/>
        <v>44774</v>
      </c>
      <c r="K112" s="55">
        <f t="shared" si="434"/>
        <v>44805</v>
      </c>
      <c r="L112" s="55">
        <f t="shared" si="434"/>
        <v>44835</v>
      </c>
      <c r="M112" s="55">
        <f t="shared" si="434"/>
        <v>44866</v>
      </c>
      <c r="N112" s="58">
        <f t="shared" si="434"/>
        <v>44896</v>
      </c>
      <c r="O112" s="55">
        <f t="shared" si="434"/>
        <v>44927</v>
      </c>
      <c r="P112" s="55">
        <f t="shared" si="434"/>
        <v>44958</v>
      </c>
      <c r="Q112" s="55">
        <f t="shared" si="434"/>
        <v>44986</v>
      </c>
      <c r="R112" s="55">
        <f t="shared" si="434"/>
        <v>45017</v>
      </c>
      <c r="S112" s="55">
        <f t="shared" si="434"/>
        <v>45047</v>
      </c>
      <c r="T112" s="55">
        <f t="shared" si="434"/>
        <v>45078</v>
      </c>
      <c r="U112" s="55">
        <f t="shared" si="434"/>
        <v>45108</v>
      </c>
      <c r="V112" s="55">
        <f t="shared" si="434"/>
        <v>45139</v>
      </c>
      <c r="W112" s="55">
        <f t="shared" si="434"/>
        <v>45170</v>
      </c>
      <c r="X112" s="55">
        <f t="shared" si="434"/>
        <v>45200</v>
      </c>
      <c r="Y112" s="55">
        <f t="shared" si="434"/>
        <v>45231</v>
      </c>
      <c r="Z112" s="58">
        <f t="shared" si="434"/>
        <v>45261</v>
      </c>
      <c r="AA112" s="55">
        <f t="shared" si="434"/>
        <v>45292</v>
      </c>
      <c r="AB112" s="55">
        <f t="shared" si="434"/>
        <v>45323</v>
      </c>
      <c r="AC112" s="55">
        <f t="shared" si="434"/>
        <v>45352</v>
      </c>
      <c r="AD112" s="55">
        <f t="shared" si="434"/>
        <v>45383</v>
      </c>
      <c r="AE112" s="55">
        <f t="shared" si="434"/>
        <v>45413</v>
      </c>
      <c r="AF112" s="55">
        <f t="shared" si="434"/>
        <v>45444</v>
      </c>
      <c r="AG112" s="55">
        <f t="shared" si="434"/>
        <v>45474</v>
      </c>
      <c r="AH112" s="55">
        <f t="shared" si="434"/>
        <v>45505</v>
      </c>
      <c r="AI112" s="55">
        <f t="shared" si="434"/>
        <v>45536</v>
      </c>
      <c r="AJ112" s="55">
        <f t="shared" si="434"/>
        <v>45566</v>
      </c>
      <c r="AK112" s="55">
        <f t="shared" si="434"/>
        <v>45597</v>
      </c>
      <c r="AL112" s="58">
        <f t="shared" si="434"/>
        <v>45627</v>
      </c>
      <c r="AM112" s="55">
        <f t="shared" si="434"/>
        <v>45658</v>
      </c>
      <c r="AN112" s="55">
        <f t="shared" si="434"/>
        <v>45689</v>
      </c>
      <c r="AO112" s="55">
        <f t="shared" si="434"/>
        <v>45717</v>
      </c>
      <c r="AP112" s="55">
        <f t="shared" si="434"/>
        <v>45748</v>
      </c>
      <c r="AQ112" s="55">
        <f t="shared" si="434"/>
        <v>45778</v>
      </c>
      <c r="AR112" s="55">
        <f t="shared" si="434"/>
        <v>45809</v>
      </c>
      <c r="AS112" s="55">
        <f t="shared" si="434"/>
        <v>45839</v>
      </c>
      <c r="AT112" s="55">
        <f t="shared" si="434"/>
        <v>45870</v>
      </c>
      <c r="AU112" s="55">
        <f t="shared" si="434"/>
        <v>45901</v>
      </c>
      <c r="AV112" s="55">
        <f t="shared" si="434"/>
        <v>45931</v>
      </c>
      <c r="AW112" s="55">
        <f t="shared" si="434"/>
        <v>45962</v>
      </c>
      <c r="AX112" s="58">
        <f t="shared" si="434"/>
        <v>45992</v>
      </c>
      <c r="AY112" s="55">
        <f t="shared" si="434"/>
        <v>46023</v>
      </c>
      <c r="AZ112" s="55">
        <f t="shared" si="434"/>
        <v>46054</v>
      </c>
      <c r="BA112" s="55">
        <f t="shared" si="434"/>
        <v>46082</v>
      </c>
      <c r="BB112" s="55">
        <f t="shared" si="434"/>
        <v>46113</v>
      </c>
      <c r="BC112" s="55">
        <f t="shared" si="434"/>
        <v>46143</v>
      </c>
      <c r="BD112" s="55">
        <f t="shared" si="434"/>
        <v>46174</v>
      </c>
      <c r="BE112" s="55">
        <f t="shared" si="434"/>
        <v>46204</v>
      </c>
      <c r="BF112" s="55">
        <f t="shared" si="434"/>
        <v>46235</v>
      </c>
      <c r="BG112" s="55">
        <f t="shared" si="434"/>
        <v>46266</v>
      </c>
      <c r="BH112" s="55">
        <f t="shared" si="434"/>
        <v>46296</v>
      </c>
      <c r="BI112" s="55">
        <f t="shared" si="434"/>
        <v>46327</v>
      </c>
      <c r="BJ112" s="58">
        <f t="shared" si="434"/>
        <v>46357</v>
      </c>
      <c r="BK112" s="51"/>
      <c r="BL112" s="120"/>
      <c r="BM112" s="51"/>
    </row>
    <row r="113" spans="2:64" ht="15.75" thickTop="1" x14ac:dyDescent="0.25">
      <c r="B113" s="74" t="s">
        <v>221</v>
      </c>
      <c r="C113" s="71">
        <f>C99</f>
        <v>0</v>
      </c>
      <c r="D113" s="71">
        <f>C114</f>
        <v>0</v>
      </c>
      <c r="E113" s="71">
        <f t="shared" ref="E113:BJ113" si="435">D114</f>
        <v>0</v>
      </c>
      <c r="F113" s="71">
        <f t="shared" si="435"/>
        <v>0</v>
      </c>
      <c r="G113" s="71">
        <f t="shared" si="435"/>
        <v>0</v>
      </c>
      <c r="H113" s="71">
        <f t="shared" si="435"/>
        <v>0</v>
      </c>
      <c r="I113" s="71">
        <f t="shared" si="435"/>
        <v>0</v>
      </c>
      <c r="J113" s="71">
        <f t="shared" si="435"/>
        <v>0</v>
      </c>
      <c r="K113" s="71">
        <f t="shared" si="435"/>
        <v>0</v>
      </c>
      <c r="L113" s="71">
        <f t="shared" si="435"/>
        <v>0</v>
      </c>
      <c r="M113" s="71">
        <f t="shared" si="435"/>
        <v>0</v>
      </c>
      <c r="N113" s="72">
        <f t="shared" si="435"/>
        <v>0</v>
      </c>
      <c r="O113" s="71">
        <f t="shared" si="435"/>
        <v>0</v>
      </c>
      <c r="P113" s="71">
        <f t="shared" si="435"/>
        <v>0</v>
      </c>
      <c r="Q113" s="71">
        <f t="shared" si="435"/>
        <v>0</v>
      </c>
      <c r="R113" s="71">
        <f t="shared" si="435"/>
        <v>0</v>
      </c>
      <c r="S113" s="71">
        <f t="shared" si="435"/>
        <v>0</v>
      </c>
      <c r="T113" s="71">
        <f t="shared" si="435"/>
        <v>0</v>
      </c>
      <c r="U113" s="71">
        <f t="shared" si="435"/>
        <v>0</v>
      </c>
      <c r="V113" s="71">
        <f t="shared" si="435"/>
        <v>0</v>
      </c>
      <c r="W113" s="71">
        <f t="shared" si="435"/>
        <v>0</v>
      </c>
      <c r="X113" s="71">
        <f t="shared" si="435"/>
        <v>0</v>
      </c>
      <c r="Y113" s="71">
        <f t="shared" si="435"/>
        <v>0</v>
      </c>
      <c r="Z113" s="73">
        <f t="shared" si="435"/>
        <v>0</v>
      </c>
      <c r="AA113" s="71">
        <f t="shared" si="435"/>
        <v>0</v>
      </c>
      <c r="AB113" s="71">
        <f t="shared" si="435"/>
        <v>0</v>
      </c>
      <c r="AC113" s="71">
        <f t="shared" si="435"/>
        <v>0</v>
      </c>
      <c r="AD113" s="71">
        <f t="shared" si="435"/>
        <v>0</v>
      </c>
      <c r="AE113" s="71">
        <f t="shared" si="435"/>
        <v>0</v>
      </c>
      <c r="AF113" s="71">
        <f t="shared" si="435"/>
        <v>0</v>
      </c>
      <c r="AG113" s="71">
        <f t="shared" si="435"/>
        <v>0</v>
      </c>
      <c r="AH113" s="71">
        <f t="shared" si="435"/>
        <v>0</v>
      </c>
      <c r="AI113" s="71">
        <f t="shared" si="435"/>
        <v>0</v>
      </c>
      <c r="AJ113" s="71">
        <f t="shared" si="435"/>
        <v>0</v>
      </c>
      <c r="AK113" s="71">
        <f t="shared" si="435"/>
        <v>0</v>
      </c>
      <c r="AL113" s="72">
        <f t="shared" si="435"/>
        <v>0</v>
      </c>
      <c r="AM113" s="71">
        <f t="shared" si="435"/>
        <v>0</v>
      </c>
      <c r="AN113" s="71">
        <f t="shared" si="435"/>
        <v>0</v>
      </c>
      <c r="AO113" s="71">
        <f t="shared" si="435"/>
        <v>0</v>
      </c>
      <c r="AP113" s="71">
        <f t="shared" si="435"/>
        <v>0</v>
      </c>
      <c r="AQ113" s="71">
        <f t="shared" si="435"/>
        <v>0</v>
      </c>
      <c r="AR113" s="71">
        <f t="shared" si="435"/>
        <v>0</v>
      </c>
      <c r="AS113" s="71">
        <f t="shared" si="435"/>
        <v>0</v>
      </c>
      <c r="AT113" s="71">
        <f t="shared" si="435"/>
        <v>0</v>
      </c>
      <c r="AU113" s="71">
        <f t="shared" si="435"/>
        <v>0</v>
      </c>
      <c r="AV113" s="71">
        <f t="shared" si="435"/>
        <v>0</v>
      </c>
      <c r="AW113" s="71">
        <f t="shared" si="435"/>
        <v>0</v>
      </c>
      <c r="AX113" s="73">
        <f t="shared" si="435"/>
        <v>0</v>
      </c>
      <c r="AY113" s="71">
        <f t="shared" si="435"/>
        <v>0</v>
      </c>
      <c r="AZ113" s="71">
        <f t="shared" si="435"/>
        <v>0</v>
      </c>
      <c r="BA113" s="71">
        <f t="shared" si="435"/>
        <v>0</v>
      </c>
      <c r="BB113" s="71">
        <f t="shared" si="435"/>
        <v>0</v>
      </c>
      <c r="BC113" s="71">
        <f t="shared" si="435"/>
        <v>0</v>
      </c>
      <c r="BD113" s="71">
        <f t="shared" si="435"/>
        <v>0</v>
      </c>
      <c r="BE113" s="71">
        <f t="shared" si="435"/>
        <v>0</v>
      </c>
      <c r="BF113" s="71">
        <f t="shared" si="435"/>
        <v>0</v>
      </c>
      <c r="BG113" s="71">
        <f t="shared" si="435"/>
        <v>0</v>
      </c>
      <c r="BH113" s="71">
        <f t="shared" si="435"/>
        <v>0</v>
      </c>
      <c r="BI113" s="71">
        <f t="shared" si="435"/>
        <v>0</v>
      </c>
      <c r="BJ113" s="73">
        <f t="shared" si="435"/>
        <v>0</v>
      </c>
      <c r="BL113" s="120"/>
    </row>
    <row r="114" spans="2:64" x14ac:dyDescent="0.25">
      <c r="B114" s="74" t="s">
        <v>222</v>
      </c>
      <c r="C114" s="71">
        <f>C113+C85+IF($C$103&lt;&gt;0,0,C87)</f>
        <v>0</v>
      </c>
      <c r="D114" s="71">
        <f t="shared" ref="D114:BJ114" si="436">D113+D85+IF($C$103&lt;&gt;0,0,D87)</f>
        <v>0</v>
      </c>
      <c r="E114" s="71">
        <f t="shared" si="436"/>
        <v>0</v>
      </c>
      <c r="F114" s="71">
        <f t="shared" si="436"/>
        <v>0</v>
      </c>
      <c r="G114" s="71">
        <f t="shared" si="436"/>
        <v>0</v>
      </c>
      <c r="H114" s="71">
        <f t="shared" si="436"/>
        <v>0</v>
      </c>
      <c r="I114" s="71">
        <f t="shared" si="436"/>
        <v>0</v>
      </c>
      <c r="J114" s="71">
        <f t="shared" si="436"/>
        <v>0</v>
      </c>
      <c r="K114" s="71">
        <f t="shared" si="436"/>
        <v>0</v>
      </c>
      <c r="L114" s="71">
        <f t="shared" si="436"/>
        <v>0</v>
      </c>
      <c r="M114" s="71">
        <f t="shared" si="436"/>
        <v>0</v>
      </c>
      <c r="N114" s="72">
        <f t="shared" si="436"/>
        <v>0</v>
      </c>
      <c r="O114" s="71">
        <f t="shared" si="436"/>
        <v>0</v>
      </c>
      <c r="P114" s="71">
        <f t="shared" si="436"/>
        <v>0</v>
      </c>
      <c r="Q114" s="71">
        <f t="shared" si="436"/>
        <v>0</v>
      </c>
      <c r="R114" s="71">
        <f t="shared" si="436"/>
        <v>0</v>
      </c>
      <c r="S114" s="71">
        <f t="shared" si="436"/>
        <v>0</v>
      </c>
      <c r="T114" s="71">
        <f t="shared" si="436"/>
        <v>0</v>
      </c>
      <c r="U114" s="71">
        <f t="shared" si="436"/>
        <v>0</v>
      </c>
      <c r="V114" s="71">
        <f t="shared" si="436"/>
        <v>0</v>
      </c>
      <c r="W114" s="71">
        <f t="shared" si="436"/>
        <v>0</v>
      </c>
      <c r="X114" s="71">
        <f t="shared" si="436"/>
        <v>0</v>
      </c>
      <c r="Y114" s="71">
        <f t="shared" si="436"/>
        <v>0</v>
      </c>
      <c r="Z114" s="73">
        <f t="shared" si="436"/>
        <v>0</v>
      </c>
      <c r="AA114" s="71">
        <f t="shared" si="436"/>
        <v>0</v>
      </c>
      <c r="AB114" s="71">
        <f t="shared" si="436"/>
        <v>0</v>
      </c>
      <c r="AC114" s="71">
        <f t="shared" si="436"/>
        <v>0</v>
      </c>
      <c r="AD114" s="71">
        <f t="shared" si="436"/>
        <v>0</v>
      </c>
      <c r="AE114" s="71">
        <f t="shared" si="436"/>
        <v>0</v>
      </c>
      <c r="AF114" s="71">
        <f t="shared" si="436"/>
        <v>0</v>
      </c>
      <c r="AG114" s="71">
        <f t="shared" si="436"/>
        <v>0</v>
      </c>
      <c r="AH114" s="71">
        <f t="shared" si="436"/>
        <v>0</v>
      </c>
      <c r="AI114" s="71">
        <f t="shared" si="436"/>
        <v>0</v>
      </c>
      <c r="AJ114" s="71">
        <f t="shared" si="436"/>
        <v>0</v>
      </c>
      <c r="AK114" s="71">
        <f t="shared" si="436"/>
        <v>0</v>
      </c>
      <c r="AL114" s="72">
        <f t="shared" si="436"/>
        <v>0</v>
      </c>
      <c r="AM114" s="71">
        <f t="shared" si="436"/>
        <v>0</v>
      </c>
      <c r="AN114" s="71">
        <f t="shared" si="436"/>
        <v>0</v>
      </c>
      <c r="AO114" s="71">
        <f t="shared" si="436"/>
        <v>0</v>
      </c>
      <c r="AP114" s="71">
        <f t="shared" si="436"/>
        <v>0</v>
      </c>
      <c r="AQ114" s="71">
        <f t="shared" si="436"/>
        <v>0</v>
      </c>
      <c r="AR114" s="71">
        <f t="shared" si="436"/>
        <v>0</v>
      </c>
      <c r="AS114" s="71">
        <f t="shared" si="436"/>
        <v>0</v>
      </c>
      <c r="AT114" s="71">
        <f t="shared" si="436"/>
        <v>0</v>
      </c>
      <c r="AU114" s="71">
        <f t="shared" si="436"/>
        <v>0</v>
      </c>
      <c r="AV114" s="71">
        <f t="shared" si="436"/>
        <v>0</v>
      </c>
      <c r="AW114" s="71">
        <f t="shared" si="436"/>
        <v>0</v>
      </c>
      <c r="AX114" s="73">
        <f t="shared" si="436"/>
        <v>0</v>
      </c>
      <c r="AY114" s="71">
        <f t="shared" si="436"/>
        <v>0</v>
      </c>
      <c r="AZ114" s="71">
        <f t="shared" si="436"/>
        <v>0</v>
      </c>
      <c r="BA114" s="71">
        <f t="shared" si="436"/>
        <v>0</v>
      </c>
      <c r="BB114" s="71">
        <f t="shared" si="436"/>
        <v>0</v>
      </c>
      <c r="BC114" s="71">
        <f t="shared" si="436"/>
        <v>0</v>
      </c>
      <c r="BD114" s="71">
        <f t="shared" si="436"/>
        <v>0</v>
      </c>
      <c r="BE114" s="71">
        <f t="shared" si="436"/>
        <v>0</v>
      </c>
      <c r="BF114" s="71">
        <f t="shared" si="436"/>
        <v>0</v>
      </c>
      <c r="BG114" s="71">
        <f t="shared" si="436"/>
        <v>0</v>
      </c>
      <c r="BH114" s="71">
        <f t="shared" si="436"/>
        <v>0</v>
      </c>
      <c r="BI114" s="71">
        <f t="shared" si="436"/>
        <v>0</v>
      </c>
      <c r="BJ114" s="73">
        <f t="shared" si="436"/>
        <v>0</v>
      </c>
      <c r="BL114" s="120"/>
    </row>
    <row r="115" spans="2:64" x14ac:dyDescent="0.25">
      <c r="B115" s="74" t="s">
        <v>225</v>
      </c>
      <c r="C115" s="71">
        <f>C113*(HLOOKUP(C112,pREFs!$C$16:$Z$24,9,0)-HLOOKUP(C112,pREFs!$C$16:$Z$24,7,0))</f>
        <v>0</v>
      </c>
      <c r="D115" s="71">
        <f>D113*(HLOOKUP(D112,pREFs!$C$16:$BJ$24,9,0)-HLOOKUP(D112,pREFs!$C$16:$BJ$24,7,0))</f>
        <v>0</v>
      </c>
      <c r="E115" s="71">
        <f>E113*(HLOOKUP(E112,pREFs!$C$16:$BJ$24,9,0)-HLOOKUP(E112,pREFs!$C$16:$BJ$24,7,0))</f>
        <v>0</v>
      </c>
      <c r="F115" s="71">
        <f>F113*(HLOOKUP(F112,pREFs!$C$16:$BJ$24,9,0)-HLOOKUP(F112,pREFs!$C$16:$BJ$24,7,0))</f>
        <v>0</v>
      </c>
      <c r="G115" s="71">
        <f>G113*(HLOOKUP(G112,pREFs!$C$16:$BJ$24,9,0)-HLOOKUP(G112,pREFs!$C$16:$BJ$24,7,0))</f>
        <v>0</v>
      </c>
      <c r="H115" s="71">
        <f>H113*(HLOOKUP(H112,pREFs!$C$16:$BJ$24,9,0)-HLOOKUP(H112,pREFs!$C$16:$BJ$24,7,0))</f>
        <v>0</v>
      </c>
      <c r="I115" s="71">
        <f>I113*(HLOOKUP(I112,pREFs!$C$16:$BJ$24,9,0)-HLOOKUP(I112,pREFs!$C$16:$BJ$24,7,0))</f>
        <v>0</v>
      </c>
      <c r="J115" s="71">
        <f>J113*(HLOOKUP(J112,pREFs!$C$16:$BJ$24,9,0)-HLOOKUP(J112,pREFs!$C$16:$BJ$24,7,0))</f>
        <v>0</v>
      </c>
      <c r="K115" s="71">
        <f>K113*(HLOOKUP(K112,pREFs!$C$16:$BJ$24,9,0)-HLOOKUP(K112,pREFs!$C$16:$BJ$24,7,0))</f>
        <v>0</v>
      </c>
      <c r="L115" s="71">
        <f>L113*(HLOOKUP(L112,pREFs!$C$16:$BJ$24,9,0)-HLOOKUP(L112,pREFs!$C$16:$BJ$24,7,0))</f>
        <v>0</v>
      </c>
      <c r="M115" s="71">
        <f>M113*(HLOOKUP(M112,pREFs!$C$16:$BJ$24,9,0)-HLOOKUP(M112,pREFs!$C$16:$BJ$24,7,0))</f>
        <v>0</v>
      </c>
      <c r="N115" s="72">
        <f>N113*(HLOOKUP(N112,pREFs!$C$16:$BJ$24,9,0)-HLOOKUP(N112,pREFs!$C$16:$BJ$24,7,0))</f>
        <v>0</v>
      </c>
      <c r="O115" s="71">
        <f>O113*(HLOOKUP(O112,pREFs!$C$16:$BJ$24,9,0)-HLOOKUP(O112,pREFs!$C$16:$BJ$24,7,0))</f>
        <v>0</v>
      </c>
      <c r="P115" s="71">
        <f>P113*(HLOOKUP(P112,pREFs!$C$16:$BJ$24,9,0)-HLOOKUP(P112,pREFs!$C$16:$BJ$24,7,0))</f>
        <v>0</v>
      </c>
      <c r="Q115" s="71">
        <f>Q113*(HLOOKUP(Q112,pREFs!$C$16:$BJ$24,9,0)-HLOOKUP(Q112,pREFs!$C$16:$BJ$24,7,0))</f>
        <v>0</v>
      </c>
      <c r="R115" s="71">
        <f>R113*(HLOOKUP(R112,pREFs!$C$16:$BJ$24,9,0)-HLOOKUP(R112,pREFs!$C$16:$BJ$24,7,0))</f>
        <v>0</v>
      </c>
      <c r="S115" s="71">
        <f>S113*(HLOOKUP(S112,pREFs!$C$16:$BJ$24,9,0)-HLOOKUP(S112,pREFs!$C$16:$BJ$24,7,0))</f>
        <v>0</v>
      </c>
      <c r="T115" s="71">
        <f>T113*(HLOOKUP(T112,pREFs!$C$16:$BJ$24,9,0)-HLOOKUP(T112,pREFs!$C$16:$BJ$24,7,0))</f>
        <v>0</v>
      </c>
      <c r="U115" s="71">
        <f>U113*(HLOOKUP(U112,pREFs!$C$16:$BJ$24,9,0)-HLOOKUP(U112,pREFs!$C$16:$BJ$24,7,0))</f>
        <v>0</v>
      </c>
      <c r="V115" s="71">
        <f>V113*(HLOOKUP(V112,pREFs!$C$16:$BJ$24,9,0)-HLOOKUP(V112,pREFs!$C$16:$BJ$24,7,0))</f>
        <v>0</v>
      </c>
      <c r="W115" s="71">
        <f>W113*(HLOOKUP(W112,pREFs!$C$16:$BJ$24,9,0)-HLOOKUP(W112,pREFs!$C$16:$BJ$24,7,0))</f>
        <v>0</v>
      </c>
      <c r="X115" s="71">
        <f>X113*(HLOOKUP(X112,pREFs!$C$16:$BJ$24,9,0)-HLOOKUP(X112,pREFs!$C$16:$BJ$24,7,0))</f>
        <v>0</v>
      </c>
      <c r="Y115" s="71">
        <f>Y113*(HLOOKUP(Y112,pREFs!$C$16:$BJ$24,9,0)-HLOOKUP(Y112,pREFs!$C$16:$BJ$24,7,0))</f>
        <v>0</v>
      </c>
      <c r="Z115" s="73">
        <f>Z113*(HLOOKUP(Z112,pREFs!$C$16:$BJ$24,9,0)-HLOOKUP(Z112,pREFs!$C$16:$BJ$24,7,0))</f>
        <v>0</v>
      </c>
      <c r="AA115" s="71">
        <f>AA113*(HLOOKUP(AA112,pREFs!$C$16:$BJ$24,9,0)-HLOOKUP(AA112,pREFs!$C$16:$BJ$24,7,0))</f>
        <v>0</v>
      </c>
      <c r="AB115" s="71">
        <f>AB113*(HLOOKUP(AB112,pREFs!$C$16:$BJ$24,9,0)-HLOOKUP(AB112,pREFs!$C$16:$BJ$24,7,0))</f>
        <v>0</v>
      </c>
      <c r="AC115" s="71">
        <f>AC113*(HLOOKUP(AC112,pREFs!$C$16:$BJ$24,9,0)-HLOOKUP(AC112,pREFs!$C$16:$BJ$24,7,0))</f>
        <v>0</v>
      </c>
      <c r="AD115" s="71">
        <f>AD113*(HLOOKUP(AD112,pREFs!$C$16:$BJ$24,9,0)-HLOOKUP(AD112,pREFs!$C$16:$BJ$24,7,0))</f>
        <v>0</v>
      </c>
      <c r="AE115" s="71">
        <f>AE113*(HLOOKUP(AE112,pREFs!$C$16:$BJ$24,9,0)-HLOOKUP(AE112,pREFs!$C$16:$BJ$24,7,0))</f>
        <v>0</v>
      </c>
      <c r="AF115" s="71">
        <f>AF113*(HLOOKUP(AF112,pREFs!$C$16:$BJ$24,9,0)-HLOOKUP(AF112,pREFs!$C$16:$BJ$24,7,0))</f>
        <v>0</v>
      </c>
      <c r="AG115" s="71">
        <f>AG113*(HLOOKUP(AG112,pREFs!$C$16:$BJ$24,9,0)-HLOOKUP(AG112,pREFs!$C$16:$BJ$24,7,0))</f>
        <v>0</v>
      </c>
      <c r="AH115" s="71">
        <f>AH113*(HLOOKUP(AH112,pREFs!$C$16:$BJ$24,9,0)-HLOOKUP(AH112,pREFs!$C$16:$BJ$24,7,0))</f>
        <v>0</v>
      </c>
      <c r="AI115" s="71">
        <f>AI113*(HLOOKUP(AI112,pREFs!$C$16:$BJ$24,9,0)-HLOOKUP(AI112,pREFs!$C$16:$BJ$24,7,0))</f>
        <v>0</v>
      </c>
      <c r="AJ115" s="71">
        <f>AJ113*(HLOOKUP(AJ112,pREFs!$C$16:$BJ$24,9,0)-HLOOKUP(AJ112,pREFs!$C$16:$BJ$24,7,0))</f>
        <v>0</v>
      </c>
      <c r="AK115" s="71">
        <f>AK113*(HLOOKUP(AK112,pREFs!$C$16:$BJ$24,9,0)-HLOOKUP(AK112,pREFs!$C$16:$BJ$24,7,0))</f>
        <v>0</v>
      </c>
      <c r="AL115" s="72">
        <f>AL113*(HLOOKUP(AL112,pREFs!$C$16:$BJ$24,9,0)-HLOOKUP(AL112,pREFs!$C$16:$BJ$24,7,0))</f>
        <v>0</v>
      </c>
      <c r="AM115" s="71">
        <f>AM113*(HLOOKUP(AM112,pREFs!$C$16:$BJ$24,9,0)-HLOOKUP(AM112,pREFs!$C$16:$BJ$24,7,0))</f>
        <v>0</v>
      </c>
      <c r="AN115" s="71">
        <f>AN113*(HLOOKUP(AN112,pREFs!$C$16:$BJ$24,9,0)-HLOOKUP(AN112,pREFs!$C$16:$BJ$24,7,0))</f>
        <v>0</v>
      </c>
      <c r="AO115" s="71">
        <f>AO113*(HLOOKUP(AO112,pREFs!$C$16:$BJ$24,9,0)-HLOOKUP(AO112,pREFs!$C$16:$BJ$24,7,0))</f>
        <v>0</v>
      </c>
      <c r="AP115" s="71">
        <f>AP113*(HLOOKUP(AP112,pREFs!$C$16:$BJ$24,9,0)-HLOOKUP(AP112,pREFs!$C$16:$BJ$24,7,0))</f>
        <v>0</v>
      </c>
      <c r="AQ115" s="71">
        <f>AQ113*(HLOOKUP(AQ112,pREFs!$C$16:$BJ$24,9,0)-HLOOKUP(AQ112,pREFs!$C$16:$BJ$24,7,0))</f>
        <v>0</v>
      </c>
      <c r="AR115" s="71">
        <f>AR113*(HLOOKUP(AR112,pREFs!$C$16:$BJ$24,9,0)-HLOOKUP(AR112,pREFs!$C$16:$BJ$24,7,0))</f>
        <v>0</v>
      </c>
      <c r="AS115" s="71">
        <f>AS113*(HLOOKUP(AS112,pREFs!$C$16:$BJ$24,9,0)-HLOOKUP(AS112,pREFs!$C$16:$BJ$24,7,0))</f>
        <v>0</v>
      </c>
      <c r="AT115" s="71">
        <f>AT113*(HLOOKUP(AT112,pREFs!$C$16:$BJ$24,9,0)-HLOOKUP(AT112,pREFs!$C$16:$BJ$24,7,0))</f>
        <v>0</v>
      </c>
      <c r="AU115" s="71">
        <f>AU113*(HLOOKUP(AU112,pREFs!$C$16:$BJ$24,9,0)-HLOOKUP(AU112,pREFs!$C$16:$BJ$24,7,0))</f>
        <v>0</v>
      </c>
      <c r="AV115" s="71">
        <f>AV113*(HLOOKUP(AV112,pREFs!$C$16:$BJ$24,9,0)-HLOOKUP(AV112,pREFs!$C$16:$BJ$24,7,0))</f>
        <v>0</v>
      </c>
      <c r="AW115" s="71">
        <f>AW113*(HLOOKUP(AW112,pREFs!$C$16:$BJ$24,9,0)-HLOOKUP(AW112,pREFs!$C$16:$BJ$24,7,0))</f>
        <v>0</v>
      </c>
      <c r="AX115" s="73">
        <f>AX113*(HLOOKUP(AX112,pREFs!$C$16:$BJ$24,9,0)-HLOOKUP(AX112,pREFs!$C$16:$BJ$24,7,0))</f>
        <v>0</v>
      </c>
      <c r="AY115" s="71">
        <f>AY113*(HLOOKUP(AY112,pREFs!$C$16:$BJ$24,9,0)-HLOOKUP(AY112,pREFs!$C$16:$BJ$24,7,0))</f>
        <v>0</v>
      </c>
      <c r="AZ115" s="71">
        <f>AZ113*(HLOOKUP(AZ112,pREFs!$C$16:$BJ$24,9,0)-HLOOKUP(AZ112,pREFs!$C$16:$BJ$24,7,0))</f>
        <v>0</v>
      </c>
      <c r="BA115" s="71">
        <f>BA113*(HLOOKUP(BA112,pREFs!$C$16:$BJ$24,9,0)-HLOOKUP(BA112,pREFs!$C$16:$BJ$24,7,0))</f>
        <v>0</v>
      </c>
      <c r="BB115" s="71">
        <f>BB113*(HLOOKUP(BB112,pREFs!$C$16:$BJ$24,9,0)-HLOOKUP(BB112,pREFs!$C$16:$BJ$24,7,0))</f>
        <v>0</v>
      </c>
      <c r="BC115" s="71">
        <f>BC113*(HLOOKUP(BC112,pREFs!$C$16:$BJ$24,9,0)-HLOOKUP(BC112,pREFs!$C$16:$BJ$24,7,0))</f>
        <v>0</v>
      </c>
      <c r="BD115" s="71">
        <f>BD113*(HLOOKUP(BD112,pREFs!$C$16:$BJ$24,9,0)-HLOOKUP(BD112,pREFs!$C$16:$BJ$24,7,0))</f>
        <v>0</v>
      </c>
      <c r="BE115" s="71">
        <f>BE113*(HLOOKUP(BE112,pREFs!$C$16:$BJ$24,9,0)-HLOOKUP(BE112,pREFs!$C$16:$BJ$24,7,0))</f>
        <v>0</v>
      </c>
      <c r="BF115" s="71">
        <f>BF113*(HLOOKUP(BF112,pREFs!$C$16:$BJ$24,9,0)-HLOOKUP(BF112,pREFs!$C$16:$BJ$24,7,0))</f>
        <v>0</v>
      </c>
      <c r="BG115" s="71">
        <f>BG113*(HLOOKUP(BG112,pREFs!$C$16:$BJ$24,9,0)-HLOOKUP(BG112,pREFs!$C$16:$BJ$24,7,0))</f>
        <v>0</v>
      </c>
      <c r="BH115" s="71">
        <f>BH113*(HLOOKUP(BH112,pREFs!$C$16:$BJ$24,9,0)-HLOOKUP(BH112,pREFs!$C$16:$BJ$24,7,0))</f>
        <v>0</v>
      </c>
      <c r="BI115" s="71">
        <f>BI113*(HLOOKUP(BI112,pREFs!$C$16:$BJ$24,9,0)-HLOOKUP(BI112,pREFs!$C$16:$BJ$24,7,0))</f>
        <v>0</v>
      </c>
      <c r="BJ115" s="73">
        <f>BJ113*(HLOOKUP(BJ112,pREFs!$C$16:$BJ$24,9,0)-HLOOKUP(BJ112,pREFs!$C$16:$BJ$24,7,0))</f>
        <v>0</v>
      </c>
      <c r="BL115" s="120"/>
    </row>
    <row r="116" spans="2:64" x14ac:dyDescent="0.25">
      <c r="B116" s="74" t="s">
        <v>226</v>
      </c>
      <c r="C116" s="71">
        <f>C114*(HLOOKUP(C112,pREFs!$C$16:$Z$24,9,0)-HLOOKUP(C112,pREFs!$C$16:$Z$24,7,0))</f>
        <v>0</v>
      </c>
      <c r="D116" s="71">
        <f>D114*(HLOOKUP(D112,pREFs!$C$16:$BJ$24,9,0)-HLOOKUP(D112,pREFs!$C$16:$BJ$24,7,0))</f>
        <v>0</v>
      </c>
      <c r="E116" s="71">
        <f>E114*(HLOOKUP(E112,pREFs!$C$16:$BJ$24,9,0)-HLOOKUP(E112,pREFs!$C$16:$BJ$24,7,0))</f>
        <v>0</v>
      </c>
      <c r="F116" s="71">
        <f>F114*(HLOOKUP(F112,pREFs!$C$16:$BJ$24,9,0)-HLOOKUP(F112,pREFs!$C$16:$BJ$24,7,0))</f>
        <v>0</v>
      </c>
      <c r="G116" s="71">
        <f>G114*(HLOOKUP(G112,pREFs!$C$16:$BJ$24,9,0)-HLOOKUP(G112,pREFs!$C$16:$BJ$24,7,0))</f>
        <v>0</v>
      </c>
      <c r="H116" s="71">
        <f>H114*(HLOOKUP(H112,pREFs!$C$16:$BJ$24,9,0)-HLOOKUP(H112,pREFs!$C$16:$BJ$24,7,0))</f>
        <v>0</v>
      </c>
      <c r="I116" s="71">
        <f>I114*(HLOOKUP(I112,pREFs!$C$16:$BJ$24,9,0)-HLOOKUP(I112,pREFs!$C$16:$BJ$24,7,0))</f>
        <v>0</v>
      </c>
      <c r="J116" s="71">
        <f>J114*(HLOOKUP(J112,pREFs!$C$16:$BJ$24,9,0)-HLOOKUP(J112,pREFs!$C$16:$BJ$24,7,0))</f>
        <v>0</v>
      </c>
      <c r="K116" s="71">
        <f>K114*(HLOOKUP(K112,pREFs!$C$16:$BJ$24,9,0)-HLOOKUP(K112,pREFs!$C$16:$BJ$24,7,0))</f>
        <v>0</v>
      </c>
      <c r="L116" s="71">
        <f>L114*(HLOOKUP(L112,pREFs!$C$16:$BJ$24,9,0)-HLOOKUP(L112,pREFs!$C$16:$BJ$24,7,0))</f>
        <v>0</v>
      </c>
      <c r="M116" s="71">
        <f>M114*(HLOOKUP(M112,pREFs!$C$16:$BJ$24,9,0)-HLOOKUP(M112,pREFs!$C$16:$BJ$24,7,0))</f>
        <v>0</v>
      </c>
      <c r="N116" s="72">
        <f>N114*(HLOOKUP(N112,pREFs!$C$16:$BJ$24,9,0)-HLOOKUP(N112,pREFs!$C$16:$BJ$24,7,0))</f>
        <v>0</v>
      </c>
      <c r="O116" s="71">
        <f>O114*(HLOOKUP(O112,pREFs!$C$16:$BJ$24,9,0)-HLOOKUP(O112,pREFs!$C$16:$BJ$24,7,0))</f>
        <v>0</v>
      </c>
      <c r="P116" s="71">
        <f>P114*(HLOOKUP(P112,pREFs!$C$16:$BJ$24,9,0)-HLOOKUP(P112,pREFs!$C$16:$BJ$24,7,0))</f>
        <v>0</v>
      </c>
      <c r="Q116" s="71">
        <f>Q114*(HLOOKUP(Q112,pREFs!$C$16:$BJ$24,9,0)-HLOOKUP(Q112,pREFs!$C$16:$BJ$24,7,0))</f>
        <v>0</v>
      </c>
      <c r="R116" s="71">
        <f>R114*(HLOOKUP(R112,pREFs!$C$16:$BJ$24,9,0)-HLOOKUP(R112,pREFs!$C$16:$BJ$24,7,0))</f>
        <v>0</v>
      </c>
      <c r="S116" s="71">
        <f>S114*(HLOOKUP(S112,pREFs!$C$16:$BJ$24,9,0)-HLOOKUP(S112,pREFs!$C$16:$BJ$24,7,0))</f>
        <v>0</v>
      </c>
      <c r="T116" s="71">
        <f>T114*(HLOOKUP(T112,pREFs!$C$16:$BJ$24,9,0)-HLOOKUP(T112,pREFs!$C$16:$BJ$24,7,0))</f>
        <v>0</v>
      </c>
      <c r="U116" s="71">
        <f>U114*(HLOOKUP(U112,pREFs!$C$16:$BJ$24,9,0)-HLOOKUP(U112,pREFs!$C$16:$BJ$24,7,0))</f>
        <v>0</v>
      </c>
      <c r="V116" s="71">
        <f>V114*(HLOOKUP(V112,pREFs!$C$16:$BJ$24,9,0)-HLOOKUP(V112,pREFs!$C$16:$BJ$24,7,0))</f>
        <v>0</v>
      </c>
      <c r="W116" s="71">
        <f>W114*(HLOOKUP(W112,pREFs!$C$16:$BJ$24,9,0)-HLOOKUP(W112,pREFs!$C$16:$BJ$24,7,0))</f>
        <v>0</v>
      </c>
      <c r="X116" s="71">
        <f>X114*(HLOOKUP(X112,pREFs!$C$16:$BJ$24,9,0)-HLOOKUP(X112,pREFs!$C$16:$BJ$24,7,0))</f>
        <v>0</v>
      </c>
      <c r="Y116" s="71">
        <f>Y114*(HLOOKUP(Y112,pREFs!$C$16:$BJ$24,9,0)-HLOOKUP(Y112,pREFs!$C$16:$BJ$24,7,0))</f>
        <v>0</v>
      </c>
      <c r="Z116" s="73">
        <f>Z114*(HLOOKUP(Z112,pREFs!$C$16:$BJ$24,9,0)-HLOOKUP(Z112,pREFs!$C$16:$BJ$24,7,0))</f>
        <v>0</v>
      </c>
      <c r="AA116" s="71">
        <f>AA114*(HLOOKUP(AA112,pREFs!$C$16:$BJ$24,9,0)-HLOOKUP(AA112,pREFs!$C$16:$BJ$24,7,0))</f>
        <v>0</v>
      </c>
      <c r="AB116" s="71">
        <f>AB114*(HLOOKUP(AB112,pREFs!$C$16:$BJ$24,9,0)-HLOOKUP(AB112,pREFs!$C$16:$BJ$24,7,0))</f>
        <v>0</v>
      </c>
      <c r="AC116" s="71">
        <f>AC114*(HLOOKUP(AC112,pREFs!$C$16:$BJ$24,9,0)-HLOOKUP(AC112,pREFs!$C$16:$BJ$24,7,0))</f>
        <v>0</v>
      </c>
      <c r="AD116" s="71">
        <f>AD114*(HLOOKUP(AD112,pREFs!$C$16:$BJ$24,9,0)-HLOOKUP(AD112,pREFs!$C$16:$BJ$24,7,0))</f>
        <v>0</v>
      </c>
      <c r="AE116" s="71">
        <f>AE114*(HLOOKUP(AE112,pREFs!$C$16:$BJ$24,9,0)-HLOOKUP(AE112,pREFs!$C$16:$BJ$24,7,0))</f>
        <v>0</v>
      </c>
      <c r="AF116" s="71">
        <f>AF114*(HLOOKUP(AF112,pREFs!$C$16:$BJ$24,9,0)-HLOOKUP(AF112,pREFs!$C$16:$BJ$24,7,0))</f>
        <v>0</v>
      </c>
      <c r="AG116" s="71">
        <f>AG114*(HLOOKUP(AG112,pREFs!$C$16:$BJ$24,9,0)-HLOOKUP(AG112,pREFs!$C$16:$BJ$24,7,0))</f>
        <v>0</v>
      </c>
      <c r="AH116" s="71">
        <f>AH114*(HLOOKUP(AH112,pREFs!$C$16:$BJ$24,9,0)-HLOOKUP(AH112,pREFs!$C$16:$BJ$24,7,0))</f>
        <v>0</v>
      </c>
      <c r="AI116" s="71">
        <f>AI114*(HLOOKUP(AI112,pREFs!$C$16:$BJ$24,9,0)-HLOOKUP(AI112,pREFs!$C$16:$BJ$24,7,0))</f>
        <v>0</v>
      </c>
      <c r="AJ116" s="71">
        <f>AJ114*(HLOOKUP(AJ112,pREFs!$C$16:$BJ$24,9,0)-HLOOKUP(AJ112,pREFs!$C$16:$BJ$24,7,0))</f>
        <v>0</v>
      </c>
      <c r="AK116" s="71">
        <f>AK114*(HLOOKUP(AK112,pREFs!$C$16:$BJ$24,9,0)-HLOOKUP(AK112,pREFs!$C$16:$BJ$24,7,0))</f>
        <v>0</v>
      </c>
      <c r="AL116" s="72">
        <f>AL114*(HLOOKUP(AL112,pREFs!$C$16:$BJ$24,9,0)-HLOOKUP(AL112,pREFs!$C$16:$BJ$24,7,0))</f>
        <v>0</v>
      </c>
      <c r="AM116" s="71">
        <f>AM114*(HLOOKUP(AM112,pREFs!$C$16:$BJ$24,9,0)-HLOOKUP(AM112,pREFs!$C$16:$BJ$24,7,0))</f>
        <v>0</v>
      </c>
      <c r="AN116" s="71">
        <f>AN114*(HLOOKUP(AN112,pREFs!$C$16:$BJ$24,9,0)-HLOOKUP(AN112,pREFs!$C$16:$BJ$24,7,0))</f>
        <v>0</v>
      </c>
      <c r="AO116" s="71">
        <f>AO114*(HLOOKUP(AO112,pREFs!$C$16:$BJ$24,9,0)-HLOOKUP(AO112,pREFs!$C$16:$BJ$24,7,0))</f>
        <v>0</v>
      </c>
      <c r="AP116" s="71">
        <f>AP114*(HLOOKUP(AP112,pREFs!$C$16:$BJ$24,9,0)-HLOOKUP(AP112,pREFs!$C$16:$BJ$24,7,0))</f>
        <v>0</v>
      </c>
      <c r="AQ116" s="71">
        <f>AQ114*(HLOOKUP(AQ112,pREFs!$C$16:$BJ$24,9,0)-HLOOKUP(AQ112,pREFs!$C$16:$BJ$24,7,0))</f>
        <v>0</v>
      </c>
      <c r="AR116" s="71">
        <f>AR114*(HLOOKUP(AR112,pREFs!$C$16:$BJ$24,9,0)-HLOOKUP(AR112,pREFs!$C$16:$BJ$24,7,0))</f>
        <v>0</v>
      </c>
      <c r="AS116" s="71">
        <f>AS114*(HLOOKUP(AS112,pREFs!$C$16:$BJ$24,9,0)-HLOOKUP(AS112,pREFs!$C$16:$BJ$24,7,0))</f>
        <v>0</v>
      </c>
      <c r="AT116" s="71">
        <f>AT114*(HLOOKUP(AT112,pREFs!$C$16:$BJ$24,9,0)-HLOOKUP(AT112,pREFs!$C$16:$BJ$24,7,0))</f>
        <v>0</v>
      </c>
      <c r="AU116" s="71">
        <f>AU114*(HLOOKUP(AU112,pREFs!$C$16:$BJ$24,9,0)-HLOOKUP(AU112,pREFs!$C$16:$BJ$24,7,0))</f>
        <v>0</v>
      </c>
      <c r="AV116" s="71">
        <f>AV114*(HLOOKUP(AV112,pREFs!$C$16:$BJ$24,9,0)-HLOOKUP(AV112,pREFs!$C$16:$BJ$24,7,0))</f>
        <v>0</v>
      </c>
      <c r="AW116" s="71">
        <f>AW114*(HLOOKUP(AW112,pREFs!$C$16:$BJ$24,9,0)-HLOOKUP(AW112,pREFs!$C$16:$BJ$24,7,0))</f>
        <v>0</v>
      </c>
      <c r="AX116" s="73">
        <f>AX114*(HLOOKUP(AX112,pREFs!$C$16:$BJ$24,9,0)-HLOOKUP(AX112,pREFs!$C$16:$BJ$24,7,0))</f>
        <v>0</v>
      </c>
      <c r="AY116" s="71">
        <f>AY114*(HLOOKUP(AY112,pREFs!$C$16:$BJ$24,9,0)-HLOOKUP(AY112,pREFs!$C$16:$BJ$24,7,0))</f>
        <v>0</v>
      </c>
      <c r="AZ116" s="71">
        <f>AZ114*(HLOOKUP(AZ112,pREFs!$C$16:$BJ$24,9,0)-HLOOKUP(AZ112,pREFs!$C$16:$BJ$24,7,0))</f>
        <v>0</v>
      </c>
      <c r="BA116" s="71">
        <f>BA114*(HLOOKUP(BA112,pREFs!$C$16:$BJ$24,9,0)-HLOOKUP(BA112,pREFs!$C$16:$BJ$24,7,0))</f>
        <v>0</v>
      </c>
      <c r="BB116" s="71">
        <f>BB114*(HLOOKUP(BB112,pREFs!$C$16:$BJ$24,9,0)-HLOOKUP(BB112,pREFs!$C$16:$BJ$24,7,0))</f>
        <v>0</v>
      </c>
      <c r="BC116" s="71">
        <f>BC114*(HLOOKUP(BC112,pREFs!$C$16:$BJ$24,9,0)-HLOOKUP(BC112,pREFs!$C$16:$BJ$24,7,0))</f>
        <v>0</v>
      </c>
      <c r="BD116" s="71">
        <f>BD114*(HLOOKUP(BD112,pREFs!$C$16:$BJ$24,9,0)-HLOOKUP(BD112,pREFs!$C$16:$BJ$24,7,0))</f>
        <v>0</v>
      </c>
      <c r="BE116" s="71">
        <f>BE114*(HLOOKUP(BE112,pREFs!$C$16:$BJ$24,9,0)-HLOOKUP(BE112,pREFs!$C$16:$BJ$24,7,0))</f>
        <v>0</v>
      </c>
      <c r="BF116" s="71">
        <f>BF114*(HLOOKUP(BF112,pREFs!$C$16:$BJ$24,9,0)-HLOOKUP(BF112,pREFs!$C$16:$BJ$24,7,0))</f>
        <v>0</v>
      </c>
      <c r="BG116" s="71">
        <f>BG114*(HLOOKUP(BG112,pREFs!$C$16:$BJ$24,9,0)-HLOOKUP(BG112,pREFs!$C$16:$BJ$24,7,0))</f>
        <v>0</v>
      </c>
      <c r="BH116" s="71">
        <f>BH114*(HLOOKUP(BH112,pREFs!$C$16:$BJ$24,9,0)-HLOOKUP(BH112,pREFs!$C$16:$BJ$24,7,0))</f>
        <v>0</v>
      </c>
      <c r="BI116" s="71">
        <f>BI114*(HLOOKUP(BI112,pREFs!$C$16:$BJ$24,9,0)-HLOOKUP(BI112,pREFs!$C$16:$BJ$24,7,0))</f>
        <v>0</v>
      </c>
      <c r="BJ116" s="73">
        <f>BJ114*(HLOOKUP(BJ112,pREFs!$C$16:$BJ$24,9,0)-HLOOKUP(BJ112,pREFs!$C$16:$BJ$24,7,0))</f>
        <v>0</v>
      </c>
      <c r="BL116" s="120"/>
    </row>
    <row r="117" spans="2:64" x14ac:dyDescent="0.25">
      <c r="B117" s="74" t="s">
        <v>341</v>
      </c>
      <c r="C117" s="71"/>
      <c r="D117" s="71">
        <f>D115-C116</f>
        <v>0</v>
      </c>
      <c r="E117" s="71">
        <f t="shared" ref="E117:BJ117" si="437">E115-D116</f>
        <v>0</v>
      </c>
      <c r="F117" s="71">
        <f t="shared" si="437"/>
        <v>0</v>
      </c>
      <c r="G117" s="71">
        <f t="shared" si="437"/>
        <v>0</v>
      </c>
      <c r="H117" s="71">
        <f t="shared" si="437"/>
        <v>0</v>
      </c>
      <c r="I117" s="71">
        <f t="shared" si="437"/>
        <v>0</v>
      </c>
      <c r="J117" s="71">
        <f t="shared" si="437"/>
        <v>0</v>
      </c>
      <c r="K117" s="71">
        <f t="shared" si="437"/>
        <v>0</v>
      </c>
      <c r="L117" s="71">
        <f t="shared" si="437"/>
        <v>0</v>
      </c>
      <c r="M117" s="71">
        <f t="shared" si="437"/>
        <v>0</v>
      </c>
      <c r="N117" s="72">
        <f t="shared" si="437"/>
        <v>0</v>
      </c>
      <c r="O117" s="71">
        <f t="shared" si="437"/>
        <v>0</v>
      </c>
      <c r="P117" s="71">
        <f t="shared" si="437"/>
        <v>0</v>
      </c>
      <c r="Q117" s="71">
        <f t="shared" si="437"/>
        <v>0</v>
      </c>
      <c r="R117" s="71">
        <f t="shared" si="437"/>
        <v>0</v>
      </c>
      <c r="S117" s="71">
        <f t="shared" si="437"/>
        <v>0</v>
      </c>
      <c r="T117" s="71">
        <f t="shared" si="437"/>
        <v>0</v>
      </c>
      <c r="U117" s="71">
        <f t="shared" si="437"/>
        <v>0</v>
      </c>
      <c r="V117" s="71">
        <f t="shared" si="437"/>
        <v>0</v>
      </c>
      <c r="W117" s="71">
        <f t="shared" si="437"/>
        <v>0</v>
      </c>
      <c r="X117" s="71">
        <f t="shared" si="437"/>
        <v>0</v>
      </c>
      <c r="Y117" s="71">
        <f t="shared" si="437"/>
        <v>0</v>
      </c>
      <c r="Z117" s="328">
        <f t="shared" si="437"/>
        <v>0</v>
      </c>
      <c r="AA117" s="71">
        <f t="shared" si="437"/>
        <v>0</v>
      </c>
      <c r="AB117" s="71">
        <f t="shared" si="437"/>
        <v>0</v>
      </c>
      <c r="AC117" s="71">
        <f t="shared" si="437"/>
        <v>0</v>
      </c>
      <c r="AD117" s="71">
        <f t="shared" si="437"/>
        <v>0</v>
      </c>
      <c r="AE117" s="71">
        <f t="shared" si="437"/>
        <v>0</v>
      </c>
      <c r="AF117" s="71">
        <f t="shared" si="437"/>
        <v>0</v>
      </c>
      <c r="AG117" s="71">
        <f t="shared" si="437"/>
        <v>0</v>
      </c>
      <c r="AH117" s="71">
        <f t="shared" si="437"/>
        <v>0</v>
      </c>
      <c r="AI117" s="71">
        <f t="shared" si="437"/>
        <v>0</v>
      </c>
      <c r="AJ117" s="71">
        <f t="shared" si="437"/>
        <v>0</v>
      </c>
      <c r="AK117" s="71">
        <f t="shared" si="437"/>
        <v>0</v>
      </c>
      <c r="AL117" s="72">
        <f t="shared" si="437"/>
        <v>0</v>
      </c>
      <c r="AM117" s="71">
        <f t="shared" si="437"/>
        <v>0</v>
      </c>
      <c r="AN117" s="71">
        <f t="shared" si="437"/>
        <v>0</v>
      </c>
      <c r="AO117" s="71">
        <f t="shared" si="437"/>
        <v>0</v>
      </c>
      <c r="AP117" s="71">
        <f t="shared" si="437"/>
        <v>0</v>
      </c>
      <c r="AQ117" s="71">
        <f t="shared" si="437"/>
        <v>0</v>
      </c>
      <c r="AR117" s="71">
        <f t="shared" si="437"/>
        <v>0</v>
      </c>
      <c r="AS117" s="71">
        <f t="shared" si="437"/>
        <v>0</v>
      </c>
      <c r="AT117" s="71">
        <f t="shared" si="437"/>
        <v>0</v>
      </c>
      <c r="AU117" s="71">
        <f t="shared" si="437"/>
        <v>0</v>
      </c>
      <c r="AV117" s="71">
        <f t="shared" si="437"/>
        <v>0</v>
      </c>
      <c r="AW117" s="71">
        <f t="shared" si="437"/>
        <v>0</v>
      </c>
      <c r="AX117" s="328">
        <f t="shared" si="437"/>
        <v>0</v>
      </c>
      <c r="AY117" s="71">
        <f t="shared" si="437"/>
        <v>0</v>
      </c>
      <c r="AZ117" s="71">
        <f t="shared" si="437"/>
        <v>0</v>
      </c>
      <c r="BA117" s="71">
        <f t="shared" si="437"/>
        <v>0</v>
      </c>
      <c r="BB117" s="71">
        <f t="shared" si="437"/>
        <v>0</v>
      </c>
      <c r="BC117" s="71">
        <f t="shared" si="437"/>
        <v>0</v>
      </c>
      <c r="BD117" s="71">
        <f t="shared" si="437"/>
        <v>0</v>
      </c>
      <c r="BE117" s="71">
        <f t="shared" si="437"/>
        <v>0</v>
      </c>
      <c r="BF117" s="71">
        <f t="shared" si="437"/>
        <v>0</v>
      </c>
      <c r="BG117" s="71">
        <f t="shared" si="437"/>
        <v>0</v>
      </c>
      <c r="BH117" s="71">
        <f t="shared" si="437"/>
        <v>0</v>
      </c>
      <c r="BI117" s="71">
        <f t="shared" si="437"/>
        <v>0</v>
      </c>
      <c r="BJ117" s="328">
        <f t="shared" si="437"/>
        <v>0</v>
      </c>
      <c r="BL117" s="120"/>
    </row>
    <row r="118" spans="2:64" x14ac:dyDescent="0.25">
      <c r="BL118" s="120"/>
    </row>
    <row r="119" spans="2:64" x14ac:dyDescent="0.25">
      <c r="B119" s="780" t="s">
        <v>215</v>
      </c>
      <c r="C119" s="780"/>
      <c r="D119" s="780"/>
      <c r="E119" s="780"/>
      <c r="F119" s="780"/>
      <c r="G119" s="780"/>
      <c r="H119" s="780"/>
      <c r="I119" s="780"/>
      <c r="J119" s="780"/>
      <c r="K119" s="780"/>
      <c r="L119" s="780"/>
      <c r="M119" s="780"/>
      <c r="N119" s="780"/>
      <c r="O119" s="780"/>
      <c r="P119" s="780"/>
      <c r="Q119" s="780"/>
      <c r="R119" s="780"/>
      <c r="S119" s="780"/>
      <c r="T119" s="780"/>
      <c r="U119" s="780"/>
      <c r="V119" s="780"/>
      <c r="W119" s="780"/>
      <c r="X119" s="780"/>
      <c r="Y119" s="780"/>
      <c r="Z119" s="780"/>
      <c r="AA119" s="780"/>
      <c r="AB119" s="780"/>
      <c r="AC119" s="780"/>
      <c r="AD119" s="780"/>
      <c r="AE119" s="780"/>
      <c r="AF119" s="780"/>
      <c r="AG119" s="780"/>
      <c r="AH119" s="780"/>
      <c r="AI119" s="780"/>
      <c r="AJ119" s="780"/>
      <c r="AK119" s="780"/>
      <c r="AL119" s="780"/>
      <c r="AM119" s="780"/>
      <c r="AN119" s="780"/>
      <c r="AO119" s="780"/>
      <c r="AP119" s="780"/>
      <c r="AQ119" s="780"/>
      <c r="AR119" s="780"/>
      <c r="AS119" s="780"/>
      <c r="AT119" s="780"/>
      <c r="AU119" s="780"/>
      <c r="AV119" s="780"/>
      <c r="AW119" s="780"/>
      <c r="AX119" s="780"/>
      <c r="AY119" s="780"/>
      <c r="AZ119" s="780"/>
      <c r="BA119" s="780"/>
      <c r="BB119" s="780"/>
      <c r="BC119" s="780"/>
      <c r="BD119" s="780"/>
      <c r="BE119" s="780"/>
      <c r="BF119" s="780"/>
      <c r="BG119" s="780"/>
      <c r="BH119" s="780"/>
      <c r="BI119" s="780"/>
      <c r="BJ119" s="780"/>
      <c r="BL119" s="120"/>
    </row>
    <row r="120" spans="2:64" x14ac:dyDescent="0.25">
      <c r="BL120" s="120"/>
    </row>
    <row r="121" spans="2:64" ht="15.75" thickBot="1" x14ac:dyDescent="0.3">
      <c r="B121" s="59" t="s">
        <v>144</v>
      </c>
      <c r="C121" s="80">
        <f>C3</f>
        <v>44562</v>
      </c>
      <c r="D121" s="55">
        <f t="shared" ref="D121:BJ121" si="438">D3</f>
        <v>44593</v>
      </c>
      <c r="E121" s="55">
        <f t="shared" si="438"/>
        <v>44621</v>
      </c>
      <c r="F121" s="55">
        <f t="shared" si="438"/>
        <v>44652</v>
      </c>
      <c r="G121" s="55">
        <f t="shared" si="438"/>
        <v>44682</v>
      </c>
      <c r="H121" s="55">
        <f t="shared" si="438"/>
        <v>44713</v>
      </c>
      <c r="I121" s="55">
        <f t="shared" si="438"/>
        <v>44743</v>
      </c>
      <c r="J121" s="55">
        <f t="shared" si="438"/>
        <v>44774</v>
      </c>
      <c r="K121" s="55">
        <f t="shared" si="438"/>
        <v>44805</v>
      </c>
      <c r="L121" s="55">
        <f t="shared" si="438"/>
        <v>44835</v>
      </c>
      <c r="M121" s="55">
        <f t="shared" si="438"/>
        <v>44866</v>
      </c>
      <c r="N121" s="58">
        <f t="shared" si="438"/>
        <v>44896</v>
      </c>
      <c r="O121" s="55">
        <f t="shared" si="438"/>
        <v>44927</v>
      </c>
      <c r="P121" s="55">
        <f t="shared" si="438"/>
        <v>44958</v>
      </c>
      <c r="Q121" s="55">
        <f t="shared" si="438"/>
        <v>44986</v>
      </c>
      <c r="R121" s="55">
        <f t="shared" si="438"/>
        <v>45017</v>
      </c>
      <c r="S121" s="55">
        <f t="shared" si="438"/>
        <v>45047</v>
      </c>
      <c r="T121" s="55">
        <f t="shared" si="438"/>
        <v>45078</v>
      </c>
      <c r="U121" s="55">
        <f t="shared" si="438"/>
        <v>45108</v>
      </c>
      <c r="V121" s="55">
        <f t="shared" si="438"/>
        <v>45139</v>
      </c>
      <c r="W121" s="55">
        <f t="shared" si="438"/>
        <v>45170</v>
      </c>
      <c r="X121" s="55">
        <f t="shared" si="438"/>
        <v>45200</v>
      </c>
      <c r="Y121" s="55">
        <f t="shared" si="438"/>
        <v>45231</v>
      </c>
      <c r="Z121" s="58">
        <f t="shared" si="438"/>
        <v>45261</v>
      </c>
      <c r="AA121" s="80">
        <f t="shared" si="438"/>
        <v>45292</v>
      </c>
      <c r="AB121" s="55">
        <f t="shared" si="438"/>
        <v>45323</v>
      </c>
      <c r="AC121" s="55">
        <f t="shared" si="438"/>
        <v>45352</v>
      </c>
      <c r="AD121" s="55">
        <f t="shared" si="438"/>
        <v>45383</v>
      </c>
      <c r="AE121" s="55">
        <f t="shared" si="438"/>
        <v>45413</v>
      </c>
      <c r="AF121" s="55">
        <f t="shared" si="438"/>
        <v>45444</v>
      </c>
      <c r="AG121" s="55">
        <f t="shared" si="438"/>
        <v>45474</v>
      </c>
      <c r="AH121" s="55">
        <f t="shared" si="438"/>
        <v>45505</v>
      </c>
      <c r="AI121" s="55">
        <f t="shared" si="438"/>
        <v>45536</v>
      </c>
      <c r="AJ121" s="55">
        <f t="shared" si="438"/>
        <v>45566</v>
      </c>
      <c r="AK121" s="55">
        <f t="shared" si="438"/>
        <v>45597</v>
      </c>
      <c r="AL121" s="58">
        <f t="shared" si="438"/>
        <v>45627</v>
      </c>
      <c r="AM121" s="55">
        <f t="shared" si="438"/>
        <v>45658</v>
      </c>
      <c r="AN121" s="55">
        <f t="shared" si="438"/>
        <v>45689</v>
      </c>
      <c r="AO121" s="55">
        <f t="shared" si="438"/>
        <v>45717</v>
      </c>
      <c r="AP121" s="55">
        <f t="shared" si="438"/>
        <v>45748</v>
      </c>
      <c r="AQ121" s="55">
        <f t="shared" si="438"/>
        <v>45778</v>
      </c>
      <c r="AR121" s="55">
        <f t="shared" si="438"/>
        <v>45809</v>
      </c>
      <c r="AS121" s="55">
        <f t="shared" si="438"/>
        <v>45839</v>
      </c>
      <c r="AT121" s="55">
        <f t="shared" si="438"/>
        <v>45870</v>
      </c>
      <c r="AU121" s="55">
        <f t="shared" si="438"/>
        <v>45901</v>
      </c>
      <c r="AV121" s="55">
        <f t="shared" si="438"/>
        <v>45931</v>
      </c>
      <c r="AW121" s="55">
        <f t="shared" si="438"/>
        <v>45962</v>
      </c>
      <c r="AX121" s="58">
        <f t="shared" si="438"/>
        <v>45992</v>
      </c>
      <c r="AY121" s="55">
        <f t="shared" si="438"/>
        <v>46023</v>
      </c>
      <c r="AZ121" s="55">
        <f t="shared" si="438"/>
        <v>46054</v>
      </c>
      <c r="BA121" s="55">
        <f t="shared" si="438"/>
        <v>46082</v>
      </c>
      <c r="BB121" s="55">
        <f t="shared" si="438"/>
        <v>46113</v>
      </c>
      <c r="BC121" s="55">
        <f t="shared" si="438"/>
        <v>46143</v>
      </c>
      <c r="BD121" s="55">
        <f t="shared" si="438"/>
        <v>46174</v>
      </c>
      <c r="BE121" s="55">
        <f t="shared" si="438"/>
        <v>46204</v>
      </c>
      <c r="BF121" s="55">
        <f t="shared" si="438"/>
        <v>46235</v>
      </c>
      <c r="BG121" s="55">
        <f t="shared" si="438"/>
        <v>46266</v>
      </c>
      <c r="BH121" s="55">
        <f t="shared" si="438"/>
        <v>46296</v>
      </c>
      <c r="BI121" s="55">
        <f t="shared" si="438"/>
        <v>46327</v>
      </c>
      <c r="BJ121" s="58">
        <f t="shared" si="438"/>
        <v>46357</v>
      </c>
      <c r="BL121" s="120"/>
    </row>
    <row r="122" spans="2:64" ht="15.75" thickTop="1" x14ac:dyDescent="0.25">
      <c r="B122" s="74" t="s">
        <v>153</v>
      </c>
      <c r="C122" s="71">
        <f t="shared" ref="C122" si="439">IF(C121&lt;$F$148,C73,0)</f>
        <v>7975607.418573983</v>
      </c>
      <c r="D122" s="71">
        <f t="shared" ref="D122:BJ122" si="440">IF(D121&lt;$F$148,D73,0)</f>
        <v>12461919.575999726</v>
      </c>
      <c r="E122" s="71">
        <f t="shared" si="440"/>
        <v>22044631.050573982</v>
      </c>
      <c r="F122" s="71">
        <f t="shared" si="440"/>
        <v>11476255.854111057</v>
      </c>
      <c r="G122" s="71">
        <f t="shared" si="440"/>
        <v>11134364.73091476</v>
      </c>
      <c r="H122" s="71">
        <f t="shared" si="440"/>
        <v>4093244.8341110554</v>
      </c>
      <c r="I122" s="71">
        <f t="shared" si="440"/>
        <v>8899815.0597831123</v>
      </c>
      <c r="J122" s="71">
        <f t="shared" si="440"/>
        <v>13482965.171783119</v>
      </c>
      <c r="K122" s="71">
        <f t="shared" si="440"/>
        <v>16478713.342147274</v>
      </c>
      <c r="L122" s="71">
        <f t="shared" si="440"/>
        <v>25568074.37752232</v>
      </c>
      <c r="M122" s="71">
        <f t="shared" si="440"/>
        <v>28846525.302355271</v>
      </c>
      <c r="N122" s="72">
        <f t="shared" si="440"/>
        <v>0</v>
      </c>
      <c r="O122" s="71">
        <f t="shared" si="440"/>
        <v>0</v>
      </c>
      <c r="P122" s="71">
        <f t="shared" si="440"/>
        <v>0</v>
      </c>
      <c r="Q122" s="71">
        <f t="shared" si="440"/>
        <v>0</v>
      </c>
      <c r="R122" s="71">
        <f t="shared" si="440"/>
        <v>0</v>
      </c>
      <c r="S122" s="71">
        <f t="shared" si="440"/>
        <v>0</v>
      </c>
      <c r="T122" s="71">
        <f t="shared" si="440"/>
        <v>0</v>
      </c>
      <c r="U122" s="71">
        <f t="shared" si="440"/>
        <v>0</v>
      </c>
      <c r="V122" s="71">
        <f t="shared" si="440"/>
        <v>0</v>
      </c>
      <c r="W122" s="71">
        <f t="shared" si="440"/>
        <v>0</v>
      </c>
      <c r="X122" s="71">
        <f t="shared" si="440"/>
        <v>0</v>
      </c>
      <c r="Y122" s="71">
        <f t="shared" si="440"/>
        <v>0</v>
      </c>
      <c r="Z122" s="73">
        <f t="shared" si="440"/>
        <v>0</v>
      </c>
      <c r="AA122" s="71">
        <f t="shared" si="440"/>
        <v>0</v>
      </c>
      <c r="AB122" s="71">
        <f t="shared" si="440"/>
        <v>0</v>
      </c>
      <c r="AC122" s="71">
        <f t="shared" si="440"/>
        <v>0</v>
      </c>
      <c r="AD122" s="71">
        <f t="shared" si="440"/>
        <v>0</v>
      </c>
      <c r="AE122" s="71">
        <f t="shared" si="440"/>
        <v>0</v>
      </c>
      <c r="AF122" s="71">
        <f t="shared" si="440"/>
        <v>0</v>
      </c>
      <c r="AG122" s="71">
        <f t="shared" si="440"/>
        <v>0</v>
      </c>
      <c r="AH122" s="71">
        <f t="shared" si="440"/>
        <v>0</v>
      </c>
      <c r="AI122" s="71">
        <f t="shared" si="440"/>
        <v>0</v>
      </c>
      <c r="AJ122" s="71">
        <f t="shared" si="440"/>
        <v>0</v>
      </c>
      <c r="AK122" s="71">
        <f t="shared" si="440"/>
        <v>0</v>
      </c>
      <c r="AL122" s="72">
        <f t="shared" si="440"/>
        <v>0</v>
      </c>
      <c r="AM122" s="71">
        <f t="shared" si="440"/>
        <v>0</v>
      </c>
      <c r="AN122" s="71">
        <f t="shared" si="440"/>
        <v>0</v>
      </c>
      <c r="AO122" s="71">
        <f t="shared" si="440"/>
        <v>0</v>
      </c>
      <c r="AP122" s="71">
        <f t="shared" si="440"/>
        <v>0</v>
      </c>
      <c r="AQ122" s="71">
        <f t="shared" si="440"/>
        <v>0</v>
      </c>
      <c r="AR122" s="71">
        <f t="shared" si="440"/>
        <v>0</v>
      </c>
      <c r="AS122" s="71">
        <f t="shared" si="440"/>
        <v>0</v>
      </c>
      <c r="AT122" s="71">
        <f t="shared" si="440"/>
        <v>0</v>
      </c>
      <c r="AU122" s="71">
        <f t="shared" si="440"/>
        <v>0</v>
      </c>
      <c r="AV122" s="71">
        <f t="shared" si="440"/>
        <v>0</v>
      </c>
      <c r="AW122" s="71">
        <f t="shared" si="440"/>
        <v>0</v>
      </c>
      <c r="AX122" s="73">
        <f t="shared" si="440"/>
        <v>0</v>
      </c>
      <c r="AY122" s="71">
        <f t="shared" si="440"/>
        <v>0</v>
      </c>
      <c r="AZ122" s="71">
        <f t="shared" si="440"/>
        <v>0</v>
      </c>
      <c r="BA122" s="71">
        <f t="shared" si="440"/>
        <v>0</v>
      </c>
      <c r="BB122" s="71">
        <f t="shared" si="440"/>
        <v>0</v>
      </c>
      <c r="BC122" s="71">
        <f t="shared" si="440"/>
        <v>0</v>
      </c>
      <c r="BD122" s="71">
        <f t="shared" si="440"/>
        <v>0</v>
      </c>
      <c r="BE122" s="71">
        <f t="shared" si="440"/>
        <v>0</v>
      </c>
      <c r="BF122" s="71">
        <f t="shared" si="440"/>
        <v>0</v>
      </c>
      <c r="BG122" s="71">
        <f t="shared" si="440"/>
        <v>0</v>
      </c>
      <c r="BH122" s="71">
        <f t="shared" si="440"/>
        <v>0</v>
      </c>
      <c r="BI122" s="71">
        <f t="shared" si="440"/>
        <v>0</v>
      </c>
      <c r="BJ122" s="73">
        <f t="shared" si="440"/>
        <v>0</v>
      </c>
      <c r="BL122" s="120"/>
    </row>
    <row r="123" spans="2:64" x14ac:dyDescent="0.25">
      <c r="B123" s="74" t="s">
        <v>18</v>
      </c>
      <c r="C123" s="71">
        <f>IF(C121&lt;$F$148,0,C73)</f>
        <v>0</v>
      </c>
      <c r="D123" s="71">
        <f t="shared" ref="D123:BJ123" si="441">IF(D121&lt;$F$148,0,D73)</f>
        <v>0</v>
      </c>
      <c r="E123" s="71">
        <f t="shared" si="441"/>
        <v>0</v>
      </c>
      <c r="F123" s="71">
        <f t="shared" si="441"/>
        <v>0</v>
      </c>
      <c r="G123" s="71">
        <f t="shared" si="441"/>
        <v>0</v>
      </c>
      <c r="H123" s="71">
        <f t="shared" si="441"/>
        <v>0</v>
      </c>
      <c r="I123" s="71">
        <f t="shared" si="441"/>
        <v>0</v>
      </c>
      <c r="J123" s="71">
        <f t="shared" si="441"/>
        <v>0</v>
      </c>
      <c r="K123" s="71">
        <f t="shared" si="441"/>
        <v>0</v>
      </c>
      <c r="L123" s="71">
        <f t="shared" si="441"/>
        <v>0</v>
      </c>
      <c r="M123" s="71">
        <f t="shared" si="441"/>
        <v>0</v>
      </c>
      <c r="N123" s="72">
        <f t="shared" si="441"/>
        <v>20926835.83178312</v>
      </c>
      <c r="O123" s="71">
        <f t="shared" si="441"/>
        <v>5317340.1597422641</v>
      </c>
      <c r="P123" s="71">
        <f t="shared" si="441"/>
        <v>2547125.2448705081</v>
      </c>
      <c r="Q123" s="71">
        <f t="shared" si="441"/>
        <v>3789667.1118180426</v>
      </c>
      <c r="R123" s="71">
        <f t="shared" si="441"/>
        <v>-96520.817357658496</v>
      </c>
      <c r="S123" s="71">
        <f t="shared" si="441"/>
        <v>232717.66949293978</v>
      </c>
      <c r="T123" s="71">
        <f t="shared" si="441"/>
        <v>-794531.74968857353</v>
      </c>
      <c r="U123" s="71">
        <f t="shared" si="441"/>
        <v>601242.4339254509</v>
      </c>
      <c r="V123" s="71">
        <f t="shared" si="441"/>
        <v>122515.63392545111</v>
      </c>
      <c r="W123" s="71">
        <f t="shared" si="441"/>
        <v>488787.51670204953</v>
      </c>
      <c r="X123" s="71">
        <f t="shared" si="441"/>
        <v>560806.03392545122</v>
      </c>
      <c r="Y123" s="71">
        <f t="shared" si="441"/>
        <v>698523.51670204999</v>
      </c>
      <c r="Z123" s="73">
        <f t="shared" si="441"/>
        <v>-95169.129448998036</v>
      </c>
      <c r="AA123" s="71">
        <f t="shared" si="441"/>
        <v>1096548.4809219351</v>
      </c>
      <c r="AB123" s="71">
        <f t="shared" si="441"/>
        <v>1025803.417636649</v>
      </c>
      <c r="AC123" s="71">
        <f t="shared" si="441"/>
        <v>1096548.4809219351</v>
      </c>
      <c r="AD123" s="71">
        <f t="shared" si="441"/>
        <v>1061175.9492792923</v>
      </c>
      <c r="AE123" s="71">
        <f t="shared" si="441"/>
        <v>1096548.4809219351</v>
      </c>
      <c r="AF123" s="71">
        <f t="shared" si="441"/>
        <v>1061175.9492792923</v>
      </c>
      <c r="AG123" s="71">
        <f t="shared" si="441"/>
        <v>1096548.4809219351</v>
      </c>
      <c r="AH123" s="71">
        <f t="shared" si="441"/>
        <v>1096548.4809219351</v>
      </c>
      <c r="AI123" s="71">
        <f t="shared" si="441"/>
        <v>1061175.9492792923</v>
      </c>
      <c r="AJ123" s="71">
        <f t="shared" si="441"/>
        <v>1096548.4809219351</v>
      </c>
      <c r="AK123" s="71">
        <f t="shared" si="441"/>
        <v>1061175.9492792923</v>
      </c>
      <c r="AL123" s="72">
        <f t="shared" si="441"/>
        <v>1096548.4809219351</v>
      </c>
      <c r="AM123" s="71">
        <f t="shared" si="441"/>
        <v>484967.68422859581</v>
      </c>
      <c r="AN123" s="71">
        <f t="shared" si="441"/>
        <v>438035.3276903443</v>
      </c>
      <c r="AO123" s="71">
        <f t="shared" si="441"/>
        <v>484967.68422859581</v>
      </c>
      <c r="AP123" s="71">
        <f t="shared" si="441"/>
        <v>469323.56538251182</v>
      </c>
      <c r="AQ123" s="71">
        <f t="shared" si="441"/>
        <v>484967.68422859581</v>
      </c>
      <c r="AR123" s="71">
        <f t="shared" si="441"/>
        <v>469323.56538251182</v>
      </c>
      <c r="AS123" s="71">
        <f t="shared" si="441"/>
        <v>484967.68422859581</v>
      </c>
      <c r="AT123" s="71">
        <f t="shared" si="441"/>
        <v>484967.68422859581</v>
      </c>
      <c r="AU123" s="71">
        <f t="shared" si="441"/>
        <v>469323.56538251182</v>
      </c>
      <c r="AV123" s="71">
        <f t="shared" si="441"/>
        <v>484967.68422859581</v>
      </c>
      <c r="AW123" s="71">
        <f t="shared" si="441"/>
        <v>469323.56538251182</v>
      </c>
      <c r="AX123" s="73">
        <f t="shared" si="441"/>
        <v>484967.68422859581</v>
      </c>
      <c r="AY123" s="71">
        <f t="shared" si="441"/>
        <v>0</v>
      </c>
      <c r="AZ123" s="71">
        <f t="shared" si="441"/>
        <v>0</v>
      </c>
      <c r="BA123" s="71">
        <f t="shared" si="441"/>
        <v>0</v>
      </c>
      <c r="BB123" s="71">
        <f t="shared" si="441"/>
        <v>0</v>
      </c>
      <c r="BC123" s="71">
        <f t="shared" si="441"/>
        <v>0</v>
      </c>
      <c r="BD123" s="71">
        <f t="shared" si="441"/>
        <v>0</v>
      </c>
      <c r="BE123" s="71">
        <f t="shared" si="441"/>
        <v>0</v>
      </c>
      <c r="BF123" s="71">
        <f t="shared" si="441"/>
        <v>0</v>
      </c>
      <c r="BG123" s="71">
        <f t="shared" si="441"/>
        <v>0</v>
      </c>
      <c r="BH123" s="71">
        <f t="shared" si="441"/>
        <v>0</v>
      </c>
      <c r="BI123" s="71">
        <f t="shared" si="441"/>
        <v>0</v>
      </c>
      <c r="BJ123" s="73">
        <f t="shared" si="441"/>
        <v>0</v>
      </c>
      <c r="BL123" s="120"/>
    </row>
    <row r="124" spans="2:64" x14ac:dyDescent="0.25">
      <c r="O124" s="1"/>
      <c r="P124" s="1"/>
      <c r="Q124" s="1"/>
      <c r="R124" s="1"/>
      <c r="S124" s="1"/>
      <c r="T124" s="1"/>
      <c r="U124" s="1"/>
      <c r="V124" s="1"/>
      <c r="W124" s="1"/>
      <c r="AM124" s="1"/>
      <c r="AN124" s="1"/>
      <c r="AO124" s="1"/>
      <c r="AP124" s="1"/>
      <c r="AQ124" s="1"/>
      <c r="AR124" s="1"/>
      <c r="AS124" s="1"/>
      <c r="AT124" s="1"/>
      <c r="AU124" s="1"/>
      <c r="AY124" s="1"/>
      <c r="AZ124" s="1"/>
      <c r="BA124" s="1"/>
      <c r="BB124" s="1"/>
      <c r="BC124" s="1"/>
      <c r="BD124" s="1"/>
      <c r="BE124" s="1"/>
      <c r="BF124" s="1"/>
      <c r="BG124" s="1"/>
      <c r="BL124" s="120"/>
    </row>
    <row r="125" spans="2:64" x14ac:dyDescent="0.25">
      <c r="B125" s="77" t="s">
        <v>158</v>
      </c>
      <c r="C125" s="71">
        <f>IF(C121&lt;$F$148,0,SUMIFS(MtM!$Y:$Y,MtM!$E:$E,C121))</f>
        <v>0</v>
      </c>
      <c r="D125" s="71">
        <f>IF(D121&lt;$F$148,0,SUMIFS(MtM!$Y:$Y,MtM!$E:$E,D121))</f>
        <v>0</v>
      </c>
      <c r="E125" s="71">
        <f>IF(E121&lt;$F$148,0,SUMIFS(MtM!$Y:$Y,MtM!$E:$E,E121))</f>
        <v>0</v>
      </c>
      <c r="F125" s="71">
        <f>IF(F121&lt;$F$148,0,SUMIFS(MtM!$Y:$Y,MtM!$E:$E,F121))</f>
        <v>0</v>
      </c>
      <c r="G125" s="71">
        <f>IF(G121&lt;$F$148,0,SUMIFS(MtM!$Y:$Y,MtM!$E:$E,G121))</f>
        <v>0</v>
      </c>
      <c r="H125" s="71">
        <f>IF(H121&lt;$F$148,0,SUMIFS(MtM!$Y:$Y,MtM!$E:$E,H121))</f>
        <v>0</v>
      </c>
      <c r="I125" s="71">
        <f>IF(I121&lt;$F$148,0,SUMIFS(MtM!$Y:$Y,MtM!$E:$E,I121))</f>
        <v>0</v>
      </c>
      <c r="J125" s="71">
        <f>IF(J121&lt;$F$148,0,SUMIFS(MtM!$Y:$Y,MtM!$E:$E,J121))</f>
        <v>0</v>
      </c>
      <c r="K125" s="71">
        <f>IF(K121&lt;$F$148,0,SUMIFS(MtM!$Y:$Y,MtM!$E:$E,K121))</f>
        <v>0</v>
      </c>
      <c r="L125" s="71">
        <f>IF(L121&lt;$F$148,0,SUMIFS(MtM!$Y:$Y,MtM!$E:$E,L121))</f>
        <v>0</v>
      </c>
      <c r="M125" s="71">
        <f>IF(M121&lt;$F$148,0,SUMIFS(MtM!$Y:$Y,MtM!$E:$E,M121))</f>
        <v>0</v>
      </c>
      <c r="N125" s="72">
        <f>IF(N121&lt;$F$148,0,SUMIFS(MtM!$Y:$Y,MtM!$E:$E,N121))</f>
        <v>20926835.831783112</v>
      </c>
      <c r="O125" s="71">
        <f>IF(O121&lt;$F$148,0,SUMIFS(MtM!$Y:$Y,MtM!$E:$E,O121))</f>
        <v>6493488.8429712215</v>
      </c>
      <c r="P125" s="71">
        <f>IF(P121&lt;$F$148,0,SUMIFS(MtM!$Y:$Y,MtM!$E:$E,P121))</f>
        <v>3547982.4479057067</v>
      </c>
      <c r="Q125" s="71">
        <f>IF(Q121&lt;$F$148,0,SUMIFS(MtM!$Y:$Y,MtM!$E:$E,Q121))</f>
        <v>4995949.0351908403</v>
      </c>
      <c r="R125" s="71">
        <f>IF(R121&lt;$F$148,0,SUMIFS(MtM!$Y:$Y,MtM!$E:$E,R121))</f>
        <v>834113.02264234214</v>
      </c>
      <c r="S125" s="71">
        <f>IF(S121&lt;$F$148,0,SUMIFS(MtM!$Y:$Y,MtM!$E:$E,S121))</f>
        <v>1062206.9894929393</v>
      </c>
      <c r="T125" s="71">
        <f>IF(T121&lt;$F$148,0,SUMIFS(MtM!$Y:$Y,MtM!$E:$E,T121))</f>
        <v>-553590.47536958731</v>
      </c>
      <c r="U125" s="71">
        <f>IF(U121&lt;$F$148,0,SUMIFS(MtM!$Y:$Y,MtM!$E:$E,U121))</f>
        <v>1397163.9791257333</v>
      </c>
      <c r="V125" s="71">
        <f>IF(V121&lt;$F$148,0,SUMIFS(MtM!$Y:$Y,MtM!$E:$E,V121))</f>
        <v>695710.16236186831</v>
      </c>
      <c r="W125" s="71">
        <f>IF(W121&lt;$F$148,0,SUMIFS(MtM!$Y:$Y,MtM!$E:$E,W121))</f>
        <v>1195639.386792304</v>
      </c>
      <c r="X125" s="71">
        <f>IF(X121&lt;$F$148,0,SUMIFS(MtM!$Y:$Y,MtM!$E:$E,X121))</f>
        <v>1219997.2542830473</v>
      </c>
      <c r="Y125" s="71">
        <f>IF(Y121&lt;$F$148,0,SUMIFS(MtM!$Y:$Y,MtM!$E:$E,Y121))</f>
        <v>1442220.7818556128</v>
      </c>
      <c r="Z125" s="73">
        <f>IF(Z121&lt;$F$148,0,SUMIFS(MtM!$Y:$Y,MtM!$E:$E,Z121))</f>
        <v>-116874.07626131439</v>
      </c>
      <c r="AA125" s="71">
        <f>IF(AA121&lt;$F$148,0,SUMIFS(MtM!$Y:$Y,MtM!$E:$E,AA121))</f>
        <v>1265299.5175101208</v>
      </c>
      <c r="AB125" s="71">
        <f>IF(AB121&lt;$F$148,0,SUMIFS(MtM!$Y:$Y,MtM!$E:$E,AB121))</f>
        <v>1183667.2905739839</v>
      </c>
      <c r="AC125" s="71">
        <f>IF(AC121&lt;$F$148,0,SUMIFS(MtM!$Y:$Y,MtM!$E:$E,AC121))</f>
        <v>1265299.5175101208</v>
      </c>
      <c r="AD125" s="71">
        <f>IF(AD121&lt;$F$148,0,SUMIFS(MtM!$Y:$Y,MtM!$E:$E,AD121))</f>
        <v>1224483.4040420526</v>
      </c>
      <c r="AE125" s="71">
        <f>IF(AE121&lt;$F$148,0,SUMIFS(MtM!$Y:$Y,MtM!$E:$E,AE121))</f>
        <v>1265299.5175101208</v>
      </c>
      <c r="AF125" s="71">
        <f>IF(AF121&lt;$F$148,0,SUMIFS(MtM!$Y:$Y,MtM!$E:$E,AF121))</f>
        <v>1224483.4040420526</v>
      </c>
      <c r="AG125" s="71">
        <f>IF(AG121&lt;$F$148,0,SUMIFS(MtM!$Y:$Y,MtM!$E:$E,AG121))</f>
        <v>1265299.5175101208</v>
      </c>
      <c r="AH125" s="71">
        <f>IF(AH121&lt;$F$148,0,SUMIFS(MtM!$Y:$Y,MtM!$E:$E,AH121))</f>
        <v>1265299.5175101208</v>
      </c>
      <c r="AI125" s="71">
        <f>IF(AI121&lt;$F$148,0,SUMIFS(MtM!$Y:$Y,MtM!$E:$E,AI121))</f>
        <v>1224483.4040420526</v>
      </c>
      <c r="AJ125" s="71">
        <f>IF(AJ121&lt;$F$148,0,SUMIFS(MtM!$Y:$Y,MtM!$E:$E,AJ121))</f>
        <v>1265299.5175101208</v>
      </c>
      <c r="AK125" s="71">
        <f>IF(AK121&lt;$F$148,0,SUMIFS(MtM!$Y:$Y,MtM!$E:$E,AK121))</f>
        <v>1224483.4040420526</v>
      </c>
      <c r="AL125" s="72">
        <f>IF(AL121&lt;$F$148,0,SUMIFS(MtM!$Y:$Y,MtM!$E:$E,AL121))</f>
        <v>1265299.5175101208</v>
      </c>
      <c r="AM125" s="71">
        <f>IF(AM121&lt;$F$148,0,SUMIFS(MtM!$Y:$Y,MtM!$E:$E,AM121))</f>
        <v>484967.68422859581</v>
      </c>
      <c r="AN125" s="71">
        <f>IF(AN121&lt;$F$148,0,SUMIFS(MtM!$Y:$Y,MtM!$E:$E,AN121))</f>
        <v>438035.3276903443</v>
      </c>
      <c r="AO125" s="71">
        <f>IF(AO121&lt;$F$148,0,SUMIFS(MtM!$Y:$Y,MtM!$E:$E,AO121))</f>
        <v>484967.68422859581</v>
      </c>
      <c r="AP125" s="71">
        <f>IF(AP121&lt;$F$148,0,SUMIFS(MtM!$Y:$Y,MtM!$E:$E,AP121))</f>
        <v>469323.56538251182</v>
      </c>
      <c r="AQ125" s="71">
        <f>IF(AQ121&lt;$F$148,0,SUMIFS(MtM!$Y:$Y,MtM!$E:$E,AQ121))</f>
        <v>484967.68422859581</v>
      </c>
      <c r="AR125" s="71">
        <f>IF(AR121&lt;$F$148,0,SUMIFS(MtM!$Y:$Y,MtM!$E:$E,AR121))</f>
        <v>469323.56538251182</v>
      </c>
      <c r="AS125" s="71">
        <f>IF(AS121&lt;$F$148,0,SUMIFS(MtM!$Y:$Y,MtM!$E:$E,AS121))</f>
        <v>484967.68422859581</v>
      </c>
      <c r="AT125" s="71">
        <f>IF(AT121&lt;$F$148,0,SUMIFS(MtM!$Y:$Y,MtM!$E:$E,AT121))</f>
        <v>484967.68422859581</v>
      </c>
      <c r="AU125" s="71">
        <f>IF(AU121&lt;$F$148,0,SUMIFS(MtM!$Y:$Y,MtM!$E:$E,AU121))</f>
        <v>469323.56538251182</v>
      </c>
      <c r="AV125" s="71">
        <f>IF(AV121&lt;$F$148,0,SUMIFS(MtM!$Y:$Y,MtM!$E:$E,AV121))</f>
        <v>484967.68422859581</v>
      </c>
      <c r="AW125" s="71">
        <f>IF(AW121&lt;$F$148,0,SUMIFS(MtM!$Y:$Y,MtM!$E:$E,AW121))</f>
        <v>469323.56538251182</v>
      </c>
      <c r="AX125" s="73">
        <f>IF(AX121&lt;$F$148,0,SUMIFS(MtM!$Y:$Y,MtM!$E:$E,AX121))</f>
        <v>484967.68422859581</v>
      </c>
      <c r="AY125" s="71">
        <f>IF(AY121&lt;$F$148,0,SUMIFS(MtM!$Y:$Y,MtM!$E:$E,AY121))</f>
        <v>0</v>
      </c>
      <c r="AZ125" s="71">
        <f>IF(AZ121&lt;$F$148,0,SUMIFS(MtM!$Y:$Y,MtM!$E:$E,AZ121))</f>
        <v>0</v>
      </c>
      <c r="BA125" s="71">
        <f>IF(BA121&lt;$F$148,0,SUMIFS(MtM!$Y:$Y,MtM!$E:$E,BA121))</f>
        <v>0</v>
      </c>
      <c r="BB125" s="71">
        <f>IF(BB121&lt;$F$148,0,SUMIFS(MtM!$Y:$Y,MtM!$E:$E,BB121))</f>
        <v>0</v>
      </c>
      <c r="BC125" s="71">
        <f>IF(BC121&lt;$F$148,0,SUMIFS(MtM!$Y:$Y,MtM!$E:$E,BC121))</f>
        <v>0</v>
      </c>
      <c r="BD125" s="71">
        <f>IF(BD121&lt;$F$148,0,SUMIFS(MtM!$Y:$Y,MtM!$E:$E,BD121))</f>
        <v>0</v>
      </c>
      <c r="BE125" s="71">
        <f>IF(BE121&lt;$F$148,0,SUMIFS(MtM!$Y:$Y,MtM!$E:$E,BE121))</f>
        <v>0</v>
      </c>
      <c r="BF125" s="71">
        <f>IF(BF121&lt;$F$148,0,SUMIFS(MtM!$Y:$Y,MtM!$E:$E,BF121))</f>
        <v>0</v>
      </c>
      <c r="BG125" s="71">
        <f>IF(BG121&lt;$F$148,0,SUMIFS(MtM!$Y:$Y,MtM!$E:$E,BG121))</f>
        <v>0</v>
      </c>
      <c r="BH125" s="71">
        <f>IF(BH121&lt;$F$148,0,SUMIFS(MtM!$Y:$Y,MtM!$E:$E,BH121))</f>
        <v>0</v>
      </c>
      <c r="BI125" s="71">
        <f>IF(BI121&lt;$F$148,0,SUMIFS(MtM!$Y:$Y,MtM!$E:$E,BI121))</f>
        <v>0</v>
      </c>
      <c r="BJ125" s="73">
        <f>IF(BJ121&lt;$F$148,0,SUMIFS(MtM!$Y:$Y,MtM!$E:$E,BJ121))</f>
        <v>0</v>
      </c>
      <c r="BL125" s="120"/>
    </row>
    <row r="126" spans="2:64" x14ac:dyDescent="0.25">
      <c r="B126" s="77" t="s">
        <v>159</v>
      </c>
      <c r="C126" s="71">
        <f>IF(C121&lt;$F$148,0,SUMIFS(MtM!$AB:$AB,MtM!$E:$E,C121))</f>
        <v>0</v>
      </c>
      <c r="D126" s="71">
        <f>IF(D121&lt;$F$148,0,SUMIFS(MtM!$AB:$AB,MtM!$E:$E,D121))</f>
        <v>0</v>
      </c>
      <c r="E126" s="71">
        <f>IF(E121&lt;$F$148,0,SUMIFS(MtM!$AB:$AB,MtM!$E:$E,E121))</f>
        <v>0</v>
      </c>
      <c r="F126" s="71">
        <f>IF(F121&lt;$F$148,0,SUMIFS(MtM!$AB:$AB,MtM!$E:$E,F121))</f>
        <v>0</v>
      </c>
      <c r="G126" s="71">
        <f>IF(G121&lt;$F$148,0,SUMIFS(MtM!$AB:$AB,MtM!$E:$E,G121))</f>
        <v>0</v>
      </c>
      <c r="H126" s="71">
        <f>IF(H121&lt;$F$148,0,SUMIFS(MtM!$AB:$AB,MtM!$E:$E,H121))</f>
        <v>0</v>
      </c>
      <c r="I126" s="71">
        <f>IF(I121&lt;$F$148,0,SUMIFS(MtM!$AB:$AB,MtM!$E:$E,I121))</f>
        <v>0</v>
      </c>
      <c r="J126" s="71">
        <f>IF(J121&lt;$F$148,0,SUMIFS(MtM!$AB:$AB,MtM!$E:$E,J121))</f>
        <v>0</v>
      </c>
      <c r="K126" s="71">
        <f>IF(K121&lt;$F$148,0,SUMIFS(MtM!$AB:$AB,MtM!$E:$E,K121))</f>
        <v>0</v>
      </c>
      <c r="L126" s="71">
        <f>IF(L121&lt;$F$148,0,SUMIFS(MtM!$AB:$AB,MtM!$E:$E,L121))</f>
        <v>0</v>
      </c>
      <c r="M126" s="71">
        <f>IF(M121&lt;$F$148,0,SUMIFS(MtM!$AB:$AB,MtM!$E:$E,M121))</f>
        <v>0</v>
      </c>
      <c r="N126" s="72">
        <f>IF(N121&lt;$F$148,0,SUMIFS(MtM!$AB:$AB,MtM!$E:$E,N121))</f>
        <v>18116458.595701963</v>
      </c>
      <c r="O126" s="71">
        <f>IF(O121&lt;$F$148,0,SUMIFS(MtM!$AB:$AB,MtM!$E:$E,O121))</f>
        <v>2834367.3666299642</v>
      </c>
      <c r="P126" s="71">
        <f>IF(P121&lt;$F$148,0,SUMIFS(MtM!$AB:$AB,MtM!$E:$E,P121))</f>
        <v>834909.79218223365</v>
      </c>
      <c r="Q126" s="71">
        <f>IF(Q121&lt;$F$148,0,SUMIFS(MtM!$AB:$AB,MtM!$E:$E,Q121))</f>
        <v>2037611.9420537583</v>
      </c>
      <c r="R126" s="71">
        <f>IF(R121&lt;$F$148,0,SUMIFS(MtM!$AB:$AB,MtM!$E:$E,R121))</f>
        <v>-1148071.6296174896</v>
      </c>
      <c r="S126" s="71">
        <f>IF(S121&lt;$F$148,0,SUMIFS(MtM!$AB:$AB,MtM!$E:$E,S121))</f>
        <v>-683914.34483510302</v>
      </c>
      <c r="T126" s="71">
        <f>IF(T121&lt;$F$148,0,SUMIFS(MtM!$AB:$AB,MtM!$E:$E,T121))</f>
        <v>-1035473.0240075602</v>
      </c>
      <c r="U126" s="71">
        <f>IF(U121&lt;$F$148,0,SUMIFS(MtM!$AB:$AB,MtM!$E:$E,U121))</f>
        <v>-194679.11127483044</v>
      </c>
      <c r="V126" s="71">
        <f>IF(V121&lt;$F$148,0,SUMIFS(MtM!$AB:$AB,MtM!$E:$E,V121))</f>
        <v>-450678.8945109655</v>
      </c>
      <c r="W126" s="71">
        <f>IF(W121&lt;$F$148,0,SUMIFS(MtM!$AB:$AB,MtM!$E:$E,W121))</f>
        <v>-218064.35338820523</v>
      </c>
      <c r="X126" s="71">
        <f>IF(X121&lt;$F$148,0,SUMIFS(MtM!$AB:$AB,MtM!$E:$E,X121))</f>
        <v>-98385.18643214344</v>
      </c>
      <c r="Y126" s="71">
        <f>IF(Y121&lt;$F$148,0,SUMIFS(MtM!$AB:$AB,MtM!$E:$E,Y121))</f>
        <v>-45173.748451512889</v>
      </c>
      <c r="Z126" s="73">
        <f>IF(Z121&lt;$F$148,0,SUMIFS(MtM!$AB:$AB,MtM!$E:$E,Z121))</f>
        <v>-73464.182636680314</v>
      </c>
      <c r="AA126" s="71">
        <f>IF(AA121&lt;$F$148,0,SUMIFS(MtM!$AB:$AB,MtM!$E:$E,AA121))</f>
        <v>927797.44433374982</v>
      </c>
      <c r="AB126" s="71">
        <f>IF(AB121&lt;$F$148,0,SUMIFS(MtM!$AB:$AB,MtM!$E:$E,AB121))</f>
        <v>867939.54469931428</v>
      </c>
      <c r="AC126" s="71">
        <f>IF(AC121&lt;$F$148,0,SUMIFS(MtM!$AB:$AB,MtM!$E:$E,AC121))</f>
        <v>927797.44433374982</v>
      </c>
      <c r="AD126" s="71">
        <f>IF(AD121&lt;$F$148,0,SUMIFS(MtM!$AB:$AB,MtM!$E:$E,AD121))</f>
        <v>897868.49451653217</v>
      </c>
      <c r="AE126" s="71">
        <f>IF(AE121&lt;$F$148,0,SUMIFS(MtM!$AB:$AB,MtM!$E:$E,AE121))</f>
        <v>927797.44433374982</v>
      </c>
      <c r="AF126" s="71">
        <f>IF(AF121&lt;$F$148,0,SUMIFS(MtM!$AB:$AB,MtM!$E:$E,AF121))</f>
        <v>897868.49451653217</v>
      </c>
      <c r="AG126" s="71">
        <f>IF(AG121&lt;$F$148,0,SUMIFS(MtM!$AB:$AB,MtM!$E:$E,AG121))</f>
        <v>927797.44433374982</v>
      </c>
      <c r="AH126" s="71">
        <f>IF(AH121&lt;$F$148,0,SUMIFS(MtM!$AB:$AB,MtM!$E:$E,AH121))</f>
        <v>927797.44433374982</v>
      </c>
      <c r="AI126" s="71">
        <f>IF(AI121&lt;$F$148,0,SUMIFS(MtM!$AB:$AB,MtM!$E:$E,AI121))</f>
        <v>897868.49451653217</v>
      </c>
      <c r="AJ126" s="71">
        <f>IF(AJ121&lt;$F$148,0,SUMIFS(MtM!$AB:$AB,MtM!$E:$E,AJ121))</f>
        <v>927797.44433374982</v>
      </c>
      <c r="AK126" s="71">
        <f>IF(AK121&lt;$F$148,0,SUMIFS(MtM!$AB:$AB,MtM!$E:$E,AK121))</f>
        <v>897868.49451653217</v>
      </c>
      <c r="AL126" s="72">
        <f>IF(AL121&lt;$F$148,0,SUMIFS(MtM!$AB:$AB,MtM!$E:$E,AL121))</f>
        <v>927797.44433374982</v>
      </c>
      <c r="AM126" s="71">
        <f>IF(AM121&lt;$F$148,0,SUMIFS(MtM!$AB:$AB,MtM!$E:$E,AM121))</f>
        <v>484967.68422859581</v>
      </c>
      <c r="AN126" s="71">
        <f>IF(AN121&lt;$F$148,0,SUMIFS(MtM!$AB:$AB,MtM!$E:$E,AN121))</f>
        <v>438035.3276903443</v>
      </c>
      <c r="AO126" s="71">
        <f>IF(AO121&lt;$F$148,0,SUMIFS(MtM!$AB:$AB,MtM!$E:$E,AO121))</f>
        <v>484967.68422859581</v>
      </c>
      <c r="AP126" s="71">
        <f>IF(AP121&lt;$F$148,0,SUMIFS(MtM!$AB:$AB,MtM!$E:$E,AP121))</f>
        <v>469323.56538251182</v>
      </c>
      <c r="AQ126" s="71">
        <f>IF(AQ121&lt;$F$148,0,SUMIFS(MtM!$AB:$AB,MtM!$E:$E,AQ121))</f>
        <v>484967.68422859581</v>
      </c>
      <c r="AR126" s="71">
        <f>IF(AR121&lt;$F$148,0,SUMIFS(MtM!$AB:$AB,MtM!$E:$E,AR121))</f>
        <v>469323.56538251182</v>
      </c>
      <c r="AS126" s="71">
        <f>IF(AS121&lt;$F$148,0,SUMIFS(MtM!$AB:$AB,MtM!$E:$E,AS121))</f>
        <v>484967.68422859581</v>
      </c>
      <c r="AT126" s="71">
        <f>IF(AT121&lt;$F$148,0,SUMIFS(MtM!$AB:$AB,MtM!$E:$E,AT121))</f>
        <v>484967.68422859581</v>
      </c>
      <c r="AU126" s="71">
        <f>IF(AU121&lt;$F$148,0,SUMIFS(MtM!$AB:$AB,MtM!$E:$E,AU121))</f>
        <v>469323.56538251182</v>
      </c>
      <c r="AV126" s="71">
        <f>IF(AV121&lt;$F$148,0,SUMIFS(MtM!$AB:$AB,MtM!$E:$E,AV121))</f>
        <v>484967.68422859581</v>
      </c>
      <c r="AW126" s="71">
        <f>IF(AW121&lt;$F$148,0,SUMIFS(MtM!$AB:$AB,MtM!$E:$E,AW121))</f>
        <v>469323.56538251182</v>
      </c>
      <c r="AX126" s="73">
        <f>IF(AX121&lt;$F$148,0,SUMIFS(MtM!$AB:$AB,MtM!$E:$E,AX121))</f>
        <v>484967.68422859581</v>
      </c>
      <c r="AY126" s="71">
        <f>IF(AY121&lt;$F$148,0,SUMIFS(MtM!$AB:$AB,MtM!$E:$E,AY121))</f>
        <v>0</v>
      </c>
      <c r="AZ126" s="71">
        <f>IF(AZ121&lt;$F$148,0,SUMIFS(MtM!$AB:$AB,MtM!$E:$E,AZ121))</f>
        <v>0</v>
      </c>
      <c r="BA126" s="71">
        <f>IF(BA121&lt;$F$148,0,SUMIFS(MtM!$AB:$AB,MtM!$E:$E,BA121))</f>
        <v>0</v>
      </c>
      <c r="BB126" s="71">
        <f>IF(BB121&lt;$F$148,0,SUMIFS(MtM!$AB:$AB,MtM!$E:$E,BB121))</f>
        <v>0</v>
      </c>
      <c r="BC126" s="71">
        <f>IF(BC121&lt;$F$148,0,SUMIFS(MtM!$AB:$AB,MtM!$E:$E,BC121))</f>
        <v>0</v>
      </c>
      <c r="BD126" s="71">
        <f>IF(BD121&lt;$F$148,0,SUMIFS(MtM!$AB:$AB,MtM!$E:$E,BD121))</f>
        <v>0</v>
      </c>
      <c r="BE126" s="71">
        <f>IF(BE121&lt;$F$148,0,SUMIFS(MtM!$AB:$AB,MtM!$E:$E,BE121))</f>
        <v>0</v>
      </c>
      <c r="BF126" s="71">
        <f>IF(BF121&lt;$F$148,0,SUMIFS(MtM!$AB:$AB,MtM!$E:$E,BF121))</f>
        <v>0</v>
      </c>
      <c r="BG126" s="71">
        <f>IF(BG121&lt;$F$148,0,SUMIFS(MtM!$AB:$AB,MtM!$E:$E,BG121))</f>
        <v>0</v>
      </c>
      <c r="BH126" s="71">
        <f>IF(BH121&lt;$F$148,0,SUMIFS(MtM!$AB:$AB,MtM!$E:$E,BH121))</f>
        <v>0</v>
      </c>
      <c r="BI126" s="71">
        <f>IF(BI121&lt;$F$148,0,SUMIFS(MtM!$AB:$AB,MtM!$E:$E,BI121))</f>
        <v>0</v>
      </c>
      <c r="BJ126" s="73">
        <f>IF(BJ121&lt;$F$148,0,SUMIFS(MtM!$AB:$AB,MtM!$E:$E,BJ121))</f>
        <v>0</v>
      </c>
      <c r="BL126" s="120"/>
    </row>
    <row r="127" spans="2:64" x14ac:dyDescent="0.25">
      <c r="O127" s="1"/>
      <c r="P127" s="1"/>
      <c r="Q127" s="1"/>
      <c r="R127" s="1"/>
      <c r="S127" s="1"/>
      <c r="T127" s="1"/>
      <c r="U127" s="1"/>
      <c r="V127" s="1"/>
      <c r="W127" s="1"/>
      <c r="AM127" s="1"/>
      <c r="AN127" s="1"/>
      <c r="AO127" s="1"/>
      <c r="AP127" s="1"/>
      <c r="AQ127" s="1"/>
      <c r="AR127" s="1"/>
      <c r="AS127" s="1"/>
      <c r="AT127" s="1"/>
      <c r="AU127" s="1"/>
      <c r="AY127" s="1"/>
      <c r="AZ127" s="1"/>
      <c r="BA127" s="1"/>
      <c r="BB127" s="1"/>
      <c r="BC127" s="1"/>
      <c r="BD127" s="1"/>
      <c r="BE127" s="1"/>
      <c r="BF127" s="1"/>
      <c r="BG127" s="1"/>
      <c r="BL127" s="120"/>
    </row>
    <row r="128" spans="2:64" x14ac:dyDescent="0.25">
      <c r="B128" s="780" t="s">
        <v>200</v>
      </c>
      <c r="C128" s="780"/>
      <c r="D128" s="780"/>
      <c r="E128" s="780"/>
      <c r="F128" s="780"/>
      <c r="G128" s="780"/>
      <c r="H128" s="780"/>
      <c r="I128" s="780"/>
      <c r="J128" s="780"/>
      <c r="K128" s="780"/>
      <c r="L128" s="780"/>
      <c r="M128" s="780"/>
      <c r="N128" s="780"/>
      <c r="O128" s="780"/>
      <c r="P128" s="780"/>
      <c r="Q128" s="780"/>
      <c r="R128" s="780"/>
      <c r="S128" s="780"/>
      <c r="T128" s="780"/>
      <c r="U128" s="780"/>
      <c r="V128" s="780"/>
      <c r="W128" s="780"/>
      <c r="X128" s="780"/>
      <c r="Y128" s="780"/>
      <c r="Z128" s="780"/>
      <c r="AA128" s="780"/>
      <c r="AB128" s="780"/>
      <c r="AC128" s="780"/>
      <c r="AD128" s="780"/>
      <c r="AE128" s="780"/>
      <c r="AF128" s="780"/>
      <c r="AG128" s="780"/>
      <c r="AH128" s="780"/>
      <c r="AI128" s="780"/>
      <c r="AJ128" s="780"/>
      <c r="AK128" s="780"/>
      <c r="AL128" s="780"/>
      <c r="AM128" s="780"/>
      <c r="AN128" s="780"/>
      <c r="AO128" s="780"/>
      <c r="AP128" s="780"/>
      <c r="AQ128" s="780"/>
      <c r="AR128" s="780"/>
      <c r="AS128" s="780"/>
      <c r="AT128" s="780"/>
      <c r="AU128" s="780"/>
      <c r="AV128" s="780"/>
      <c r="AW128" s="780"/>
      <c r="AX128" s="780"/>
      <c r="AY128" s="780"/>
      <c r="AZ128" s="780"/>
      <c r="BA128" s="780"/>
      <c r="BB128" s="780"/>
      <c r="BC128" s="780"/>
      <c r="BD128" s="780"/>
      <c r="BE128" s="780"/>
      <c r="BF128" s="780"/>
      <c r="BG128" s="780"/>
      <c r="BH128" s="780"/>
      <c r="BI128" s="780"/>
      <c r="BJ128" s="780"/>
      <c r="BL128" s="120"/>
    </row>
    <row r="129" spans="2:64" x14ac:dyDescent="0.25">
      <c r="BL129" s="120"/>
    </row>
    <row r="130" spans="2:64" ht="15.75" thickBot="1" x14ac:dyDescent="0.3">
      <c r="B130" s="59" t="s">
        <v>144</v>
      </c>
      <c r="C130" s="80">
        <f>C3</f>
        <v>44562</v>
      </c>
      <c r="D130" s="55">
        <f t="shared" ref="D130:BJ130" si="442">D3</f>
        <v>44593</v>
      </c>
      <c r="E130" s="55">
        <f t="shared" si="442"/>
        <v>44621</v>
      </c>
      <c r="F130" s="55">
        <f t="shared" si="442"/>
        <v>44652</v>
      </c>
      <c r="G130" s="55">
        <f t="shared" si="442"/>
        <v>44682</v>
      </c>
      <c r="H130" s="55">
        <f t="shared" si="442"/>
        <v>44713</v>
      </c>
      <c r="I130" s="55">
        <f t="shared" si="442"/>
        <v>44743</v>
      </c>
      <c r="J130" s="55">
        <f t="shared" si="442"/>
        <v>44774</v>
      </c>
      <c r="K130" s="55">
        <f t="shared" si="442"/>
        <v>44805</v>
      </c>
      <c r="L130" s="55">
        <f t="shared" si="442"/>
        <v>44835</v>
      </c>
      <c r="M130" s="55">
        <f t="shared" si="442"/>
        <v>44866</v>
      </c>
      <c r="N130" s="58">
        <f t="shared" si="442"/>
        <v>44896</v>
      </c>
      <c r="O130" s="55">
        <f t="shared" si="442"/>
        <v>44927</v>
      </c>
      <c r="P130" s="55">
        <f t="shared" si="442"/>
        <v>44958</v>
      </c>
      <c r="Q130" s="55">
        <f t="shared" si="442"/>
        <v>44986</v>
      </c>
      <c r="R130" s="55">
        <f t="shared" si="442"/>
        <v>45017</v>
      </c>
      <c r="S130" s="55">
        <f t="shared" si="442"/>
        <v>45047</v>
      </c>
      <c r="T130" s="55">
        <f t="shared" si="442"/>
        <v>45078</v>
      </c>
      <c r="U130" s="55">
        <f t="shared" si="442"/>
        <v>45108</v>
      </c>
      <c r="V130" s="55">
        <f t="shared" si="442"/>
        <v>45139</v>
      </c>
      <c r="W130" s="55">
        <f t="shared" si="442"/>
        <v>45170</v>
      </c>
      <c r="X130" s="55">
        <f t="shared" si="442"/>
        <v>45200</v>
      </c>
      <c r="Y130" s="55">
        <f t="shared" si="442"/>
        <v>45231</v>
      </c>
      <c r="Z130" s="58">
        <f t="shared" si="442"/>
        <v>45261</v>
      </c>
      <c r="AA130" s="80">
        <f t="shared" si="442"/>
        <v>45292</v>
      </c>
      <c r="AB130" s="55">
        <f t="shared" si="442"/>
        <v>45323</v>
      </c>
      <c r="AC130" s="55">
        <f t="shared" si="442"/>
        <v>45352</v>
      </c>
      <c r="AD130" s="55">
        <f t="shared" si="442"/>
        <v>45383</v>
      </c>
      <c r="AE130" s="55">
        <f t="shared" si="442"/>
        <v>45413</v>
      </c>
      <c r="AF130" s="55">
        <f t="shared" si="442"/>
        <v>45444</v>
      </c>
      <c r="AG130" s="55">
        <f t="shared" si="442"/>
        <v>45474</v>
      </c>
      <c r="AH130" s="55">
        <f t="shared" si="442"/>
        <v>45505</v>
      </c>
      <c r="AI130" s="55">
        <f t="shared" si="442"/>
        <v>45536</v>
      </c>
      <c r="AJ130" s="55">
        <f t="shared" si="442"/>
        <v>45566</v>
      </c>
      <c r="AK130" s="55">
        <f t="shared" si="442"/>
        <v>45597</v>
      </c>
      <c r="AL130" s="58">
        <f t="shared" si="442"/>
        <v>45627</v>
      </c>
      <c r="AM130" s="55">
        <f t="shared" si="442"/>
        <v>45658</v>
      </c>
      <c r="AN130" s="55">
        <f t="shared" si="442"/>
        <v>45689</v>
      </c>
      <c r="AO130" s="55">
        <f t="shared" si="442"/>
        <v>45717</v>
      </c>
      <c r="AP130" s="55">
        <f t="shared" si="442"/>
        <v>45748</v>
      </c>
      <c r="AQ130" s="55">
        <f t="shared" si="442"/>
        <v>45778</v>
      </c>
      <c r="AR130" s="55">
        <f t="shared" si="442"/>
        <v>45809</v>
      </c>
      <c r="AS130" s="55">
        <f t="shared" si="442"/>
        <v>45839</v>
      </c>
      <c r="AT130" s="55">
        <f t="shared" si="442"/>
        <v>45870</v>
      </c>
      <c r="AU130" s="55">
        <f t="shared" si="442"/>
        <v>45901</v>
      </c>
      <c r="AV130" s="55">
        <f t="shared" si="442"/>
        <v>45931</v>
      </c>
      <c r="AW130" s="55">
        <f t="shared" si="442"/>
        <v>45962</v>
      </c>
      <c r="AX130" s="58">
        <f t="shared" si="442"/>
        <v>45992</v>
      </c>
      <c r="AY130" s="55">
        <f t="shared" si="442"/>
        <v>46023</v>
      </c>
      <c r="AZ130" s="55">
        <f t="shared" si="442"/>
        <v>46054</v>
      </c>
      <c r="BA130" s="55">
        <f t="shared" si="442"/>
        <v>46082</v>
      </c>
      <c r="BB130" s="55">
        <f t="shared" si="442"/>
        <v>46113</v>
      </c>
      <c r="BC130" s="55">
        <f t="shared" si="442"/>
        <v>46143</v>
      </c>
      <c r="BD130" s="55">
        <f t="shared" si="442"/>
        <v>46174</v>
      </c>
      <c r="BE130" s="55">
        <f t="shared" si="442"/>
        <v>46204</v>
      </c>
      <c r="BF130" s="55">
        <f t="shared" si="442"/>
        <v>46235</v>
      </c>
      <c r="BG130" s="55">
        <f t="shared" si="442"/>
        <v>46266</v>
      </c>
      <c r="BH130" s="55">
        <f t="shared" si="442"/>
        <v>46296</v>
      </c>
      <c r="BI130" s="55">
        <f t="shared" si="442"/>
        <v>46327</v>
      </c>
      <c r="BJ130" s="58">
        <f t="shared" si="442"/>
        <v>46357</v>
      </c>
      <c r="BL130" s="120"/>
    </row>
    <row r="131" spans="2:64" ht="15.75" thickTop="1" x14ac:dyDescent="0.25">
      <c r="B131" s="74" t="s">
        <v>153</v>
      </c>
      <c r="C131" s="71">
        <f t="shared" ref="C131" si="443">IF(C130&lt;$F$148,BO73,0)</f>
        <v>-8625731.9383373521</v>
      </c>
      <c r="D131" s="71">
        <f t="shared" ref="D131" si="444">IF(D130&lt;$F$148,BP73,0)</f>
        <v>-13181321.636160189</v>
      </c>
      <c r="E131" s="71">
        <f t="shared" ref="E131" si="445">IF(E130&lt;$F$148,BQ73,0)</f>
        <v>-22844832.497537352</v>
      </c>
      <c r="F131" s="71">
        <f t="shared" ref="F131" si="446">IF(F130&lt;$F$148,BR73,0)</f>
        <v>-11849583.616971631</v>
      </c>
      <c r="G131" s="71">
        <f t="shared" ref="G131" si="447">IF(G130&lt;$F$148,BS73,0)</f>
        <v>-11582781.737537352</v>
      </c>
      <c r="H131" s="71">
        <f t="shared" ref="H131" si="448">IF(H130&lt;$F$148,BT73,0)</f>
        <v>-4802437.9809716307</v>
      </c>
      <c r="I131" s="71">
        <f t="shared" ref="I131" si="449">IF(I130&lt;$F$148,BU73,0)</f>
        <v>-8922575.8280057088</v>
      </c>
      <c r="J131" s="71">
        <f t="shared" ref="J131" si="450">IF(J130&lt;$F$148,BV73,0)</f>
        <v>-13891253.79440571</v>
      </c>
      <c r="K131" s="71">
        <f t="shared" ref="K131" si="451">IF(K130&lt;$F$148,BW73,0)</f>
        <v>-16290714.180675048</v>
      </c>
      <c r="L131" s="71">
        <f t="shared" ref="L131" si="452">IF(L130&lt;$F$148,BX73,0)</f>
        <v>-24511095.008893713</v>
      </c>
      <c r="M131" s="71">
        <f t="shared" ref="M131" si="453">IF(M130&lt;$F$148,BY73,0)</f>
        <v>-27673602.665215846</v>
      </c>
      <c r="N131" s="72">
        <f t="shared" ref="N131" si="454">IF(N130&lt;$F$148,BZ73,0)</f>
        <v>0</v>
      </c>
      <c r="O131" s="71">
        <f t="shared" ref="O131" si="455">IF(O130&lt;$F$148,CA73,0)</f>
        <v>0</v>
      </c>
      <c r="P131" s="71">
        <f t="shared" ref="P131" si="456">IF(P130&lt;$F$148,CB73,0)</f>
        <v>0</v>
      </c>
      <c r="Q131" s="71">
        <f t="shared" ref="Q131" si="457">IF(Q130&lt;$F$148,CC73,0)</f>
        <v>0</v>
      </c>
      <c r="R131" s="71">
        <f t="shared" ref="R131" si="458">IF(R130&lt;$F$148,CD73,0)</f>
        <v>0</v>
      </c>
      <c r="S131" s="71">
        <f t="shared" ref="S131" si="459">IF(S130&lt;$F$148,CE73,0)</f>
        <v>0</v>
      </c>
      <c r="T131" s="71">
        <f t="shared" ref="T131" si="460">IF(T130&lt;$F$148,CF73,0)</f>
        <v>0</v>
      </c>
      <c r="U131" s="71">
        <f t="shared" ref="U131" si="461">IF(U130&lt;$F$148,CG73,0)</f>
        <v>0</v>
      </c>
      <c r="V131" s="71">
        <f t="shared" ref="V131" si="462">IF(V130&lt;$F$148,CH73,0)</f>
        <v>0</v>
      </c>
      <c r="W131" s="71">
        <f t="shared" ref="W131" si="463">IF(W130&lt;$F$148,CI73,0)</f>
        <v>0</v>
      </c>
      <c r="X131" s="71">
        <f t="shared" ref="X131" si="464">IF(X130&lt;$F$148,CJ73,0)</f>
        <v>0</v>
      </c>
      <c r="Y131" s="71">
        <f t="shared" ref="Y131" si="465">IF(Y130&lt;$F$148,CK73,0)</f>
        <v>0</v>
      </c>
      <c r="Z131" s="73">
        <f t="shared" ref="Z131" si="466">IF(Z130&lt;$F$148,CL73,0)</f>
        <v>0</v>
      </c>
      <c r="AA131" s="71">
        <f t="shared" ref="AA131" si="467">IF(AA130&lt;$F$148,CM73,0)</f>
        <v>0</v>
      </c>
      <c r="AB131" s="71">
        <f t="shared" ref="AB131" si="468">IF(AB130&lt;$F$148,CN73,0)</f>
        <v>0</v>
      </c>
      <c r="AC131" s="71">
        <f t="shared" ref="AC131" si="469">IF(AC130&lt;$F$148,CO73,0)</f>
        <v>0</v>
      </c>
      <c r="AD131" s="71">
        <f t="shared" ref="AD131" si="470">IF(AD130&lt;$F$148,CP73,0)</f>
        <v>0</v>
      </c>
      <c r="AE131" s="71">
        <f t="shared" ref="AE131" si="471">IF(AE130&lt;$F$148,CQ73,0)</f>
        <v>0</v>
      </c>
      <c r="AF131" s="71">
        <f t="shared" ref="AF131" si="472">IF(AF130&lt;$F$148,CR73,0)</f>
        <v>0</v>
      </c>
      <c r="AG131" s="71">
        <f t="shared" ref="AG131" si="473">IF(AG130&lt;$F$148,CS73,0)</f>
        <v>0</v>
      </c>
      <c r="AH131" s="71">
        <f t="shared" ref="AH131" si="474">IF(AH130&lt;$F$148,CT73,0)</f>
        <v>0</v>
      </c>
      <c r="AI131" s="71">
        <f t="shared" ref="AI131" si="475">IF(AI130&lt;$F$148,CU73,0)</f>
        <v>0</v>
      </c>
      <c r="AJ131" s="71">
        <f t="shared" ref="AJ131" si="476">IF(AJ130&lt;$F$148,CV73,0)</f>
        <v>0</v>
      </c>
      <c r="AK131" s="71">
        <f t="shared" ref="AK131" si="477">IF(AK130&lt;$F$148,CW73,0)</f>
        <v>0</v>
      </c>
      <c r="AL131" s="72">
        <f t="shared" ref="AL131" si="478">IF(AL130&lt;$F$148,CX73,0)</f>
        <v>0</v>
      </c>
      <c r="AM131" s="71">
        <f t="shared" ref="AM131" si="479">IF(AM130&lt;$F$148,CY73,0)</f>
        <v>0</v>
      </c>
      <c r="AN131" s="71">
        <f t="shared" ref="AN131" si="480">IF(AN130&lt;$F$148,CZ73,0)</f>
        <v>0</v>
      </c>
      <c r="AO131" s="71">
        <f t="shared" ref="AO131" si="481">IF(AO130&lt;$F$148,DA73,0)</f>
        <v>0</v>
      </c>
      <c r="AP131" s="71">
        <f t="shared" ref="AP131" si="482">IF(AP130&lt;$F$148,DB73,0)</f>
        <v>0</v>
      </c>
      <c r="AQ131" s="71">
        <f t="shared" ref="AQ131" si="483">IF(AQ130&lt;$F$148,DC73,0)</f>
        <v>0</v>
      </c>
      <c r="AR131" s="71">
        <f t="shared" ref="AR131" si="484">IF(AR130&lt;$F$148,DD73,0)</f>
        <v>0</v>
      </c>
      <c r="AS131" s="71">
        <f t="shared" ref="AS131" si="485">IF(AS130&lt;$F$148,DE73,0)</f>
        <v>0</v>
      </c>
      <c r="AT131" s="71">
        <f t="shared" ref="AT131" si="486">IF(AT130&lt;$F$148,DF73,0)</f>
        <v>0</v>
      </c>
      <c r="AU131" s="71">
        <f t="shared" ref="AU131" si="487">IF(AU130&lt;$F$148,DG73,0)</f>
        <v>0</v>
      </c>
      <c r="AV131" s="71">
        <f t="shared" ref="AV131" si="488">IF(AV130&lt;$F$148,DH73,0)</f>
        <v>0</v>
      </c>
      <c r="AW131" s="71">
        <f t="shared" ref="AW131" si="489">IF(AW130&lt;$F$148,DI73,0)</f>
        <v>0</v>
      </c>
      <c r="AX131" s="73">
        <f t="shared" ref="AX131" si="490">IF(AX130&lt;$F$148,DJ73,0)</f>
        <v>0</v>
      </c>
      <c r="AY131" s="71">
        <f t="shared" ref="AY131" si="491">IF(AY130&lt;$F$148,DK73,0)</f>
        <v>0</v>
      </c>
      <c r="AZ131" s="71">
        <f t="shared" ref="AZ131" si="492">IF(AZ130&lt;$F$148,DL73,0)</f>
        <v>0</v>
      </c>
      <c r="BA131" s="71">
        <f t="shared" ref="BA131" si="493">IF(BA130&lt;$F$148,DM73,0)</f>
        <v>0</v>
      </c>
      <c r="BB131" s="71">
        <f t="shared" ref="BB131" si="494">IF(BB130&lt;$F$148,DN73,0)</f>
        <v>0</v>
      </c>
      <c r="BC131" s="71">
        <f t="shared" ref="BC131" si="495">IF(BC130&lt;$F$148,DO73,0)</f>
        <v>0</v>
      </c>
      <c r="BD131" s="71">
        <f t="shared" ref="BD131" si="496">IF(BD130&lt;$F$148,DP73,0)</f>
        <v>0</v>
      </c>
      <c r="BE131" s="71">
        <f t="shared" ref="BE131" si="497">IF(BE130&lt;$F$148,DQ73,0)</f>
        <v>0</v>
      </c>
      <c r="BF131" s="71">
        <f t="shared" ref="BF131" si="498">IF(BF130&lt;$F$148,DR73,0)</f>
        <v>0</v>
      </c>
      <c r="BG131" s="71">
        <f t="shared" ref="BG131" si="499">IF(BG130&lt;$F$148,DS73,0)</f>
        <v>0</v>
      </c>
      <c r="BH131" s="71">
        <f t="shared" ref="BH131" si="500">IF(BH130&lt;$F$148,DT73,0)</f>
        <v>0</v>
      </c>
      <c r="BI131" s="71">
        <f t="shared" ref="BI131" si="501">IF(BI130&lt;$F$148,DU73,0)</f>
        <v>0</v>
      </c>
      <c r="BJ131" s="73">
        <f t="shared" ref="BJ131" si="502">IF(BJ130&lt;$F$148,DV73,0)</f>
        <v>0</v>
      </c>
      <c r="BL131" s="120"/>
    </row>
    <row r="132" spans="2:64" x14ac:dyDescent="0.25">
      <c r="B132" s="74" t="s">
        <v>18</v>
      </c>
      <c r="C132" s="71">
        <f t="shared" ref="C132" si="503">IF(C130&lt;$F$148,0,BO73)</f>
        <v>0</v>
      </c>
      <c r="D132" s="71">
        <f t="shared" ref="D132" si="504">IF(D130&lt;$F$148,0,BP73)</f>
        <v>0</v>
      </c>
      <c r="E132" s="71">
        <f t="shared" ref="E132" si="505">IF(E130&lt;$F$148,0,BQ73)</f>
        <v>0</v>
      </c>
      <c r="F132" s="71">
        <f t="shared" ref="F132" si="506">IF(F130&lt;$F$148,0,BR73)</f>
        <v>0</v>
      </c>
      <c r="G132" s="71">
        <f t="shared" ref="G132" si="507">IF(G130&lt;$F$148,0,BS73)</f>
        <v>0</v>
      </c>
      <c r="H132" s="71">
        <f t="shared" ref="H132" si="508">IF(H130&lt;$F$148,0,BT73)</f>
        <v>0</v>
      </c>
      <c r="I132" s="71">
        <f t="shared" ref="I132" si="509">IF(I130&lt;$F$148,0,BU73)</f>
        <v>0</v>
      </c>
      <c r="J132" s="71">
        <f t="shared" ref="J132" si="510">IF(J130&lt;$F$148,0,BV73)</f>
        <v>0</v>
      </c>
      <c r="K132" s="71">
        <f t="shared" ref="K132" si="511">IF(K130&lt;$F$148,0,BW73)</f>
        <v>0</v>
      </c>
      <c r="L132" s="71">
        <f t="shared" ref="L132" si="512">IF(L130&lt;$F$148,0,BX73)</f>
        <v>0</v>
      </c>
      <c r="M132" s="71">
        <f t="shared" ref="M132" si="513">IF(M130&lt;$F$148,0,BY73)</f>
        <v>0</v>
      </c>
      <c r="N132" s="72">
        <f t="shared" ref="N132" si="514">IF(N130&lt;$F$148,0,BZ73)</f>
        <v>-21374955.238405708</v>
      </c>
      <c r="O132" s="71">
        <f t="shared" ref="O132" si="515">IF(O130&lt;$F$148,0,CA73)</f>
        <v>-4962035.5636679856</v>
      </c>
      <c r="P132" s="71">
        <f t="shared" ref="P132" si="516">IF(P130&lt;$F$148,0,CB73)</f>
        <v>-2692503.1968442025</v>
      </c>
      <c r="Q132" s="71">
        <f t="shared" ref="Q132" si="517">IF(Q130&lt;$F$148,0,CC73)</f>
        <v>-3964856.4729441772</v>
      </c>
      <c r="R132" s="71">
        <f t="shared" ref="R132" si="518">IF(R130&lt;$F$148,0,CD73)</f>
        <v>686950.92029079492</v>
      </c>
      <c r="S132" s="71">
        <f t="shared" ref="S132" si="519">IF(S130&lt;$F$148,0,CE73)</f>
        <v>764682.08430048835</v>
      </c>
      <c r="T132" s="71">
        <f t="shared" ref="T132" si="520">IF(T130&lt;$F$148,0,CF73)</f>
        <v>1073713.0657681031</v>
      </c>
      <c r="U132" s="71">
        <f t="shared" ref="U132" si="521">IF(U130&lt;$F$148,0,CG73)</f>
        <v>413025.86965283169</v>
      </c>
      <c r="V132" s="71">
        <f t="shared" ref="V132" si="522">IF(V130&lt;$F$148,0,CH73)</f>
        <v>795590.66965283162</v>
      </c>
      <c r="W132" s="71">
        <f t="shared" ref="W132" si="523">IF(W130&lt;$F$148,0,CI73)</f>
        <v>399702.45450274018</v>
      </c>
      <c r="X132" s="71">
        <f t="shared" ref="X132" si="524">IF(X130&lt;$F$148,0,CJ73)</f>
        <v>19580.069652831517</v>
      </c>
      <c r="Y132" s="71">
        <f t="shared" ref="Y132" si="525">IF(Y130&lt;$F$148,0,CK73)</f>
        <v>-136859.54549726014</v>
      </c>
      <c r="Z132" s="73">
        <f t="shared" ref="Z132" si="526">IF(Z130&lt;$F$148,0,CL73)</f>
        <v>675555.23302728054</v>
      </c>
      <c r="AA132" s="71">
        <f t="shared" ref="AA132" si="527">IF(AA130&lt;$F$148,0,CM73)</f>
        <v>-346623.55105160759</v>
      </c>
      <c r="AB132" s="71">
        <f t="shared" ref="AB132" si="528">IF(AB130&lt;$F$148,0,CN73)</f>
        <v>-324260.74130634253</v>
      </c>
      <c r="AC132" s="71">
        <f t="shared" ref="AC132" si="529">IF(AC130&lt;$F$148,0,CO73)</f>
        <v>-346623.55105160759</v>
      </c>
      <c r="AD132" s="71">
        <f t="shared" ref="AD132" si="530">IF(AD130&lt;$F$148,0,CP73)</f>
        <v>-335442.146178975</v>
      </c>
      <c r="AE132" s="71">
        <f t="shared" ref="AE132" si="531">IF(AE130&lt;$F$148,0,CQ73)</f>
        <v>-346623.55105160759</v>
      </c>
      <c r="AF132" s="71">
        <f t="shared" ref="AF132" si="532">IF(AF130&lt;$F$148,0,CR73)</f>
        <v>-335442.146178975</v>
      </c>
      <c r="AG132" s="71">
        <f t="shared" ref="AG132" si="533">IF(AG130&lt;$F$148,0,CS73)</f>
        <v>-346623.55105160759</v>
      </c>
      <c r="AH132" s="71">
        <f t="shared" ref="AH132" si="534">IF(AH130&lt;$F$148,0,CT73)</f>
        <v>-346623.55105160759</v>
      </c>
      <c r="AI132" s="71">
        <f t="shared" ref="AI132" si="535">IF(AI130&lt;$F$148,0,CU73)</f>
        <v>-335442.146178975</v>
      </c>
      <c r="AJ132" s="71">
        <f t="shared" ref="AJ132" si="536">IF(AJ130&lt;$F$148,0,CV73)</f>
        <v>-346623.55105160759</v>
      </c>
      <c r="AK132" s="71">
        <f t="shared" ref="AK132" si="537">IF(AK130&lt;$F$148,0,CW73)</f>
        <v>-335442.146178975</v>
      </c>
      <c r="AL132" s="72">
        <f t="shared" ref="AL132" si="538">IF(AL130&lt;$F$148,0,CX73)</f>
        <v>-346623.55105160759</v>
      </c>
      <c r="AM132" s="71">
        <f t="shared" ref="AM132" si="539">IF(AM130&lt;$F$148,0,CY73)</f>
        <v>-484967.68422859581</v>
      </c>
      <c r="AN132" s="71">
        <f t="shared" ref="AN132" si="540">IF(AN130&lt;$F$148,0,CZ73)</f>
        <v>-438035.3276903443</v>
      </c>
      <c r="AO132" s="71">
        <f t="shared" ref="AO132" si="541">IF(AO130&lt;$F$148,0,DA73)</f>
        <v>-484967.68422859581</v>
      </c>
      <c r="AP132" s="71">
        <f t="shared" ref="AP132" si="542">IF(AP130&lt;$F$148,0,DB73)</f>
        <v>-469323.56538251182</v>
      </c>
      <c r="AQ132" s="71">
        <f t="shared" ref="AQ132" si="543">IF(AQ130&lt;$F$148,0,DC73)</f>
        <v>-484967.68422859581</v>
      </c>
      <c r="AR132" s="71">
        <f t="shared" ref="AR132" si="544">IF(AR130&lt;$F$148,0,DD73)</f>
        <v>-469323.56538251182</v>
      </c>
      <c r="AS132" s="71">
        <f t="shared" ref="AS132" si="545">IF(AS130&lt;$F$148,0,DE73)</f>
        <v>-484967.68422859581</v>
      </c>
      <c r="AT132" s="71">
        <f t="shared" ref="AT132" si="546">IF(AT130&lt;$F$148,0,DF73)</f>
        <v>-484967.68422859581</v>
      </c>
      <c r="AU132" s="71">
        <f t="shared" ref="AU132" si="547">IF(AU130&lt;$F$148,0,DG73)</f>
        <v>-469323.56538251182</v>
      </c>
      <c r="AV132" s="71">
        <f t="shared" ref="AV132" si="548">IF(AV130&lt;$F$148,0,DH73)</f>
        <v>-484967.68422859581</v>
      </c>
      <c r="AW132" s="71">
        <f t="shared" ref="AW132" si="549">IF(AW130&lt;$F$148,0,DI73)</f>
        <v>-469323.56538251182</v>
      </c>
      <c r="AX132" s="73">
        <f t="shared" ref="AX132" si="550">IF(AX130&lt;$F$148,0,DJ73)</f>
        <v>-484967.68422859581</v>
      </c>
      <c r="AY132" s="71">
        <f t="shared" ref="AY132" si="551">IF(AY130&lt;$F$148,0,DK73)</f>
        <v>0</v>
      </c>
      <c r="AZ132" s="71">
        <f t="shared" ref="AZ132" si="552">IF(AZ130&lt;$F$148,0,DL73)</f>
        <v>0</v>
      </c>
      <c r="BA132" s="71">
        <f t="shared" ref="BA132" si="553">IF(BA130&lt;$F$148,0,DM73)</f>
        <v>0</v>
      </c>
      <c r="BB132" s="71">
        <f t="shared" ref="BB132" si="554">IF(BB130&lt;$F$148,0,DN73)</f>
        <v>0</v>
      </c>
      <c r="BC132" s="71">
        <f t="shared" ref="BC132" si="555">IF(BC130&lt;$F$148,0,DO73)</f>
        <v>0</v>
      </c>
      <c r="BD132" s="71">
        <f t="shared" ref="BD132" si="556">IF(BD130&lt;$F$148,0,DP73)</f>
        <v>0</v>
      </c>
      <c r="BE132" s="71">
        <f t="shared" ref="BE132" si="557">IF(BE130&lt;$F$148,0,DQ73)</f>
        <v>0</v>
      </c>
      <c r="BF132" s="71">
        <f t="shared" ref="BF132" si="558">IF(BF130&lt;$F$148,0,DR73)</f>
        <v>0</v>
      </c>
      <c r="BG132" s="71">
        <f t="shared" ref="BG132" si="559">IF(BG130&lt;$F$148,0,DS73)</f>
        <v>0</v>
      </c>
      <c r="BH132" s="71">
        <f t="shared" ref="BH132" si="560">IF(BH130&lt;$F$148,0,DT73)</f>
        <v>0</v>
      </c>
      <c r="BI132" s="71">
        <f t="shared" ref="BI132" si="561">IF(BI130&lt;$F$148,0,DU73)</f>
        <v>0</v>
      </c>
      <c r="BJ132" s="73">
        <f t="shared" ref="BJ132" si="562">IF(BJ130&lt;$F$148,0,DV73)</f>
        <v>0</v>
      </c>
      <c r="BL132" s="120"/>
    </row>
    <row r="133" spans="2:64" x14ac:dyDescent="0.25">
      <c r="M133" s="1"/>
      <c r="O133" s="1"/>
      <c r="P133" s="1"/>
      <c r="Q133" s="1"/>
      <c r="R133" s="1"/>
      <c r="S133" s="1"/>
      <c r="T133" s="1"/>
      <c r="U133" s="1"/>
      <c r="V133" s="1"/>
      <c r="W133" s="1"/>
      <c r="AK133" s="1"/>
      <c r="AM133" s="1"/>
      <c r="AN133" s="1"/>
      <c r="AO133" s="1"/>
      <c r="AP133" s="1"/>
      <c r="AQ133" s="1"/>
      <c r="AR133" s="1"/>
      <c r="AS133" s="1"/>
      <c r="AT133" s="1"/>
      <c r="AU133" s="1"/>
      <c r="AY133" s="1"/>
      <c r="AZ133" s="1"/>
      <c r="BA133" s="1"/>
      <c r="BB133" s="1"/>
      <c r="BC133" s="1"/>
      <c r="BD133" s="1"/>
      <c r="BE133" s="1"/>
      <c r="BF133" s="1"/>
      <c r="BG133" s="1"/>
      <c r="BL133" s="120"/>
    </row>
    <row r="134" spans="2:64" x14ac:dyDescent="0.25">
      <c r="B134" s="77" t="s">
        <v>158</v>
      </c>
      <c r="C134" s="71">
        <f>IF(C130&lt;$F$148,0,SUMIFS('MtM Releases'!$P:$P,'MtM Releases'!$D:$D,C130))</f>
        <v>0</v>
      </c>
      <c r="D134" s="71">
        <f>IF(D130&lt;$F$148,0,SUMIFS('MtM Releases'!$P:$P,'MtM Releases'!$D:$D,D130))</f>
        <v>0</v>
      </c>
      <c r="E134" s="71">
        <f>IF(E130&lt;$F$148,0,SUMIFS('MtM Releases'!$P:$P,'MtM Releases'!$D:$D,E130))</f>
        <v>0</v>
      </c>
      <c r="F134" s="71">
        <f>IF(F130&lt;$F$148,0,SUMIFS('MtM Releases'!$P:$P,'MtM Releases'!$D:$D,F130))</f>
        <v>0</v>
      </c>
      <c r="G134" s="71">
        <f>IF(G130&lt;$F$148,0,SUMIFS('MtM Releases'!$P:$P,'MtM Releases'!$D:$D,G130))</f>
        <v>0</v>
      </c>
      <c r="H134" s="71">
        <f>IF(H130&lt;$F$148,0,SUMIFS('MtM Releases'!$P:$P,'MtM Releases'!$D:$D,H130))</f>
        <v>0</v>
      </c>
      <c r="I134" s="71">
        <f>IF(I130&lt;$F$148,0,SUMIFS('MtM Releases'!$P:$P,'MtM Releases'!$D:$D,I130))</f>
        <v>0</v>
      </c>
      <c r="J134" s="71">
        <f>IF(J130&lt;$F$148,0,SUMIFS('MtM Releases'!$P:$P,'MtM Releases'!$D:$D,J130))</f>
        <v>0</v>
      </c>
      <c r="K134" s="71">
        <f>IF(K130&lt;$F$148,0,SUMIFS('MtM Releases'!$P:$P,'MtM Releases'!$D:$D,K130))</f>
        <v>0</v>
      </c>
      <c r="L134" s="71">
        <f>IF(L130&lt;$F$148,0,SUMIFS('MtM Releases'!$P:$P,'MtM Releases'!$D:$D,L130))</f>
        <v>0</v>
      </c>
      <c r="M134" s="71">
        <f>IF(M130&lt;$F$148,0,SUMIFS('MtM Releases'!$P:$P,'MtM Releases'!$D:$D,M130))</f>
        <v>0</v>
      </c>
      <c r="N134" s="72">
        <f>IF(N130&lt;$F$148,0,SUMIFS('MtM Releases'!$P:$P,'MtM Releases'!$D:$D,N130))</f>
        <v>-21374955.238405712</v>
      </c>
      <c r="O134" s="71">
        <f>IF(O130&lt;$F$148,0,SUMIFS('MtM Releases'!$P:$P,'MtM Releases'!$D:$D,O130))</f>
        <v>-6005796.8836679859</v>
      </c>
      <c r="P134" s="71">
        <f>IF(P130&lt;$F$148,0,SUMIFS('MtM Releases'!$P:$P,'MtM Releases'!$D:$D,P130))</f>
        <v>-3667257.6768442029</v>
      </c>
      <c r="Q134" s="71">
        <f>IF(Q130&lt;$F$148,0,SUMIFS('MtM Releases'!$P:$P,'MtM Releases'!$D:$D,Q130))</f>
        <v>-5169451.9929441763</v>
      </c>
      <c r="R134" s="71">
        <f>IF(R130&lt;$F$148,0,SUMIFS('MtM Releases'!$P:$P,'MtM Releases'!$D:$D,R130))</f>
        <v>-87139.079709204845</v>
      </c>
      <c r="S134" s="71">
        <f>IF(S130&lt;$F$148,0,SUMIFS('MtM Releases'!$P:$P,'MtM Releases'!$D:$D,S130))</f>
        <v>308889.08430048812</v>
      </c>
      <c r="T134" s="71">
        <f>IF(T130&lt;$F$148,0,SUMIFS('MtM Releases'!$P:$P,'MtM Releases'!$D:$D,T130))</f>
        <v>1213518.4965457867</v>
      </c>
      <c r="U134" s="71">
        <f>IF(U130&lt;$F$148,0,SUMIFS('MtM Releases'!$P:$P,'MtM Releases'!$D:$D,U130))</f>
        <v>-35703.5611802489</v>
      </c>
      <c r="V134" s="71">
        <f>IF(V130&lt;$F$148,0,SUMIFS('MtM Releases'!$P:$P,'MtM Releases'!$D:$D,V130))</f>
        <v>504080.30947659694</v>
      </c>
      <c r="W134" s="71">
        <f>IF(W130&lt;$F$148,0,SUMIFS('MtM Releases'!$P:$P,'MtM Releases'!$D:$D,W130))</f>
        <v>-34551.833400241259</v>
      </c>
      <c r="X134" s="71">
        <f>IF(X130&lt;$F$148,0,SUMIFS('MtM Releases'!$P:$P,'MtM Releases'!$D:$D,X130))</f>
        <v>-543977.19127464644</v>
      </c>
      <c r="Y134" s="71">
        <f>IF(Y130&lt;$F$148,0,SUMIFS('MtM Releases'!$P:$P,'MtM Releases'!$D:$D,Y130))</f>
        <v>-788007.81765393517</v>
      </c>
      <c r="Z134" s="73">
        <f>IF(Z130&lt;$F$148,0,SUMIFS('MtM Releases'!$P:$P,'MtM Releases'!$D:$D,Z130))</f>
        <v>792894.13926971518</v>
      </c>
      <c r="AA134" s="71">
        <f>IF(AA130&lt;$F$148,0,SUMIFS('MtM Releases'!$P:$P,'MtM Releases'!$D:$D,AA130))</f>
        <v>-433908.5699765312</v>
      </c>
      <c r="AB134" s="71">
        <f>IF(AB130&lt;$F$148,0,SUMIFS('MtM Releases'!$P:$P,'MtM Releases'!$D:$D,AB130))</f>
        <v>-405914.46868772258</v>
      </c>
      <c r="AC134" s="71">
        <f>IF(AC130&lt;$F$148,0,SUMIFS('MtM Releases'!$P:$P,'MtM Releases'!$D:$D,AC130))</f>
        <v>-433908.5699765312</v>
      </c>
      <c r="AD134" s="71">
        <f>IF(AD130&lt;$F$148,0,SUMIFS('MtM Releases'!$P:$P,'MtM Releases'!$D:$D,AD130))</f>
        <v>-419911.51933212695</v>
      </c>
      <c r="AE134" s="71">
        <f>IF(AE130&lt;$F$148,0,SUMIFS('MtM Releases'!$P:$P,'MtM Releases'!$D:$D,AE130))</f>
        <v>-433908.5699765312</v>
      </c>
      <c r="AF134" s="71">
        <f>IF(AF130&lt;$F$148,0,SUMIFS('MtM Releases'!$P:$P,'MtM Releases'!$D:$D,AF130))</f>
        <v>-419911.51933212695</v>
      </c>
      <c r="AG134" s="71">
        <f>IF(AG130&lt;$F$148,0,SUMIFS('MtM Releases'!$P:$P,'MtM Releases'!$D:$D,AG130))</f>
        <v>-433908.5699765312</v>
      </c>
      <c r="AH134" s="71">
        <f>IF(AH130&lt;$F$148,0,SUMIFS('MtM Releases'!$P:$P,'MtM Releases'!$D:$D,AH130))</f>
        <v>-433908.5699765312</v>
      </c>
      <c r="AI134" s="71">
        <f>IF(AI130&lt;$F$148,0,SUMIFS('MtM Releases'!$P:$P,'MtM Releases'!$D:$D,AI130))</f>
        <v>-419911.51933212695</v>
      </c>
      <c r="AJ134" s="71">
        <f>IF(AJ130&lt;$F$148,0,SUMIFS('MtM Releases'!$P:$P,'MtM Releases'!$D:$D,AJ130))</f>
        <v>-433908.5699765312</v>
      </c>
      <c r="AK134" s="71">
        <f>IF(AK130&lt;$F$148,0,SUMIFS('MtM Releases'!$P:$P,'MtM Releases'!$D:$D,AK130))</f>
        <v>-419911.51933212695</v>
      </c>
      <c r="AL134" s="72">
        <f>IF(AL130&lt;$F$148,0,SUMIFS('MtM Releases'!$P:$P,'MtM Releases'!$D:$D,AL130))</f>
        <v>-433908.5699765312</v>
      </c>
      <c r="AM134" s="71">
        <f>IF(AM130&lt;$F$148,0,SUMIFS('MtM Releases'!$P:$P,'MtM Releases'!$D:$D,AM130))</f>
        <v>-484967.68422859581</v>
      </c>
      <c r="AN134" s="71">
        <f>IF(AN130&lt;$F$148,0,SUMIFS('MtM Releases'!$P:$P,'MtM Releases'!$D:$D,AN130))</f>
        <v>-438035.3276903443</v>
      </c>
      <c r="AO134" s="71">
        <f>IF(AO130&lt;$F$148,0,SUMIFS('MtM Releases'!$P:$P,'MtM Releases'!$D:$D,AO130))</f>
        <v>-484967.68422859581</v>
      </c>
      <c r="AP134" s="71">
        <f>IF(AP130&lt;$F$148,0,SUMIFS('MtM Releases'!$P:$P,'MtM Releases'!$D:$D,AP130))</f>
        <v>-469323.56538251182</v>
      </c>
      <c r="AQ134" s="71">
        <f>IF(AQ130&lt;$F$148,0,SUMIFS('MtM Releases'!$P:$P,'MtM Releases'!$D:$D,AQ130))</f>
        <v>-484967.68422859581</v>
      </c>
      <c r="AR134" s="71">
        <f>IF(AR130&lt;$F$148,0,SUMIFS('MtM Releases'!$P:$P,'MtM Releases'!$D:$D,AR130))</f>
        <v>-469323.56538251182</v>
      </c>
      <c r="AS134" s="71">
        <f>IF(AS130&lt;$F$148,0,SUMIFS('MtM Releases'!$P:$P,'MtM Releases'!$D:$D,AS130))</f>
        <v>-484967.68422859581</v>
      </c>
      <c r="AT134" s="71">
        <f>IF(AT130&lt;$F$148,0,SUMIFS('MtM Releases'!$P:$P,'MtM Releases'!$D:$D,AT130))</f>
        <v>-484967.68422859581</v>
      </c>
      <c r="AU134" s="71">
        <f>IF(AU130&lt;$F$148,0,SUMIFS('MtM Releases'!$P:$P,'MtM Releases'!$D:$D,AU130))</f>
        <v>-469323.56538251182</v>
      </c>
      <c r="AV134" s="71">
        <f>IF(AV130&lt;$F$148,0,SUMIFS('MtM Releases'!$P:$P,'MtM Releases'!$D:$D,AV130))</f>
        <v>-484967.68422859581</v>
      </c>
      <c r="AW134" s="71">
        <f>IF(AW130&lt;$F$148,0,SUMIFS('MtM Releases'!$P:$P,'MtM Releases'!$D:$D,AW130))</f>
        <v>-469323.56538251182</v>
      </c>
      <c r="AX134" s="73">
        <f>IF(AX130&lt;$F$148,0,SUMIFS('MtM Releases'!$P:$P,'MtM Releases'!$D:$D,AX130))</f>
        <v>-484967.68422859581</v>
      </c>
      <c r="AY134" s="71">
        <f>IF(AY130&lt;$F$148,0,SUMIFS('MtM Releases'!$P:$P,'MtM Releases'!$D:$D,AY130))</f>
        <v>0</v>
      </c>
      <c r="AZ134" s="71">
        <f>IF(AZ130&lt;$F$148,0,SUMIFS('MtM Releases'!$P:$P,'MtM Releases'!$D:$D,AZ130))</f>
        <v>0</v>
      </c>
      <c r="BA134" s="71">
        <f>IF(BA130&lt;$F$148,0,SUMIFS('MtM Releases'!$P:$P,'MtM Releases'!$D:$D,BA130))</f>
        <v>0</v>
      </c>
      <c r="BB134" s="71">
        <f>IF(BB130&lt;$F$148,0,SUMIFS('MtM Releases'!$P:$P,'MtM Releases'!$D:$D,BB130))</f>
        <v>0</v>
      </c>
      <c r="BC134" s="71">
        <f>IF(BC130&lt;$F$148,0,SUMIFS('MtM Releases'!$P:$P,'MtM Releases'!$D:$D,BC130))</f>
        <v>0</v>
      </c>
      <c r="BD134" s="71">
        <f>IF(BD130&lt;$F$148,0,SUMIFS('MtM Releases'!$P:$P,'MtM Releases'!$D:$D,BD130))</f>
        <v>0</v>
      </c>
      <c r="BE134" s="71">
        <f>IF(BE130&lt;$F$148,0,SUMIFS('MtM Releases'!$P:$P,'MtM Releases'!$D:$D,BE130))</f>
        <v>0</v>
      </c>
      <c r="BF134" s="71">
        <f>IF(BF130&lt;$F$148,0,SUMIFS('MtM Releases'!$P:$P,'MtM Releases'!$D:$D,BF130))</f>
        <v>0</v>
      </c>
      <c r="BG134" s="71">
        <f>IF(BG130&lt;$F$148,0,SUMIFS('MtM Releases'!$P:$P,'MtM Releases'!$D:$D,BG130))</f>
        <v>0</v>
      </c>
      <c r="BH134" s="71">
        <f>IF(BH130&lt;$F$148,0,SUMIFS('MtM Releases'!$P:$P,'MtM Releases'!$D:$D,BH130))</f>
        <v>0</v>
      </c>
      <c r="BI134" s="71">
        <f>IF(BI130&lt;$F$148,0,SUMIFS('MtM Releases'!$P:$P,'MtM Releases'!$D:$D,BI130))</f>
        <v>0</v>
      </c>
      <c r="BJ134" s="73">
        <f>IF(BJ130&lt;$F$148,0,SUMIFS('MtM Releases'!$P:$P,'MtM Releases'!$D:$D,BJ130))</f>
        <v>0</v>
      </c>
      <c r="BL134" s="120"/>
    </row>
    <row r="135" spans="2:64" x14ac:dyDescent="0.25">
      <c r="B135" s="77" t="s">
        <v>159</v>
      </c>
      <c r="C135" s="71">
        <f>IF(C130&lt;$F$148,0,SUMIFS('MtM Releases'!$S:$S,'MtM Releases'!$D:$D,C130))</f>
        <v>0</v>
      </c>
      <c r="D135" s="71">
        <f>IF(D130&lt;$F$148,0,SUMIFS('MtM Releases'!$S:$S,'MtM Releases'!$D:$D,D130))</f>
        <v>0</v>
      </c>
      <c r="E135" s="71">
        <f>IF(E130&lt;$F$148,0,SUMIFS('MtM Releases'!$S:$S,'MtM Releases'!$D:$D,E130))</f>
        <v>0</v>
      </c>
      <c r="F135" s="71">
        <f>IF(F130&lt;$F$148,0,SUMIFS('MtM Releases'!$S:$S,'MtM Releases'!$D:$D,F130))</f>
        <v>0</v>
      </c>
      <c r="G135" s="71">
        <f>IF(G130&lt;$F$148,0,SUMIFS('MtM Releases'!$S:$S,'MtM Releases'!$D:$D,G130))</f>
        <v>0</v>
      </c>
      <c r="H135" s="71">
        <f>IF(H130&lt;$F$148,0,SUMIFS('MtM Releases'!$S:$S,'MtM Releases'!$D:$D,H130))</f>
        <v>0</v>
      </c>
      <c r="I135" s="71">
        <f>IF(I130&lt;$F$148,0,SUMIFS('MtM Releases'!$S:$S,'MtM Releases'!$D:$D,I130))</f>
        <v>0</v>
      </c>
      <c r="J135" s="71">
        <f>IF(J130&lt;$F$148,0,SUMIFS('MtM Releases'!$S:$S,'MtM Releases'!$D:$D,J130))</f>
        <v>0</v>
      </c>
      <c r="K135" s="71">
        <f>IF(K130&lt;$F$148,0,SUMIFS('MtM Releases'!$S:$S,'MtM Releases'!$D:$D,K130))</f>
        <v>0</v>
      </c>
      <c r="L135" s="71">
        <f>IF(L130&lt;$F$148,0,SUMIFS('MtM Releases'!$S:$S,'MtM Releases'!$D:$D,L130))</f>
        <v>0</v>
      </c>
      <c r="M135" s="71">
        <f>IF(M130&lt;$F$148,0,SUMIFS('MtM Releases'!$S:$S,'MtM Releases'!$D:$D,M130))</f>
        <v>0</v>
      </c>
      <c r="N135" s="72">
        <f>IF(N130&lt;$F$148,0,SUMIFS('MtM Releases'!$S:$S,'MtM Releases'!$D:$D,N130))</f>
        <v>-18775187.402167898</v>
      </c>
      <c r="O135" s="71">
        <f>IF(O130&lt;$F$148,0,SUMIFS('MtM Releases'!$S:$S,'MtM Releases'!$D:$D,O130))</f>
        <v>-2758546.3305312353</v>
      </c>
      <c r="P135" s="71">
        <f>IF(P130&lt;$F$148,0,SUMIFS('MtM Releases'!$S:$S,'MtM Releases'!$D:$D,P130))</f>
        <v>-1024942.9513149261</v>
      </c>
      <c r="Q135" s="71">
        <f>IF(Q130&lt;$F$148,0,SUMIFS('MtM Releases'!$S:$S,'MtM Releases'!$D:$D,Q130))</f>
        <v>-2215250.707162803</v>
      </c>
      <c r="R135" s="71">
        <f>IF(R130&lt;$F$148,0,SUMIFS('MtM Releases'!$S:$S,'MtM Releases'!$D:$D,R130))</f>
        <v>1561618.19895134</v>
      </c>
      <c r="S135" s="71">
        <f>IF(S130&lt;$F$148,0,SUMIFS('MtM Releases'!$S:$S,'MtM Releases'!$D:$D,S130))</f>
        <v>1268358.7991575543</v>
      </c>
      <c r="T135" s="71">
        <f>IF(T130&lt;$F$148,0,SUMIFS('MtM Releases'!$S:$S,'MtM Releases'!$D:$D,T130))</f>
        <v>933907.63499041973</v>
      </c>
      <c r="U135" s="71">
        <f>IF(U130&lt;$F$148,0,SUMIFS('MtM Releases'!$S:$S,'MtM Releases'!$D:$D,U130))</f>
        <v>861755.30048591224</v>
      </c>
      <c r="V135" s="71">
        <f>IF(V130&lt;$F$148,0,SUMIFS('MtM Releases'!$S:$S,'MtM Releases'!$D:$D,V130))</f>
        <v>1087101.0298290662</v>
      </c>
      <c r="W135" s="71">
        <f>IF(W130&lt;$F$148,0,SUMIFS('MtM Releases'!$S:$S,'MtM Releases'!$D:$D,W130))</f>
        <v>833956.74240572192</v>
      </c>
      <c r="X135" s="71">
        <f>IF(X130&lt;$F$148,0,SUMIFS('MtM Releases'!$S:$S,'MtM Releases'!$D:$D,X130))</f>
        <v>583137.3305803088</v>
      </c>
      <c r="Y135" s="71">
        <f>IF(Y130&lt;$F$148,0,SUMIFS('MtM Releases'!$S:$S,'MtM Releases'!$D:$D,Y130))</f>
        <v>514288.72665941471</v>
      </c>
      <c r="Z135" s="73">
        <f>IF(Z130&lt;$F$148,0,SUMIFS('MtM Releases'!$S:$S,'MtM Releases'!$D:$D,Z130))</f>
        <v>558216.32678484556</v>
      </c>
      <c r="AA135" s="71">
        <f>IF(AA130&lt;$F$148,0,SUMIFS('MtM Releases'!$S:$S,'MtM Releases'!$D:$D,AA130))</f>
        <v>-259338.53212668397</v>
      </c>
      <c r="AB135" s="71">
        <f>IF(AB130&lt;$F$148,0,SUMIFS('MtM Releases'!$S:$S,'MtM Releases'!$D:$D,AB130))</f>
        <v>-242607.01392496238</v>
      </c>
      <c r="AC135" s="71">
        <f>IF(AC130&lt;$F$148,0,SUMIFS('MtM Releases'!$S:$S,'MtM Releases'!$D:$D,AC130))</f>
        <v>-259338.53212668397</v>
      </c>
      <c r="AD135" s="71">
        <f>IF(AD130&lt;$F$148,0,SUMIFS('MtM Releases'!$S:$S,'MtM Releases'!$D:$D,AD130))</f>
        <v>-250972.77302582329</v>
      </c>
      <c r="AE135" s="71">
        <f>IF(AE130&lt;$F$148,0,SUMIFS('MtM Releases'!$S:$S,'MtM Releases'!$D:$D,AE130))</f>
        <v>-259338.53212668397</v>
      </c>
      <c r="AF135" s="71">
        <f>IF(AF130&lt;$F$148,0,SUMIFS('MtM Releases'!$S:$S,'MtM Releases'!$D:$D,AF130))</f>
        <v>-250972.77302582329</v>
      </c>
      <c r="AG135" s="71">
        <f>IF(AG130&lt;$F$148,0,SUMIFS('MtM Releases'!$S:$S,'MtM Releases'!$D:$D,AG130))</f>
        <v>-259338.53212668397</v>
      </c>
      <c r="AH135" s="71">
        <f>IF(AH130&lt;$F$148,0,SUMIFS('MtM Releases'!$S:$S,'MtM Releases'!$D:$D,AH130))</f>
        <v>-259338.53212668397</v>
      </c>
      <c r="AI135" s="71">
        <f>IF(AI130&lt;$F$148,0,SUMIFS('MtM Releases'!$S:$S,'MtM Releases'!$D:$D,AI130))</f>
        <v>-250972.77302582329</v>
      </c>
      <c r="AJ135" s="71">
        <f>IF(AJ130&lt;$F$148,0,SUMIFS('MtM Releases'!$S:$S,'MtM Releases'!$D:$D,AJ130))</f>
        <v>-259338.53212668397</v>
      </c>
      <c r="AK135" s="71">
        <f>IF(AK130&lt;$F$148,0,SUMIFS('MtM Releases'!$S:$S,'MtM Releases'!$D:$D,AK130))</f>
        <v>-250972.77302582329</v>
      </c>
      <c r="AL135" s="72">
        <f>IF(AL130&lt;$F$148,0,SUMIFS('MtM Releases'!$S:$S,'MtM Releases'!$D:$D,AL130))</f>
        <v>-259338.53212668397</v>
      </c>
      <c r="AM135" s="71">
        <f>IF(AM130&lt;$F$148,0,SUMIFS('MtM Releases'!$S:$S,'MtM Releases'!$D:$D,AM130))</f>
        <v>-484967.68422859581</v>
      </c>
      <c r="AN135" s="71">
        <f>IF(AN130&lt;$F$148,0,SUMIFS('MtM Releases'!$S:$S,'MtM Releases'!$D:$D,AN130))</f>
        <v>-438035.3276903443</v>
      </c>
      <c r="AO135" s="71">
        <f>IF(AO130&lt;$F$148,0,SUMIFS('MtM Releases'!$S:$S,'MtM Releases'!$D:$D,AO130))</f>
        <v>-484967.68422859581</v>
      </c>
      <c r="AP135" s="71">
        <f>IF(AP130&lt;$F$148,0,SUMIFS('MtM Releases'!$S:$S,'MtM Releases'!$D:$D,AP130))</f>
        <v>-469323.56538251182</v>
      </c>
      <c r="AQ135" s="71">
        <f>IF(AQ130&lt;$F$148,0,SUMIFS('MtM Releases'!$S:$S,'MtM Releases'!$D:$D,AQ130))</f>
        <v>-484967.68422859581</v>
      </c>
      <c r="AR135" s="71">
        <f>IF(AR130&lt;$F$148,0,SUMIFS('MtM Releases'!$S:$S,'MtM Releases'!$D:$D,AR130))</f>
        <v>-469323.56538251182</v>
      </c>
      <c r="AS135" s="71">
        <f>IF(AS130&lt;$F$148,0,SUMIFS('MtM Releases'!$S:$S,'MtM Releases'!$D:$D,AS130))</f>
        <v>-484967.68422859581</v>
      </c>
      <c r="AT135" s="71">
        <f>IF(AT130&lt;$F$148,0,SUMIFS('MtM Releases'!$S:$S,'MtM Releases'!$D:$D,AT130))</f>
        <v>-484967.68422859581</v>
      </c>
      <c r="AU135" s="71">
        <f>IF(AU130&lt;$F$148,0,SUMIFS('MtM Releases'!$S:$S,'MtM Releases'!$D:$D,AU130))</f>
        <v>-469323.56538251182</v>
      </c>
      <c r="AV135" s="71">
        <f>IF(AV130&lt;$F$148,0,SUMIFS('MtM Releases'!$S:$S,'MtM Releases'!$D:$D,AV130))</f>
        <v>-484967.68422859581</v>
      </c>
      <c r="AW135" s="71">
        <f>IF(AW130&lt;$F$148,0,SUMIFS('MtM Releases'!$S:$S,'MtM Releases'!$D:$D,AW130))</f>
        <v>-469323.56538251182</v>
      </c>
      <c r="AX135" s="73">
        <f>IF(AX130&lt;$F$148,0,SUMIFS('MtM Releases'!$S:$S,'MtM Releases'!$D:$D,AX130))</f>
        <v>-484967.68422859581</v>
      </c>
      <c r="AY135" s="71">
        <f>IF(AY130&lt;$F$148,0,SUMIFS('MtM Releases'!$S:$S,'MtM Releases'!$D:$D,AY130))</f>
        <v>0</v>
      </c>
      <c r="AZ135" s="71">
        <f>IF(AZ130&lt;$F$148,0,SUMIFS('MtM Releases'!$S:$S,'MtM Releases'!$D:$D,AZ130))</f>
        <v>0</v>
      </c>
      <c r="BA135" s="71">
        <f>IF(BA130&lt;$F$148,0,SUMIFS('MtM Releases'!$S:$S,'MtM Releases'!$D:$D,BA130))</f>
        <v>0</v>
      </c>
      <c r="BB135" s="71">
        <f>IF(BB130&lt;$F$148,0,SUMIFS('MtM Releases'!$S:$S,'MtM Releases'!$D:$D,BB130))</f>
        <v>0</v>
      </c>
      <c r="BC135" s="71">
        <f>IF(BC130&lt;$F$148,0,SUMIFS('MtM Releases'!$S:$S,'MtM Releases'!$D:$D,BC130))</f>
        <v>0</v>
      </c>
      <c r="BD135" s="71">
        <f>IF(BD130&lt;$F$148,0,SUMIFS('MtM Releases'!$S:$S,'MtM Releases'!$D:$D,BD130))</f>
        <v>0</v>
      </c>
      <c r="BE135" s="71">
        <f>IF(BE130&lt;$F$148,0,SUMIFS('MtM Releases'!$S:$S,'MtM Releases'!$D:$D,BE130))</f>
        <v>0</v>
      </c>
      <c r="BF135" s="71">
        <f>IF(BF130&lt;$F$148,0,SUMIFS('MtM Releases'!$S:$S,'MtM Releases'!$D:$D,BF130))</f>
        <v>0</v>
      </c>
      <c r="BG135" s="71">
        <f>IF(BG130&lt;$F$148,0,SUMIFS('MtM Releases'!$S:$S,'MtM Releases'!$D:$D,BG130))</f>
        <v>0</v>
      </c>
      <c r="BH135" s="71">
        <f>IF(BH130&lt;$F$148,0,SUMIFS('MtM Releases'!$S:$S,'MtM Releases'!$D:$D,BH130))</f>
        <v>0</v>
      </c>
      <c r="BI135" s="71">
        <f>IF(BI130&lt;$F$148,0,SUMIFS('MtM Releases'!$S:$S,'MtM Releases'!$D:$D,BI130))</f>
        <v>0</v>
      </c>
      <c r="BJ135" s="73">
        <f>IF(BJ130&lt;$F$148,0,SUMIFS('MtM Releases'!$S:$S,'MtM Releases'!$D:$D,BJ130))</f>
        <v>0</v>
      </c>
      <c r="BL135" s="120"/>
    </row>
    <row r="136" spans="2:64" x14ac:dyDescent="0.25">
      <c r="BL136" s="120"/>
    </row>
    <row r="137" spans="2:64" x14ac:dyDescent="0.25">
      <c r="B137" s="780" t="s">
        <v>152</v>
      </c>
      <c r="C137" s="780"/>
      <c r="D137" s="780"/>
      <c r="E137" s="780"/>
      <c r="F137" s="780"/>
      <c r="G137" s="780"/>
      <c r="H137" s="780"/>
      <c r="I137" s="780"/>
      <c r="J137" s="780"/>
      <c r="K137" s="780"/>
      <c r="L137" s="780"/>
      <c r="M137" s="780"/>
      <c r="N137" s="780"/>
      <c r="O137" s="780"/>
      <c r="P137" s="780"/>
      <c r="Q137" s="780"/>
      <c r="R137" s="780"/>
      <c r="S137" s="780"/>
      <c r="T137" s="780"/>
      <c r="U137" s="780"/>
      <c r="V137" s="780"/>
      <c r="W137" s="780"/>
      <c r="X137" s="780"/>
      <c r="Y137" s="780"/>
      <c r="Z137" s="780"/>
      <c r="AA137" s="780"/>
      <c r="AB137" s="780"/>
      <c r="AC137" s="780"/>
      <c r="AD137" s="780"/>
      <c r="AE137" s="780"/>
      <c r="AF137" s="780"/>
      <c r="AG137" s="780"/>
      <c r="AH137" s="780"/>
      <c r="AI137" s="780"/>
      <c r="AJ137" s="780"/>
      <c r="AK137" s="780"/>
      <c r="AL137" s="780"/>
      <c r="AM137" s="780"/>
      <c r="AN137" s="780"/>
      <c r="AO137" s="780"/>
      <c r="AP137" s="780"/>
      <c r="AQ137" s="780"/>
      <c r="AR137" s="780"/>
      <c r="AS137" s="780"/>
      <c r="AT137" s="780"/>
      <c r="AU137" s="780"/>
      <c r="AV137" s="780"/>
      <c r="AW137" s="780"/>
      <c r="AX137" s="780"/>
      <c r="AY137" s="780"/>
      <c r="AZ137" s="780"/>
      <c r="BA137" s="780"/>
      <c r="BB137" s="780"/>
      <c r="BC137" s="780"/>
      <c r="BD137" s="780"/>
      <c r="BE137" s="780"/>
      <c r="BF137" s="780"/>
      <c r="BG137" s="780"/>
      <c r="BH137" s="780"/>
      <c r="BI137" s="780"/>
      <c r="BJ137" s="780"/>
      <c r="BL137" s="120"/>
    </row>
    <row r="138" spans="2:64" x14ac:dyDescent="0.25">
      <c r="BL138" s="120"/>
    </row>
    <row r="139" spans="2:64" ht="15.75" thickBot="1" x14ac:dyDescent="0.3">
      <c r="B139" s="59" t="s">
        <v>144</v>
      </c>
      <c r="C139" s="80">
        <f>C3</f>
        <v>44562</v>
      </c>
      <c r="D139" s="55">
        <f t="shared" ref="D139:BJ139" si="563">D3</f>
        <v>44593</v>
      </c>
      <c r="E139" s="55">
        <f t="shared" si="563"/>
        <v>44621</v>
      </c>
      <c r="F139" s="55">
        <f t="shared" si="563"/>
        <v>44652</v>
      </c>
      <c r="G139" s="55">
        <f t="shared" si="563"/>
        <v>44682</v>
      </c>
      <c r="H139" s="55">
        <f t="shared" si="563"/>
        <v>44713</v>
      </c>
      <c r="I139" s="55">
        <f t="shared" si="563"/>
        <v>44743</v>
      </c>
      <c r="J139" s="55">
        <f t="shared" si="563"/>
        <v>44774</v>
      </c>
      <c r="K139" s="55">
        <f t="shared" si="563"/>
        <v>44805</v>
      </c>
      <c r="L139" s="55">
        <f t="shared" si="563"/>
        <v>44835</v>
      </c>
      <c r="M139" s="55">
        <f t="shared" si="563"/>
        <v>44866</v>
      </c>
      <c r="N139" s="58">
        <f t="shared" si="563"/>
        <v>44896</v>
      </c>
      <c r="O139" s="55">
        <f t="shared" si="563"/>
        <v>44927</v>
      </c>
      <c r="P139" s="55">
        <f t="shared" si="563"/>
        <v>44958</v>
      </c>
      <c r="Q139" s="55">
        <f t="shared" si="563"/>
        <v>44986</v>
      </c>
      <c r="R139" s="55">
        <f t="shared" si="563"/>
        <v>45017</v>
      </c>
      <c r="S139" s="55">
        <f t="shared" si="563"/>
        <v>45047</v>
      </c>
      <c r="T139" s="55">
        <f t="shared" si="563"/>
        <v>45078</v>
      </c>
      <c r="U139" s="55">
        <f t="shared" si="563"/>
        <v>45108</v>
      </c>
      <c r="V139" s="55">
        <f t="shared" si="563"/>
        <v>45139</v>
      </c>
      <c r="W139" s="55">
        <f t="shared" si="563"/>
        <v>45170</v>
      </c>
      <c r="X139" s="55">
        <f t="shared" si="563"/>
        <v>45200</v>
      </c>
      <c r="Y139" s="55">
        <f t="shared" si="563"/>
        <v>45231</v>
      </c>
      <c r="Z139" s="58">
        <f t="shared" si="563"/>
        <v>45261</v>
      </c>
      <c r="AA139" s="80">
        <f t="shared" si="563"/>
        <v>45292</v>
      </c>
      <c r="AB139" s="55">
        <f t="shared" si="563"/>
        <v>45323</v>
      </c>
      <c r="AC139" s="55">
        <f t="shared" si="563"/>
        <v>45352</v>
      </c>
      <c r="AD139" s="55">
        <f t="shared" si="563"/>
        <v>45383</v>
      </c>
      <c r="AE139" s="55">
        <f t="shared" si="563"/>
        <v>45413</v>
      </c>
      <c r="AF139" s="55">
        <f t="shared" si="563"/>
        <v>45444</v>
      </c>
      <c r="AG139" s="55">
        <f t="shared" si="563"/>
        <v>45474</v>
      </c>
      <c r="AH139" s="55">
        <f t="shared" si="563"/>
        <v>45505</v>
      </c>
      <c r="AI139" s="55">
        <f t="shared" si="563"/>
        <v>45536</v>
      </c>
      <c r="AJ139" s="55">
        <f t="shared" si="563"/>
        <v>45566</v>
      </c>
      <c r="AK139" s="55">
        <f t="shared" si="563"/>
        <v>45597</v>
      </c>
      <c r="AL139" s="58">
        <f t="shared" si="563"/>
        <v>45627</v>
      </c>
      <c r="AM139" s="55">
        <f t="shared" si="563"/>
        <v>45658</v>
      </c>
      <c r="AN139" s="55">
        <f t="shared" si="563"/>
        <v>45689</v>
      </c>
      <c r="AO139" s="55">
        <f t="shared" si="563"/>
        <v>45717</v>
      </c>
      <c r="AP139" s="55">
        <f t="shared" si="563"/>
        <v>45748</v>
      </c>
      <c r="AQ139" s="55">
        <f t="shared" si="563"/>
        <v>45778</v>
      </c>
      <c r="AR139" s="55">
        <f t="shared" si="563"/>
        <v>45809</v>
      </c>
      <c r="AS139" s="55">
        <f t="shared" si="563"/>
        <v>45839</v>
      </c>
      <c r="AT139" s="55">
        <f t="shared" si="563"/>
        <v>45870</v>
      </c>
      <c r="AU139" s="55">
        <f t="shared" si="563"/>
        <v>45901</v>
      </c>
      <c r="AV139" s="55">
        <f t="shared" si="563"/>
        <v>45931</v>
      </c>
      <c r="AW139" s="55">
        <f t="shared" si="563"/>
        <v>45962</v>
      </c>
      <c r="AX139" s="58">
        <f t="shared" si="563"/>
        <v>45992</v>
      </c>
      <c r="AY139" s="55">
        <f t="shared" si="563"/>
        <v>46023</v>
      </c>
      <c r="AZ139" s="55">
        <f t="shared" si="563"/>
        <v>46054</v>
      </c>
      <c r="BA139" s="55">
        <f t="shared" si="563"/>
        <v>46082</v>
      </c>
      <c r="BB139" s="55">
        <f t="shared" si="563"/>
        <v>46113</v>
      </c>
      <c r="BC139" s="55">
        <f t="shared" si="563"/>
        <v>46143</v>
      </c>
      <c r="BD139" s="55">
        <f t="shared" si="563"/>
        <v>46174</v>
      </c>
      <c r="BE139" s="55">
        <f t="shared" si="563"/>
        <v>46204</v>
      </c>
      <c r="BF139" s="55">
        <f t="shared" si="563"/>
        <v>46235</v>
      </c>
      <c r="BG139" s="55">
        <f t="shared" si="563"/>
        <v>46266</v>
      </c>
      <c r="BH139" s="55">
        <f t="shared" si="563"/>
        <v>46296</v>
      </c>
      <c r="BI139" s="55">
        <f t="shared" si="563"/>
        <v>46327</v>
      </c>
      <c r="BJ139" s="58">
        <f t="shared" si="563"/>
        <v>46357</v>
      </c>
      <c r="BL139" s="120"/>
    </row>
    <row r="140" spans="2:64" ht="15.75" thickTop="1" x14ac:dyDescent="0.25">
      <c r="B140" s="74" t="s">
        <v>153</v>
      </c>
      <c r="C140" s="71">
        <f>C131+C122</f>
        <v>-650124.51976336911</v>
      </c>
      <c r="D140" s="71">
        <f t="shared" ref="D140:BJ140" si="564">D131+D122</f>
        <v>-719402.06016046368</v>
      </c>
      <c r="E140" s="71">
        <f t="shared" si="564"/>
        <v>-800201.44696336985</v>
      </c>
      <c r="F140" s="71">
        <f t="shared" si="564"/>
        <v>-373327.76286057383</v>
      </c>
      <c r="G140" s="71">
        <f t="shared" si="564"/>
        <v>-448417.00662259199</v>
      </c>
      <c r="H140" s="71">
        <f t="shared" si="564"/>
        <v>-709193.1468605753</v>
      </c>
      <c r="I140" s="71">
        <f t="shared" si="564"/>
        <v>-22760.768222596496</v>
      </c>
      <c r="J140" s="71">
        <f t="shared" si="564"/>
        <v>-408288.62262259051</v>
      </c>
      <c r="K140" s="71">
        <f t="shared" si="564"/>
        <v>187999.16147222556</v>
      </c>
      <c r="L140" s="71">
        <f t="shared" si="564"/>
        <v>1056979.3686286062</v>
      </c>
      <c r="M140" s="71">
        <f t="shared" si="564"/>
        <v>1172922.6371394247</v>
      </c>
      <c r="N140" s="72">
        <f t="shared" si="564"/>
        <v>0</v>
      </c>
      <c r="O140" s="71">
        <f t="shared" si="564"/>
        <v>0</v>
      </c>
      <c r="P140" s="71">
        <f t="shared" si="564"/>
        <v>0</v>
      </c>
      <c r="Q140" s="71">
        <f t="shared" si="564"/>
        <v>0</v>
      </c>
      <c r="R140" s="71">
        <f t="shared" si="564"/>
        <v>0</v>
      </c>
      <c r="S140" s="71">
        <f t="shared" si="564"/>
        <v>0</v>
      </c>
      <c r="T140" s="71">
        <f t="shared" si="564"/>
        <v>0</v>
      </c>
      <c r="U140" s="71">
        <f t="shared" si="564"/>
        <v>0</v>
      </c>
      <c r="V140" s="71">
        <f t="shared" si="564"/>
        <v>0</v>
      </c>
      <c r="W140" s="71">
        <f t="shared" si="564"/>
        <v>0</v>
      </c>
      <c r="X140" s="71">
        <f t="shared" si="564"/>
        <v>0</v>
      </c>
      <c r="Y140" s="71">
        <f t="shared" si="564"/>
        <v>0</v>
      </c>
      <c r="Z140" s="73">
        <f t="shared" si="564"/>
        <v>0</v>
      </c>
      <c r="AA140" s="71">
        <f t="shared" si="564"/>
        <v>0</v>
      </c>
      <c r="AB140" s="71">
        <f t="shared" si="564"/>
        <v>0</v>
      </c>
      <c r="AC140" s="71">
        <f t="shared" si="564"/>
        <v>0</v>
      </c>
      <c r="AD140" s="71">
        <f t="shared" si="564"/>
        <v>0</v>
      </c>
      <c r="AE140" s="71">
        <f t="shared" si="564"/>
        <v>0</v>
      </c>
      <c r="AF140" s="71">
        <f t="shared" si="564"/>
        <v>0</v>
      </c>
      <c r="AG140" s="71">
        <f t="shared" si="564"/>
        <v>0</v>
      </c>
      <c r="AH140" s="71">
        <f t="shared" si="564"/>
        <v>0</v>
      </c>
      <c r="AI140" s="71">
        <f t="shared" si="564"/>
        <v>0</v>
      </c>
      <c r="AJ140" s="71">
        <f t="shared" si="564"/>
        <v>0</v>
      </c>
      <c r="AK140" s="71">
        <f t="shared" si="564"/>
        <v>0</v>
      </c>
      <c r="AL140" s="72">
        <f t="shared" si="564"/>
        <v>0</v>
      </c>
      <c r="AM140" s="71">
        <f t="shared" si="564"/>
        <v>0</v>
      </c>
      <c r="AN140" s="71">
        <f t="shared" si="564"/>
        <v>0</v>
      </c>
      <c r="AO140" s="71">
        <f t="shared" si="564"/>
        <v>0</v>
      </c>
      <c r="AP140" s="71">
        <f t="shared" si="564"/>
        <v>0</v>
      </c>
      <c r="AQ140" s="71">
        <f t="shared" si="564"/>
        <v>0</v>
      </c>
      <c r="AR140" s="71">
        <f t="shared" si="564"/>
        <v>0</v>
      </c>
      <c r="AS140" s="71">
        <f t="shared" si="564"/>
        <v>0</v>
      </c>
      <c r="AT140" s="71">
        <f t="shared" si="564"/>
        <v>0</v>
      </c>
      <c r="AU140" s="71">
        <f t="shared" si="564"/>
        <v>0</v>
      </c>
      <c r="AV140" s="71">
        <f t="shared" si="564"/>
        <v>0</v>
      </c>
      <c r="AW140" s="71">
        <f t="shared" si="564"/>
        <v>0</v>
      </c>
      <c r="AX140" s="73">
        <f t="shared" si="564"/>
        <v>0</v>
      </c>
      <c r="AY140" s="71">
        <f t="shared" si="564"/>
        <v>0</v>
      </c>
      <c r="AZ140" s="71">
        <f t="shared" si="564"/>
        <v>0</v>
      </c>
      <c r="BA140" s="71">
        <f t="shared" si="564"/>
        <v>0</v>
      </c>
      <c r="BB140" s="71">
        <f t="shared" si="564"/>
        <v>0</v>
      </c>
      <c r="BC140" s="71">
        <f t="shared" si="564"/>
        <v>0</v>
      </c>
      <c r="BD140" s="71">
        <f t="shared" si="564"/>
        <v>0</v>
      </c>
      <c r="BE140" s="71">
        <f t="shared" si="564"/>
        <v>0</v>
      </c>
      <c r="BF140" s="71">
        <f t="shared" si="564"/>
        <v>0</v>
      </c>
      <c r="BG140" s="71">
        <f t="shared" si="564"/>
        <v>0</v>
      </c>
      <c r="BH140" s="71">
        <f t="shared" si="564"/>
        <v>0</v>
      </c>
      <c r="BI140" s="71">
        <f t="shared" si="564"/>
        <v>0</v>
      </c>
      <c r="BJ140" s="73">
        <f t="shared" si="564"/>
        <v>0</v>
      </c>
      <c r="BL140" s="120"/>
    </row>
    <row r="141" spans="2:64" x14ac:dyDescent="0.25">
      <c r="B141" s="74" t="s">
        <v>18</v>
      </c>
      <c r="C141" s="71">
        <f>C132+C123</f>
        <v>0</v>
      </c>
      <c r="D141" s="71">
        <f t="shared" ref="D141:BJ141" si="565">D132+D123</f>
        <v>0</v>
      </c>
      <c r="E141" s="71">
        <f t="shared" si="565"/>
        <v>0</v>
      </c>
      <c r="F141" s="71">
        <f t="shared" si="565"/>
        <v>0</v>
      </c>
      <c r="G141" s="71">
        <f t="shared" si="565"/>
        <v>0</v>
      </c>
      <c r="H141" s="71">
        <f t="shared" si="565"/>
        <v>0</v>
      </c>
      <c r="I141" s="71">
        <f t="shared" si="565"/>
        <v>0</v>
      </c>
      <c r="J141" s="71">
        <f t="shared" si="565"/>
        <v>0</v>
      </c>
      <c r="K141" s="71">
        <f t="shared" si="565"/>
        <v>0</v>
      </c>
      <c r="L141" s="71">
        <f t="shared" si="565"/>
        <v>0</v>
      </c>
      <c r="M141" s="71">
        <f t="shared" si="565"/>
        <v>0</v>
      </c>
      <c r="N141" s="72">
        <f t="shared" si="565"/>
        <v>-448119.40662258863</v>
      </c>
      <c r="O141" s="71">
        <f t="shared" si="565"/>
        <v>355304.59607427847</v>
      </c>
      <c r="P141" s="71">
        <f t="shared" si="565"/>
        <v>-145377.95197369438</v>
      </c>
      <c r="Q141" s="71">
        <f t="shared" si="565"/>
        <v>-175189.36112613464</v>
      </c>
      <c r="R141" s="71">
        <f t="shared" si="565"/>
        <v>590430.1029331364</v>
      </c>
      <c r="S141" s="71">
        <f t="shared" si="565"/>
        <v>997399.75379342819</v>
      </c>
      <c r="T141" s="71">
        <f t="shared" si="565"/>
        <v>279181.31607952958</v>
      </c>
      <c r="U141" s="71">
        <f t="shared" si="565"/>
        <v>1014268.3035782826</v>
      </c>
      <c r="V141" s="71">
        <f t="shared" si="565"/>
        <v>918106.30357828271</v>
      </c>
      <c r="W141" s="71">
        <f t="shared" si="565"/>
        <v>888489.9712047897</v>
      </c>
      <c r="X141" s="71">
        <f t="shared" si="565"/>
        <v>580386.10357828275</v>
      </c>
      <c r="Y141" s="71">
        <f t="shared" si="565"/>
        <v>561663.97120478982</v>
      </c>
      <c r="Z141" s="73">
        <f t="shared" si="565"/>
        <v>580386.10357828252</v>
      </c>
      <c r="AA141" s="71">
        <f t="shared" si="565"/>
        <v>749924.92987032747</v>
      </c>
      <c r="AB141" s="71">
        <f t="shared" si="565"/>
        <v>701542.67633030645</v>
      </c>
      <c r="AC141" s="71">
        <f t="shared" si="565"/>
        <v>749924.92987032747</v>
      </c>
      <c r="AD141" s="71">
        <f t="shared" si="565"/>
        <v>725733.80310031725</v>
      </c>
      <c r="AE141" s="71">
        <f t="shared" si="565"/>
        <v>749924.92987032747</v>
      </c>
      <c r="AF141" s="71">
        <f t="shared" si="565"/>
        <v>725733.80310031725</v>
      </c>
      <c r="AG141" s="71">
        <f t="shared" si="565"/>
        <v>749924.92987032747</v>
      </c>
      <c r="AH141" s="71">
        <f t="shared" si="565"/>
        <v>749924.92987032747</v>
      </c>
      <c r="AI141" s="71">
        <f t="shared" si="565"/>
        <v>725733.80310031725</v>
      </c>
      <c r="AJ141" s="71">
        <f t="shared" si="565"/>
        <v>749924.92987032747</v>
      </c>
      <c r="AK141" s="71">
        <f t="shared" si="565"/>
        <v>725733.80310031725</v>
      </c>
      <c r="AL141" s="72">
        <f t="shared" si="565"/>
        <v>749924.92987032747</v>
      </c>
      <c r="AM141" s="71">
        <f t="shared" si="565"/>
        <v>0</v>
      </c>
      <c r="AN141" s="71">
        <f t="shared" si="565"/>
        <v>0</v>
      </c>
      <c r="AO141" s="71">
        <f t="shared" si="565"/>
        <v>0</v>
      </c>
      <c r="AP141" s="71">
        <f t="shared" si="565"/>
        <v>0</v>
      </c>
      <c r="AQ141" s="71">
        <f t="shared" si="565"/>
        <v>0</v>
      </c>
      <c r="AR141" s="71">
        <f t="shared" si="565"/>
        <v>0</v>
      </c>
      <c r="AS141" s="71">
        <f t="shared" si="565"/>
        <v>0</v>
      </c>
      <c r="AT141" s="71">
        <f t="shared" si="565"/>
        <v>0</v>
      </c>
      <c r="AU141" s="71">
        <f t="shared" si="565"/>
        <v>0</v>
      </c>
      <c r="AV141" s="71">
        <f t="shared" si="565"/>
        <v>0</v>
      </c>
      <c r="AW141" s="71">
        <f t="shared" si="565"/>
        <v>0</v>
      </c>
      <c r="AX141" s="73">
        <f t="shared" si="565"/>
        <v>0</v>
      </c>
      <c r="AY141" s="71">
        <f t="shared" si="565"/>
        <v>0</v>
      </c>
      <c r="AZ141" s="71">
        <f t="shared" si="565"/>
        <v>0</v>
      </c>
      <c r="BA141" s="71">
        <f t="shared" si="565"/>
        <v>0</v>
      </c>
      <c r="BB141" s="71">
        <f t="shared" si="565"/>
        <v>0</v>
      </c>
      <c r="BC141" s="71">
        <f t="shared" si="565"/>
        <v>0</v>
      </c>
      <c r="BD141" s="71">
        <f t="shared" si="565"/>
        <v>0</v>
      </c>
      <c r="BE141" s="71">
        <f t="shared" si="565"/>
        <v>0</v>
      </c>
      <c r="BF141" s="71">
        <f t="shared" si="565"/>
        <v>0</v>
      </c>
      <c r="BG141" s="71">
        <f t="shared" si="565"/>
        <v>0</v>
      </c>
      <c r="BH141" s="71">
        <f t="shared" si="565"/>
        <v>0</v>
      </c>
      <c r="BI141" s="71">
        <f t="shared" si="565"/>
        <v>0</v>
      </c>
      <c r="BJ141" s="73">
        <f t="shared" si="565"/>
        <v>0</v>
      </c>
      <c r="BL141" s="120"/>
    </row>
    <row r="142" spans="2:64" x14ac:dyDescent="0.25">
      <c r="B142" s="100"/>
      <c r="C142" s="101"/>
      <c r="D142" s="101"/>
      <c r="E142" s="101"/>
      <c r="F142" s="101"/>
      <c r="G142" s="101"/>
      <c r="H142" s="101"/>
      <c r="I142" s="101"/>
      <c r="J142" s="101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  <c r="AF142" s="101"/>
      <c r="AG142" s="101"/>
      <c r="AH142" s="101"/>
      <c r="AI142" s="101"/>
      <c r="AJ142" s="101"/>
      <c r="AK142" s="101"/>
      <c r="AL142" s="101"/>
      <c r="AM142" s="101"/>
      <c r="AN142" s="101"/>
      <c r="AO142" s="101"/>
      <c r="AP142" s="101"/>
      <c r="AQ142" s="101"/>
      <c r="AR142" s="101"/>
      <c r="AS142" s="101"/>
      <c r="AT142" s="101"/>
      <c r="AU142" s="101"/>
      <c r="AV142" s="101"/>
      <c r="AW142" s="101"/>
      <c r="AX142" s="101"/>
      <c r="AY142" s="101"/>
      <c r="AZ142" s="101"/>
      <c r="BA142" s="101"/>
      <c r="BB142" s="101"/>
      <c r="BC142" s="101"/>
      <c r="BD142" s="101"/>
      <c r="BE142" s="101"/>
      <c r="BF142" s="101"/>
      <c r="BG142" s="101"/>
      <c r="BH142" s="101"/>
      <c r="BI142" s="101"/>
      <c r="BJ142" s="101"/>
      <c r="BL142" s="120"/>
    </row>
    <row r="143" spans="2:64" x14ac:dyDescent="0.25">
      <c r="B143" s="77" t="s">
        <v>158</v>
      </c>
      <c r="C143" s="71">
        <f>C125+C134</f>
        <v>0</v>
      </c>
      <c r="D143" s="71">
        <f t="shared" ref="D143:BJ143" si="566">D125+D134</f>
        <v>0</v>
      </c>
      <c r="E143" s="71">
        <f t="shared" si="566"/>
        <v>0</v>
      </c>
      <c r="F143" s="71">
        <f t="shared" si="566"/>
        <v>0</v>
      </c>
      <c r="G143" s="71">
        <f t="shared" si="566"/>
        <v>0</v>
      </c>
      <c r="H143" s="71">
        <f t="shared" si="566"/>
        <v>0</v>
      </c>
      <c r="I143" s="71">
        <f t="shared" si="566"/>
        <v>0</v>
      </c>
      <c r="J143" s="71">
        <f t="shared" si="566"/>
        <v>0</v>
      </c>
      <c r="K143" s="71">
        <f t="shared" si="566"/>
        <v>0</v>
      </c>
      <c r="L143" s="71">
        <f t="shared" si="566"/>
        <v>0</v>
      </c>
      <c r="M143" s="71">
        <f t="shared" si="566"/>
        <v>0</v>
      </c>
      <c r="N143" s="72">
        <f t="shared" si="566"/>
        <v>-448119.40662259981</v>
      </c>
      <c r="O143" s="71">
        <f t="shared" si="566"/>
        <v>487691.95930323564</v>
      </c>
      <c r="P143" s="71">
        <f t="shared" si="566"/>
        <v>-119275.22893849621</v>
      </c>
      <c r="Q143" s="71">
        <f t="shared" si="566"/>
        <v>-173502.95775333606</v>
      </c>
      <c r="R143" s="71">
        <f t="shared" si="566"/>
        <v>746973.9429331373</v>
      </c>
      <c r="S143" s="71">
        <f t="shared" si="566"/>
        <v>1371096.0737934276</v>
      </c>
      <c r="T143" s="71">
        <f t="shared" si="566"/>
        <v>659928.02117619943</v>
      </c>
      <c r="U143" s="71">
        <f t="shared" si="566"/>
        <v>1361460.4179454844</v>
      </c>
      <c r="V143" s="71">
        <f t="shared" si="566"/>
        <v>1199790.4718384652</v>
      </c>
      <c r="W143" s="71">
        <f t="shared" si="566"/>
        <v>1161087.5533920627</v>
      </c>
      <c r="X143" s="71">
        <f t="shared" si="566"/>
        <v>676020.06300840084</v>
      </c>
      <c r="Y143" s="71">
        <f t="shared" si="566"/>
        <v>654212.96420167759</v>
      </c>
      <c r="Z143" s="73">
        <f t="shared" si="566"/>
        <v>676020.06300840084</v>
      </c>
      <c r="AA143" s="71">
        <f t="shared" si="566"/>
        <v>831390.94753358955</v>
      </c>
      <c r="AB143" s="71">
        <f t="shared" si="566"/>
        <v>777752.82188626134</v>
      </c>
      <c r="AC143" s="71">
        <f t="shared" si="566"/>
        <v>831390.94753358955</v>
      </c>
      <c r="AD143" s="71">
        <f t="shared" si="566"/>
        <v>804571.88470992562</v>
      </c>
      <c r="AE143" s="71">
        <f t="shared" si="566"/>
        <v>831390.94753358955</v>
      </c>
      <c r="AF143" s="71">
        <f t="shared" si="566"/>
        <v>804571.88470992562</v>
      </c>
      <c r="AG143" s="71">
        <f t="shared" si="566"/>
        <v>831390.94753358955</v>
      </c>
      <c r="AH143" s="71">
        <f t="shared" si="566"/>
        <v>831390.94753358955</v>
      </c>
      <c r="AI143" s="71">
        <f t="shared" si="566"/>
        <v>804571.88470992562</v>
      </c>
      <c r="AJ143" s="71">
        <f t="shared" si="566"/>
        <v>831390.94753358955</v>
      </c>
      <c r="AK143" s="71">
        <f t="shared" si="566"/>
        <v>804571.88470992562</v>
      </c>
      <c r="AL143" s="72">
        <f t="shared" si="566"/>
        <v>831390.94753358955</v>
      </c>
      <c r="AM143" s="71">
        <f t="shared" si="566"/>
        <v>0</v>
      </c>
      <c r="AN143" s="71">
        <f t="shared" si="566"/>
        <v>0</v>
      </c>
      <c r="AO143" s="71">
        <f t="shared" si="566"/>
        <v>0</v>
      </c>
      <c r="AP143" s="71">
        <f t="shared" si="566"/>
        <v>0</v>
      </c>
      <c r="AQ143" s="71">
        <f t="shared" si="566"/>
        <v>0</v>
      </c>
      <c r="AR143" s="71">
        <f t="shared" si="566"/>
        <v>0</v>
      </c>
      <c r="AS143" s="71">
        <f t="shared" si="566"/>
        <v>0</v>
      </c>
      <c r="AT143" s="71">
        <f t="shared" si="566"/>
        <v>0</v>
      </c>
      <c r="AU143" s="71">
        <f t="shared" si="566"/>
        <v>0</v>
      </c>
      <c r="AV143" s="71">
        <f t="shared" si="566"/>
        <v>0</v>
      </c>
      <c r="AW143" s="71">
        <f t="shared" si="566"/>
        <v>0</v>
      </c>
      <c r="AX143" s="73">
        <f t="shared" si="566"/>
        <v>0</v>
      </c>
      <c r="AY143" s="71">
        <f t="shared" si="566"/>
        <v>0</v>
      </c>
      <c r="AZ143" s="71">
        <f t="shared" si="566"/>
        <v>0</v>
      </c>
      <c r="BA143" s="71">
        <f t="shared" si="566"/>
        <v>0</v>
      </c>
      <c r="BB143" s="71">
        <f t="shared" si="566"/>
        <v>0</v>
      </c>
      <c r="BC143" s="71">
        <f t="shared" si="566"/>
        <v>0</v>
      </c>
      <c r="BD143" s="71">
        <f t="shared" si="566"/>
        <v>0</v>
      </c>
      <c r="BE143" s="71">
        <f t="shared" si="566"/>
        <v>0</v>
      </c>
      <c r="BF143" s="71">
        <f t="shared" si="566"/>
        <v>0</v>
      </c>
      <c r="BG143" s="71">
        <f t="shared" si="566"/>
        <v>0</v>
      </c>
      <c r="BH143" s="71">
        <f t="shared" si="566"/>
        <v>0</v>
      </c>
      <c r="BI143" s="71">
        <f t="shared" si="566"/>
        <v>0</v>
      </c>
      <c r="BJ143" s="73">
        <f t="shared" si="566"/>
        <v>0</v>
      </c>
      <c r="BL143" s="120"/>
    </row>
    <row r="144" spans="2:64" x14ac:dyDescent="0.25">
      <c r="B144" s="77" t="s">
        <v>159</v>
      </c>
      <c r="C144" s="71">
        <f>+C135+C126</f>
        <v>0</v>
      </c>
      <c r="D144" s="71">
        <f t="shared" ref="D144:BJ144" si="567">+D135+D126</f>
        <v>0</v>
      </c>
      <c r="E144" s="71">
        <f t="shared" si="567"/>
        <v>0</v>
      </c>
      <c r="F144" s="71">
        <f t="shared" si="567"/>
        <v>0</v>
      </c>
      <c r="G144" s="71">
        <f t="shared" si="567"/>
        <v>0</v>
      </c>
      <c r="H144" s="71">
        <f t="shared" si="567"/>
        <v>0</v>
      </c>
      <c r="I144" s="71">
        <f t="shared" si="567"/>
        <v>0</v>
      </c>
      <c r="J144" s="71">
        <f t="shared" si="567"/>
        <v>0</v>
      </c>
      <c r="K144" s="71">
        <f t="shared" si="567"/>
        <v>0</v>
      </c>
      <c r="L144" s="71">
        <f t="shared" si="567"/>
        <v>0</v>
      </c>
      <c r="M144" s="71">
        <f t="shared" si="567"/>
        <v>0</v>
      </c>
      <c r="N144" s="72">
        <f t="shared" si="567"/>
        <v>-658728.80646593496</v>
      </c>
      <c r="O144" s="71">
        <f t="shared" si="567"/>
        <v>75821.036098728888</v>
      </c>
      <c r="P144" s="71">
        <f t="shared" si="567"/>
        <v>-190033.1591326925</v>
      </c>
      <c r="Q144" s="71">
        <f t="shared" si="567"/>
        <v>-177638.76510904473</v>
      </c>
      <c r="R144" s="71">
        <f t="shared" si="567"/>
        <v>413546.56933385041</v>
      </c>
      <c r="S144" s="71">
        <f t="shared" si="567"/>
        <v>584444.45432245126</v>
      </c>
      <c r="T144" s="71">
        <f t="shared" si="567"/>
        <v>-101565.38901714049</v>
      </c>
      <c r="U144" s="71">
        <f t="shared" si="567"/>
        <v>667076.18921108183</v>
      </c>
      <c r="V144" s="71">
        <f t="shared" si="567"/>
        <v>636422.13531810069</v>
      </c>
      <c r="W144" s="71">
        <f t="shared" si="567"/>
        <v>615892.38901751675</v>
      </c>
      <c r="X144" s="71">
        <f t="shared" si="567"/>
        <v>484752.14414816536</v>
      </c>
      <c r="Y144" s="71">
        <f t="shared" si="567"/>
        <v>469114.97820790182</v>
      </c>
      <c r="Z144" s="73">
        <f t="shared" si="567"/>
        <v>484752.14414816524</v>
      </c>
      <c r="AA144" s="71">
        <f t="shared" si="567"/>
        <v>668458.91220706585</v>
      </c>
      <c r="AB144" s="71">
        <f t="shared" si="567"/>
        <v>625332.53077435191</v>
      </c>
      <c r="AC144" s="71">
        <f t="shared" si="567"/>
        <v>668458.91220706585</v>
      </c>
      <c r="AD144" s="71">
        <f t="shared" si="567"/>
        <v>646895.72149070888</v>
      </c>
      <c r="AE144" s="71">
        <f t="shared" si="567"/>
        <v>668458.91220706585</v>
      </c>
      <c r="AF144" s="71">
        <f t="shared" si="567"/>
        <v>646895.72149070888</v>
      </c>
      <c r="AG144" s="71">
        <f t="shared" si="567"/>
        <v>668458.91220706585</v>
      </c>
      <c r="AH144" s="71">
        <f t="shared" si="567"/>
        <v>668458.91220706585</v>
      </c>
      <c r="AI144" s="71">
        <f t="shared" si="567"/>
        <v>646895.72149070888</v>
      </c>
      <c r="AJ144" s="71">
        <f t="shared" si="567"/>
        <v>668458.91220706585</v>
      </c>
      <c r="AK144" s="71">
        <f t="shared" si="567"/>
        <v>646895.72149070888</v>
      </c>
      <c r="AL144" s="72">
        <f t="shared" si="567"/>
        <v>668458.91220706585</v>
      </c>
      <c r="AM144" s="71">
        <f t="shared" si="567"/>
        <v>0</v>
      </c>
      <c r="AN144" s="71">
        <f t="shared" si="567"/>
        <v>0</v>
      </c>
      <c r="AO144" s="71">
        <f t="shared" si="567"/>
        <v>0</v>
      </c>
      <c r="AP144" s="71">
        <f t="shared" si="567"/>
        <v>0</v>
      </c>
      <c r="AQ144" s="71">
        <f t="shared" si="567"/>
        <v>0</v>
      </c>
      <c r="AR144" s="71">
        <f t="shared" si="567"/>
        <v>0</v>
      </c>
      <c r="AS144" s="71">
        <f t="shared" si="567"/>
        <v>0</v>
      </c>
      <c r="AT144" s="71">
        <f t="shared" si="567"/>
        <v>0</v>
      </c>
      <c r="AU144" s="71">
        <f t="shared" si="567"/>
        <v>0</v>
      </c>
      <c r="AV144" s="71">
        <f t="shared" si="567"/>
        <v>0</v>
      </c>
      <c r="AW144" s="71">
        <f t="shared" si="567"/>
        <v>0</v>
      </c>
      <c r="AX144" s="73">
        <f t="shared" si="567"/>
        <v>0</v>
      </c>
      <c r="AY144" s="71">
        <f t="shared" si="567"/>
        <v>0</v>
      </c>
      <c r="AZ144" s="71">
        <f t="shared" si="567"/>
        <v>0</v>
      </c>
      <c r="BA144" s="71">
        <f t="shared" si="567"/>
        <v>0</v>
      </c>
      <c r="BB144" s="71">
        <f t="shared" si="567"/>
        <v>0</v>
      </c>
      <c r="BC144" s="71">
        <f t="shared" si="567"/>
        <v>0</v>
      </c>
      <c r="BD144" s="71">
        <f t="shared" si="567"/>
        <v>0</v>
      </c>
      <c r="BE144" s="71">
        <f t="shared" si="567"/>
        <v>0</v>
      </c>
      <c r="BF144" s="71">
        <f t="shared" si="567"/>
        <v>0</v>
      </c>
      <c r="BG144" s="71">
        <f t="shared" si="567"/>
        <v>0</v>
      </c>
      <c r="BH144" s="71">
        <f t="shared" si="567"/>
        <v>0</v>
      </c>
      <c r="BI144" s="71">
        <f t="shared" si="567"/>
        <v>0</v>
      </c>
      <c r="BJ144" s="73">
        <f t="shared" si="567"/>
        <v>0</v>
      </c>
      <c r="BL144" s="120"/>
    </row>
    <row r="145" spans="2:64" x14ac:dyDescent="0.25">
      <c r="M145" s="1"/>
      <c r="N145" s="1"/>
      <c r="AK145" s="1"/>
      <c r="AL145" s="1"/>
      <c r="BL145" s="120"/>
    </row>
    <row r="146" spans="2:64" x14ac:dyDescent="0.25">
      <c r="B146" s="786" t="s">
        <v>160</v>
      </c>
      <c r="C146" s="787"/>
      <c r="D146" s="787"/>
      <c r="E146" s="787"/>
      <c r="F146" s="787"/>
      <c r="G146" s="787"/>
      <c r="H146" s="788"/>
      <c r="J146" s="789" t="s">
        <v>1821</v>
      </c>
      <c r="K146" s="782"/>
      <c r="L146" s="782"/>
      <c r="M146" s="782"/>
      <c r="N146" s="782"/>
      <c r="O146" s="782"/>
      <c r="P146" s="790"/>
      <c r="BL146" s="120"/>
    </row>
    <row r="147" spans="2:64" x14ac:dyDescent="0.25">
      <c r="B147" s="251"/>
      <c r="C147" s="122"/>
      <c r="D147" s="122"/>
      <c r="E147" s="122"/>
      <c r="F147" s="122"/>
      <c r="G147" s="122"/>
      <c r="H147" s="252"/>
      <c r="J147" s="285"/>
      <c r="K147" s="286"/>
      <c r="L147" s="286"/>
      <c r="M147" s="286"/>
      <c r="N147" s="286"/>
      <c r="O147" s="286"/>
      <c r="P147" s="287"/>
      <c r="BL147" s="120"/>
    </row>
    <row r="148" spans="2:64" ht="15.75" x14ac:dyDescent="0.25">
      <c r="B148" s="251"/>
      <c r="C148" s="122"/>
      <c r="D148" s="784" t="s">
        <v>282</v>
      </c>
      <c r="E148" s="785"/>
      <c r="F148" s="255">
        <f>'PAINEL DE CONTROLE'!$S$2</f>
        <v>44896</v>
      </c>
      <c r="G148" s="122"/>
      <c r="H148" s="252"/>
      <c r="J148" s="283"/>
      <c r="K148" s="122"/>
      <c r="L148" s="122"/>
      <c r="M148" s="122"/>
      <c r="N148" s="257" t="s">
        <v>283</v>
      </c>
      <c r="O148" s="258" t="s">
        <v>144</v>
      </c>
      <c r="P148" s="284"/>
      <c r="BL148" s="120"/>
    </row>
    <row r="149" spans="2:64" ht="15.75" x14ac:dyDescent="0.25">
      <c r="B149" s="251"/>
      <c r="C149" s="122"/>
      <c r="D149" s="122"/>
      <c r="E149" s="122"/>
      <c r="F149" s="122"/>
      <c r="G149" s="122"/>
      <c r="H149" s="252"/>
      <c r="J149" s="283"/>
      <c r="K149" s="256" t="s">
        <v>281</v>
      </c>
      <c r="L149" s="122"/>
      <c r="M149" s="122"/>
      <c r="N149" s="114">
        <f>K150</f>
        <v>0.05</v>
      </c>
      <c r="O149" s="189">
        <f ca="1">L156-D159</f>
        <v>-3654898.4811654426</v>
      </c>
      <c r="P149" s="284"/>
      <c r="BL149" s="120"/>
    </row>
    <row r="150" spans="2:64" x14ac:dyDescent="0.25">
      <c r="B150" s="251"/>
      <c r="C150" s="123" t="s">
        <v>218</v>
      </c>
      <c r="D150" s="123" t="s">
        <v>151</v>
      </c>
      <c r="E150" s="122"/>
      <c r="F150" s="123" t="s">
        <v>153</v>
      </c>
      <c r="G150" s="124" t="s">
        <v>144</v>
      </c>
      <c r="H150" s="252"/>
      <c r="J150" s="283"/>
      <c r="K150" s="138">
        <v>0.05</v>
      </c>
      <c r="L150" s="122"/>
      <c r="M150" s="122"/>
      <c r="N150" s="114">
        <f>1-N149</f>
        <v>0.95</v>
      </c>
      <c r="O150" s="105">
        <f ca="1">O156-D159</f>
        <v>3400335.8816033863</v>
      </c>
      <c r="P150" s="284"/>
      <c r="BL150" s="120"/>
    </row>
    <row r="151" spans="2:64" x14ac:dyDescent="0.25">
      <c r="B151" s="251"/>
      <c r="C151" s="104" t="s">
        <v>214</v>
      </c>
      <c r="D151" s="105">
        <f>SUMIF($C$3:$BJ$3,"&gt;="&amp;$F$148,C35:BJ35)</f>
        <v>-1263717.3604800003</v>
      </c>
      <c r="E151" s="122"/>
      <c r="F151" s="104" t="s">
        <v>214</v>
      </c>
      <c r="G151" s="105">
        <f>SUM(C122:BJ122)</f>
        <v>162462116.71787566</v>
      </c>
      <c r="H151" s="252"/>
      <c r="J151" s="283"/>
      <c r="K151" s="122"/>
      <c r="L151" s="122"/>
      <c r="M151" s="122"/>
      <c r="N151" s="122"/>
      <c r="O151" s="122"/>
      <c r="P151" s="284"/>
      <c r="BL151" s="120"/>
    </row>
    <row r="152" spans="2:64" x14ac:dyDescent="0.25">
      <c r="B152" s="251"/>
      <c r="C152" s="104" t="s">
        <v>155</v>
      </c>
      <c r="D152" s="105">
        <f>SUMIF($BO$3:$DV$3,"&gt;="&amp;$F$148,BO35:DV35)</f>
        <v>1005330.71976</v>
      </c>
      <c r="E152" s="122"/>
      <c r="F152" s="104" t="s">
        <v>155</v>
      </c>
      <c r="G152" s="105">
        <f>SUM(C131:BJ131)</f>
        <v>-164175930.88471156</v>
      </c>
      <c r="H152" s="252"/>
      <c r="J152" s="283"/>
      <c r="K152" s="122"/>
      <c r="L152" s="122"/>
      <c r="M152" s="122"/>
      <c r="N152" s="122"/>
      <c r="O152" s="122"/>
      <c r="P152" s="284"/>
      <c r="BL152" s="120"/>
    </row>
    <row r="153" spans="2:64" ht="15" customHeight="1" x14ac:dyDescent="0.3">
      <c r="B153" s="251"/>
      <c r="C153" s="312" t="s">
        <v>326</v>
      </c>
      <c r="D153" s="313">
        <f>SUMIF($C$3:$BJ$3,"&gt;="&amp;$F$148,C37:BJ37)+SUMIF($BO$3:$DV$3,"&gt;="&amp;$F$148,BO37:DV37)</f>
        <v>0</v>
      </c>
      <c r="E153" s="122"/>
      <c r="F153" s="56" t="s">
        <v>153</v>
      </c>
      <c r="G153" s="157">
        <f>SUM(G151:G152)</f>
        <v>-1713814.1668359041</v>
      </c>
      <c r="H153" s="252"/>
      <c r="J153" s="283"/>
      <c r="K153" s="123" t="s">
        <v>304</v>
      </c>
      <c r="L153" s="124" t="s">
        <v>144</v>
      </c>
      <c r="M153" s="122"/>
      <c r="N153" s="123" t="s">
        <v>305</v>
      </c>
      <c r="O153" s="124" t="s">
        <v>144</v>
      </c>
      <c r="P153" s="284"/>
      <c r="BL153" s="120"/>
    </row>
    <row r="154" spans="2:64" ht="15" customHeight="1" x14ac:dyDescent="0.25">
      <c r="B154" s="251"/>
      <c r="C154" s="114" t="s">
        <v>57</v>
      </c>
      <c r="D154" s="105" t="str">
        <f>IF((D152+D151)&gt;0,"LONG",IF((D152+D151)&lt;0,"SHORT","ZERADA"))</f>
        <v>SHORT</v>
      </c>
      <c r="E154" s="122"/>
      <c r="F154" s="122"/>
      <c r="G154" s="122"/>
      <c r="H154" s="252"/>
      <c r="J154" s="283"/>
      <c r="K154" s="104" t="s">
        <v>153</v>
      </c>
      <c r="L154" s="105">
        <f>$G$153</f>
        <v>-1713814.1668359041</v>
      </c>
      <c r="M154" s="122"/>
      <c r="N154" s="104" t="s">
        <v>153</v>
      </c>
      <c r="O154" s="105">
        <f>+$G$153</f>
        <v>-1713814.1668359041</v>
      </c>
      <c r="P154" s="284"/>
      <c r="BL154" s="120"/>
    </row>
    <row r="155" spans="2:64" ht="15.75" thickBot="1" x14ac:dyDescent="0.3">
      <c r="B155" s="251"/>
      <c r="C155" s="122"/>
      <c r="D155" s="122"/>
      <c r="E155" s="122"/>
      <c r="F155" s="123" t="s">
        <v>18</v>
      </c>
      <c r="G155" s="124" t="s">
        <v>144</v>
      </c>
      <c r="H155" s="252"/>
      <c r="J155" s="283"/>
      <c r="K155" s="155" t="s">
        <v>18</v>
      </c>
      <c r="L155" s="156">
        <f ca="1">OFFSET('GPH-VAR PAR'!$A$1,MATCH($K$150,'GPH-VAR PAR'!A:A)-1,3)-L154</f>
        <v>11195983.722539123</v>
      </c>
      <c r="M155" s="122"/>
      <c r="N155" s="155" t="s">
        <v>18</v>
      </c>
      <c r="O155" s="156">
        <f ca="1">OFFSET('GPH-VAR PAR'!$A$1,MATCH((1-K150),'GPH-VAR PAR'!A:A),3)-O154</f>
        <v>18251218.085307952</v>
      </c>
      <c r="P155" s="284"/>
      <c r="BL155" s="120"/>
    </row>
    <row r="156" spans="2:64" x14ac:dyDescent="0.25">
      <c r="B156" s="251"/>
      <c r="C156" s="123" t="s">
        <v>228</v>
      </c>
      <c r="D156" s="124" t="s">
        <v>144</v>
      </c>
      <c r="E156" s="122"/>
      <c r="F156" s="104" t="s">
        <v>214</v>
      </c>
      <c r="G156" s="105">
        <f>SUM(C123:BJ123)</f>
        <v>52955789.416420013</v>
      </c>
      <c r="H156" s="252"/>
      <c r="J156" s="283"/>
      <c r="K156" s="56" t="s">
        <v>229</v>
      </c>
      <c r="L156" s="106">
        <f ca="1">+SUM(L154:L155)</f>
        <v>9482169.555703219</v>
      </c>
      <c r="M156" s="122"/>
      <c r="N156" s="56" t="s">
        <v>229</v>
      </c>
      <c r="O156" s="106">
        <f ca="1">+SUM(O154:O155)</f>
        <v>16537403.918472048</v>
      </c>
      <c r="P156" s="284"/>
      <c r="BL156" s="120"/>
    </row>
    <row r="157" spans="2:64" x14ac:dyDescent="0.25">
      <c r="B157" s="251"/>
      <c r="C157" s="104" t="s">
        <v>153</v>
      </c>
      <c r="D157" s="105">
        <f>SUM(C140:BJ140)</f>
        <v>-1713814.1668358743</v>
      </c>
      <c r="E157" s="122"/>
      <c r="F157" s="104" t="s">
        <v>155</v>
      </c>
      <c r="G157" s="105">
        <f>SUM(C132:BJ132)</f>
        <v>-38104907.212715521</v>
      </c>
      <c r="H157" s="252"/>
      <c r="I157" s="1"/>
      <c r="J157" s="283"/>
      <c r="K157" s="122"/>
      <c r="L157" s="122"/>
      <c r="M157" s="122"/>
      <c r="N157" s="122"/>
      <c r="O157" s="122"/>
      <c r="P157" s="284"/>
      <c r="BL157" s="120"/>
    </row>
    <row r="158" spans="2:64" ht="15.75" thickBot="1" x14ac:dyDescent="0.3">
      <c r="B158" s="251"/>
      <c r="C158" s="155" t="s">
        <v>18</v>
      </c>
      <c r="D158" s="156">
        <f>SUM(C141:BJ141)</f>
        <v>14850882.203704536</v>
      </c>
      <c r="E158" s="122"/>
      <c r="F158" s="155" t="s">
        <v>227</v>
      </c>
      <c r="G158" s="156">
        <f>H98+H99</f>
        <v>438804</v>
      </c>
      <c r="H158" s="252"/>
      <c r="J158" s="283"/>
      <c r="K158" s="122"/>
      <c r="L158" s="122"/>
      <c r="M158" s="122"/>
      <c r="N158" s="122"/>
      <c r="O158" s="122"/>
      <c r="P158" s="284"/>
      <c r="BL158" s="120"/>
    </row>
    <row r="159" spans="2:64" x14ac:dyDescent="0.25">
      <c r="B159" s="320"/>
      <c r="C159" s="325" t="s">
        <v>229</v>
      </c>
      <c r="D159" s="326">
        <f>+D157+D158</f>
        <v>13137068.036868662</v>
      </c>
      <c r="E159" s="122"/>
      <c r="F159" s="104" t="s">
        <v>18</v>
      </c>
      <c r="G159" s="324">
        <f>G156+G157</f>
        <v>14850882.203704491</v>
      </c>
      <c r="H159" s="321"/>
      <c r="J159" s="288"/>
      <c r="K159" s="125"/>
      <c r="L159" s="125"/>
      <c r="M159" s="125"/>
      <c r="N159" s="125"/>
      <c r="O159" s="125"/>
      <c r="P159" s="289"/>
      <c r="BL159" s="120"/>
    </row>
    <row r="160" spans="2:64" x14ac:dyDescent="0.25">
      <c r="B160" s="327"/>
      <c r="C160" s="122"/>
      <c r="D160" s="122"/>
      <c r="E160" s="122"/>
      <c r="F160" s="122"/>
      <c r="G160" s="122"/>
      <c r="H160" s="321"/>
      <c r="J160" s="781" t="s">
        <v>303</v>
      </c>
      <c r="K160" s="782"/>
      <c r="L160" s="782"/>
      <c r="M160" s="782"/>
      <c r="N160" s="782"/>
      <c r="O160" s="782"/>
      <c r="P160" s="783"/>
      <c r="BL160" s="120"/>
    </row>
    <row r="161" spans="2:16" x14ac:dyDescent="0.25">
      <c r="B161" s="253"/>
      <c r="C161" s="125"/>
      <c r="D161" s="125"/>
      <c r="E161" s="125"/>
      <c r="F161" s="126"/>
      <c r="G161" s="125"/>
      <c r="H161" s="322"/>
      <c r="J161" s="283"/>
      <c r="K161" s="122"/>
      <c r="L161" s="122"/>
      <c r="M161" s="122"/>
      <c r="N161" s="122"/>
      <c r="O161" s="122"/>
      <c r="P161" s="284"/>
    </row>
    <row r="162" spans="2:16" x14ac:dyDescent="0.25">
      <c r="J162" s="251"/>
      <c r="K162" s="123" t="s">
        <v>158</v>
      </c>
      <c r="L162" s="124" t="s">
        <v>144</v>
      </c>
      <c r="M162" s="122"/>
      <c r="N162" s="123" t="s">
        <v>159</v>
      </c>
      <c r="O162" s="124" t="s">
        <v>144</v>
      </c>
      <c r="P162" s="252"/>
    </row>
    <row r="163" spans="2:16" x14ac:dyDescent="0.25">
      <c r="E163" s="330"/>
      <c r="F163" s="330"/>
      <c r="G163" s="330"/>
      <c r="H163" s="330"/>
      <c r="J163" s="251"/>
      <c r="K163" s="104" t="s">
        <v>18</v>
      </c>
      <c r="L163" s="105">
        <f>SUM(C143:BJ143)</f>
        <v>18069160.930747148</v>
      </c>
      <c r="M163" s="122"/>
      <c r="N163" s="104" t="s">
        <v>18</v>
      </c>
      <c r="O163" s="105">
        <f>SUM(C144:BJ144)</f>
        <v>11195983.722267799</v>
      </c>
      <c r="P163" s="252"/>
    </row>
    <row r="164" spans="2:16" x14ac:dyDescent="0.25">
      <c r="E164" s="330"/>
      <c r="F164" s="330"/>
      <c r="G164" s="330"/>
      <c r="H164" s="330"/>
      <c r="I164" s="188"/>
      <c r="J164" s="251"/>
      <c r="K164" s="104" t="s">
        <v>157</v>
      </c>
      <c r="L164" s="105">
        <f>L163-G159</f>
        <v>3218278.7270426564</v>
      </c>
      <c r="M164" s="122"/>
      <c r="N164" s="104" t="s">
        <v>157</v>
      </c>
      <c r="O164" s="105">
        <f>O163-G159</f>
        <v>-3654898.4814366922</v>
      </c>
      <c r="P164" s="252"/>
    </row>
    <row r="165" spans="2:16" x14ac:dyDescent="0.25">
      <c r="C165" s="779" t="s">
        <v>2168</v>
      </c>
      <c r="D165" s="779"/>
      <c r="E165" s="779"/>
      <c r="F165" s="330"/>
      <c r="G165" s="330"/>
      <c r="H165" s="330"/>
      <c r="J165" s="251"/>
      <c r="K165" s="122"/>
      <c r="L165" s="122"/>
      <c r="M165" s="122"/>
      <c r="N165" s="122"/>
      <c r="O165" s="122"/>
      <c r="P165" s="252"/>
    </row>
    <row r="166" spans="2:16" x14ac:dyDescent="0.25">
      <c r="C166" s="651" t="s">
        <v>2010</v>
      </c>
      <c r="D166" s="651" t="s">
        <v>2166</v>
      </c>
      <c r="E166" s="651" t="s">
        <v>2167</v>
      </c>
      <c r="F166" s="330"/>
      <c r="G166" s="330"/>
      <c r="H166" s="330"/>
      <c r="J166" s="251"/>
      <c r="K166" s="123" t="s">
        <v>299</v>
      </c>
      <c r="L166" s="124" t="s">
        <v>144</v>
      </c>
      <c r="M166" s="122"/>
      <c r="N166" s="123" t="s">
        <v>300</v>
      </c>
      <c r="O166" s="124" t="s">
        <v>144</v>
      </c>
      <c r="P166" s="252"/>
    </row>
    <row r="167" spans="2:16" x14ac:dyDescent="0.25">
      <c r="C167" s="85">
        <v>2022</v>
      </c>
      <c r="D167" s="367" t="s">
        <v>2004</v>
      </c>
      <c r="E167" s="650">
        <f>SUM(RESULTADO!C140:N141)/10^6-E170</f>
        <v>-0.44811940662258842</v>
      </c>
      <c r="F167" s="330"/>
      <c r="G167" s="330"/>
      <c r="H167" s="330"/>
      <c r="J167" s="251"/>
      <c r="K167" s="104" t="s">
        <v>153</v>
      </c>
      <c r="L167" s="105">
        <f>$G$153</f>
        <v>-1713814.1668359041</v>
      </c>
      <c r="M167" s="122"/>
      <c r="N167" s="104" t="s">
        <v>153</v>
      </c>
      <c r="O167" s="105">
        <f>+$G$153</f>
        <v>-1713814.1668359041</v>
      </c>
      <c r="P167" s="252"/>
    </row>
    <row r="168" spans="2:16" ht="15.75" thickBot="1" x14ac:dyDescent="0.3">
      <c r="C168" s="85">
        <v>2023</v>
      </c>
      <c r="D168" s="367" t="s">
        <v>2004</v>
      </c>
      <c r="E168" s="650">
        <f>SUM(RESULTADO!O140:Z141)/10^6-E171</f>
        <v>6.4450492125032524</v>
      </c>
      <c r="F168" s="330"/>
      <c r="G168" s="330"/>
      <c r="H168" s="330"/>
      <c r="J168" s="251"/>
      <c r="K168" s="155" t="s">
        <v>18</v>
      </c>
      <c r="L168" s="156">
        <f>L163</f>
        <v>18069160.930747148</v>
      </c>
      <c r="M168" s="122"/>
      <c r="N168" s="155" t="s">
        <v>18</v>
      </c>
      <c r="O168" s="156">
        <f>O163</f>
        <v>11195983.722267799</v>
      </c>
      <c r="P168" s="252"/>
    </row>
    <row r="169" spans="2:16" x14ac:dyDescent="0.25">
      <c r="C169" s="85">
        <v>2024</v>
      </c>
      <c r="D169" s="367" t="s">
        <v>2004</v>
      </c>
      <c r="E169" s="650">
        <f>SUM(RESULTADO!AA140:AL141)/10^6-E172</f>
        <v>8.8539523978238694</v>
      </c>
      <c r="F169" s="330"/>
      <c r="G169" s="330"/>
      <c r="H169" s="330"/>
      <c r="J169" s="251"/>
      <c r="K169" s="56" t="s">
        <v>229</v>
      </c>
      <c r="L169" s="106">
        <f>+SUM(L167:L168)</f>
        <v>16355346.763911244</v>
      </c>
      <c r="M169" s="122"/>
      <c r="N169" s="56" t="s">
        <v>229</v>
      </c>
      <c r="O169" s="106">
        <f>+SUM(O167:O168)</f>
        <v>9482169.555431895</v>
      </c>
      <c r="P169" s="252"/>
    </row>
    <row r="170" spans="2:16" x14ac:dyDescent="0.25">
      <c r="C170" s="85">
        <v>2022</v>
      </c>
      <c r="D170" s="367" t="s">
        <v>153</v>
      </c>
      <c r="E170" s="650">
        <f>RESULTADO!D157/10^6</f>
        <v>-1.7138141668358744</v>
      </c>
      <c r="J170" s="253"/>
      <c r="K170" s="125"/>
      <c r="L170" s="125"/>
      <c r="M170" s="125"/>
      <c r="N170" s="125"/>
      <c r="O170" s="125"/>
      <c r="P170" s="254"/>
    </row>
    <row r="171" spans="2:16" x14ac:dyDescent="0.25">
      <c r="C171" s="85">
        <v>2023</v>
      </c>
      <c r="D171" s="367" t="s">
        <v>153</v>
      </c>
      <c r="E171" s="650">
        <v>0</v>
      </c>
      <c r="J171" s="117"/>
      <c r="K171" s="117"/>
      <c r="L171" s="117"/>
      <c r="M171" s="117"/>
    </row>
    <row r="172" spans="2:16" x14ac:dyDescent="0.25">
      <c r="C172" s="85">
        <v>2024</v>
      </c>
      <c r="D172" s="367" t="s">
        <v>153</v>
      </c>
      <c r="E172" s="650">
        <v>0</v>
      </c>
    </row>
    <row r="173" spans="2:16" x14ac:dyDescent="0.25">
      <c r="C173" s="85">
        <v>2022</v>
      </c>
      <c r="D173" s="367" t="s">
        <v>23</v>
      </c>
      <c r="E173" s="650">
        <f>E167+E170</f>
        <v>-2.1619335734584628</v>
      </c>
    </row>
    <row r="174" spans="2:16" x14ac:dyDescent="0.25">
      <c r="C174" s="85">
        <v>2023</v>
      </c>
      <c r="D174" s="367" t="s">
        <v>23</v>
      </c>
      <c r="E174" s="650">
        <f>E168+E171</f>
        <v>6.4450492125032524</v>
      </c>
    </row>
    <row r="175" spans="2:16" x14ac:dyDescent="0.25">
      <c r="C175" s="85">
        <v>2024</v>
      </c>
      <c r="D175" s="367" t="s">
        <v>23</v>
      </c>
      <c r="E175" s="650">
        <f>E169+E172</f>
        <v>8.8539523978238694</v>
      </c>
    </row>
  </sheetData>
  <protectedRanges>
    <protectedRange sqref="K150 AI150" name="Percentil"/>
  </protectedRanges>
  <mergeCells count="14">
    <mergeCell ref="B1:BJ1"/>
    <mergeCell ref="BN1:DV1"/>
    <mergeCell ref="B40:BJ40"/>
    <mergeCell ref="B78:BJ78"/>
    <mergeCell ref="B95:BJ95"/>
    <mergeCell ref="BN40:CL40"/>
    <mergeCell ref="C165:E165"/>
    <mergeCell ref="B119:BJ119"/>
    <mergeCell ref="B128:BJ128"/>
    <mergeCell ref="B137:BJ137"/>
    <mergeCell ref="J160:P160"/>
    <mergeCell ref="D148:E148"/>
    <mergeCell ref="B146:H146"/>
    <mergeCell ref="J146:P146"/>
  </mergeCells>
  <conditionalFormatting sqref="C5:Z8 C140:Z144">
    <cfRule type="cellIs" dxfId="365" priority="331" operator="lessThan">
      <formula>0</formula>
    </cfRule>
  </conditionalFormatting>
  <conditionalFormatting sqref="C10:Z13">
    <cfRule type="cellIs" dxfId="364" priority="330" operator="lessThan">
      <formula>0</formula>
    </cfRule>
  </conditionalFormatting>
  <conditionalFormatting sqref="C15:Z18">
    <cfRule type="cellIs" dxfId="363" priority="329" operator="lessThan">
      <formula>0</formula>
    </cfRule>
  </conditionalFormatting>
  <conditionalFormatting sqref="C20:Z23">
    <cfRule type="cellIs" dxfId="362" priority="328" operator="lessThan">
      <formula>0</formula>
    </cfRule>
  </conditionalFormatting>
  <conditionalFormatting sqref="C25:Z28">
    <cfRule type="cellIs" dxfId="361" priority="327" operator="lessThan">
      <formula>0</formula>
    </cfRule>
  </conditionalFormatting>
  <conditionalFormatting sqref="D30:Z30 C31:Z35">
    <cfRule type="cellIs" dxfId="360" priority="326" operator="lessThan">
      <formula>0</formula>
    </cfRule>
  </conditionalFormatting>
  <conditionalFormatting sqref="C30">
    <cfRule type="cellIs" dxfId="359" priority="325" operator="lessThan">
      <formula>0</formula>
    </cfRule>
  </conditionalFormatting>
  <conditionalFormatting sqref="C44:Z47">
    <cfRule type="cellIs" dxfId="358" priority="324" operator="lessThan">
      <formula>0</formula>
    </cfRule>
  </conditionalFormatting>
  <conditionalFormatting sqref="C49:BJ52">
    <cfRule type="cellIs" dxfId="357" priority="323" operator="lessThan">
      <formula>0</formula>
    </cfRule>
  </conditionalFormatting>
  <conditionalFormatting sqref="C54:BJ57">
    <cfRule type="cellIs" dxfId="356" priority="322" operator="lessThan">
      <formula>0</formula>
    </cfRule>
  </conditionalFormatting>
  <conditionalFormatting sqref="D59:Z59 C60:BJ62">
    <cfRule type="cellIs" dxfId="355" priority="321" operator="lessThan">
      <formula>0</formula>
    </cfRule>
  </conditionalFormatting>
  <conditionalFormatting sqref="D64:Z64 C65:BJ67">
    <cfRule type="cellIs" dxfId="354" priority="320" operator="lessThan">
      <formula>0</formula>
    </cfRule>
  </conditionalFormatting>
  <conditionalFormatting sqref="D69:Z69 C70:BJ73">
    <cfRule type="cellIs" dxfId="353" priority="319" operator="lessThan">
      <formula>0</formula>
    </cfRule>
  </conditionalFormatting>
  <conditionalFormatting sqref="C59:BJ59">
    <cfRule type="cellIs" dxfId="352" priority="315" operator="lessThan">
      <formula>0</formula>
    </cfRule>
  </conditionalFormatting>
  <conditionalFormatting sqref="C64:BJ64">
    <cfRule type="cellIs" dxfId="351" priority="314" operator="lessThan">
      <formula>0</formula>
    </cfRule>
  </conditionalFormatting>
  <conditionalFormatting sqref="C69:BJ69">
    <cfRule type="cellIs" dxfId="350" priority="313" operator="lessThan">
      <formula>0</formula>
    </cfRule>
  </conditionalFormatting>
  <conditionalFormatting sqref="C76:Z76">
    <cfRule type="cellIs" dxfId="349" priority="311" operator="notEqual">
      <formula>TRUE</formula>
    </cfRule>
    <cfRule type="cellIs" dxfId="348" priority="312" operator="equal">
      <formula>TRUE</formula>
    </cfRule>
  </conditionalFormatting>
  <conditionalFormatting sqref="C84:Z84">
    <cfRule type="cellIs" dxfId="347" priority="310" operator="lessThan">
      <formula>0</formula>
    </cfRule>
  </conditionalFormatting>
  <conditionalFormatting sqref="C85:Z85">
    <cfRule type="cellIs" dxfId="346" priority="309" operator="lessThan">
      <formula>0</formula>
    </cfRule>
  </conditionalFormatting>
  <conditionalFormatting sqref="C74:BJ74">
    <cfRule type="cellIs" dxfId="345" priority="305" operator="lessThan">
      <formula>0</formula>
    </cfRule>
  </conditionalFormatting>
  <conditionalFormatting sqref="C86:Z86">
    <cfRule type="cellIs" dxfId="344" priority="301" operator="lessThan">
      <formula>0</formula>
    </cfRule>
  </conditionalFormatting>
  <conditionalFormatting sqref="C87:Z87">
    <cfRule type="cellIs" dxfId="343" priority="300" operator="lessThan">
      <formula>0</formula>
    </cfRule>
  </conditionalFormatting>
  <conditionalFormatting sqref="C83:M83 O83:Z83">
    <cfRule type="cellIs" dxfId="342" priority="299" operator="lessThan">
      <formula>0</formula>
    </cfRule>
  </conditionalFormatting>
  <conditionalFormatting sqref="N83">
    <cfRule type="cellIs" dxfId="341" priority="298" operator="lessThan">
      <formula>0</formula>
    </cfRule>
  </conditionalFormatting>
  <conditionalFormatting sqref="BO5:CL8">
    <cfRule type="cellIs" dxfId="340" priority="297" operator="lessThan">
      <formula>0</formula>
    </cfRule>
  </conditionalFormatting>
  <conditionalFormatting sqref="BO10:CL13">
    <cfRule type="cellIs" dxfId="339" priority="296" operator="lessThan">
      <formula>0</formula>
    </cfRule>
  </conditionalFormatting>
  <conditionalFormatting sqref="BO15:CL18">
    <cfRule type="cellIs" dxfId="338" priority="295" operator="lessThan">
      <formula>0</formula>
    </cfRule>
  </conditionalFormatting>
  <conditionalFormatting sqref="BO20:CL23">
    <cfRule type="cellIs" dxfId="337" priority="294" operator="lessThan">
      <formula>0</formula>
    </cfRule>
  </conditionalFormatting>
  <conditionalFormatting sqref="BO25:CL28">
    <cfRule type="cellIs" dxfId="336" priority="293" operator="lessThan">
      <formula>0</formula>
    </cfRule>
  </conditionalFormatting>
  <conditionalFormatting sqref="BP30:CL30 BO31:CL35">
    <cfRule type="cellIs" dxfId="335" priority="292" operator="lessThan">
      <formula>0</formula>
    </cfRule>
  </conditionalFormatting>
  <conditionalFormatting sqref="BO30">
    <cfRule type="cellIs" dxfId="334" priority="291" operator="lessThan">
      <formula>0</formula>
    </cfRule>
  </conditionalFormatting>
  <conditionalFormatting sqref="BO44:CL47">
    <cfRule type="cellIs" dxfId="333" priority="290" operator="lessThan">
      <formula>0</formula>
    </cfRule>
  </conditionalFormatting>
  <conditionalFormatting sqref="BO49:CL52">
    <cfRule type="cellIs" dxfId="332" priority="289" operator="lessThan">
      <formula>0</formula>
    </cfRule>
  </conditionalFormatting>
  <conditionalFormatting sqref="BO54:CL57">
    <cfRule type="cellIs" dxfId="331" priority="288" operator="lessThan">
      <formula>0</formula>
    </cfRule>
  </conditionalFormatting>
  <conditionalFormatting sqref="BO60:CL62 BP59:CL59">
    <cfRule type="cellIs" dxfId="330" priority="287" operator="lessThan">
      <formula>0</formula>
    </cfRule>
  </conditionalFormatting>
  <conditionalFormatting sqref="BO65:CL67 BP64:CL64">
    <cfRule type="cellIs" dxfId="329" priority="286" operator="lessThan">
      <formula>0</formula>
    </cfRule>
  </conditionalFormatting>
  <conditionalFormatting sqref="BP69:CL69 BO70:CL73">
    <cfRule type="cellIs" dxfId="328" priority="285" operator="lessThan">
      <formula>0</formula>
    </cfRule>
  </conditionalFormatting>
  <conditionalFormatting sqref="BO59">
    <cfRule type="cellIs" dxfId="327" priority="284" operator="lessThan">
      <formula>0</formula>
    </cfRule>
  </conditionalFormatting>
  <conditionalFormatting sqref="BO64">
    <cfRule type="cellIs" dxfId="326" priority="283" operator="lessThan">
      <formula>0</formula>
    </cfRule>
  </conditionalFormatting>
  <conditionalFormatting sqref="BO69">
    <cfRule type="cellIs" dxfId="325" priority="282" operator="lessThan">
      <formula>0</formula>
    </cfRule>
  </conditionalFormatting>
  <conditionalFormatting sqref="BO76:CL76">
    <cfRule type="cellIs" dxfId="324" priority="280" operator="notEqual">
      <formula>TRUE</formula>
    </cfRule>
    <cfRule type="cellIs" dxfId="323" priority="281" operator="equal">
      <formula>TRUE</formula>
    </cfRule>
  </conditionalFormatting>
  <conditionalFormatting sqref="BO74:CL74">
    <cfRule type="cellIs" dxfId="322" priority="279" operator="lessThan">
      <formula>0</formula>
    </cfRule>
  </conditionalFormatting>
  <conditionalFormatting sqref="C122:Z123">
    <cfRule type="cellIs" dxfId="321" priority="277" operator="lessThan">
      <formula>0</formula>
    </cfRule>
  </conditionalFormatting>
  <conditionalFormatting sqref="C131:Z132">
    <cfRule type="cellIs" dxfId="320" priority="276" operator="lessThan">
      <formula>0</formula>
    </cfRule>
  </conditionalFormatting>
  <conditionalFormatting sqref="C125:Z126">
    <cfRule type="cellIs" dxfId="319" priority="275" operator="lessThan">
      <formula>0</formula>
    </cfRule>
  </conditionalFormatting>
  <conditionalFormatting sqref="C134:Z135">
    <cfRule type="cellIs" dxfId="318" priority="274" operator="lessThan">
      <formula>0</formula>
    </cfRule>
  </conditionalFormatting>
  <conditionalFormatting sqref="C82:M82 O82:Z82">
    <cfRule type="cellIs" dxfId="317" priority="273" operator="lessThan">
      <formula>0</formula>
    </cfRule>
  </conditionalFormatting>
  <conditionalFormatting sqref="N82">
    <cfRule type="cellIs" dxfId="316" priority="272" operator="lessThan">
      <formula>0</formula>
    </cfRule>
  </conditionalFormatting>
  <conditionalFormatting sqref="C36:Z36">
    <cfRule type="cellIs" dxfId="315" priority="271" operator="lessThan">
      <formula>0</formula>
    </cfRule>
  </conditionalFormatting>
  <conditionalFormatting sqref="BO36:CL36">
    <cfRule type="cellIs" dxfId="314" priority="270" operator="lessThan">
      <formula>0</formula>
    </cfRule>
  </conditionalFormatting>
  <conditionalFormatting sqref="C38:Z38">
    <cfRule type="cellIs" dxfId="313" priority="268" operator="notEqual">
      <formula>TRUE</formula>
    </cfRule>
    <cfRule type="cellIs" dxfId="312" priority="269" operator="equal">
      <formula>TRUE</formula>
    </cfRule>
  </conditionalFormatting>
  <conditionalFormatting sqref="BO38:CL38">
    <cfRule type="cellIs" dxfId="311" priority="266" operator="notEqual">
      <formula>TRUE</formula>
    </cfRule>
    <cfRule type="cellIs" dxfId="310" priority="267" operator="equal">
      <formula>TRUE</formula>
    </cfRule>
  </conditionalFormatting>
  <conditionalFormatting sqref="M107:M108 O107:P108">
    <cfRule type="cellIs" dxfId="309" priority="233" operator="lessThan">
      <formula>0</formula>
    </cfRule>
  </conditionalFormatting>
  <conditionalFormatting sqref="N107:N108">
    <cfRule type="cellIs" dxfId="308" priority="232" operator="lessThan">
      <formula>0</formula>
    </cfRule>
  </conditionalFormatting>
  <conditionalFormatting sqref="Q109:X110 D109:L110">
    <cfRule type="cellIs" dxfId="307" priority="245" operator="lessThan">
      <formula>0</formula>
    </cfRule>
  </conditionalFormatting>
  <conditionalFormatting sqref="Q111:X111 D111:L111">
    <cfRule type="cellIs" dxfId="306" priority="244" operator="lessThan">
      <formula>0</formula>
    </cfRule>
  </conditionalFormatting>
  <conditionalFormatting sqref="Q107:X108 E107:L108">
    <cfRule type="cellIs" dxfId="305" priority="242" operator="lessThan">
      <formula>0</formula>
    </cfRule>
  </conditionalFormatting>
  <conditionalFormatting sqref="N115">
    <cfRule type="cellIs" dxfId="304" priority="216" operator="lessThan">
      <formula>0</formula>
    </cfRule>
  </conditionalFormatting>
  <conditionalFormatting sqref="N113:N114">
    <cfRule type="cellIs" dxfId="303" priority="214" operator="lessThan">
      <formula>0</formula>
    </cfRule>
  </conditionalFormatting>
  <conditionalFormatting sqref="Y109:Z110">
    <cfRule type="cellIs" dxfId="302" priority="241" operator="lessThan">
      <formula>0</formula>
    </cfRule>
  </conditionalFormatting>
  <conditionalFormatting sqref="Y111:Z111">
    <cfRule type="cellIs" dxfId="301" priority="240" operator="lessThan">
      <formula>0</formula>
    </cfRule>
  </conditionalFormatting>
  <conditionalFormatting sqref="Y107:Z108">
    <cfRule type="cellIs" dxfId="300" priority="238" operator="lessThan">
      <formula>0</formula>
    </cfRule>
  </conditionalFormatting>
  <conditionalFormatting sqref="M109:P110">
    <cfRule type="cellIs" dxfId="299" priority="237" operator="lessThan">
      <formula>0</formula>
    </cfRule>
  </conditionalFormatting>
  <conditionalFormatting sqref="M111:P111">
    <cfRule type="cellIs" dxfId="298" priority="236" operator="lessThan">
      <formula>0</formula>
    </cfRule>
  </conditionalFormatting>
  <conditionalFormatting sqref="C109:C110">
    <cfRule type="cellIs" dxfId="297" priority="231" operator="lessThan">
      <formula>0</formula>
    </cfRule>
  </conditionalFormatting>
  <conditionalFormatting sqref="C107:D108">
    <cfRule type="cellIs" dxfId="296" priority="228" operator="lessThan">
      <formula>0</formula>
    </cfRule>
  </conditionalFormatting>
  <conditionalFormatting sqref="M113:M114 O113:P114">
    <cfRule type="cellIs" dxfId="295" priority="215" operator="lessThan">
      <formula>0</formula>
    </cfRule>
  </conditionalFormatting>
  <conditionalFormatting sqref="C116">
    <cfRule type="cellIs" dxfId="294" priority="213" operator="lessThan">
      <formula>0</formula>
    </cfRule>
  </conditionalFormatting>
  <conditionalFormatting sqref="Q116:X116 D116:L116">
    <cfRule type="cellIs" dxfId="293" priority="227" operator="lessThan">
      <formula>0</formula>
    </cfRule>
  </conditionalFormatting>
  <conditionalFormatting sqref="Q115:X115 D115:L115">
    <cfRule type="cellIs" dxfId="292" priority="225" operator="lessThan">
      <formula>0</formula>
    </cfRule>
  </conditionalFormatting>
  <conditionalFormatting sqref="E113:L114 Q113:X114">
    <cfRule type="cellIs" dxfId="291" priority="224" operator="lessThan">
      <formula>0</formula>
    </cfRule>
  </conditionalFormatting>
  <conditionalFormatting sqref="Y116:Z116">
    <cfRule type="cellIs" dxfId="290" priority="223" operator="lessThan">
      <formula>0</formula>
    </cfRule>
  </conditionalFormatting>
  <conditionalFormatting sqref="Y115:Z115">
    <cfRule type="cellIs" dxfId="289" priority="221" operator="lessThan">
      <formula>0</formula>
    </cfRule>
  </conditionalFormatting>
  <conditionalFormatting sqref="Y113:Z114">
    <cfRule type="cellIs" dxfId="288" priority="220" operator="lessThan">
      <formula>0</formula>
    </cfRule>
  </conditionalFormatting>
  <conditionalFormatting sqref="M116:P116">
    <cfRule type="cellIs" dxfId="287" priority="219" operator="lessThan">
      <formula>0</formula>
    </cfRule>
  </conditionalFormatting>
  <conditionalFormatting sqref="M115 O115:P115">
    <cfRule type="cellIs" dxfId="286" priority="217" operator="lessThan">
      <formula>0</formula>
    </cfRule>
  </conditionalFormatting>
  <conditionalFormatting sqref="C115">
    <cfRule type="cellIs" dxfId="285" priority="211" operator="lessThan">
      <formula>0</formula>
    </cfRule>
  </conditionalFormatting>
  <conditionalFormatting sqref="C113:C114">
    <cfRule type="cellIs" dxfId="284" priority="210" operator="lessThan">
      <formula>0</formula>
    </cfRule>
  </conditionalFormatting>
  <conditionalFormatting sqref="C91:Z92">
    <cfRule type="cellIs" dxfId="283" priority="205" operator="lessThan">
      <formula>0</formula>
    </cfRule>
  </conditionalFormatting>
  <conditionalFormatting sqref="C90:Z90">
    <cfRule type="cellIs" dxfId="282" priority="206" operator="lessThan">
      <formula>0</formula>
    </cfRule>
  </conditionalFormatting>
  <conditionalFormatting sqref="C93:Z93">
    <cfRule type="cellIs" dxfId="281" priority="203" operator="notEqual">
      <formula>TRUE</formula>
    </cfRule>
    <cfRule type="cellIs" dxfId="280" priority="204" operator="equal">
      <formula>TRUE</formula>
    </cfRule>
  </conditionalFormatting>
  <conditionalFormatting sqref="BO93:CL93">
    <cfRule type="cellIs" dxfId="279" priority="201" operator="notEqual">
      <formula>TRUE</formula>
    </cfRule>
    <cfRule type="cellIs" dxfId="278" priority="202" operator="equal">
      <formula>TRUE</formula>
    </cfRule>
  </conditionalFormatting>
  <conditionalFormatting sqref="B39">
    <cfRule type="cellIs" dxfId="277" priority="199" operator="notEqual">
      <formula>TRUE</formula>
    </cfRule>
    <cfRule type="cellIs" dxfId="276" priority="200" operator="equal">
      <formula>TRUE</formula>
    </cfRule>
  </conditionalFormatting>
  <conditionalFormatting sqref="BN39">
    <cfRule type="cellIs" dxfId="275" priority="197" operator="notEqual">
      <formula>TRUE</formula>
    </cfRule>
    <cfRule type="cellIs" dxfId="274" priority="198" operator="equal">
      <formula>TRUE</formula>
    </cfRule>
  </conditionalFormatting>
  <conditionalFormatting sqref="B77">
    <cfRule type="cellIs" dxfId="273" priority="195" operator="notEqual">
      <formula>TRUE</formula>
    </cfRule>
    <cfRule type="cellIs" dxfId="272" priority="196" operator="equal">
      <formula>TRUE</formula>
    </cfRule>
  </conditionalFormatting>
  <conditionalFormatting sqref="BN77">
    <cfRule type="cellIs" dxfId="271" priority="193" operator="notEqual">
      <formula>TRUE</formula>
    </cfRule>
    <cfRule type="cellIs" dxfId="270" priority="194" operator="equal">
      <formula>TRUE</formula>
    </cfRule>
  </conditionalFormatting>
  <conditionalFormatting sqref="B94">
    <cfRule type="cellIs" dxfId="269" priority="191" operator="notEqual">
      <formula>TRUE</formula>
    </cfRule>
    <cfRule type="cellIs" dxfId="268" priority="192" operator="equal">
      <formula>TRUE</formula>
    </cfRule>
  </conditionalFormatting>
  <conditionalFormatting sqref="C37:Z37">
    <cfRule type="cellIs" dxfId="267" priority="190" operator="lessThan">
      <formula>0</formula>
    </cfRule>
  </conditionalFormatting>
  <conditionalFormatting sqref="BO37:CL37">
    <cfRule type="cellIs" dxfId="266" priority="189" operator="lessThan">
      <formula>0</formula>
    </cfRule>
  </conditionalFormatting>
  <conditionalFormatting sqref="C111">
    <cfRule type="cellIs" dxfId="265" priority="188" operator="lessThan">
      <formula>0</formula>
    </cfRule>
  </conditionalFormatting>
  <conditionalFormatting sqref="Q117:X117 E117:L117">
    <cfRule type="cellIs" dxfId="264" priority="187" operator="lessThan">
      <formula>0</formula>
    </cfRule>
  </conditionalFormatting>
  <conditionalFormatting sqref="Y117:Z117">
    <cfRule type="cellIs" dxfId="263" priority="186" operator="lessThan">
      <formula>0</formula>
    </cfRule>
  </conditionalFormatting>
  <conditionalFormatting sqref="M117:P117">
    <cfRule type="cellIs" dxfId="262" priority="185" operator="lessThan">
      <formula>0</formula>
    </cfRule>
  </conditionalFormatting>
  <conditionalFormatting sqref="C117">
    <cfRule type="cellIs" dxfId="261" priority="184" operator="lessThan">
      <formula>0</formula>
    </cfRule>
  </conditionalFormatting>
  <conditionalFormatting sqref="H98">
    <cfRule type="cellIs" dxfId="260" priority="182" operator="lessThan">
      <formula>0</formula>
    </cfRule>
  </conditionalFormatting>
  <conditionalFormatting sqref="AA15:AX18">
    <cfRule type="cellIs" dxfId="259" priority="176" operator="lessThan">
      <formula>0</formula>
    </cfRule>
  </conditionalFormatting>
  <conditionalFormatting sqref="AA5:AX8 AA140:AX144">
    <cfRule type="cellIs" dxfId="258" priority="178" operator="lessThan">
      <formula>0</formula>
    </cfRule>
  </conditionalFormatting>
  <conditionalFormatting sqref="AA10:AX13">
    <cfRule type="cellIs" dxfId="257" priority="177" operator="lessThan">
      <formula>0</formula>
    </cfRule>
  </conditionalFormatting>
  <conditionalFormatting sqref="AA20:AX23">
    <cfRule type="cellIs" dxfId="256" priority="175" operator="lessThan">
      <formula>0</formula>
    </cfRule>
  </conditionalFormatting>
  <conditionalFormatting sqref="AA25:AX28">
    <cfRule type="cellIs" dxfId="255" priority="174" operator="lessThan">
      <formula>0</formula>
    </cfRule>
  </conditionalFormatting>
  <conditionalFormatting sqref="AB30:AX30 AA31:AX35">
    <cfRule type="cellIs" dxfId="254" priority="173" operator="lessThan">
      <formula>0</formula>
    </cfRule>
  </conditionalFormatting>
  <conditionalFormatting sqref="AA30">
    <cfRule type="cellIs" dxfId="253" priority="172" operator="lessThan">
      <formula>0</formula>
    </cfRule>
  </conditionalFormatting>
  <conditionalFormatting sqref="AA44:AX47">
    <cfRule type="cellIs" dxfId="252" priority="171" operator="lessThan">
      <formula>0</formula>
    </cfRule>
  </conditionalFormatting>
  <conditionalFormatting sqref="AA49:AX52">
    <cfRule type="cellIs" dxfId="251" priority="170" operator="lessThan">
      <formula>0</formula>
    </cfRule>
  </conditionalFormatting>
  <conditionalFormatting sqref="AA54:AX57">
    <cfRule type="cellIs" dxfId="250" priority="169" operator="lessThan">
      <formula>0</formula>
    </cfRule>
  </conditionalFormatting>
  <conditionalFormatting sqref="AA60:AX62 AB59:AX59">
    <cfRule type="cellIs" dxfId="249" priority="168" operator="lessThan">
      <formula>0</formula>
    </cfRule>
  </conditionalFormatting>
  <conditionalFormatting sqref="AA65:AX67 AB64:AX64">
    <cfRule type="cellIs" dxfId="248" priority="167" operator="lessThan">
      <formula>0</formula>
    </cfRule>
  </conditionalFormatting>
  <conditionalFormatting sqref="AB69:AX69 AA70:AX73">
    <cfRule type="cellIs" dxfId="247" priority="166" operator="lessThan">
      <formula>0</formula>
    </cfRule>
  </conditionalFormatting>
  <conditionalFormatting sqref="AA59">
    <cfRule type="cellIs" dxfId="246" priority="165" operator="lessThan">
      <formula>0</formula>
    </cfRule>
  </conditionalFormatting>
  <conditionalFormatting sqref="AA64">
    <cfRule type="cellIs" dxfId="245" priority="164" operator="lessThan">
      <formula>0</formula>
    </cfRule>
  </conditionalFormatting>
  <conditionalFormatting sqref="AA69">
    <cfRule type="cellIs" dxfId="244" priority="163" operator="lessThan">
      <formula>0</formula>
    </cfRule>
  </conditionalFormatting>
  <conditionalFormatting sqref="AA76:AX76">
    <cfRule type="cellIs" dxfId="243" priority="161" operator="notEqual">
      <formula>TRUE</formula>
    </cfRule>
    <cfRule type="cellIs" dxfId="242" priority="162" operator="equal">
      <formula>TRUE</formula>
    </cfRule>
  </conditionalFormatting>
  <conditionalFormatting sqref="AA84:AX84">
    <cfRule type="cellIs" dxfId="241" priority="160" operator="lessThan">
      <formula>0</formula>
    </cfRule>
  </conditionalFormatting>
  <conditionalFormatting sqref="AA85:AX85">
    <cfRule type="cellIs" dxfId="240" priority="159" operator="lessThan">
      <formula>0</formula>
    </cfRule>
  </conditionalFormatting>
  <conditionalFormatting sqref="AA74:AX74">
    <cfRule type="cellIs" dxfId="239" priority="158" operator="lessThan">
      <formula>0</formula>
    </cfRule>
  </conditionalFormatting>
  <conditionalFormatting sqref="AA86:AX86">
    <cfRule type="cellIs" dxfId="238" priority="157" operator="lessThan">
      <formula>0</formula>
    </cfRule>
  </conditionalFormatting>
  <conditionalFormatting sqref="AA87:AX87">
    <cfRule type="cellIs" dxfId="237" priority="156" operator="lessThan">
      <formula>0</formula>
    </cfRule>
  </conditionalFormatting>
  <conditionalFormatting sqref="AA83:AK83 AM83:AX83">
    <cfRule type="cellIs" dxfId="236" priority="155" operator="lessThan">
      <formula>0</formula>
    </cfRule>
  </conditionalFormatting>
  <conditionalFormatting sqref="AL83">
    <cfRule type="cellIs" dxfId="235" priority="154" operator="lessThan">
      <formula>0</formula>
    </cfRule>
  </conditionalFormatting>
  <conditionalFormatting sqref="AA122:AX123">
    <cfRule type="cellIs" dxfId="234" priority="153" operator="lessThan">
      <formula>0</formula>
    </cfRule>
  </conditionalFormatting>
  <conditionalFormatting sqref="AA131:AX132">
    <cfRule type="cellIs" dxfId="233" priority="152" operator="lessThan">
      <formula>0</formula>
    </cfRule>
  </conditionalFormatting>
  <conditionalFormatting sqref="AA125:AX126">
    <cfRule type="cellIs" dxfId="232" priority="151" operator="lessThan">
      <formula>0</formula>
    </cfRule>
  </conditionalFormatting>
  <conditionalFormatting sqref="AA134:AX135">
    <cfRule type="cellIs" dxfId="231" priority="150" operator="lessThan">
      <formula>0</formula>
    </cfRule>
  </conditionalFormatting>
  <conditionalFormatting sqref="AA82:AK82 AM82:AX82">
    <cfRule type="cellIs" dxfId="230" priority="149" operator="lessThan">
      <formula>0</formula>
    </cfRule>
  </conditionalFormatting>
  <conditionalFormatting sqref="AL82">
    <cfRule type="cellIs" dxfId="229" priority="148" operator="lessThan">
      <formula>0</formula>
    </cfRule>
  </conditionalFormatting>
  <conditionalFormatting sqref="AA36:AX36">
    <cfRule type="cellIs" dxfId="228" priority="147" operator="lessThan">
      <formula>0</formula>
    </cfRule>
  </conditionalFormatting>
  <conditionalFormatting sqref="AA38:AX38">
    <cfRule type="cellIs" dxfId="227" priority="145" operator="notEqual">
      <formula>TRUE</formula>
    </cfRule>
    <cfRule type="cellIs" dxfId="226" priority="146" operator="equal">
      <formula>TRUE</formula>
    </cfRule>
  </conditionalFormatting>
  <conditionalFormatting sqref="AK107:AK108 AM107:AN108">
    <cfRule type="cellIs" dxfId="225" priority="136" operator="lessThan">
      <formula>0</formula>
    </cfRule>
  </conditionalFormatting>
  <conditionalFormatting sqref="AL107:AL108">
    <cfRule type="cellIs" dxfId="224" priority="135" operator="lessThan">
      <formula>0</formula>
    </cfRule>
  </conditionalFormatting>
  <conditionalFormatting sqref="AB109:AJ110 AO109:AV110">
    <cfRule type="cellIs" dxfId="223" priority="144" operator="lessThan">
      <formula>0</formula>
    </cfRule>
  </conditionalFormatting>
  <conditionalFormatting sqref="AO111:AV111 AB111:AJ111">
    <cfRule type="cellIs" dxfId="222" priority="143" operator="lessThan">
      <formula>0</formula>
    </cfRule>
  </conditionalFormatting>
  <conditionalFormatting sqref="AO107:AV108 AC107:AJ108">
    <cfRule type="cellIs" dxfId="221" priority="142" operator="lessThan">
      <formula>0</formula>
    </cfRule>
  </conditionalFormatting>
  <conditionalFormatting sqref="AL115">
    <cfRule type="cellIs" dxfId="220" priority="124" operator="lessThan">
      <formula>0</formula>
    </cfRule>
  </conditionalFormatting>
  <conditionalFormatting sqref="AL113:AL114">
    <cfRule type="cellIs" dxfId="219" priority="122" operator="lessThan">
      <formula>0</formula>
    </cfRule>
  </conditionalFormatting>
  <conditionalFormatting sqref="AW109:AX110">
    <cfRule type="cellIs" dxfId="218" priority="141" operator="lessThan">
      <formula>0</formula>
    </cfRule>
  </conditionalFormatting>
  <conditionalFormatting sqref="AW111:AX111">
    <cfRule type="cellIs" dxfId="217" priority="140" operator="lessThan">
      <formula>0</formula>
    </cfRule>
  </conditionalFormatting>
  <conditionalFormatting sqref="AW107:AX108">
    <cfRule type="cellIs" dxfId="216" priority="139" operator="lessThan">
      <formula>0</formula>
    </cfRule>
  </conditionalFormatting>
  <conditionalFormatting sqref="AK109:AN110">
    <cfRule type="cellIs" dxfId="215" priority="138" operator="lessThan">
      <formula>0</formula>
    </cfRule>
  </conditionalFormatting>
  <conditionalFormatting sqref="AK111:AN111">
    <cfRule type="cellIs" dxfId="214" priority="137" operator="lessThan">
      <formula>0</formula>
    </cfRule>
  </conditionalFormatting>
  <conditionalFormatting sqref="AA109:AA110">
    <cfRule type="cellIs" dxfId="213" priority="134" operator="lessThan">
      <formula>0</formula>
    </cfRule>
  </conditionalFormatting>
  <conditionalFormatting sqref="AA107:AB108">
    <cfRule type="cellIs" dxfId="212" priority="133" operator="lessThan">
      <formula>0</formula>
    </cfRule>
  </conditionalFormatting>
  <conditionalFormatting sqref="AK113:AK114 AM113:AN114">
    <cfRule type="cellIs" dxfId="211" priority="123" operator="lessThan">
      <formula>0</formula>
    </cfRule>
  </conditionalFormatting>
  <conditionalFormatting sqref="AA116">
    <cfRule type="cellIs" dxfId="210" priority="121" operator="lessThan">
      <formula>0</formula>
    </cfRule>
  </conditionalFormatting>
  <conditionalFormatting sqref="AB116:AJ116 AO116:AV116">
    <cfRule type="cellIs" dxfId="209" priority="132" operator="lessThan">
      <formula>0</formula>
    </cfRule>
  </conditionalFormatting>
  <conditionalFormatting sqref="AB115:AJ115 AO115:AV115">
    <cfRule type="cellIs" dxfId="208" priority="131" operator="lessThan">
      <formula>0</formula>
    </cfRule>
  </conditionalFormatting>
  <conditionalFormatting sqref="AB113:AJ114 AO113:AV114">
    <cfRule type="cellIs" dxfId="207" priority="130" operator="lessThan">
      <formula>0</formula>
    </cfRule>
  </conditionalFormatting>
  <conditionalFormatting sqref="AW116:AX116">
    <cfRule type="cellIs" dxfId="206" priority="129" operator="lessThan">
      <formula>0</formula>
    </cfRule>
  </conditionalFormatting>
  <conditionalFormatting sqref="AW115:AX115">
    <cfRule type="cellIs" dxfId="205" priority="128" operator="lessThan">
      <formula>0</formula>
    </cfRule>
  </conditionalFormatting>
  <conditionalFormatting sqref="AW113:AX114">
    <cfRule type="cellIs" dxfId="204" priority="127" operator="lessThan">
      <formula>0</formula>
    </cfRule>
  </conditionalFormatting>
  <conditionalFormatting sqref="AK116:AN116">
    <cfRule type="cellIs" dxfId="203" priority="126" operator="lessThan">
      <formula>0</formula>
    </cfRule>
  </conditionalFormatting>
  <conditionalFormatting sqref="AK115 AM115:AN115">
    <cfRule type="cellIs" dxfId="202" priority="125" operator="lessThan">
      <formula>0</formula>
    </cfRule>
  </conditionalFormatting>
  <conditionalFormatting sqref="AA115">
    <cfRule type="cellIs" dxfId="201" priority="120" operator="lessThan">
      <formula>0</formula>
    </cfRule>
  </conditionalFormatting>
  <conditionalFormatting sqref="AA113:AA114">
    <cfRule type="cellIs" dxfId="200" priority="119" operator="lessThan">
      <formula>0</formula>
    </cfRule>
  </conditionalFormatting>
  <conditionalFormatting sqref="AA91:AX92">
    <cfRule type="cellIs" dxfId="199" priority="117" operator="lessThan">
      <formula>0</formula>
    </cfRule>
  </conditionalFormatting>
  <conditionalFormatting sqref="AA90:AX90">
    <cfRule type="cellIs" dxfId="198" priority="118" operator="lessThan">
      <formula>0</formula>
    </cfRule>
  </conditionalFormatting>
  <conditionalFormatting sqref="AA93:AX93">
    <cfRule type="cellIs" dxfId="197" priority="115" operator="notEqual">
      <formula>TRUE</formula>
    </cfRule>
    <cfRule type="cellIs" dxfId="196" priority="116" operator="equal">
      <formula>TRUE</formula>
    </cfRule>
  </conditionalFormatting>
  <conditionalFormatting sqref="AA37:AX37">
    <cfRule type="cellIs" dxfId="195" priority="114" operator="lessThan">
      <formula>0</formula>
    </cfRule>
  </conditionalFormatting>
  <conditionalFormatting sqref="AA111">
    <cfRule type="cellIs" dxfId="194" priority="113" operator="lessThan">
      <formula>0</formula>
    </cfRule>
  </conditionalFormatting>
  <conditionalFormatting sqref="AO117:AV117 AC117:AJ117">
    <cfRule type="cellIs" dxfId="193" priority="112" operator="lessThan">
      <formula>0</formula>
    </cfRule>
  </conditionalFormatting>
  <conditionalFormatting sqref="AW117:AX117">
    <cfRule type="cellIs" dxfId="192" priority="111" operator="lessThan">
      <formula>0</formula>
    </cfRule>
  </conditionalFormatting>
  <conditionalFormatting sqref="AK117:AN117">
    <cfRule type="cellIs" dxfId="191" priority="110" operator="lessThan">
      <formula>0</formula>
    </cfRule>
  </conditionalFormatting>
  <conditionalFormatting sqref="AA117">
    <cfRule type="cellIs" dxfId="190" priority="109" operator="lessThan">
      <formula>0</formula>
    </cfRule>
  </conditionalFormatting>
  <conditionalFormatting sqref="AB117">
    <cfRule type="cellIs" dxfId="189" priority="107" operator="lessThan">
      <formula>0</formula>
    </cfRule>
  </conditionalFormatting>
  <conditionalFormatting sqref="AY5:BJ8 AY140:BJ144">
    <cfRule type="cellIs" dxfId="188" priority="105" operator="lessThan">
      <formula>0</formula>
    </cfRule>
  </conditionalFormatting>
  <conditionalFormatting sqref="AY10:BJ13">
    <cfRule type="cellIs" dxfId="187" priority="104" operator="lessThan">
      <formula>0</formula>
    </cfRule>
  </conditionalFormatting>
  <conditionalFormatting sqref="AY15:BJ18">
    <cfRule type="cellIs" dxfId="186" priority="103" operator="lessThan">
      <formula>0</formula>
    </cfRule>
  </conditionalFormatting>
  <conditionalFormatting sqref="AY20:BJ23">
    <cfRule type="cellIs" dxfId="185" priority="102" operator="lessThan">
      <formula>0</formula>
    </cfRule>
  </conditionalFormatting>
  <conditionalFormatting sqref="AY25:BJ28">
    <cfRule type="cellIs" dxfId="184" priority="101" operator="lessThan">
      <formula>0</formula>
    </cfRule>
  </conditionalFormatting>
  <conditionalFormatting sqref="AY30:BJ35">
    <cfRule type="cellIs" dxfId="183" priority="100" operator="lessThan">
      <formula>0</formula>
    </cfRule>
  </conditionalFormatting>
  <conditionalFormatting sqref="AY44:BJ47">
    <cfRule type="cellIs" dxfId="182" priority="99" operator="lessThan">
      <formula>0</formula>
    </cfRule>
  </conditionalFormatting>
  <conditionalFormatting sqref="AY49:BJ52">
    <cfRule type="cellIs" dxfId="181" priority="98" operator="lessThan">
      <formula>0</formula>
    </cfRule>
  </conditionalFormatting>
  <conditionalFormatting sqref="AY54:BJ57">
    <cfRule type="cellIs" dxfId="180" priority="97" operator="lessThan">
      <formula>0</formula>
    </cfRule>
  </conditionalFormatting>
  <conditionalFormatting sqref="AY59:BJ62">
    <cfRule type="cellIs" dxfId="179" priority="96" operator="lessThan">
      <formula>0</formula>
    </cfRule>
  </conditionalFormatting>
  <conditionalFormatting sqref="AY64:BJ67">
    <cfRule type="cellIs" dxfId="178" priority="95" operator="lessThan">
      <formula>0</formula>
    </cfRule>
  </conditionalFormatting>
  <conditionalFormatting sqref="AY69:BJ73">
    <cfRule type="cellIs" dxfId="177" priority="94" operator="lessThan">
      <formula>0</formula>
    </cfRule>
  </conditionalFormatting>
  <conditionalFormatting sqref="AY76:BJ76">
    <cfRule type="cellIs" dxfId="176" priority="92" operator="notEqual">
      <formula>TRUE</formula>
    </cfRule>
    <cfRule type="cellIs" dxfId="175" priority="93" operator="equal">
      <formula>TRUE</formula>
    </cfRule>
  </conditionalFormatting>
  <conditionalFormatting sqref="AY84:BJ84">
    <cfRule type="cellIs" dxfId="174" priority="91" operator="lessThan">
      <formula>0</formula>
    </cfRule>
  </conditionalFormatting>
  <conditionalFormatting sqref="AY85:BJ85">
    <cfRule type="cellIs" dxfId="173" priority="90" operator="lessThan">
      <formula>0</formula>
    </cfRule>
  </conditionalFormatting>
  <conditionalFormatting sqref="AY74:BJ74">
    <cfRule type="cellIs" dxfId="172" priority="89" operator="lessThan">
      <formula>0</formula>
    </cfRule>
  </conditionalFormatting>
  <conditionalFormatting sqref="AY86:BJ86">
    <cfRule type="cellIs" dxfId="171" priority="88" operator="lessThan">
      <formula>0</formula>
    </cfRule>
  </conditionalFormatting>
  <conditionalFormatting sqref="AY87:BJ87">
    <cfRule type="cellIs" dxfId="170" priority="87" operator="lessThan">
      <formula>0</formula>
    </cfRule>
  </conditionalFormatting>
  <conditionalFormatting sqref="AY83:BJ83">
    <cfRule type="cellIs" dxfId="169" priority="86" operator="lessThan">
      <formula>0</formula>
    </cfRule>
  </conditionalFormatting>
  <conditionalFormatting sqref="AY122:BJ123">
    <cfRule type="cellIs" dxfId="168" priority="85" operator="lessThan">
      <formula>0</formula>
    </cfRule>
  </conditionalFormatting>
  <conditionalFormatting sqref="AY131:BJ132">
    <cfRule type="cellIs" dxfId="167" priority="84" operator="lessThan">
      <formula>0</formula>
    </cfRule>
  </conditionalFormatting>
  <conditionalFormatting sqref="AY125:BJ126">
    <cfRule type="cellIs" dxfId="166" priority="83" operator="lessThan">
      <formula>0</formula>
    </cfRule>
  </conditionalFormatting>
  <conditionalFormatting sqref="AY134:BJ135">
    <cfRule type="cellIs" dxfId="165" priority="82" operator="lessThan">
      <formula>0</formula>
    </cfRule>
  </conditionalFormatting>
  <conditionalFormatting sqref="AY82:BJ82">
    <cfRule type="cellIs" dxfId="164" priority="81" operator="lessThan">
      <formula>0</formula>
    </cfRule>
  </conditionalFormatting>
  <conditionalFormatting sqref="AY36:BJ36">
    <cfRule type="cellIs" dxfId="163" priority="80" operator="lessThan">
      <formula>0</formula>
    </cfRule>
  </conditionalFormatting>
  <conditionalFormatting sqref="AY38:BJ38">
    <cfRule type="cellIs" dxfId="162" priority="78" operator="notEqual">
      <formula>TRUE</formula>
    </cfRule>
    <cfRule type="cellIs" dxfId="161" priority="79" operator="equal">
      <formula>TRUE</formula>
    </cfRule>
  </conditionalFormatting>
  <conditionalFormatting sqref="AY107:AZ108">
    <cfRule type="cellIs" dxfId="160" priority="69" operator="lessThan">
      <formula>0</formula>
    </cfRule>
  </conditionalFormatting>
  <conditionalFormatting sqref="BA109:BH110">
    <cfRule type="cellIs" dxfId="159" priority="77" operator="lessThan">
      <formula>0</formula>
    </cfRule>
  </conditionalFormatting>
  <conditionalFormatting sqref="BA111:BH111">
    <cfRule type="cellIs" dxfId="158" priority="76" operator="lessThan">
      <formula>0</formula>
    </cfRule>
  </conditionalFormatting>
  <conditionalFormatting sqref="BA107:BH108">
    <cfRule type="cellIs" dxfId="157" priority="75" operator="lessThan">
      <formula>0</formula>
    </cfRule>
  </conditionalFormatting>
  <conditionalFormatting sqref="BI109:BJ110">
    <cfRule type="cellIs" dxfId="156" priority="74" operator="lessThan">
      <formula>0</formula>
    </cfRule>
  </conditionalFormatting>
  <conditionalFormatting sqref="BI111:BJ111">
    <cfRule type="cellIs" dxfId="155" priority="73" operator="lessThan">
      <formula>0</formula>
    </cfRule>
  </conditionalFormatting>
  <conditionalFormatting sqref="BI107:BJ108">
    <cfRule type="cellIs" dxfId="154" priority="72" operator="lessThan">
      <formula>0</formula>
    </cfRule>
  </conditionalFormatting>
  <conditionalFormatting sqref="AY109:AZ110">
    <cfRule type="cellIs" dxfId="153" priority="71" operator="lessThan">
      <formula>0</formula>
    </cfRule>
  </conditionalFormatting>
  <conditionalFormatting sqref="AY111:AZ111">
    <cfRule type="cellIs" dxfId="152" priority="70" operator="lessThan">
      <formula>0</formula>
    </cfRule>
  </conditionalFormatting>
  <conditionalFormatting sqref="AY113:AZ114">
    <cfRule type="cellIs" dxfId="151" priority="60" operator="lessThan">
      <formula>0</formula>
    </cfRule>
  </conditionalFormatting>
  <conditionalFormatting sqref="BA116:BH116">
    <cfRule type="cellIs" dxfId="150" priority="68" operator="lessThan">
      <formula>0</formula>
    </cfRule>
  </conditionalFormatting>
  <conditionalFormatting sqref="BA115:BH115">
    <cfRule type="cellIs" dxfId="149" priority="67" operator="lessThan">
      <formula>0</formula>
    </cfRule>
  </conditionalFormatting>
  <conditionalFormatting sqref="BA113:BH114">
    <cfRule type="cellIs" dxfId="148" priority="66" operator="lessThan">
      <formula>0</formula>
    </cfRule>
  </conditionalFormatting>
  <conditionalFormatting sqref="BI116:BJ116">
    <cfRule type="cellIs" dxfId="147" priority="65" operator="lessThan">
      <formula>0</formula>
    </cfRule>
  </conditionalFormatting>
  <conditionalFormatting sqref="BI115:BJ115">
    <cfRule type="cellIs" dxfId="146" priority="64" operator="lessThan">
      <formula>0</formula>
    </cfRule>
  </conditionalFormatting>
  <conditionalFormatting sqref="BI113:BJ114">
    <cfRule type="cellIs" dxfId="145" priority="63" operator="lessThan">
      <formula>0</formula>
    </cfRule>
  </conditionalFormatting>
  <conditionalFormatting sqref="AY116:AZ116">
    <cfRule type="cellIs" dxfId="144" priority="62" operator="lessThan">
      <formula>0</formula>
    </cfRule>
  </conditionalFormatting>
  <conditionalFormatting sqref="AY115:AZ115">
    <cfRule type="cellIs" dxfId="143" priority="61" operator="lessThan">
      <formula>0</formula>
    </cfRule>
  </conditionalFormatting>
  <conditionalFormatting sqref="AY91:BJ92">
    <cfRule type="cellIs" dxfId="142" priority="58" operator="lessThan">
      <formula>0</formula>
    </cfRule>
  </conditionalFormatting>
  <conditionalFormatting sqref="AY90:BJ90">
    <cfRule type="cellIs" dxfId="141" priority="59" operator="lessThan">
      <formula>0</formula>
    </cfRule>
  </conditionalFormatting>
  <conditionalFormatting sqref="AY93:BJ93">
    <cfRule type="cellIs" dxfId="140" priority="56" operator="notEqual">
      <formula>TRUE</formula>
    </cfRule>
    <cfRule type="cellIs" dxfId="139" priority="57" operator="equal">
      <formula>TRUE</formula>
    </cfRule>
  </conditionalFormatting>
  <conditionalFormatting sqref="AY37:BJ37">
    <cfRule type="cellIs" dxfId="138" priority="55" operator="lessThan">
      <formula>0</formula>
    </cfRule>
  </conditionalFormatting>
  <conditionalFormatting sqref="BA117:BH117">
    <cfRule type="cellIs" dxfId="137" priority="54" operator="lessThan">
      <formula>0</formula>
    </cfRule>
  </conditionalFormatting>
  <conditionalFormatting sqref="BI117:BJ117">
    <cfRule type="cellIs" dxfId="136" priority="53" operator="lessThan">
      <formula>0</formula>
    </cfRule>
  </conditionalFormatting>
  <conditionalFormatting sqref="AY117:AZ117">
    <cfRule type="cellIs" dxfId="135" priority="52" operator="lessThan">
      <formula>0</formula>
    </cfRule>
  </conditionalFormatting>
  <conditionalFormatting sqref="CM5:DJ8">
    <cfRule type="cellIs" dxfId="134" priority="51" operator="lessThan">
      <formula>0</formula>
    </cfRule>
  </conditionalFormatting>
  <conditionalFormatting sqref="CM10:DJ13">
    <cfRule type="cellIs" dxfId="133" priority="50" operator="lessThan">
      <formula>0</formula>
    </cfRule>
  </conditionalFormatting>
  <conditionalFormatting sqref="CM15:DJ18">
    <cfRule type="cellIs" dxfId="132" priority="49" operator="lessThan">
      <formula>0</formula>
    </cfRule>
  </conditionalFormatting>
  <conditionalFormatting sqref="CM20:DJ23">
    <cfRule type="cellIs" dxfId="131" priority="48" operator="lessThan">
      <formula>0</formula>
    </cfRule>
  </conditionalFormatting>
  <conditionalFormatting sqref="CM25:DJ28">
    <cfRule type="cellIs" dxfId="130" priority="47" operator="lessThan">
      <formula>0</formula>
    </cfRule>
  </conditionalFormatting>
  <conditionalFormatting sqref="CN30:DJ30 CM31:DJ35">
    <cfRule type="cellIs" dxfId="129" priority="46" operator="lessThan">
      <formula>0</formula>
    </cfRule>
  </conditionalFormatting>
  <conditionalFormatting sqref="CM30">
    <cfRule type="cellIs" dxfId="128" priority="45" operator="lessThan">
      <formula>0</formula>
    </cfRule>
  </conditionalFormatting>
  <conditionalFormatting sqref="CM44:DJ47">
    <cfRule type="cellIs" dxfId="127" priority="44" operator="lessThan">
      <formula>0</formula>
    </cfRule>
  </conditionalFormatting>
  <conditionalFormatting sqref="CM49:DJ52">
    <cfRule type="cellIs" dxfId="126" priority="43" operator="lessThan">
      <formula>0</formula>
    </cfRule>
  </conditionalFormatting>
  <conditionalFormatting sqref="CM54:DJ57">
    <cfRule type="cellIs" dxfId="125" priority="42" operator="lessThan">
      <formula>0</formula>
    </cfRule>
  </conditionalFormatting>
  <conditionalFormatting sqref="CM60:DJ62 CN59:DJ59">
    <cfRule type="cellIs" dxfId="124" priority="41" operator="lessThan">
      <formula>0</formula>
    </cfRule>
  </conditionalFormatting>
  <conditionalFormatting sqref="CM65:DJ67 CN64:DJ64">
    <cfRule type="cellIs" dxfId="123" priority="40" operator="lessThan">
      <formula>0</formula>
    </cfRule>
  </conditionalFormatting>
  <conditionalFormatting sqref="CN69:DJ69 CM70:DJ73">
    <cfRule type="cellIs" dxfId="122" priority="39" operator="lessThan">
      <formula>0</formula>
    </cfRule>
  </conditionalFormatting>
  <conditionalFormatting sqref="CM59">
    <cfRule type="cellIs" dxfId="121" priority="38" operator="lessThan">
      <formula>0</formula>
    </cfRule>
  </conditionalFormatting>
  <conditionalFormatting sqref="CM64">
    <cfRule type="cellIs" dxfId="120" priority="37" operator="lessThan">
      <formula>0</formula>
    </cfRule>
  </conditionalFormatting>
  <conditionalFormatting sqref="CM69">
    <cfRule type="cellIs" dxfId="119" priority="36" operator="lessThan">
      <formula>0</formula>
    </cfRule>
  </conditionalFormatting>
  <conditionalFormatting sqref="CM76:DJ76">
    <cfRule type="cellIs" dxfId="118" priority="34" operator="notEqual">
      <formula>TRUE</formula>
    </cfRule>
    <cfRule type="cellIs" dxfId="117" priority="35" operator="equal">
      <formula>TRUE</formula>
    </cfRule>
  </conditionalFormatting>
  <conditionalFormatting sqref="CM74:DJ74">
    <cfRule type="cellIs" dxfId="116" priority="33" operator="lessThan">
      <formula>0</formula>
    </cfRule>
  </conditionalFormatting>
  <conditionalFormatting sqref="CM36:DJ36">
    <cfRule type="cellIs" dxfId="115" priority="32" operator="lessThan">
      <formula>0</formula>
    </cfRule>
  </conditionalFormatting>
  <conditionalFormatting sqref="CM38:DJ38">
    <cfRule type="cellIs" dxfId="114" priority="30" operator="notEqual">
      <formula>TRUE</formula>
    </cfRule>
    <cfRule type="cellIs" dxfId="113" priority="31" operator="equal">
      <formula>TRUE</formula>
    </cfRule>
  </conditionalFormatting>
  <conditionalFormatting sqref="CM93:DJ93">
    <cfRule type="cellIs" dxfId="112" priority="28" operator="notEqual">
      <formula>TRUE</formula>
    </cfRule>
    <cfRule type="cellIs" dxfId="111" priority="29" operator="equal">
      <formula>TRUE</formula>
    </cfRule>
  </conditionalFormatting>
  <conditionalFormatting sqref="CM37:DJ37">
    <cfRule type="cellIs" dxfId="110" priority="27" operator="lessThan">
      <formula>0</formula>
    </cfRule>
  </conditionalFormatting>
  <conditionalFormatting sqref="DK5:DV8">
    <cfRule type="cellIs" dxfId="109" priority="26" operator="lessThan">
      <formula>0</formula>
    </cfRule>
  </conditionalFormatting>
  <conditionalFormatting sqref="DK10:DV13">
    <cfRule type="cellIs" dxfId="108" priority="25" operator="lessThan">
      <formula>0</formula>
    </cfRule>
  </conditionalFormatting>
  <conditionalFormatting sqref="DK15:DV18">
    <cfRule type="cellIs" dxfId="107" priority="24" operator="lessThan">
      <formula>0</formula>
    </cfRule>
  </conditionalFormatting>
  <conditionalFormatting sqref="DK20:DV23">
    <cfRule type="cellIs" dxfId="106" priority="23" operator="lessThan">
      <formula>0</formula>
    </cfRule>
  </conditionalFormatting>
  <conditionalFormatting sqref="DK25:DV28">
    <cfRule type="cellIs" dxfId="105" priority="22" operator="lessThan">
      <formula>0</formula>
    </cfRule>
  </conditionalFormatting>
  <conditionalFormatting sqref="DK30:DV35">
    <cfRule type="cellIs" dxfId="104" priority="21" operator="lessThan">
      <formula>0</formula>
    </cfRule>
  </conditionalFormatting>
  <conditionalFormatting sqref="DK44:DV47">
    <cfRule type="cellIs" dxfId="103" priority="20" operator="lessThan">
      <formula>0</formula>
    </cfRule>
  </conditionalFormatting>
  <conditionalFormatting sqref="DK49:DV52">
    <cfRule type="cellIs" dxfId="102" priority="19" operator="lessThan">
      <formula>0</formula>
    </cfRule>
  </conditionalFormatting>
  <conditionalFormatting sqref="DK54:DV57">
    <cfRule type="cellIs" dxfId="101" priority="18" operator="lessThan">
      <formula>0</formula>
    </cfRule>
  </conditionalFormatting>
  <conditionalFormatting sqref="DK59:DV62">
    <cfRule type="cellIs" dxfId="100" priority="17" operator="lessThan">
      <formula>0</formula>
    </cfRule>
  </conditionalFormatting>
  <conditionalFormatting sqref="DK64:DV67">
    <cfRule type="cellIs" dxfId="99" priority="16" operator="lessThan">
      <formula>0</formula>
    </cfRule>
  </conditionalFormatting>
  <conditionalFormatting sqref="DK69:DV73">
    <cfRule type="cellIs" dxfId="98" priority="15" operator="lessThan">
      <formula>0</formula>
    </cfRule>
  </conditionalFormatting>
  <conditionalFormatting sqref="DK76:DV76">
    <cfRule type="cellIs" dxfId="97" priority="13" operator="notEqual">
      <formula>TRUE</formula>
    </cfRule>
    <cfRule type="cellIs" dxfId="96" priority="14" operator="equal">
      <formula>TRUE</formula>
    </cfRule>
  </conditionalFormatting>
  <conditionalFormatting sqref="DK74:DV74">
    <cfRule type="cellIs" dxfId="95" priority="12" operator="lessThan">
      <formula>0</formula>
    </cfRule>
  </conditionalFormatting>
  <conditionalFormatting sqref="DK36:DV36">
    <cfRule type="cellIs" dxfId="94" priority="11" operator="lessThan">
      <formula>0</formula>
    </cfRule>
  </conditionalFormatting>
  <conditionalFormatting sqref="DK38:DV38">
    <cfRule type="cellIs" dxfId="93" priority="9" operator="notEqual">
      <formula>TRUE</formula>
    </cfRule>
    <cfRule type="cellIs" dxfId="92" priority="10" operator="equal">
      <formula>TRUE</formula>
    </cfRule>
  </conditionalFormatting>
  <conditionalFormatting sqref="DK93:DV93">
    <cfRule type="cellIs" dxfId="91" priority="7" operator="notEqual">
      <formula>TRUE</formula>
    </cfRule>
    <cfRule type="cellIs" dxfId="90" priority="8" operator="equal">
      <formula>TRUE</formula>
    </cfRule>
  </conditionalFormatting>
  <conditionalFormatting sqref="DK37:DV37">
    <cfRule type="cellIs" dxfId="89" priority="6" operator="lessThan">
      <formula>0</formula>
    </cfRule>
  </conditionalFormatting>
  <conditionalFormatting sqref="D113:D114">
    <cfRule type="cellIs" dxfId="88" priority="3" operator="lessThan">
      <formula>0</formula>
    </cfRule>
  </conditionalFormatting>
  <conditionalFormatting sqref="D117">
    <cfRule type="cellIs" dxfId="87" priority="2" operator="lessThan">
      <formula>0</formula>
    </cfRule>
  </conditionalFormatting>
  <conditionalFormatting sqref="L98">
    <cfRule type="cellIs" dxfId="86" priority="1" operator="less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9">
    <tabColor theme="3"/>
    <pageSetUpPr fitToPage="1"/>
  </sheetPr>
  <dimension ref="U1:X42"/>
  <sheetViews>
    <sheetView showGridLines="0" zoomScaleNormal="100" workbookViewId="0">
      <selection activeCell="Y36" sqref="Y36"/>
    </sheetView>
  </sheetViews>
  <sheetFormatPr defaultColWidth="6.5703125" defaultRowHeight="15" customHeight="1" zeroHeight="1" x14ac:dyDescent="0.25"/>
  <cols>
    <col min="1" max="18" width="9.140625" customWidth="1"/>
    <col min="19" max="19" width="8.28515625" customWidth="1"/>
    <col min="20" max="24" width="6.5703125" customWidth="1"/>
  </cols>
  <sheetData>
    <row r="1" spans="21:22" ht="15" customHeight="1" x14ac:dyDescent="0.25"/>
    <row r="2" spans="21:22" ht="15" customHeight="1" x14ac:dyDescent="0.25">
      <c r="U2" s="2">
        <f t="shared" ref="U2:U19" si="0">ROW(V2)</f>
        <v>2</v>
      </c>
      <c r="V2" s="503" t="str">
        <f>"Trading Book "</f>
        <v xml:space="preserve">Trading Book </v>
      </c>
    </row>
    <row r="3" spans="21:22" ht="15" customHeight="1" x14ac:dyDescent="0.25">
      <c r="U3" s="2">
        <f t="shared" si="0"/>
        <v>3</v>
      </c>
      <c r="V3" s="504">
        <f>RESULTADO!F148</f>
        <v>44896</v>
      </c>
    </row>
    <row r="4" spans="21:22" ht="15" customHeight="1" x14ac:dyDescent="0.25">
      <c r="U4" s="2">
        <f t="shared" si="0"/>
        <v>4</v>
      </c>
      <c r="V4" s="503" t="s">
        <v>197</v>
      </c>
    </row>
    <row r="5" spans="21:22" ht="15" customHeight="1" x14ac:dyDescent="0.25">
      <c r="U5" s="2">
        <f t="shared" si="0"/>
        <v>5</v>
      </c>
      <c r="V5" s="503" t="str">
        <f>"R$"&amp;ROUND((RESULTADO!$D$159/1000000),2)&amp;"MM"</f>
        <v>R$13,14MM</v>
      </c>
    </row>
    <row r="6" spans="21:22" ht="15" customHeight="1" x14ac:dyDescent="0.25">
      <c r="U6" s="2">
        <f t="shared" si="0"/>
        <v>6</v>
      </c>
      <c r="V6" s="503" t="s">
        <v>343</v>
      </c>
    </row>
    <row r="7" spans="21:22" ht="15" customHeight="1" x14ac:dyDescent="0.25">
      <c r="U7" s="2">
        <f t="shared" si="0"/>
        <v>7</v>
      </c>
      <c r="V7" s="503" t="str">
        <f>"R$"&amp;ROUND(((RESULTADO!$H$98+RESULTADO!$H$99)/1000000),2)&amp;"MM"</f>
        <v>R$0,44MM</v>
      </c>
    </row>
    <row r="8" spans="21:22" ht="15" customHeight="1" x14ac:dyDescent="0.25">
      <c r="U8" s="2">
        <f t="shared" si="0"/>
        <v>8</v>
      </c>
      <c r="V8" s="503" t="str">
        <f>"Actual: "&amp;TEXT(RESULTADO!D157/1000000,"R$0,00")&amp;" MM"</f>
        <v>Actual: -R$1,71 MM</v>
      </c>
    </row>
    <row r="9" spans="21:22" ht="15" customHeight="1" x14ac:dyDescent="0.25">
      <c r="U9" s="2">
        <f t="shared" si="0"/>
        <v>9</v>
      </c>
      <c r="V9" s="503" t="str">
        <f>"Forecast:"&amp;TEXT(RESULTADO!D158/1000000,"R$0,00")&amp;" MM"</f>
        <v>Forecast:R$14,85 MM</v>
      </c>
    </row>
    <row r="10" spans="21:22" ht="15" customHeight="1" x14ac:dyDescent="0.25">
      <c r="U10" s="2">
        <f t="shared" si="0"/>
        <v>10</v>
      </c>
      <c r="V10" s="628" t="str">
        <f>"Open energy volume: "&amp;TEXT(ROUND(SUMPRODUCT('GPH-VOL'!$C$16:$BJ$16,'GPH-VOL'!C20:BJ20),0),"#;- #")&amp;" GWh"</f>
        <v>Open energy volume: - 258 GWh</v>
      </c>
    </row>
    <row r="11" spans="21:22" ht="15" customHeight="1" x14ac:dyDescent="0.25">
      <c r="U11" s="2">
        <f t="shared" si="0"/>
        <v>11</v>
      </c>
      <c r="V11" s="503" t="str">
        <f>"Market Position:"&amp;" "&amp;RESULTADO!$D$154</f>
        <v>Market Position: SHORT</v>
      </c>
    </row>
    <row r="12" spans="21:22" ht="15" customHeight="1" x14ac:dyDescent="0.25">
      <c r="U12" s="2">
        <f t="shared" si="0"/>
        <v>12</v>
      </c>
      <c r="V12" s="503" t="str">
        <f>"Limit: "&amp;ROUND('GPH-VOL'!$C$33,0)&amp;" GWh"</f>
        <v>Limit: 526 GWh</v>
      </c>
    </row>
    <row r="13" spans="21:22" ht="15" customHeight="1" x14ac:dyDescent="0.25">
      <c r="U13" s="2">
        <f t="shared" si="0"/>
        <v>13</v>
      </c>
      <c r="V13" s="503" t="str">
        <f>"Usage: "&amp;TEXT('GPH-VOL'!$C$38,"0,0%")</f>
        <v>Usage: 49,2%</v>
      </c>
    </row>
    <row r="14" spans="21:22" ht="15" customHeight="1" x14ac:dyDescent="0.25">
      <c r="U14" s="2">
        <f t="shared" si="0"/>
        <v>14</v>
      </c>
      <c r="V14" s="503" t="str">
        <f>IF(RESULTADO!$D$154="ZERADA","VOLUME ZERADO","FPC @ "&amp;TEXT(RESULTADO!N149,"#,00%")&amp;" tail")</f>
        <v>FPC @ 5,00% tail</v>
      </c>
    </row>
    <row r="15" spans="21:22" ht="15" customHeight="1" x14ac:dyDescent="0.25">
      <c r="U15" s="2">
        <f t="shared" si="0"/>
        <v>15</v>
      </c>
      <c r="V15" s="503" t="str">
        <f ca="1">"VaR: "&amp;TEXT(RESULTADO!O149/10^6,"R$0,00")&amp;"MM"</f>
        <v>VaR: -R$3,65MM</v>
      </c>
    </row>
    <row r="16" spans="21:22" ht="15" customHeight="1" x14ac:dyDescent="0.25">
      <c r="U16" s="2">
        <f t="shared" si="0"/>
        <v>16</v>
      </c>
      <c r="V16" s="503" t="str">
        <f>"Limit: R$"&amp;HWM!$Q$2/1000000&amp;"MM"</f>
        <v>Limit: R$30MM</v>
      </c>
    </row>
    <row r="17" spans="21:24" ht="15" customHeight="1" x14ac:dyDescent="0.25">
      <c r="U17" s="2">
        <f t="shared" si="0"/>
        <v>17</v>
      </c>
      <c r="V17" s="503" t="str">
        <f ca="1">"Usage: "&amp;TEXT(HWM!S2,"0,0%")</f>
        <v>Usage: 12,2%</v>
      </c>
    </row>
    <row r="18" spans="21:24" ht="15" customHeight="1" x14ac:dyDescent="0.25">
      <c r="U18" s="2">
        <f t="shared" si="0"/>
        <v>18</v>
      </c>
      <c r="V18" s="628" t="str">
        <f>TEXT(ROUND(SUMPRODUCT('GPH-VOL'!$C$16:$N$16,'GPH-VOL'!$C$20:$N$20),0),"#;- #;-")</f>
        <v>3</v>
      </c>
    </row>
    <row r="19" spans="21:24" ht="15" customHeight="1" x14ac:dyDescent="0.25">
      <c r="U19" s="2">
        <f t="shared" si="0"/>
        <v>19</v>
      </c>
      <c r="V19" s="628" t="str">
        <f>TEXT(ROUND(SUMPRODUCT('GPH-VOL'!$O$16:$Z$16,'GPH-VOL'!$O$20:$Z$20),1),"#;- #;-")</f>
        <v>- 139</v>
      </c>
    </row>
    <row r="20" spans="21:24" ht="15" customHeight="1" x14ac:dyDescent="0.25">
      <c r="U20" s="2">
        <f t="shared" ref="U20" si="1">ROW(V20)</f>
        <v>20</v>
      </c>
      <c r="V20" s="628" t="str">
        <f>TEXT(ROUND(SUMPRODUCT('GPH-VOL'!$AA$16:$AL$16,'GPH-VOL'!$AA$20:$AL$20),1),"#;- #;-")</f>
        <v>- 123</v>
      </c>
    </row>
    <row r="21" spans="21:24" ht="15" customHeight="1" x14ac:dyDescent="0.25">
      <c r="U21" s="2">
        <f t="shared" ref="U21:U29" si="2">ROW(V21)</f>
        <v>21</v>
      </c>
      <c r="V21" s="503">
        <f>YEAR($V$3)</f>
        <v>2022</v>
      </c>
    </row>
    <row r="22" spans="21:24" ht="15" customHeight="1" x14ac:dyDescent="0.25">
      <c r="U22" s="2">
        <f t="shared" si="2"/>
        <v>22</v>
      </c>
      <c r="V22" s="503">
        <f>YEAR($V$3)+1</f>
        <v>2023</v>
      </c>
    </row>
    <row r="23" spans="21:24" ht="15" customHeight="1" x14ac:dyDescent="0.25">
      <c r="U23" s="2">
        <f t="shared" si="2"/>
        <v>23</v>
      </c>
      <c r="V23" s="503">
        <f>YEAR($V$3)+2</f>
        <v>2024</v>
      </c>
    </row>
    <row r="24" spans="21:24" ht="15" customHeight="1" x14ac:dyDescent="0.25">
      <c r="U24" s="2">
        <f t="shared" si="2"/>
        <v>24</v>
      </c>
      <c r="V24" s="632" t="str">
        <f>TEXT(ROUND('GPH-VOL'!C45-ABS(SUMPRODUCT('GPH-VOL'!$C$16:$N$16,'GPH-VOL'!$C$20:$N$20)),0),"#;- #;-")</f>
        <v>172</v>
      </c>
    </row>
    <row r="25" spans="21:24" ht="15" customHeight="1" x14ac:dyDescent="0.25">
      <c r="U25" s="2">
        <f t="shared" si="2"/>
        <v>25</v>
      </c>
      <c r="V25" s="633" t="str">
        <f>TEXT(ROUND('GPH-VOL'!D45-ABS(SUMPRODUCT('GPH-VOL'!$O$16:$Z$16,'GPH-VOL'!$O$20:$Z$20)),1),"#;- #;-")</f>
        <v>36</v>
      </c>
    </row>
    <row r="26" spans="21:24" ht="15" customHeight="1" x14ac:dyDescent="0.25">
      <c r="U26" s="2">
        <f t="shared" si="2"/>
        <v>26</v>
      </c>
      <c r="V26" s="633" t="str">
        <f>TEXT(ROUND('GPH-VOL'!E45-ABS(SUMPRODUCT('GPH-VOL'!$AA$16:$AL$16,'GPH-VOL'!$AA$20:$AL$20)),1),"#;- #;-")</f>
        <v>52</v>
      </c>
    </row>
    <row r="27" spans="21:24" ht="15" customHeight="1" x14ac:dyDescent="0.25">
      <c r="U27" s="2">
        <f t="shared" si="2"/>
        <v>27</v>
      </c>
      <c r="V27" s="633" t="str">
        <f>TEXT(ROUND('GPH-VOL'!$C$51,2),"#%;-#%;-")</f>
        <v>2%</v>
      </c>
    </row>
    <row r="28" spans="21:24" ht="15" customHeight="1" x14ac:dyDescent="0.25">
      <c r="U28" s="2">
        <f t="shared" si="2"/>
        <v>28</v>
      </c>
      <c r="V28" s="633" t="str">
        <f>TEXT(ROUND('GPH-VOL'!$D$51,2),"#%;-#%;-")</f>
        <v>79%</v>
      </c>
    </row>
    <row r="29" spans="21:24" ht="15" customHeight="1" x14ac:dyDescent="0.25">
      <c r="U29" s="2">
        <f t="shared" si="2"/>
        <v>29</v>
      </c>
      <c r="V29" s="633" t="str">
        <f>TEXT(ROUND('GPH-VOL'!$E$51,2),"#%;-#%;-")</f>
        <v>70%</v>
      </c>
    </row>
    <row r="30" spans="21:24" ht="15" customHeight="1" x14ac:dyDescent="0.25">
      <c r="X30">
        <v>3</v>
      </c>
    </row>
    <row r="31" spans="21:24" ht="15" customHeight="1" x14ac:dyDescent="0.25"/>
    <row r="32" spans="21:24" ht="15" customHeight="1" x14ac:dyDescent="0.25"/>
    <row r="33" ht="15" customHeight="1" x14ac:dyDescent="0.25"/>
    <row r="34" ht="15" customHeight="1" x14ac:dyDescent="0.25"/>
    <row r="35" ht="15" customHeight="1" x14ac:dyDescent="0.25"/>
    <row r="36" ht="15" customHeight="1" x14ac:dyDescent="0.25"/>
    <row r="37" ht="15" customHeight="1" x14ac:dyDescent="0.25"/>
    <row r="38" ht="15" customHeight="1" x14ac:dyDescent="0.25"/>
    <row r="39" ht="15" customHeight="1" x14ac:dyDescent="0.25"/>
    <row r="40" ht="15" customHeight="1" x14ac:dyDescent="0.25"/>
    <row r="41" ht="15" customHeight="1" x14ac:dyDescent="0.25"/>
    <row r="42" ht="18" customHeight="1" x14ac:dyDescent="0.25"/>
  </sheetData>
  <pageMargins left="0.23622047244094491" right="0.23622047244094491" top="0.74803149606299213" bottom="0.74803149606299213" header="0.31496062992125984" footer="0.31496062992125984"/>
  <pageSetup paperSize="9" scale="6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theme="3"/>
  </sheetPr>
  <dimension ref="A1:AC1822"/>
  <sheetViews>
    <sheetView showGridLines="0" topLeftCell="N1" zoomScale="90" zoomScaleNormal="90" workbookViewId="0">
      <pane ySplit="2" topLeftCell="A3" activePane="bottomLeft" state="frozen"/>
      <selection activeCell="F21" sqref="F21"/>
      <selection pane="bottomLeft" activeCell="AD20" sqref="AD20"/>
    </sheetView>
  </sheetViews>
  <sheetFormatPr defaultRowHeight="15" x14ac:dyDescent="0.25"/>
  <cols>
    <col min="1" max="1" width="1.7109375" customWidth="1"/>
    <col min="2" max="2" width="12.7109375" bestFit="1" customWidth="1"/>
    <col min="3" max="3" width="12.42578125" customWidth="1"/>
    <col min="4" max="4" width="11.5703125" customWidth="1"/>
    <col min="5" max="5" width="11.5703125" bestFit="1" customWidth="1"/>
    <col min="6" max="6" width="6" bestFit="1" customWidth="1"/>
    <col min="7" max="7" width="7.7109375" customWidth="1"/>
    <col min="8" max="8" width="6.7109375" customWidth="1"/>
    <col min="9" max="9" width="6.5703125" customWidth="1"/>
    <col min="10" max="10" width="10" customWidth="1"/>
    <col min="11" max="11" width="10.5703125" customWidth="1"/>
    <col min="12" max="12" width="9.140625" customWidth="1"/>
    <col min="13" max="16" width="9.28515625" customWidth="1"/>
    <col min="17" max="17" width="12" customWidth="1"/>
    <col min="18" max="18" width="12.7109375" bestFit="1" customWidth="1"/>
    <col min="19" max="19" width="15" bestFit="1" customWidth="1"/>
    <col min="20" max="20" width="8.42578125" customWidth="1"/>
    <col min="21" max="21" width="13.28515625" customWidth="1"/>
    <col min="22" max="22" width="15.140625" bestFit="1" customWidth="1"/>
    <col min="23" max="23" width="9.5703125" bestFit="1" customWidth="1"/>
    <col min="24" max="24" width="13.140625" bestFit="1" customWidth="1"/>
    <col min="25" max="25" width="15.5703125" bestFit="1" customWidth="1"/>
    <col min="27" max="27" width="13.140625" bestFit="1" customWidth="1"/>
    <col min="28" max="28" width="15.5703125" bestFit="1" customWidth="1"/>
  </cols>
  <sheetData>
    <row r="1" spans="1:29" x14ac:dyDescent="0.25">
      <c r="F1" s="2"/>
      <c r="L1" s="539"/>
      <c r="M1" s="792" t="s">
        <v>16</v>
      </c>
      <c r="N1" s="794"/>
      <c r="O1" s="792" t="s">
        <v>60</v>
      </c>
      <c r="P1" s="794"/>
      <c r="Q1" s="792" t="s">
        <v>19</v>
      </c>
      <c r="R1" s="793"/>
      <c r="S1" s="794"/>
      <c r="T1" s="792" t="s">
        <v>21</v>
      </c>
      <c r="U1" s="793"/>
      <c r="V1" s="794"/>
      <c r="W1" s="792" t="s">
        <v>63</v>
      </c>
      <c r="X1" s="793"/>
      <c r="Y1" s="794"/>
      <c r="Z1" s="792" t="s">
        <v>64</v>
      </c>
      <c r="AA1" s="793"/>
      <c r="AB1" s="794"/>
    </row>
    <row r="2" spans="1:29" x14ac:dyDescent="0.25">
      <c r="B2" s="159" t="s">
        <v>10</v>
      </c>
      <c r="C2" s="160" t="s">
        <v>38</v>
      </c>
      <c r="D2" s="160" t="s">
        <v>8</v>
      </c>
      <c r="E2" s="160" t="s">
        <v>34</v>
      </c>
      <c r="F2" s="160" t="s">
        <v>94</v>
      </c>
      <c r="G2" s="160" t="s">
        <v>57</v>
      </c>
      <c r="H2" s="160" t="s">
        <v>41</v>
      </c>
      <c r="I2" s="540" t="s">
        <v>37</v>
      </c>
      <c r="J2" s="160" t="s">
        <v>22</v>
      </c>
      <c r="K2" s="160" t="s">
        <v>1</v>
      </c>
      <c r="L2" s="528" t="s">
        <v>89</v>
      </c>
      <c r="M2" s="159" t="s">
        <v>14</v>
      </c>
      <c r="N2" s="528" t="s">
        <v>15</v>
      </c>
      <c r="O2" s="159" t="s">
        <v>61</v>
      </c>
      <c r="P2" s="528" t="s">
        <v>62</v>
      </c>
      <c r="Q2" s="159" t="s">
        <v>7</v>
      </c>
      <c r="R2" s="160" t="s">
        <v>17</v>
      </c>
      <c r="S2" s="528" t="s">
        <v>23</v>
      </c>
      <c r="T2" s="159" t="s">
        <v>0</v>
      </c>
      <c r="U2" s="160" t="s">
        <v>20</v>
      </c>
      <c r="V2" s="528" t="s">
        <v>18</v>
      </c>
      <c r="W2" s="159" t="s">
        <v>0</v>
      </c>
      <c r="X2" s="160" t="s">
        <v>20</v>
      </c>
      <c r="Y2" s="528" t="s">
        <v>216</v>
      </c>
      <c r="Z2" s="159" t="s">
        <v>0</v>
      </c>
      <c r="AA2" s="160" t="s">
        <v>20</v>
      </c>
      <c r="AB2" s="528" t="s">
        <v>217</v>
      </c>
    </row>
    <row r="3" spans="1:29" ht="15" customHeight="1" x14ac:dyDescent="0.25">
      <c r="A3" s="713"/>
      <c r="B3" s="728" t="s">
        <v>388</v>
      </c>
      <c r="C3" s="527" t="s">
        <v>40</v>
      </c>
      <c r="D3" s="527" t="s">
        <v>392</v>
      </c>
      <c r="E3" s="679">
        <v>44927</v>
      </c>
      <c r="F3" s="527">
        <v>744</v>
      </c>
      <c r="G3" s="527" t="s">
        <v>58</v>
      </c>
      <c r="H3" s="527" t="s">
        <v>3</v>
      </c>
      <c r="I3" s="527" t="s">
        <v>44</v>
      </c>
      <c r="J3" s="527" t="s">
        <v>84</v>
      </c>
      <c r="K3" s="527">
        <v>150</v>
      </c>
      <c r="L3" s="724" t="s">
        <v>54</v>
      </c>
      <c r="M3" s="694">
        <v>18.75</v>
      </c>
      <c r="N3" s="724">
        <v>0</v>
      </c>
      <c r="O3" s="694">
        <v>182.57269591821751</v>
      </c>
      <c r="P3" s="724">
        <v>0</v>
      </c>
      <c r="Q3" s="734">
        <f t="shared" ref="Q3:Q66" si="0">(O3*(M3*F3))</f>
        <v>2546889.1080591343</v>
      </c>
      <c r="R3" s="599">
        <f t="shared" ref="R3:R66" si="1">(P3*(N3*F3))</f>
        <v>0</v>
      </c>
      <c r="S3" s="735">
        <f t="shared" ref="S3:S66" si="2">R3-Q3</f>
        <v>-2546889.1080591343</v>
      </c>
      <c r="T3" s="734">
        <v>68.72</v>
      </c>
      <c r="U3" s="599">
        <f t="shared" ref="U3:U66" si="3">(((F3*N3)*T3)-(T3*(M3*F3)))</f>
        <v>-958644</v>
      </c>
      <c r="V3" s="735">
        <f t="shared" ref="V3:V66" si="4">S3-U3</f>
        <v>-1588245.1080591343</v>
      </c>
      <c r="W3" s="736">
        <v>55.7</v>
      </c>
      <c r="X3" s="600">
        <f t="shared" ref="X3:X66" si="5">(((F3*N3)*W3)-(W3*(M3*F3)))</f>
        <v>-777015</v>
      </c>
      <c r="Y3" s="699">
        <f t="shared" ref="Y3:Y66" si="6">S3-X3</f>
        <v>-1769874.1080591343</v>
      </c>
      <c r="Z3" s="736">
        <v>96.206580759134184</v>
      </c>
      <c r="AA3" s="600">
        <f t="shared" ref="AA3:AA66" si="7">(((F3*N3)*Z3)-(Z3*(M3*F3)))</f>
        <v>-1342081.8015899218</v>
      </c>
      <c r="AB3" s="737">
        <f t="shared" ref="AB3:AB66" si="8">S3-AA3</f>
        <v>-1204807.3064692125</v>
      </c>
      <c r="AC3" s="714"/>
    </row>
    <row r="4" spans="1:29" ht="15" customHeight="1" x14ac:dyDescent="0.25">
      <c r="A4" s="713"/>
      <c r="B4" s="714" t="s">
        <v>388</v>
      </c>
      <c r="C4" s="676" t="s">
        <v>40</v>
      </c>
      <c r="D4" s="676" t="s">
        <v>392</v>
      </c>
      <c r="E4" s="680">
        <v>44958</v>
      </c>
      <c r="F4" s="676">
        <v>672</v>
      </c>
      <c r="G4" s="676" t="s">
        <v>58</v>
      </c>
      <c r="H4" s="676" t="s">
        <v>3</v>
      </c>
      <c r="I4" s="676" t="s">
        <v>44</v>
      </c>
      <c r="J4" s="676" t="s">
        <v>84</v>
      </c>
      <c r="K4" s="676">
        <v>150</v>
      </c>
      <c r="L4" s="690" t="s">
        <v>54</v>
      </c>
      <c r="M4" s="691">
        <v>18.75</v>
      </c>
      <c r="N4" s="690">
        <v>0</v>
      </c>
      <c r="O4" s="691">
        <v>182.57269591821751</v>
      </c>
      <c r="P4" s="690">
        <v>0</v>
      </c>
      <c r="Q4" s="738">
        <f t="shared" si="0"/>
        <v>2300415.9685695404</v>
      </c>
      <c r="R4" s="677">
        <f t="shared" si="1"/>
        <v>0</v>
      </c>
      <c r="S4" s="739">
        <f t="shared" si="2"/>
        <v>-2300415.9685695404</v>
      </c>
      <c r="T4" s="738">
        <v>69.25</v>
      </c>
      <c r="U4" s="677">
        <f t="shared" si="3"/>
        <v>-872550</v>
      </c>
      <c r="V4" s="739">
        <f t="shared" si="4"/>
        <v>-1427865.9685695404</v>
      </c>
      <c r="W4" s="740">
        <v>55.7</v>
      </c>
      <c r="X4" s="678">
        <f t="shared" si="5"/>
        <v>-701820</v>
      </c>
      <c r="Y4" s="700">
        <f t="shared" si="6"/>
        <v>-1598595.9685695404</v>
      </c>
      <c r="Z4" s="740">
        <v>92.430648861364247</v>
      </c>
      <c r="AA4" s="678">
        <f t="shared" si="7"/>
        <v>-1164626.1756531894</v>
      </c>
      <c r="AB4" s="741">
        <f t="shared" si="8"/>
        <v>-1135789.792916351</v>
      </c>
      <c r="AC4" s="714"/>
    </row>
    <row r="5" spans="1:29" ht="15" customHeight="1" x14ac:dyDescent="0.25">
      <c r="A5" s="713"/>
      <c r="B5" s="714" t="s">
        <v>388</v>
      </c>
      <c r="C5" s="676" t="s">
        <v>40</v>
      </c>
      <c r="D5" s="676" t="s">
        <v>392</v>
      </c>
      <c r="E5" s="680">
        <v>44986</v>
      </c>
      <c r="F5" s="676">
        <v>744</v>
      </c>
      <c r="G5" s="676" t="s">
        <v>58</v>
      </c>
      <c r="H5" s="676" t="s">
        <v>3</v>
      </c>
      <c r="I5" s="676" t="s">
        <v>44</v>
      </c>
      <c r="J5" s="676" t="s">
        <v>84</v>
      </c>
      <c r="K5" s="676">
        <v>150</v>
      </c>
      <c r="L5" s="690" t="s">
        <v>54</v>
      </c>
      <c r="M5" s="691">
        <v>18.75</v>
      </c>
      <c r="N5" s="690">
        <v>0</v>
      </c>
      <c r="O5" s="691">
        <v>182.57269591821751</v>
      </c>
      <c r="P5" s="690">
        <v>0</v>
      </c>
      <c r="Q5" s="738">
        <f t="shared" si="0"/>
        <v>2546889.1080591343</v>
      </c>
      <c r="R5" s="677">
        <f t="shared" si="1"/>
        <v>0</v>
      </c>
      <c r="S5" s="739">
        <f t="shared" si="2"/>
        <v>-2546889.1080591343</v>
      </c>
      <c r="T5" s="738">
        <v>69.3</v>
      </c>
      <c r="U5" s="677">
        <f t="shared" si="3"/>
        <v>-966735</v>
      </c>
      <c r="V5" s="739">
        <f t="shared" si="4"/>
        <v>-1580154.1080591343</v>
      </c>
      <c r="W5" s="740">
        <v>55.7</v>
      </c>
      <c r="X5" s="678">
        <f t="shared" si="5"/>
        <v>-777015</v>
      </c>
      <c r="Y5" s="700">
        <f t="shared" si="6"/>
        <v>-1769874.1080591343</v>
      </c>
      <c r="Z5" s="740">
        <v>89.053218420260009</v>
      </c>
      <c r="AA5" s="678">
        <f t="shared" si="7"/>
        <v>-1242292.3969626271</v>
      </c>
      <c r="AB5" s="741">
        <f t="shared" si="8"/>
        <v>-1304596.7110965073</v>
      </c>
      <c r="AC5" s="714"/>
    </row>
    <row r="6" spans="1:29" ht="15" customHeight="1" x14ac:dyDescent="0.25">
      <c r="A6" s="713"/>
      <c r="B6" s="714" t="s">
        <v>388</v>
      </c>
      <c r="C6" s="676" t="s">
        <v>40</v>
      </c>
      <c r="D6" s="676" t="s">
        <v>392</v>
      </c>
      <c r="E6" s="680">
        <v>45017</v>
      </c>
      <c r="F6" s="676">
        <v>720</v>
      </c>
      <c r="G6" s="676" t="s">
        <v>58</v>
      </c>
      <c r="H6" s="676" t="s">
        <v>3</v>
      </c>
      <c r="I6" s="676" t="s">
        <v>44</v>
      </c>
      <c r="J6" s="676" t="s">
        <v>84</v>
      </c>
      <c r="K6" s="676">
        <v>150</v>
      </c>
      <c r="L6" s="690" t="s">
        <v>54</v>
      </c>
      <c r="M6" s="691">
        <v>18.75</v>
      </c>
      <c r="N6" s="690">
        <v>0</v>
      </c>
      <c r="O6" s="691">
        <v>182.57269591821751</v>
      </c>
      <c r="P6" s="690">
        <v>0</v>
      </c>
      <c r="Q6" s="738">
        <f t="shared" si="0"/>
        <v>2464731.3948959364</v>
      </c>
      <c r="R6" s="677">
        <f t="shared" si="1"/>
        <v>0</v>
      </c>
      <c r="S6" s="739">
        <f t="shared" si="2"/>
        <v>-2464731.3948959364</v>
      </c>
      <c r="T6" s="738">
        <v>69.8</v>
      </c>
      <c r="U6" s="677">
        <f t="shared" si="3"/>
        <v>-942300</v>
      </c>
      <c r="V6" s="739">
        <f t="shared" si="4"/>
        <v>-1522431.3948959364</v>
      </c>
      <c r="W6" s="740">
        <v>55.7</v>
      </c>
      <c r="X6" s="678">
        <f t="shared" si="5"/>
        <v>-751950</v>
      </c>
      <c r="Y6" s="700">
        <f t="shared" si="6"/>
        <v>-1712781.3948959364</v>
      </c>
      <c r="Z6" s="740">
        <v>85.732008718771311</v>
      </c>
      <c r="AA6" s="678">
        <f t="shared" si="7"/>
        <v>-1157382.1177034127</v>
      </c>
      <c r="AB6" s="741">
        <f t="shared" si="8"/>
        <v>-1307349.2771925237</v>
      </c>
      <c r="AC6" s="714"/>
    </row>
    <row r="7" spans="1:29" ht="15" customHeight="1" x14ac:dyDescent="0.25">
      <c r="A7" s="713"/>
      <c r="B7" s="714" t="s">
        <v>388</v>
      </c>
      <c r="C7" s="676" t="s">
        <v>40</v>
      </c>
      <c r="D7" s="676" t="s">
        <v>392</v>
      </c>
      <c r="E7" s="680">
        <v>45047</v>
      </c>
      <c r="F7" s="676">
        <v>744</v>
      </c>
      <c r="G7" s="676" t="s">
        <v>58</v>
      </c>
      <c r="H7" s="676" t="s">
        <v>3</v>
      </c>
      <c r="I7" s="676" t="s">
        <v>44</v>
      </c>
      <c r="J7" s="676" t="s">
        <v>84</v>
      </c>
      <c r="K7" s="676">
        <v>150</v>
      </c>
      <c r="L7" s="690" t="s">
        <v>54</v>
      </c>
      <c r="M7" s="691">
        <v>18.75</v>
      </c>
      <c r="N7" s="690">
        <v>0</v>
      </c>
      <c r="O7" s="691">
        <v>182.57269591821751</v>
      </c>
      <c r="P7" s="690">
        <v>0</v>
      </c>
      <c r="Q7" s="738">
        <f t="shared" si="0"/>
        <v>2546889.1080591343</v>
      </c>
      <c r="R7" s="677">
        <f t="shared" si="1"/>
        <v>0</v>
      </c>
      <c r="S7" s="739">
        <f t="shared" si="2"/>
        <v>-2546889.1080591343</v>
      </c>
      <c r="T7" s="738">
        <v>70.2</v>
      </c>
      <c r="U7" s="677">
        <f t="shared" si="3"/>
        <v>-979290</v>
      </c>
      <c r="V7" s="739">
        <f t="shared" si="4"/>
        <v>-1567599.1080591343</v>
      </c>
      <c r="W7" s="740">
        <v>55.7</v>
      </c>
      <c r="X7" s="678">
        <f t="shared" si="5"/>
        <v>-777015</v>
      </c>
      <c r="Y7" s="700">
        <f t="shared" si="6"/>
        <v>-1769874.1080591343</v>
      </c>
      <c r="Z7" s="740">
        <v>86.223309628334476</v>
      </c>
      <c r="AA7" s="678">
        <f t="shared" si="7"/>
        <v>-1202815.169315266</v>
      </c>
      <c r="AB7" s="741">
        <f t="shared" si="8"/>
        <v>-1344073.9387438684</v>
      </c>
      <c r="AC7" s="714"/>
    </row>
    <row r="8" spans="1:29" ht="15" customHeight="1" x14ac:dyDescent="0.25">
      <c r="A8" s="713"/>
      <c r="B8" s="714" t="s">
        <v>388</v>
      </c>
      <c r="C8" s="676" t="s">
        <v>40</v>
      </c>
      <c r="D8" s="676" t="s">
        <v>392</v>
      </c>
      <c r="E8" s="680">
        <v>45078</v>
      </c>
      <c r="F8" s="676">
        <v>720</v>
      </c>
      <c r="G8" s="676" t="s">
        <v>58</v>
      </c>
      <c r="H8" s="676" t="s">
        <v>3</v>
      </c>
      <c r="I8" s="676" t="s">
        <v>44</v>
      </c>
      <c r="J8" s="676" t="s">
        <v>84</v>
      </c>
      <c r="K8" s="676">
        <v>150</v>
      </c>
      <c r="L8" s="690" t="s">
        <v>54</v>
      </c>
      <c r="M8" s="691">
        <v>18.75</v>
      </c>
      <c r="N8" s="690">
        <v>0</v>
      </c>
      <c r="O8" s="691">
        <v>182.57269591821751</v>
      </c>
      <c r="P8" s="690">
        <v>0</v>
      </c>
      <c r="Q8" s="738">
        <f t="shared" si="0"/>
        <v>2464731.3948959364</v>
      </c>
      <c r="R8" s="677">
        <f t="shared" si="1"/>
        <v>0</v>
      </c>
      <c r="S8" s="739">
        <f t="shared" si="2"/>
        <v>-2464731.3948959364</v>
      </c>
      <c r="T8" s="738">
        <v>72.400000000000006</v>
      </c>
      <c r="U8" s="677">
        <f t="shared" si="3"/>
        <v>-977400.00000000012</v>
      </c>
      <c r="V8" s="739">
        <f t="shared" si="4"/>
        <v>-1487331.3948959364</v>
      </c>
      <c r="W8" s="740">
        <v>55.874535369068141</v>
      </c>
      <c r="X8" s="678">
        <f t="shared" si="5"/>
        <v>-754306.22748241993</v>
      </c>
      <c r="Y8" s="700">
        <f t="shared" si="6"/>
        <v>-1710425.1674135164</v>
      </c>
      <c r="Z8" s="740">
        <v>88.925464630931856</v>
      </c>
      <c r="AA8" s="678">
        <f t="shared" si="7"/>
        <v>-1200493.7725175801</v>
      </c>
      <c r="AB8" s="741">
        <f t="shared" si="8"/>
        <v>-1264237.6223783563</v>
      </c>
      <c r="AC8" s="714"/>
    </row>
    <row r="9" spans="1:29" ht="15" customHeight="1" x14ac:dyDescent="0.25">
      <c r="A9" s="713"/>
      <c r="B9" s="714" t="s">
        <v>388</v>
      </c>
      <c r="C9" s="676" t="s">
        <v>40</v>
      </c>
      <c r="D9" s="676" t="s">
        <v>392</v>
      </c>
      <c r="E9" s="680">
        <v>45108</v>
      </c>
      <c r="F9" s="676">
        <v>744</v>
      </c>
      <c r="G9" s="676" t="s">
        <v>58</v>
      </c>
      <c r="H9" s="676" t="s">
        <v>3</v>
      </c>
      <c r="I9" s="676" t="s">
        <v>44</v>
      </c>
      <c r="J9" s="676" t="s">
        <v>84</v>
      </c>
      <c r="K9" s="676">
        <v>150</v>
      </c>
      <c r="L9" s="690" t="s">
        <v>54</v>
      </c>
      <c r="M9" s="691">
        <v>18.75</v>
      </c>
      <c r="N9" s="690">
        <v>0</v>
      </c>
      <c r="O9" s="691">
        <v>182.57269591821751</v>
      </c>
      <c r="P9" s="690">
        <v>0</v>
      </c>
      <c r="Q9" s="738">
        <f t="shared" si="0"/>
        <v>2546889.1080591343</v>
      </c>
      <c r="R9" s="677">
        <f t="shared" si="1"/>
        <v>0</v>
      </c>
      <c r="S9" s="739">
        <f t="shared" si="2"/>
        <v>-2546889.1080591343</v>
      </c>
      <c r="T9" s="738">
        <v>77.150000000000006</v>
      </c>
      <c r="U9" s="677">
        <f t="shared" si="3"/>
        <v>-1076242.5</v>
      </c>
      <c r="V9" s="739">
        <f t="shared" si="4"/>
        <v>-1470646.6080591343</v>
      </c>
      <c r="W9" s="740">
        <v>59.54033706800562</v>
      </c>
      <c r="X9" s="678">
        <f t="shared" si="5"/>
        <v>-830587.70209867845</v>
      </c>
      <c r="Y9" s="700">
        <f t="shared" si="6"/>
        <v>-1716301.405960456</v>
      </c>
      <c r="Z9" s="740">
        <v>94.759662931994384</v>
      </c>
      <c r="AA9" s="678">
        <f t="shared" si="7"/>
        <v>-1321897.2979013217</v>
      </c>
      <c r="AB9" s="741">
        <f t="shared" si="8"/>
        <v>-1224991.8101578127</v>
      </c>
      <c r="AC9" s="714"/>
    </row>
    <row r="10" spans="1:29" ht="15" customHeight="1" x14ac:dyDescent="0.25">
      <c r="A10" s="713"/>
      <c r="B10" s="714" t="s">
        <v>388</v>
      </c>
      <c r="C10" s="676" t="s">
        <v>40</v>
      </c>
      <c r="D10" s="676" t="s">
        <v>392</v>
      </c>
      <c r="E10" s="680">
        <v>45139</v>
      </c>
      <c r="F10" s="676">
        <v>744</v>
      </c>
      <c r="G10" s="676" t="s">
        <v>58</v>
      </c>
      <c r="H10" s="676" t="s">
        <v>3</v>
      </c>
      <c r="I10" s="676" t="s">
        <v>44</v>
      </c>
      <c r="J10" s="676" t="s">
        <v>84</v>
      </c>
      <c r="K10" s="676">
        <v>150</v>
      </c>
      <c r="L10" s="690" t="s">
        <v>54</v>
      </c>
      <c r="M10" s="691">
        <v>18.75</v>
      </c>
      <c r="N10" s="690">
        <v>0</v>
      </c>
      <c r="O10" s="691">
        <v>182.57269591821751</v>
      </c>
      <c r="P10" s="690">
        <v>0</v>
      </c>
      <c r="Q10" s="738">
        <f t="shared" si="0"/>
        <v>2546889.1080591343</v>
      </c>
      <c r="R10" s="677">
        <f t="shared" si="1"/>
        <v>0</v>
      </c>
      <c r="S10" s="739">
        <f t="shared" si="2"/>
        <v>-2546889.1080591343</v>
      </c>
      <c r="T10" s="738">
        <v>77.150000000000006</v>
      </c>
      <c r="U10" s="677">
        <f t="shared" si="3"/>
        <v>-1076242.5</v>
      </c>
      <c r="V10" s="739">
        <f t="shared" si="4"/>
        <v>-1470646.6080591343</v>
      </c>
      <c r="W10" s="740">
        <v>59.54033706800562</v>
      </c>
      <c r="X10" s="678">
        <f t="shared" si="5"/>
        <v>-830587.70209867845</v>
      </c>
      <c r="Y10" s="700">
        <f t="shared" si="6"/>
        <v>-1716301.405960456</v>
      </c>
      <c r="Z10" s="740">
        <v>94.759662931994384</v>
      </c>
      <c r="AA10" s="678">
        <f t="shared" si="7"/>
        <v>-1321897.2979013217</v>
      </c>
      <c r="AB10" s="741">
        <f t="shared" si="8"/>
        <v>-1224991.8101578127</v>
      </c>
      <c r="AC10" s="714"/>
    </row>
    <row r="11" spans="1:29" ht="15" customHeight="1" x14ac:dyDescent="0.25">
      <c r="A11" s="713"/>
      <c r="B11" s="714" t="s">
        <v>388</v>
      </c>
      <c r="C11" s="676" t="s">
        <v>40</v>
      </c>
      <c r="D11" s="676" t="s">
        <v>392</v>
      </c>
      <c r="E11" s="680">
        <v>45170</v>
      </c>
      <c r="F11" s="676">
        <v>720</v>
      </c>
      <c r="G11" s="676" t="s">
        <v>58</v>
      </c>
      <c r="H11" s="676" t="s">
        <v>3</v>
      </c>
      <c r="I11" s="676" t="s">
        <v>44</v>
      </c>
      <c r="J11" s="676" t="s">
        <v>84</v>
      </c>
      <c r="K11" s="676">
        <v>150</v>
      </c>
      <c r="L11" s="690" t="s">
        <v>54</v>
      </c>
      <c r="M11" s="691">
        <v>18.75</v>
      </c>
      <c r="N11" s="690">
        <v>0</v>
      </c>
      <c r="O11" s="691">
        <v>182.57269591821751</v>
      </c>
      <c r="P11" s="690">
        <v>0</v>
      </c>
      <c r="Q11" s="738">
        <f t="shared" si="0"/>
        <v>2464731.3948959364</v>
      </c>
      <c r="R11" s="677">
        <f t="shared" si="1"/>
        <v>0</v>
      </c>
      <c r="S11" s="739">
        <f t="shared" si="2"/>
        <v>-2464731.3948959364</v>
      </c>
      <c r="T11" s="738">
        <v>77.150000000000006</v>
      </c>
      <c r="U11" s="677">
        <f t="shared" si="3"/>
        <v>-1041525.0000000001</v>
      </c>
      <c r="V11" s="739">
        <f t="shared" si="4"/>
        <v>-1423206.3948959364</v>
      </c>
      <c r="W11" s="740">
        <v>59.54033706800562</v>
      </c>
      <c r="X11" s="678">
        <f t="shared" si="5"/>
        <v>-803794.55041807587</v>
      </c>
      <c r="Y11" s="700">
        <f t="shared" si="6"/>
        <v>-1660936.8444778605</v>
      </c>
      <c r="Z11" s="740">
        <v>94.759662931994384</v>
      </c>
      <c r="AA11" s="678">
        <f t="shared" si="7"/>
        <v>-1279255.4495819241</v>
      </c>
      <c r="AB11" s="741">
        <f t="shared" si="8"/>
        <v>-1185475.9453140122</v>
      </c>
      <c r="AC11" s="714"/>
    </row>
    <row r="12" spans="1:29" ht="15" customHeight="1" x14ac:dyDescent="0.25">
      <c r="A12" s="713"/>
      <c r="B12" s="714" t="s">
        <v>388</v>
      </c>
      <c r="C12" s="676" t="s">
        <v>40</v>
      </c>
      <c r="D12" s="676" t="s">
        <v>392</v>
      </c>
      <c r="E12" s="680">
        <v>45200</v>
      </c>
      <c r="F12" s="676">
        <v>744</v>
      </c>
      <c r="G12" s="676" t="s">
        <v>58</v>
      </c>
      <c r="H12" s="676" t="s">
        <v>3</v>
      </c>
      <c r="I12" s="676" t="s">
        <v>44</v>
      </c>
      <c r="J12" s="676" t="s">
        <v>84</v>
      </c>
      <c r="K12" s="676">
        <v>150</v>
      </c>
      <c r="L12" s="690" t="s">
        <v>54</v>
      </c>
      <c r="M12" s="691">
        <v>18.75</v>
      </c>
      <c r="N12" s="690">
        <v>0</v>
      </c>
      <c r="O12" s="691">
        <v>182.57269591821751</v>
      </c>
      <c r="P12" s="690">
        <v>0</v>
      </c>
      <c r="Q12" s="738">
        <f t="shared" si="0"/>
        <v>2546889.1080591343</v>
      </c>
      <c r="R12" s="677">
        <f t="shared" si="1"/>
        <v>0</v>
      </c>
      <c r="S12" s="739">
        <f t="shared" si="2"/>
        <v>-2546889.1080591343</v>
      </c>
      <c r="T12" s="738">
        <v>80.45</v>
      </c>
      <c r="U12" s="677">
        <f t="shared" si="3"/>
        <v>-1122277.5</v>
      </c>
      <c r="V12" s="739">
        <f t="shared" si="4"/>
        <v>-1424611.6080591343</v>
      </c>
      <c r="W12" s="740">
        <v>62.087104564109552</v>
      </c>
      <c r="X12" s="678">
        <f t="shared" si="5"/>
        <v>-866115.10866932827</v>
      </c>
      <c r="Y12" s="700">
        <f t="shared" si="6"/>
        <v>-1680773.9993898061</v>
      </c>
      <c r="Z12" s="740">
        <v>98.812895435890439</v>
      </c>
      <c r="AA12" s="678">
        <f t="shared" si="7"/>
        <v>-1378439.8913306717</v>
      </c>
      <c r="AB12" s="741">
        <f t="shared" si="8"/>
        <v>-1168449.2167284626</v>
      </c>
      <c r="AC12" s="714"/>
    </row>
    <row r="13" spans="1:29" ht="15" customHeight="1" x14ac:dyDescent="0.25">
      <c r="A13" s="713"/>
      <c r="B13" s="714" t="s">
        <v>388</v>
      </c>
      <c r="C13" s="676" t="s">
        <v>40</v>
      </c>
      <c r="D13" s="676" t="s">
        <v>392</v>
      </c>
      <c r="E13" s="680">
        <v>45231</v>
      </c>
      <c r="F13" s="676">
        <v>720</v>
      </c>
      <c r="G13" s="676" t="s">
        <v>58</v>
      </c>
      <c r="H13" s="676" t="s">
        <v>3</v>
      </c>
      <c r="I13" s="676" t="s">
        <v>44</v>
      </c>
      <c r="J13" s="676" t="s">
        <v>84</v>
      </c>
      <c r="K13" s="676">
        <v>150</v>
      </c>
      <c r="L13" s="690" t="s">
        <v>54</v>
      </c>
      <c r="M13" s="691">
        <v>18.75</v>
      </c>
      <c r="N13" s="690">
        <v>0</v>
      </c>
      <c r="O13" s="691">
        <v>182.57269591821751</v>
      </c>
      <c r="P13" s="690">
        <v>0</v>
      </c>
      <c r="Q13" s="738">
        <f t="shared" si="0"/>
        <v>2464731.3948959364</v>
      </c>
      <c r="R13" s="677">
        <f t="shared" si="1"/>
        <v>0</v>
      </c>
      <c r="S13" s="739">
        <f t="shared" si="2"/>
        <v>-2464731.3948959364</v>
      </c>
      <c r="T13" s="738">
        <v>80.45</v>
      </c>
      <c r="U13" s="677">
        <f t="shared" si="3"/>
        <v>-1086075</v>
      </c>
      <c r="V13" s="739">
        <f t="shared" si="4"/>
        <v>-1378656.3948959364</v>
      </c>
      <c r="W13" s="740">
        <v>62.087104564109552</v>
      </c>
      <c r="X13" s="678">
        <f t="shared" si="5"/>
        <v>-838175.91161547892</v>
      </c>
      <c r="Y13" s="700">
        <f t="shared" si="6"/>
        <v>-1626555.4832804576</v>
      </c>
      <c r="Z13" s="740">
        <v>98.812895435890439</v>
      </c>
      <c r="AA13" s="678">
        <f t="shared" si="7"/>
        <v>-1333974.088384521</v>
      </c>
      <c r="AB13" s="741">
        <f t="shared" si="8"/>
        <v>-1130757.3065114154</v>
      </c>
      <c r="AC13" s="714"/>
    </row>
    <row r="14" spans="1:29" ht="15" customHeight="1" x14ac:dyDescent="0.25">
      <c r="A14" s="713"/>
      <c r="B14" s="729" t="s">
        <v>388</v>
      </c>
      <c r="C14" s="545" t="s">
        <v>40</v>
      </c>
      <c r="D14" s="545" t="s">
        <v>392</v>
      </c>
      <c r="E14" s="681">
        <v>45261</v>
      </c>
      <c r="F14" s="545">
        <v>744</v>
      </c>
      <c r="G14" s="545" t="s">
        <v>58</v>
      </c>
      <c r="H14" s="545" t="s">
        <v>3</v>
      </c>
      <c r="I14" s="545" t="s">
        <v>44</v>
      </c>
      <c r="J14" s="545" t="s">
        <v>84</v>
      </c>
      <c r="K14" s="545">
        <v>150</v>
      </c>
      <c r="L14" s="725" t="s">
        <v>54</v>
      </c>
      <c r="M14" s="695">
        <v>18.75</v>
      </c>
      <c r="N14" s="725">
        <v>0</v>
      </c>
      <c r="O14" s="695">
        <v>182.57269591821751</v>
      </c>
      <c r="P14" s="725">
        <v>0</v>
      </c>
      <c r="Q14" s="742">
        <f t="shared" si="0"/>
        <v>2546889.1080591343</v>
      </c>
      <c r="R14" s="603">
        <f t="shared" si="1"/>
        <v>0</v>
      </c>
      <c r="S14" s="743">
        <f t="shared" si="2"/>
        <v>-2546889.1080591343</v>
      </c>
      <c r="T14" s="742">
        <v>80.45</v>
      </c>
      <c r="U14" s="603">
        <f t="shared" si="3"/>
        <v>-1122277.5</v>
      </c>
      <c r="V14" s="743">
        <f t="shared" si="4"/>
        <v>-1424611.6080591343</v>
      </c>
      <c r="W14" s="744">
        <v>62.087104564109552</v>
      </c>
      <c r="X14" s="604">
        <f t="shared" si="5"/>
        <v>-866115.10866932827</v>
      </c>
      <c r="Y14" s="701">
        <f t="shared" si="6"/>
        <v>-1680773.9993898061</v>
      </c>
      <c r="Z14" s="744">
        <v>98.812895435890439</v>
      </c>
      <c r="AA14" s="604">
        <f t="shared" si="7"/>
        <v>-1378439.8913306717</v>
      </c>
      <c r="AB14" s="745">
        <f t="shared" si="8"/>
        <v>-1168449.2167284626</v>
      </c>
      <c r="AC14" s="714"/>
    </row>
    <row r="15" spans="1:29" ht="15" customHeight="1" x14ac:dyDescent="0.25">
      <c r="A15" s="713"/>
      <c r="B15" s="730" t="s">
        <v>390</v>
      </c>
      <c r="C15" s="546" t="s">
        <v>40</v>
      </c>
      <c r="D15" s="546" t="s">
        <v>393</v>
      </c>
      <c r="E15" s="682">
        <v>44562</v>
      </c>
      <c r="F15" s="546">
        <v>744</v>
      </c>
      <c r="G15" s="546" t="s">
        <v>58</v>
      </c>
      <c r="H15" s="546" t="s">
        <v>3</v>
      </c>
      <c r="I15" s="546" t="s">
        <v>44</v>
      </c>
      <c r="J15" s="546" t="s">
        <v>84</v>
      </c>
      <c r="K15" s="546">
        <v>156</v>
      </c>
      <c r="L15" s="726" t="s">
        <v>54</v>
      </c>
      <c r="M15" s="696">
        <v>5.0999999999999996</v>
      </c>
      <c r="N15" s="726">
        <v>0</v>
      </c>
      <c r="O15" s="696">
        <v>179.27582593804104</v>
      </c>
      <c r="P15" s="726">
        <v>0</v>
      </c>
      <c r="Q15" s="746">
        <f t="shared" si="0"/>
        <v>680244.19393930282</v>
      </c>
      <c r="R15" s="606">
        <f t="shared" si="1"/>
        <v>0</v>
      </c>
      <c r="S15" s="747">
        <f t="shared" si="2"/>
        <v>-680244.19393930282</v>
      </c>
      <c r="T15" s="746">
        <v>62.91</v>
      </c>
      <c r="U15" s="606">
        <f t="shared" si="3"/>
        <v>-238705.70399999997</v>
      </c>
      <c r="V15" s="747">
        <f t="shared" si="4"/>
        <v>-441538.48993930285</v>
      </c>
      <c r="W15" s="748">
        <v>62.91</v>
      </c>
      <c r="X15" s="607">
        <f t="shared" si="5"/>
        <v>-238705.70399999997</v>
      </c>
      <c r="Y15" s="702">
        <f t="shared" si="6"/>
        <v>-441538.48993930285</v>
      </c>
      <c r="Z15" s="748">
        <v>62.91</v>
      </c>
      <c r="AA15" s="607">
        <f t="shared" si="7"/>
        <v>-238705.70399999997</v>
      </c>
      <c r="AB15" s="749">
        <f t="shared" si="8"/>
        <v>-441538.48993930285</v>
      </c>
      <c r="AC15" s="714"/>
    </row>
    <row r="16" spans="1:29" ht="15" customHeight="1" x14ac:dyDescent="0.25">
      <c r="A16" s="713"/>
      <c r="B16" s="714" t="s">
        <v>390</v>
      </c>
      <c r="C16" s="676" t="s">
        <v>40</v>
      </c>
      <c r="D16" s="676" t="s">
        <v>393</v>
      </c>
      <c r="E16" s="680">
        <v>44593</v>
      </c>
      <c r="F16" s="676">
        <v>672</v>
      </c>
      <c r="G16" s="676" t="s">
        <v>58</v>
      </c>
      <c r="H16" s="676" t="s">
        <v>3</v>
      </c>
      <c r="I16" s="676" t="s">
        <v>44</v>
      </c>
      <c r="J16" s="676" t="s">
        <v>84</v>
      </c>
      <c r="K16" s="676">
        <v>156</v>
      </c>
      <c r="L16" s="690" t="s">
        <v>54</v>
      </c>
      <c r="M16" s="691">
        <v>5.0999999999999996</v>
      </c>
      <c r="N16" s="690">
        <v>0</v>
      </c>
      <c r="O16" s="691">
        <v>179.27582593804104</v>
      </c>
      <c r="P16" s="690">
        <v>0</v>
      </c>
      <c r="Q16" s="738">
        <f t="shared" si="0"/>
        <v>614414.11065485422</v>
      </c>
      <c r="R16" s="677">
        <f t="shared" si="1"/>
        <v>0</v>
      </c>
      <c r="S16" s="739">
        <f t="shared" si="2"/>
        <v>-614414.11065485422</v>
      </c>
      <c r="T16" s="738">
        <v>55.7</v>
      </c>
      <c r="U16" s="677">
        <f t="shared" si="3"/>
        <v>-190895.04</v>
      </c>
      <c r="V16" s="739">
        <f t="shared" si="4"/>
        <v>-423519.07065485418</v>
      </c>
      <c r="W16" s="740">
        <v>55.7</v>
      </c>
      <c r="X16" s="678">
        <f t="shared" si="5"/>
        <v>-190895.04</v>
      </c>
      <c r="Y16" s="700">
        <f t="shared" si="6"/>
        <v>-423519.07065485418</v>
      </c>
      <c r="Z16" s="740">
        <v>55.7</v>
      </c>
      <c r="AA16" s="678">
        <f t="shared" si="7"/>
        <v>-190895.04</v>
      </c>
      <c r="AB16" s="741">
        <f t="shared" si="8"/>
        <v>-423519.07065485418</v>
      </c>
      <c r="AC16" s="714"/>
    </row>
    <row r="17" spans="1:29" ht="15" customHeight="1" x14ac:dyDescent="0.25">
      <c r="A17" s="713"/>
      <c r="B17" s="714" t="s">
        <v>390</v>
      </c>
      <c r="C17" s="676" t="s">
        <v>40</v>
      </c>
      <c r="D17" s="676" t="s">
        <v>393</v>
      </c>
      <c r="E17" s="680">
        <v>44621</v>
      </c>
      <c r="F17" s="676">
        <v>744</v>
      </c>
      <c r="G17" s="676" t="s">
        <v>58</v>
      </c>
      <c r="H17" s="676" t="s">
        <v>3</v>
      </c>
      <c r="I17" s="676" t="s">
        <v>44</v>
      </c>
      <c r="J17" s="676" t="s">
        <v>84</v>
      </c>
      <c r="K17" s="676">
        <v>156</v>
      </c>
      <c r="L17" s="690" t="s">
        <v>54</v>
      </c>
      <c r="M17" s="691">
        <v>5.0999999999999996</v>
      </c>
      <c r="N17" s="690">
        <v>0</v>
      </c>
      <c r="O17" s="691">
        <v>179.27582593804104</v>
      </c>
      <c r="P17" s="690">
        <v>0</v>
      </c>
      <c r="Q17" s="738">
        <f t="shared" si="0"/>
        <v>680244.19393930282</v>
      </c>
      <c r="R17" s="677">
        <f t="shared" si="1"/>
        <v>0</v>
      </c>
      <c r="S17" s="739">
        <f t="shared" si="2"/>
        <v>-680244.19393930282</v>
      </c>
      <c r="T17" s="738">
        <v>55.7</v>
      </c>
      <c r="U17" s="677">
        <f t="shared" si="3"/>
        <v>-211348.08</v>
      </c>
      <c r="V17" s="739">
        <f t="shared" si="4"/>
        <v>-468896.11393930286</v>
      </c>
      <c r="W17" s="740">
        <v>55.7</v>
      </c>
      <c r="X17" s="678">
        <f t="shared" si="5"/>
        <v>-211348.08</v>
      </c>
      <c r="Y17" s="700">
        <f t="shared" si="6"/>
        <v>-468896.11393930286</v>
      </c>
      <c r="Z17" s="740">
        <v>55.7</v>
      </c>
      <c r="AA17" s="678">
        <f t="shared" si="7"/>
        <v>-211348.08</v>
      </c>
      <c r="AB17" s="741">
        <f t="shared" si="8"/>
        <v>-468896.11393930286</v>
      </c>
      <c r="AC17" s="714"/>
    </row>
    <row r="18" spans="1:29" ht="15" customHeight="1" x14ac:dyDescent="0.25">
      <c r="A18" s="713"/>
      <c r="B18" s="714" t="s">
        <v>390</v>
      </c>
      <c r="C18" s="676" t="s">
        <v>40</v>
      </c>
      <c r="D18" s="676" t="s">
        <v>393</v>
      </c>
      <c r="E18" s="680">
        <v>44652</v>
      </c>
      <c r="F18" s="676">
        <v>720</v>
      </c>
      <c r="G18" s="676" t="s">
        <v>58</v>
      </c>
      <c r="H18" s="676" t="s">
        <v>3</v>
      </c>
      <c r="I18" s="676" t="s">
        <v>44</v>
      </c>
      <c r="J18" s="676" t="s">
        <v>84</v>
      </c>
      <c r="K18" s="676">
        <v>156</v>
      </c>
      <c r="L18" s="690" t="s">
        <v>54</v>
      </c>
      <c r="M18" s="691">
        <v>5.0999999999999996</v>
      </c>
      <c r="N18" s="690">
        <v>0</v>
      </c>
      <c r="O18" s="691">
        <v>179.27582593804104</v>
      </c>
      <c r="P18" s="690">
        <v>0</v>
      </c>
      <c r="Q18" s="738">
        <f t="shared" si="0"/>
        <v>658300.83284448658</v>
      </c>
      <c r="R18" s="677">
        <f t="shared" si="1"/>
        <v>0</v>
      </c>
      <c r="S18" s="739">
        <f t="shared" si="2"/>
        <v>-658300.83284448658</v>
      </c>
      <c r="T18" s="738">
        <v>55.7</v>
      </c>
      <c r="U18" s="677">
        <f t="shared" si="3"/>
        <v>-204530.4</v>
      </c>
      <c r="V18" s="739">
        <f t="shared" si="4"/>
        <v>-453770.43284448655</v>
      </c>
      <c r="W18" s="740">
        <v>55.7</v>
      </c>
      <c r="X18" s="678">
        <f t="shared" si="5"/>
        <v>-204530.4</v>
      </c>
      <c r="Y18" s="700">
        <f t="shared" si="6"/>
        <v>-453770.43284448655</v>
      </c>
      <c r="Z18" s="740">
        <v>55.7</v>
      </c>
      <c r="AA18" s="678">
        <f t="shared" si="7"/>
        <v>-204530.4</v>
      </c>
      <c r="AB18" s="741">
        <f t="shared" si="8"/>
        <v>-453770.43284448655</v>
      </c>
      <c r="AC18" s="714"/>
    </row>
    <row r="19" spans="1:29" ht="15" customHeight="1" x14ac:dyDescent="0.25">
      <c r="A19" s="713"/>
      <c r="B19" s="714" t="s">
        <v>390</v>
      </c>
      <c r="C19" s="676" t="s">
        <v>40</v>
      </c>
      <c r="D19" s="676" t="s">
        <v>393</v>
      </c>
      <c r="E19" s="680">
        <v>44682</v>
      </c>
      <c r="F19" s="676">
        <v>744</v>
      </c>
      <c r="G19" s="676" t="s">
        <v>58</v>
      </c>
      <c r="H19" s="676" t="s">
        <v>3</v>
      </c>
      <c r="I19" s="676" t="s">
        <v>44</v>
      </c>
      <c r="J19" s="676" t="s">
        <v>84</v>
      </c>
      <c r="K19" s="676">
        <v>156</v>
      </c>
      <c r="L19" s="690" t="s">
        <v>54</v>
      </c>
      <c r="M19" s="691">
        <v>5.0999999999999996</v>
      </c>
      <c r="N19" s="690">
        <v>0</v>
      </c>
      <c r="O19" s="691">
        <v>179.27582593804104</v>
      </c>
      <c r="P19" s="690">
        <v>0</v>
      </c>
      <c r="Q19" s="738">
        <f t="shared" si="0"/>
        <v>680244.19393930282</v>
      </c>
      <c r="R19" s="677">
        <f t="shared" si="1"/>
        <v>0</v>
      </c>
      <c r="S19" s="739">
        <f t="shared" si="2"/>
        <v>-680244.19393930282</v>
      </c>
      <c r="T19" s="738">
        <v>55.7</v>
      </c>
      <c r="U19" s="677">
        <f t="shared" si="3"/>
        <v>-211348.08</v>
      </c>
      <c r="V19" s="739">
        <f t="shared" si="4"/>
        <v>-468896.11393930286</v>
      </c>
      <c r="W19" s="740">
        <v>55.7</v>
      </c>
      <c r="X19" s="678">
        <f t="shared" si="5"/>
        <v>-211348.08</v>
      </c>
      <c r="Y19" s="700">
        <f t="shared" si="6"/>
        <v>-468896.11393930286</v>
      </c>
      <c r="Z19" s="740">
        <v>55.7</v>
      </c>
      <c r="AA19" s="678">
        <f t="shared" si="7"/>
        <v>-211348.08</v>
      </c>
      <c r="AB19" s="741">
        <f t="shared" si="8"/>
        <v>-468896.11393930286</v>
      </c>
      <c r="AC19" s="714"/>
    </row>
    <row r="20" spans="1:29" ht="15" customHeight="1" x14ac:dyDescent="0.25">
      <c r="A20" s="713"/>
      <c r="B20" s="714" t="s">
        <v>390</v>
      </c>
      <c r="C20" s="676" t="s">
        <v>40</v>
      </c>
      <c r="D20" s="676" t="s">
        <v>393</v>
      </c>
      <c r="E20" s="680">
        <v>44713</v>
      </c>
      <c r="F20" s="676">
        <v>720</v>
      </c>
      <c r="G20" s="676" t="s">
        <v>58</v>
      </c>
      <c r="H20" s="676" t="s">
        <v>3</v>
      </c>
      <c r="I20" s="676" t="s">
        <v>44</v>
      </c>
      <c r="J20" s="676" t="s">
        <v>84</v>
      </c>
      <c r="K20" s="676">
        <v>156</v>
      </c>
      <c r="L20" s="690" t="s">
        <v>54</v>
      </c>
      <c r="M20" s="691">
        <v>5.0999999999999996</v>
      </c>
      <c r="N20" s="690">
        <v>0</v>
      </c>
      <c r="O20" s="691">
        <v>179.27582593804104</v>
      </c>
      <c r="P20" s="690">
        <v>0</v>
      </c>
      <c r="Q20" s="738">
        <f t="shared" si="0"/>
        <v>658300.83284448658</v>
      </c>
      <c r="R20" s="677">
        <f t="shared" si="1"/>
        <v>0</v>
      </c>
      <c r="S20" s="739">
        <f t="shared" si="2"/>
        <v>-658300.83284448658</v>
      </c>
      <c r="T20" s="738">
        <v>55.71</v>
      </c>
      <c r="U20" s="677">
        <f t="shared" si="3"/>
        <v>-204567.11999999997</v>
      </c>
      <c r="V20" s="739">
        <f t="shared" si="4"/>
        <v>-453733.71284448658</v>
      </c>
      <c r="W20" s="740">
        <v>55.71</v>
      </c>
      <c r="X20" s="678">
        <f t="shared" si="5"/>
        <v>-204567.11999999997</v>
      </c>
      <c r="Y20" s="700">
        <f t="shared" si="6"/>
        <v>-453733.71284448658</v>
      </c>
      <c r="Z20" s="740">
        <v>55.71</v>
      </c>
      <c r="AA20" s="678">
        <f t="shared" si="7"/>
        <v>-204567.11999999997</v>
      </c>
      <c r="AB20" s="741">
        <f t="shared" si="8"/>
        <v>-453733.71284448658</v>
      </c>
      <c r="AC20" s="714"/>
    </row>
    <row r="21" spans="1:29" ht="15" customHeight="1" x14ac:dyDescent="0.25">
      <c r="A21" s="713"/>
      <c r="B21" s="714" t="s">
        <v>390</v>
      </c>
      <c r="C21" s="676" t="s">
        <v>40</v>
      </c>
      <c r="D21" s="676" t="s">
        <v>393</v>
      </c>
      <c r="E21" s="680">
        <v>44743</v>
      </c>
      <c r="F21" s="676">
        <v>744</v>
      </c>
      <c r="G21" s="676" t="s">
        <v>58</v>
      </c>
      <c r="H21" s="676" t="s">
        <v>3</v>
      </c>
      <c r="I21" s="676" t="s">
        <v>44</v>
      </c>
      <c r="J21" s="676" t="s">
        <v>84</v>
      </c>
      <c r="K21" s="676">
        <v>156</v>
      </c>
      <c r="L21" s="690" t="s">
        <v>54</v>
      </c>
      <c r="M21" s="691">
        <v>5.0999999999999996</v>
      </c>
      <c r="N21" s="690">
        <v>0</v>
      </c>
      <c r="O21" s="691">
        <v>179.27582593804104</v>
      </c>
      <c r="P21" s="690">
        <v>0</v>
      </c>
      <c r="Q21" s="738">
        <f t="shared" si="0"/>
        <v>680244.19393930282</v>
      </c>
      <c r="R21" s="677">
        <f t="shared" si="1"/>
        <v>0</v>
      </c>
      <c r="S21" s="739">
        <f t="shared" si="2"/>
        <v>-680244.19393930282</v>
      </c>
      <c r="T21" s="738">
        <v>66.319999999999993</v>
      </c>
      <c r="U21" s="677">
        <f t="shared" si="3"/>
        <v>-251644.60799999995</v>
      </c>
      <c r="V21" s="739">
        <f t="shared" si="4"/>
        <v>-428599.58593930287</v>
      </c>
      <c r="W21" s="740">
        <v>66.319999999999993</v>
      </c>
      <c r="X21" s="678">
        <f t="shared" si="5"/>
        <v>-251644.60799999995</v>
      </c>
      <c r="Y21" s="700">
        <f t="shared" si="6"/>
        <v>-428599.58593930287</v>
      </c>
      <c r="Z21" s="740">
        <v>66.319999999999993</v>
      </c>
      <c r="AA21" s="678">
        <f t="shared" si="7"/>
        <v>-251644.60799999995</v>
      </c>
      <c r="AB21" s="741">
        <f t="shared" si="8"/>
        <v>-428599.58593930287</v>
      </c>
      <c r="AC21" s="714"/>
    </row>
    <row r="22" spans="1:29" ht="15" customHeight="1" x14ac:dyDescent="0.25">
      <c r="A22" s="713"/>
      <c r="B22" s="714" t="s">
        <v>390</v>
      </c>
      <c r="C22" s="676" t="s">
        <v>40</v>
      </c>
      <c r="D22" s="676" t="s">
        <v>393</v>
      </c>
      <c r="E22" s="680">
        <v>44774</v>
      </c>
      <c r="F22" s="676">
        <v>744</v>
      </c>
      <c r="G22" s="676" t="s">
        <v>58</v>
      </c>
      <c r="H22" s="676" t="s">
        <v>3</v>
      </c>
      <c r="I22" s="676" t="s">
        <v>44</v>
      </c>
      <c r="J22" s="676" t="s">
        <v>84</v>
      </c>
      <c r="K22" s="676">
        <v>156</v>
      </c>
      <c r="L22" s="690" t="s">
        <v>54</v>
      </c>
      <c r="M22" s="691">
        <v>5.0999999999999996</v>
      </c>
      <c r="N22" s="690">
        <v>0</v>
      </c>
      <c r="O22" s="691">
        <v>179.27582593804104</v>
      </c>
      <c r="P22" s="690">
        <v>0</v>
      </c>
      <c r="Q22" s="738">
        <f t="shared" si="0"/>
        <v>680244.19393930282</v>
      </c>
      <c r="R22" s="677">
        <f t="shared" si="1"/>
        <v>0</v>
      </c>
      <c r="S22" s="739">
        <f t="shared" si="2"/>
        <v>-680244.19393930282</v>
      </c>
      <c r="T22" s="738">
        <v>76.900000000000006</v>
      </c>
      <c r="U22" s="677">
        <f t="shared" si="3"/>
        <v>-291789.36</v>
      </c>
      <c r="V22" s="739">
        <f t="shared" si="4"/>
        <v>-388454.83393930283</v>
      </c>
      <c r="W22" s="740">
        <v>76.900000000000006</v>
      </c>
      <c r="X22" s="678">
        <f t="shared" si="5"/>
        <v>-291789.36</v>
      </c>
      <c r="Y22" s="700">
        <f t="shared" si="6"/>
        <v>-388454.83393930283</v>
      </c>
      <c r="Z22" s="740">
        <v>76.900000000000006</v>
      </c>
      <c r="AA22" s="678">
        <f t="shared" si="7"/>
        <v>-291789.36</v>
      </c>
      <c r="AB22" s="741">
        <f t="shared" si="8"/>
        <v>-388454.83393930283</v>
      </c>
      <c r="AC22" s="714"/>
    </row>
    <row r="23" spans="1:29" ht="15" customHeight="1" x14ac:dyDescent="0.25">
      <c r="A23" s="713"/>
      <c r="B23" s="714" t="s">
        <v>390</v>
      </c>
      <c r="C23" s="676" t="s">
        <v>40</v>
      </c>
      <c r="D23" s="676" t="s">
        <v>393</v>
      </c>
      <c r="E23" s="680">
        <v>44805</v>
      </c>
      <c r="F23" s="676">
        <v>720</v>
      </c>
      <c r="G23" s="676" t="s">
        <v>58</v>
      </c>
      <c r="H23" s="676" t="s">
        <v>3</v>
      </c>
      <c r="I23" s="676" t="s">
        <v>44</v>
      </c>
      <c r="J23" s="676" t="s">
        <v>84</v>
      </c>
      <c r="K23" s="676">
        <v>156</v>
      </c>
      <c r="L23" s="690" t="s">
        <v>54</v>
      </c>
      <c r="M23" s="691">
        <v>5.0999999999999996</v>
      </c>
      <c r="N23" s="690">
        <v>0</v>
      </c>
      <c r="O23" s="691">
        <v>179.27582593804104</v>
      </c>
      <c r="P23" s="690">
        <v>0</v>
      </c>
      <c r="Q23" s="738">
        <f t="shared" si="0"/>
        <v>658300.83284448658</v>
      </c>
      <c r="R23" s="677">
        <f t="shared" si="1"/>
        <v>0</v>
      </c>
      <c r="S23" s="739">
        <f t="shared" si="2"/>
        <v>-658300.83284448658</v>
      </c>
      <c r="T23" s="738">
        <v>56.08</v>
      </c>
      <c r="U23" s="677">
        <f t="shared" si="3"/>
        <v>-205925.75999999998</v>
      </c>
      <c r="V23" s="739">
        <f t="shared" si="4"/>
        <v>-452375.07284448657</v>
      </c>
      <c r="W23" s="740">
        <v>56.08</v>
      </c>
      <c r="X23" s="678">
        <f t="shared" si="5"/>
        <v>-205925.75999999998</v>
      </c>
      <c r="Y23" s="700">
        <f t="shared" si="6"/>
        <v>-452375.07284448657</v>
      </c>
      <c r="Z23" s="740">
        <v>56.08</v>
      </c>
      <c r="AA23" s="678">
        <f t="shared" si="7"/>
        <v>-205925.75999999998</v>
      </c>
      <c r="AB23" s="741">
        <f t="shared" si="8"/>
        <v>-452375.07284448657</v>
      </c>
      <c r="AC23" s="714"/>
    </row>
    <row r="24" spans="1:29" ht="15" customHeight="1" x14ac:dyDescent="0.25">
      <c r="A24" s="713"/>
      <c r="B24" s="714" t="s">
        <v>390</v>
      </c>
      <c r="C24" s="676" t="s">
        <v>40</v>
      </c>
      <c r="D24" s="676" t="s">
        <v>393</v>
      </c>
      <c r="E24" s="680">
        <v>44835</v>
      </c>
      <c r="F24" s="676">
        <v>744</v>
      </c>
      <c r="G24" s="676" t="s">
        <v>58</v>
      </c>
      <c r="H24" s="676" t="s">
        <v>3</v>
      </c>
      <c r="I24" s="676" t="s">
        <v>44</v>
      </c>
      <c r="J24" s="676" t="s">
        <v>84</v>
      </c>
      <c r="K24" s="676">
        <v>156</v>
      </c>
      <c r="L24" s="690" t="s">
        <v>54</v>
      </c>
      <c r="M24" s="691">
        <v>5.0999999999999996</v>
      </c>
      <c r="N24" s="690">
        <v>0</v>
      </c>
      <c r="O24" s="691">
        <v>179.27582593804104</v>
      </c>
      <c r="P24" s="690">
        <v>0</v>
      </c>
      <c r="Q24" s="738">
        <f t="shared" si="0"/>
        <v>680244.19393930282</v>
      </c>
      <c r="R24" s="677">
        <f t="shared" si="1"/>
        <v>0</v>
      </c>
      <c r="S24" s="739">
        <f t="shared" si="2"/>
        <v>-680244.19393930282</v>
      </c>
      <c r="T24" s="738">
        <v>55.7</v>
      </c>
      <c r="U24" s="677">
        <f t="shared" si="3"/>
        <v>-211348.08</v>
      </c>
      <c r="V24" s="739">
        <f t="shared" si="4"/>
        <v>-468896.11393930286</v>
      </c>
      <c r="W24" s="740">
        <v>55.7</v>
      </c>
      <c r="X24" s="678">
        <f t="shared" si="5"/>
        <v>-211348.08</v>
      </c>
      <c r="Y24" s="700">
        <f t="shared" si="6"/>
        <v>-468896.11393930286</v>
      </c>
      <c r="Z24" s="740">
        <v>55.7</v>
      </c>
      <c r="AA24" s="678">
        <f t="shared" si="7"/>
        <v>-211348.08</v>
      </c>
      <c r="AB24" s="741">
        <f t="shared" si="8"/>
        <v>-468896.11393930286</v>
      </c>
      <c r="AC24" s="714"/>
    </row>
    <row r="25" spans="1:29" ht="15" customHeight="1" x14ac:dyDescent="0.25">
      <c r="A25" s="713"/>
      <c r="B25" s="714" t="s">
        <v>390</v>
      </c>
      <c r="C25" s="676" t="s">
        <v>40</v>
      </c>
      <c r="D25" s="676" t="s">
        <v>393</v>
      </c>
      <c r="E25" s="680">
        <v>44866</v>
      </c>
      <c r="F25" s="676">
        <v>720</v>
      </c>
      <c r="G25" s="676" t="s">
        <v>58</v>
      </c>
      <c r="H25" s="676" t="s">
        <v>3</v>
      </c>
      <c r="I25" s="676" t="s">
        <v>44</v>
      </c>
      <c r="J25" s="676" t="s">
        <v>84</v>
      </c>
      <c r="K25" s="676">
        <v>156</v>
      </c>
      <c r="L25" s="690" t="s">
        <v>54</v>
      </c>
      <c r="M25" s="691">
        <v>5.0999999999999996</v>
      </c>
      <c r="N25" s="690">
        <v>0</v>
      </c>
      <c r="O25" s="691">
        <v>179.27582593804104</v>
      </c>
      <c r="P25" s="690">
        <v>0</v>
      </c>
      <c r="Q25" s="738">
        <f t="shared" si="0"/>
        <v>658300.83284448658</v>
      </c>
      <c r="R25" s="677">
        <f t="shared" si="1"/>
        <v>0</v>
      </c>
      <c r="S25" s="739">
        <f t="shared" si="2"/>
        <v>-658300.83284448658</v>
      </c>
      <c r="T25" s="738">
        <v>55.7</v>
      </c>
      <c r="U25" s="677">
        <f t="shared" si="3"/>
        <v>-204530.4</v>
      </c>
      <c r="V25" s="739">
        <f t="shared" si="4"/>
        <v>-453770.43284448655</v>
      </c>
      <c r="W25" s="740">
        <v>55.7</v>
      </c>
      <c r="X25" s="678">
        <f t="shared" si="5"/>
        <v>-204530.4</v>
      </c>
      <c r="Y25" s="700">
        <f t="shared" si="6"/>
        <v>-453770.43284448655</v>
      </c>
      <c r="Z25" s="740">
        <v>55.7</v>
      </c>
      <c r="AA25" s="678">
        <f t="shared" si="7"/>
        <v>-204530.4</v>
      </c>
      <c r="AB25" s="741">
        <f t="shared" si="8"/>
        <v>-453770.43284448655</v>
      </c>
      <c r="AC25" s="714"/>
    </row>
    <row r="26" spans="1:29" ht="15" customHeight="1" x14ac:dyDescent="0.25">
      <c r="A26" s="713"/>
      <c r="B26" s="729" t="s">
        <v>390</v>
      </c>
      <c r="C26" s="545" t="s">
        <v>40</v>
      </c>
      <c r="D26" s="545" t="s">
        <v>393</v>
      </c>
      <c r="E26" s="681">
        <v>44896</v>
      </c>
      <c r="F26" s="545">
        <v>744</v>
      </c>
      <c r="G26" s="545" t="s">
        <v>58</v>
      </c>
      <c r="H26" s="545" t="s">
        <v>3</v>
      </c>
      <c r="I26" s="545" t="s">
        <v>44</v>
      </c>
      <c r="J26" s="545" t="s">
        <v>84</v>
      </c>
      <c r="K26" s="545">
        <v>156</v>
      </c>
      <c r="L26" s="725" t="s">
        <v>54</v>
      </c>
      <c r="M26" s="695">
        <v>5.0999999999999996</v>
      </c>
      <c r="N26" s="725">
        <v>0</v>
      </c>
      <c r="O26" s="695">
        <v>179.27582593804104</v>
      </c>
      <c r="P26" s="725">
        <v>0</v>
      </c>
      <c r="Q26" s="742">
        <f t="shared" si="0"/>
        <v>680244.19393930282</v>
      </c>
      <c r="R26" s="603">
        <f t="shared" si="1"/>
        <v>0</v>
      </c>
      <c r="S26" s="743">
        <f t="shared" si="2"/>
        <v>-680244.19393930282</v>
      </c>
      <c r="T26" s="742">
        <v>55.7</v>
      </c>
      <c r="U26" s="603">
        <f t="shared" si="3"/>
        <v>-211348.08</v>
      </c>
      <c r="V26" s="743">
        <f t="shared" si="4"/>
        <v>-468896.11393930286</v>
      </c>
      <c r="W26" s="744">
        <v>55.7</v>
      </c>
      <c r="X26" s="604">
        <f t="shared" si="5"/>
        <v>-211348.08</v>
      </c>
      <c r="Y26" s="701">
        <f t="shared" si="6"/>
        <v>-468896.11393930286</v>
      </c>
      <c r="Z26" s="744">
        <v>78.400653594793155</v>
      </c>
      <c r="AA26" s="604">
        <f t="shared" si="7"/>
        <v>-297483.44000008312</v>
      </c>
      <c r="AB26" s="745">
        <f t="shared" si="8"/>
        <v>-382760.75393921969</v>
      </c>
      <c r="AC26" s="714"/>
    </row>
    <row r="27" spans="1:29" ht="15" customHeight="1" x14ac:dyDescent="0.25">
      <c r="A27" s="713"/>
      <c r="B27" s="730" t="s">
        <v>394</v>
      </c>
      <c r="C27" s="546" t="s">
        <v>40</v>
      </c>
      <c r="D27" s="546" t="s">
        <v>350</v>
      </c>
      <c r="E27" s="682">
        <v>44562</v>
      </c>
      <c r="F27" s="546">
        <v>744</v>
      </c>
      <c r="G27" s="546" t="s">
        <v>59</v>
      </c>
      <c r="H27" s="546" t="s">
        <v>3</v>
      </c>
      <c r="I27" s="546" t="s">
        <v>44</v>
      </c>
      <c r="J27" s="546" t="s">
        <v>85</v>
      </c>
      <c r="K27" s="546">
        <v>151</v>
      </c>
      <c r="L27" s="726" t="s">
        <v>54</v>
      </c>
      <c r="M27" s="696">
        <v>0</v>
      </c>
      <c r="N27" s="726">
        <v>7</v>
      </c>
      <c r="O27" s="696">
        <v>0</v>
      </c>
      <c r="P27" s="726">
        <v>172.49331586236761</v>
      </c>
      <c r="Q27" s="746">
        <f t="shared" si="0"/>
        <v>0</v>
      </c>
      <c r="R27" s="606">
        <f t="shared" si="1"/>
        <v>898345.18901121046</v>
      </c>
      <c r="S27" s="747">
        <f t="shared" si="2"/>
        <v>898345.18901121046</v>
      </c>
      <c r="T27" s="746">
        <v>62.91</v>
      </c>
      <c r="U27" s="606">
        <f t="shared" si="3"/>
        <v>327635.27999999997</v>
      </c>
      <c r="V27" s="747">
        <f t="shared" si="4"/>
        <v>570709.90901121055</v>
      </c>
      <c r="W27" s="748">
        <v>62.91</v>
      </c>
      <c r="X27" s="607">
        <f t="shared" si="5"/>
        <v>327635.27999999997</v>
      </c>
      <c r="Y27" s="702">
        <f t="shared" si="6"/>
        <v>570709.90901121055</v>
      </c>
      <c r="Z27" s="748">
        <v>62.91</v>
      </c>
      <c r="AA27" s="607">
        <f t="shared" si="7"/>
        <v>327635.27999999997</v>
      </c>
      <c r="AB27" s="749">
        <f t="shared" si="8"/>
        <v>570709.90901121055</v>
      </c>
      <c r="AC27" s="714"/>
    </row>
    <row r="28" spans="1:29" ht="15" customHeight="1" x14ac:dyDescent="0.25">
      <c r="A28" s="713"/>
      <c r="B28" s="714" t="s">
        <v>394</v>
      </c>
      <c r="C28" s="676" t="s">
        <v>40</v>
      </c>
      <c r="D28" s="676" t="s">
        <v>350</v>
      </c>
      <c r="E28" s="680">
        <v>44593</v>
      </c>
      <c r="F28" s="676">
        <v>672</v>
      </c>
      <c r="G28" s="676" t="s">
        <v>59</v>
      </c>
      <c r="H28" s="676" t="s">
        <v>3</v>
      </c>
      <c r="I28" s="676" t="s">
        <v>44</v>
      </c>
      <c r="J28" s="676" t="s">
        <v>85</v>
      </c>
      <c r="K28" s="676">
        <v>151</v>
      </c>
      <c r="L28" s="690" t="s">
        <v>54</v>
      </c>
      <c r="M28" s="691">
        <v>0</v>
      </c>
      <c r="N28" s="690">
        <v>7</v>
      </c>
      <c r="O28" s="691">
        <v>0</v>
      </c>
      <c r="P28" s="690">
        <v>172.49331586236761</v>
      </c>
      <c r="Q28" s="738">
        <f t="shared" si="0"/>
        <v>0</v>
      </c>
      <c r="R28" s="677">
        <f t="shared" si="1"/>
        <v>811408.55781657726</v>
      </c>
      <c r="S28" s="739">
        <f t="shared" si="2"/>
        <v>811408.55781657726</v>
      </c>
      <c r="T28" s="738">
        <v>55.7</v>
      </c>
      <c r="U28" s="677">
        <f t="shared" si="3"/>
        <v>262012.80000000002</v>
      </c>
      <c r="V28" s="739">
        <f t="shared" si="4"/>
        <v>549395.75781657721</v>
      </c>
      <c r="W28" s="740">
        <v>55.7</v>
      </c>
      <c r="X28" s="678">
        <f t="shared" si="5"/>
        <v>262012.80000000002</v>
      </c>
      <c r="Y28" s="700">
        <f t="shared" si="6"/>
        <v>549395.75781657721</v>
      </c>
      <c r="Z28" s="740">
        <v>55.7</v>
      </c>
      <c r="AA28" s="678">
        <f t="shared" si="7"/>
        <v>262012.80000000002</v>
      </c>
      <c r="AB28" s="741">
        <f t="shared" si="8"/>
        <v>549395.75781657721</v>
      </c>
      <c r="AC28" s="714"/>
    </row>
    <row r="29" spans="1:29" ht="15" customHeight="1" x14ac:dyDescent="0.25">
      <c r="A29" s="713"/>
      <c r="B29" s="714" t="s">
        <v>394</v>
      </c>
      <c r="C29" s="676" t="s">
        <v>40</v>
      </c>
      <c r="D29" s="676" t="s">
        <v>350</v>
      </c>
      <c r="E29" s="680">
        <v>44621</v>
      </c>
      <c r="F29" s="676">
        <v>744</v>
      </c>
      <c r="G29" s="676" t="s">
        <v>59</v>
      </c>
      <c r="H29" s="676" t="s">
        <v>3</v>
      </c>
      <c r="I29" s="676" t="s">
        <v>44</v>
      </c>
      <c r="J29" s="676" t="s">
        <v>85</v>
      </c>
      <c r="K29" s="676">
        <v>151</v>
      </c>
      <c r="L29" s="690" t="s">
        <v>54</v>
      </c>
      <c r="M29" s="691">
        <v>0</v>
      </c>
      <c r="N29" s="690">
        <v>7</v>
      </c>
      <c r="O29" s="691">
        <v>0</v>
      </c>
      <c r="P29" s="690">
        <v>172.49331586236761</v>
      </c>
      <c r="Q29" s="738">
        <f t="shared" si="0"/>
        <v>0</v>
      </c>
      <c r="R29" s="677">
        <f t="shared" si="1"/>
        <v>898345.18901121046</v>
      </c>
      <c r="S29" s="739">
        <f t="shared" si="2"/>
        <v>898345.18901121046</v>
      </c>
      <c r="T29" s="738">
        <v>55.7</v>
      </c>
      <c r="U29" s="677">
        <f t="shared" si="3"/>
        <v>290085.60000000003</v>
      </c>
      <c r="V29" s="739">
        <f t="shared" si="4"/>
        <v>608259.58901121048</v>
      </c>
      <c r="W29" s="740">
        <v>55.7</v>
      </c>
      <c r="X29" s="678">
        <f t="shared" si="5"/>
        <v>290085.60000000003</v>
      </c>
      <c r="Y29" s="700">
        <f t="shared" si="6"/>
        <v>608259.58901121048</v>
      </c>
      <c r="Z29" s="740">
        <v>55.7</v>
      </c>
      <c r="AA29" s="678">
        <f t="shared" si="7"/>
        <v>290085.60000000003</v>
      </c>
      <c r="AB29" s="741">
        <f t="shared" si="8"/>
        <v>608259.58901121048</v>
      </c>
      <c r="AC29" s="714"/>
    </row>
    <row r="30" spans="1:29" ht="15" customHeight="1" x14ac:dyDescent="0.25">
      <c r="A30" s="713"/>
      <c r="B30" s="714" t="s">
        <v>394</v>
      </c>
      <c r="C30" s="676" t="s">
        <v>40</v>
      </c>
      <c r="D30" s="676" t="s">
        <v>350</v>
      </c>
      <c r="E30" s="680">
        <v>44652</v>
      </c>
      <c r="F30" s="676">
        <v>720</v>
      </c>
      <c r="G30" s="676" t="s">
        <v>59</v>
      </c>
      <c r="H30" s="676" t="s">
        <v>3</v>
      </c>
      <c r="I30" s="676" t="s">
        <v>44</v>
      </c>
      <c r="J30" s="676" t="s">
        <v>85</v>
      </c>
      <c r="K30" s="676">
        <v>151</v>
      </c>
      <c r="L30" s="690" t="s">
        <v>54</v>
      </c>
      <c r="M30" s="691">
        <v>0</v>
      </c>
      <c r="N30" s="690">
        <v>7</v>
      </c>
      <c r="O30" s="691">
        <v>0</v>
      </c>
      <c r="P30" s="690">
        <v>172.49331586236761</v>
      </c>
      <c r="Q30" s="738">
        <f t="shared" si="0"/>
        <v>0</v>
      </c>
      <c r="R30" s="677">
        <f t="shared" si="1"/>
        <v>869366.3119463328</v>
      </c>
      <c r="S30" s="739">
        <f t="shared" si="2"/>
        <v>869366.3119463328</v>
      </c>
      <c r="T30" s="738">
        <v>55.7</v>
      </c>
      <c r="U30" s="677">
        <f t="shared" si="3"/>
        <v>280728</v>
      </c>
      <c r="V30" s="739">
        <f t="shared" si="4"/>
        <v>588638.3119463328</v>
      </c>
      <c r="W30" s="740">
        <v>55.7</v>
      </c>
      <c r="X30" s="678">
        <f t="shared" si="5"/>
        <v>280728</v>
      </c>
      <c r="Y30" s="700">
        <f t="shared" si="6"/>
        <v>588638.3119463328</v>
      </c>
      <c r="Z30" s="740">
        <v>55.7</v>
      </c>
      <c r="AA30" s="678">
        <f t="shared" si="7"/>
        <v>280728</v>
      </c>
      <c r="AB30" s="741">
        <f t="shared" si="8"/>
        <v>588638.3119463328</v>
      </c>
      <c r="AC30" s="714"/>
    </row>
    <row r="31" spans="1:29" ht="15" customHeight="1" x14ac:dyDescent="0.25">
      <c r="A31" s="713"/>
      <c r="B31" s="714" t="s">
        <v>394</v>
      </c>
      <c r="C31" s="676" t="s">
        <v>40</v>
      </c>
      <c r="D31" s="676" t="s">
        <v>350</v>
      </c>
      <c r="E31" s="680">
        <v>44682</v>
      </c>
      <c r="F31" s="676">
        <v>744</v>
      </c>
      <c r="G31" s="676" t="s">
        <v>59</v>
      </c>
      <c r="H31" s="676" t="s">
        <v>3</v>
      </c>
      <c r="I31" s="676" t="s">
        <v>44</v>
      </c>
      <c r="J31" s="676" t="s">
        <v>85</v>
      </c>
      <c r="K31" s="676">
        <v>151</v>
      </c>
      <c r="L31" s="690" t="s">
        <v>54</v>
      </c>
      <c r="M31" s="691">
        <v>0</v>
      </c>
      <c r="N31" s="690">
        <v>7</v>
      </c>
      <c r="O31" s="691">
        <v>0</v>
      </c>
      <c r="P31" s="690">
        <v>172.49331586236761</v>
      </c>
      <c r="Q31" s="738">
        <f t="shared" si="0"/>
        <v>0</v>
      </c>
      <c r="R31" s="677">
        <f t="shared" si="1"/>
        <v>898345.18901121046</v>
      </c>
      <c r="S31" s="739">
        <f t="shared" si="2"/>
        <v>898345.18901121046</v>
      </c>
      <c r="T31" s="738">
        <v>55.7</v>
      </c>
      <c r="U31" s="677">
        <f t="shared" si="3"/>
        <v>290085.60000000003</v>
      </c>
      <c r="V31" s="739">
        <f t="shared" si="4"/>
        <v>608259.58901121048</v>
      </c>
      <c r="W31" s="740">
        <v>55.7</v>
      </c>
      <c r="X31" s="678">
        <f t="shared" si="5"/>
        <v>290085.60000000003</v>
      </c>
      <c r="Y31" s="700">
        <f t="shared" si="6"/>
        <v>608259.58901121048</v>
      </c>
      <c r="Z31" s="740">
        <v>55.7</v>
      </c>
      <c r="AA31" s="678">
        <f t="shared" si="7"/>
        <v>290085.60000000003</v>
      </c>
      <c r="AB31" s="741">
        <f t="shared" si="8"/>
        <v>608259.58901121048</v>
      </c>
      <c r="AC31" s="714"/>
    </row>
    <row r="32" spans="1:29" ht="15" customHeight="1" x14ac:dyDescent="0.25">
      <c r="A32" s="713"/>
      <c r="B32" s="714" t="s">
        <v>394</v>
      </c>
      <c r="C32" s="676" t="s">
        <v>40</v>
      </c>
      <c r="D32" s="676" t="s">
        <v>350</v>
      </c>
      <c r="E32" s="680">
        <v>44713</v>
      </c>
      <c r="F32" s="676">
        <v>720</v>
      </c>
      <c r="G32" s="676" t="s">
        <v>59</v>
      </c>
      <c r="H32" s="676" t="s">
        <v>3</v>
      </c>
      <c r="I32" s="676" t="s">
        <v>44</v>
      </c>
      <c r="J32" s="676" t="s">
        <v>85</v>
      </c>
      <c r="K32" s="676">
        <v>151</v>
      </c>
      <c r="L32" s="690" t="s">
        <v>54</v>
      </c>
      <c r="M32" s="691">
        <v>0</v>
      </c>
      <c r="N32" s="690">
        <v>7</v>
      </c>
      <c r="O32" s="691">
        <v>0</v>
      </c>
      <c r="P32" s="690">
        <v>172.49331586236761</v>
      </c>
      <c r="Q32" s="738">
        <f t="shared" si="0"/>
        <v>0</v>
      </c>
      <c r="R32" s="677">
        <f t="shared" si="1"/>
        <v>869366.3119463328</v>
      </c>
      <c r="S32" s="739">
        <f t="shared" si="2"/>
        <v>869366.3119463328</v>
      </c>
      <c r="T32" s="738">
        <v>55.71</v>
      </c>
      <c r="U32" s="677">
        <f t="shared" si="3"/>
        <v>280778.40000000002</v>
      </c>
      <c r="V32" s="739">
        <f t="shared" si="4"/>
        <v>588587.91194633278</v>
      </c>
      <c r="W32" s="740">
        <v>55.71</v>
      </c>
      <c r="X32" s="678">
        <f t="shared" si="5"/>
        <v>280778.40000000002</v>
      </c>
      <c r="Y32" s="700">
        <f t="shared" si="6"/>
        <v>588587.91194633278</v>
      </c>
      <c r="Z32" s="740">
        <v>55.71</v>
      </c>
      <c r="AA32" s="678">
        <f t="shared" si="7"/>
        <v>280778.40000000002</v>
      </c>
      <c r="AB32" s="741">
        <f t="shared" si="8"/>
        <v>588587.91194633278</v>
      </c>
      <c r="AC32" s="714"/>
    </row>
    <row r="33" spans="1:29" ht="15" customHeight="1" x14ac:dyDescent="0.25">
      <c r="A33" s="713"/>
      <c r="B33" s="714" t="s">
        <v>394</v>
      </c>
      <c r="C33" s="676" t="s">
        <v>40</v>
      </c>
      <c r="D33" s="676" t="s">
        <v>350</v>
      </c>
      <c r="E33" s="680">
        <v>44743</v>
      </c>
      <c r="F33" s="676">
        <v>744</v>
      </c>
      <c r="G33" s="676" t="s">
        <v>59</v>
      </c>
      <c r="H33" s="676" t="s">
        <v>3</v>
      </c>
      <c r="I33" s="676" t="s">
        <v>44</v>
      </c>
      <c r="J33" s="676" t="s">
        <v>85</v>
      </c>
      <c r="K33" s="676">
        <v>151</v>
      </c>
      <c r="L33" s="690" t="s">
        <v>54</v>
      </c>
      <c r="M33" s="691">
        <v>0</v>
      </c>
      <c r="N33" s="690">
        <v>7</v>
      </c>
      <c r="O33" s="691">
        <v>0</v>
      </c>
      <c r="P33" s="690">
        <v>172.49331586236761</v>
      </c>
      <c r="Q33" s="738">
        <f t="shared" si="0"/>
        <v>0</v>
      </c>
      <c r="R33" s="677">
        <f t="shared" si="1"/>
        <v>898345.18901121046</v>
      </c>
      <c r="S33" s="739">
        <f t="shared" si="2"/>
        <v>898345.18901121046</v>
      </c>
      <c r="T33" s="738">
        <v>66.319999999999993</v>
      </c>
      <c r="U33" s="677">
        <f t="shared" si="3"/>
        <v>345394.55999999994</v>
      </c>
      <c r="V33" s="739">
        <f t="shared" si="4"/>
        <v>552950.62901121052</v>
      </c>
      <c r="W33" s="740">
        <v>66.319999999999993</v>
      </c>
      <c r="X33" s="678">
        <f t="shared" si="5"/>
        <v>345394.55999999994</v>
      </c>
      <c r="Y33" s="700">
        <f t="shared" si="6"/>
        <v>552950.62901121052</v>
      </c>
      <c r="Z33" s="740">
        <v>66.319999999999993</v>
      </c>
      <c r="AA33" s="678">
        <f t="shared" si="7"/>
        <v>345394.55999999994</v>
      </c>
      <c r="AB33" s="741">
        <f t="shared" si="8"/>
        <v>552950.62901121052</v>
      </c>
      <c r="AC33" s="714"/>
    </row>
    <row r="34" spans="1:29" ht="15" customHeight="1" x14ac:dyDescent="0.25">
      <c r="A34" s="713"/>
      <c r="B34" s="714" t="s">
        <v>394</v>
      </c>
      <c r="C34" s="676" t="s">
        <v>40</v>
      </c>
      <c r="D34" s="676" t="s">
        <v>350</v>
      </c>
      <c r="E34" s="680">
        <v>44774</v>
      </c>
      <c r="F34" s="676">
        <v>744</v>
      </c>
      <c r="G34" s="676" t="s">
        <v>59</v>
      </c>
      <c r="H34" s="676" t="s">
        <v>3</v>
      </c>
      <c r="I34" s="676" t="s">
        <v>44</v>
      </c>
      <c r="J34" s="676" t="s">
        <v>85</v>
      </c>
      <c r="K34" s="676">
        <v>151</v>
      </c>
      <c r="L34" s="690" t="s">
        <v>54</v>
      </c>
      <c r="M34" s="691">
        <v>0</v>
      </c>
      <c r="N34" s="690">
        <v>7</v>
      </c>
      <c r="O34" s="691">
        <v>0</v>
      </c>
      <c r="P34" s="690">
        <v>172.49331586236761</v>
      </c>
      <c r="Q34" s="738">
        <f t="shared" si="0"/>
        <v>0</v>
      </c>
      <c r="R34" s="677">
        <f t="shared" si="1"/>
        <v>898345.18901121046</v>
      </c>
      <c r="S34" s="739">
        <f t="shared" si="2"/>
        <v>898345.18901121046</v>
      </c>
      <c r="T34" s="738">
        <v>76.900000000000006</v>
      </c>
      <c r="U34" s="677">
        <f t="shared" si="3"/>
        <v>400495.2</v>
      </c>
      <c r="V34" s="739">
        <f t="shared" si="4"/>
        <v>497849.98901121045</v>
      </c>
      <c r="W34" s="740">
        <v>76.900000000000006</v>
      </c>
      <c r="X34" s="678">
        <f t="shared" si="5"/>
        <v>400495.2</v>
      </c>
      <c r="Y34" s="700">
        <f t="shared" si="6"/>
        <v>497849.98901121045</v>
      </c>
      <c r="Z34" s="740">
        <v>76.900000000000006</v>
      </c>
      <c r="AA34" s="678">
        <f t="shared" si="7"/>
        <v>400495.2</v>
      </c>
      <c r="AB34" s="741">
        <f t="shared" si="8"/>
        <v>497849.98901121045</v>
      </c>
      <c r="AC34" s="714"/>
    </row>
    <row r="35" spans="1:29" ht="15" customHeight="1" x14ac:dyDescent="0.25">
      <c r="A35" s="713"/>
      <c r="B35" s="714" t="s">
        <v>394</v>
      </c>
      <c r="C35" s="676" t="s">
        <v>40</v>
      </c>
      <c r="D35" s="676" t="s">
        <v>350</v>
      </c>
      <c r="E35" s="680">
        <v>44805</v>
      </c>
      <c r="F35" s="676">
        <v>720</v>
      </c>
      <c r="G35" s="676" t="s">
        <v>59</v>
      </c>
      <c r="H35" s="676" t="s">
        <v>3</v>
      </c>
      <c r="I35" s="676" t="s">
        <v>44</v>
      </c>
      <c r="J35" s="676" t="s">
        <v>85</v>
      </c>
      <c r="K35" s="676">
        <v>151</v>
      </c>
      <c r="L35" s="690" t="s">
        <v>54</v>
      </c>
      <c r="M35" s="691">
        <v>0</v>
      </c>
      <c r="N35" s="690">
        <v>7</v>
      </c>
      <c r="O35" s="691">
        <v>0</v>
      </c>
      <c r="P35" s="690">
        <v>172.49331586236761</v>
      </c>
      <c r="Q35" s="738">
        <f t="shared" si="0"/>
        <v>0</v>
      </c>
      <c r="R35" s="677">
        <f t="shared" si="1"/>
        <v>869366.3119463328</v>
      </c>
      <c r="S35" s="739">
        <f t="shared" si="2"/>
        <v>869366.3119463328</v>
      </c>
      <c r="T35" s="738">
        <v>56.08</v>
      </c>
      <c r="U35" s="677">
        <f t="shared" si="3"/>
        <v>282643.20000000001</v>
      </c>
      <c r="V35" s="739">
        <f t="shared" si="4"/>
        <v>586723.11194633273</v>
      </c>
      <c r="W35" s="740">
        <v>56.08</v>
      </c>
      <c r="X35" s="678">
        <f t="shared" si="5"/>
        <v>282643.20000000001</v>
      </c>
      <c r="Y35" s="700">
        <f t="shared" si="6"/>
        <v>586723.11194633273</v>
      </c>
      <c r="Z35" s="740">
        <v>56.08</v>
      </c>
      <c r="AA35" s="678">
        <f t="shared" si="7"/>
        <v>282643.20000000001</v>
      </c>
      <c r="AB35" s="741">
        <f t="shared" si="8"/>
        <v>586723.11194633273</v>
      </c>
      <c r="AC35" s="714"/>
    </row>
    <row r="36" spans="1:29" ht="15" customHeight="1" x14ac:dyDescent="0.25">
      <c r="A36" s="713"/>
      <c r="B36" s="714" t="s">
        <v>394</v>
      </c>
      <c r="C36" s="676" t="s">
        <v>40</v>
      </c>
      <c r="D36" s="676" t="s">
        <v>350</v>
      </c>
      <c r="E36" s="680">
        <v>44835</v>
      </c>
      <c r="F36" s="676">
        <v>744</v>
      </c>
      <c r="G36" s="676" t="s">
        <v>59</v>
      </c>
      <c r="H36" s="676" t="s">
        <v>3</v>
      </c>
      <c r="I36" s="676" t="s">
        <v>44</v>
      </c>
      <c r="J36" s="676" t="s">
        <v>85</v>
      </c>
      <c r="K36" s="676">
        <v>151</v>
      </c>
      <c r="L36" s="690" t="s">
        <v>54</v>
      </c>
      <c r="M36" s="691">
        <v>0</v>
      </c>
      <c r="N36" s="690">
        <v>7</v>
      </c>
      <c r="O36" s="691">
        <v>0</v>
      </c>
      <c r="P36" s="690">
        <v>172.49331586236761</v>
      </c>
      <c r="Q36" s="738">
        <f t="shared" si="0"/>
        <v>0</v>
      </c>
      <c r="R36" s="677">
        <f t="shared" si="1"/>
        <v>898345.18901121046</v>
      </c>
      <c r="S36" s="739">
        <f t="shared" si="2"/>
        <v>898345.18901121046</v>
      </c>
      <c r="T36" s="738">
        <v>55.7</v>
      </c>
      <c r="U36" s="677">
        <f t="shared" si="3"/>
        <v>290085.60000000003</v>
      </c>
      <c r="V36" s="739">
        <f t="shared" si="4"/>
        <v>608259.58901121048</v>
      </c>
      <c r="W36" s="740">
        <v>55.7</v>
      </c>
      <c r="X36" s="678">
        <f t="shared" si="5"/>
        <v>290085.60000000003</v>
      </c>
      <c r="Y36" s="700">
        <f t="shared" si="6"/>
        <v>608259.58901121048</v>
      </c>
      <c r="Z36" s="740">
        <v>55.7</v>
      </c>
      <c r="AA36" s="678">
        <f t="shared" si="7"/>
        <v>290085.60000000003</v>
      </c>
      <c r="AB36" s="741">
        <f t="shared" si="8"/>
        <v>608259.58901121048</v>
      </c>
      <c r="AC36" s="714"/>
    </row>
    <row r="37" spans="1:29" ht="15" customHeight="1" x14ac:dyDescent="0.25">
      <c r="A37" s="713"/>
      <c r="B37" s="714" t="s">
        <v>394</v>
      </c>
      <c r="C37" s="676" t="s">
        <v>40</v>
      </c>
      <c r="D37" s="676" t="s">
        <v>350</v>
      </c>
      <c r="E37" s="680">
        <v>44866</v>
      </c>
      <c r="F37" s="676">
        <v>720</v>
      </c>
      <c r="G37" s="676" t="s">
        <v>59</v>
      </c>
      <c r="H37" s="676" t="s">
        <v>3</v>
      </c>
      <c r="I37" s="676" t="s">
        <v>44</v>
      </c>
      <c r="J37" s="676" t="s">
        <v>85</v>
      </c>
      <c r="K37" s="676">
        <v>151</v>
      </c>
      <c r="L37" s="690" t="s">
        <v>54</v>
      </c>
      <c r="M37" s="691">
        <v>0</v>
      </c>
      <c r="N37" s="690">
        <v>7</v>
      </c>
      <c r="O37" s="691">
        <v>0</v>
      </c>
      <c r="P37" s="690">
        <v>172.49331586236761</v>
      </c>
      <c r="Q37" s="738">
        <f t="shared" si="0"/>
        <v>0</v>
      </c>
      <c r="R37" s="677">
        <f t="shared" si="1"/>
        <v>869366.3119463328</v>
      </c>
      <c r="S37" s="739">
        <f t="shared" si="2"/>
        <v>869366.3119463328</v>
      </c>
      <c r="T37" s="738">
        <v>55.7</v>
      </c>
      <c r="U37" s="677">
        <f t="shared" si="3"/>
        <v>280728</v>
      </c>
      <c r="V37" s="739">
        <f t="shared" si="4"/>
        <v>588638.3119463328</v>
      </c>
      <c r="W37" s="740">
        <v>55.7</v>
      </c>
      <c r="X37" s="678">
        <f t="shared" si="5"/>
        <v>280728</v>
      </c>
      <c r="Y37" s="700">
        <f t="shared" si="6"/>
        <v>588638.3119463328</v>
      </c>
      <c r="Z37" s="740">
        <v>55.7</v>
      </c>
      <c r="AA37" s="678">
        <f t="shared" si="7"/>
        <v>280728</v>
      </c>
      <c r="AB37" s="741">
        <f t="shared" si="8"/>
        <v>588638.3119463328</v>
      </c>
      <c r="AC37" s="714"/>
    </row>
    <row r="38" spans="1:29" ht="15" customHeight="1" x14ac:dyDescent="0.25">
      <c r="A38" s="713"/>
      <c r="B38" s="729" t="s">
        <v>394</v>
      </c>
      <c r="C38" s="545" t="s">
        <v>40</v>
      </c>
      <c r="D38" s="545" t="s">
        <v>350</v>
      </c>
      <c r="E38" s="681">
        <v>44896</v>
      </c>
      <c r="F38" s="545">
        <v>744</v>
      </c>
      <c r="G38" s="545" t="s">
        <v>59</v>
      </c>
      <c r="H38" s="545" t="s">
        <v>3</v>
      </c>
      <c r="I38" s="545" t="s">
        <v>44</v>
      </c>
      <c r="J38" s="545" t="s">
        <v>85</v>
      </c>
      <c r="K38" s="545">
        <v>151</v>
      </c>
      <c r="L38" s="725" t="s">
        <v>54</v>
      </c>
      <c r="M38" s="695">
        <v>0</v>
      </c>
      <c r="N38" s="725">
        <v>7</v>
      </c>
      <c r="O38" s="695">
        <v>0</v>
      </c>
      <c r="P38" s="725">
        <v>172.49331586236761</v>
      </c>
      <c r="Q38" s="742">
        <f t="shared" si="0"/>
        <v>0</v>
      </c>
      <c r="R38" s="603">
        <f t="shared" si="1"/>
        <v>898345.18901121046</v>
      </c>
      <c r="S38" s="743">
        <f t="shared" si="2"/>
        <v>898345.18901121046</v>
      </c>
      <c r="T38" s="742">
        <v>55.7</v>
      </c>
      <c r="U38" s="603">
        <f t="shared" si="3"/>
        <v>290085.60000000003</v>
      </c>
      <c r="V38" s="743">
        <f t="shared" si="4"/>
        <v>608259.58901121048</v>
      </c>
      <c r="W38" s="744">
        <v>55.7</v>
      </c>
      <c r="X38" s="604">
        <f t="shared" si="5"/>
        <v>290085.60000000003</v>
      </c>
      <c r="Y38" s="701">
        <f t="shared" si="6"/>
        <v>608259.58901121048</v>
      </c>
      <c r="Z38" s="744">
        <v>78.400653594793155</v>
      </c>
      <c r="AA38" s="604">
        <f t="shared" si="7"/>
        <v>408310.60392168275</v>
      </c>
      <c r="AB38" s="745">
        <f t="shared" si="8"/>
        <v>490034.58508952771</v>
      </c>
      <c r="AC38" s="714"/>
    </row>
    <row r="39" spans="1:29" ht="15" customHeight="1" x14ac:dyDescent="0.25">
      <c r="A39" s="713"/>
      <c r="B39" s="730" t="s">
        <v>398</v>
      </c>
      <c r="C39" s="546" t="s">
        <v>40</v>
      </c>
      <c r="D39" s="546" t="s">
        <v>620</v>
      </c>
      <c r="E39" s="682">
        <v>44562</v>
      </c>
      <c r="F39" s="546">
        <v>744</v>
      </c>
      <c r="G39" s="546" t="s">
        <v>59</v>
      </c>
      <c r="H39" s="546" t="s">
        <v>3</v>
      </c>
      <c r="I39" s="546" t="s">
        <v>44</v>
      </c>
      <c r="J39" s="546" t="s">
        <v>85</v>
      </c>
      <c r="K39" s="546">
        <v>173</v>
      </c>
      <c r="L39" s="726" t="s">
        <v>54</v>
      </c>
      <c r="M39" s="696">
        <v>0</v>
      </c>
      <c r="N39" s="726">
        <v>1.9</v>
      </c>
      <c r="O39" s="696">
        <v>0</v>
      </c>
      <c r="P39" s="726">
        <v>196.36795474567626</v>
      </c>
      <c r="Q39" s="746">
        <f t="shared" si="0"/>
        <v>0</v>
      </c>
      <c r="R39" s="606">
        <f t="shared" si="1"/>
        <v>277585.74082848796</v>
      </c>
      <c r="S39" s="747">
        <f t="shared" si="2"/>
        <v>277585.74082848796</v>
      </c>
      <c r="T39" s="746">
        <v>62.91</v>
      </c>
      <c r="U39" s="606">
        <f t="shared" si="3"/>
        <v>88929.575999999986</v>
      </c>
      <c r="V39" s="747">
        <f t="shared" si="4"/>
        <v>188656.16482848796</v>
      </c>
      <c r="W39" s="748">
        <v>62.91</v>
      </c>
      <c r="X39" s="607">
        <f t="shared" si="5"/>
        <v>88929.575999999986</v>
      </c>
      <c r="Y39" s="702">
        <f t="shared" si="6"/>
        <v>188656.16482848796</v>
      </c>
      <c r="Z39" s="748">
        <v>62.91</v>
      </c>
      <c r="AA39" s="607">
        <f t="shared" si="7"/>
        <v>88929.575999999986</v>
      </c>
      <c r="AB39" s="749">
        <f t="shared" si="8"/>
        <v>188656.16482848796</v>
      </c>
      <c r="AC39" s="714"/>
    </row>
    <row r="40" spans="1:29" ht="15" customHeight="1" x14ac:dyDescent="0.25">
      <c r="A40" s="713"/>
      <c r="B40" s="714" t="s">
        <v>398</v>
      </c>
      <c r="C40" s="676" t="s">
        <v>40</v>
      </c>
      <c r="D40" s="676" t="s">
        <v>620</v>
      </c>
      <c r="E40" s="680">
        <v>44593</v>
      </c>
      <c r="F40" s="676">
        <v>672</v>
      </c>
      <c r="G40" s="676" t="s">
        <v>59</v>
      </c>
      <c r="H40" s="676" t="s">
        <v>3</v>
      </c>
      <c r="I40" s="676" t="s">
        <v>44</v>
      </c>
      <c r="J40" s="676" t="s">
        <v>85</v>
      </c>
      <c r="K40" s="676">
        <v>173</v>
      </c>
      <c r="L40" s="690" t="s">
        <v>54</v>
      </c>
      <c r="M40" s="691">
        <v>0</v>
      </c>
      <c r="N40" s="690">
        <v>1.9</v>
      </c>
      <c r="O40" s="691">
        <v>0</v>
      </c>
      <c r="P40" s="690">
        <v>196.36795474567626</v>
      </c>
      <c r="Q40" s="738">
        <f t="shared" si="0"/>
        <v>0</v>
      </c>
      <c r="R40" s="677">
        <f t="shared" si="1"/>
        <v>250722.60461927945</v>
      </c>
      <c r="S40" s="739">
        <f t="shared" si="2"/>
        <v>250722.60461927945</v>
      </c>
      <c r="T40" s="738">
        <v>55.7</v>
      </c>
      <c r="U40" s="677">
        <f t="shared" si="3"/>
        <v>71117.759999999995</v>
      </c>
      <c r="V40" s="739">
        <f t="shared" si="4"/>
        <v>179604.84461927944</v>
      </c>
      <c r="W40" s="740">
        <v>55.7</v>
      </c>
      <c r="X40" s="678">
        <f t="shared" si="5"/>
        <v>71117.759999999995</v>
      </c>
      <c r="Y40" s="700">
        <f t="shared" si="6"/>
        <v>179604.84461927944</v>
      </c>
      <c r="Z40" s="740">
        <v>55.7</v>
      </c>
      <c r="AA40" s="678">
        <f t="shared" si="7"/>
        <v>71117.759999999995</v>
      </c>
      <c r="AB40" s="741">
        <f t="shared" si="8"/>
        <v>179604.84461927944</v>
      </c>
      <c r="AC40" s="714"/>
    </row>
    <row r="41" spans="1:29" ht="15" customHeight="1" x14ac:dyDescent="0.25">
      <c r="A41" s="713"/>
      <c r="B41" s="714" t="s">
        <v>398</v>
      </c>
      <c r="C41" s="676" t="s">
        <v>40</v>
      </c>
      <c r="D41" s="676" t="s">
        <v>620</v>
      </c>
      <c r="E41" s="680">
        <v>44621</v>
      </c>
      <c r="F41" s="676">
        <v>744</v>
      </c>
      <c r="G41" s="676" t="s">
        <v>59</v>
      </c>
      <c r="H41" s="676" t="s">
        <v>3</v>
      </c>
      <c r="I41" s="676" t="s">
        <v>44</v>
      </c>
      <c r="J41" s="676" t="s">
        <v>85</v>
      </c>
      <c r="K41" s="676">
        <v>173</v>
      </c>
      <c r="L41" s="690" t="s">
        <v>54</v>
      </c>
      <c r="M41" s="691">
        <v>0</v>
      </c>
      <c r="N41" s="690">
        <v>1.9</v>
      </c>
      <c r="O41" s="691">
        <v>0</v>
      </c>
      <c r="P41" s="690">
        <v>196.36795474567626</v>
      </c>
      <c r="Q41" s="738">
        <f t="shared" si="0"/>
        <v>0</v>
      </c>
      <c r="R41" s="677">
        <f t="shared" si="1"/>
        <v>277585.74082848796</v>
      </c>
      <c r="S41" s="739">
        <f t="shared" si="2"/>
        <v>277585.74082848796</v>
      </c>
      <c r="T41" s="738">
        <v>55.7</v>
      </c>
      <c r="U41" s="677">
        <f t="shared" si="3"/>
        <v>78737.52</v>
      </c>
      <c r="V41" s="739">
        <f t="shared" si="4"/>
        <v>198848.22082848795</v>
      </c>
      <c r="W41" s="740">
        <v>55.7</v>
      </c>
      <c r="X41" s="678">
        <f t="shared" si="5"/>
        <v>78737.52</v>
      </c>
      <c r="Y41" s="700">
        <f t="shared" si="6"/>
        <v>198848.22082848795</v>
      </c>
      <c r="Z41" s="740">
        <v>55.7</v>
      </c>
      <c r="AA41" s="678">
        <f t="shared" si="7"/>
        <v>78737.52</v>
      </c>
      <c r="AB41" s="741">
        <f t="shared" si="8"/>
        <v>198848.22082848795</v>
      </c>
      <c r="AC41" s="714"/>
    </row>
    <row r="42" spans="1:29" ht="15" customHeight="1" x14ac:dyDescent="0.25">
      <c r="A42" s="713"/>
      <c r="B42" s="714" t="s">
        <v>398</v>
      </c>
      <c r="C42" s="676" t="s">
        <v>40</v>
      </c>
      <c r="D42" s="676" t="s">
        <v>620</v>
      </c>
      <c r="E42" s="680">
        <v>44652</v>
      </c>
      <c r="F42" s="676">
        <v>720</v>
      </c>
      <c r="G42" s="676" t="s">
        <v>59</v>
      </c>
      <c r="H42" s="676" t="s">
        <v>3</v>
      </c>
      <c r="I42" s="676" t="s">
        <v>44</v>
      </c>
      <c r="J42" s="676" t="s">
        <v>85</v>
      </c>
      <c r="K42" s="676">
        <v>173</v>
      </c>
      <c r="L42" s="690" t="s">
        <v>54</v>
      </c>
      <c r="M42" s="691">
        <v>0</v>
      </c>
      <c r="N42" s="690">
        <v>1.9</v>
      </c>
      <c r="O42" s="691">
        <v>0</v>
      </c>
      <c r="P42" s="690">
        <v>196.36795474567626</v>
      </c>
      <c r="Q42" s="738">
        <f t="shared" si="0"/>
        <v>0</v>
      </c>
      <c r="R42" s="677">
        <f t="shared" si="1"/>
        <v>268631.36209208512</v>
      </c>
      <c r="S42" s="739">
        <f t="shared" si="2"/>
        <v>268631.36209208512</v>
      </c>
      <c r="T42" s="738">
        <v>55.7</v>
      </c>
      <c r="U42" s="677">
        <f t="shared" si="3"/>
        <v>76197.600000000006</v>
      </c>
      <c r="V42" s="739">
        <f t="shared" si="4"/>
        <v>192433.76209208512</v>
      </c>
      <c r="W42" s="740">
        <v>55.7</v>
      </c>
      <c r="X42" s="678">
        <f t="shared" si="5"/>
        <v>76197.600000000006</v>
      </c>
      <c r="Y42" s="700">
        <f t="shared" si="6"/>
        <v>192433.76209208512</v>
      </c>
      <c r="Z42" s="740">
        <v>55.7</v>
      </c>
      <c r="AA42" s="678">
        <f t="shared" si="7"/>
        <v>76197.600000000006</v>
      </c>
      <c r="AB42" s="741">
        <f t="shared" si="8"/>
        <v>192433.76209208512</v>
      </c>
      <c r="AC42" s="714"/>
    </row>
    <row r="43" spans="1:29" ht="15" customHeight="1" x14ac:dyDescent="0.25">
      <c r="A43" s="713"/>
      <c r="B43" s="714" t="s">
        <v>398</v>
      </c>
      <c r="C43" s="676" t="s">
        <v>40</v>
      </c>
      <c r="D43" s="676" t="s">
        <v>620</v>
      </c>
      <c r="E43" s="680">
        <v>44682</v>
      </c>
      <c r="F43" s="676">
        <v>744</v>
      </c>
      <c r="G43" s="676" t="s">
        <v>59</v>
      </c>
      <c r="H43" s="676" t="s">
        <v>3</v>
      </c>
      <c r="I43" s="676" t="s">
        <v>44</v>
      </c>
      <c r="J43" s="676" t="s">
        <v>85</v>
      </c>
      <c r="K43" s="676">
        <v>173</v>
      </c>
      <c r="L43" s="690" t="s">
        <v>54</v>
      </c>
      <c r="M43" s="691">
        <v>0</v>
      </c>
      <c r="N43" s="690">
        <v>1.9</v>
      </c>
      <c r="O43" s="691">
        <v>0</v>
      </c>
      <c r="P43" s="690">
        <v>196.36795474567626</v>
      </c>
      <c r="Q43" s="738">
        <f t="shared" si="0"/>
        <v>0</v>
      </c>
      <c r="R43" s="677">
        <f t="shared" si="1"/>
        <v>277585.74082848796</v>
      </c>
      <c r="S43" s="739">
        <f t="shared" si="2"/>
        <v>277585.74082848796</v>
      </c>
      <c r="T43" s="738">
        <v>55.7</v>
      </c>
      <c r="U43" s="677">
        <f t="shared" si="3"/>
        <v>78737.52</v>
      </c>
      <c r="V43" s="739">
        <f t="shared" si="4"/>
        <v>198848.22082848795</v>
      </c>
      <c r="W43" s="740">
        <v>55.7</v>
      </c>
      <c r="X43" s="678">
        <f t="shared" si="5"/>
        <v>78737.52</v>
      </c>
      <c r="Y43" s="700">
        <f t="shared" si="6"/>
        <v>198848.22082848795</v>
      </c>
      <c r="Z43" s="740">
        <v>55.7</v>
      </c>
      <c r="AA43" s="678">
        <f t="shared" si="7"/>
        <v>78737.52</v>
      </c>
      <c r="AB43" s="741">
        <f t="shared" si="8"/>
        <v>198848.22082848795</v>
      </c>
      <c r="AC43" s="714"/>
    </row>
    <row r="44" spans="1:29" ht="15" customHeight="1" x14ac:dyDescent="0.25">
      <c r="A44" s="713"/>
      <c r="B44" s="714" t="s">
        <v>398</v>
      </c>
      <c r="C44" s="676" t="s">
        <v>40</v>
      </c>
      <c r="D44" s="676" t="s">
        <v>620</v>
      </c>
      <c r="E44" s="680">
        <v>44713</v>
      </c>
      <c r="F44" s="676">
        <v>720</v>
      </c>
      <c r="G44" s="676" t="s">
        <v>59</v>
      </c>
      <c r="H44" s="676" t="s">
        <v>3</v>
      </c>
      <c r="I44" s="676" t="s">
        <v>44</v>
      </c>
      <c r="J44" s="676" t="s">
        <v>85</v>
      </c>
      <c r="K44" s="676">
        <v>173</v>
      </c>
      <c r="L44" s="690" t="s">
        <v>54</v>
      </c>
      <c r="M44" s="691">
        <v>0</v>
      </c>
      <c r="N44" s="690">
        <v>1.9</v>
      </c>
      <c r="O44" s="691">
        <v>0</v>
      </c>
      <c r="P44" s="690">
        <v>196.36795474567626</v>
      </c>
      <c r="Q44" s="738">
        <f t="shared" si="0"/>
        <v>0</v>
      </c>
      <c r="R44" s="677">
        <f t="shared" si="1"/>
        <v>268631.36209208512</v>
      </c>
      <c r="S44" s="739">
        <f t="shared" si="2"/>
        <v>268631.36209208512</v>
      </c>
      <c r="T44" s="738">
        <v>55.71</v>
      </c>
      <c r="U44" s="677">
        <f t="shared" si="3"/>
        <v>76211.28</v>
      </c>
      <c r="V44" s="739">
        <f t="shared" si="4"/>
        <v>192420.08209208513</v>
      </c>
      <c r="W44" s="740">
        <v>55.71</v>
      </c>
      <c r="X44" s="678">
        <f t="shared" si="5"/>
        <v>76211.28</v>
      </c>
      <c r="Y44" s="700">
        <f t="shared" si="6"/>
        <v>192420.08209208513</v>
      </c>
      <c r="Z44" s="740">
        <v>55.71</v>
      </c>
      <c r="AA44" s="678">
        <f t="shared" si="7"/>
        <v>76211.28</v>
      </c>
      <c r="AB44" s="741">
        <f t="shared" si="8"/>
        <v>192420.08209208513</v>
      </c>
      <c r="AC44" s="714"/>
    </row>
    <row r="45" spans="1:29" ht="15" customHeight="1" x14ac:dyDescent="0.25">
      <c r="A45" s="713"/>
      <c r="B45" s="714" t="s">
        <v>398</v>
      </c>
      <c r="C45" s="676" t="s">
        <v>40</v>
      </c>
      <c r="D45" s="676" t="s">
        <v>620</v>
      </c>
      <c r="E45" s="680">
        <v>44743</v>
      </c>
      <c r="F45" s="676">
        <v>744</v>
      </c>
      <c r="G45" s="676" t="s">
        <v>59</v>
      </c>
      <c r="H45" s="676" t="s">
        <v>3</v>
      </c>
      <c r="I45" s="676" t="s">
        <v>44</v>
      </c>
      <c r="J45" s="676" t="s">
        <v>85</v>
      </c>
      <c r="K45" s="676">
        <v>173</v>
      </c>
      <c r="L45" s="690" t="s">
        <v>54</v>
      </c>
      <c r="M45" s="691">
        <v>0</v>
      </c>
      <c r="N45" s="690">
        <v>1.9</v>
      </c>
      <c r="O45" s="691">
        <v>0</v>
      </c>
      <c r="P45" s="690">
        <v>196.36795474567626</v>
      </c>
      <c r="Q45" s="738">
        <f t="shared" si="0"/>
        <v>0</v>
      </c>
      <c r="R45" s="677">
        <f t="shared" si="1"/>
        <v>277585.74082848796</v>
      </c>
      <c r="S45" s="739">
        <f t="shared" si="2"/>
        <v>277585.74082848796</v>
      </c>
      <c r="T45" s="738">
        <v>66.319999999999993</v>
      </c>
      <c r="U45" s="677">
        <f t="shared" si="3"/>
        <v>93749.95199999999</v>
      </c>
      <c r="V45" s="739">
        <f t="shared" si="4"/>
        <v>183835.78882848797</v>
      </c>
      <c r="W45" s="740">
        <v>66.319999999999993</v>
      </c>
      <c r="X45" s="678">
        <f t="shared" si="5"/>
        <v>93749.95199999999</v>
      </c>
      <c r="Y45" s="700">
        <f t="shared" si="6"/>
        <v>183835.78882848797</v>
      </c>
      <c r="Z45" s="740">
        <v>66.319999999999993</v>
      </c>
      <c r="AA45" s="678">
        <f t="shared" si="7"/>
        <v>93749.95199999999</v>
      </c>
      <c r="AB45" s="741">
        <f t="shared" si="8"/>
        <v>183835.78882848797</v>
      </c>
      <c r="AC45" s="714"/>
    </row>
    <row r="46" spans="1:29" ht="15" customHeight="1" x14ac:dyDescent="0.25">
      <c r="A46" s="713"/>
      <c r="B46" s="714" t="s">
        <v>398</v>
      </c>
      <c r="C46" s="676" t="s">
        <v>40</v>
      </c>
      <c r="D46" s="676" t="s">
        <v>620</v>
      </c>
      <c r="E46" s="680">
        <v>44774</v>
      </c>
      <c r="F46" s="676">
        <v>744</v>
      </c>
      <c r="G46" s="676" t="s">
        <v>59</v>
      </c>
      <c r="H46" s="676" t="s">
        <v>3</v>
      </c>
      <c r="I46" s="676" t="s">
        <v>44</v>
      </c>
      <c r="J46" s="676" t="s">
        <v>85</v>
      </c>
      <c r="K46" s="676">
        <v>173</v>
      </c>
      <c r="L46" s="690" t="s">
        <v>54</v>
      </c>
      <c r="M46" s="691">
        <v>0</v>
      </c>
      <c r="N46" s="690">
        <v>1.9</v>
      </c>
      <c r="O46" s="691">
        <v>0</v>
      </c>
      <c r="P46" s="690">
        <v>196.36795474567626</v>
      </c>
      <c r="Q46" s="738">
        <f t="shared" si="0"/>
        <v>0</v>
      </c>
      <c r="R46" s="677">
        <f t="shared" si="1"/>
        <v>277585.74082848796</v>
      </c>
      <c r="S46" s="739">
        <f t="shared" si="2"/>
        <v>277585.74082848796</v>
      </c>
      <c r="T46" s="738">
        <v>76.900000000000006</v>
      </c>
      <c r="U46" s="677">
        <f t="shared" si="3"/>
        <v>108705.84</v>
      </c>
      <c r="V46" s="739">
        <f t="shared" si="4"/>
        <v>168879.90082848797</v>
      </c>
      <c r="W46" s="740">
        <v>76.900000000000006</v>
      </c>
      <c r="X46" s="678">
        <f t="shared" si="5"/>
        <v>108705.84</v>
      </c>
      <c r="Y46" s="700">
        <f t="shared" si="6"/>
        <v>168879.90082848797</v>
      </c>
      <c r="Z46" s="740">
        <v>76.900000000000006</v>
      </c>
      <c r="AA46" s="678">
        <f t="shared" si="7"/>
        <v>108705.84</v>
      </c>
      <c r="AB46" s="741">
        <f t="shared" si="8"/>
        <v>168879.90082848797</v>
      </c>
      <c r="AC46" s="714"/>
    </row>
    <row r="47" spans="1:29" ht="15" customHeight="1" x14ac:dyDescent="0.25">
      <c r="A47" s="713"/>
      <c r="B47" s="714" t="s">
        <v>398</v>
      </c>
      <c r="C47" s="676" t="s">
        <v>40</v>
      </c>
      <c r="D47" s="676" t="s">
        <v>620</v>
      </c>
      <c r="E47" s="680">
        <v>44805</v>
      </c>
      <c r="F47" s="676">
        <v>720</v>
      </c>
      <c r="G47" s="676" t="s">
        <v>59</v>
      </c>
      <c r="H47" s="676" t="s">
        <v>3</v>
      </c>
      <c r="I47" s="676" t="s">
        <v>44</v>
      </c>
      <c r="J47" s="676" t="s">
        <v>85</v>
      </c>
      <c r="K47" s="676">
        <v>173</v>
      </c>
      <c r="L47" s="690" t="s">
        <v>54</v>
      </c>
      <c r="M47" s="691">
        <v>0</v>
      </c>
      <c r="N47" s="690">
        <v>1.9</v>
      </c>
      <c r="O47" s="691">
        <v>0</v>
      </c>
      <c r="P47" s="690">
        <v>196.36795474567626</v>
      </c>
      <c r="Q47" s="738">
        <f t="shared" si="0"/>
        <v>0</v>
      </c>
      <c r="R47" s="677">
        <f t="shared" si="1"/>
        <v>268631.36209208512</v>
      </c>
      <c r="S47" s="739">
        <f t="shared" si="2"/>
        <v>268631.36209208512</v>
      </c>
      <c r="T47" s="738">
        <v>56.08</v>
      </c>
      <c r="U47" s="677">
        <f t="shared" si="3"/>
        <v>76717.440000000002</v>
      </c>
      <c r="V47" s="739">
        <f t="shared" si="4"/>
        <v>191913.92209208512</v>
      </c>
      <c r="W47" s="740">
        <v>56.08</v>
      </c>
      <c r="X47" s="678">
        <f t="shared" si="5"/>
        <v>76717.440000000002</v>
      </c>
      <c r="Y47" s="700">
        <f t="shared" si="6"/>
        <v>191913.92209208512</v>
      </c>
      <c r="Z47" s="740">
        <v>56.08</v>
      </c>
      <c r="AA47" s="678">
        <f t="shared" si="7"/>
        <v>76717.440000000002</v>
      </c>
      <c r="AB47" s="741">
        <f t="shared" si="8"/>
        <v>191913.92209208512</v>
      </c>
      <c r="AC47" s="714"/>
    </row>
    <row r="48" spans="1:29" ht="15" customHeight="1" x14ac:dyDescent="0.25">
      <c r="A48" s="713"/>
      <c r="B48" s="714" t="s">
        <v>398</v>
      </c>
      <c r="C48" s="676" t="s">
        <v>40</v>
      </c>
      <c r="D48" s="676" t="s">
        <v>620</v>
      </c>
      <c r="E48" s="680">
        <v>44835</v>
      </c>
      <c r="F48" s="676">
        <v>744</v>
      </c>
      <c r="G48" s="676" t="s">
        <v>59</v>
      </c>
      <c r="H48" s="676" t="s">
        <v>3</v>
      </c>
      <c r="I48" s="676" t="s">
        <v>44</v>
      </c>
      <c r="J48" s="676" t="s">
        <v>85</v>
      </c>
      <c r="K48" s="676">
        <v>173</v>
      </c>
      <c r="L48" s="690" t="s">
        <v>54</v>
      </c>
      <c r="M48" s="691">
        <v>0</v>
      </c>
      <c r="N48" s="690">
        <v>1.9</v>
      </c>
      <c r="O48" s="691">
        <v>0</v>
      </c>
      <c r="P48" s="690">
        <v>196.36795474567626</v>
      </c>
      <c r="Q48" s="738">
        <f t="shared" si="0"/>
        <v>0</v>
      </c>
      <c r="R48" s="677">
        <f t="shared" si="1"/>
        <v>277585.74082848796</v>
      </c>
      <c r="S48" s="739">
        <f t="shared" si="2"/>
        <v>277585.74082848796</v>
      </c>
      <c r="T48" s="738">
        <v>55.7</v>
      </c>
      <c r="U48" s="677">
        <f t="shared" si="3"/>
        <v>78737.52</v>
      </c>
      <c r="V48" s="739">
        <f t="shared" si="4"/>
        <v>198848.22082848795</v>
      </c>
      <c r="W48" s="740">
        <v>55.7</v>
      </c>
      <c r="X48" s="678">
        <f t="shared" si="5"/>
        <v>78737.52</v>
      </c>
      <c r="Y48" s="700">
        <f t="shared" si="6"/>
        <v>198848.22082848795</v>
      </c>
      <c r="Z48" s="740">
        <v>55.7</v>
      </c>
      <c r="AA48" s="678">
        <f t="shared" si="7"/>
        <v>78737.52</v>
      </c>
      <c r="AB48" s="741">
        <f t="shared" si="8"/>
        <v>198848.22082848795</v>
      </c>
      <c r="AC48" s="714"/>
    </row>
    <row r="49" spans="1:29" ht="15" customHeight="1" x14ac:dyDescent="0.25">
      <c r="A49" s="713"/>
      <c r="B49" s="714" t="s">
        <v>398</v>
      </c>
      <c r="C49" s="676" t="s">
        <v>40</v>
      </c>
      <c r="D49" s="676" t="s">
        <v>620</v>
      </c>
      <c r="E49" s="680">
        <v>44866</v>
      </c>
      <c r="F49" s="676">
        <v>720</v>
      </c>
      <c r="G49" s="676" t="s">
        <v>59</v>
      </c>
      <c r="H49" s="676" t="s">
        <v>3</v>
      </c>
      <c r="I49" s="676" t="s">
        <v>44</v>
      </c>
      <c r="J49" s="676" t="s">
        <v>85</v>
      </c>
      <c r="K49" s="676">
        <v>173</v>
      </c>
      <c r="L49" s="690" t="s">
        <v>54</v>
      </c>
      <c r="M49" s="691">
        <v>0</v>
      </c>
      <c r="N49" s="690">
        <v>1.9</v>
      </c>
      <c r="O49" s="691">
        <v>0</v>
      </c>
      <c r="P49" s="690">
        <v>196.36795474567626</v>
      </c>
      <c r="Q49" s="738">
        <f t="shared" si="0"/>
        <v>0</v>
      </c>
      <c r="R49" s="677">
        <f t="shared" si="1"/>
        <v>268631.36209208512</v>
      </c>
      <c r="S49" s="739">
        <f t="shared" si="2"/>
        <v>268631.36209208512</v>
      </c>
      <c r="T49" s="738">
        <v>55.7</v>
      </c>
      <c r="U49" s="677">
        <f t="shared" si="3"/>
        <v>76197.600000000006</v>
      </c>
      <c r="V49" s="739">
        <f t="shared" si="4"/>
        <v>192433.76209208512</v>
      </c>
      <c r="W49" s="740">
        <v>55.7</v>
      </c>
      <c r="X49" s="678">
        <f t="shared" si="5"/>
        <v>76197.600000000006</v>
      </c>
      <c r="Y49" s="700">
        <f t="shared" si="6"/>
        <v>192433.76209208512</v>
      </c>
      <c r="Z49" s="740">
        <v>55.7</v>
      </c>
      <c r="AA49" s="678">
        <f t="shared" si="7"/>
        <v>76197.600000000006</v>
      </c>
      <c r="AB49" s="741">
        <f t="shared" si="8"/>
        <v>192433.76209208512</v>
      </c>
      <c r="AC49" s="714"/>
    </row>
    <row r="50" spans="1:29" ht="15" customHeight="1" x14ac:dyDescent="0.25">
      <c r="A50" s="713"/>
      <c r="B50" s="729" t="s">
        <v>398</v>
      </c>
      <c r="C50" s="545" t="s">
        <v>40</v>
      </c>
      <c r="D50" s="545" t="s">
        <v>620</v>
      </c>
      <c r="E50" s="681">
        <v>44896</v>
      </c>
      <c r="F50" s="545">
        <v>744</v>
      </c>
      <c r="G50" s="545" t="s">
        <v>59</v>
      </c>
      <c r="H50" s="545" t="s">
        <v>3</v>
      </c>
      <c r="I50" s="545" t="s">
        <v>44</v>
      </c>
      <c r="J50" s="545" t="s">
        <v>85</v>
      </c>
      <c r="K50" s="545">
        <v>173</v>
      </c>
      <c r="L50" s="725" t="s">
        <v>54</v>
      </c>
      <c r="M50" s="695">
        <v>0</v>
      </c>
      <c r="N50" s="725">
        <v>1.9</v>
      </c>
      <c r="O50" s="695">
        <v>0</v>
      </c>
      <c r="P50" s="725">
        <v>196.36795474567626</v>
      </c>
      <c r="Q50" s="742">
        <f t="shared" si="0"/>
        <v>0</v>
      </c>
      <c r="R50" s="603">
        <f t="shared" si="1"/>
        <v>277585.74082848796</v>
      </c>
      <c r="S50" s="743">
        <f t="shared" si="2"/>
        <v>277585.74082848796</v>
      </c>
      <c r="T50" s="742">
        <v>55.7</v>
      </c>
      <c r="U50" s="603">
        <f t="shared" si="3"/>
        <v>78737.52</v>
      </c>
      <c r="V50" s="743">
        <f t="shared" si="4"/>
        <v>198848.22082848795</v>
      </c>
      <c r="W50" s="744">
        <v>55.7</v>
      </c>
      <c r="X50" s="604">
        <f t="shared" si="5"/>
        <v>78737.52</v>
      </c>
      <c r="Y50" s="701">
        <f t="shared" si="6"/>
        <v>198848.22082848795</v>
      </c>
      <c r="Z50" s="744">
        <v>78.400653594793155</v>
      </c>
      <c r="AA50" s="604">
        <f t="shared" si="7"/>
        <v>110827.1639215996</v>
      </c>
      <c r="AB50" s="745">
        <f t="shared" si="8"/>
        <v>166758.57690688837</v>
      </c>
      <c r="AC50" s="714"/>
    </row>
    <row r="51" spans="1:29" ht="15" customHeight="1" x14ac:dyDescent="0.25">
      <c r="A51" s="713"/>
      <c r="B51" s="730" t="s">
        <v>399</v>
      </c>
      <c r="C51" s="546" t="s">
        <v>40</v>
      </c>
      <c r="D51" s="546" t="s">
        <v>346</v>
      </c>
      <c r="E51" s="682">
        <v>44562</v>
      </c>
      <c r="F51" s="546">
        <v>744</v>
      </c>
      <c r="G51" s="546" t="s">
        <v>59</v>
      </c>
      <c r="H51" s="546" t="s">
        <v>3</v>
      </c>
      <c r="I51" s="546" t="s">
        <v>44</v>
      </c>
      <c r="J51" s="546" t="s">
        <v>85</v>
      </c>
      <c r="K51" s="546">
        <v>190</v>
      </c>
      <c r="L51" s="726" t="s">
        <v>54</v>
      </c>
      <c r="M51" s="696">
        <v>0</v>
      </c>
      <c r="N51" s="726">
        <v>2.2000000000000002</v>
      </c>
      <c r="O51" s="696">
        <v>0</v>
      </c>
      <c r="P51" s="726">
        <v>211.93900687503188</v>
      </c>
      <c r="Q51" s="746">
        <f t="shared" si="0"/>
        <v>0</v>
      </c>
      <c r="R51" s="606">
        <f t="shared" si="1"/>
        <v>346901.76645305223</v>
      </c>
      <c r="S51" s="747">
        <f t="shared" si="2"/>
        <v>346901.76645305223</v>
      </c>
      <c r="T51" s="746">
        <v>62.91</v>
      </c>
      <c r="U51" s="606">
        <f t="shared" si="3"/>
        <v>102971.088</v>
      </c>
      <c r="V51" s="747">
        <f t="shared" si="4"/>
        <v>243930.67845305224</v>
      </c>
      <c r="W51" s="748">
        <v>62.91</v>
      </c>
      <c r="X51" s="607">
        <f t="shared" si="5"/>
        <v>102971.088</v>
      </c>
      <c r="Y51" s="702">
        <f t="shared" si="6"/>
        <v>243930.67845305224</v>
      </c>
      <c r="Z51" s="748">
        <v>62.91</v>
      </c>
      <c r="AA51" s="607">
        <f t="shared" si="7"/>
        <v>102971.088</v>
      </c>
      <c r="AB51" s="749">
        <f t="shared" si="8"/>
        <v>243930.67845305224</v>
      </c>
      <c r="AC51" s="714"/>
    </row>
    <row r="52" spans="1:29" ht="15" customHeight="1" x14ac:dyDescent="0.25">
      <c r="A52" s="713"/>
      <c r="B52" s="714" t="s">
        <v>399</v>
      </c>
      <c r="C52" s="676" t="s">
        <v>40</v>
      </c>
      <c r="D52" s="676" t="s">
        <v>346</v>
      </c>
      <c r="E52" s="680">
        <v>44593</v>
      </c>
      <c r="F52" s="676">
        <v>672</v>
      </c>
      <c r="G52" s="676" t="s">
        <v>59</v>
      </c>
      <c r="H52" s="676" t="s">
        <v>3</v>
      </c>
      <c r="I52" s="676" t="s">
        <v>44</v>
      </c>
      <c r="J52" s="676" t="s">
        <v>85</v>
      </c>
      <c r="K52" s="676">
        <v>190</v>
      </c>
      <c r="L52" s="690" t="s">
        <v>54</v>
      </c>
      <c r="M52" s="691">
        <v>0</v>
      </c>
      <c r="N52" s="690">
        <v>2.2000000000000002</v>
      </c>
      <c r="O52" s="691">
        <v>0</v>
      </c>
      <c r="P52" s="690">
        <v>211.93900687503188</v>
      </c>
      <c r="Q52" s="738">
        <f t="shared" si="0"/>
        <v>0</v>
      </c>
      <c r="R52" s="677">
        <f t="shared" si="1"/>
        <v>313330.62776404712</v>
      </c>
      <c r="S52" s="739">
        <f t="shared" si="2"/>
        <v>313330.62776404712</v>
      </c>
      <c r="T52" s="738">
        <v>55.7</v>
      </c>
      <c r="U52" s="677">
        <f t="shared" si="3"/>
        <v>82346.880000000005</v>
      </c>
      <c r="V52" s="739">
        <f t="shared" si="4"/>
        <v>230983.74776404712</v>
      </c>
      <c r="W52" s="740">
        <v>55.7</v>
      </c>
      <c r="X52" s="678">
        <f t="shared" si="5"/>
        <v>82346.880000000005</v>
      </c>
      <c r="Y52" s="700">
        <f t="shared" si="6"/>
        <v>230983.74776404712</v>
      </c>
      <c r="Z52" s="740">
        <v>55.7</v>
      </c>
      <c r="AA52" s="678">
        <f t="shared" si="7"/>
        <v>82346.880000000005</v>
      </c>
      <c r="AB52" s="741">
        <f t="shared" si="8"/>
        <v>230983.74776404712</v>
      </c>
      <c r="AC52" s="714"/>
    </row>
    <row r="53" spans="1:29" ht="15" customHeight="1" x14ac:dyDescent="0.25">
      <c r="A53" s="713"/>
      <c r="B53" s="714" t="s">
        <v>399</v>
      </c>
      <c r="C53" s="676" t="s">
        <v>40</v>
      </c>
      <c r="D53" s="676" t="s">
        <v>346</v>
      </c>
      <c r="E53" s="680">
        <v>44621</v>
      </c>
      <c r="F53" s="676">
        <v>744</v>
      </c>
      <c r="G53" s="676" t="s">
        <v>59</v>
      </c>
      <c r="H53" s="676" t="s">
        <v>3</v>
      </c>
      <c r="I53" s="676" t="s">
        <v>44</v>
      </c>
      <c r="J53" s="676" t="s">
        <v>85</v>
      </c>
      <c r="K53" s="676">
        <v>190</v>
      </c>
      <c r="L53" s="690" t="s">
        <v>54</v>
      </c>
      <c r="M53" s="691">
        <v>0</v>
      </c>
      <c r="N53" s="690">
        <v>2.2000000000000002</v>
      </c>
      <c r="O53" s="691">
        <v>0</v>
      </c>
      <c r="P53" s="690">
        <v>211.93900687503188</v>
      </c>
      <c r="Q53" s="738">
        <f t="shared" si="0"/>
        <v>0</v>
      </c>
      <c r="R53" s="677">
        <f t="shared" si="1"/>
        <v>346901.76645305223</v>
      </c>
      <c r="S53" s="739">
        <f t="shared" si="2"/>
        <v>346901.76645305223</v>
      </c>
      <c r="T53" s="738">
        <v>55.7</v>
      </c>
      <c r="U53" s="677">
        <f t="shared" si="3"/>
        <v>91169.760000000009</v>
      </c>
      <c r="V53" s="739">
        <f t="shared" si="4"/>
        <v>255732.00645305222</v>
      </c>
      <c r="W53" s="740">
        <v>55.7</v>
      </c>
      <c r="X53" s="678">
        <f t="shared" si="5"/>
        <v>91169.760000000009</v>
      </c>
      <c r="Y53" s="700">
        <f t="shared" si="6"/>
        <v>255732.00645305222</v>
      </c>
      <c r="Z53" s="740">
        <v>55.7</v>
      </c>
      <c r="AA53" s="678">
        <f t="shared" si="7"/>
        <v>91169.760000000009</v>
      </c>
      <c r="AB53" s="741">
        <f t="shared" si="8"/>
        <v>255732.00645305222</v>
      </c>
      <c r="AC53" s="714"/>
    </row>
    <row r="54" spans="1:29" ht="15" customHeight="1" x14ac:dyDescent="0.25">
      <c r="A54" s="713"/>
      <c r="B54" s="714" t="s">
        <v>399</v>
      </c>
      <c r="C54" s="676" t="s">
        <v>40</v>
      </c>
      <c r="D54" s="676" t="s">
        <v>346</v>
      </c>
      <c r="E54" s="680">
        <v>44652</v>
      </c>
      <c r="F54" s="676">
        <v>720</v>
      </c>
      <c r="G54" s="676" t="s">
        <v>59</v>
      </c>
      <c r="H54" s="676" t="s">
        <v>3</v>
      </c>
      <c r="I54" s="676" t="s">
        <v>44</v>
      </c>
      <c r="J54" s="676" t="s">
        <v>85</v>
      </c>
      <c r="K54" s="676">
        <v>190</v>
      </c>
      <c r="L54" s="690" t="s">
        <v>54</v>
      </c>
      <c r="M54" s="691">
        <v>0</v>
      </c>
      <c r="N54" s="690">
        <v>2.2000000000000002</v>
      </c>
      <c r="O54" s="691">
        <v>0</v>
      </c>
      <c r="P54" s="690">
        <v>211.93900687503188</v>
      </c>
      <c r="Q54" s="738">
        <f t="shared" si="0"/>
        <v>0</v>
      </c>
      <c r="R54" s="677">
        <f t="shared" si="1"/>
        <v>335711.38689005055</v>
      </c>
      <c r="S54" s="739">
        <f t="shared" si="2"/>
        <v>335711.38689005055</v>
      </c>
      <c r="T54" s="738">
        <v>55.7</v>
      </c>
      <c r="U54" s="677">
        <f t="shared" si="3"/>
        <v>88228.800000000017</v>
      </c>
      <c r="V54" s="739">
        <f t="shared" si="4"/>
        <v>247482.58689005053</v>
      </c>
      <c r="W54" s="740">
        <v>55.7</v>
      </c>
      <c r="X54" s="678">
        <f t="shared" si="5"/>
        <v>88228.800000000017</v>
      </c>
      <c r="Y54" s="700">
        <f t="shared" si="6"/>
        <v>247482.58689005053</v>
      </c>
      <c r="Z54" s="740">
        <v>55.7</v>
      </c>
      <c r="AA54" s="678">
        <f t="shared" si="7"/>
        <v>88228.800000000017</v>
      </c>
      <c r="AB54" s="741">
        <f t="shared" si="8"/>
        <v>247482.58689005053</v>
      </c>
      <c r="AC54" s="714"/>
    </row>
    <row r="55" spans="1:29" ht="15" customHeight="1" x14ac:dyDescent="0.25">
      <c r="A55" s="713"/>
      <c r="B55" s="714" t="s">
        <v>399</v>
      </c>
      <c r="C55" s="676" t="s">
        <v>40</v>
      </c>
      <c r="D55" s="676" t="s">
        <v>346</v>
      </c>
      <c r="E55" s="680">
        <v>44682</v>
      </c>
      <c r="F55" s="676">
        <v>744</v>
      </c>
      <c r="G55" s="676" t="s">
        <v>59</v>
      </c>
      <c r="H55" s="676" t="s">
        <v>3</v>
      </c>
      <c r="I55" s="676" t="s">
        <v>44</v>
      </c>
      <c r="J55" s="676" t="s">
        <v>85</v>
      </c>
      <c r="K55" s="676">
        <v>190</v>
      </c>
      <c r="L55" s="690" t="s">
        <v>54</v>
      </c>
      <c r="M55" s="691">
        <v>0</v>
      </c>
      <c r="N55" s="690">
        <v>2.2000000000000002</v>
      </c>
      <c r="O55" s="691">
        <v>0</v>
      </c>
      <c r="P55" s="690">
        <v>211.93900687503188</v>
      </c>
      <c r="Q55" s="738">
        <f t="shared" si="0"/>
        <v>0</v>
      </c>
      <c r="R55" s="677">
        <f t="shared" si="1"/>
        <v>346901.76645305223</v>
      </c>
      <c r="S55" s="739">
        <f t="shared" si="2"/>
        <v>346901.76645305223</v>
      </c>
      <c r="T55" s="738">
        <v>55.7</v>
      </c>
      <c r="U55" s="677">
        <f t="shared" si="3"/>
        <v>91169.760000000009</v>
      </c>
      <c r="V55" s="739">
        <f t="shared" si="4"/>
        <v>255732.00645305222</v>
      </c>
      <c r="W55" s="740">
        <v>55.7</v>
      </c>
      <c r="X55" s="678">
        <f t="shared" si="5"/>
        <v>91169.760000000009</v>
      </c>
      <c r="Y55" s="700">
        <f t="shared" si="6"/>
        <v>255732.00645305222</v>
      </c>
      <c r="Z55" s="740">
        <v>55.7</v>
      </c>
      <c r="AA55" s="678">
        <f t="shared" si="7"/>
        <v>91169.760000000009</v>
      </c>
      <c r="AB55" s="741">
        <f t="shared" si="8"/>
        <v>255732.00645305222</v>
      </c>
      <c r="AC55" s="714"/>
    </row>
    <row r="56" spans="1:29" ht="15" customHeight="1" x14ac:dyDescent="0.25">
      <c r="A56" s="713"/>
      <c r="B56" s="714" t="s">
        <v>399</v>
      </c>
      <c r="C56" s="676" t="s">
        <v>40</v>
      </c>
      <c r="D56" s="676" t="s">
        <v>346</v>
      </c>
      <c r="E56" s="680">
        <v>44713</v>
      </c>
      <c r="F56" s="676">
        <v>720</v>
      </c>
      <c r="G56" s="676" t="s">
        <v>59</v>
      </c>
      <c r="H56" s="676" t="s">
        <v>3</v>
      </c>
      <c r="I56" s="676" t="s">
        <v>44</v>
      </c>
      <c r="J56" s="676" t="s">
        <v>85</v>
      </c>
      <c r="K56" s="676">
        <v>190</v>
      </c>
      <c r="L56" s="690" t="s">
        <v>54</v>
      </c>
      <c r="M56" s="691">
        <v>0</v>
      </c>
      <c r="N56" s="690">
        <v>2.2000000000000002</v>
      </c>
      <c r="O56" s="691">
        <v>0</v>
      </c>
      <c r="P56" s="690">
        <v>211.93900687503188</v>
      </c>
      <c r="Q56" s="738">
        <f t="shared" si="0"/>
        <v>0</v>
      </c>
      <c r="R56" s="677">
        <f t="shared" si="1"/>
        <v>335711.38689005055</v>
      </c>
      <c r="S56" s="739">
        <f t="shared" si="2"/>
        <v>335711.38689005055</v>
      </c>
      <c r="T56" s="738">
        <v>55.71</v>
      </c>
      <c r="U56" s="677">
        <f t="shared" si="3"/>
        <v>88244.640000000014</v>
      </c>
      <c r="V56" s="739">
        <f t="shared" si="4"/>
        <v>247466.74689005053</v>
      </c>
      <c r="W56" s="740">
        <v>55.71</v>
      </c>
      <c r="X56" s="678">
        <f t="shared" si="5"/>
        <v>88244.640000000014</v>
      </c>
      <c r="Y56" s="700">
        <f t="shared" si="6"/>
        <v>247466.74689005053</v>
      </c>
      <c r="Z56" s="740">
        <v>55.71</v>
      </c>
      <c r="AA56" s="678">
        <f t="shared" si="7"/>
        <v>88244.640000000014</v>
      </c>
      <c r="AB56" s="741">
        <f t="shared" si="8"/>
        <v>247466.74689005053</v>
      </c>
      <c r="AC56" s="714"/>
    </row>
    <row r="57" spans="1:29" ht="15" customHeight="1" x14ac:dyDescent="0.25">
      <c r="A57" s="713"/>
      <c r="B57" s="714" t="s">
        <v>399</v>
      </c>
      <c r="C57" s="676" t="s">
        <v>40</v>
      </c>
      <c r="D57" s="676" t="s">
        <v>346</v>
      </c>
      <c r="E57" s="680">
        <v>44743</v>
      </c>
      <c r="F57" s="676">
        <v>744</v>
      </c>
      <c r="G57" s="676" t="s">
        <v>59</v>
      </c>
      <c r="H57" s="676" t="s">
        <v>3</v>
      </c>
      <c r="I57" s="676" t="s">
        <v>44</v>
      </c>
      <c r="J57" s="676" t="s">
        <v>85</v>
      </c>
      <c r="K57" s="676">
        <v>190</v>
      </c>
      <c r="L57" s="690" t="s">
        <v>54</v>
      </c>
      <c r="M57" s="691">
        <v>0</v>
      </c>
      <c r="N57" s="690">
        <v>2.2000000000000002</v>
      </c>
      <c r="O57" s="691">
        <v>0</v>
      </c>
      <c r="P57" s="690">
        <v>211.93900687503188</v>
      </c>
      <c r="Q57" s="738">
        <f t="shared" si="0"/>
        <v>0</v>
      </c>
      <c r="R57" s="677">
        <f t="shared" si="1"/>
        <v>346901.76645305223</v>
      </c>
      <c r="S57" s="739">
        <f t="shared" si="2"/>
        <v>346901.76645305223</v>
      </c>
      <c r="T57" s="738">
        <v>66.319999999999993</v>
      </c>
      <c r="U57" s="677">
        <f t="shared" si="3"/>
        <v>108552.576</v>
      </c>
      <c r="V57" s="739">
        <f t="shared" si="4"/>
        <v>238349.19045305223</v>
      </c>
      <c r="W57" s="740">
        <v>66.319999999999993</v>
      </c>
      <c r="X57" s="678">
        <f t="shared" si="5"/>
        <v>108552.576</v>
      </c>
      <c r="Y57" s="700">
        <f t="shared" si="6"/>
        <v>238349.19045305223</v>
      </c>
      <c r="Z57" s="740">
        <v>66.319999999999993</v>
      </c>
      <c r="AA57" s="678">
        <f t="shared" si="7"/>
        <v>108552.576</v>
      </c>
      <c r="AB57" s="741">
        <f t="shared" si="8"/>
        <v>238349.19045305223</v>
      </c>
      <c r="AC57" s="714"/>
    </row>
    <row r="58" spans="1:29" ht="15" customHeight="1" x14ac:dyDescent="0.25">
      <c r="A58" s="713"/>
      <c r="B58" s="714" t="s">
        <v>399</v>
      </c>
      <c r="C58" s="676" t="s">
        <v>40</v>
      </c>
      <c r="D58" s="676" t="s">
        <v>346</v>
      </c>
      <c r="E58" s="680">
        <v>44774</v>
      </c>
      <c r="F58" s="676">
        <v>744</v>
      </c>
      <c r="G58" s="676" t="s">
        <v>59</v>
      </c>
      <c r="H58" s="676" t="s">
        <v>3</v>
      </c>
      <c r="I58" s="676" t="s">
        <v>44</v>
      </c>
      <c r="J58" s="676" t="s">
        <v>85</v>
      </c>
      <c r="K58" s="676">
        <v>190</v>
      </c>
      <c r="L58" s="690" t="s">
        <v>54</v>
      </c>
      <c r="M58" s="691">
        <v>0</v>
      </c>
      <c r="N58" s="690">
        <v>2.2000000000000002</v>
      </c>
      <c r="O58" s="691">
        <v>0</v>
      </c>
      <c r="P58" s="690">
        <v>211.93900687503188</v>
      </c>
      <c r="Q58" s="738">
        <f t="shared" si="0"/>
        <v>0</v>
      </c>
      <c r="R58" s="677">
        <f t="shared" si="1"/>
        <v>346901.76645305223</v>
      </c>
      <c r="S58" s="739">
        <f t="shared" si="2"/>
        <v>346901.76645305223</v>
      </c>
      <c r="T58" s="738">
        <v>76.900000000000006</v>
      </c>
      <c r="U58" s="677">
        <f t="shared" si="3"/>
        <v>125869.92000000003</v>
      </c>
      <c r="V58" s="739">
        <f t="shared" si="4"/>
        <v>221031.84645305219</v>
      </c>
      <c r="W58" s="740">
        <v>76.900000000000006</v>
      </c>
      <c r="X58" s="678">
        <f t="shared" si="5"/>
        <v>125869.92000000003</v>
      </c>
      <c r="Y58" s="700">
        <f t="shared" si="6"/>
        <v>221031.84645305219</v>
      </c>
      <c r="Z58" s="740">
        <v>76.900000000000006</v>
      </c>
      <c r="AA58" s="678">
        <f t="shared" si="7"/>
        <v>125869.92000000003</v>
      </c>
      <c r="AB58" s="741">
        <f t="shared" si="8"/>
        <v>221031.84645305219</v>
      </c>
      <c r="AC58" s="714"/>
    </row>
    <row r="59" spans="1:29" ht="15" customHeight="1" x14ac:dyDescent="0.25">
      <c r="A59" s="713"/>
      <c r="B59" s="714" t="s">
        <v>399</v>
      </c>
      <c r="C59" s="676" t="s">
        <v>40</v>
      </c>
      <c r="D59" s="676" t="s">
        <v>346</v>
      </c>
      <c r="E59" s="680">
        <v>44805</v>
      </c>
      <c r="F59" s="676">
        <v>720</v>
      </c>
      <c r="G59" s="676" t="s">
        <v>59</v>
      </c>
      <c r="H59" s="676" t="s">
        <v>3</v>
      </c>
      <c r="I59" s="676" t="s">
        <v>44</v>
      </c>
      <c r="J59" s="676" t="s">
        <v>85</v>
      </c>
      <c r="K59" s="676">
        <v>190</v>
      </c>
      <c r="L59" s="690" t="s">
        <v>54</v>
      </c>
      <c r="M59" s="691">
        <v>0</v>
      </c>
      <c r="N59" s="690">
        <v>2.2000000000000002</v>
      </c>
      <c r="O59" s="691">
        <v>0</v>
      </c>
      <c r="P59" s="690">
        <v>211.93900687503188</v>
      </c>
      <c r="Q59" s="738">
        <f t="shared" si="0"/>
        <v>0</v>
      </c>
      <c r="R59" s="677">
        <f t="shared" si="1"/>
        <v>335711.38689005055</v>
      </c>
      <c r="S59" s="739">
        <f t="shared" si="2"/>
        <v>335711.38689005055</v>
      </c>
      <c r="T59" s="738">
        <v>56.08</v>
      </c>
      <c r="U59" s="677">
        <f t="shared" si="3"/>
        <v>88830.720000000016</v>
      </c>
      <c r="V59" s="739">
        <f t="shared" si="4"/>
        <v>246880.66689005052</v>
      </c>
      <c r="W59" s="740">
        <v>56.08</v>
      </c>
      <c r="X59" s="678">
        <f t="shared" si="5"/>
        <v>88830.720000000016</v>
      </c>
      <c r="Y59" s="700">
        <f t="shared" si="6"/>
        <v>246880.66689005052</v>
      </c>
      <c r="Z59" s="740">
        <v>56.08</v>
      </c>
      <c r="AA59" s="678">
        <f t="shared" si="7"/>
        <v>88830.720000000016</v>
      </c>
      <c r="AB59" s="741">
        <f t="shared" si="8"/>
        <v>246880.66689005052</v>
      </c>
      <c r="AC59" s="714"/>
    </row>
    <row r="60" spans="1:29" ht="15" customHeight="1" x14ac:dyDescent="0.25">
      <c r="A60" s="713"/>
      <c r="B60" s="714" t="s">
        <v>399</v>
      </c>
      <c r="C60" s="676" t="s">
        <v>40</v>
      </c>
      <c r="D60" s="676" t="s">
        <v>346</v>
      </c>
      <c r="E60" s="680">
        <v>44835</v>
      </c>
      <c r="F60" s="676">
        <v>744</v>
      </c>
      <c r="G60" s="676" t="s">
        <v>59</v>
      </c>
      <c r="H60" s="676" t="s">
        <v>3</v>
      </c>
      <c r="I60" s="676" t="s">
        <v>44</v>
      </c>
      <c r="J60" s="676" t="s">
        <v>85</v>
      </c>
      <c r="K60" s="676">
        <v>190</v>
      </c>
      <c r="L60" s="690" t="s">
        <v>54</v>
      </c>
      <c r="M60" s="691">
        <v>0</v>
      </c>
      <c r="N60" s="690">
        <v>2.2000000000000002</v>
      </c>
      <c r="O60" s="691">
        <v>0</v>
      </c>
      <c r="P60" s="690">
        <v>211.93900687503188</v>
      </c>
      <c r="Q60" s="738">
        <f t="shared" si="0"/>
        <v>0</v>
      </c>
      <c r="R60" s="677">
        <f t="shared" si="1"/>
        <v>346901.76645305223</v>
      </c>
      <c r="S60" s="739">
        <f t="shared" si="2"/>
        <v>346901.76645305223</v>
      </c>
      <c r="T60" s="738">
        <v>55.7</v>
      </c>
      <c r="U60" s="677">
        <f t="shared" si="3"/>
        <v>91169.760000000009</v>
      </c>
      <c r="V60" s="739">
        <f t="shared" si="4"/>
        <v>255732.00645305222</v>
      </c>
      <c r="W60" s="740">
        <v>55.7</v>
      </c>
      <c r="X60" s="678">
        <f t="shared" si="5"/>
        <v>91169.760000000009</v>
      </c>
      <c r="Y60" s="700">
        <f t="shared" si="6"/>
        <v>255732.00645305222</v>
      </c>
      <c r="Z60" s="740">
        <v>55.7</v>
      </c>
      <c r="AA60" s="678">
        <f t="shared" si="7"/>
        <v>91169.760000000009</v>
      </c>
      <c r="AB60" s="741">
        <f t="shared" si="8"/>
        <v>255732.00645305222</v>
      </c>
      <c r="AC60" s="714"/>
    </row>
    <row r="61" spans="1:29" ht="15" customHeight="1" x14ac:dyDescent="0.25">
      <c r="A61" s="713"/>
      <c r="B61" s="714" t="s">
        <v>399</v>
      </c>
      <c r="C61" s="676" t="s">
        <v>40</v>
      </c>
      <c r="D61" s="676" t="s">
        <v>346</v>
      </c>
      <c r="E61" s="680">
        <v>44866</v>
      </c>
      <c r="F61" s="676">
        <v>720</v>
      </c>
      <c r="G61" s="676" t="s">
        <v>59</v>
      </c>
      <c r="H61" s="676" t="s">
        <v>3</v>
      </c>
      <c r="I61" s="676" t="s">
        <v>44</v>
      </c>
      <c r="J61" s="676" t="s">
        <v>85</v>
      </c>
      <c r="K61" s="676">
        <v>190</v>
      </c>
      <c r="L61" s="690" t="s">
        <v>54</v>
      </c>
      <c r="M61" s="691">
        <v>0</v>
      </c>
      <c r="N61" s="690">
        <v>2.2000000000000002</v>
      </c>
      <c r="O61" s="691">
        <v>0</v>
      </c>
      <c r="P61" s="690">
        <v>211.93900687503188</v>
      </c>
      <c r="Q61" s="738">
        <f t="shared" si="0"/>
        <v>0</v>
      </c>
      <c r="R61" s="677">
        <f t="shared" si="1"/>
        <v>335711.38689005055</v>
      </c>
      <c r="S61" s="739">
        <f t="shared" si="2"/>
        <v>335711.38689005055</v>
      </c>
      <c r="T61" s="738">
        <v>55.7</v>
      </c>
      <c r="U61" s="677">
        <f t="shared" si="3"/>
        <v>88228.800000000017</v>
      </c>
      <c r="V61" s="739">
        <f t="shared" si="4"/>
        <v>247482.58689005053</v>
      </c>
      <c r="W61" s="740">
        <v>55.7</v>
      </c>
      <c r="X61" s="678">
        <f t="shared" si="5"/>
        <v>88228.800000000017</v>
      </c>
      <c r="Y61" s="700">
        <f t="shared" si="6"/>
        <v>247482.58689005053</v>
      </c>
      <c r="Z61" s="740">
        <v>55.7</v>
      </c>
      <c r="AA61" s="678">
        <f t="shared" si="7"/>
        <v>88228.800000000017</v>
      </c>
      <c r="AB61" s="741">
        <f t="shared" si="8"/>
        <v>247482.58689005053</v>
      </c>
      <c r="AC61" s="714"/>
    </row>
    <row r="62" spans="1:29" ht="15" customHeight="1" x14ac:dyDescent="0.25">
      <c r="A62" s="713"/>
      <c r="B62" s="729" t="s">
        <v>399</v>
      </c>
      <c r="C62" s="545" t="s">
        <v>40</v>
      </c>
      <c r="D62" s="545" t="s">
        <v>346</v>
      </c>
      <c r="E62" s="681">
        <v>44896</v>
      </c>
      <c r="F62" s="545">
        <v>744</v>
      </c>
      <c r="G62" s="545" t="s">
        <v>59</v>
      </c>
      <c r="H62" s="545" t="s">
        <v>3</v>
      </c>
      <c r="I62" s="545" t="s">
        <v>44</v>
      </c>
      <c r="J62" s="545" t="s">
        <v>85</v>
      </c>
      <c r="K62" s="545">
        <v>190</v>
      </c>
      <c r="L62" s="725" t="s">
        <v>54</v>
      </c>
      <c r="M62" s="695">
        <v>0</v>
      </c>
      <c r="N62" s="725">
        <v>2.2000000000000002</v>
      </c>
      <c r="O62" s="695">
        <v>0</v>
      </c>
      <c r="P62" s="725">
        <v>211.93900687503188</v>
      </c>
      <c r="Q62" s="742">
        <f t="shared" si="0"/>
        <v>0</v>
      </c>
      <c r="R62" s="603">
        <f t="shared" si="1"/>
        <v>346901.76645305223</v>
      </c>
      <c r="S62" s="743">
        <f t="shared" si="2"/>
        <v>346901.76645305223</v>
      </c>
      <c r="T62" s="742">
        <v>55.7</v>
      </c>
      <c r="U62" s="603">
        <f t="shared" si="3"/>
        <v>91169.760000000009</v>
      </c>
      <c r="V62" s="743">
        <f t="shared" si="4"/>
        <v>255732.00645305222</v>
      </c>
      <c r="W62" s="744">
        <v>55.7</v>
      </c>
      <c r="X62" s="604">
        <f t="shared" si="5"/>
        <v>91169.760000000009</v>
      </c>
      <c r="Y62" s="701">
        <f t="shared" si="6"/>
        <v>255732.00645305222</v>
      </c>
      <c r="Z62" s="744">
        <v>78.400653594793155</v>
      </c>
      <c r="AA62" s="604">
        <f t="shared" si="7"/>
        <v>128326.18980395744</v>
      </c>
      <c r="AB62" s="745">
        <f t="shared" si="8"/>
        <v>218575.57664909479</v>
      </c>
      <c r="AC62" s="714"/>
    </row>
    <row r="63" spans="1:29" ht="15" customHeight="1" x14ac:dyDescent="0.25">
      <c r="A63" s="713"/>
      <c r="B63" s="730" t="s">
        <v>400</v>
      </c>
      <c r="C63" s="546" t="s">
        <v>40</v>
      </c>
      <c r="D63" s="546" t="s">
        <v>411</v>
      </c>
      <c r="E63" s="682">
        <v>44562</v>
      </c>
      <c r="F63" s="546">
        <v>744</v>
      </c>
      <c r="G63" s="546" t="s">
        <v>59</v>
      </c>
      <c r="H63" s="546" t="s">
        <v>3</v>
      </c>
      <c r="I63" s="546" t="s">
        <v>44</v>
      </c>
      <c r="J63" s="546" t="s">
        <v>85</v>
      </c>
      <c r="K63" s="546">
        <v>184</v>
      </c>
      <c r="L63" s="726" t="s">
        <v>54</v>
      </c>
      <c r="M63" s="696">
        <v>0</v>
      </c>
      <c r="N63" s="726">
        <v>7</v>
      </c>
      <c r="O63" s="696">
        <v>0</v>
      </c>
      <c r="P63" s="726">
        <v>205.24619613160982</v>
      </c>
      <c r="Q63" s="746">
        <f t="shared" si="0"/>
        <v>0</v>
      </c>
      <c r="R63" s="606">
        <f t="shared" si="1"/>
        <v>1068922.189453424</v>
      </c>
      <c r="S63" s="747">
        <f t="shared" si="2"/>
        <v>1068922.189453424</v>
      </c>
      <c r="T63" s="746">
        <v>62.91</v>
      </c>
      <c r="U63" s="606">
        <f t="shared" si="3"/>
        <v>327635.27999999997</v>
      </c>
      <c r="V63" s="747">
        <f t="shared" si="4"/>
        <v>741286.90945342393</v>
      </c>
      <c r="W63" s="748">
        <v>62.91</v>
      </c>
      <c r="X63" s="607">
        <f t="shared" si="5"/>
        <v>327635.27999999997</v>
      </c>
      <c r="Y63" s="702">
        <f t="shared" si="6"/>
        <v>741286.90945342393</v>
      </c>
      <c r="Z63" s="748">
        <v>62.91</v>
      </c>
      <c r="AA63" s="607">
        <f t="shared" si="7"/>
        <v>327635.27999999997</v>
      </c>
      <c r="AB63" s="749">
        <f t="shared" si="8"/>
        <v>741286.90945342393</v>
      </c>
      <c r="AC63" s="714"/>
    </row>
    <row r="64" spans="1:29" ht="15" customHeight="1" x14ac:dyDescent="0.25">
      <c r="A64" s="713"/>
      <c r="B64" s="714" t="s">
        <v>400</v>
      </c>
      <c r="C64" s="676" t="s">
        <v>40</v>
      </c>
      <c r="D64" s="676" t="s">
        <v>411</v>
      </c>
      <c r="E64" s="680">
        <v>44593</v>
      </c>
      <c r="F64" s="676">
        <v>672</v>
      </c>
      <c r="G64" s="676" t="s">
        <v>59</v>
      </c>
      <c r="H64" s="676" t="s">
        <v>3</v>
      </c>
      <c r="I64" s="676" t="s">
        <v>44</v>
      </c>
      <c r="J64" s="676" t="s">
        <v>85</v>
      </c>
      <c r="K64" s="676">
        <v>184</v>
      </c>
      <c r="L64" s="690" t="s">
        <v>54</v>
      </c>
      <c r="M64" s="691">
        <v>0</v>
      </c>
      <c r="N64" s="690">
        <v>7</v>
      </c>
      <c r="O64" s="691">
        <v>0</v>
      </c>
      <c r="P64" s="690">
        <v>205.24619613160982</v>
      </c>
      <c r="Q64" s="738">
        <f t="shared" si="0"/>
        <v>0</v>
      </c>
      <c r="R64" s="677">
        <f t="shared" si="1"/>
        <v>965478.10660309263</v>
      </c>
      <c r="S64" s="739">
        <f t="shared" si="2"/>
        <v>965478.10660309263</v>
      </c>
      <c r="T64" s="738">
        <v>55.7</v>
      </c>
      <c r="U64" s="677">
        <f t="shared" si="3"/>
        <v>262012.80000000002</v>
      </c>
      <c r="V64" s="739">
        <f t="shared" si="4"/>
        <v>703465.30660309258</v>
      </c>
      <c r="W64" s="740">
        <v>55.7</v>
      </c>
      <c r="X64" s="678">
        <f t="shared" si="5"/>
        <v>262012.80000000002</v>
      </c>
      <c r="Y64" s="700">
        <f t="shared" si="6"/>
        <v>703465.30660309258</v>
      </c>
      <c r="Z64" s="740">
        <v>55.7</v>
      </c>
      <c r="AA64" s="678">
        <f t="shared" si="7"/>
        <v>262012.80000000002</v>
      </c>
      <c r="AB64" s="741">
        <f t="shared" si="8"/>
        <v>703465.30660309258</v>
      </c>
      <c r="AC64" s="714"/>
    </row>
    <row r="65" spans="1:29" ht="15" customHeight="1" x14ac:dyDescent="0.25">
      <c r="A65" s="713"/>
      <c r="B65" s="714" t="s">
        <v>400</v>
      </c>
      <c r="C65" s="676" t="s">
        <v>40</v>
      </c>
      <c r="D65" s="676" t="s">
        <v>411</v>
      </c>
      <c r="E65" s="680">
        <v>44621</v>
      </c>
      <c r="F65" s="676">
        <v>744</v>
      </c>
      <c r="G65" s="676" t="s">
        <v>59</v>
      </c>
      <c r="H65" s="676" t="s">
        <v>3</v>
      </c>
      <c r="I65" s="676" t="s">
        <v>44</v>
      </c>
      <c r="J65" s="676" t="s">
        <v>85</v>
      </c>
      <c r="K65" s="676">
        <v>184</v>
      </c>
      <c r="L65" s="690" t="s">
        <v>54</v>
      </c>
      <c r="M65" s="691">
        <v>0</v>
      </c>
      <c r="N65" s="690">
        <v>7</v>
      </c>
      <c r="O65" s="691">
        <v>0</v>
      </c>
      <c r="P65" s="690">
        <v>205.24619613160982</v>
      </c>
      <c r="Q65" s="738">
        <f t="shared" si="0"/>
        <v>0</v>
      </c>
      <c r="R65" s="677">
        <f t="shared" si="1"/>
        <v>1068922.189453424</v>
      </c>
      <c r="S65" s="739">
        <f t="shared" si="2"/>
        <v>1068922.189453424</v>
      </c>
      <c r="T65" s="738">
        <v>55.7</v>
      </c>
      <c r="U65" s="677">
        <f t="shared" si="3"/>
        <v>290085.60000000003</v>
      </c>
      <c r="V65" s="739">
        <f t="shared" si="4"/>
        <v>778836.58945342386</v>
      </c>
      <c r="W65" s="740">
        <v>55.7</v>
      </c>
      <c r="X65" s="678">
        <f t="shared" si="5"/>
        <v>290085.60000000003</v>
      </c>
      <c r="Y65" s="700">
        <f t="shared" si="6"/>
        <v>778836.58945342386</v>
      </c>
      <c r="Z65" s="740">
        <v>55.7</v>
      </c>
      <c r="AA65" s="678">
        <f t="shared" si="7"/>
        <v>290085.60000000003</v>
      </c>
      <c r="AB65" s="741">
        <f t="shared" si="8"/>
        <v>778836.58945342386</v>
      </c>
      <c r="AC65" s="714"/>
    </row>
    <row r="66" spans="1:29" ht="15" customHeight="1" x14ac:dyDescent="0.25">
      <c r="A66" s="713"/>
      <c r="B66" s="714" t="s">
        <v>400</v>
      </c>
      <c r="C66" s="676" t="s">
        <v>40</v>
      </c>
      <c r="D66" s="676" t="s">
        <v>411</v>
      </c>
      <c r="E66" s="680">
        <v>44652</v>
      </c>
      <c r="F66" s="676">
        <v>720</v>
      </c>
      <c r="G66" s="676" t="s">
        <v>59</v>
      </c>
      <c r="H66" s="676" t="s">
        <v>3</v>
      </c>
      <c r="I66" s="676" t="s">
        <v>44</v>
      </c>
      <c r="J66" s="676" t="s">
        <v>85</v>
      </c>
      <c r="K66" s="676">
        <v>184</v>
      </c>
      <c r="L66" s="690" t="s">
        <v>54</v>
      </c>
      <c r="M66" s="691">
        <v>0</v>
      </c>
      <c r="N66" s="690">
        <v>7</v>
      </c>
      <c r="O66" s="691">
        <v>0</v>
      </c>
      <c r="P66" s="690">
        <v>205.24619613160982</v>
      </c>
      <c r="Q66" s="738">
        <f t="shared" si="0"/>
        <v>0</v>
      </c>
      <c r="R66" s="677">
        <f t="shared" si="1"/>
        <v>1034440.8285033135</v>
      </c>
      <c r="S66" s="739">
        <f t="shared" si="2"/>
        <v>1034440.8285033135</v>
      </c>
      <c r="T66" s="738">
        <v>55.7</v>
      </c>
      <c r="U66" s="677">
        <f t="shared" si="3"/>
        <v>280728</v>
      </c>
      <c r="V66" s="739">
        <f t="shared" si="4"/>
        <v>753712.82850331347</v>
      </c>
      <c r="W66" s="740">
        <v>55.7</v>
      </c>
      <c r="X66" s="678">
        <f t="shared" si="5"/>
        <v>280728</v>
      </c>
      <c r="Y66" s="700">
        <f t="shared" si="6"/>
        <v>753712.82850331347</v>
      </c>
      <c r="Z66" s="740">
        <v>55.7</v>
      </c>
      <c r="AA66" s="678">
        <f t="shared" si="7"/>
        <v>280728</v>
      </c>
      <c r="AB66" s="741">
        <f t="shared" si="8"/>
        <v>753712.82850331347</v>
      </c>
      <c r="AC66" s="714"/>
    </row>
    <row r="67" spans="1:29" ht="15" customHeight="1" x14ac:dyDescent="0.25">
      <c r="A67" s="713"/>
      <c r="B67" s="714" t="s">
        <v>400</v>
      </c>
      <c r="C67" s="676" t="s">
        <v>40</v>
      </c>
      <c r="D67" s="676" t="s">
        <v>411</v>
      </c>
      <c r="E67" s="680">
        <v>44682</v>
      </c>
      <c r="F67" s="676">
        <v>744</v>
      </c>
      <c r="G67" s="676" t="s">
        <v>59</v>
      </c>
      <c r="H67" s="676" t="s">
        <v>3</v>
      </c>
      <c r="I67" s="676" t="s">
        <v>44</v>
      </c>
      <c r="J67" s="676" t="s">
        <v>85</v>
      </c>
      <c r="K67" s="676">
        <v>184</v>
      </c>
      <c r="L67" s="690" t="s">
        <v>54</v>
      </c>
      <c r="M67" s="691">
        <v>0</v>
      </c>
      <c r="N67" s="690">
        <v>7</v>
      </c>
      <c r="O67" s="691">
        <v>0</v>
      </c>
      <c r="P67" s="690">
        <v>205.24619613160982</v>
      </c>
      <c r="Q67" s="738">
        <f t="shared" ref="Q67:Q130" si="9">(O67*(M67*F67))</f>
        <v>0</v>
      </c>
      <c r="R67" s="677">
        <f t="shared" ref="R67:R130" si="10">(P67*(N67*F67))</f>
        <v>1068922.189453424</v>
      </c>
      <c r="S67" s="739">
        <f t="shared" ref="S67:S130" si="11">R67-Q67</f>
        <v>1068922.189453424</v>
      </c>
      <c r="T67" s="738">
        <v>55.7</v>
      </c>
      <c r="U67" s="677">
        <f t="shared" ref="U67:U130" si="12">(((F67*N67)*T67)-(T67*(M67*F67)))</f>
        <v>290085.60000000003</v>
      </c>
      <c r="V67" s="739">
        <f t="shared" ref="V67:V130" si="13">S67-U67</f>
        <v>778836.58945342386</v>
      </c>
      <c r="W67" s="740">
        <v>55.7</v>
      </c>
      <c r="X67" s="678">
        <f t="shared" ref="X67:X130" si="14">(((F67*N67)*W67)-(W67*(M67*F67)))</f>
        <v>290085.60000000003</v>
      </c>
      <c r="Y67" s="700">
        <f t="shared" ref="Y67:Y130" si="15">S67-X67</f>
        <v>778836.58945342386</v>
      </c>
      <c r="Z67" s="740">
        <v>55.7</v>
      </c>
      <c r="AA67" s="678">
        <f t="shared" ref="AA67:AA130" si="16">(((F67*N67)*Z67)-(Z67*(M67*F67)))</f>
        <v>290085.60000000003</v>
      </c>
      <c r="AB67" s="741">
        <f t="shared" ref="AB67:AB130" si="17">S67-AA67</f>
        <v>778836.58945342386</v>
      </c>
      <c r="AC67" s="714"/>
    </row>
    <row r="68" spans="1:29" ht="15" customHeight="1" x14ac:dyDescent="0.25">
      <c r="A68" s="713"/>
      <c r="B68" s="714" t="s">
        <v>400</v>
      </c>
      <c r="C68" s="676" t="s">
        <v>40</v>
      </c>
      <c r="D68" s="676" t="s">
        <v>411</v>
      </c>
      <c r="E68" s="680">
        <v>44713</v>
      </c>
      <c r="F68" s="676">
        <v>720</v>
      </c>
      <c r="G68" s="676" t="s">
        <v>59</v>
      </c>
      <c r="H68" s="676" t="s">
        <v>3</v>
      </c>
      <c r="I68" s="676" t="s">
        <v>44</v>
      </c>
      <c r="J68" s="676" t="s">
        <v>85</v>
      </c>
      <c r="K68" s="676">
        <v>184</v>
      </c>
      <c r="L68" s="690" t="s">
        <v>54</v>
      </c>
      <c r="M68" s="691">
        <v>0</v>
      </c>
      <c r="N68" s="690">
        <v>7</v>
      </c>
      <c r="O68" s="691">
        <v>0</v>
      </c>
      <c r="P68" s="690">
        <v>205.24619613160982</v>
      </c>
      <c r="Q68" s="738">
        <f t="shared" si="9"/>
        <v>0</v>
      </c>
      <c r="R68" s="677">
        <f t="shared" si="10"/>
        <v>1034440.8285033135</v>
      </c>
      <c r="S68" s="739">
        <f t="shared" si="11"/>
        <v>1034440.8285033135</v>
      </c>
      <c r="T68" s="738">
        <v>55.71</v>
      </c>
      <c r="U68" s="677">
        <f t="shared" si="12"/>
        <v>280778.40000000002</v>
      </c>
      <c r="V68" s="739">
        <f t="shared" si="13"/>
        <v>753662.42850331345</v>
      </c>
      <c r="W68" s="740">
        <v>55.71</v>
      </c>
      <c r="X68" s="678">
        <f t="shared" si="14"/>
        <v>280778.40000000002</v>
      </c>
      <c r="Y68" s="700">
        <f t="shared" si="15"/>
        <v>753662.42850331345</v>
      </c>
      <c r="Z68" s="740">
        <v>55.71</v>
      </c>
      <c r="AA68" s="678">
        <f t="shared" si="16"/>
        <v>280778.40000000002</v>
      </c>
      <c r="AB68" s="741">
        <f t="shared" si="17"/>
        <v>753662.42850331345</v>
      </c>
      <c r="AC68" s="714"/>
    </row>
    <row r="69" spans="1:29" ht="15" customHeight="1" x14ac:dyDescent="0.25">
      <c r="A69" s="713"/>
      <c r="B69" s="714" t="s">
        <v>400</v>
      </c>
      <c r="C69" s="676" t="s">
        <v>40</v>
      </c>
      <c r="D69" s="676" t="s">
        <v>411</v>
      </c>
      <c r="E69" s="680">
        <v>44743</v>
      </c>
      <c r="F69" s="676">
        <v>744</v>
      </c>
      <c r="G69" s="676" t="s">
        <v>59</v>
      </c>
      <c r="H69" s="676" t="s">
        <v>3</v>
      </c>
      <c r="I69" s="676" t="s">
        <v>44</v>
      </c>
      <c r="J69" s="676" t="s">
        <v>85</v>
      </c>
      <c r="K69" s="676">
        <v>184</v>
      </c>
      <c r="L69" s="690" t="s">
        <v>54</v>
      </c>
      <c r="M69" s="691">
        <v>0</v>
      </c>
      <c r="N69" s="690">
        <v>7</v>
      </c>
      <c r="O69" s="691">
        <v>0</v>
      </c>
      <c r="P69" s="690">
        <v>205.24619613160982</v>
      </c>
      <c r="Q69" s="738">
        <f t="shared" si="9"/>
        <v>0</v>
      </c>
      <c r="R69" s="677">
        <f t="shared" si="10"/>
        <v>1068922.189453424</v>
      </c>
      <c r="S69" s="739">
        <f t="shared" si="11"/>
        <v>1068922.189453424</v>
      </c>
      <c r="T69" s="738">
        <v>66.319999999999993</v>
      </c>
      <c r="U69" s="677">
        <f t="shared" si="12"/>
        <v>345394.55999999994</v>
      </c>
      <c r="V69" s="739">
        <f t="shared" si="13"/>
        <v>723527.62945342402</v>
      </c>
      <c r="W69" s="740">
        <v>66.319999999999993</v>
      </c>
      <c r="X69" s="678">
        <f t="shared" si="14"/>
        <v>345394.55999999994</v>
      </c>
      <c r="Y69" s="700">
        <f t="shared" si="15"/>
        <v>723527.62945342402</v>
      </c>
      <c r="Z69" s="740">
        <v>66.319999999999993</v>
      </c>
      <c r="AA69" s="678">
        <f t="shared" si="16"/>
        <v>345394.55999999994</v>
      </c>
      <c r="AB69" s="741">
        <f t="shared" si="17"/>
        <v>723527.62945342402</v>
      </c>
      <c r="AC69" s="714"/>
    </row>
    <row r="70" spans="1:29" ht="15" customHeight="1" x14ac:dyDescent="0.25">
      <c r="A70" s="713"/>
      <c r="B70" s="714" t="s">
        <v>400</v>
      </c>
      <c r="C70" s="676" t="s">
        <v>40</v>
      </c>
      <c r="D70" s="676" t="s">
        <v>411</v>
      </c>
      <c r="E70" s="680">
        <v>44774</v>
      </c>
      <c r="F70" s="676">
        <v>744</v>
      </c>
      <c r="G70" s="676" t="s">
        <v>59</v>
      </c>
      <c r="H70" s="676" t="s">
        <v>3</v>
      </c>
      <c r="I70" s="676" t="s">
        <v>44</v>
      </c>
      <c r="J70" s="676" t="s">
        <v>85</v>
      </c>
      <c r="K70" s="676">
        <v>184</v>
      </c>
      <c r="L70" s="690" t="s">
        <v>54</v>
      </c>
      <c r="M70" s="691">
        <v>0</v>
      </c>
      <c r="N70" s="690">
        <v>7</v>
      </c>
      <c r="O70" s="691">
        <v>0</v>
      </c>
      <c r="P70" s="690">
        <v>205.24619613160982</v>
      </c>
      <c r="Q70" s="738">
        <f t="shared" si="9"/>
        <v>0</v>
      </c>
      <c r="R70" s="677">
        <f t="shared" si="10"/>
        <v>1068922.189453424</v>
      </c>
      <c r="S70" s="739">
        <f t="shared" si="11"/>
        <v>1068922.189453424</v>
      </c>
      <c r="T70" s="738">
        <v>76.900000000000006</v>
      </c>
      <c r="U70" s="677">
        <f t="shared" si="12"/>
        <v>400495.2</v>
      </c>
      <c r="V70" s="739">
        <f t="shared" si="13"/>
        <v>668426.989453424</v>
      </c>
      <c r="W70" s="740">
        <v>76.900000000000006</v>
      </c>
      <c r="X70" s="678">
        <f t="shared" si="14"/>
        <v>400495.2</v>
      </c>
      <c r="Y70" s="700">
        <f t="shared" si="15"/>
        <v>668426.989453424</v>
      </c>
      <c r="Z70" s="740">
        <v>76.900000000000006</v>
      </c>
      <c r="AA70" s="678">
        <f t="shared" si="16"/>
        <v>400495.2</v>
      </c>
      <c r="AB70" s="741">
        <f t="shared" si="17"/>
        <v>668426.989453424</v>
      </c>
      <c r="AC70" s="714"/>
    </row>
    <row r="71" spans="1:29" ht="15" customHeight="1" x14ac:dyDescent="0.25">
      <c r="A71" s="713"/>
      <c r="B71" s="714" t="s">
        <v>400</v>
      </c>
      <c r="C71" s="676" t="s">
        <v>40</v>
      </c>
      <c r="D71" s="676" t="s">
        <v>411</v>
      </c>
      <c r="E71" s="680">
        <v>44805</v>
      </c>
      <c r="F71" s="676">
        <v>720</v>
      </c>
      <c r="G71" s="676" t="s">
        <v>59</v>
      </c>
      <c r="H71" s="676" t="s">
        <v>3</v>
      </c>
      <c r="I71" s="676" t="s">
        <v>44</v>
      </c>
      <c r="J71" s="676" t="s">
        <v>85</v>
      </c>
      <c r="K71" s="676">
        <v>184</v>
      </c>
      <c r="L71" s="690" t="s">
        <v>54</v>
      </c>
      <c r="M71" s="691">
        <v>0</v>
      </c>
      <c r="N71" s="690">
        <v>7</v>
      </c>
      <c r="O71" s="691">
        <v>0</v>
      </c>
      <c r="P71" s="690">
        <v>205.24619613160982</v>
      </c>
      <c r="Q71" s="738">
        <f t="shared" si="9"/>
        <v>0</v>
      </c>
      <c r="R71" s="677">
        <f t="shared" si="10"/>
        <v>1034440.8285033135</v>
      </c>
      <c r="S71" s="739">
        <f t="shared" si="11"/>
        <v>1034440.8285033135</v>
      </c>
      <c r="T71" s="738">
        <v>56.08</v>
      </c>
      <c r="U71" s="677">
        <f t="shared" si="12"/>
        <v>282643.20000000001</v>
      </c>
      <c r="V71" s="739">
        <f t="shared" si="13"/>
        <v>751797.62850331352</v>
      </c>
      <c r="W71" s="740">
        <v>56.08</v>
      </c>
      <c r="X71" s="678">
        <f t="shared" si="14"/>
        <v>282643.20000000001</v>
      </c>
      <c r="Y71" s="700">
        <f t="shared" si="15"/>
        <v>751797.62850331352</v>
      </c>
      <c r="Z71" s="740">
        <v>56.08</v>
      </c>
      <c r="AA71" s="678">
        <f t="shared" si="16"/>
        <v>282643.20000000001</v>
      </c>
      <c r="AB71" s="741">
        <f t="shared" si="17"/>
        <v>751797.62850331352</v>
      </c>
      <c r="AC71" s="714"/>
    </row>
    <row r="72" spans="1:29" ht="15" customHeight="1" x14ac:dyDescent="0.25">
      <c r="A72" s="713"/>
      <c r="B72" s="714" t="s">
        <v>400</v>
      </c>
      <c r="C72" s="676" t="s">
        <v>40</v>
      </c>
      <c r="D72" s="676" t="s">
        <v>411</v>
      </c>
      <c r="E72" s="680">
        <v>44835</v>
      </c>
      <c r="F72" s="676">
        <v>744</v>
      </c>
      <c r="G72" s="676" t="s">
        <v>59</v>
      </c>
      <c r="H72" s="676" t="s">
        <v>3</v>
      </c>
      <c r="I72" s="676" t="s">
        <v>44</v>
      </c>
      <c r="J72" s="676" t="s">
        <v>85</v>
      </c>
      <c r="K72" s="676">
        <v>184</v>
      </c>
      <c r="L72" s="690" t="s">
        <v>54</v>
      </c>
      <c r="M72" s="691">
        <v>0</v>
      </c>
      <c r="N72" s="690">
        <v>7</v>
      </c>
      <c r="O72" s="691">
        <v>0</v>
      </c>
      <c r="P72" s="690">
        <v>205.24619613160982</v>
      </c>
      <c r="Q72" s="738">
        <f t="shared" si="9"/>
        <v>0</v>
      </c>
      <c r="R72" s="677">
        <f t="shared" si="10"/>
        <v>1068922.189453424</v>
      </c>
      <c r="S72" s="739">
        <f t="shared" si="11"/>
        <v>1068922.189453424</v>
      </c>
      <c r="T72" s="738">
        <v>55.7</v>
      </c>
      <c r="U72" s="677">
        <f t="shared" si="12"/>
        <v>290085.60000000003</v>
      </c>
      <c r="V72" s="739">
        <f t="shared" si="13"/>
        <v>778836.58945342386</v>
      </c>
      <c r="W72" s="740">
        <v>55.7</v>
      </c>
      <c r="X72" s="678">
        <f t="shared" si="14"/>
        <v>290085.60000000003</v>
      </c>
      <c r="Y72" s="700">
        <f t="shared" si="15"/>
        <v>778836.58945342386</v>
      </c>
      <c r="Z72" s="740">
        <v>55.7</v>
      </c>
      <c r="AA72" s="678">
        <f t="shared" si="16"/>
        <v>290085.60000000003</v>
      </c>
      <c r="AB72" s="741">
        <f t="shared" si="17"/>
        <v>778836.58945342386</v>
      </c>
      <c r="AC72" s="714"/>
    </row>
    <row r="73" spans="1:29" ht="15" customHeight="1" x14ac:dyDescent="0.25">
      <c r="A73" s="713"/>
      <c r="B73" s="714" t="s">
        <v>400</v>
      </c>
      <c r="C73" s="676" t="s">
        <v>40</v>
      </c>
      <c r="D73" s="676" t="s">
        <v>411</v>
      </c>
      <c r="E73" s="680">
        <v>44866</v>
      </c>
      <c r="F73" s="676">
        <v>720</v>
      </c>
      <c r="G73" s="676" t="s">
        <v>59</v>
      </c>
      <c r="H73" s="676" t="s">
        <v>3</v>
      </c>
      <c r="I73" s="676" t="s">
        <v>44</v>
      </c>
      <c r="J73" s="676" t="s">
        <v>85</v>
      </c>
      <c r="K73" s="676">
        <v>184</v>
      </c>
      <c r="L73" s="690" t="s">
        <v>54</v>
      </c>
      <c r="M73" s="691">
        <v>0</v>
      </c>
      <c r="N73" s="690">
        <v>7</v>
      </c>
      <c r="O73" s="691">
        <v>0</v>
      </c>
      <c r="P73" s="690">
        <v>205.24619613160982</v>
      </c>
      <c r="Q73" s="738">
        <f t="shared" si="9"/>
        <v>0</v>
      </c>
      <c r="R73" s="677">
        <f t="shared" si="10"/>
        <v>1034440.8285033135</v>
      </c>
      <c r="S73" s="739">
        <f t="shared" si="11"/>
        <v>1034440.8285033135</v>
      </c>
      <c r="T73" s="738">
        <v>55.7</v>
      </c>
      <c r="U73" s="677">
        <f t="shared" si="12"/>
        <v>280728</v>
      </c>
      <c r="V73" s="739">
        <f t="shared" si="13"/>
        <v>753712.82850331347</v>
      </c>
      <c r="W73" s="740">
        <v>55.7</v>
      </c>
      <c r="X73" s="678">
        <f t="shared" si="14"/>
        <v>280728</v>
      </c>
      <c r="Y73" s="700">
        <f t="shared" si="15"/>
        <v>753712.82850331347</v>
      </c>
      <c r="Z73" s="740">
        <v>55.7</v>
      </c>
      <c r="AA73" s="678">
        <f t="shared" si="16"/>
        <v>280728</v>
      </c>
      <c r="AB73" s="741">
        <f t="shared" si="17"/>
        <v>753712.82850331347</v>
      </c>
      <c r="AC73" s="714"/>
    </row>
    <row r="74" spans="1:29" ht="15" customHeight="1" x14ac:dyDescent="0.25">
      <c r="A74" s="713"/>
      <c r="B74" s="729" t="s">
        <v>400</v>
      </c>
      <c r="C74" s="545" t="s">
        <v>40</v>
      </c>
      <c r="D74" s="545" t="s">
        <v>411</v>
      </c>
      <c r="E74" s="681">
        <v>44896</v>
      </c>
      <c r="F74" s="545">
        <v>744</v>
      </c>
      <c r="G74" s="545" t="s">
        <v>59</v>
      </c>
      <c r="H74" s="545" t="s">
        <v>3</v>
      </c>
      <c r="I74" s="545" t="s">
        <v>44</v>
      </c>
      <c r="J74" s="545" t="s">
        <v>85</v>
      </c>
      <c r="K74" s="545">
        <v>184</v>
      </c>
      <c r="L74" s="725" t="s">
        <v>54</v>
      </c>
      <c r="M74" s="695">
        <v>0</v>
      </c>
      <c r="N74" s="725">
        <v>7</v>
      </c>
      <c r="O74" s="695">
        <v>0</v>
      </c>
      <c r="P74" s="725">
        <v>205.24619613160982</v>
      </c>
      <c r="Q74" s="742">
        <f t="shared" si="9"/>
        <v>0</v>
      </c>
      <c r="R74" s="603">
        <f t="shared" si="10"/>
        <v>1068922.189453424</v>
      </c>
      <c r="S74" s="743">
        <f t="shared" si="11"/>
        <v>1068922.189453424</v>
      </c>
      <c r="T74" s="742">
        <v>55.7</v>
      </c>
      <c r="U74" s="603">
        <f t="shared" si="12"/>
        <v>290085.60000000003</v>
      </c>
      <c r="V74" s="743">
        <f t="shared" si="13"/>
        <v>778836.58945342386</v>
      </c>
      <c r="W74" s="744">
        <v>55.7</v>
      </c>
      <c r="X74" s="604">
        <f t="shared" si="14"/>
        <v>290085.60000000003</v>
      </c>
      <c r="Y74" s="701">
        <f t="shared" si="15"/>
        <v>778836.58945342386</v>
      </c>
      <c r="Z74" s="744">
        <v>78.400653594793155</v>
      </c>
      <c r="AA74" s="604">
        <f t="shared" si="16"/>
        <v>408310.60392168275</v>
      </c>
      <c r="AB74" s="745">
        <f t="shared" si="17"/>
        <v>660611.58553174115</v>
      </c>
      <c r="AC74" s="714"/>
    </row>
    <row r="75" spans="1:29" ht="15" customHeight="1" x14ac:dyDescent="0.25">
      <c r="A75" s="713"/>
      <c r="B75" s="730" t="s">
        <v>461</v>
      </c>
      <c r="C75" s="546" t="s">
        <v>40</v>
      </c>
      <c r="D75" s="546" t="s">
        <v>346</v>
      </c>
      <c r="E75" s="682">
        <v>44562</v>
      </c>
      <c r="F75" s="546">
        <v>744</v>
      </c>
      <c r="G75" s="546" t="s">
        <v>59</v>
      </c>
      <c r="H75" s="546" t="s">
        <v>3</v>
      </c>
      <c r="I75" s="546" t="s">
        <v>44</v>
      </c>
      <c r="J75" s="546" t="s">
        <v>85</v>
      </c>
      <c r="K75" s="546">
        <v>188</v>
      </c>
      <c r="L75" s="726" t="s">
        <v>54</v>
      </c>
      <c r="M75" s="696">
        <v>0</v>
      </c>
      <c r="N75" s="726">
        <v>0.87</v>
      </c>
      <c r="O75" s="696">
        <v>0</v>
      </c>
      <c r="P75" s="726">
        <v>209.70806996055788</v>
      </c>
      <c r="Q75" s="746">
        <f t="shared" si="9"/>
        <v>0</v>
      </c>
      <c r="R75" s="606">
        <f t="shared" si="10"/>
        <v>135739.83952406989</v>
      </c>
      <c r="S75" s="747">
        <f t="shared" si="11"/>
        <v>135739.83952406989</v>
      </c>
      <c r="T75" s="746">
        <v>62.91</v>
      </c>
      <c r="U75" s="606">
        <f t="shared" si="12"/>
        <v>40720.384799999993</v>
      </c>
      <c r="V75" s="747">
        <f t="shared" si="13"/>
        <v>95019.454724069888</v>
      </c>
      <c r="W75" s="748">
        <v>62.91</v>
      </c>
      <c r="X75" s="607">
        <f t="shared" si="14"/>
        <v>40720.384799999993</v>
      </c>
      <c r="Y75" s="702">
        <f t="shared" si="15"/>
        <v>95019.454724069888</v>
      </c>
      <c r="Z75" s="748">
        <v>62.91</v>
      </c>
      <c r="AA75" s="607">
        <f t="shared" si="16"/>
        <v>40720.384799999993</v>
      </c>
      <c r="AB75" s="749">
        <f t="shared" si="17"/>
        <v>95019.454724069888</v>
      </c>
      <c r="AC75" s="714"/>
    </row>
    <row r="76" spans="1:29" ht="15" customHeight="1" x14ac:dyDescent="0.25">
      <c r="A76" s="713"/>
      <c r="B76" s="714" t="s">
        <v>461</v>
      </c>
      <c r="C76" s="676" t="s">
        <v>40</v>
      </c>
      <c r="D76" s="676" t="s">
        <v>346</v>
      </c>
      <c r="E76" s="680">
        <v>44593</v>
      </c>
      <c r="F76" s="676">
        <v>672</v>
      </c>
      <c r="G76" s="676" t="s">
        <v>59</v>
      </c>
      <c r="H76" s="676" t="s">
        <v>3</v>
      </c>
      <c r="I76" s="676" t="s">
        <v>44</v>
      </c>
      <c r="J76" s="676" t="s">
        <v>85</v>
      </c>
      <c r="K76" s="676">
        <v>188</v>
      </c>
      <c r="L76" s="690" t="s">
        <v>54</v>
      </c>
      <c r="M76" s="691">
        <v>0</v>
      </c>
      <c r="N76" s="690">
        <v>0.87</v>
      </c>
      <c r="O76" s="691">
        <v>0</v>
      </c>
      <c r="P76" s="690">
        <v>209.70806996055788</v>
      </c>
      <c r="Q76" s="738">
        <f t="shared" si="9"/>
        <v>0</v>
      </c>
      <c r="R76" s="677">
        <f t="shared" si="10"/>
        <v>122603.72602174056</v>
      </c>
      <c r="S76" s="739">
        <f t="shared" si="11"/>
        <v>122603.72602174056</v>
      </c>
      <c r="T76" s="738">
        <v>55.7</v>
      </c>
      <c r="U76" s="677">
        <f t="shared" si="12"/>
        <v>32564.448</v>
      </c>
      <c r="V76" s="739">
        <f t="shared" si="13"/>
        <v>90039.278021740553</v>
      </c>
      <c r="W76" s="740">
        <v>55.7</v>
      </c>
      <c r="X76" s="678">
        <f t="shared" si="14"/>
        <v>32564.448</v>
      </c>
      <c r="Y76" s="700">
        <f t="shared" si="15"/>
        <v>90039.278021740553</v>
      </c>
      <c r="Z76" s="740">
        <v>55.7</v>
      </c>
      <c r="AA76" s="678">
        <f t="shared" si="16"/>
        <v>32564.448</v>
      </c>
      <c r="AB76" s="741">
        <f t="shared" si="17"/>
        <v>90039.278021740553</v>
      </c>
      <c r="AC76" s="714"/>
    </row>
    <row r="77" spans="1:29" ht="15" customHeight="1" x14ac:dyDescent="0.25">
      <c r="A77" s="713"/>
      <c r="B77" s="714" t="s">
        <v>461</v>
      </c>
      <c r="C77" s="676" t="s">
        <v>40</v>
      </c>
      <c r="D77" s="676" t="s">
        <v>346</v>
      </c>
      <c r="E77" s="680">
        <v>44621</v>
      </c>
      <c r="F77" s="676">
        <v>744</v>
      </c>
      <c r="G77" s="676" t="s">
        <v>59</v>
      </c>
      <c r="H77" s="676" t="s">
        <v>3</v>
      </c>
      <c r="I77" s="676" t="s">
        <v>44</v>
      </c>
      <c r="J77" s="676" t="s">
        <v>85</v>
      </c>
      <c r="K77" s="676">
        <v>188</v>
      </c>
      <c r="L77" s="690" t="s">
        <v>54</v>
      </c>
      <c r="M77" s="691">
        <v>0</v>
      </c>
      <c r="N77" s="690">
        <v>0.87</v>
      </c>
      <c r="O77" s="691">
        <v>0</v>
      </c>
      <c r="P77" s="690">
        <v>209.70806996055788</v>
      </c>
      <c r="Q77" s="738">
        <f t="shared" si="9"/>
        <v>0</v>
      </c>
      <c r="R77" s="677">
        <f t="shared" si="10"/>
        <v>135739.83952406989</v>
      </c>
      <c r="S77" s="739">
        <f t="shared" si="11"/>
        <v>135739.83952406989</v>
      </c>
      <c r="T77" s="738">
        <v>55.7</v>
      </c>
      <c r="U77" s="677">
        <f t="shared" si="12"/>
        <v>36053.495999999999</v>
      </c>
      <c r="V77" s="739">
        <f t="shared" si="13"/>
        <v>99686.343524069889</v>
      </c>
      <c r="W77" s="740">
        <v>55.7</v>
      </c>
      <c r="X77" s="678">
        <f t="shared" si="14"/>
        <v>36053.495999999999</v>
      </c>
      <c r="Y77" s="700">
        <f t="shared" si="15"/>
        <v>99686.343524069889</v>
      </c>
      <c r="Z77" s="740">
        <v>55.7</v>
      </c>
      <c r="AA77" s="678">
        <f t="shared" si="16"/>
        <v>36053.495999999999</v>
      </c>
      <c r="AB77" s="741">
        <f t="shared" si="17"/>
        <v>99686.343524069889</v>
      </c>
      <c r="AC77" s="714"/>
    </row>
    <row r="78" spans="1:29" ht="15" customHeight="1" x14ac:dyDescent="0.25">
      <c r="A78" s="713"/>
      <c r="B78" s="714" t="s">
        <v>461</v>
      </c>
      <c r="C78" s="676" t="s">
        <v>40</v>
      </c>
      <c r="D78" s="676" t="s">
        <v>346</v>
      </c>
      <c r="E78" s="680">
        <v>44652</v>
      </c>
      <c r="F78" s="676">
        <v>720</v>
      </c>
      <c r="G78" s="676" t="s">
        <v>59</v>
      </c>
      <c r="H78" s="676" t="s">
        <v>3</v>
      </c>
      <c r="I78" s="676" t="s">
        <v>44</v>
      </c>
      <c r="J78" s="676" t="s">
        <v>85</v>
      </c>
      <c r="K78" s="676">
        <v>188</v>
      </c>
      <c r="L78" s="690" t="s">
        <v>54</v>
      </c>
      <c r="M78" s="691">
        <v>0</v>
      </c>
      <c r="N78" s="690">
        <v>0.87</v>
      </c>
      <c r="O78" s="691">
        <v>0</v>
      </c>
      <c r="P78" s="690">
        <v>209.70806996055788</v>
      </c>
      <c r="Q78" s="738">
        <f t="shared" si="9"/>
        <v>0</v>
      </c>
      <c r="R78" s="677">
        <f t="shared" si="10"/>
        <v>131361.13502329346</v>
      </c>
      <c r="S78" s="739">
        <f t="shared" si="11"/>
        <v>131361.13502329346</v>
      </c>
      <c r="T78" s="738">
        <v>55.7</v>
      </c>
      <c r="U78" s="677">
        <f t="shared" si="12"/>
        <v>34890.480000000003</v>
      </c>
      <c r="V78" s="739">
        <f t="shared" si="13"/>
        <v>96470.655023293453</v>
      </c>
      <c r="W78" s="740">
        <v>55.7</v>
      </c>
      <c r="X78" s="678">
        <f t="shared" si="14"/>
        <v>34890.480000000003</v>
      </c>
      <c r="Y78" s="700">
        <f t="shared" si="15"/>
        <v>96470.655023293453</v>
      </c>
      <c r="Z78" s="740">
        <v>55.7</v>
      </c>
      <c r="AA78" s="678">
        <f t="shared" si="16"/>
        <v>34890.480000000003</v>
      </c>
      <c r="AB78" s="741">
        <f t="shared" si="17"/>
        <v>96470.655023293453</v>
      </c>
      <c r="AC78" s="714"/>
    </row>
    <row r="79" spans="1:29" ht="15" customHeight="1" x14ac:dyDescent="0.25">
      <c r="A79" s="713"/>
      <c r="B79" s="714" t="s">
        <v>461</v>
      </c>
      <c r="C79" s="676" t="s">
        <v>40</v>
      </c>
      <c r="D79" s="676" t="s">
        <v>346</v>
      </c>
      <c r="E79" s="680">
        <v>44682</v>
      </c>
      <c r="F79" s="676">
        <v>744</v>
      </c>
      <c r="G79" s="676" t="s">
        <v>59</v>
      </c>
      <c r="H79" s="676" t="s">
        <v>3</v>
      </c>
      <c r="I79" s="676" t="s">
        <v>44</v>
      </c>
      <c r="J79" s="676" t="s">
        <v>85</v>
      </c>
      <c r="K79" s="676">
        <v>188</v>
      </c>
      <c r="L79" s="690" t="s">
        <v>54</v>
      </c>
      <c r="M79" s="691">
        <v>0</v>
      </c>
      <c r="N79" s="690">
        <v>0.87</v>
      </c>
      <c r="O79" s="691">
        <v>0</v>
      </c>
      <c r="P79" s="690">
        <v>209.70806996055788</v>
      </c>
      <c r="Q79" s="738">
        <f t="shared" si="9"/>
        <v>0</v>
      </c>
      <c r="R79" s="677">
        <f t="shared" si="10"/>
        <v>135739.83952406989</v>
      </c>
      <c r="S79" s="739">
        <f t="shared" si="11"/>
        <v>135739.83952406989</v>
      </c>
      <c r="T79" s="738">
        <v>55.7</v>
      </c>
      <c r="U79" s="677">
        <f t="shared" si="12"/>
        <v>36053.495999999999</v>
      </c>
      <c r="V79" s="739">
        <f t="shared" si="13"/>
        <v>99686.343524069889</v>
      </c>
      <c r="W79" s="740">
        <v>55.7</v>
      </c>
      <c r="X79" s="678">
        <f t="shared" si="14"/>
        <v>36053.495999999999</v>
      </c>
      <c r="Y79" s="700">
        <f t="shared" si="15"/>
        <v>99686.343524069889</v>
      </c>
      <c r="Z79" s="740">
        <v>55.7</v>
      </c>
      <c r="AA79" s="678">
        <f t="shared" si="16"/>
        <v>36053.495999999999</v>
      </c>
      <c r="AB79" s="741">
        <f t="shared" si="17"/>
        <v>99686.343524069889</v>
      </c>
      <c r="AC79" s="714"/>
    </row>
    <row r="80" spans="1:29" ht="15" customHeight="1" x14ac:dyDescent="0.25">
      <c r="A80" s="713"/>
      <c r="B80" s="714" t="s">
        <v>461</v>
      </c>
      <c r="C80" s="676" t="s">
        <v>40</v>
      </c>
      <c r="D80" s="676" t="s">
        <v>346</v>
      </c>
      <c r="E80" s="680">
        <v>44713</v>
      </c>
      <c r="F80" s="676">
        <v>720</v>
      </c>
      <c r="G80" s="676" t="s">
        <v>59</v>
      </c>
      <c r="H80" s="676" t="s">
        <v>3</v>
      </c>
      <c r="I80" s="676" t="s">
        <v>44</v>
      </c>
      <c r="J80" s="676" t="s">
        <v>85</v>
      </c>
      <c r="K80" s="676">
        <v>188</v>
      </c>
      <c r="L80" s="690" t="s">
        <v>54</v>
      </c>
      <c r="M80" s="691">
        <v>0</v>
      </c>
      <c r="N80" s="690">
        <v>0.87</v>
      </c>
      <c r="O80" s="691">
        <v>0</v>
      </c>
      <c r="P80" s="690">
        <v>209.70806996055788</v>
      </c>
      <c r="Q80" s="738">
        <f t="shared" si="9"/>
        <v>0</v>
      </c>
      <c r="R80" s="677">
        <f t="shared" si="10"/>
        <v>131361.13502329346</v>
      </c>
      <c r="S80" s="739">
        <f t="shared" si="11"/>
        <v>131361.13502329346</v>
      </c>
      <c r="T80" s="738">
        <v>55.71</v>
      </c>
      <c r="U80" s="677">
        <f t="shared" si="12"/>
        <v>34896.743999999999</v>
      </c>
      <c r="V80" s="739">
        <f t="shared" si="13"/>
        <v>96464.391023293458</v>
      </c>
      <c r="W80" s="740">
        <v>55.71</v>
      </c>
      <c r="X80" s="678">
        <f t="shared" si="14"/>
        <v>34896.743999999999</v>
      </c>
      <c r="Y80" s="700">
        <f t="shared" si="15"/>
        <v>96464.391023293458</v>
      </c>
      <c r="Z80" s="740">
        <v>55.71</v>
      </c>
      <c r="AA80" s="678">
        <f t="shared" si="16"/>
        <v>34896.743999999999</v>
      </c>
      <c r="AB80" s="741">
        <f t="shared" si="17"/>
        <v>96464.391023293458</v>
      </c>
      <c r="AC80" s="714"/>
    </row>
    <row r="81" spans="1:29" ht="15" customHeight="1" x14ac:dyDescent="0.25">
      <c r="A81" s="713"/>
      <c r="B81" s="714" t="s">
        <v>461</v>
      </c>
      <c r="C81" s="676" t="s">
        <v>40</v>
      </c>
      <c r="D81" s="676" t="s">
        <v>346</v>
      </c>
      <c r="E81" s="680">
        <v>44743</v>
      </c>
      <c r="F81" s="676">
        <v>744</v>
      </c>
      <c r="G81" s="676" t="s">
        <v>59</v>
      </c>
      <c r="H81" s="676" t="s">
        <v>3</v>
      </c>
      <c r="I81" s="676" t="s">
        <v>44</v>
      </c>
      <c r="J81" s="676" t="s">
        <v>85</v>
      </c>
      <c r="K81" s="676">
        <v>188</v>
      </c>
      <c r="L81" s="690" t="s">
        <v>54</v>
      </c>
      <c r="M81" s="691">
        <v>0</v>
      </c>
      <c r="N81" s="690">
        <v>0.87</v>
      </c>
      <c r="O81" s="691">
        <v>0</v>
      </c>
      <c r="P81" s="690">
        <v>209.70806996055788</v>
      </c>
      <c r="Q81" s="738">
        <f t="shared" si="9"/>
        <v>0</v>
      </c>
      <c r="R81" s="677">
        <f t="shared" si="10"/>
        <v>135739.83952406989</v>
      </c>
      <c r="S81" s="739">
        <f t="shared" si="11"/>
        <v>135739.83952406989</v>
      </c>
      <c r="T81" s="738">
        <v>66.319999999999993</v>
      </c>
      <c r="U81" s="677">
        <f t="shared" si="12"/>
        <v>42927.609599999996</v>
      </c>
      <c r="V81" s="739">
        <f t="shared" si="13"/>
        <v>92812.229924069892</v>
      </c>
      <c r="W81" s="740">
        <v>66.319999999999993</v>
      </c>
      <c r="X81" s="678">
        <f t="shared" si="14"/>
        <v>42927.609599999996</v>
      </c>
      <c r="Y81" s="700">
        <f t="shared" si="15"/>
        <v>92812.229924069892</v>
      </c>
      <c r="Z81" s="740">
        <v>66.319999999999993</v>
      </c>
      <c r="AA81" s="678">
        <f t="shared" si="16"/>
        <v>42927.609599999996</v>
      </c>
      <c r="AB81" s="741">
        <f t="shared" si="17"/>
        <v>92812.229924069892</v>
      </c>
      <c r="AC81" s="714"/>
    </row>
    <row r="82" spans="1:29" ht="15" customHeight="1" x14ac:dyDescent="0.25">
      <c r="A82" s="713"/>
      <c r="B82" s="714" t="s">
        <v>461</v>
      </c>
      <c r="C82" s="676" t="s">
        <v>40</v>
      </c>
      <c r="D82" s="676" t="s">
        <v>346</v>
      </c>
      <c r="E82" s="680">
        <v>44774</v>
      </c>
      <c r="F82" s="676">
        <v>744</v>
      </c>
      <c r="G82" s="676" t="s">
        <v>59</v>
      </c>
      <c r="H82" s="676" t="s">
        <v>3</v>
      </c>
      <c r="I82" s="676" t="s">
        <v>44</v>
      </c>
      <c r="J82" s="676" t="s">
        <v>85</v>
      </c>
      <c r="K82" s="676">
        <v>188</v>
      </c>
      <c r="L82" s="690" t="s">
        <v>54</v>
      </c>
      <c r="M82" s="691">
        <v>0</v>
      </c>
      <c r="N82" s="690">
        <v>0.87</v>
      </c>
      <c r="O82" s="691">
        <v>0</v>
      </c>
      <c r="P82" s="690">
        <v>209.70806996055788</v>
      </c>
      <c r="Q82" s="738">
        <f t="shared" si="9"/>
        <v>0</v>
      </c>
      <c r="R82" s="677">
        <f t="shared" si="10"/>
        <v>135739.83952406989</v>
      </c>
      <c r="S82" s="739">
        <f t="shared" si="11"/>
        <v>135739.83952406989</v>
      </c>
      <c r="T82" s="738">
        <v>76.900000000000006</v>
      </c>
      <c r="U82" s="677">
        <f t="shared" si="12"/>
        <v>49775.832000000002</v>
      </c>
      <c r="V82" s="739">
        <f t="shared" si="13"/>
        <v>85964.007524069893</v>
      </c>
      <c r="W82" s="740">
        <v>76.900000000000006</v>
      </c>
      <c r="X82" s="678">
        <f t="shared" si="14"/>
        <v>49775.832000000002</v>
      </c>
      <c r="Y82" s="700">
        <f t="shared" si="15"/>
        <v>85964.007524069893</v>
      </c>
      <c r="Z82" s="740">
        <v>76.900000000000006</v>
      </c>
      <c r="AA82" s="678">
        <f t="shared" si="16"/>
        <v>49775.832000000002</v>
      </c>
      <c r="AB82" s="741">
        <f t="shared" si="17"/>
        <v>85964.007524069893</v>
      </c>
      <c r="AC82" s="714"/>
    </row>
    <row r="83" spans="1:29" ht="15" customHeight="1" x14ac:dyDescent="0.25">
      <c r="A83" s="713"/>
      <c r="B83" s="714" t="s">
        <v>461</v>
      </c>
      <c r="C83" s="676" t="s">
        <v>40</v>
      </c>
      <c r="D83" s="676" t="s">
        <v>346</v>
      </c>
      <c r="E83" s="680">
        <v>44805</v>
      </c>
      <c r="F83" s="676">
        <v>720</v>
      </c>
      <c r="G83" s="676" t="s">
        <v>59</v>
      </c>
      <c r="H83" s="676" t="s">
        <v>3</v>
      </c>
      <c r="I83" s="676" t="s">
        <v>44</v>
      </c>
      <c r="J83" s="676" t="s">
        <v>85</v>
      </c>
      <c r="K83" s="676">
        <v>188</v>
      </c>
      <c r="L83" s="690" t="s">
        <v>54</v>
      </c>
      <c r="M83" s="691">
        <v>0</v>
      </c>
      <c r="N83" s="690">
        <v>0.87</v>
      </c>
      <c r="O83" s="691">
        <v>0</v>
      </c>
      <c r="P83" s="690">
        <v>209.70806996055788</v>
      </c>
      <c r="Q83" s="738">
        <f t="shared" si="9"/>
        <v>0</v>
      </c>
      <c r="R83" s="677">
        <f t="shared" si="10"/>
        <v>131361.13502329346</v>
      </c>
      <c r="S83" s="739">
        <f t="shared" si="11"/>
        <v>131361.13502329346</v>
      </c>
      <c r="T83" s="738">
        <v>56.08</v>
      </c>
      <c r="U83" s="677">
        <f t="shared" si="12"/>
        <v>35128.511999999995</v>
      </c>
      <c r="V83" s="739">
        <f t="shared" si="13"/>
        <v>96232.623023293476</v>
      </c>
      <c r="W83" s="740">
        <v>56.08</v>
      </c>
      <c r="X83" s="678">
        <f t="shared" si="14"/>
        <v>35128.511999999995</v>
      </c>
      <c r="Y83" s="700">
        <f t="shared" si="15"/>
        <v>96232.623023293476</v>
      </c>
      <c r="Z83" s="740">
        <v>56.08</v>
      </c>
      <c r="AA83" s="678">
        <f t="shared" si="16"/>
        <v>35128.511999999995</v>
      </c>
      <c r="AB83" s="741">
        <f t="shared" si="17"/>
        <v>96232.623023293476</v>
      </c>
      <c r="AC83" s="714"/>
    </row>
    <row r="84" spans="1:29" ht="15" customHeight="1" x14ac:dyDescent="0.25">
      <c r="A84" s="713"/>
      <c r="B84" s="714" t="s">
        <v>461</v>
      </c>
      <c r="C84" s="676" t="s">
        <v>40</v>
      </c>
      <c r="D84" s="676" t="s">
        <v>346</v>
      </c>
      <c r="E84" s="680">
        <v>44835</v>
      </c>
      <c r="F84" s="676">
        <v>744</v>
      </c>
      <c r="G84" s="676" t="s">
        <v>59</v>
      </c>
      <c r="H84" s="676" t="s">
        <v>3</v>
      </c>
      <c r="I84" s="676" t="s">
        <v>44</v>
      </c>
      <c r="J84" s="676" t="s">
        <v>85</v>
      </c>
      <c r="K84" s="676">
        <v>188</v>
      </c>
      <c r="L84" s="690" t="s">
        <v>54</v>
      </c>
      <c r="M84" s="691">
        <v>0</v>
      </c>
      <c r="N84" s="690">
        <v>0.87</v>
      </c>
      <c r="O84" s="691">
        <v>0</v>
      </c>
      <c r="P84" s="690">
        <v>209.70806996055788</v>
      </c>
      <c r="Q84" s="738">
        <f t="shared" si="9"/>
        <v>0</v>
      </c>
      <c r="R84" s="677">
        <f t="shared" si="10"/>
        <v>135739.83952406989</v>
      </c>
      <c r="S84" s="739">
        <f t="shared" si="11"/>
        <v>135739.83952406989</v>
      </c>
      <c r="T84" s="738">
        <v>55.7</v>
      </c>
      <c r="U84" s="677">
        <f t="shared" si="12"/>
        <v>36053.495999999999</v>
      </c>
      <c r="V84" s="739">
        <f t="shared" si="13"/>
        <v>99686.343524069889</v>
      </c>
      <c r="W84" s="740">
        <v>55.7</v>
      </c>
      <c r="X84" s="678">
        <f t="shared" si="14"/>
        <v>36053.495999999999</v>
      </c>
      <c r="Y84" s="700">
        <f t="shared" si="15"/>
        <v>99686.343524069889</v>
      </c>
      <c r="Z84" s="740">
        <v>55.7</v>
      </c>
      <c r="AA84" s="678">
        <f t="shared" si="16"/>
        <v>36053.495999999999</v>
      </c>
      <c r="AB84" s="741">
        <f t="shared" si="17"/>
        <v>99686.343524069889</v>
      </c>
      <c r="AC84" s="714"/>
    </row>
    <row r="85" spans="1:29" ht="15" customHeight="1" x14ac:dyDescent="0.25">
      <c r="A85" s="713"/>
      <c r="B85" s="714" t="s">
        <v>461</v>
      </c>
      <c r="C85" s="676" t="s">
        <v>40</v>
      </c>
      <c r="D85" s="676" t="s">
        <v>346</v>
      </c>
      <c r="E85" s="680">
        <v>44866</v>
      </c>
      <c r="F85" s="676">
        <v>720</v>
      </c>
      <c r="G85" s="676" t="s">
        <v>59</v>
      </c>
      <c r="H85" s="676" t="s">
        <v>3</v>
      </c>
      <c r="I85" s="676" t="s">
        <v>44</v>
      </c>
      <c r="J85" s="676" t="s">
        <v>85</v>
      </c>
      <c r="K85" s="676">
        <v>188</v>
      </c>
      <c r="L85" s="690" t="s">
        <v>54</v>
      </c>
      <c r="M85" s="691">
        <v>0</v>
      </c>
      <c r="N85" s="690">
        <v>0.87</v>
      </c>
      <c r="O85" s="691">
        <v>0</v>
      </c>
      <c r="P85" s="690">
        <v>209.70806996055788</v>
      </c>
      <c r="Q85" s="738">
        <f t="shared" si="9"/>
        <v>0</v>
      </c>
      <c r="R85" s="677">
        <f t="shared" si="10"/>
        <v>131361.13502329346</v>
      </c>
      <c r="S85" s="739">
        <f t="shared" si="11"/>
        <v>131361.13502329346</v>
      </c>
      <c r="T85" s="738">
        <v>55.7</v>
      </c>
      <c r="U85" s="677">
        <f t="shared" si="12"/>
        <v>34890.480000000003</v>
      </c>
      <c r="V85" s="739">
        <f t="shared" si="13"/>
        <v>96470.655023293453</v>
      </c>
      <c r="W85" s="740">
        <v>55.7</v>
      </c>
      <c r="X85" s="678">
        <f t="shared" si="14"/>
        <v>34890.480000000003</v>
      </c>
      <c r="Y85" s="700">
        <f t="shared" si="15"/>
        <v>96470.655023293453</v>
      </c>
      <c r="Z85" s="740">
        <v>55.7</v>
      </c>
      <c r="AA85" s="678">
        <f t="shared" si="16"/>
        <v>34890.480000000003</v>
      </c>
      <c r="AB85" s="741">
        <f t="shared" si="17"/>
        <v>96470.655023293453</v>
      </c>
      <c r="AC85" s="714"/>
    </row>
    <row r="86" spans="1:29" ht="15" customHeight="1" x14ac:dyDescent="0.25">
      <c r="A86" s="713"/>
      <c r="B86" s="729" t="s">
        <v>461</v>
      </c>
      <c r="C86" s="545" t="s">
        <v>40</v>
      </c>
      <c r="D86" s="545" t="s">
        <v>346</v>
      </c>
      <c r="E86" s="681">
        <v>44896</v>
      </c>
      <c r="F86" s="545">
        <v>744</v>
      </c>
      <c r="G86" s="545" t="s">
        <v>59</v>
      </c>
      <c r="H86" s="545" t="s">
        <v>3</v>
      </c>
      <c r="I86" s="545" t="s">
        <v>44</v>
      </c>
      <c r="J86" s="545" t="s">
        <v>85</v>
      </c>
      <c r="K86" s="545">
        <v>188</v>
      </c>
      <c r="L86" s="725" t="s">
        <v>54</v>
      </c>
      <c r="M86" s="695">
        <v>0</v>
      </c>
      <c r="N86" s="725">
        <v>0.87</v>
      </c>
      <c r="O86" s="695">
        <v>0</v>
      </c>
      <c r="P86" s="725">
        <v>209.70806996055788</v>
      </c>
      <c r="Q86" s="742">
        <f t="shared" si="9"/>
        <v>0</v>
      </c>
      <c r="R86" s="603">
        <f t="shared" si="10"/>
        <v>135739.83952406989</v>
      </c>
      <c r="S86" s="743">
        <f t="shared" si="11"/>
        <v>135739.83952406989</v>
      </c>
      <c r="T86" s="742">
        <v>55.7</v>
      </c>
      <c r="U86" s="603">
        <f t="shared" si="12"/>
        <v>36053.495999999999</v>
      </c>
      <c r="V86" s="743">
        <f t="shared" si="13"/>
        <v>99686.343524069889</v>
      </c>
      <c r="W86" s="744">
        <v>55.7</v>
      </c>
      <c r="X86" s="604">
        <f t="shared" si="14"/>
        <v>36053.495999999999</v>
      </c>
      <c r="Y86" s="701">
        <f t="shared" si="15"/>
        <v>99686.343524069889</v>
      </c>
      <c r="Z86" s="744">
        <v>78.400653594793155</v>
      </c>
      <c r="AA86" s="604">
        <f t="shared" si="16"/>
        <v>50747.175058837711</v>
      </c>
      <c r="AB86" s="745">
        <f t="shared" si="17"/>
        <v>84992.66446523217</v>
      </c>
      <c r="AC86" s="714"/>
    </row>
    <row r="87" spans="1:29" ht="15" customHeight="1" x14ac:dyDescent="0.25">
      <c r="A87" s="713"/>
      <c r="B87" s="730" t="s">
        <v>462</v>
      </c>
      <c r="C87" s="546" t="s">
        <v>40</v>
      </c>
      <c r="D87" s="546" t="s">
        <v>405</v>
      </c>
      <c r="E87" s="682">
        <v>44562</v>
      </c>
      <c r="F87" s="546">
        <v>744</v>
      </c>
      <c r="G87" s="546" t="s">
        <v>58</v>
      </c>
      <c r="H87" s="546" t="s">
        <v>3</v>
      </c>
      <c r="I87" s="546" t="s">
        <v>44</v>
      </c>
      <c r="J87" s="546" t="s">
        <v>83</v>
      </c>
      <c r="K87" s="546">
        <v>188</v>
      </c>
      <c r="L87" s="726" t="s">
        <v>54</v>
      </c>
      <c r="M87" s="696">
        <v>6.12</v>
      </c>
      <c r="N87" s="726">
        <v>0</v>
      </c>
      <c r="O87" s="696">
        <v>209.70806996055788</v>
      </c>
      <c r="P87" s="726">
        <v>0</v>
      </c>
      <c r="Q87" s="746">
        <f t="shared" si="9"/>
        <v>954859.56079000898</v>
      </c>
      <c r="R87" s="606">
        <f t="shared" si="10"/>
        <v>0</v>
      </c>
      <c r="S87" s="747">
        <f t="shared" si="11"/>
        <v>-954859.56079000898</v>
      </c>
      <c r="T87" s="746">
        <v>62.91</v>
      </c>
      <c r="U87" s="606">
        <f t="shared" si="12"/>
        <v>-286446.84479999996</v>
      </c>
      <c r="V87" s="747">
        <f t="shared" si="13"/>
        <v>-668412.71599000902</v>
      </c>
      <c r="W87" s="748">
        <v>62.91</v>
      </c>
      <c r="X87" s="607">
        <f t="shared" si="14"/>
        <v>-286446.84479999996</v>
      </c>
      <c r="Y87" s="702">
        <f t="shared" si="15"/>
        <v>-668412.71599000902</v>
      </c>
      <c r="Z87" s="748">
        <v>62.91</v>
      </c>
      <c r="AA87" s="607">
        <f t="shared" si="16"/>
        <v>-286446.84479999996</v>
      </c>
      <c r="AB87" s="749">
        <f t="shared" si="17"/>
        <v>-668412.71599000902</v>
      </c>
      <c r="AC87" s="714"/>
    </row>
    <row r="88" spans="1:29" ht="15" customHeight="1" x14ac:dyDescent="0.25">
      <c r="A88" s="713"/>
      <c r="B88" s="714" t="s">
        <v>462</v>
      </c>
      <c r="C88" s="676" t="s">
        <v>40</v>
      </c>
      <c r="D88" s="676" t="s">
        <v>405</v>
      </c>
      <c r="E88" s="680">
        <v>44593</v>
      </c>
      <c r="F88" s="676">
        <v>672</v>
      </c>
      <c r="G88" s="676" t="s">
        <v>58</v>
      </c>
      <c r="H88" s="676" t="s">
        <v>3</v>
      </c>
      <c r="I88" s="676" t="s">
        <v>44</v>
      </c>
      <c r="J88" s="676" t="s">
        <v>83</v>
      </c>
      <c r="K88" s="676">
        <v>188</v>
      </c>
      <c r="L88" s="690" t="s">
        <v>54</v>
      </c>
      <c r="M88" s="691">
        <v>6.12</v>
      </c>
      <c r="N88" s="690">
        <v>0</v>
      </c>
      <c r="O88" s="691">
        <v>209.70806996055788</v>
      </c>
      <c r="P88" s="690">
        <v>0</v>
      </c>
      <c r="Q88" s="738">
        <f t="shared" si="9"/>
        <v>862453.79684258881</v>
      </c>
      <c r="R88" s="677">
        <f t="shared" si="10"/>
        <v>0</v>
      </c>
      <c r="S88" s="739">
        <f t="shared" si="11"/>
        <v>-862453.79684258881</v>
      </c>
      <c r="T88" s="738">
        <v>55.7</v>
      </c>
      <c r="U88" s="677">
        <f t="shared" si="12"/>
        <v>-229074.04800000004</v>
      </c>
      <c r="V88" s="739">
        <f t="shared" si="13"/>
        <v>-633379.74884258874</v>
      </c>
      <c r="W88" s="740">
        <v>55.7</v>
      </c>
      <c r="X88" s="678">
        <f t="shared" si="14"/>
        <v>-229074.04800000004</v>
      </c>
      <c r="Y88" s="700">
        <f t="shared" si="15"/>
        <v>-633379.74884258874</v>
      </c>
      <c r="Z88" s="740">
        <v>55.7</v>
      </c>
      <c r="AA88" s="678">
        <f t="shared" si="16"/>
        <v>-229074.04800000004</v>
      </c>
      <c r="AB88" s="741">
        <f t="shared" si="17"/>
        <v>-633379.74884258874</v>
      </c>
      <c r="AC88" s="714"/>
    </row>
    <row r="89" spans="1:29" ht="15" customHeight="1" x14ac:dyDescent="0.25">
      <c r="A89" s="713"/>
      <c r="B89" s="714" t="s">
        <v>462</v>
      </c>
      <c r="C89" s="676" t="s">
        <v>40</v>
      </c>
      <c r="D89" s="676" t="s">
        <v>405</v>
      </c>
      <c r="E89" s="680">
        <v>44621</v>
      </c>
      <c r="F89" s="676">
        <v>744</v>
      </c>
      <c r="G89" s="676" t="s">
        <v>58</v>
      </c>
      <c r="H89" s="676" t="s">
        <v>3</v>
      </c>
      <c r="I89" s="676" t="s">
        <v>44</v>
      </c>
      <c r="J89" s="676" t="s">
        <v>83</v>
      </c>
      <c r="K89" s="676">
        <v>188</v>
      </c>
      <c r="L89" s="690" t="s">
        <v>54</v>
      </c>
      <c r="M89" s="691">
        <v>6.12</v>
      </c>
      <c r="N89" s="690">
        <v>0</v>
      </c>
      <c r="O89" s="691">
        <v>209.70806996055788</v>
      </c>
      <c r="P89" s="690">
        <v>0</v>
      </c>
      <c r="Q89" s="738">
        <f t="shared" si="9"/>
        <v>954859.56079000898</v>
      </c>
      <c r="R89" s="677">
        <f t="shared" si="10"/>
        <v>0</v>
      </c>
      <c r="S89" s="739">
        <f t="shared" si="11"/>
        <v>-954859.56079000898</v>
      </c>
      <c r="T89" s="738">
        <v>55.7</v>
      </c>
      <c r="U89" s="677">
        <f t="shared" si="12"/>
        <v>-253617.696</v>
      </c>
      <c r="V89" s="739">
        <f t="shared" si="13"/>
        <v>-701241.86479000899</v>
      </c>
      <c r="W89" s="740">
        <v>55.7</v>
      </c>
      <c r="X89" s="678">
        <f t="shared" si="14"/>
        <v>-253617.696</v>
      </c>
      <c r="Y89" s="700">
        <f t="shared" si="15"/>
        <v>-701241.86479000899</v>
      </c>
      <c r="Z89" s="740">
        <v>55.7</v>
      </c>
      <c r="AA89" s="678">
        <f t="shared" si="16"/>
        <v>-253617.696</v>
      </c>
      <c r="AB89" s="741">
        <f t="shared" si="17"/>
        <v>-701241.86479000899</v>
      </c>
      <c r="AC89" s="714"/>
    </row>
    <row r="90" spans="1:29" ht="15" customHeight="1" x14ac:dyDescent="0.25">
      <c r="A90" s="713"/>
      <c r="B90" s="714" t="s">
        <v>462</v>
      </c>
      <c r="C90" s="676" t="s">
        <v>40</v>
      </c>
      <c r="D90" s="676" t="s">
        <v>405</v>
      </c>
      <c r="E90" s="680">
        <v>44652</v>
      </c>
      <c r="F90" s="676">
        <v>720</v>
      </c>
      <c r="G90" s="676" t="s">
        <v>58</v>
      </c>
      <c r="H90" s="676" t="s">
        <v>3</v>
      </c>
      <c r="I90" s="676" t="s">
        <v>44</v>
      </c>
      <c r="J90" s="676" t="s">
        <v>83</v>
      </c>
      <c r="K90" s="676">
        <v>188</v>
      </c>
      <c r="L90" s="690" t="s">
        <v>54</v>
      </c>
      <c r="M90" s="691">
        <v>6.12</v>
      </c>
      <c r="N90" s="690">
        <v>0</v>
      </c>
      <c r="O90" s="691">
        <v>209.70806996055788</v>
      </c>
      <c r="P90" s="690">
        <v>0</v>
      </c>
      <c r="Q90" s="738">
        <f t="shared" si="9"/>
        <v>924057.63947420218</v>
      </c>
      <c r="R90" s="677">
        <f t="shared" si="10"/>
        <v>0</v>
      </c>
      <c r="S90" s="739">
        <f t="shared" si="11"/>
        <v>-924057.63947420218</v>
      </c>
      <c r="T90" s="738">
        <v>55.7</v>
      </c>
      <c r="U90" s="677">
        <f t="shared" si="12"/>
        <v>-245436.47999999998</v>
      </c>
      <c r="V90" s="739">
        <f t="shared" si="13"/>
        <v>-678621.1594742022</v>
      </c>
      <c r="W90" s="740">
        <v>55.7</v>
      </c>
      <c r="X90" s="678">
        <f t="shared" si="14"/>
        <v>-245436.47999999998</v>
      </c>
      <c r="Y90" s="700">
        <f t="shared" si="15"/>
        <v>-678621.1594742022</v>
      </c>
      <c r="Z90" s="740">
        <v>55.7</v>
      </c>
      <c r="AA90" s="678">
        <f t="shared" si="16"/>
        <v>-245436.47999999998</v>
      </c>
      <c r="AB90" s="741">
        <f t="shared" si="17"/>
        <v>-678621.1594742022</v>
      </c>
      <c r="AC90" s="714"/>
    </row>
    <row r="91" spans="1:29" ht="15" customHeight="1" x14ac:dyDescent="0.25">
      <c r="A91" s="713"/>
      <c r="B91" s="714" t="s">
        <v>462</v>
      </c>
      <c r="C91" s="676" t="s">
        <v>40</v>
      </c>
      <c r="D91" s="676" t="s">
        <v>405</v>
      </c>
      <c r="E91" s="680">
        <v>44682</v>
      </c>
      <c r="F91" s="676">
        <v>744</v>
      </c>
      <c r="G91" s="676" t="s">
        <v>58</v>
      </c>
      <c r="H91" s="676" t="s">
        <v>3</v>
      </c>
      <c r="I91" s="676" t="s">
        <v>44</v>
      </c>
      <c r="J91" s="676" t="s">
        <v>83</v>
      </c>
      <c r="K91" s="676">
        <v>188</v>
      </c>
      <c r="L91" s="690" t="s">
        <v>54</v>
      </c>
      <c r="M91" s="691">
        <v>6.12</v>
      </c>
      <c r="N91" s="690">
        <v>0</v>
      </c>
      <c r="O91" s="691">
        <v>209.70806996055788</v>
      </c>
      <c r="P91" s="690">
        <v>0</v>
      </c>
      <c r="Q91" s="738">
        <f t="shared" si="9"/>
        <v>954859.56079000898</v>
      </c>
      <c r="R91" s="677">
        <f t="shared" si="10"/>
        <v>0</v>
      </c>
      <c r="S91" s="739">
        <f t="shared" si="11"/>
        <v>-954859.56079000898</v>
      </c>
      <c r="T91" s="738">
        <v>55.7</v>
      </c>
      <c r="U91" s="677">
        <f t="shared" si="12"/>
        <v>-253617.696</v>
      </c>
      <c r="V91" s="739">
        <f t="shared" si="13"/>
        <v>-701241.86479000899</v>
      </c>
      <c r="W91" s="740">
        <v>55.7</v>
      </c>
      <c r="X91" s="678">
        <f t="shared" si="14"/>
        <v>-253617.696</v>
      </c>
      <c r="Y91" s="700">
        <f t="shared" si="15"/>
        <v>-701241.86479000899</v>
      </c>
      <c r="Z91" s="740">
        <v>55.7</v>
      </c>
      <c r="AA91" s="678">
        <f t="shared" si="16"/>
        <v>-253617.696</v>
      </c>
      <c r="AB91" s="741">
        <f t="shared" si="17"/>
        <v>-701241.86479000899</v>
      </c>
      <c r="AC91" s="714"/>
    </row>
    <row r="92" spans="1:29" ht="15" customHeight="1" x14ac:dyDescent="0.25">
      <c r="A92" s="713"/>
      <c r="B92" s="714" t="s">
        <v>462</v>
      </c>
      <c r="C92" s="676" t="s">
        <v>40</v>
      </c>
      <c r="D92" s="676" t="s">
        <v>405</v>
      </c>
      <c r="E92" s="680">
        <v>44713</v>
      </c>
      <c r="F92" s="676">
        <v>720</v>
      </c>
      <c r="G92" s="676" t="s">
        <v>58</v>
      </c>
      <c r="H92" s="676" t="s">
        <v>3</v>
      </c>
      <c r="I92" s="676" t="s">
        <v>44</v>
      </c>
      <c r="J92" s="676" t="s">
        <v>83</v>
      </c>
      <c r="K92" s="676">
        <v>188</v>
      </c>
      <c r="L92" s="690" t="s">
        <v>54</v>
      </c>
      <c r="M92" s="691">
        <v>6.12</v>
      </c>
      <c r="N92" s="690">
        <v>0</v>
      </c>
      <c r="O92" s="691">
        <v>209.70806996055788</v>
      </c>
      <c r="P92" s="690">
        <v>0</v>
      </c>
      <c r="Q92" s="738">
        <f t="shared" si="9"/>
        <v>924057.63947420218</v>
      </c>
      <c r="R92" s="677">
        <f t="shared" si="10"/>
        <v>0</v>
      </c>
      <c r="S92" s="739">
        <f t="shared" si="11"/>
        <v>-924057.63947420218</v>
      </c>
      <c r="T92" s="738">
        <v>55.71</v>
      </c>
      <c r="U92" s="677">
        <f t="shared" si="12"/>
        <v>-245480.54399999999</v>
      </c>
      <c r="V92" s="739">
        <f t="shared" si="13"/>
        <v>-678577.09547420219</v>
      </c>
      <c r="W92" s="740">
        <v>55.71</v>
      </c>
      <c r="X92" s="678">
        <f t="shared" si="14"/>
        <v>-245480.54399999999</v>
      </c>
      <c r="Y92" s="700">
        <f t="shared" si="15"/>
        <v>-678577.09547420219</v>
      </c>
      <c r="Z92" s="740">
        <v>55.71</v>
      </c>
      <c r="AA92" s="678">
        <f t="shared" si="16"/>
        <v>-245480.54399999999</v>
      </c>
      <c r="AB92" s="741">
        <f t="shared" si="17"/>
        <v>-678577.09547420219</v>
      </c>
      <c r="AC92" s="714"/>
    </row>
    <row r="93" spans="1:29" ht="15" customHeight="1" x14ac:dyDescent="0.25">
      <c r="A93" s="713"/>
      <c r="B93" s="714" t="s">
        <v>462</v>
      </c>
      <c r="C93" s="676" t="s">
        <v>40</v>
      </c>
      <c r="D93" s="676" t="s">
        <v>405</v>
      </c>
      <c r="E93" s="680">
        <v>44743</v>
      </c>
      <c r="F93" s="676">
        <v>744</v>
      </c>
      <c r="G93" s="676" t="s">
        <v>58</v>
      </c>
      <c r="H93" s="676" t="s">
        <v>3</v>
      </c>
      <c r="I93" s="676" t="s">
        <v>44</v>
      </c>
      <c r="J93" s="676" t="s">
        <v>83</v>
      </c>
      <c r="K93" s="676">
        <v>188</v>
      </c>
      <c r="L93" s="690" t="s">
        <v>54</v>
      </c>
      <c r="M93" s="691">
        <v>6.12</v>
      </c>
      <c r="N93" s="690">
        <v>0</v>
      </c>
      <c r="O93" s="691">
        <v>209.70806996055788</v>
      </c>
      <c r="P93" s="690">
        <v>0</v>
      </c>
      <c r="Q93" s="738">
        <f t="shared" si="9"/>
        <v>954859.56079000898</v>
      </c>
      <c r="R93" s="677">
        <f t="shared" si="10"/>
        <v>0</v>
      </c>
      <c r="S93" s="739">
        <f t="shared" si="11"/>
        <v>-954859.56079000898</v>
      </c>
      <c r="T93" s="738">
        <v>66.319999999999993</v>
      </c>
      <c r="U93" s="677">
        <f t="shared" si="12"/>
        <v>-301973.52959999995</v>
      </c>
      <c r="V93" s="739">
        <f t="shared" si="13"/>
        <v>-652886.03119000909</v>
      </c>
      <c r="W93" s="740">
        <v>66.319999999999993</v>
      </c>
      <c r="X93" s="678">
        <f t="shared" si="14"/>
        <v>-301973.52959999995</v>
      </c>
      <c r="Y93" s="700">
        <f t="shared" si="15"/>
        <v>-652886.03119000909</v>
      </c>
      <c r="Z93" s="740">
        <v>66.319999999999993</v>
      </c>
      <c r="AA93" s="678">
        <f t="shared" si="16"/>
        <v>-301973.52959999995</v>
      </c>
      <c r="AB93" s="741">
        <f t="shared" si="17"/>
        <v>-652886.03119000909</v>
      </c>
      <c r="AC93" s="714"/>
    </row>
    <row r="94" spans="1:29" ht="15" customHeight="1" x14ac:dyDescent="0.25">
      <c r="A94" s="713"/>
      <c r="B94" s="714" t="s">
        <v>462</v>
      </c>
      <c r="C94" s="676" t="s">
        <v>40</v>
      </c>
      <c r="D94" s="676" t="s">
        <v>405</v>
      </c>
      <c r="E94" s="680">
        <v>44774</v>
      </c>
      <c r="F94" s="676">
        <v>744</v>
      </c>
      <c r="G94" s="676" t="s">
        <v>58</v>
      </c>
      <c r="H94" s="676" t="s">
        <v>3</v>
      </c>
      <c r="I94" s="676" t="s">
        <v>44</v>
      </c>
      <c r="J94" s="676" t="s">
        <v>83</v>
      </c>
      <c r="K94" s="676">
        <v>188</v>
      </c>
      <c r="L94" s="690" t="s">
        <v>54</v>
      </c>
      <c r="M94" s="691">
        <v>6.12</v>
      </c>
      <c r="N94" s="690">
        <v>0</v>
      </c>
      <c r="O94" s="691">
        <v>209.70806996055788</v>
      </c>
      <c r="P94" s="690">
        <v>0</v>
      </c>
      <c r="Q94" s="738">
        <f t="shared" si="9"/>
        <v>954859.56079000898</v>
      </c>
      <c r="R94" s="677">
        <f t="shared" si="10"/>
        <v>0</v>
      </c>
      <c r="S94" s="739">
        <f t="shared" si="11"/>
        <v>-954859.56079000898</v>
      </c>
      <c r="T94" s="738">
        <v>76.900000000000006</v>
      </c>
      <c r="U94" s="677">
        <f t="shared" si="12"/>
        <v>-350147.23200000002</v>
      </c>
      <c r="V94" s="739">
        <f t="shared" si="13"/>
        <v>-604712.32879000902</v>
      </c>
      <c r="W94" s="740">
        <v>76.900000000000006</v>
      </c>
      <c r="X94" s="678">
        <f t="shared" si="14"/>
        <v>-350147.23200000002</v>
      </c>
      <c r="Y94" s="700">
        <f t="shared" si="15"/>
        <v>-604712.32879000902</v>
      </c>
      <c r="Z94" s="740">
        <v>76.900000000000006</v>
      </c>
      <c r="AA94" s="678">
        <f t="shared" si="16"/>
        <v>-350147.23200000002</v>
      </c>
      <c r="AB94" s="741">
        <f t="shared" si="17"/>
        <v>-604712.32879000902</v>
      </c>
      <c r="AC94" s="714"/>
    </row>
    <row r="95" spans="1:29" ht="15" customHeight="1" x14ac:dyDescent="0.25">
      <c r="A95" s="713"/>
      <c r="B95" s="714" t="s">
        <v>462</v>
      </c>
      <c r="C95" s="676" t="s">
        <v>40</v>
      </c>
      <c r="D95" s="676" t="s">
        <v>405</v>
      </c>
      <c r="E95" s="680">
        <v>44805</v>
      </c>
      <c r="F95" s="676">
        <v>720</v>
      </c>
      <c r="G95" s="676" t="s">
        <v>58</v>
      </c>
      <c r="H95" s="676" t="s">
        <v>3</v>
      </c>
      <c r="I95" s="676" t="s">
        <v>44</v>
      </c>
      <c r="J95" s="676" t="s">
        <v>83</v>
      </c>
      <c r="K95" s="676">
        <v>188</v>
      </c>
      <c r="L95" s="690" t="s">
        <v>54</v>
      </c>
      <c r="M95" s="691">
        <v>6.12</v>
      </c>
      <c r="N95" s="690">
        <v>0</v>
      </c>
      <c r="O95" s="691">
        <v>209.70806996055788</v>
      </c>
      <c r="P95" s="690">
        <v>0</v>
      </c>
      <c r="Q95" s="738">
        <f t="shared" si="9"/>
        <v>924057.63947420218</v>
      </c>
      <c r="R95" s="677">
        <f t="shared" si="10"/>
        <v>0</v>
      </c>
      <c r="S95" s="739">
        <f t="shared" si="11"/>
        <v>-924057.63947420218</v>
      </c>
      <c r="T95" s="738">
        <v>56.08</v>
      </c>
      <c r="U95" s="677">
        <f t="shared" si="12"/>
        <v>-247110.91199999998</v>
      </c>
      <c r="V95" s="739">
        <f t="shared" si="13"/>
        <v>-676946.72747420217</v>
      </c>
      <c r="W95" s="740">
        <v>56.08</v>
      </c>
      <c r="X95" s="678">
        <f t="shared" si="14"/>
        <v>-247110.91199999998</v>
      </c>
      <c r="Y95" s="700">
        <f t="shared" si="15"/>
        <v>-676946.72747420217</v>
      </c>
      <c r="Z95" s="740">
        <v>56.08</v>
      </c>
      <c r="AA95" s="678">
        <f t="shared" si="16"/>
        <v>-247110.91199999998</v>
      </c>
      <c r="AB95" s="741">
        <f t="shared" si="17"/>
        <v>-676946.72747420217</v>
      </c>
      <c r="AC95" s="714"/>
    </row>
    <row r="96" spans="1:29" ht="15" customHeight="1" x14ac:dyDescent="0.25">
      <c r="A96" s="713"/>
      <c r="B96" s="714" t="s">
        <v>462</v>
      </c>
      <c r="C96" s="676" t="s">
        <v>40</v>
      </c>
      <c r="D96" s="676" t="s">
        <v>405</v>
      </c>
      <c r="E96" s="680">
        <v>44835</v>
      </c>
      <c r="F96" s="676">
        <v>744</v>
      </c>
      <c r="G96" s="676" t="s">
        <v>58</v>
      </c>
      <c r="H96" s="676" t="s">
        <v>3</v>
      </c>
      <c r="I96" s="676" t="s">
        <v>44</v>
      </c>
      <c r="J96" s="676" t="s">
        <v>83</v>
      </c>
      <c r="K96" s="676">
        <v>188</v>
      </c>
      <c r="L96" s="690" t="s">
        <v>54</v>
      </c>
      <c r="M96" s="691">
        <v>6.12</v>
      </c>
      <c r="N96" s="690">
        <v>0</v>
      </c>
      <c r="O96" s="691">
        <v>209.70806996055788</v>
      </c>
      <c r="P96" s="690">
        <v>0</v>
      </c>
      <c r="Q96" s="738">
        <f t="shared" si="9"/>
        <v>954859.56079000898</v>
      </c>
      <c r="R96" s="677">
        <f t="shared" si="10"/>
        <v>0</v>
      </c>
      <c r="S96" s="739">
        <f t="shared" si="11"/>
        <v>-954859.56079000898</v>
      </c>
      <c r="T96" s="738">
        <v>55.7</v>
      </c>
      <c r="U96" s="677">
        <f t="shared" si="12"/>
        <v>-253617.696</v>
      </c>
      <c r="V96" s="739">
        <f t="shared" si="13"/>
        <v>-701241.86479000899</v>
      </c>
      <c r="W96" s="740">
        <v>55.7</v>
      </c>
      <c r="X96" s="678">
        <f t="shared" si="14"/>
        <v>-253617.696</v>
      </c>
      <c r="Y96" s="700">
        <f t="shared" si="15"/>
        <v>-701241.86479000899</v>
      </c>
      <c r="Z96" s="740">
        <v>55.7</v>
      </c>
      <c r="AA96" s="678">
        <f t="shared" si="16"/>
        <v>-253617.696</v>
      </c>
      <c r="AB96" s="741">
        <f t="shared" si="17"/>
        <v>-701241.86479000899</v>
      </c>
      <c r="AC96" s="714"/>
    </row>
    <row r="97" spans="1:29" ht="15" customHeight="1" x14ac:dyDescent="0.25">
      <c r="A97" s="713"/>
      <c r="B97" s="714" t="s">
        <v>462</v>
      </c>
      <c r="C97" s="676" t="s">
        <v>40</v>
      </c>
      <c r="D97" s="676" t="s">
        <v>405</v>
      </c>
      <c r="E97" s="680">
        <v>44866</v>
      </c>
      <c r="F97" s="676">
        <v>720</v>
      </c>
      <c r="G97" s="676" t="s">
        <v>58</v>
      </c>
      <c r="H97" s="676" t="s">
        <v>3</v>
      </c>
      <c r="I97" s="676" t="s">
        <v>44</v>
      </c>
      <c r="J97" s="676" t="s">
        <v>83</v>
      </c>
      <c r="K97" s="676">
        <v>188</v>
      </c>
      <c r="L97" s="690" t="s">
        <v>54</v>
      </c>
      <c r="M97" s="691">
        <v>6.12</v>
      </c>
      <c r="N97" s="690">
        <v>0</v>
      </c>
      <c r="O97" s="691">
        <v>209.70806996055788</v>
      </c>
      <c r="P97" s="690">
        <v>0</v>
      </c>
      <c r="Q97" s="738">
        <f t="shared" si="9"/>
        <v>924057.63947420218</v>
      </c>
      <c r="R97" s="677">
        <f t="shared" si="10"/>
        <v>0</v>
      </c>
      <c r="S97" s="739">
        <f t="shared" si="11"/>
        <v>-924057.63947420218</v>
      </c>
      <c r="T97" s="738">
        <v>55.7</v>
      </c>
      <c r="U97" s="677">
        <f t="shared" si="12"/>
        <v>-245436.47999999998</v>
      </c>
      <c r="V97" s="739">
        <f t="shared" si="13"/>
        <v>-678621.1594742022</v>
      </c>
      <c r="W97" s="740">
        <v>55.7</v>
      </c>
      <c r="X97" s="678">
        <f t="shared" si="14"/>
        <v>-245436.47999999998</v>
      </c>
      <c r="Y97" s="700">
        <f t="shared" si="15"/>
        <v>-678621.1594742022</v>
      </c>
      <c r="Z97" s="740">
        <v>55.7</v>
      </c>
      <c r="AA97" s="678">
        <f t="shared" si="16"/>
        <v>-245436.47999999998</v>
      </c>
      <c r="AB97" s="741">
        <f t="shared" si="17"/>
        <v>-678621.1594742022</v>
      </c>
      <c r="AC97" s="714"/>
    </row>
    <row r="98" spans="1:29" ht="15" customHeight="1" x14ac:dyDescent="0.25">
      <c r="A98" s="713"/>
      <c r="B98" s="729" t="s">
        <v>462</v>
      </c>
      <c r="C98" s="545" t="s">
        <v>40</v>
      </c>
      <c r="D98" s="545" t="s">
        <v>405</v>
      </c>
      <c r="E98" s="681">
        <v>44896</v>
      </c>
      <c r="F98" s="545">
        <v>744</v>
      </c>
      <c r="G98" s="545" t="s">
        <v>58</v>
      </c>
      <c r="H98" s="545" t="s">
        <v>3</v>
      </c>
      <c r="I98" s="545" t="s">
        <v>44</v>
      </c>
      <c r="J98" s="545" t="s">
        <v>83</v>
      </c>
      <c r="K98" s="545">
        <v>188</v>
      </c>
      <c r="L98" s="725" t="s">
        <v>54</v>
      </c>
      <c r="M98" s="695">
        <v>6.12</v>
      </c>
      <c r="N98" s="725">
        <v>0</v>
      </c>
      <c r="O98" s="695">
        <v>209.70806996055788</v>
      </c>
      <c r="P98" s="725">
        <v>0</v>
      </c>
      <c r="Q98" s="742">
        <f t="shared" si="9"/>
        <v>954859.56079000898</v>
      </c>
      <c r="R98" s="603">
        <f t="shared" si="10"/>
        <v>0</v>
      </c>
      <c r="S98" s="743">
        <f t="shared" si="11"/>
        <v>-954859.56079000898</v>
      </c>
      <c r="T98" s="742">
        <v>55.7</v>
      </c>
      <c r="U98" s="603">
        <f t="shared" si="12"/>
        <v>-253617.696</v>
      </c>
      <c r="V98" s="743">
        <f t="shared" si="13"/>
        <v>-701241.86479000899</v>
      </c>
      <c r="W98" s="744">
        <v>55.7</v>
      </c>
      <c r="X98" s="604">
        <f t="shared" si="14"/>
        <v>-253617.696</v>
      </c>
      <c r="Y98" s="701">
        <f t="shared" si="15"/>
        <v>-701241.86479000899</v>
      </c>
      <c r="Z98" s="744">
        <v>78.400653594793155</v>
      </c>
      <c r="AA98" s="604">
        <f t="shared" si="16"/>
        <v>-356980.12800009974</v>
      </c>
      <c r="AB98" s="745">
        <f t="shared" si="17"/>
        <v>-597879.43278990919</v>
      </c>
      <c r="AC98" s="714"/>
    </row>
    <row r="99" spans="1:29" ht="15" customHeight="1" x14ac:dyDescent="0.25">
      <c r="A99" s="713"/>
      <c r="B99" s="730" t="s">
        <v>650</v>
      </c>
      <c r="C99" s="546" t="s">
        <v>40</v>
      </c>
      <c r="D99" s="546" t="s">
        <v>409</v>
      </c>
      <c r="E99" s="682">
        <v>44562</v>
      </c>
      <c r="F99" s="546">
        <v>744</v>
      </c>
      <c r="G99" s="546" t="s">
        <v>58</v>
      </c>
      <c r="H99" s="546" t="s">
        <v>3</v>
      </c>
      <c r="I99" s="546" t="s">
        <v>44</v>
      </c>
      <c r="J99" s="546" t="s">
        <v>84</v>
      </c>
      <c r="K99" s="546">
        <v>220</v>
      </c>
      <c r="L99" s="726" t="s">
        <v>54</v>
      </c>
      <c r="M99" s="696">
        <v>3</v>
      </c>
      <c r="N99" s="726">
        <v>0</v>
      </c>
      <c r="O99" s="696">
        <v>237.26435841768401</v>
      </c>
      <c r="P99" s="726">
        <v>0</v>
      </c>
      <c r="Q99" s="746">
        <f t="shared" si="9"/>
        <v>529574.04798827076</v>
      </c>
      <c r="R99" s="606">
        <f t="shared" si="10"/>
        <v>0</v>
      </c>
      <c r="S99" s="747">
        <f t="shared" si="11"/>
        <v>-529574.04798827076</v>
      </c>
      <c r="T99" s="746">
        <v>62.91</v>
      </c>
      <c r="U99" s="606">
        <f t="shared" si="12"/>
        <v>-140415.12</v>
      </c>
      <c r="V99" s="747">
        <f t="shared" si="13"/>
        <v>-389158.92798827076</v>
      </c>
      <c r="W99" s="748">
        <v>62.91</v>
      </c>
      <c r="X99" s="607">
        <f t="shared" si="14"/>
        <v>-140415.12</v>
      </c>
      <c r="Y99" s="702">
        <f t="shared" si="15"/>
        <v>-389158.92798827076</v>
      </c>
      <c r="Z99" s="748">
        <v>62.91</v>
      </c>
      <c r="AA99" s="607">
        <f t="shared" si="16"/>
        <v>-140415.12</v>
      </c>
      <c r="AB99" s="749">
        <f t="shared" si="17"/>
        <v>-389158.92798827076</v>
      </c>
      <c r="AC99" s="714"/>
    </row>
    <row r="100" spans="1:29" ht="15" customHeight="1" x14ac:dyDescent="0.25">
      <c r="A100" s="713"/>
      <c r="B100" s="714" t="s">
        <v>650</v>
      </c>
      <c r="C100" s="676" t="s">
        <v>40</v>
      </c>
      <c r="D100" s="676" t="s">
        <v>409</v>
      </c>
      <c r="E100" s="680">
        <v>44593</v>
      </c>
      <c r="F100" s="676">
        <v>672</v>
      </c>
      <c r="G100" s="676" t="s">
        <v>58</v>
      </c>
      <c r="H100" s="676" t="s">
        <v>3</v>
      </c>
      <c r="I100" s="676" t="s">
        <v>44</v>
      </c>
      <c r="J100" s="676" t="s">
        <v>84</v>
      </c>
      <c r="K100" s="676">
        <v>220</v>
      </c>
      <c r="L100" s="690" t="s">
        <v>54</v>
      </c>
      <c r="M100" s="691">
        <v>3</v>
      </c>
      <c r="N100" s="690">
        <v>0</v>
      </c>
      <c r="O100" s="691">
        <v>237.26435841768401</v>
      </c>
      <c r="P100" s="690">
        <v>0</v>
      </c>
      <c r="Q100" s="738">
        <f t="shared" si="9"/>
        <v>478324.94657005096</v>
      </c>
      <c r="R100" s="677">
        <f t="shared" si="10"/>
        <v>0</v>
      </c>
      <c r="S100" s="739">
        <f t="shared" si="11"/>
        <v>-478324.94657005096</v>
      </c>
      <c r="T100" s="738">
        <v>55.7</v>
      </c>
      <c r="U100" s="677">
        <f t="shared" si="12"/>
        <v>-112291.20000000001</v>
      </c>
      <c r="V100" s="739">
        <f t="shared" si="13"/>
        <v>-366033.74657005095</v>
      </c>
      <c r="W100" s="740">
        <v>55.7</v>
      </c>
      <c r="X100" s="678">
        <f t="shared" si="14"/>
        <v>-112291.20000000001</v>
      </c>
      <c r="Y100" s="700">
        <f t="shared" si="15"/>
        <v>-366033.74657005095</v>
      </c>
      <c r="Z100" s="740">
        <v>55.7</v>
      </c>
      <c r="AA100" s="678">
        <f t="shared" si="16"/>
        <v>-112291.20000000001</v>
      </c>
      <c r="AB100" s="741">
        <f t="shared" si="17"/>
        <v>-366033.74657005095</v>
      </c>
      <c r="AC100" s="714"/>
    </row>
    <row r="101" spans="1:29" ht="15" customHeight="1" x14ac:dyDescent="0.25">
      <c r="A101" s="713"/>
      <c r="B101" s="714" t="s">
        <v>650</v>
      </c>
      <c r="C101" s="676" t="s">
        <v>40</v>
      </c>
      <c r="D101" s="676" t="s">
        <v>409</v>
      </c>
      <c r="E101" s="680">
        <v>44621</v>
      </c>
      <c r="F101" s="676">
        <v>744</v>
      </c>
      <c r="G101" s="676" t="s">
        <v>58</v>
      </c>
      <c r="H101" s="676" t="s">
        <v>3</v>
      </c>
      <c r="I101" s="676" t="s">
        <v>44</v>
      </c>
      <c r="J101" s="676" t="s">
        <v>84</v>
      </c>
      <c r="K101" s="676">
        <v>220</v>
      </c>
      <c r="L101" s="690" t="s">
        <v>54</v>
      </c>
      <c r="M101" s="691">
        <v>3</v>
      </c>
      <c r="N101" s="690">
        <v>0</v>
      </c>
      <c r="O101" s="691">
        <v>237.26435841768401</v>
      </c>
      <c r="P101" s="690">
        <v>0</v>
      </c>
      <c r="Q101" s="738">
        <f t="shared" si="9"/>
        <v>529574.04798827076</v>
      </c>
      <c r="R101" s="677">
        <f t="shared" si="10"/>
        <v>0</v>
      </c>
      <c r="S101" s="739">
        <f t="shared" si="11"/>
        <v>-529574.04798827076</v>
      </c>
      <c r="T101" s="738">
        <v>55.7</v>
      </c>
      <c r="U101" s="677">
        <f t="shared" si="12"/>
        <v>-124322.40000000001</v>
      </c>
      <c r="V101" s="739">
        <f t="shared" si="13"/>
        <v>-405251.64798827074</v>
      </c>
      <c r="W101" s="740">
        <v>55.7</v>
      </c>
      <c r="X101" s="678">
        <f t="shared" si="14"/>
        <v>-124322.40000000001</v>
      </c>
      <c r="Y101" s="700">
        <f t="shared" si="15"/>
        <v>-405251.64798827074</v>
      </c>
      <c r="Z101" s="740">
        <v>55.7</v>
      </c>
      <c r="AA101" s="678">
        <f t="shared" si="16"/>
        <v>-124322.40000000001</v>
      </c>
      <c r="AB101" s="741">
        <f t="shared" si="17"/>
        <v>-405251.64798827074</v>
      </c>
      <c r="AC101" s="714"/>
    </row>
    <row r="102" spans="1:29" ht="15" customHeight="1" x14ac:dyDescent="0.25">
      <c r="A102" s="713"/>
      <c r="B102" s="714" t="s">
        <v>650</v>
      </c>
      <c r="C102" s="676" t="s">
        <v>40</v>
      </c>
      <c r="D102" s="676" t="s">
        <v>409</v>
      </c>
      <c r="E102" s="680">
        <v>44652</v>
      </c>
      <c r="F102" s="676">
        <v>720</v>
      </c>
      <c r="G102" s="676" t="s">
        <v>58</v>
      </c>
      <c r="H102" s="676" t="s">
        <v>3</v>
      </c>
      <c r="I102" s="676" t="s">
        <v>44</v>
      </c>
      <c r="J102" s="676" t="s">
        <v>84</v>
      </c>
      <c r="K102" s="676">
        <v>220</v>
      </c>
      <c r="L102" s="690" t="s">
        <v>54</v>
      </c>
      <c r="M102" s="691">
        <v>3</v>
      </c>
      <c r="N102" s="690">
        <v>0</v>
      </c>
      <c r="O102" s="691">
        <v>237.26435841768401</v>
      </c>
      <c r="P102" s="690">
        <v>0</v>
      </c>
      <c r="Q102" s="738">
        <f t="shared" si="9"/>
        <v>512491.01418219745</v>
      </c>
      <c r="R102" s="677">
        <f t="shared" si="10"/>
        <v>0</v>
      </c>
      <c r="S102" s="739">
        <f t="shared" si="11"/>
        <v>-512491.01418219745</v>
      </c>
      <c r="T102" s="738">
        <v>55.7</v>
      </c>
      <c r="U102" s="677">
        <f t="shared" si="12"/>
        <v>-120312</v>
      </c>
      <c r="V102" s="739">
        <f t="shared" si="13"/>
        <v>-392179.01418219745</v>
      </c>
      <c r="W102" s="740">
        <v>55.7</v>
      </c>
      <c r="X102" s="678">
        <f t="shared" si="14"/>
        <v>-120312</v>
      </c>
      <c r="Y102" s="700">
        <f t="shared" si="15"/>
        <v>-392179.01418219745</v>
      </c>
      <c r="Z102" s="740">
        <v>55.7</v>
      </c>
      <c r="AA102" s="678">
        <f t="shared" si="16"/>
        <v>-120312</v>
      </c>
      <c r="AB102" s="741">
        <f t="shared" si="17"/>
        <v>-392179.01418219745</v>
      </c>
      <c r="AC102" s="714"/>
    </row>
    <row r="103" spans="1:29" ht="15" customHeight="1" x14ac:dyDescent="0.25">
      <c r="A103" s="713"/>
      <c r="B103" s="714" t="s">
        <v>650</v>
      </c>
      <c r="C103" s="676" t="s">
        <v>40</v>
      </c>
      <c r="D103" s="676" t="s">
        <v>409</v>
      </c>
      <c r="E103" s="680">
        <v>44682</v>
      </c>
      <c r="F103" s="676">
        <v>744</v>
      </c>
      <c r="G103" s="676" t="s">
        <v>58</v>
      </c>
      <c r="H103" s="676" t="s">
        <v>3</v>
      </c>
      <c r="I103" s="676" t="s">
        <v>44</v>
      </c>
      <c r="J103" s="676" t="s">
        <v>84</v>
      </c>
      <c r="K103" s="676">
        <v>220</v>
      </c>
      <c r="L103" s="690" t="s">
        <v>54</v>
      </c>
      <c r="M103" s="691">
        <v>3</v>
      </c>
      <c r="N103" s="690">
        <v>0</v>
      </c>
      <c r="O103" s="691">
        <v>237.26435841768401</v>
      </c>
      <c r="P103" s="690">
        <v>0</v>
      </c>
      <c r="Q103" s="738">
        <f t="shared" si="9"/>
        <v>529574.04798827076</v>
      </c>
      <c r="R103" s="677">
        <f t="shared" si="10"/>
        <v>0</v>
      </c>
      <c r="S103" s="739">
        <f t="shared" si="11"/>
        <v>-529574.04798827076</v>
      </c>
      <c r="T103" s="738">
        <v>55.7</v>
      </c>
      <c r="U103" s="677">
        <f t="shared" si="12"/>
        <v>-124322.40000000001</v>
      </c>
      <c r="V103" s="739">
        <f t="shared" si="13"/>
        <v>-405251.64798827074</v>
      </c>
      <c r="W103" s="740">
        <v>55.7</v>
      </c>
      <c r="X103" s="678">
        <f t="shared" si="14"/>
        <v>-124322.40000000001</v>
      </c>
      <c r="Y103" s="700">
        <f t="shared" si="15"/>
        <v>-405251.64798827074</v>
      </c>
      <c r="Z103" s="740">
        <v>55.7</v>
      </c>
      <c r="AA103" s="678">
        <f t="shared" si="16"/>
        <v>-124322.40000000001</v>
      </c>
      <c r="AB103" s="741">
        <f t="shared" si="17"/>
        <v>-405251.64798827074</v>
      </c>
      <c r="AC103" s="714"/>
    </row>
    <row r="104" spans="1:29" ht="15" customHeight="1" x14ac:dyDescent="0.25">
      <c r="A104" s="713"/>
      <c r="B104" s="714" t="s">
        <v>650</v>
      </c>
      <c r="C104" s="676" t="s">
        <v>40</v>
      </c>
      <c r="D104" s="676" t="s">
        <v>409</v>
      </c>
      <c r="E104" s="680">
        <v>44713</v>
      </c>
      <c r="F104" s="676">
        <v>720</v>
      </c>
      <c r="G104" s="676" t="s">
        <v>58</v>
      </c>
      <c r="H104" s="676" t="s">
        <v>3</v>
      </c>
      <c r="I104" s="676" t="s">
        <v>44</v>
      </c>
      <c r="J104" s="676" t="s">
        <v>84</v>
      </c>
      <c r="K104" s="676">
        <v>220</v>
      </c>
      <c r="L104" s="690" t="s">
        <v>54</v>
      </c>
      <c r="M104" s="691">
        <v>3</v>
      </c>
      <c r="N104" s="690">
        <v>0</v>
      </c>
      <c r="O104" s="691">
        <v>237.26435841768401</v>
      </c>
      <c r="P104" s="690">
        <v>0</v>
      </c>
      <c r="Q104" s="738">
        <f t="shared" si="9"/>
        <v>512491.01418219745</v>
      </c>
      <c r="R104" s="677">
        <f t="shared" si="10"/>
        <v>0</v>
      </c>
      <c r="S104" s="739">
        <f t="shared" si="11"/>
        <v>-512491.01418219745</v>
      </c>
      <c r="T104" s="738">
        <v>55.71</v>
      </c>
      <c r="U104" s="677">
        <f t="shared" si="12"/>
        <v>-120333.6</v>
      </c>
      <c r="V104" s="739">
        <f t="shared" si="13"/>
        <v>-392157.41418219742</v>
      </c>
      <c r="W104" s="740">
        <v>55.71</v>
      </c>
      <c r="X104" s="678">
        <f t="shared" si="14"/>
        <v>-120333.6</v>
      </c>
      <c r="Y104" s="700">
        <f t="shared" si="15"/>
        <v>-392157.41418219742</v>
      </c>
      <c r="Z104" s="740">
        <v>55.71</v>
      </c>
      <c r="AA104" s="678">
        <f t="shared" si="16"/>
        <v>-120333.6</v>
      </c>
      <c r="AB104" s="741">
        <f t="shared" si="17"/>
        <v>-392157.41418219742</v>
      </c>
      <c r="AC104" s="714"/>
    </row>
    <row r="105" spans="1:29" ht="15" customHeight="1" x14ac:dyDescent="0.25">
      <c r="A105" s="713"/>
      <c r="B105" s="714" t="s">
        <v>650</v>
      </c>
      <c r="C105" s="676" t="s">
        <v>40</v>
      </c>
      <c r="D105" s="676" t="s">
        <v>409</v>
      </c>
      <c r="E105" s="680">
        <v>44743</v>
      </c>
      <c r="F105" s="676">
        <v>744</v>
      </c>
      <c r="G105" s="676" t="s">
        <v>58</v>
      </c>
      <c r="H105" s="676" t="s">
        <v>3</v>
      </c>
      <c r="I105" s="676" t="s">
        <v>44</v>
      </c>
      <c r="J105" s="676" t="s">
        <v>84</v>
      </c>
      <c r="K105" s="676">
        <v>220</v>
      </c>
      <c r="L105" s="690" t="s">
        <v>54</v>
      </c>
      <c r="M105" s="691">
        <v>3</v>
      </c>
      <c r="N105" s="690">
        <v>0</v>
      </c>
      <c r="O105" s="691">
        <v>237.26435841768401</v>
      </c>
      <c r="P105" s="690">
        <v>0</v>
      </c>
      <c r="Q105" s="738">
        <f t="shared" si="9"/>
        <v>529574.04798827076</v>
      </c>
      <c r="R105" s="677">
        <f t="shared" si="10"/>
        <v>0</v>
      </c>
      <c r="S105" s="739">
        <f t="shared" si="11"/>
        <v>-529574.04798827076</v>
      </c>
      <c r="T105" s="738">
        <v>66.319999999999993</v>
      </c>
      <c r="U105" s="677">
        <f t="shared" si="12"/>
        <v>-148026.23999999999</v>
      </c>
      <c r="V105" s="739">
        <f t="shared" si="13"/>
        <v>-381547.80798827077</v>
      </c>
      <c r="W105" s="740">
        <v>66.319999999999993</v>
      </c>
      <c r="X105" s="678">
        <f t="shared" si="14"/>
        <v>-148026.23999999999</v>
      </c>
      <c r="Y105" s="700">
        <f t="shared" si="15"/>
        <v>-381547.80798827077</v>
      </c>
      <c r="Z105" s="740">
        <v>66.319999999999993</v>
      </c>
      <c r="AA105" s="678">
        <f t="shared" si="16"/>
        <v>-148026.23999999999</v>
      </c>
      <c r="AB105" s="741">
        <f t="shared" si="17"/>
        <v>-381547.80798827077</v>
      </c>
      <c r="AC105" s="714"/>
    </row>
    <row r="106" spans="1:29" ht="15" customHeight="1" x14ac:dyDescent="0.25">
      <c r="A106" s="713"/>
      <c r="B106" s="714" t="s">
        <v>650</v>
      </c>
      <c r="C106" s="676" t="s">
        <v>40</v>
      </c>
      <c r="D106" s="676" t="s">
        <v>409</v>
      </c>
      <c r="E106" s="680">
        <v>44774</v>
      </c>
      <c r="F106" s="676">
        <v>744</v>
      </c>
      <c r="G106" s="676" t="s">
        <v>58</v>
      </c>
      <c r="H106" s="676" t="s">
        <v>3</v>
      </c>
      <c r="I106" s="676" t="s">
        <v>44</v>
      </c>
      <c r="J106" s="676" t="s">
        <v>84</v>
      </c>
      <c r="K106" s="676">
        <v>220</v>
      </c>
      <c r="L106" s="690" t="s">
        <v>54</v>
      </c>
      <c r="M106" s="691">
        <v>3</v>
      </c>
      <c r="N106" s="690">
        <v>0</v>
      </c>
      <c r="O106" s="691">
        <v>237.26435841768401</v>
      </c>
      <c r="P106" s="690">
        <v>0</v>
      </c>
      <c r="Q106" s="738">
        <f t="shared" si="9"/>
        <v>529574.04798827076</v>
      </c>
      <c r="R106" s="677">
        <f t="shared" si="10"/>
        <v>0</v>
      </c>
      <c r="S106" s="739">
        <f t="shared" si="11"/>
        <v>-529574.04798827076</v>
      </c>
      <c r="T106" s="738">
        <v>76.900000000000006</v>
      </c>
      <c r="U106" s="677">
        <f t="shared" si="12"/>
        <v>-171640.80000000002</v>
      </c>
      <c r="V106" s="739">
        <f t="shared" si="13"/>
        <v>-357933.24798827071</v>
      </c>
      <c r="W106" s="740">
        <v>76.900000000000006</v>
      </c>
      <c r="X106" s="678">
        <f t="shared" si="14"/>
        <v>-171640.80000000002</v>
      </c>
      <c r="Y106" s="700">
        <f t="shared" si="15"/>
        <v>-357933.24798827071</v>
      </c>
      <c r="Z106" s="740">
        <v>76.900000000000006</v>
      </c>
      <c r="AA106" s="678">
        <f t="shared" si="16"/>
        <v>-171640.80000000002</v>
      </c>
      <c r="AB106" s="741">
        <f t="shared" si="17"/>
        <v>-357933.24798827071</v>
      </c>
      <c r="AC106" s="714"/>
    </row>
    <row r="107" spans="1:29" ht="15" customHeight="1" x14ac:dyDescent="0.25">
      <c r="A107" s="713"/>
      <c r="B107" s="714" t="s">
        <v>650</v>
      </c>
      <c r="C107" s="676" t="s">
        <v>40</v>
      </c>
      <c r="D107" s="676" t="s">
        <v>409</v>
      </c>
      <c r="E107" s="680">
        <v>44805</v>
      </c>
      <c r="F107" s="676">
        <v>720</v>
      </c>
      <c r="G107" s="676" t="s">
        <v>58</v>
      </c>
      <c r="H107" s="676" t="s">
        <v>3</v>
      </c>
      <c r="I107" s="676" t="s">
        <v>44</v>
      </c>
      <c r="J107" s="676" t="s">
        <v>84</v>
      </c>
      <c r="K107" s="676">
        <v>220</v>
      </c>
      <c r="L107" s="690" t="s">
        <v>54</v>
      </c>
      <c r="M107" s="691">
        <v>3</v>
      </c>
      <c r="N107" s="690">
        <v>0</v>
      </c>
      <c r="O107" s="691">
        <v>237.26435841768401</v>
      </c>
      <c r="P107" s="690">
        <v>0</v>
      </c>
      <c r="Q107" s="738">
        <f t="shared" si="9"/>
        <v>512491.01418219745</v>
      </c>
      <c r="R107" s="677">
        <f t="shared" si="10"/>
        <v>0</v>
      </c>
      <c r="S107" s="739">
        <f t="shared" si="11"/>
        <v>-512491.01418219745</v>
      </c>
      <c r="T107" s="738">
        <v>56.08</v>
      </c>
      <c r="U107" s="677">
        <f t="shared" si="12"/>
        <v>-121132.8</v>
      </c>
      <c r="V107" s="739">
        <f t="shared" si="13"/>
        <v>-391358.21418219747</v>
      </c>
      <c r="W107" s="740">
        <v>56.08</v>
      </c>
      <c r="X107" s="678">
        <f t="shared" si="14"/>
        <v>-121132.8</v>
      </c>
      <c r="Y107" s="700">
        <f t="shared" si="15"/>
        <v>-391358.21418219747</v>
      </c>
      <c r="Z107" s="740">
        <v>56.08</v>
      </c>
      <c r="AA107" s="678">
        <f t="shared" si="16"/>
        <v>-121132.8</v>
      </c>
      <c r="AB107" s="741">
        <f t="shared" si="17"/>
        <v>-391358.21418219747</v>
      </c>
      <c r="AC107" s="714"/>
    </row>
    <row r="108" spans="1:29" ht="15" customHeight="1" x14ac:dyDescent="0.25">
      <c r="A108" s="713"/>
      <c r="B108" s="714" t="s">
        <v>650</v>
      </c>
      <c r="C108" s="676" t="s">
        <v>40</v>
      </c>
      <c r="D108" s="676" t="s">
        <v>409</v>
      </c>
      <c r="E108" s="680">
        <v>44835</v>
      </c>
      <c r="F108" s="676">
        <v>744</v>
      </c>
      <c r="G108" s="676" t="s">
        <v>58</v>
      </c>
      <c r="H108" s="676" t="s">
        <v>3</v>
      </c>
      <c r="I108" s="676" t="s">
        <v>44</v>
      </c>
      <c r="J108" s="676" t="s">
        <v>84</v>
      </c>
      <c r="K108" s="676">
        <v>220</v>
      </c>
      <c r="L108" s="690" t="s">
        <v>54</v>
      </c>
      <c r="M108" s="691">
        <v>3</v>
      </c>
      <c r="N108" s="690">
        <v>0</v>
      </c>
      <c r="O108" s="691">
        <v>237.26435841768401</v>
      </c>
      <c r="P108" s="690">
        <v>0</v>
      </c>
      <c r="Q108" s="738">
        <f t="shared" si="9"/>
        <v>529574.04798827076</v>
      </c>
      <c r="R108" s="677">
        <f t="shared" si="10"/>
        <v>0</v>
      </c>
      <c r="S108" s="739">
        <f t="shared" si="11"/>
        <v>-529574.04798827076</v>
      </c>
      <c r="T108" s="738">
        <v>55.7</v>
      </c>
      <c r="U108" s="677">
        <f t="shared" si="12"/>
        <v>-124322.40000000001</v>
      </c>
      <c r="V108" s="739">
        <f t="shared" si="13"/>
        <v>-405251.64798827074</v>
      </c>
      <c r="W108" s="740">
        <v>55.7</v>
      </c>
      <c r="X108" s="678">
        <f t="shared" si="14"/>
        <v>-124322.40000000001</v>
      </c>
      <c r="Y108" s="700">
        <f t="shared" si="15"/>
        <v>-405251.64798827074</v>
      </c>
      <c r="Z108" s="740">
        <v>55.7</v>
      </c>
      <c r="AA108" s="678">
        <f t="shared" si="16"/>
        <v>-124322.40000000001</v>
      </c>
      <c r="AB108" s="741">
        <f t="shared" si="17"/>
        <v>-405251.64798827074</v>
      </c>
      <c r="AC108" s="714"/>
    </row>
    <row r="109" spans="1:29" ht="15" customHeight="1" x14ac:dyDescent="0.25">
      <c r="A109" s="713"/>
      <c r="B109" s="714" t="s">
        <v>650</v>
      </c>
      <c r="C109" s="676" t="s">
        <v>40</v>
      </c>
      <c r="D109" s="676" t="s">
        <v>409</v>
      </c>
      <c r="E109" s="680">
        <v>44866</v>
      </c>
      <c r="F109" s="676">
        <v>720</v>
      </c>
      <c r="G109" s="676" t="s">
        <v>58</v>
      </c>
      <c r="H109" s="676" t="s">
        <v>3</v>
      </c>
      <c r="I109" s="676" t="s">
        <v>44</v>
      </c>
      <c r="J109" s="676" t="s">
        <v>84</v>
      </c>
      <c r="K109" s="676">
        <v>220</v>
      </c>
      <c r="L109" s="690" t="s">
        <v>54</v>
      </c>
      <c r="M109" s="691">
        <v>3</v>
      </c>
      <c r="N109" s="690">
        <v>0</v>
      </c>
      <c r="O109" s="691">
        <v>237.26435841768401</v>
      </c>
      <c r="P109" s="690">
        <v>0</v>
      </c>
      <c r="Q109" s="738">
        <f t="shared" si="9"/>
        <v>512491.01418219745</v>
      </c>
      <c r="R109" s="677">
        <f t="shared" si="10"/>
        <v>0</v>
      </c>
      <c r="S109" s="739">
        <f t="shared" si="11"/>
        <v>-512491.01418219745</v>
      </c>
      <c r="T109" s="738">
        <v>55.7</v>
      </c>
      <c r="U109" s="677">
        <f t="shared" si="12"/>
        <v>-120312</v>
      </c>
      <c r="V109" s="739">
        <f t="shared" si="13"/>
        <v>-392179.01418219745</v>
      </c>
      <c r="W109" s="740">
        <v>55.7</v>
      </c>
      <c r="X109" s="678">
        <f t="shared" si="14"/>
        <v>-120312</v>
      </c>
      <c r="Y109" s="700">
        <f t="shared" si="15"/>
        <v>-392179.01418219745</v>
      </c>
      <c r="Z109" s="740">
        <v>55.7</v>
      </c>
      <c r="AA109" s="678">
        <f t="shared" si="16"/>
        <v>-120312</v>
      </c>
      <c r="AB109" s="741">
        <f t="shared" si="17"/>
        <v>-392179.01418219745</v>
      </c>
      <c r="AC109" s="714"/>
    </row>
    <row r="110" spans="1:29" ht="15" customHeight="1" x14ac:dyDescent="0.25">
      <c r="A110" s="713"/>
      <c r="B110" s="729" t="s">
        <v>650</v>
      </c>
      <c r="C110" s="545" t="s">
        <v>40</v>
      </c>
      <c r="D110" s="545" t="s">
        <v>409</v>
      </c>
      <c r="E110" s="681">
        <v>44896</v>
      </c>
      <c r="F110" s="545">
        <v>744</v>
      </c>
      <c r="G110" s="545" t="s">
        <v>58</v>
      </c>
      <c r="H110" s="545" t="s">
        <v>3</v>
      </c>
      <c r="I110" s="545" t="s">
        <v>44</v>
      </c>
      <c r="J110" s="545" t="s">
        <v>84</v>
      </c>
      <c r="K110" s="545">
        <v>220</v>
      </c>
      <c r="L110" s="725" t="s">
        <v>54</v>
      </c>
      <c r="M110" s="695">
        <v>3</v>
      </c>
      <c r="N110" s="725">
        <v>0</v>
      </c>
      <c r="O110" s="695">
        <v>237.26435841768401</v>
      </c>
      <c r="P110" s="725">
        <v>0</v>
      </c>
      <c r="Q110" s="742">
        <f t="shared" si="9"/>
        <v>529574.04798827076</v>
      </c>
      <c r="R110" s="603">
        <f t="shared" si="10"/>
        <v>0</v>
      </c>
      <c r="S110" s="743">
        <f t="shared" si="11"/>
        <v>-529574.04798827076</v>
      </c>
      <c r="T110" s="742">
        <v>55.7</v>
      </c>
      <c r="U110" s="603">
        <f t="shared" si="12"/>
        <v>-124322.40000000001</v>
      </c>
      <c r="V110" s="743">
        <f t="shared" si="13"/>
        <v>-405251.64798827074</v>
      </c>
      <c r="W110" s="744">
        <v>55.7</v>
      </c>
      <c r="X110" s="604">
        <f t="shared" si="14"/>
        <v>-124322.40000000001</v>
      </c>
      <c r="Y110" s="701">
        <f t="shared" si="15"/>
        <v>-405251.64798827074</v>
      </c>
      <c r="Z110" s="744">
        <v>78.400653594793155</v>
      </c>
      <c r="AA110" s="604">
        <f t="shared" si="16"/>
        <v>-174990.25882357833</v>
      </c>
      <c r="AB110" s="745">
        <f t="shared" si="17"/>
        <v>-354583.7891646924</v>
      </c>
      <c r="AC110" s="714"/>
    </row>
    <row r="111" spans="1:29" ht="15" customHeight="1" x14ac:dyDescent="0.25">
      <c r="A111" s="713"/>
      <c r="B111" s="730" t="s">
        <v>651</v>
      </c>
      <c r="C111" s="546" t="s">
        <v>40</v>
      </c>
      <c r="D111" s="546" t="s">
        <v>471</v>
      </c>
      <c r="E111" s="682">
        <v>44562</v>
      </c>
      <c r="F111" s="546">
        <v>744</v>
      </c>
      <c r="G111" s="546" t="s">
        <v>58</v>
      </c>
      <c r="H111" s="546" t="s">
        <v>3</v>
      </c>
      <c r="I111" s="546" t="s">
        <v>44</v>
      </c>
      <c r="J111" s="546" t="s">
        <v>84</v>
      </c>
      <c r="K111" s="546">
        <v>223</v>
      </c>
      <c r="L111" s="726" t="s">
        <v>54</v>
      </c>
      <c r="M111" s="696">
        <v>2</v>
      </c>
      <c r="N111" s="726">
        <v>0</v>
      </c>
      <c r="O111" s="696">
        <v>240.49978148701607</v>
      </c>
      <c r="P111" s="726">
        <v>0</v>
      </c>
      <c r="Q111" s="746">
        <f t="shared" si="9"/>
        <v>357863.67485267989</v>
      </c>
      <c r="R111" s="606">
        <f t="shared" si="10"/>
        <v>0</v>
      </c>
      <c r="S111" s="747">
        <f t="shared" si="11"/>
        <v>-357863.67485267989</v>
      </c>
      <c r="T111" s="746">
        <v>62.91</v>
      </c>
      <c r="U111" s="606">
        <f t="shared" si="12"/>
        <v>-93610.08</v>
      </c>
      <c r="V111" s="747">
        <f t="shared" si="13"/>
        <v>-264253.59485267987</v>
      </c>
      <c r="W111" s="748">
        <v>62.91</v>
      </c>
      <c r="X111" s="607">
        <f t="shared" si="14"/>
        <v>-93610.08</v>
      </c>
      <c r="Y111" s="702">
        <f t="shared" si="15"/>
        <v>-264253.59485267987</v>
      </c>
      <c r="Z111" s="748">
        <v>62.91</v>
      </c>
      <c r="AA111" s="607">
        <f t="shared" si="16"/>
        <v>-93610.08</v>
      </c>
      <c r="AB111" s="749">
        <f t="shared" si="17"/>
        <v>-264253.59485267987</v>
      </c>
      <c r="AC111" s="714"/>
    </row>
    <row r="112" spans="1:29" ht="15" customHeight="1" x14ac:dyDescent="0.25">
      <c r="A112" s="713"/>
      <c r="B112" s="714" t="s">
        <v>651</v>
      </c>
      <c r="C112" s="676" t="s">
        <v>40</v>
      </c>
      <c r="D112" s="676" t="s">
        <v>471</v>
      </c>
      <c r="E112" s="680">
        <v>44593</v>
      </c>
      <c r="F112" s="676">
        <v>672</v>
      </c>
      <c r="G112" s="676" t="s">
        <v>58</v>
      </c>
      <c r="H112" s="676" t="s">
        <v>3</v>
      </c>
      <c r="I112" s="676" t="s">
        <v>44</v>
      </c>
      <c r="J112" s="676" t="s">
        <v>84</v>
      </c>
      <c r="K112" s="676">
        <v>223</v>
      </c>
      <c r="L112" s="690" t="s">
        <v>54</v>
      </c>
      <c r="M112" s="691">
        <v>2</v>
      </c>
      <c r="N112" s="690">
        <v>0</v>
      </c>
      <c r="O112" s="691">
        <v>240.49978148701607</v>
      </c>
      <c r="P112" s="690">
        <v>0</v>
      </c>
      <c r="Q112" s="738">
        <f t="shared" si="9"/>
        <v>323231.70631854958</v>
      </c>
      <c r="R112" s="677">
        <f t="shared" si="10"/>
        <v>0</v>
      </c>
      <c r="S112" s="739">
        <f t="shared" si="11"/>
        <v>-323231.70631854958</v>
      </c>
      <c r="T112" s="738">
        <v>55.7</v>
      </c>
      <c r="U112" s="677">
        <f t="shared" si="12"/>
        <v>-74860.800000000003</v>
      </c>
      <c r="V112" s="739">
        <f t="shared" si="13"/>
        <v>-248370.90631854959</v>
      </c>
      <c r="W112" s="740">
        <v>55.7</v>
      </c>
      <c r="X112" s="678">
        <f t="shared" si="14"/>
        <v>-74860.800000000003</v>
      </c>
      <c r="Y112" s="700">
        <f t="shared" si="15"/>
        <v>-248370.90631854959</v>
      </c>
      <c r="Z112" s="740">
        <v>55.7</v>
      </c>
      <c r="AA112" s="678">
        <f t="shared" si="16"/>
        <v>-74860.800000000003</v>
      </c>
      <c r="AB112" s="741">
        <f t="shared" si="17"/>
        <v>-248370.90631854959</v>
      </c>
      <c r="AC112" s="714"/>
    </row>
    <row r="113" spans="1:29" ht="15" customHeight="1" x14ac:dyDescent="0.25">
      <c r="A113" s="713"/>
      <c r="B113" s="714" t="s">
        <v>651</v>
      </c>
      <c r="C113" s="676" t="s">
        <v>40</v>
      </c>
      <c r="D113" s="676" t="s">
        <v>471</v>
      </c>
      <c r="E113" s="680">
        <v>44621</v>
      </c>
      <c r="F113" s="676">
        <v>744</v>
      </c>
      <c r="G113" s="676" t="s">
        <v>58</v>
      </c>
      <c r="H113" s="676" t="s">
        <v>3</v>
      </c>
      <c r="I113" s="676" t="s">
        <v>44</v>
      </c>
      <c r="J113" s="676" t="s">
        <v>84</v>
      </c>
      <c r="K113" s="676">
        <v>223</v>
      </c>
      <c r="L113" s="690" t="s">
        <v>54</v>
      </c>
      <c r="M113" s="691">
        <v>2</v>
      </c>
      <c r="N113" s="690">
        <v>0</v>
      </c>
      <c r="O113" s="691">
        <v>240.49978148701607</v>
      </c>
      <c r="P113" s="690">
        <v>0</v>
      </c>
      <c r="Q113" s="738">
        <f t="shared" si="9"/>
        <v>357863.67485267989</v>
      </c>
      <c r="R113" s="677">
        <f t="shared" si="10"/>
        <v>0</v>
      </c>
      <c r="S113" s="739">
        <f t="shared" si="11"/>
        <v>-357863.67485267989</v>
      </c>
      <c r="T113" s="738">
        <v>55.7</v>
      </c>
      <c r="U113" s="677">
        <f t="shared" si="12"/>
        <v>-82881.600000000006</v>
      </c>
      <c r="V113" s="739">
        <f t="shared" si="13"/>
        <v>-274982.07485267986</v>
      </c>
      <c r="W113" s="740">
        <v>55.7</v>
      </c>
      <c r="X113" s="678">
        <f t="shared" si="14"/>
        <v>-82881.600000000006</v>
      </c>
      <c r="Y113" s="700">
        <f t="shared" si="15"/>
        <v>-274982.07485267986</v>
      </c>
      <c r="Z113" s="740">
        <v>55.7</v>
      </c>
      <c r="AA113" s="678">
        <f t="shared" si="16"/>
        <v>-82881.600000000006</v>
      </c>
      <c r="AB113" s="741">
        <f t="shared" si="17"/>
        <v>-274982.07485267986</v>
      </c>
      <c r="AC113" s="714"/>
    </row>
    <row r="114" spans="1:29" ht="15" customHeight="1" x14ac:dyDescent="0.25">
      <c r="A114" s="713"/>
      <c r="B114" s="714" t="s">
        <v>651</v>
      </c>
      <c r="C114" s="676" t="s">
        <v>40</v>
      </c>
      <c r="D114" s="676" t="s">
        <v>471</v>
      </c>
      <c r="E114" s="680">
        <v>44652</v>
      </c>
      <c r="F114" s="676">
        <v>720</v>
      </c>
      <c r="G114" s="676" t="s">
        <v>58</v>
      </c>
      <c r="H114" s="676" t="s">
        <v>3</v>
      </c>
      <c r="I114" s="676" t="s">
        <v>44</v>
      </c>
      <c r="J114" s="676" t="s">
        <v>84</v>
      </c>
      <c r="K114" s="676">
        <v>223</v>
      </c>
      <c r="L114" s="690" t="s">
        <v>54</v>
      </c>
      <c r="M114" s="691">
        <v>2</v>
      </c>
      <c r="N114" s="690">
        <v>0</v>
      </c>
      <c r="O114" s="691">
        <v>240.49978148701607</v>
      </c>
      <c r="P114" s="690">
        <v>0</v>
      </c>
      <c r="Q114" s="738">
        <f t="shared" si="9"/>
        <v>346319.68534130312</v>
      </c>
      <c r="R114" s="677">
        <f t="shared" si="10"/>
        <v>0</v>
      </c>
      <c r="S114" s="739">
        <f t="shared" si="11"/>
        <v>-346319.68534130312</v>
      </c>
      <c r="T114" s="738">
        <v>55.7</v>
      </c>
      <c r="U114" s="677">
        <f t="shared" si="12"/>
        <v>-80208</v>
      </c>
      <c r="V114" s="739">
        <f t="shared" si="13"/>
        <v>-266111.68534130312</v>
      </c>
      <c r="W114" s="740">
        <v>55.7</v>
      </c>
      <c r="X114" s="678">
        <f t="shared" si="14"/>
        <v>-80208</v>
      </c>
      <c r="Y114" s="700">
        <f t="shared" si="15"/>
        <v>-266111.68534130312</v>
      </c>
      <c r="Z114" s="740">
        <v>55.7</v>
      </c>
      <c r="AA114" s="678">
        <f t="shared" si="16"/>
        <v>-80208</v>
      </c>
      <c r="AB114" s="741">
        <f t="shared" si="17"/>
        <v>-266111.68534130312</v>
      </c>
      <c r="AC114" s="714"/>
    </row>
    <row r="115" spans="1:29" ht="15" customHeight="1" x14ac:dyDescent="0.25">
      <c r="A115" s="713"/>
      <c r="B115" s="714" t="s">
        <v>651</v>
      </c>
      <c r="C115" s="676" t="s">
        <v>40</v>
      </c>
      <c r="D115" s="676" t="s">
        <v>471</v>
      </c>
      <c r="E115" s="680">
        <v>44682</v>
      </c>
      <c r="F115" s="676">
        <v>744</v>
      </c>
      <c r="G115" s="676" t="s">
        <v>58</v>
      </c>
      <c r="H115" s="676" t="s">
        <v>3</v>
      </c>
      <c r="I115" s="676" t="s">
        <v>44</v>
      </c>
      <c r="J115" s="676" t="s">
        <v>84</v>
      </c>
      <c r="K115" s="676">
        <v>223</v>
      </c>
      <c r="L115" s="690" t="s">
        <v>54</v>
      </c>
      <c r="M115" s="691">
        <v>2</v>
      </c>
      <c r="N115" s="690">
        <v>0</v>
      </c>
      <c r="O115" s="691">
        <v>240.49978148701607</v>
      </c>
      <c r="P115" s="690">
        <v>0</v>
      </c>
      <c r="Q115" s="738">
        <f t="shared" si="9"/>
        <v>357863.67485267989</v>
      </c>
      <c r="R115" s="677">
        <f t="shared" si="10"/>
        <v>0</v>
      </c>
      <c r="S115" s="739">
        <f t="shared" si="11"/>
        <v>-357863.67485267989</v>
      </c>
      <c r="T115" s="738">
        <v>55.7</v>
      </c>
      <c r="U115" s="677">
        <f t="shared" si="12"/>
        <v>-82881.600000000006</v>
      </c>
      <c r="V115" s="739">
        <f t="shared" si="13"/>
        <v>-274982.07485267986</v>
      </c>
      <c r="W115" s="740">
        <v>55.7</v>
      </c>
      <c r="X115" s="678">
        <f t="shared" si="14"/>
        <v>-82881.600000000006</v>
      </c>
      <c r="Y115" s="700">
        <f t="shared" si="15"/>
        <v>-274982.07485267986</v>
      </c>
      <c r="Z115" s="740">
        <v>55.7</v>
      </c>
      <c r="AA115" s="678">
        <f t="shared" si="16"/>
        <v>-82881.600000000006</v>
      </c>
      <c r="AB115" s="741">
        <f t="shared" si="17"/>
        <v>-274982.07485267986</v>
      </c>
      <c r="AC115" s="714"/>
    </row>
    <row r="116" spans="1:29" ht="15" customHeight="1" x14ac:dyDescent="0.25">
      <c r="A116" s="713"/>
      <c r="B116" s="714" t="s">
        <v>651</v>
      </c>
      <c r="C116" s="676" t="s">
        <v>40</v>
      </c>
      <c r="D116" s="676" t="s">
        <v>471</v>
      </c>
      <c r="E116" s="680">
        <v>44713</v>
      </c>
      <c r="F116" s="676">
        <v>720</v>
      </c>
      <c r="G116" s="676" t="s">
        <v>58</v>
      </c>
      <c r="H116" s="676" t="s">
        <v>3</v>
      </c>
      <c r="I116" s="676" t="s">
        <v>44</v>
      </c>
      <c r="J116" s="676" t="s">
        <v>84</v>
      </c>
      <c r="K116" s="676">
        <v>223</v>
      </c>
      <c r="L116" s="690" t="s">
        <v>54</v>
      </c>
      <c r="M116" s="691">
        <v>2</v>
      </c>
      <c r="N116" s="690">
        <v>0</v>
      </c>
      <c r="O116" s="691">
        <v>240.49978148701607</v>
      </c>
      <c r="P116" s="690">
        <v>0</v>
      </c>
      <c r="Q116" s="738">
        <f t="shared" si="9"/>
        <v>346319.68534130312</v>
      </c>
      <c r="R116" s="677">
        <f t="shared" si="10"/>
        <v>0</v>
      </c>
      <c r="S116" s="739">
        <f t="shared" si="11"/>
        <v>-346319.68534130312</v>
      </c>
      <c r="T116" s="738">
        <v>55.71</v>
      </c>
      <c r="U116" s="677">
        <f t="shared" si="12"/>
        <v>-80222.399999999994</v>
      </c>
      <c r="V116" s="739">
        <f t="shared" si="13"/>
        <v>-266097.2853413031</v>
      </c>
      <c r="W116" s="740">
        <v>55.71</v>
      </c>
      <c r="X116" s="678">
        <f t="shared" si="14"/>
        <v>-80222.399999999994</v>
      </c>
      <c r="Y116" s="700">
        <f t="shared" si="15"/>
        <v>-266097.2853413031</v>
      </c>
      <c r="Z116" s="740">
        <v>55.71</v>
      </c>
      <c r="AA116" s="678">
        <f t="shared" si="16"/>
        <v>-80222.399999999994</v>
      </c>
      <c r="AB116" s="741">
        <f t="shared" si="17"/>
        <v>-266097.2853413031</v>
      </c>
      <c r="AC116" s="714"/>
    </row>
    <row r="117" spans="1:29" ht="15" customHeight="1" x14ac:dyDescent="0.25">
      <c r="A117" s="713"/>
      <c r="B117" s="714" t="s">
        <v>651</v>
      </c>
      <c r="C117" s="676" t="s">
        <v>40</v>
      </c>
      <c r="D117" s="676" t="s">
        <v>471</v>
      </c>
      <c r="E117" s="680">
        <v>44743</v>
      </c>
      <c r="F117" s="676">
        <v>744</v>
      </c>
      <c r="G117" s="676" t="s">
        <v>58</v>
      </c>
      <c r="H117" s="676" t="s">
        <v>3</v>
      </c>
      <c r="I117" s="676" t="s">
        <v>44</v>
      </c>
      <c r="J117" s="676" t="s">
        <v>84</v>
      </c>
      <c r="K117" s="676">
        <v>223</v>
      </c>
      <c r="L117" s="690" t="s">
        <v>54</v>
      </c>
      <c r="M117" s="691">
        <v>2</v>
      </c>
      <c r="N117" s="690">
        <v>0</v>
      </c>
      <c r="O117" s="691">
        <v>240.49978148701607</v>
      </c>
      <c r="P117" s="690">
        <v>0</v>
      </c>
      <c r="Q117" s="738">
        <f t="shared" si="9"/>
        <v>357863.67485267989</v>
      </c>
      <c r="R117" s="677">
        <f t="shared" si="10"/>
        <v>0</v>
      </c>
      <c r="S117" s="739">
        <f t="shared" si="11"/>
        <v>-357863.67485267989</v>
      </c>
      <c r="T117" s="738">
        <v>66.319999999999993</v>
      </c>
      <c r="U117" s="677">
        <f t="shared" si="12"/>
        <v>-98684.159999999989</v>
      </c>
      <c r="V117" s="739">
        <f t="shared" si="13"/>
        <v>-259179.51485267992</v>
      </c>
      <c r="W117" s="740">
        <v>66.319999999999993</v>
      </c>
      <c r="X117" s="678">
        <f t="shared" si="14"/>
        <v>-98684.159999999989</v>
      </c>
      <c r="Y117" s="700">
        <f t="shared" si="15"/>
        <v>-259179.51485267992</v>
      </c>
      <c r="Z117" s="740">
        <v>66.319999999999993</v>
      </c>
      <c r="AA117" s="678">
        <f t="shared" si="16"/>
        <v>-98684.159999999989</v>
      </c>
      <c r="AB117" s="741">
        <f t="shared" si="17"/>
        <v>-259179.51485267992</v>
      </c>
      <c r="AC117" s="714"/>
    </row>
    <row r="118" spans="1:29" ht="15" customHeight="1" x14ac:dyDescent="0.25">
      <c r="A118" s="713"/>
      <c r="B118" s="714" t="s">
        <v>651</v>
      </c>
      <c r="C118" s="676" t="s">
        <v>40</v>
      </c>
      <c r="D118" s="676" t="s">
        <v>471</v>
      </c>
      <c r="E118" s="680">
        <v>44774</v>
      </c>
      <c r="F118" s="676">
        <v>744</v>
      </c>
      <c r="G118" s="676" t="s">
        <v>58</v>
      </c>
      <c r="H118" s="676" t="s">
        <v>3</v>
      </c>
      <c r="I118" s="676" t="s">
        <v>44</v>
      </c>
      <c r="J118" s="676" t="s">
        <v>84</v>
      </c>
      <c r="K118" s="676">
        <v>223</v>
      </c>
      <c r="L118" s="690" t="s">
        <v>54</v>
      </c>
      <c r="M118" s="691">
        <v>2</v>
      </c>
      <c r="N118" s="690">
        <v>0</v>
      </c>
      <c r="O118" s="691">
        <v>240.49978148701607</v>
      </c>
      <c r="P118" s="690">
        <v>0</v>
      </c>
      <c r="Q118" s="738">
        <f t="shared" si="9"/>
        <v>357863.67485267989</v>
      </c>
      <c r="R118" s="677">
        <f t="shared" si="10"/>
        <v>0</v>
      </c>
      <c r="S118" s="739">
        <f t="shared" si="11"/>
        <v>-357863.67485267989</v>
      </c>
      <c r="T118" s="738">
        <v>76.900000000000006</v>
      </c>
      <c r="U118" s="677">
        <f t="shared" si="12"/>
        <v>-114427.20000000001</v>
      </c>
      <c r="V118" s="739">
        <f t="shared" si="13"/>
        <v>-243436.47485267988</v>
      </c>
      <c r="W118" s="740">
        <v>76.900000000000006</v>
      </c>
      <c r="X118" s="678">
        <f t="shared" si="14"/>
        <v>-114427.20000000001</v>
      </c>
      <c r="Y118" s="700">
        <f t="shared" si="15"/>
        <v>-243436.47485267988</v>
      </c>
      <c r="Z118" s="740">
        <v>76.900000000000006</v>
      </c>
      <c r="AA118" s="678">
        <f t="shared" si="16"/>
        <v>-114427.20000000001</v>
      </c>
      <c r="AB118" s="741">
        <f t="shared" si="17"/>
        <v>-243436.47485267988</v>
      </c>
      <c r="AC118" s="714"/>
    </row>
    <row r="119" spans="1:29" ht="15" customHeight="1" x14ac:dyDescent="0.25">
      <c r="A119" s="713"/>
      <c r="B119" s="714" t="s">
        <v>651</v>
      </c>
      <c r="C119" s="676" t="s">
        <v>40</v>
      </c>
      <c r="D119" s="676" t="s">
        <v>471</v>
      </c>
      <c r="E119" s="680">
        <v>44805</v>
      </c>
      <c r="F119" s="676">
        <v>720</v>
      </c>
      <c r="G119" s="676" t="s">
        <v>58</v>
      </c>
      <c r="H119" s="676" t="s">
        <v>3</v>
      </c>
      <c r="I119" s="676" t="s">
        <v>44</v>
      </c>
      <c r="J119" s="676" t="s">
        <v>84</v>
      </c>
      <c r="K119" s="676">
        <v>223</v>
      </c>
      <c r="L119" s="690" t="s">
        <v>54</v>
      </c>
      <c r="M119" s="691">
        <v>2</v>
      </c>
      <c r="N119" s="690">
        <v>0</v>
      </c>
      <c r="O119" s="691">
        <v>240.49978148701607</v>
      </c>
      <c r="P119" s="690">
        <v>0</v>
      </c>
      <c r="Q119" s="738">
        <f t="shared" si="9"/>
        <v>346319.68534130312</v>
      </c>
      <c r="R119" s="677">
        <f t="shared" si="10"/>
        <v>0</v>
      </c>
      <c r="S119" s="739">
        <f t="shared" si="11"/>
        <v>-346319.68534130312</v>
      </c>
      <c r="T119" s="738">
        <v>56.08</v>
      </c>
      <c r="U119" s="677">
        <f t="shared" si="12"/>
        <v>-80755.199999999997</v>
      </c>
      <c r="V119" s="739">
        <f t="shared" si="13"/>
        <v>-265564.48534130311</v>
      </c>
      <c r="W119" s="740">
        <v>56.08</v>
      </c>
      <c r="X119" s="678">
        <f t="shared" si="14"/>
        <v>-80755.199999999997</v>
      </c>
      <c r="Y119" s="700">
        <f t="shared" si="15"/>
        <v>-265564.48534130311</v>
      </c>
      <c r="Z119" s="740">
        <v>56.08</v>
      </c>
      <c r="AA119" s="678">
        <f t="shared" si="16"/>
        <v>-80755.199999999997</v>
      </c>
      <c r="AB119" s="741">
        <f t="shared" si="17"/>
        <v>-265564.48534130311</v>
      </c>
      <c r="AC119" s="714"/>
    </row>
    <row r="120" spans="1:29" ht="15" customHeight="1" x14ac:dyDescent="0.25">
      <c r="A120" s="713"/>
      <c r="B120" s="714" t="s">
        <v>651</v>
      </c>
      <c r="C120" s="676" t="s">
        <v>40</v>
      </c>
      <c r="D120" s="676" t="s">
        <v>471</v>
      </c>
      <c r="E120" s="680">
        <v>44835</v>
      </c>
      <c r="F120" s="676">
        <v>744</v>
      </c>
      <c r="G120" s="676" t="s">
        <v>58</v>
      </c>
      <c r="H120" s="676" t="s">
        <v>3</v>
      </c>
      <c r="I120" s="676" t="s">
        <v>44</v>
      </c>
      <c r="J120" s="676" t="s">
        <v>84</v>
      </c>
      <c r="K120" s="676">
        <v>223</v>
      </c>
      <c r="L120" s="690" t="s">
        <v>54</v>
      </c>
      <c r="M120" s="691">
        <v>2</v>
      </c>
      <c r="N120" s="690">
        <v>0</v>
      </c>
      <c r="O120" s="691">
        <v>240.49978148701607</v>
      </c>
      <c r="P120" s="690">
        <v>0</v>
      </c>
      <c r="Q120" s="738">
        <f t="shared" si="9"/>
        <v>357863.67485267989</v>
      </c>
      <c r="R120" s="677">
        <f t="shared" si="10"/>
        <v>0</v>
      </c>
      <c r="S120" s="739">
        <f t="shared" si="11"/>
        <v>-357863.67485267989</v>
      </c>
      <c r="T120" s="738">
        <v>55.7</v>
      </c>
      <c r="U120" s="677">
        <f t="shared" si="12"/>
        <v>-82881.600000000006</v>
      </c>
      <c r="V120" s="739">
        <f t="shared" si="13"/>
        <v>-274982.07485267986</v>
      </c>
      <c r="W120" s="740">
        <v>55.7</v>
      </c>
      <c r="X120" s="678">
        <f t="shared" si="14"/>
        <v>-82881.600000000006</v>
      </c>
      <c r="Y120" s="700">
        <f t="shared" si="15"/>
        <v>-274982.07485267986</v>
      </c>
      <c r="Z120" s="740">
        <v>55.7</v>
      </c>
      <c r="AA120" s="678">
        <f t="shared" si="16"/>
        <v>-82881.600000000006</v>
      </c>
      <c r="AB120" s="741">
        <f t="shared" si="17"/>
        <v>-274982.07485267986</v>
      </c>
      <c r="AC120" s="714"/>
    </row>
    <row r="121" spans="1:29" ht="15" customHeight="1" x14ac:dyDescent="0.25">
      <c r="A121" s="713"/>
      <c r="B121" s="714" t="s">
        <v>651</v>
      </c>
      <c r="C121" s="676" t="s">
        <v>40</v>
      </c>
      <c r="D121" s="676" t="s">
        <v>471</v>
      </c>
      <c r="E121" s="680">
        <v>44866</v>
      </c>
      <c r="F121" s="676">
        <v>720</v>
      </c>
      <c r="G121" s="676" t="s">
        <v>58</v>
      </c>
      <c r="H121" s="676" t="s">
        <v>3</v>
      </c>
      <c r="I121" s="676" t="s">
        <v>44</v>
      </c>
      <c r="J121" s="676" t="s">
        <v>84</v>
      </c>
      <c r="K121" s="676">
        <v>223</v>
      </c>
      <c r="L121" s="690" t="s">
        <v>54</v>
      </c>
      <c r="M121" s="691">
        <v>2</v>
      </c>
      <c r="N121" s="690">
        <v>0</v>
      </c>
      <c r="O121" s="691">
        <v>240.49978148701607</v>
      </c>
      <c r="P121" s="690">
        <v>0</v>
      </c>
      <c r="Q121" s="738">
        <f t="shared" si="9"/>
        <v>346319.68534130312</v>
      </c>
      <c r="R121" s="677">
        <f t="shared" si="10"/>
        <v>0</v>
      </c>
      <c r="S121" s="739">
        <f t="shared" si="11"/>
        <v>-346319.68534130312</v>
      </c>
      <c r="T121" s="738">
        <v>55.7</v>
      </c>
      <c r="U121" s="677">
        <f t="shared" si="12"/>
        <v>-80208</v>
      </c>
      <c r="V121" s="739">
        <f t="shared" si="13"/>
        <v>-266111.68534130312</v>
      </c>
      <c r="W121" s="740">
        <v>55.7</v>
      </c>
      <c r="X121" s="678">
        <f t="shared" si="14"/>
        <v>-80208</v>
      </c>
      <c r="Y121" s="700">
        <f t="shared" si="15"/>
        <v>-266111.68534130312</v>
      </c>
      <c r="Z121" s="740">
        <v>55.7</v>
      </c>
      <c r="AA121" s="678">
        <f t="shared" si="16"/>
        <v>-80208</v>
      </c>
      <c r="AB121" s="741">
        <f t="shared" si="17"/>
        <v>-266111.68534130312</v>
      </c>
      <c r="AC121" s="714"/>
    </row>
    <row r="122" spans="1:29" ht="15" customHeight="1" x14ac:dyDescent="0.25">
      <c r="A122" s="713"/>
      <c r="B122" s="729" t="s">
        <v>651</v>
      </c>
      <c r="C122" s="545" t="s">
        <v>40</v>
      </c>
      <c r="D122" s="545" t="s">
        <v>471</v>
      </c>
      <c r="E122" s="681">
        <v>44896</v>
      </c>
      <c r="F122" s="545">
        <v>744</v>
      </c>
      <c r="G122" s="545" t="s">
        <v>58</v>
      </c>
      <c r="H122" s="545" t="s">
        <v>3</v>
      </c>
      <c r="I122" s="545" t="s">
        <v>44</v>
      </c>
      <c r="J122" s="545" t="s">
        <v>84</v>
      </c>
      <c r="K122" s="545">
        <v>223</v>
      </c>
      <c r="L122" s="725" t="s">
        <v>54</v>
      </c>
      <c r="M122" s="695">
        <v>2</v>
      </c>
      <c r="N122" s="725">
        <v>0</v>
      </c>
      <c r="O122" s="695">
        <v>240.49978148701607</v>
      </c>
      <c r="P122" s="725">
        <v>0</v>
      </c>
      <c r="Q122" s="742">
        <f t="shared" si="9"/>
        <v>357863.67485267989</v>
      </c>
      <c r="R122" s="603">
        <f t="shared" si="10"/>
        <v>0</v>
      </c>
      <c r="S122" s="743">
        <f t="shared" si="11"/>
        <v>-357863.67485267989</v>
      </c>
      <c r="T122" s="742">
        <v>55.7</v>
      </c>
      <c r="U122" s="603">
        <f t="shared" si="12"/>
        <v>-82881.600000000006</v>
      </c>
      <c r="V122" s="743">
        <f t="shared" si="13"/>
        <v>-274982.07485267986</v>
      </c>
      <c r="W122" s="744">
        <v>55.7</v>
      </c>
      <c r="X122" s="604">
        <f t="shared" si="14"/>
        <v>-82881.600000000006</v>
      </c>
      <c r="Y122" s="701">
        <f t="shared" si="15"/>
        <v>-274982.07485267986</v>
      </c>
      <c r="Z122" s="744">
        <v>78.400653594793155</v>
      </c>
      <c r="AA122" s="604">
        <f t="shared" si="16"/>
        <v>-116660.17254905222</v>
      </c>
      <c r="AB122" s="745">
        <f t="shared" si="17"/>
        <v>-241203.50230362767</v>
      </c>
      <c r="AC122" s="714"/>
    </row>
    <row r="123" spans="1:29" ht="15" customHeight="1" x14ac:dyDescent="0.25">
      <c r="A123" s="713"/>
      <c r="B123" s="730" t="s">
        <v>652</v>
      </c>
      <c r="C123" s="546" t="s">
        <v>40</v>
      </c>
      <c r="D123" s="546" t="s">
        <v>468</v>
      </c>
      <c r="E123" s="682">
        <v>44562</v>
      </c>
      <c r="F123" s="546">
        <v>744</v>
      </c>
      <c r="G123" s="546" t="s">
        <v>58</v>
      </c>
      <c r="H123" s="546" t="s">
        <v>3</v>
      </c>
      <c r="I123" s="546" t="s">
        <v>44</v>
      </c>
      <c r="J123" s="546" t="s">
        <v>84</v>
      </c>
      <c r="K123" s="546">
        <v>0</v>
      </c>
      <c r="L123" s="726" t="s">
        <v>54</v>
      </c>
      <c r="M123" s="696">
        <v>0</v>
      </c>
      <c r="N123" s="726">
        <v>0</v>
      </c>
      <c r="O123" s="696">
        <v>0</v>
      </c>
      <c r="P123" s="726">
        <v>0</v>
      </c>
      <c r="Q123" s="746">
        <f t="shared" si="9"/>
        <v>0</v>
      </c>
      <c r="R123" s="606">
        <f t="shared" si="10"/>
        <v>0</v>
      </c>
      <c r="S123" s="747">
        <f t="shared" si="11"/>
        <v>0</v>
      </c>
      <c r="T123" s="746">
        <v>62.91</v>
      </c>
      <c r="U123" s="606">
        <f t="shared" si="12"/>
        <v>0</v>
      </c>
      <c r="V123" s="747">
        <f t="shared" si="13"/>
        <v>0</v>
      </c>
      <c r="W123" s="748">
        <v>62.91</v>
      </c>
      <c r="X123" s="607">
        <f t="shared" si="14"/>
        <v>0</v>
      </c>
      <c r="Y123" s="702">
        <f t="shared" si="15"/>
        <v>0</v>
      </c>
      <c r="Z123" s="748">
        <v>62.91</v>
      </c>
      <c r="AA123" s="607">
        <f t="shared" si="16"/>
        <v>0</v>
      </c>
      <c r="AB123" s="749">
        <f t="shared" si="17"/>
        <v>0</v>
      </c>
      <c r="AC123" s="714"/>
    </row>
    <row r="124" spans="1:29" ht="15" customHeight="1" x14ac:dyDescent="0.25">
      <c r="A124" s="713"/>
      <c r="B124" s="714" t="s">
        <v>652</v>
      </c>
      <c r="C124" s="676" t="s">
        <v>40</v>
      </c>
      <c r="D124" s="676" t="s">
        <v>468</v>
      </c>
      <c r="E124" s="680">
        <v>44593</v>
      </c>
      <c r="F124" s="676">
        <v>672</v>
      </c>
      <c r="G124" s="676" t="s">
        <v>58</v>
      </c>
      <c r="H124" s="676" t="s">
        <v>3</v>
      </c>
      <c r="I124" s="676" t="s">
        <v>44</v>
      </c>
      <c r="J124" s="676" t="s">
        <v>84</v>
      </c>
      <c r="K124" s="676">
        <v>0</v>
      </c>
      <c r="L124" s="690" t="s">
        <v>54</v>
      </c>
      <c r="M124" s="691">
        <v>0</v>
      </c>
      <c r="N124" s="690">
        <v>0</v>
      </c>
      <c r="O124" s="691">
        <v>0</v>
      </c>
      <c r="P124" s="690">
        <v>0</v>
      </c>
      <c r="Q124" s="738">
        <f t="shared" si="9"/>
        <v>0</v>
      </c>
      <c r="R124" s="677">
        <f t="shared" si="10"/>
        <v>0</v>
      </c>
      <c r="S124" s="739">
        <f t="shared" si="11"/>
        <v>0</v>
      </c>
      <c r="T124" s="738">
        <v>55.7</v>
      </c>
      <c r="U124" s="677">
        <f t="shared" si="12"/>
        <v>0</v>
      </c>
      <c r="V124" s="739">
        <f t="shared" si="13"/>
        <v>0</v>
      </c>
      <c r="W124" s="740">
        <v>55.7</v>
      </c>
      <c r="X124" s="678">
        <f t="shared" si="14"/>
        <v>0</v>
      </c>
      <c r="Y124" s="700">
        <f t="shared" si="15"/>
        <v>0</v>
      </c>
      <c r="Z124" s="740">
        <v>55.7</v>
      </c>
      <c r="AA124" s="678">
        <f t="shared" si="16"/>
        <v>0</v>
      </c>
      <c r="AB124" s="741">
        <f t="shared" si="17"/>
        <v>0</v>
      </c>
      <c r="AC124" s="714"/>
    </row>
    <row r="125" spans="1:29" ht="15" customHeight="1" x14ac:dyDescent="0.25">
      <c r="A125" s="713"/>
      <c r="B125" s="714" t="s">
        <v>652</v>
      </c>
      <c r="C125" s="676" t="s">
        <v>40</v>
      </c>
      <c r="D125" s="676" t="s">
        <v>468</v>
      </c>
      <c r="E125" s="680">
        <v>44621</v>
      </c>
      <c r="F125" s="676">
        <v>744</v>
      </c>
      <c r="G125" s="676" t="s">
        <v>58</v>
      </c>
      <c r="H125" s="676" t="s">
        <v>3</v>
      </c>
      <c r="I125" s="676" t="s">
        <v>44</v>
      </c>
      <c r="J125" s="676" t="s">
        <v>84</v>
      </c>
      <c r="K125" s="676">
        <v>0</v>
      </c>
      <c r="L125" s="690" t="s">
        <v>54</v>
      </c>
      <c r="M125" s="691">
        <v>0</v>
      </c>
      <c r="N125" s="690">
        <v>0</v>
      </c>
      <c r="O125" s="691">
        <v>0</v>
      </c>
      <c r="P125" s="690">
        <v>0</v>
      </c>
      <c r="Q125" s="738">
        <f t="shared" si="9"/>
        <v>0</v>
      </c>
      <c r="R125" s="677">
        <f t="shared" si="10"/>
        <v>0</v>
      </c>
      <c r="S125" s="739">
        <f t="shared" si="11"/>
        <v>0</v>
      </c>
      <c r="T125" s="738">
        <v>55.7</v>
      </c>
      <c r="U125" s="677">
        <f t="shared" si="12"/>
        <v>0</v>
      </c>
      <c r="V125" s="739">
        <f t="shared" si="13"/>
        <v>0</v>
      </c>
      <c r="W125" s="740">
        <v>55.7</v>
      </c>
      <c r="X125" s="678">
        <f t="shared" si="14"/>
        <v>0</v>
      </c>
      <c r="Y125" s="700">
        <f t="shared" si="15"/>
        <v>0</v>
      </c>
      <c r="Z125" s="740">
        <v>55.7</v>
      </c>
      <c r="AA125" s="678">
        <f t="shared" si="16"/>
        <v>0</v>
      </c>
      <c r="AB125" s="741">
        <f t="shared" si="17"/>
        <v>0</v>
      </c>
      <c r="AC125" s="714"/>
    </row>
    <row r="126" spans="1:29" ht="15" customHeight="1" x14ac:dyDescent="0.25">
      <c r="A126" s="713"/>
      <c r="B126" s="714" t="s">
        <v>652</v>
      </c>
      <c r="C126" s="676" t="s">
        <v>40</v>
      </c>
      <c r="D126" s="676" t="s">
        <v>468</v>
      </c>
      <c r="E126" s="680">
        <v>44652</v>
      </c>
      <c r="F126" s="676">
        <v>720</v>
      </c>
      <c r="G126" s="676" t="s">
        <v>58</v>
      </c>
      <c r="H126" s="676" t="s">
        <v>3</v>
      </c>
      <c r="I126" s="676" t="s">
        <v>44</v>
      </c>
      <c r="J126" s="676" t="s">
        <v>84</v>
      </c>
      <c r="K126" s="676">
        <v>0</v>
      </c>
      <c r="L126" s="690" t="s">
        <v>54</v>
      </c>
      <c r="M126" s="691">
        <v>0</v>
      </c>
      <c r="N126" s="690">
        <v>0</v>
      </c>
      <c r="O126" s="691">
        <v>0</v>
      </c>
      <c r="P126" s="690">
        <v>0</v>
      </c>
      <c r="Q126" s="738">
        <f t="shared" si="9"/>
        <v>0</v>
      </c>
      <c r="R126" s="677">
        <f t="shared" si="10"/>
        <v>0</v>
      </c>
      <c r="S126" s="739">
        <f t="shared" si="11"/>
        <v>0</v>
      </c>
      <c r="T126" s="738">
        <v>55.7</v>
      </c>
      <c r="U126" s="677">
        <f t="shared" si="12"/>
        <v>0</v>
      </c>
      <c r="V126" s="739">
        <f t="shared" si="13"/>
        <v>0</v>
      </c>
      <c r="W126" s="740">
        <v>55.7</v>
      </c>
      <c r="X126" s="678">
        <f t="shared" si="14"/>
        <v>0</v>
      </c>
      <c r="Y126" s="700">
        <f t="shared" si="15"/>
        <v>0</v>
      </c>
      <c r="Z126" s="740">
        <v>55.7</v>
      </c>
      <c r="AA126" s="678">
        <f t="shared" si="16"/>
        <v>0</v>
      </c>
      <c r="AB126" s="741">
        <f t="shared" si="17"/>
        <v>0</v>
      </c>
      <c r="AC126" s="714"/>
    </row>
    <row r="127" spans="1:29" ht="15" customHeight="1" x14ac:dyDescent="0.25">
      <c r="A127" s="713"/>
      <c r="B127" s="714" t="s">
        <v>652</v>
      </c>
      <c r="C127" s="676" t="s">
        <v>40</v>
      </c>
      <c r="D127" s="676" t="s">
        <v>468</v>
      </c>
      <c r="E127" s="680">
        <v>44682</v>
      </c>
      <c r="F127" s="676">
        <v>744</v>
      </c>
      <c r="G127" s="676" t="s">
        <v>58</v>
      </c>
      <c r="H127" s="676" t="s">
        <v>3</v>
      </c>
      <c r="I127" s="676" t="s">
        <v>44</v>
      </c>
      <c r="J127" s="676" t="s">
        <v>84</v>
      </c>
      <c r="K127" s="676">
        <v>0</v>
      </c>
      <c r="L127" s="690" t="s">
        <v>54</v>
      </c>
      <c r="M127" s="691">
        <v>0</v>
      </c>
      <c r="N127" s="690">
        <v>0</v>
      </c>
      <c r="O127" s="691">
        <v>0</v>
      </c>
      <c r="P127" s="690">
        <v>0</v>
      </c>
      <c r="Q127" s="738">
        <f t="shared" si="9"/>
        <v>0</v>
      </c>
      <c r="R127" s="677">
        <f t="shared" si="10"/>
        <v>0</v>
      </c>
      <c r="S127" s="739">
        <f t="shared" si="11"/>
        <v>0</v>
      </c>
      <c r="T127" s="738">
        <v>55.7</v>
      </c>
      <c r="U127" s="677">
        <f t="shared" si="12"/>
        <v>0</v>
      </c>
      <c r="V127" s="739">
        <f t="shared" si="13"/>
        <v>0</v>
      </c>
      <c r="W127" s="740">
        <v>55.7</v>
      </c>
      <c r="X127" s="678">
        <f t="shared" si="14"/>
        <v>0</v>
      </c>
      <c r="Y127" s="700">
        <f t="shared" si="15"/>
        <v>0</v>
      </c>
      <c r="Z127" s="740">
        <v>55.7</v>
      </c>
      <c r="AA127" s="678">
        <f t="shared" si="16"/>
        <v>0</v>
      </c>
      <c r="AB127" s="741">
        <f t="shared" si="17"/>
        <v>0</v>
      </c>
      <c r="AC127" s="714"/>
    </row>
    <row r="128" spans="1:29" ht="15" customHeight="1" x14ac:dyDescent="0.25">
      <c r="A128" s="713"/>
      <c r="B128" s="714" t="s">
        <v>652</v>
      </c>
      <c r="C128" s="676" t="s">
        <v>40</v>
      </c>
      <c r="D128" s="676" t="s">
        <v>468</v>
      </c>
      <c r="E128" s="680">
        <v>44713</v>
      </c>
      <c r="F128" s="676">
        <v>720</v>
      </c>
      <c r="G128" s="676" t="s">
        <v>58</v>
      </c>
      <c r="H128" s="676" t="s">
        <v>3</v>
      </c>
      <c r="I128" s="676" t="s">
        <v>44</v>
      </c>
      <c r="J128" s="676" t="s">
        <v>84</v>
      </c>
      <c r="K128" s="676">
        <v>0</v>
      </c>
      <c r="L128" s="690" t="s">
        <v>54</v>
      </c>
      <c r="M128" s="691">
        <v>0</v>
      </c>
      <c r="N128" s="690">
        <v>0</v>
      </c>
      <c r="O128" s="691">
        <v>0</v>
      </c>
      <c r="P128" s="690">
        <v>0</v>
      </c>
      <c r="Q128" s="738">
        <f t="shared" si="9"/>
        <v>0</v>
      </c>
      <c r="R128" s="677">
        <f t="shared" si="10"/>
        <v>0</v>
      </c>
      <c r="S128" s="739">
        <f t="shared" si="11"/>
        <v>0</v>
      </c>
      <c r="T128" s="738">
        <v>55.71</v>
      </c>
      <c r="U128" s="677">
        <f t="shared" si="12"/>
        <v>0</v>
      </c>
      <c r="V128" s="739">
        <f t="shared" si="13"/>
        <v>0</v>
      </c>
      <c r="W128" s="740">
        <v>55.71</v>
      </c>
      <c r="X128" s="678">
        <f t="shared" si="14"/>
        <v>0</v>
      </c>
      <c r="Y128" s="700">
        <f t="shared" si="15"/>
        <v>0</v>
      </c>
      <c r="Z128" s="740">
        <v>55.71</v>
      </c>
      <c r="AA128" s="678">
        <f t="shared" si="16"/>
        <v>0</v>
      </c>
      <c r="AB128" s="741">
        <f t="shared" si="17"/>
        <v>0</v>
      </c>
      <c r="AC128" s="714"/>
    </row>
    <row r="129" spans="1:29" ht="15" customHeight="1" x14ac:dyDescent="0.25">
      <c r="A129" s="713"/>
      <c r="B129" s="714" t="s">
        <v>652</v>
      </c>
      <c r="C129" s="676" t="s">
        <v>40</v>
      </c>
      <c r="D129" s="676" t="s">
        <v>468</v>
      </c>
      <c r="E129" s="680">
        <v>44743</v>
      </c>
      <c r="F129" s="676">
        <v>744</v>
      </c>
      <c r="G129" s="676" t="s">
        <v>58</v>
      </c>
      <c r="H129" s="676" t="s">
        <v>3</v>
      </c>
      <c r="I129" s="676" t="s">
        <v>44</v>
      </c>
      <c r="J129" s="676" t="s">
        <v>84</v>
      </c>
      <c r="K129" s="676">
        <v>0</v>
      </c>
      <c r="L129" s="690" t="s">
        <v>54</v>
      </c>
      <c r="M129" s="691">
        <v>0</v>
      </c>
      <c r="N129" s="690">
        <v>0</v>
      </c>
      <c r="O129" s="691">
        <v>0</v>
      </c>
      <c r="P129" s="690">
        <v>0</v>
      </c>
      <c r="Q129" s="738">
        <f t="shared" si="9"/>
        <v>0</v>
      </c>
      <c r="R129" s="677">
        <f t="shared" si="10"/>
        <v>0</v>
      </c>
      <c r="S129" s="739">
        <f t="shared" si="11"/>
        <v>0</v>
      </c>
      <c r="T129" s="738">
        <v>66.319999999999993</v>
      </c>
      <c r="U129" s="677">
        <f t="shared" si="12"/>
        <v>0</v>
      </c>
      <c r="V129" s="739">
        <f t="shared" si="13"/>
        <v>0</v>
      </c>
      <c r="W129" s="740">
        <v>66.319999999999993</v>
      </c>
      <c r="X129" s="678">
        <f t="shared" si="14"/>
        <v>0</v>
      </c>
      <c r="Y129" s="700">
        <f t="shared" si="15"/>
        <v>0</v>
      </c>
      <c r="Z129" s="740">
        <v>66.319999999999993</v>
      </c>
      <c r="AA129" s="678">
        <f t="shared" si="16"/>
        <v>0</v>
      </c>
      <c r="AB129" s="741">
        <f t="shared" si="17"/>
        <v>0</v>
      </c>
      <c r="AC129" s="714"/>
    </row>
    <row r="130" spans="1:29" ht="15" customHeight="1" x14ac:dyDescent="0.25">
      <c r="A130" s="713"/>
      <c r="B130" s="714" t="s">
        <v>652</v>
      </c>
      <c r="C130" s="676" t="s">
        <v>40</v>
      </c>
      <c r="D130" s="676" t="s">
        <v>468</v>
      </c>
      <c r="E130" s="680">
        <v>44774</v>
      </c>
      <c r="F130" s="676">
        <v>744</v>
      </c>
      <c r="G130" s="676" t="s">
        <v>58</v>
      </c>
      <c r="H130" s="676" t="s">
        <v>3</v>
      </c>
      <c r="I130" s="676" t="s">
        <v>44</v>
      </c>
      <c r="J130" s="676" t="s">
        <v>84</v>
      </c>
      <c r="K130" s="676">
        <v>0</v>
      </c>
      <c r="L130" s="690" t="s">
        <v>54</v>
      </c>
      <c r="M130" s="691">
        <v>0</v>
      </c>
      <c r="N130" s="690">
        <v>0</v>
      </c>
      <c r="O130" s="691">
        <v>0</v>
      </c>
      <c r="P130" s="690">
        <v>0</v>
      </c>
      <c r="Q130" s="738">
        <f t="shared" si="9"/>
        <v>0</v>
      </c>
      <c r="R130" s="677">
        <f t="shared" si="10"/>
        <v>0</v>
      </c>
      <c r="S130" s="739">
        <f t="shared" si="11"/>
        <v>0</v>
      </c>
      <c r="T130" s="738">
        <v>76.900000000000006</v>
      </c>
      <c r="U130" s="677">
        <f t="shared" si="12"/>
        <v>0</v>
      </c>
      <c r="V130" s="739">
        <f t="shared" si="13"/>
        <v>0</v>
      </c>
      <c r="W130" s="740">
        <v>76.900000000000006</v>
      </c>
      <c r="X130" s="678">
        <f t="shared" si="14"/>
        <v>0</v>
      </c>
      <c r="Y130" s="700">
        <f t="shared" si="15"/>
        <v>0</v>
      </c>
      <c r="Z130" s="740">
        <v>76.900000000000006</v>
      </c>
      <c r="AA130" s="678">
        <f t="shared" si="16"/>
        <v>0</v>
      </c>
      <c r="AB130" s="741">
        <f t="shared" si="17"/>
        <v>0</v>
      </c>
      <c r="AC130" s="714"/>
    </row>
    <row r="131" spans="1:29" ht="15" customHeight="1" x14ac:dyDescent="0.25">
      <c r="A131" s="713"/>
      <c r="B131" s="714" t="s">
        <v>652</v>
      </c>
      <c r="C131" s="676" t="s">
        <v>40</v>
      </c>
      <c r="D131" s="676" t="s">
        <v>468</v>
      </c>
      <c r="E131" s="680">
        <v>44805</v>
      </c>
      <c r="F131" s="676">
        <v>720</v>
      </c>
      <c r="G131" s="676" t="s">
        <v>58</v>
      </c>
      <c r="H131" s="676" t="s">
        <v>3</v>
      </c>
      <c r="I131" s="676" t="s">
        <v>44</v>
      </c>
      <c r="J131" s="676" t="s">
        <v>84</v>
      </c>
      <c r="K131" s="676">
        <v>0</v>
      </c>
      <c r="L131" s="690" t="s">
        <v>54</v>
      </c>
      <c r="M131" s="691">
        <v>0</v>
      </c>
      <c r="N131" s="690">
        <v>0</v>
      </c>
      <c r="O131" s="691">
        <v>0</v>
      </c>
      <c r="P131" s="690">
        <v>0</v>
      </c>
      <c r="Q131" s="738">
        <f t="shared" ref="Q131:Q194" si="18">(O131*(M131*F131))</f>
        <v>0</v>
      </c>
      <c r="R131" s="677">
        <f t="shared" ref="R131:R194" si="19">(P131*(N131*F131))</f>
        <v>0</v>
      </c>
      <c r="S131" s="739">
        <f t="shared" ref="S131:S194" si="20">R131-Q131</f>
        <v>0</v>
      </c>
      <c r="T131" s="738">
        <v>56.08</v>
      </c>
      <c r="U131" s="677">
        <f t="shared" ref="U131:U194" si="21">(((F131*N131)*T131)-(T131*(M131*F131)))</f>
        <v>0</v>
      </c>
      <c r="V131" s="739">
        <f t="shared" ref="V131:V194" si="22">S131-U131</f>
        <v>0</v>
      </c>
      <c r="W131" s="740">
        <v>56.08</v>
      </c>
      <c r="X131" s="678">
        <f t="shared" ref="X131:X194" si="23">(((F131*N131)*W131)-(W131*(M131*F131)))</f>
        <v>0</v>
      </c>
      <c r="Y131" s="700">
        <f t="shared" ref="Y131:Y194" si="24">S131-X131</f>
        <v>0</v>
      </c>
      <c r="Z131" s="740">
        <v>56.08</v>
      </c>
      <c r="AA131" s="678">
        <f t="shared" ref="AA131:AA194" si="25">(((F131*N131)*Z131)-(Z131*(M131*F131)))</f>
        <v>0</v>
      </c>
      <c r="AB131" s="741">
        <f t="shared" ref="AB131:AB194" si="26">S131-AA131</f>
        <v>0</v>
      </c>
      <c r="AC131" s="714"/>
    </row>
    <row r="132" spans="1:29" ht="15" customHeight="1" x14ac:dyDescent="0.25">
      <c r="A132" s="713"/>
      <c r="B132" s="714" t="s">
        <v>652</v>
      </c>
      <c r="C132" s="676" t="s">
        <v>40</v>
      </c>
      <c r="D132" s="676" t="s">
        <v>468</v>
      </c>
      <c r="E132" s="680">
        <v>44835</v>
      </c>
      <c r="F132" s="676">
        <v>744</v>
      </c>
      <c r="G132" s="676" t="s">
        <v>58</v>
      </c>
      <c r="H132" s="676" t="s">
        <v>3</v>
      </c>
      <c r="I132" s="676" t="s">
        <v>44</v>
      </c>
      <c r="J132" s="676" t="s">
        <v>84</v>
      </c>
      <c r="K132" s="676">
        <v>0</v>
      </c>
      <c r="L132" s="690" t="s">
        <v>54</v>
      </c>
      <c r="M132" s="691">
        <v>0</v>
      </c>
      <c r="N132" s="690">
        <v>0</v>
      </c>
      <c r="O132" s="691">
        <v>0</v>
      </c>
      <c r="P132" s="690">
        <v>0</v>
      </c>
      <c r="Q132" s="738">
        <f t="shared" si="18"/>
        <v>0</v>
      </c>
      <c r="R132" s="677">
        <f t="shared" si="19"/>
        <v>0</v>
      </c>
      <c r="S132" s="739">
        <f t="shared" si="20"/>
        <v>0</v>
      </c>
      <c r="T132" s="738">
        <v>55.7</v>
      </c>
      <c r="U132" s="677">
        <f t="shared" si="21"/>
        <v>0</v>
      </c>
      <c r="V132" s="739">
        <f t="shared" si="22"/>
        <v>0</v>
      </c>
      <c r="W132" s="740">
        <v>55.7</v>
      </c>
      <c r="X132" s="678">
        <f t="shared" si="23"/>
        <v>0</v>
      </c>
      <c r="Y132" s="700">
        <f t="shared" si="24"/>
        <v>0</v>
      </c>
      <c r="Z132" s="740">
        <v>55.7</v>
      </c>
      <c r="AA132" s="678">
        <f t="shared" si="25"/>
        <v>0</v>
      </c>
      <c r="AB132" s="741">
        <f t="shared" si="26"/>
        <v>0</v>
      </c>
      <c r="AC132" s="714"/>
    </row>
    <row r="133" spans="1:29" ht="15" customHeight="1" x14ac:dyDescent="0.25">
      <c r="A133" s="713"/>
      <c r="B133" s="714" t="s">
        <v>652</v>
      </c>
      <c r="C133" s="676" t="s">
        <v>40</v>
      </c>
      <c r="D133" s="676" t="s">
        <v>468</v>
      </c>
      <c r="E133" s="680">
        <v>44866</v>
      </c>
      <c r="F133" s="676">
        <v>720</v>
      </c>
      <c r="G133" s="676" t="s">
        <v>58</v>
      </c>
      <c r="H133" s="676" t="s">
        <v>3</v>
      </c>
      <c r="I133" s="676" t="s">
        <v>44</v>
      </c>
      <c r="J133" s="676" t="s">
        <v>84</v>
      </c>
      <c r="K133" s="676">
        <v>0</v>
      </c>
      <c r="L133" s="690" t="s">
        <v>54</v>
      </c>
      <c r="M133" s="691">
        <v>0</v>
      </c>
      <c r="N133" s="690">
        <v>0</v>
      </c>
      <c r="O133" s="691">
        <v>0</v>
      </c>
      <c r="P133" s="690">
        <v>0</v>
      </c>
      <c r="Q133" s="738">
        <f t="shared" si="18"/>
        <v>0</v>
      </c>
      <c r="R133" s="677">
        <f t="shared" si="19"/>
        <v>0</v>
      </c>
      <c r="S133" s="739">
        <f t="shared" si="20"/>
        <v>0</v>
      </c>
      <c r="T133" s="738">
        <v>55.7</v>
      </c>
      <c r="U133" s="677">
        <f t="shared" si="21"/>
        <v>0</v>
      </c>
      <c r="V133" s="739">
        <f t="shared" si="22"/>
        <v>0</v>
      </c>
      <c r="W133" s="740">
        <v>55.7</v>
      </c>
      <c r="X133" s="678">
        <f t="shared" si="23"/>
        <v>0</v>
      </c>
      <c r="Y133" s="700">
        <f t="shared" si="24"/>
        <v>0</v>
      </c>
      <c r="Z133" s="740">
        <v>55.7</v>
      </c>
      <c r="AA133" s="678">
        <f t="shared" si="25"/>
        <v>0</v>
      </c>
      <c r="AB133" s="741">
        <f t="shared" si="26"/>
        <v>0</v>
      </c>
      <c r="AC133" s="714"/>
    </row>
    <row r="134" spans="1:29" ht="15" customHeight="1" x14ac:dyDescent="0.25">
      <c r="A134" s="713"/>
      <c r="B134" s="729" t="s">
        <v>652</v>
      </c>
      <c r="C134" s="545" t="s">
        <v>40</v>
      </c>
      <c r="D134" s="545" t="s">
        <v>468</v>
      </c>
      <c r="E134" s="681">
        <v>44896</v>
      </c>
      <c r="F134" s="545">
        <v>744</v>
      </c>
      <c r="G134" s="545" t="s">
        <v>58</v>
      </c>
      <c r="H134" s="545" t="s">
        <v>3</v>
      </c>
      <c r="I134" s="545" t="s">
        <v>44</v>
      </c>
      <c r="J134" s="545" t="s">
        <v>84</v>
      </c>
      <c r="K134" s="545">
        <v>0</v>
      </c>
      <c r="L134" s="725" t="s">
        <v>54</v>
      </c>
      <c r="M134" s="695">
        <v>0</v>
      </c>
      <c r="N134" s="725">
        <v>0</v>
      </c>
      <c r="O134" s="695">
        <v>0</v>
      </c>
      <c r="P134" s="725">
        <v>0</v>
      </c>
      <c r="Q134" s="742">
        <f t="shared" si="18"/>
        <v>0</v>
      </c>
      <c r="R134" s="603">
        <f t="shared" si="19"/>
        <v>0</v>
      </c>
      <c r="S134" s="743">
        <f t="shared" si="20"/>
        <v>0</v>
      </c>
      <c r="T134" s="742">
        <v>55.7</v>
      </c>
      <c r="U134" s="603">
        <f t="shared" si="21"/>
        <v>0</v>
      </c>
      <c r="V134" s="743">
        <f t="shared" si="22"/>
        <v>0</v>
      </c>
      <c r="W134" s="744">
        <v>55.7</v>
      </c>
      <c r="X134" s="604">
        <f t="shared" si="23"/>
        <v>0</v>
      </c>
      <c r="Y134" s="701">
        <f t="shared" si="24"/>
        <v>0</v>
      </c>
      <c r="Z134" s="744">
        <v>78.400653594793155</v>
      </c>
      <c r="AA134" s="604">
        <f t="shared" si="25"/>
        <v>0</v>
      </c>
      <c r="AB134" s="745">
        <f t="shared" si="26"/>
        <v>0</v>
      </c>
      <c r="AC134" s="714"/>
    </row>
    <row r="135" spans="1:29" ht="15" customHeight="1" x14ac:dyDescent="0.25">
      <c r="A135" s="713"/>
      <c r="B135" s="730" t="s">
        <v>653</v>
      </c>
      <c r="C135" s="546" t="s">
        <v>40</v>
      </c>
      <c r="D135" s="546" t="s">
        <v>410</v>
      </c>
      <c r="E135" s="682">
        <v>44562</v>
      </c>
      <c r="F135" s="546">
        <v>744</v>
      </c>
      <c r="G135" s="546" t="s">
        <v>58</v>
      </c>
      <c r="H135" s="546" t="s">
        <v>3</v>
      </c>
      <c r="I135" s="546" t="s">
        <v>44</v>
      </c>
      <c r="J135" s="546" t="s">
        <v>84</v>
      </c>
      <c r="K135" s="546">
        <v>225</v>
      </c>
      <c r="L135" s="726" t="s">
        <v>54</v>
      </c>
      <c r="M135" s="696">
        <v>10</v>
      </c>
      <c r="N135" s="726">
        <v>0</v>
      </c>
      <c r="O135" s="696">
        <v>242.6567301999041</v>
      </c>
      <c r="P135" s="726">
        <v>0</v>
      </c>
      <c r="Q135" s="746">
        <f t="shared" si="18"/>
        <v>1805366.0726872864</v>
      </c>
      <c r="R135" s="606">
        <f t="shared" si="19"/>
        <v>0</v>
      </c>
      <c r="S135" s="747">
        <f t="shared" si="20"/>
        <v>-1805366.0726872864</v>
      </c>
      <c r="T135" s="746">
        <v>62.91</v>
      </c>
      <c r="U135" s="606">
        <f t="shared" si="21"/>
        <v>-468050.39999999997</v>
      </c>
      <c r="V135" s="747">
        <f t="shared" si="22"/>
        <v>-1337315.6726872865</v>
      </c>
      <c r="W135" s="748">
        <v>62.91</v>
      </c>
      <c r="X135" s="607">
        <f t="shared" si="23"/>
        <v>-468050.39999999997</v>
      </c>
      <c r="Y135" s="702">
        <f t="shared" si="24"/>
        <v>-1337315.6726872865</v>
      </c>
      <c r="Z135" s="748">
        <v>62.91</v>
      </c>
      <c r="AA135" s="607">
        <f t="shared" si="25"/>
        <v>-468050.39999999997</v>
      </c>
      <c r="AB135" s="749">
        <f t="shared" si="26"/>
        <v>-1337315.6726872865</v>
      </c>
      <c r="AC135" s="714"/>
    </row>
    <row r="136" spans="1:29" ht="15" customHeight="1" x14ac:dyDescent="0.25">
      <c r="A136" s="713"/>
      <c r="B136" s="714" t="s">
        <v>653</v>
      </c>
      <c r="C136" s="676" t="s">
        <v>40</v>
      </c>
      <c r="D136" s="676" t="s">
        <v>410</v>
      </c>
      <c r="E136" s="680">
        <v>44593</v>
      </c>
      <c r="F136" s="676">
        <v>672</v>
      </c>
      <c r="G136" s="676" t="s">
        <v>58</v>
      </c>
      <c r="H136" s="676" t="s">
        <v>3</v>
      </c>
      <c r="I136" s="676" t="s">
        <v>44</v>
      </c>
      <c r="J136" s="676" t="s">
        <v>84</v>
      </c>
      <c r="K136" s="676">
        <v>225</v>
      </c>
      <c r="L136" s="690" t="s">
        <v>54</v>
      </c>
      <c r="M136" s="691">
        <v>10</v>
      </c>
      <c r="N136" s="690">
        <v>0</v>
      </c>
      <c r="O136" s="691">
        <v>242.6567301999041</v>
      </c>
      <c r="P136" s="690">
        <v>0</v>
      </c>
      <c r="Q136" s="738">
        <f t="shared" si="18"/>
        <v>1630653.2269433555</v>
      </c>
      <c r="R136" s="677">
        <f t="shared" si="19"/>
        <v>0</v>
      </c>
      <c r="S136" s="739">
        <f t="shared" si="20"/>
        <v>-1630653.2269433555</v>
      </c>
      <c r="T136" s="738">
        <v>55.7</v>
      </c>
      <c r="U136" s="677">
        <f t="shared" si="21"/>
        <v>-374304</v>
      </c>
      <c r="V136" s="739">
        <f t="shared" si="22"/>
        <v>-1256349.2269433555</v>
      </c>
      <c r="W136" s="740">
        <v>55.7</v>
      </c>
      <c r="X136" s="678">
        <f t="shared" si="23"/>
        <v>-374304</v>
      </c>
      <c r="Y136" s="700">
        <f t="shared" si="24"/>
        <v>-1256349.2269433555</v>
      </c>
      <c r="Z136" s="740">
        <v>55.7</v>
      </c>
      <c r="AA136" s="678">
        <f t="shared" si="25"/>
        <v>-374304</v>
      </c>
      <c r="AB136" s="741">
        <f t="shared" si="26"/>
        <v>-1256349.2269433555</v>
      </c>
      <c r="AC136" s="714"/>
    </row>
    <row r="137" spans="1:29" ht="15" customHeight="1" x14ac:dyDescent="0.25">
      <c r="A137" s="713"/>
      <c r="B137" s="714" t="s">
        <v>653</v>
      </c>
      <c r="C137" s="676" t="s">
        <v>40</v>
      </c>
      <c r="D137" s="676" t="s">
        <v>410</v>
      </c>
      <c r="E137" s="680">
        <v>44621</v>
      </c>
      <c r="F137" s="676">
        <v>744</v>
      </c>
      <c r="G137" s="676" t="s">
        <v>58</v>
      </c>
      <c r="H137" s="676" t="s">
        <v>3</v>
      </c>
      <c r="I137" s="676" t="s">
        <v>44</v>
      </c>
      <c r="J137" s="676" t="s">
        <v>84</v>
      </c>
      <c r="K137" s="676">
        <v>225</v>
      </c>
      <c r="L137" s="690" t="s">
        <v>54</v>
      </c>
      <c r="M137" s="691">
        <v>10</v>
      </c>
      <c r="N137" s="690">
        <v>0</v>
      </c>
      <c r="O137" s="691">
        <v>242.6567301999041</v>
      </c>
      <c r="P137" s="690">
        <v>0</v>
      </c>
      <c r="Q137" s="738">
        <f t="shared" si="18"/>
        <v>1805366.0726872864</v>
      </c>
      <c r="R137" s="677">
        <f t="shared" si="19"/>
        <v>0</v>
      </c>
      <c r="S137" s="739">
        <f t="shared" si="20"/>
        <v>-1805366.0726872864</v>
      </c>
      <c r="T137" s="738">
        <v>55.7</v>
      </c>
      <c r="U137" s="677">
        <f t="shared" si="21"/>
        <v>-414408</v>
      </c>
      <c r="V137" s="739">
        <f t="shared" si="22"/>
        <v>-1390958.0726872864</v>
      </c>
      <c r="W137" s="740">
        <v>55.7</v>
      </c>
      <c r="X137" s="678">
        <f t="shared" si="23"/>
        <v>-414408</v>
      </c>
      <c r="Y137" s="700">
        <f t="shared" si="24"/>
        <v>-1390958.0726872864</v>
      </c>
      <c r="Z137" s="740">
        <v>55.7</v>
      </c>
      <c r="AA137" s="678">
        <f t="shared" si="25"/>
        <v>-414408</v>
      </c>
      <c r="AB137" s="741">
        <f t="shared" si="26"/>
        <v>-1390958.0726872864</v>
      </c>
      <c r="AC137" s="714"/>
    </row>
    <row r="138" spans="1:29" ht="15" customHeight="1" x14ac:dyDescent="0.25">
      <c r="A138" s="713"/>
      <c r="B138" s="714" t="s">
        <v>653</v>
      </c>
      <c r="C138" s="676" t="s">
        <v>40</v>
      </c>
      <c r="D138" s="676" t="s">
        <v>410</v>
      </c>
      <c r="E138" s="680">
        <v>44652</v>
      </c>
      <c r="F138" s="676">
        <v>720</v>
      </c>
      <c r="G138" s="676" t="s">
        <v>58</v>
      </c>
      <c r="H138" s="676" t="s">
        <v>3</v>
      </c>
      <c r="I138" s="676" t="s">
        <v>44</v>
      </c>
      <c r="J138" s="676" t="s">
        <v>84</v>
      </c>
      <c r="K138" s="676">
        <v>225</v>
      </c>
      <c r="L138" s="690" t="s">
        <v>54</v>
      </c>
      <c r="M138" s="691">
        <v>10</v>
      </c>
      <c r="N138" s="690">
        <v>0</v>
      </c>
      <c r="O138" s="691">
        <v>242.6567301999041</v>
      </c>
      <c r="P138" s="690">
        <v>0</v>
      </c>
      <c r="Q138" s="738">
        <f t="shared" si="18"/>
        <v>1747128.4574393095</v>
      </c>
      <c r="R138" s="677">
        <f t="shared" si="19"/>
        <v>0</v>
      </c>
      <c r="S138" s="739">
        <f t="shared" si="20"/>
        <v>-1747128.4574393095</v>
      </c>
      <c r="T138" s="738">
        <v>55.7</v>
      </c>
      <c r="U138" s="677">
        <f t="shared" si="21"/>
        <v>-401040</v>
      </c>
      <c r="V138" s="739">
        <f t="shared" si="22"/>
        <v>-1346088.4574393095</v>
      </c>
      <c r="W138" s="740">
        <v>55.7</v>
      </c>
      <c r="X138" s="678">
        <f t="shared" si="23"/>
        <v>-401040</v>
      </c>
      <c r="Y138" s="700">
        <f t="shared" si="24"/>
        <v>-1346088.4574393095</v>
      </c>
      <c r="Z138" s="740">
        <v>55.7</v>
      </c>
      <c r="AA138" s="678">
        <f t="shared" si="25"/>
        <v>-401040</v>
      </c>
      <c r="AB138" s="741">
        <f t="shared" si="26"/>
        <v>-1346088.4574393095</v>
      </c>
      <c r="AC138" s="714"/>
    </row>
    <row r="139" spans="1:29" ht="15" customHeight="1" x14ac:dyDescent="0.25">
      <c r="A139" s="713"/>
      <c r="B139" s="714" t="s">
        <v>653</v>
      </c>
      <c r="C139" s="676" t="s">
        <v>40</v>
      </c>
      <c r="D139" s="676" t="s">
        <v>410</v>
      </c>
      <c r="E139" s="680">
        <v>44682</v>
      </c>
      <c r="F139" s="676">
        <v>744</v>
      </c>
      <c r="G139" s="676" t="s">
        <v>58</v>
      </c>
      <c r="H139" s="676" t="s">
        <v>3</v>
      </c>
      <c r="I139" s="676" t="s">
        <v>44</v>
      </c>
      <c r="J139" s="676" t="s">
        <v>84</v>
      </c>
      <c r="K139" s="676">
        <v>225</v>
      </c>
      <c r="L139" s="690" t="s">
        <v>54</v>
      </c>
      <c r="M139" s="691">
        <v>10</v>
      </c>
      <c r="N139" s="690">
        <v>0</v>
      </c>
      <c r="O139" s="691">
        <v>242.6567301999041</v>
      </c>
      <c r="P139" s="690">
        <v>0</v>
      </c>
      <c r="Q139" s="738">
        <f t="shared" si="18"/>
        <v>1805366.0726872864</v>
      </c>
      <c r="R139" s="677">
        <f t="shared" si="19"/>
        <v>0</v>
      </c>
      <c r="S139" s="739">
        <f t="shared" si="20"/>
        <v>-1805366.0726872864</v>
      </c>
      <c r="T139" s="738">
        <v>55.7</v>
      </c>
      <c r="U139" s="677">
        <f t="shared" si="21"/>
        <v>-414408</v>
      </c>
      <c r="V139" s="739">
        <f t="shared" si="22"/>
        <v>-1390958.0726872864</v>
      </c>
      <c r="W139" s="740">
        <v>55.7</v>
      </c>
      <c r="X139" s="678">
        <f t="shared" si="23"/>
        <v>-414408</v>
      </c>
      <c r="Y139" s="700">
        <f t="shared" si="24"/>
        <v>-1390958.0726872864</v>
      </c>
      <c r="Z139" s="740">
        <v>55.7</v>
      </c>
      <c r="AA139" s="678">
        <f t="shared" si="25"/>
        <v>-414408</v>
      </c>
      <c r="AB139" s="741">
        <f t="shared" si="26"/>
        <v>-1390958.0726872864</v>
      </c>
      <c r="AC139" s="714"/>
    </row>
    <row r="140" spans="1:29" ht="15" customHeight="1" x14ac:dyDescent="0.25">
      <c r="A140" s="713"/>
      <c r="B140" s="714" t="s">
        <v>653</v>
      </c>
      <c r="C140" s="676" t="s">
        <v>40</v>
      </c>
      <c r="D140" s="676" t="s">
        <v>410</v>
      </c>
      <c r="E140" s="680">
        <v>44713</v>
      </c>
      <c r="F140" s="676">
        <v>720</v>
      </c>
      <c r="G140" s="676" t="s">
        <v>58</v>
      </c>
      <c r="H140" s="676" t="s">
        <v>3</v>
      </c>
      <c r="I140" s="676" t="s">
        <v>44</v>
      </c>
      <c r="J140" s="676" t="s">
        <v>84</v>
      </c>
      <c r="K140" s="676">
        <v>225</v>
      </c>
      <c r="L140" s="690" t="s">
        <v>54</v>
      </c>
      <c r="M140" s="691">
        <v>10</v>
      </c>
      <c r="N140" s="690">
        <v>0</v>
      </c>
      <c r="O140" s="691">
        <v>242.6567301999041</v>
      </c>
      <c r="P140" s="690">
        <v>0</v>
      </c>
      <c r="Q140" s="738">
        <f t="shared" si="18"/>
        <v>1747128.4574393095</v>
      </c>
      <c r="R140" s="677">
        <f t="shared" si="19"/>
        <v>0</v>
      </c>
      <c r="S140" s="739">
        <f t="shared" si="20"/>
        <v>-1747128.4574393095</v>
      </c>
      <c r="T140" s="738">
        <v>55.71</v>
      </c>
      <c r="U140" s="677">
        <f t="shared" si="21"/>
        <v>-401112</v>
      </c>
      <c r="V140" s="739">
        <f t="shared" si="22"/>
        <v>-1346016.4574393095</v>
      </c>
      <c r="W140" s="740">
        <v>55.71</v>
      </c>
      <c r="X140" s="678">
        <f t="shared" si="23"/>
        <v>-401112</v>
      </c>
      <c r="Y140" s="700">
        <f t="shared" si="24"/>
        <v>-1346016.4574393095</v>
      </c>
      <c r="Z140" s="740">
        <v>55.71</v>
      </c>
      <c r="AA140" s="678">
        <f t="shared" si="25"/>
        <v>-401112</v>
      </c>
      <c r="AB140" s="741">
        <f t="shared" si="26"/>
        <v>-1346016.4574393095</v>
      </c>
      <c r="AC140" s="714"/>
    </row>
    <row r="141" spans="1:29" ht="15" customHeight="1" x14ac:dyDescent="0.25">
      <c r="A141" s="713"/>
      <c r="B141" s="714" t="s">
        <v>653</v>
      </c>
      <c r="C141" s="676" t="s">
        <v>40</v>
      </c>
      <c r="D141" s="676" t="s">
        <v>410</v>
      </c>
      <c r="E141" s="680">
        <v>44743</v>
      </c>
      <c r="F141" s="676">
        <v>744</v>
      </c>
      <c r="G141" s="676" t="s">
        <v>58</v>
      </c>
      <c r="H141" s="676" t="s">
        <v>3</v>
      </c>
      <c r="I141" s="676" t="s">
        <v>44</v>
      </c>
      <c r="J141" s="676" t="s">
        <v>84</v>
      </c>
      <c r="K141" s="676">
        <v>225</v>
      </c>
      <c r="L141" s="690" t="s">
        <v>54</v>
      </c>
      <c r="M141" s="691">
        <v>10</v>
      </c>
      <c r="N141" s="690">
        <v>0</v>
      </c>
      <c r="O141" s="691">
        <v>242.6567301999041</v>
      </c>
      <c r="P141" s="690">
        <v>0</v>
      </c>
      <c r="Q141" s="738">
        <f t="shared" si="18"/>
        <v>1805366.0726872864</v>
      </c>
      <c r="R141" s="677">
        <f t="shared" si="19"/>
        <v>0</v>
      </c>
      <c r="S141" s="739">
        <f t="shared" si="20"/>
        <v>-1805366.0726872864</v>
      </c>
      <c r="T141" s="738">
        <v>66.319999999999993</v>
      </c>
      <c r="U141" s="677">
        <f t="shared" si="21"/>
        <v>-493420.79999999993</v>
      </c>
      <c r="V141" s="739">
        <f t="shared" si="22"/>
        <v>-1311945.2726872866</v>
      </c>
      <c r="W141" s="740">
        <v>66.319999999999993</v>
      </c>
      <c r="X141" s="678">
        <f t="shared" si="23"/>
        <v>-493420.79999999993</v>
      </c>
      <c r="Y141" s="700">
        <f t="shared" si="24"/>
        <v>-1311945.2726872866</v>
      </c>
      <c r="Z141" s="740">
        <v>66.319999999999993</v>
      </c>
      <c r="AA141" s="678">
        <f t="shared" si="25"/>
        <v>-493420.79999999993</v>
      </c>
      <c r="AB141" s="741">
        <f t="shared" si="26"/>
        <v>-1311945.2726872866</v>
      </c>
      <c r="AC141" s="714"/>
    </row>
    <row r="142" spans="1:29" ht="15" customHeight="1" x14ac:dyDescent="0.25">
      <c r="A142" s="713"/>
      <c r="B142" s="714" t="s">
        <v>653</v>
      </c>
      <c r="C142" s="676" t="s">
        <v>40</v>
      </c>
      <c r="D142" s="676" t="s">
        <v>410</v>
      </c>
      <c r="E142" s="680">
        <v>44774</v>
      </c>
      <c r="F142" s="676">
        <v>744</v>
      </c>
      <c r="G142" s="676" t="s">
        <v>58</v>
      </c>
      <c r="H142" s="676" t="s">
        <v>3</v>
      </c>
      <c r="I142" s="676" t="s">
        <v>44</v>
      </c>
      <c r="J142" s="676" t="s">
        <v>84</v>
      </c>
      <c r="K142" s="676">
        <v>225</v>
      </c>
      <c r="L142" s="690" t="s">
        <v>54</v>
      </c>
      <c r="M142" s="691">
        <v>10</v>
      </c>
      <c r="N142" s="690">
        <v>0</v>
      </c>
      <c r="O142" s="691">
        <v>242.6567301999041</v>
      </c>
      <c r="P142" s="690">
        <v>0</v>
      </c>
      <c r="Q142" s="738">
        <f t="shared" si="18"/>
        <v>1805366.0726872864</v>
      </c>
      <c r="R142" s="677">
        <f t="shared" si="19"/>
        <v>0</v>
      </c>
      <c r="S142" s="739">
        <f t="shared" si="20"/>
        <v>-1805366.0726872864</v>
      </c>
      <c r="T142" s="738">
        <v>76.900000000000006</v>
      </c>
      <c r="U142" s="677">
        <f t="shared" si="21"/>
        <v>-572136</v>
      </c>
      <c r="V142" s="739">
        <f t="shared" si="22"/>
        <v>-1233230.0726872864</v>
      </c>
      <c r="W142" s="740">
        <v>76.900000000000006</v>
      </c>
      <c r="X142" s="678">
        <f t="shared" si="23"/>
        <v>-572136</v>
      </c>
      <c r="Y142" s="700">
        <f t="shared" si="24"/>
        <v>-1233230.0726872864</v>
      </c>
      <c r="Z142" s="740">
        <v>76.900000000000006</v>
      </c>
      <c r="AA142" s="678">
        <f t="shared" si="25"/>
        <v>-572136</v>
      </c>
      <c r="AB142" s="741">
        <f t="shared" si="26"/>
        <v>-1233230.0726872864</v>
      </c>
      <c r="AC142" s="714"/>
    </row>
    <row r="143" spans="1:29" ht="15" customHeight="1" x14ac:dyDescent="0.25">
      <c r="A143" s="713"/>
      <c r="B143" s="714" t="s">
        <v>653</v>
      </c>
      <c r="C143" s="676" t="s">
        <v>40</v>
      </c>
      <c r="D143" s="676" t="s">
        <v>410</v>
      </c>
      <c r="E143" s="680">
        <v>44805</v>
      </c>
      <c r="F143" s="676">
        <v>720</v>
      </c>
      <c r="G143" s="676" t="s">
        <v>58</v>
      </c>
      <c r="H143" s="676" t="s">
        <v>3</v>
      </c>
      <c r="I143" s="676" t="s">
        <v>44</v>
      </c>
      <c r="J143" s="676" t="s">
        <v>84</v>
      </c>
      <c r="K143" s="676">
        <v>225</v>
      </c>
      <c r="L143" s="690" t="s">
        <v>54</v>
      </c>
      <c r="M143" s="691">
        <v>10</v>
      </c>
      <c r="N143" s="690">
        <v>0</v>
      </c>
      <c r="O143" s="691">
        <v>242.6567301999041</v>
      </c>
      <c r="P143" s="690">
        <v>0</v>
      </c>
      <c r="Q143" s="738">
        <f t="shared" si="18"/>
        <v>1747128.4574393095</v>
      </c>
      <c r="R143" s="677">
        <f t="shared" si="19"/>
        <v>0</v>
      </c>
      <c r="S143" s="739">
        <f t="shared" si="20"/>
        <v>-1747128.4574393095</v>
      </c>
      <c r="T143" s="738">
        <v>56.08</v>
      </c>
      <c r="U143" s="677">
        <f t="shared" si="21"/>
        <v>-403776</v>
      </c>
      <c r="V143" s="739">
        <f t="shared" si="22"/>
        <v>-1343352.4574393095</v>
      </c>
      <c r="W143" s="740">
        <v>56.08</v>
      </c>
      <c r="X143" s="678">
        <f t="shared" si="23"/>
        <v>-403776</v>
      </c>
      <c r="Y143" s="700">
        <f t="shared" si="24"/>
        <v>-1343352.4574393095</v>
      </c>
      <c r="Z143" s="740">
        <v>56.08</v>
      </c>
      <c r="AA143" s="678">
        <f t="shared" si="25"/>
        <v>-403776</v>
      </c>
      <c r="AB143" s="741">
        <f t="shared" si="26"/>
        <v>-1343352.4574393095</v>
      </c>
      <c r="AC143" s="714"/>
    </row>
    <row r="144" spans="1:29" ht="15" customHeight="1" x14ac:dyDescent="0.25">
      <c r="A144" s="713"/>
      <c r="B144" s="714" t="s">
        <v>653</v>
      </c>
      <c r="C144" s="676" t="s">
        <v>40</v>
      </c>
      <c r="D144" s="676" t="s">
        <v>410</v>
      </c>
      <c r="E144" s="680">
        <v>44835</v>
      </c>
      <c r="F144" s="676">
        <v>744</v>
      </c>
      <c r="G144" s="676" t="s">
        <v>58</v>
      </c>
      <c r="H144" s="676" t="s">
        <v>3</v>
      </c>
      <c r="I144" s="676" t="s">
        <v>44</v>
      </c>
      <c r="J144" s="676" t="s">
        <v>84</v>
      </c>
      <c r="K144" s="676">
        <v>225</v>
      </c>
      <c r="L144" s="690" t="s">
        <v>54</v>
      </c>
      <c r="M144" s="691">
        <v>10</v>
      </c>
      <c r="N144" s="690">
        <v>0</v>
      </c>
      <c r="O144" s="691">
        <v>242.6567301999041</v>
      </c>
      <c r="P144" s="690">
        <v>0</v>
      </c>
      <c r="Q144" s="738">
        <f t="shared" si="18"/>
        <v>1805366.0726872864</v>
      </c>
      <c r="R144" s="677">
        <f t="shared" si="19"/>
        <v>0</v>
      </c>
      <c r="S144" s="739">
        <f t="shared" si="20"/>
        <v>-1805366.0726872864</v>
      </c>
      <c r="T144" s="738">
        <v>55.7</v>
      </c>
      <c r="U144" s="677">
        <f t="shared" si="21"/>
        <v>-414408</v>
      </c>
      <c r="V144" s="739">
        <f t="shared" si="22"/>
        <v>-1390958.0726872864</v>
      </c>
      <c r="W144" s="740">
        <v>55.7</v>
      </c>
      <c r="X144" s="678">
        <f t="shared" si="23"/>
        <v>-414408</v>
      </c>
      <c r="Y144" s="700">
        <f t="shared" si="24"/>
        <v>-1390958.0726872864</v>
      </c>
      <c r="Z144" s="740">
        <v>55.7</v>
      </c>
      <c r="AA144" s="678">
        <f t="shared" si="25"/>
        <v>-414408</v>
      </c>
      <c r="AB144" s="741">
        <f t="shared" si="26"/>
        <v>-1390958.0726872864</v>
      </c>
      <c r="AC144" s="714"/>
    </row>
    <row r="145" spans="1:29" ht="15" customHeight="1" x14ac:dyDescent="0.25">
      <c r="A145" s="713"/>
      <c r="B145" s="714" t="s">
        <v>653</v>
      </c>
      <c r="C145" s="676" t="s">
        <v>40</v>
      </c>
      <c r="D145" s="676" t="s">
        <v>410</v>
      </c>
      <c r="E145" s="680">
        <v>44866</v>
      </c>
      <c r="F145" s="676">
        <v>720</v>
      </c>
      <c r="G145" s="676" t="s">
        <v>58</v>
      </c>
      <c r="H145" s="676" t="s">
        <v>3</v>
      </c>
      <c r="I145" s="676" t="s">
        <v>44</v>
      </c>
      <c r="J145" s="676" t="s">
        <v>84</v>
      </c>
      <c r="K145" s="676">
        <v>225</v>
      </c>
      <c r="L145" s="690" t="s">
        <v>54</v>
      </c>
      <c r="M145" s="691">
        <v>10</v>
      </c>
      <c r="N145" s="690">
        <v>0</v>
      </c>
      <c r="O145" s="691">
        <v>242.6567301999041</v>
      </c>
      <c r="P145" s="690">
        <v>0</v>
      </c>
      <c r="Q145" s="738">
        <f t="shared" si="18"/>
        <v>1747128.4574393095</v>
      </c>
      <c r="R145" s="677">
        <f t="shared" si="19"/>
        <v>0</v>
      </c>
      <c r="S145" s="739">
        <f t="shared" si="20"/>
        <v>-1747128.4574393095</v>
      </c>
      <c r="T145" s="738">
        <v>55.7</v>
      </c>
      <c r="U145" s="677">
        <f t="shared" si="21"/>
        <v>-401040</v>
      </c>
      <c r="V145" s="739">
        <f t="shared" si="22"/>
        <v>-1346088.4574393095</v>
      </c>
      <c r="W145" s="740">
        <v>55.7</v>
      </c>
      <c r="X145" s="678">
        <f t="shared" si="23"/>
        <v>-401040</v>
      </c>
      <c r="Y145" s="700">
        <f t="shared" si="24"/>
        <v>-1346088.4574393095</v>
      </c>
      <c r="Z145" s="740">
        <v>55.7</v>
      </c>
      <c r="AA145" s="678">
        <f t="shared" si="25"/>
        <v>-401040</v>
      </c>
      <c r="AB145" s="741">
        <f t="shared" si="26"/>
        <v>-1346088.4574393095</v>
      </c>
      <c r="AC145" s="714"/>
    </row>
    <row r="146" spans="1:29" ht="15" customHeight="1" x14ac:dyDescent="0.25">
      <c r="A146" s="713"/>
      <c r="B146" s="729" t="s">
        <v>653</v>
      </c>
      <c r="C146" s="545" t="s">
        <v>40</v>
      </c>
      <c r="D146" s="545" t="s">
        <v>410</v>
      </c>
      <c r="E146" s="681">
        <v>44896</v>
      </c>
      <c r="F146" s="545">
        <v>744</v>
      </c>
      <c r="G146" s="545" t="s">
        <v>58</v>
      </c>
      <c r="H146" s="545" t="s">
        <v>3</v>
      </c>
      <c r="I146" s="545" t="s">
        <v>44</v>
      </c>
      <c r="J146" s="545" t="s">
        <v>84</v>
      </c>
      <c r="K146" s="545">
        <v>225</v>
      </c>
      <c r="L146" s="725" t="s">
        <v>54</v>
      </c>
      <c r="M146" s="695">
        <v>10</v>
      </c>
      <c r="N146" s="725">
        <v>0</v>
      </c>
      <c r="O146" s="695">
        <v>242.6567301999041</v>
      </c>
      <c r="P146" s="725">
        <v>0</v>
      </c>
      <c r="Q146" s="742">
        <f t="shared" si="18"/>
        <v>1805366.0726872864</v>
      </c>
      <c r="R146" s="603">
        <f t="shared" si="19"/>
        <v>0</v>
      </c>
      <c r="S146" s="743">
        <f t="shared" si="20"/>
        <v>-1805366.0726872864</v>
      </c>
      <c r="T146" s="742">
        <v>55.7</v>
      </c>
      <c r="U146" s="603">
        <f t="shared" si="21"/>
        <v>-414408</v>
      </c>
      <c r="V146" s="743">
        <f t="shared" si="22"/>
        <v>-1390958.0726872864</v>
      </c>
      <c r="W146" s="744">
        <v>55.7</v>
      </c>
      <c r="X146" s="604">
        <f t="shared" si="23"/>
        <v>-414408</v>
      </c>
      <c r="Y146" s="701">
        <f t="shared" si="24"/>
        <v>-1390958.0726872864</v>
      </c>
      <c r="Z146" s="744">
        <v>78.400653594793155</v>
      </c>
      <c r="AA146" s="604">
        <f t="shared" si="25"/>
        <v>-583300.86274526105</v>
      </c>
      <c r="AB146" s="745">
        <f t="shared" si="26"/>
        <v>-1222065.2099420254</v>
      </c>
      <c r="AC146" s="714"/>
    </row>
    <row r="147" spans="1:29" ht="15" customHeight="1" x14ac:dyDescent="0.25">
      <c r="A147" s="713"/>
      <c r="B147" s="730" t="s">
        <v>654</v>
      </c>
      <c r="C147" s="546" t="s">
        <v>40</v>
      </c>
      <c r="D147" s="546" t="s">
        <v>530</v>
      </c>
      <c r="E147" s="682">
        <v>44562</v>
      </c>
      <c r="F147" s="546">
        <v>744</v>
      </c>
      <c r="G147" s="546" t="s">
        <v>58</v>
      </c>
      <c r="H147" s="546" t="s">
        <v>3</v>
      </c>
      <c r="I147" s="546" t="s">
        <v>44</v>
      </c>
      <c r="J147" s="546" t="s">
        <v>84</v>
      </c>
      <c r="K147" s="546">
        <v>252</v>
      </c>
      <c r="L147" s="726" t="s">
        <v>54</v>
      </c>
      <c r="M147" s="696">
        <v>3</v>
      </c>
      <c r="N147" s="726">
        <v>0</v>
      </c>
      <c r="O147" s="696">
        <v>270.93571502606147</v>
      </c>
      <c r="P147" s="726">
        <v>0</v>
      </c>
      <c r="Q147" s="746">
        <f t="shared" si="18"/>
        <v>604728.51593816921</v>
      </c>
      <c r="R147" s="606">
        <f t="shared" si="19"/>
        <v>0</v>
      </c>
      <c r="S147" s="747">
        <f t="shared" si="20"/>
        <v>-604728.51593816921</v>
      </c>
      <c r="T147" s="746">
        <v>62.91</v>
      </c>
      <c r="U147" s="606">
        <f t="shared" si="21"/>
        <v>-140415.12</v>
      </c>
      <c r="V147" s="747">
        <f t="shared" si="22"/>
        <v>-464313.39593816921</v>
      </c>
      <c r="W147" s="748">
        <v>62.91</v>
      </c>
      <c r="X147" s="607">
        <f t="shared" si="23"/>
        <v>-140415.12</v>
      </c>
      <c r="Y147" s="702">
        <f t="shared" si="24"/>
        <v>-464313.39593816921</v>
      </c>
      <c r="Z147" s="748">
        <v>62.91</v>
      </c>
      <c r="AA147" s="607">
        <f t="shared" si="25"/>
        <v>-140415.12</v>
      </c>
      <c r="AB147" s="749">
        <f t="shared" si="26"/>
        <v>-464313.39593816921</v>
      </c>
      <c r="AC147" s="714"/>
    </row>
    <row r="148" spans="1:29" ht="15" customHeight="1" x14ac:dyDescent="0.25">
      <c r="A148" s="713"/>
      <c r="B148" s="714" t="s">
        <v>654</v>
      </c>
      <c r="C148" s="676" t="s">
        <v>40</v>
      </c>
      <c r="D148" s="676" t="s">
        <v>530</v>
      </c>
      <c r="E148" s="680">
        <v>44593</v>
      </c>
      <c r="F148" s="676">
        <v>672</v>
      </c>
      <c r="G148" s="676" t="s">
        <v>58</v>
      </c>
      <c r="H148" s="676" t="s">
        <v>3</v>
      </c>
      <c r="I148" s="676" t="s">
        <v>44</v>
      </c>
      <c r="J148" s="676" t="s">
        <v>84</v>
      </c>
      <c r="K148" s="676">
        <v>252</v>
      </c>
      <c r="L148" s="690" t="s">
        <v>54</v>
      </c>
      <c r="M148" s="691">
        <v>3</v>
      </c>
      <c r="N148" s="690">
        <v>0</v>
      </c>
      <c r="O148" s="691">
        <v>270.93571502606147</v>
      </c>
      <c r="P148" s="690">
        <v>0</v>
      </c>
      <c r="Q148" s="738">
        <f t="shared" si="18"/>
        <v>546206.40149253991</v>
      </c>
      <c r="R148" s="677">
        <f t="shared" si="19"/>
        <v>0</v>
      </c>
      <c r="S148" s="739">
        <f t="shared" si="20"/>
        <v>-546206.40149253991</v>
      </c>
      <c r="T148" s="738">
        <v>55.7</v>
      </c>
      <c r="U148" s="677">
        <f t="shared" si="21"/>
        <v>-112291.20000000001</v>
      </c>
      <c r="V148" s="739">
        <f t="shared" si="22"/>
        <v>-433915.2014925399</v>
      </c>
      <c r="W148" s="740">
        <v>55.7</v>
      </c>
      <c r="X148" s="678">
        <f t="shared" si="23"/>
        <v>-112291.20000000001</v>
      </c>
      <c r="Y148" s="700">
        <f t="shared" si="24"/>
        <v>-433915.2014925399</v>
      </c>
      <c r="Z148" s="740">
        <v>55.7</v>
      </c>
      <c r="AA148" s="678">
        <f t="shared" si="25"/>
        <v>-112291.20000000001</v>
      </c>
      <c r="AB148" s="741">
        <f t="shared" si="26"/>
        <v>-433915.2014925399</v>
      </c>
      <c r="AC148" s="714"/>
    </row>
    <row r="149" spans="1:29" ht="15" customHeight="1" x14ac:dyDescent="0.25">
      <c r="A149" s="713"/>
      <c r="B149" s="714" t="s">
        <v>654</v>
      </c>
      <c r="C149" s="676" t="s">
        <v>40</v>
      </c>
      <c r="D149" s="676" t="s">
        <v>530</v>
      </c>
      <c r="E149" s="680">
        <v>44621</v>
      </c>
      <c r="F149" s="676">
        <v>744</v>
      </c>
      <c r="G149" s="676" t="s">
        <v>58</v>
      </c>
      <c r="H149" s="676" t="s">
        <v>3</v>
      </c>
      <c r="I149" s="676" t="s">
        <v>44</v>
      </c>
      <c r="J149" s="676" t="s">
        <v>84</v>
      </c>
      <c r="K149" s="676">
        <v>252</v>
      </c>
      <c r="L149" s="690" t="s">
        <v>54</v>
      </c>
      <c r="M149" s="691">
        <v>3</v>
      </c>
      <c r="N149" s="690">
        <v>0</v>
      </c>
      <c r="O149" s="691">
        <v>270.93571502606147</v>
      </c>
      <c r="P149" s="690">
        <v>0</v>
      </c>
      <c r="Q149" s="738">
        <f t="shared" si="18"/>
        <v>604728.51593816921</v>
      </c>
      <c r="R149" s="677">
        <f t="shared" si="19"/>
        <v>0</v>
      </c>
      <c r="S149" s="739">
        <f t="shared" si="20"/>
        <v>-604728.51593816921</v>
      </c>
      <c r="T149" s="738">
        <v>55.7</v>
      </c>
      <c r="U149" s="677">
        <f t="shared" si="21"/>
        <v>-124322.40000000001</v>
      </c>
      <c r="V149" s="739">
        <f t="shared" si="22"/>
        <v>-480406.11593816918</v>
      </c>
      <c r="W149" s="740">
        <v>55.7</v>
      </c>
      <c r="X149" s="678">
        <f t="shared" si="23"/>
        <v>-124322.40000000001</v>
      </c>
      <c r="Y149" s="700">
        <f t="shared" si="24"/>
        <v>-480406.11593816918</v>
      </c>
      <c r="Z149" s="740">
        <v>55.7</v>
      </c>
      <c r="AA149" s="678">
        <f t="shared" si="25"/>
        <v>-124322.40000000001</v>
      </c>
      <c r="AB149" s="741">
        <f t="shared" si="26"/>
        <v>-480406.11593816918</v>
      </c>
      <c r="AC149" s="714"/>
    </row>
    <row r="150" spans="1:29" ht="15" customHeight="1" x14ac:dyDescent="0.25">
      <c r="A150" s="713"/>
      <c r="B150" s="714" t="s">
        <v>654</v>
      </c>
      <c r="C150" s="676" t="s">
        <v>40</v>
      </c>
      <c r="D150" s="676" t="s">
        <v>530</v>
      </c>
      <c r="E150" s="680">
        <v>44652</v>
      </c>
      <c r="F150" s="676">
        <v>720</v>
      </c>
      <c r="G150" s="676" t="s">
        <v>58</v>
      </c>
      <c r="H150" s="676" t="s">
        <v>3</v>
      </c>
      <c r="I150" s="676" t="s">
        <v>44</v>
      </c>
      <c r="J150" s="676" t="s">
        <v>84</v>
      </c>
      <c r="K150" s="676">
        <v>252</v>
      </c>
      <c r="L150" s="690" t="s">
        <v>54</v>
      </c>
      <c r="M150" s="691">
        <v>3</v>
      </c>
      <c r="N150" s="690">
        <v>0</v>
      </c>
      <c r="O150" s="691">
        <v>270.93571502606147</v>
      </c>
      <c r="P150" s="690">
        <v>0</v>
      </c>
      <c r="Q150" s="738">
        <f t="shared" si="18"/>
        <v>585221.14445629274</v>
      </c>
      <c r="R150" s="677">
        <f t="shared" si="19"/>
        <v>0</v>
      </c>
      <c r="S150" s="739">
        <f t="shared" si="20"/>
        <v>-585221.14445629274</v>
      </c>
      <c r="T150" s="738">
        <v>55.7</v>
      </c>
      <c r="U150" s="677">
        <f t="shared" si="21"/>
        <v>-120312</v>
      </c>
      <c r="V150" s="739">
        <f t="shared" si="22"/>
        <v>-464909.14445629274</v>
      </c>
      <c r="W150" s="740">
        <v>55.7</v>
      </c>
      <c r="X150" s="678">
        <f t="shared" si="23"/>
        <v>-120312</v>
      </c>
      <c r="Y150" s="700">
        <f t="shared" si="24"/>
        <v>-464909.14445629274</v>
      </c>
      <c r="Z150" s="740">
        <v>55.7</v>
      </c>
      <c r="AA150" s="678">
        <f t="shared" si="25"/>
        <v>-120312</v>
      </c>
      <c r="AB150" s="741">
        <f t="shared" si="26"/>
        <v>-464909.14445629274</v>
      </c>
      <c r="AC150" s="714"/>
    </row>
    <row r="151" spans="1:29" ht="15" customHeight="1" x14ac:dyDescent="0.25">
      <c r="A151" s="713"/>
      <c r="B151" s="714" t="s">
        <v>654</v>
      </c>
      <c r="C151" s="676" t="s">
        <v>40</v>
      </c>
      <c r="D151" s="676" t="s">
        <v>530</v>
      </c>
      <c r="E151" s="680">
        <v>44682</v>
      </c>
      <c r="F151" s="676">
        <v>744</v>
      </c>
      <c r="G151" s="676" t="s">
        <v>58</v>
      </c>
      <c r="H151" s="676" t="s">
        <v>3</v>
      </c>
      <c r="I151" s="676" t="s">
        <v>44</v>
      </c>
      <c r="J151" s="676" t="s">
        <v>84</v>
      </c>
      <c r="K151" s="676">
        <v>252</v>
      </c>
      <c r="L151" s="690" t="s">
        <v>54</v>
      </c>
      <c r="M151" s="691">
        <v>3</v>
      </c>
      <c r="N151" s="690">
        <v>0</v>
      </c>
      <c r="O151" s="691">
        <v>270.93571502606147</v>
      </c>
      <c r="P151" s="690">
        <v>0</v>
      </c>
      <c r="Q151" s="738">
        <f t="shared" si="18"/>
        <v>604728.51593816921</v>
      </c>
      <c r="R151" s="677">
        <f t="shared" si="19"/>
        <v>0</v>
      </c>
      <c r="S151" s="739">
        <f t="shared" si="20"/>
        <v>-604728.51593816921</v>
      </c>
      <c r="T151" s="738">
        <v>55.7</v>
      </c>
      <c r="U151" s="677">
        <f t="shared" si="21"/>
        <v>-124322.40000000001</v>
      </c>
      <c r="V151" s="739">
        <f t="shared" si="22"/>
        <v>-480406.11593816918</v>
      </c>
      <c r="W151" s="740">
        <v>55.7</v>
      </c>
      <c r="X151" s="678">
        <f t="shared" si="23"/>
        <v>-124322.40000000001</v>
      </c>
      <c r="Y151" s="700">
        <f t="shared" si="24"/>
        <v>-480406.11593816918</v>
      </c>
      <c r="Z151" s="740">
        <v>55.7</v>
      </c>
      <c r="AA151" s="678">
        <f t="shared" si="25"/>
        <v>-124322.40000000001</v>
      </c>
      <c r="AB151" s="741">
        <f t="shared" si="26"/>
        <v>-480406.11593816918</v>
      </c>
      <c r="AC151" s="714"/>
    </row>
    <row r="152" spans="1:29" ht="15" customHeight="1" x14ac:dyDescent="0.25">
      <c r="A152" s="713"/>
      <c r="B152" s="714" t="s">
        <v>654</v>
      </c>
      <c r="C152" s="676" t="s">
        <v>40</v>
      </c>
      <c r="D152" s="676" t="s">
        <v>530</v>
      </c>
      <c r="E152" s="680">
        <v>44713</v>
      </c>
      <c r="F152" s="676">
        <v>720</v>
      </c>
      <c r="G152" s="676" t="s">
        <v>58</v>
      </c>
      <c r="H152" s="676" t="s">
        <v>3</v>
      </c>
      <c r="I152" s="676" t="s">
        <v>44</v>
      </c>
      <c r="J152" s="676" t="s">
        <v>84</v>
      </c>
      <c r="K152" s="676">
        <v>252</v>
      </c>
      <c r="L152" s="690" t="s">
        <v>54</v>
      </c>
      <c r="M152" s="691">
        <v>3</v>
      </c>
      <c r="N152" s="690">
        <v>0</v>
      </c>
      <c r="O152" s="691">
        <v>270.93571502606147</v>
      </c>
      <c r="P152" s="690">
        <v>0</v>
      </c>
      <c r="Q152" s="738">
        <f t="shared" si="18"/>
        <v>585221.14445629274</v>
      </c>
      <c r="R152" s="677">
        <f t="shared" si="19"/>
        <v>0</v>
      </c>
      <c r="S152" s="739">
        <f t="shared" si="20"/>
        <v>-585221.14445629274</v>
      </c>
      <c r="T152" s="738">
        <v>55.71</v>
      </c>
      <c r="U152" s="677">
        <f t="shared" si="21"/>
        <v>-120333.6</v>
      </c>
      <c r="V152" s="739">
        <f t="shared" si="22"/>
        <v>-464887.54445629276</v>
      </c>
      <c r="W152" s="740">
        <v>55.71</v>
      </c>
      <c r="X152" s="678">
        <f t="shared" si="23"/>
        <v>-120333.6</v>
      </c>
      <c r="Y152" s="700">
        <f t="shared" si="24"/>
        <v>-464887.54445629276</v>
      </c>
      <c r="Z152" s="740">
        <v>55.71</v>
      </c>
      <c r="AA152" s="678">
        <f t="shared" si="25"/>
        <v>-120333.6</v>
      </c>
      <c r="AB152" s="741">
        <f t="shared" si="26"/>
        <v>-464887.54445629276</v>
      </c>
      <c r="AC152" s="714"/>
    </row>
    <row r="153" spans="1:29" ht="15" customHeight="1" x14ac:dyDescent="0.25">
      <c r="A153" s="713"/>
      <c r="B153" s="714" t="s">
        <v>654</v>
      </c>
      <c r="C153" s="676" t="s">
        <v>40</v>
      </c>
      <c r="D153" s="676" t="s">
        <v>530</v>
      </c>
      <c r="E153" s="680">
        <v>44743</v>
      </c>
      <c r="F153" s="676">
        <v>744</v>
      </c>
      <c r="G153" s="676" t="s">
        <v>58</v>
      </c>
      <c r="H153" s="676" t="s">
        <v>3</v>
      </c>
      <c r="I153" s="676" t="s">
        <v>44</v>
      </c>
      <c r="J153" s="676" t="s">
        <v>84</v>
      </c>
      <c r="K153" s="676">
        <v>252</v>
      </c>
      <c r="L153" s="690" t="s">
        <v>54</v>
      </c>
      <c r="M153" s="691">
        <v>3</v>
      </c>
      <c r="N153" s="690">
        <v>0</v>
      </c>
      <c r="O153" s="691">
        <v>270.93571502606147</v>
      </c>
      <c r="P153" s="690">
        <v>0</v>
      </c>
      <c r="Q153" s="738">
        <f t="shared" si="18"/>
        <v>604728.51593816921</v>
      </c>
      <c r="R153" s="677">
        <f t="shared" si="19"/>
        <v>0</v>
      </c>
      <c r="S153" s="739">
        <f t="shared" si="20"/>
        <v>-604728.51593816921</v>
      </c>
      <c r="T153" s="738">
        <v>66.319999999999993</v>
      </c>
      <c r="U153" s="677">
        <f t="shared" si="21"/>
        <v>-148026.23999999999</v>
      </c>
      <c r="V153" s="739">
        <f t="shared" si="22"/>
        <v>-456702.27593816922</v>
      </c>
      <c r="W153" s="740">
        <v>66.319999999999993</v>
      </c>
      <c r="X153" s="678">
        <f t="shared" si="23"/>
        <v>-148026.23999999999</v>
      </c>
      <c r="Y153" s="700">
        <f t="shared" si="24"/>
        <v>-456702.27593816922</v>
      </c>
      <c r="Z153" s="740">
        <v>66.319999999999993</v>
      </c>
      <c r="AA153" s="678">
        <f t="shared" si="25"/>
        <v>-148026.23999999999</v>
      </c>
      <c r="AB153" s="741">
        <f t="shared" si="26"/>
        <v>-456702.27593816922</v>
      </c>
      <c r="AC153" s="714"/>
    </row>
    <row r="154" spans="1:29" ht="15" customHeight="1" x14ac:dyDescent="0.25">
      <c r="A154" s="713"/>
      <c r="B154" s="714" t="s">
        <v>654</v>
      </c>
      <c r="C154" s="676" t="s">
        <v>40</v>
      </c>
      <c r="D154" s="676" t="s">
        <v>530</v>
      </c>
      <c r="E154" s="680">
        <v>44774</v>
      </c>
      <c r="F154" s="676">
        <v>744</v>
      </c>
      <c r="G154" s="676" t="s">
        <v>58</v>
      </c>
      <c r="H154" s="676" t="s">
        <v>3</v>
      </c>
      <c r="I154" s="676" t="s">
        <v>44</v>
      </c>
      <c r="J154" s="676" t="s">
        <v>84</v>
      </c>
      <c r="K154" s="676">
        <v>252</v>
      </c>
      <c r="L154" s="690" t="s">
        <v>54</v>
      </c>
      <c r="M154" s="691">
        <v>3</v>
      </c>
      <c r="N154" s="690">
        <v>0</v>
      </c>
      <c r="O154" s="691">
        <v>270.93571502606147</v>
      </c>
      <c r="P154" s="690">
        <v>0</v>
      </c>
      <c r="Q154" s="738">
        <f t="shared" si="18"/>
        <v>604728.51593816921</v>
      </c>
      <c r="R154" s="677">
        <f t="shared" si="19"/>
        <v>0</v>
      </c>
      <c r="S154" s="739">
        <f t="shared" si="20"/>
        <v>-604728.51593816921</v>
      </c>
      <c r="T154" s="738">
        <v>76.900000000000006</v>
      </c>
      <c r="U154" s="677">
        <f t="shared" si="21"/>
        <v>-171640.80000000002</v>
      </c>
      <c r="V154" s="739">
        <f t="shared" si="22"/>
        <v>-433087.71593816916</v>
      </c>
      <c r="W154" s="740">
        <v>76.900000000000006</v>
      </c>
      <c r="X154" s="678">
        <f t="shared" si="23"/>
        <v>-171640.80000000002</v>
      </c>
      <c r="Y154" s="700">
        <f t="shared" si="24"/>
        <v>-433087.71593816916</v>
      </c>
      <c r="Z154" s="740">
        <v>76.900000000000006</v>
      </c>
      <c r="AA154" s="678">
        <f t="shared" si="25"/>
        <v>-171640.80000000002</v>
      </c>
      <c r="AB154" s="741">
        <f t="shared" si="26"/>
        <v>-433087.71593816916</v>
      </c>
      <c r="AC154" s="714"/>
    </row>
    <row r="155" spans="1:29" ht="15" customHeight="1" x14ac:dyDescent="0.25">
      <c r="A155" s="713"/>
      <c r="B155" s="714" t="s">
        <v>654</v>
      </c>
      <c r="C155" s="676" t="s">
        <v>40</v>
      </c>
      <c r="D155" s="676" t="s">
        <v>530</v>
      </c>
      <c r="E155" s="680">
        <v>44805</v>
      </c>
      <c r="F155" s="676">
        <v>720</v>
      </c>
      <c r="G155" s="676" t="s">
        <v>58</v>
      </c>
      <c r="H155" s="676" t="s">
        <v>3</v>
      </c>
      <c r="I155" s="676" t="s">
        <v>44</v>
      </c>
      <c r="J155" s="676" t="s">
        <v>84</v>
      </c>
      <c r="K155" s="676">
        <v>252</v>
      </c>
      <c r="L155" s="690" t="s">
        <v>54</v>
      </c>
      <c r="M155" s="691">
        <v>3</v>
      </c>
      <c r="N155" s="690">
        <v>0</v>
      </c>
      <c r="O155" s="691">
        <v>270.93571502606147</v>
      </c>
      <c r="P155" s="690">
        <v>0</v>
      </c>
      <c r="Q155" s="738">
        <f t="shared" si="18"/>
        <v>585221.14445629274</v>
      </c>
      <c r="R155" s="677">
        <f t="shared" si="19"/>
        <v>0</v>
      </c>
      <c r="S155" s="739">
        <f t="shared" si="20"/>
        <v>-585221.14445629274</v>
      </c>
      <c r="T155" s="738">
        <v>56.08</v>
      </c>
      <c r="U155" s="677">
        <f t="shared" si="21"/>
        <v>-121132.8</v>
      </c>
      <c r="V155" s="739">
        <f t="shared" si="22"/>
        <v>-464088.34445629275</v>
      </c>
      <c r="W155" s="740">
        <v>56.08</v>
      </c>
      <c r="X155" s="678">
        <f t="shared" si="23"/>
        <v>-121132.8</v>
      </c>
      <c r="Y155" s="700">
        <f t="shared" si="24"/>
        <v>-464088.34445629275</v>
      </c>
      <c r="Z155" s="740">
        <v>56.08</v>
      </c>
      <c r="AA155" s="678">
        <f t="shared" si="25"/>
        <v>-121132.8</v>
      </c>
      <c r="AB155" s="741">
        <f t="shared" si="26"/>
        <v>-464088.34445629275</v>
      </c>
      <c r="AC155" s="714"/>
    </row>
    <row r="156" spans="1:29" ht="15" customHeight="1" x14ac:dyDescent="0.25">
      <c r="A156" s="713"/>
      <c r="B156" s="714" t="s">
        <v>654</v>
      </c>
      <c r="C156" s="676" t="s">
        <v>40</v>
      </c>
      <c r="D156" s="676" t="s">
        <v>530</v>
      </c>
      <c r="E156" s="680">
        <v>44835</v>
      </c>
      <c r="F156" s="676">
        <v>744</v>
      </c>
      <c r="G156" s="676" t="s">
        <v>58</v>
      </c>
      <c r="H156" s="676" t="s">
        <v>3</v>
      </c>
      <c r="I156" s="676" t="s">
        <v>44</v>
      </c>
      <c r="J156" s="676" t="s">
        <v>84</v>
      </c>
      <c r="K156" s="676">
        <v>252</v>
      </c>
      <c r="L156" s="690" t="s">
        <v>54</v>
      </c>
      <c r="M156" s="691">
        <v>3</v>
      </c>
      <c r="N156" s="690">
        <v>0</v>
      </c>
      <c r="O156" s="691">
        <v>270.93571502606147</v>
      </c>
      <c r="P156" s="690">
        <v>0</v>
      </c>
      <c r="Q156" s="738">
        <f t="shared" si="18"/>
        <v>604728.51593816921</v>
      </c>
      <c r="R156" s="677">
        <f t="shared" si="19"/>
        <v>0</v>
      </c>
      <c r="S156" s="739">
        <f t="shared" si="20"/>
        <v>-604728.51593816921</v>
      </c>
      <c r="T156" s="738">
        <v>55.7</v>
      </c>
      <c r="U156" s="677">
        <f t="shared" si="21"/>
        <v>-124322.40000000001</v>
      </c>
      <c r="V156" s="739">
        <f t="shared" si="22"/>
        <v>-480406.11593816918</v>
      </c>
      <c r="W156" s="740">
        <v>55.7</v>
      </c>
      <c r="X156" s="678">
        <f t="shared" si="23"/>
        <v>-124322.40000000001</v>
      </c>
      <c r="Y156" s="700">
        <f t="shared" si="24"/>
        <v>-480406.11593816918</v>
      </c>
      <c r="Z156" s="740">
        <v>55.7</v>
      </c>
      <c r="AA156" s="678">
        <f t="shared" si="25"/>
        <v>-124322.40000000001</v>
      </c>
      <c r="AB156" s="741">
        <f t="shared" si="26"/>
        <v>-480406.11593816918</v>
      </c>
      <c r="AC156" s="714"/>
    </row>
    <row r="157" spans="1:29" ht="15" customHeight="1" x14ac:dyDescent="0.25">
      <c r="A157" s="713"/>
      <c r="B157" s="714" t="s">
        <v>654</v>
      </c>
      <c r="C157" s="676" t="s">
        <v>40</v>
      </c>
      <c r="D157" s="676" t="s">
        <v>530</v>
      </c>
      <c r="E157" s="680">
        <v>44866</v>
      </c>
      <c r="F157" s="676">
        <v>720</v>
      </c>
      <c r="G157" s="676" t="s">
        <v>58</v>
      </c>
      <c r="H157" s="676" t="s">
        <v>3</v>
      </c>
      <c r="I157" s="676" t="s">
        <v>44</v>
      </c>
      <c r="J157" s="676" t="s">
        <v>84</v>
      </c>
      <c r="K157" s="676">
        <v>252</v>
      </c>
      <c r="L157" s="690" t="s">
        <v>54</v>
      </c>
      <c r="M157" s="691">
        <v>3</v>
      </c>
      <c r="N157" s="690">
        <v>0</v>
      </c>
      <c r="O157" s="691">
        <v>270.93571502606147</v>
      </c>
      <c r="P157" s="690">
        <v>0</v>
      </c>
      <c r="Q157" s="738">
        <f t="shared" si="18"/>
        <v>585221.14445629274</v>
      </c>
      <c r="R157" s="677">
        <f t="shared" si="19"/>
        <v>0</v>
      </c>
      <c r="S157" s="739">
        <f t="shared" si="20"/>
        <v>-585221.14445629274</v>
      </c>
      <c r="T157" s="738">
        <v>55.7</v>
      </c>
      <c r="U157" s="677">
        <f t="shared" si="21"/>
        <v>-120312</v>
      </c>
      <c r="V157" s="739">
        <f t="shared" si="22"/>
        <v>-464909.14445629274</v>
      </c>
      <c r="W157" s="740">
        <v>55.7</v>
      </c>
      <c r="X157" s="678">
        <f t="shared" si="23"/>
        <v>-120312</v>
      </c>
      <c r="Y157" s="700">
        <f t="shared" si="24"/>
        <v>-464909.14445629274</v>
      </c>
      <c r="Z157" s="740">
        <v>55.7</v>
      </c>
      <c r="AA157" s="678">
        <f t="shared" si="25"/>
        <v>-120312</v>
      </c>
      <c r="AB157" s="741">
        <f t="shared" si="26"/>
        <v>-464909.14445629274</v>
      </c>
      <c r="AC157" s="714"/>
    </row>
    <row r="158" spans="1:29" ht="15" customHeight="1" x14ac:dyDescent="0.25">
      <c r="A158" s="713"/>
      <c r="B158" s="729" t="s">
        <v>654</v>
      </c>
      <c r="C158" s="545" t="s">
        <v>40</v>
      </c>
      <c r="D158" s="545" t="s">
        <v>530</v>
      </c>
      <c r="E158" s="681">
        <v>44896</v>
      </c>
      <c r="F158" s="545">
        <v>744</v>
      </c>
      <c r="G158" s="545" t="s">
        <v>58</v>
      </c>
      <c r="H158" s="545" t="s">
        <v>3</v>
      </c>
      <c r="I158" s="545" t="s">
        <v>44</v>
      </c>
      <c r="J158" s="545" t="s">
        <v>84</v>
      </c>
      <c r="K158" s="545">
        <v>252</v>
      </c>
      <c r="L158" s="725" t="s">
        <v>54</v>
      </c>
      <c r="M158" s="695">
        <v>3</v>
      </c>
      <c r="N158" s="725">
        <v>0</v>
      </c>
      <c r="O158" s="695">
        <v>270.93571502606147</v>
      </c>
      <c r="P158" s="725">
        <v>0</v>
      </c>
      <c r="Q158" s="742">
        <f t="shared" si="18"/>
        <v>604728.51593816921</v>
      </c>
      <c r="R158" s="603">
        <f t="shared" si="19"/>
        <v>0</v>
      </c>
      <c r="S158" s="743">
        <f t="shared" si="20"/>
        <v>-604728.51593816921</v>
      </c>
      <c r="T158" s="742">
        <v>55.7</v>
      </c>
      <c r="U158" s="603">
        <f t="shared" si="21"/>
        <v>-124322.40000000001</v>
      </c>
      <c r="V158" s="743">
        <f t="shared" si="22"/>
        <v>-480406.11593816918</v>
      </c>
      <c r="W158" s="744">
        <v>55.7</v>
      </c>
      <c r="X158" s="604">
        <f t="shared" si="23"/>
        <v>-124322.40000000001</v>
      </c>
      <c r="Y158" s="701">
        <f t="shared" si="24"/>
        <v>-480406.11593816918</v>
      </c>
      <c r="Z158" s="744">
        <v>78.400653594793155</v>
      </c>
      <c r="AA158" s="604">
        <f t="shared" si="25"/>
        <v>-174990.25882357833</v>
      </c>
      <c r="AB158" s="745">
        <f t="shared" si="26"/>
        <v>-429738.25711459084</v>
      </c>
      <c r="AC158" s="714"/>
    </row>
    <row r="159" spans="1:29" ht="15" customHeight="1" x14ac:dyDescent="0.25">
      <c r="A159" s="713"/>
      <c r="B159" s="730" t="s">
        <v>655</v>
      </c>
      <c r="C159" s="546" t="s">
        <v>40</v>
      </c>
      <c r="D159" s="546" t="s">
        <v>465</v>
      </c>
      <c r="E159" s="682">
        <v>44562</v>
      </c>
      <c r="F159" s="546">
        <v>744</v>
      </c>
      <c r="G159" s="546" t="s">
        <v>59</v>
      </c>
      <c r="H159" s="546" t="s">
        <v>3</v>
      </c>
      <c r="I159" s="546" t="s">
        <v>44</v>
      </c>
      <c r="J159" s="546" t="s">
        <v>85</v>
      </c>
      <c r="K159" s="546">
        <v>270</v>
      </c>
      <c r="L159" s="726" t="s">
        <v>54</v>
      </c>
      <c r="M159" s="696">
        <v>0</v>
      </c>
      <c r="N159" s="726">
        <v>5</v>
      </c>
      <c r="O159" s="696">
        <v>0</v>
      </c>
      <c r="P159" s="726">
        <v>290.28826609935157</v>
      </c>
      <c r="Q159" s="746">
        <f t="shared" si="18"/>
        <v>0</v>
      </c>
      <c r="R159" s="606">
        <f t="shared" si="19"/>
        <v>1079872.3498895878</v>
      </c>
      <c r="S159" s="747">
        <f t="shared" si="20"/>
        <v>1079872.3498895878</v>
      </c>
      <c r="T159" s="746">
        <v>62.91</v>
      </c>
      <c r="U159" s="606">
        <f t="shared" si="21"/>
        <v>234025.19999999998</v>
      </c>
      <c r="V159" s="747">
        <f t="shared" si="22"/>
        <v>845847.14988958789</v>
      </c>
      <c r="W159" s="748">
        <v>62.91</v>
      </c>
      <c r="X159" s="607">
        <f t="shared" si="23"/>
        <v>234025.19999999998</v>
      </c>
      <c r="Y159" s="702">
        <f t="shared" si="24"/>
        <v>845847.14988958789</v>
      </c>
      <c r="Z159" s="748">
        <v>62.91</v>
      </c>
      <c r="AA159" s="607">
        <f t="shared" si="25"/>
        <v>234025.19999999998</v>
      </c>
      <c r="AB159" s="749">
        <f t="shared" si="26"/>
        <v>845847.14988958789</v>
      </c>
      <c r="AC159" s="714"/>
    </row>
    <row r="160" spans="1:29" ht="15" customHeight="1" x14ac:dyDescent="0.25">
      <c r="A160" s="713"/>
      <c r="B160" s="714" t="s">
        <v>655</v>
      </c>
      <c r="C160" s="676" t="s">
        <v>40</v>
      </c>
      <c r="D160" s="676" t="s">
        <v>465</v>
      </c>
      <c r="E160" s="680">
        <v>44593</v>
      </c>
      <c r="F160" s="676">
        <v>672</v>
      </c>
      <c r="G160" s="676" t="s">
        <v>59</v>
      </c>
      <c r="H160" s="676" t="s">
        <v>3</v>
      </c>
      <c r="I160" s="676" t="s">
        <v>44</v>
      </c>
      <c r="J160" s="676" t="s">
        <v>85</v>
      </c>
      <c r="K160" s="676">
        <v>270</v>
      </c>
      <c r="L160" s="690" t="s">
        <v>54</v>
      </c>
      <c r="M160" s="691">
        <v>0</v>
      </c>
      <c r="N160" s="690">
        <v>5</v>
      </c>
      <c r="O160" s="691">
        <v>0</v>
      </c>
      <c r="P160" s="690">
        <v>290.28826609935157</v>
      </c>
      <c r="Q160" s="738">
        <f t="shared" si="18"/>
        <v>0</v>
      </c>
      <c r="R160" s="677">
        <f t="shared" si="19"/>
        <v>975368.57409382134</v>
      </c>
      <c r="S160" s="739">
        <f t="shared" si="20"/>
        <v>975368.57409382134</v>
      </c>
      <c r="T160" s="738">
        <v>55.7</v>
      </c>
      <c r="U160" s="677">
        <f t="shared" si="21"/>
        <v>187152</v>
      </c>
      <c r="V160" s="739">
        <f t="shared" si="22"/>
        <v>788216.57409382134</v>
      </c>
      <c r="W160" s="740">
        <v>55.7</v>
      </c>
      <c r="X160" s="678">
        <f t="shared" si="23"/>
        <v>187152</v>
      </c>
      <c r="Y160" s="700">
        <f t="shared" si="24"/>
        <v>788216.57409382134</v>
      </c>
      <c r="Z160" s="740">
        <v>55.7</v>
      </c>
      <c r="AA160" s="678">
        <f t="shared" si="25"/>
        <v>187152</v>
      </c>
      <c r="AB160" s="741">
        <f t="shared" si="26"/>
        <v>788216.57409382134</v>
      </c>
      <c r="AC160" s="714"/>
    </row>
    <row r="161" spans="1:29" ht="15" customHeight="1" x14ac:dyDescent="0.25">
      <c r="A161" s="713"/>
      <c r="B161" s="729" t="s">
        <v>655</v>
      </c>
      <c r="C161" s="545" t="s">
        <v>40</v>
      </c>
      <c r="D161" s="545" t="s">
        <v>465</v>
      </c>
      <c r="E161" s="681">
        <v>44621</v>
      </c>
      <c r="F161" s="545">
        <v>744</v>
      </c>
      <c r="G161" s="545" t="s">
        <v>59</v>
      </c>
      <c r="H161" s="545" t="s">
        <v>3</v>
      </c>
      <c r="I161" s="545" t="s">
        <v>44</v>
      </c>
      <c r="J161" s="545" t="s">
        <v>85</v>
      </c>
      <c r="K161" s="545">
        <v>270</v>
      </c>
      <c r="L161" s="725" t="s">
        <v>54</v>
      </c>
      <c r="M161" s="695">
        <v>0</v>
      </c>
      <c r="N161" s="725">
        <v>5</v>
      </c>
      <c r="O161" s="695">
        <v>0</v>
      </c>
      <c r="P161" s="725">
        <v>290.28826609935157</v>
      </c>
      <c r="Q161" s="742">
        <f t="shared" si="18"/>
        <v>0</v>
      </c>
      <c r="R161" s="603">
        <f t="shared" si="19"/>
        <v>1079872.3498895878</v>
      </c>
      <c r="S161" s="743">
        <f t="shared" si="20"/>
        <v>1079872.3498895878</v>
      </c>
      <c r="T161" s="742">
        <v>55.7</v>
      </c>
      <c r="U161" s="603">
        <f t="shared" si="21"/>
        <v>207204</v>
      </c>
      <c r="V161" s="743">
        <f t="shared" si="22"/>
        <v>872668.34988958784</v>
      </c>
      <c r="W161" s="744">
        <v>55.7</v>
      </c>
      <c r="X161" s="604">
        <f t="shared" si="23"/>
        <v>207204</v>
      </c>
      <c r="Y161" s="701">
        <f t="shared" si="24"/>
        <v>872668.34988958784</v>
      </c>
      <c r="Z161" s="744">
        <v>55.7</v>
      </c>
      <c r="AA161" s="604">
        <f t="shared" si="25"/>
        <v>207204</v>
      </c>
      <c r="AB161" s="745">
        <f t="shared" si="26"/>
        <v>872668.34988958784</v>
      </c>
      <c r="AC161" s="714"/>
    </row>
    <row r="162" spans="1:29" ht="15" customHeight="1" x14ac:dyDescent="0.25">
      <c r="A162" s="713"/>
      <c r="B162" s="730" t="s">
        <v>656</v>
      </c>
      <c r="C162" s="546" t="s">
        <v>40</v>
      </c>
      <c r="D162" s="546" t="s">
        <v>404</v>
      </c>
      <c r="E162" s="682">
        <v>44562</v>
      </c>
      <c r="F162" s="546">
        <v>744</v>
      </c>
      <c r="G162" s="546" t="s">
        <v>58</v>
      </c>
      <c r="H162" s="546" t="s">
        <v>3</v>
      </c>
      <c r="I162" s="546" t="s">
        <v>44</v>
      </c>
      <c r="J162" s="546" t="s">
        <v>84</v>
      </c>
      <c r="K162" s="546">
        <v>266</v>
      </c>
      <c r="L162" s="726" t="s">
        <v>54</v>
      </c>
      <c r="M162" s="696">
        <v>3</v>
      </c>
      <c r="N162" s="726">
        <v>0</v>
      </c>
      <c r="O162" s="696">
        <v>285.987699194176</v>
      </c>
      <c r="P162" s="726">
        <v>0</v>
      </c>
      <c r="Q162" s="746">
        <f t="shared" si="18"/>
        <v>638324.54460140085</v>
      </c>
      <c r="R162" s="606">
        <f t="shared" si="19"/>
        <v>0</v>
      </c>
      <c r="S162" s="747">
        <f t="shared" si="20"/>
        <v>-638324.54460140085</v>
      </c>
      <c r="T162" s="746">
        <v>62.91</v>
      </c>
      <c r="U162" s="606">
        <f t="shared" si="21"/>
        <v>-140415.12</v>
      </c>
      <c r="V162" s="747">
        <f t="shared" si="22"/>
        <v>-497909.42460140085</v>
      </c>
      <c r="W162" s="748">
        <v>62.91</v>
      </c>
      <c r="X162" s="607">
        <f t="shared" si="23"/>
        <v>-140415.12</v>
      </c>
      <c r="Y162" s="702">
        <f t="shared" si="24"/>
        <v>-497909.42460140085</v>
      </c>
      <c r="Z162" s="748">
        <v>62.91</v>
      </c>
      <c r="AA162" s="607">
        <f t="shared" si="25"/>
        <v>-140415.12</v>
      </c>
      <c r="AB162" s="749">
        <f t="shared" si="26"/>
        <v>-497909.42460140085</v>
      </c>
      <c r="AC162" s="714"/>
    </row>
    <row r="163" spans="1:29" ht="15" customHeight="1" x14ac:dyDescent="0.25">
      <c r="A163" s="713"/>
      <c r="B163" s="714" t="s">
        <v>656</v>
      </c>
      <c r="C163" s="676" t="s">
        <v>40</v>
      </c>
      <c r="D163" s="676" t="s">
        <v>404</v>
      </c>
      <c r="E163" s="680">
        <v>44593</v>
      </c>
      <c r="F163" s="676">
        <v>672</v>
      </c>
      <c r="G163" s="676" t="s">
        <v>58</v>
      </c>
      <c r="H163" s="676" t="s">
        <v>3</v>
      </c>
      <c r="I163" s="676" t="s">
        <v>44</v>
      </c>
      <c r="J163" s="676" t="s">
        <v>84</v>
      </c>
      <c r="K163" s="676">
        <v>266</v>
      </c>
      <c r="L163" s="690" t="s">
        <v>54</v>
      </c>
      <c r="M163" s="691">
        <v>3</v>
      </c>
      <c r="N163" s="690">
        <v>0</v>
      </c>
      <c r="O163" s="691">
        <v>285.987699194176</v>
      </c>
      <c r="P163" s="690">
        <v>0</v>
      </c>
      <c r="Q163" s="738">
        <f t="shared" si="18"/>
        <v>576551.20157545886</v>
      </c>
      <c r="R163" s="677">
        <f t="shared" si="19"/>
        <v>0</v>
      </c>
      <c r="S163" s="739">
        <f t="shared" si="20"/>
        <v>-576551.20157545886</v>
      </c>
      <c r="T163" s="738">
        <v>55.7</v>
      </c>
      <c r="U163" s="677">
        <f t="shared" si="21"/>
        <v>-112291.20000000001</v>
      </c>
      <c r="V163" s="739">
        <f t="shared" si="22"/>
        <v>-464260.00157545885</v>
      </c>
      <c r="W163" s="740">
        <v>55.7</v>
      </c>
      <c r="X163" s="678">
        <f t="shared" si="23"/>
        <v>-112291.20000000001</v>
      </c>
      <c r="Y163" s="700">
        <f t="shared" si="24"/>
        <v>-464260.00157545885</v>
      </c>
      <c r="Z163" s="740">
        <v>55.7</v>
      </c>
      <c r="AA163" s="678">
        <f t="shared" si="25"/>
        <v>-112291.20000000001</v>
      </c>
      <c r="AB163" s="741">
        <f t="shared" si="26"/>
        <v>-464260.00157545885</v>
      </c>
      <c r="AC163" s="714"/>
    </row>
    <row r="164" spans="1:29" ht="15" customHeight="1" x14ac:dyDescent="0.25">
      <c r="A164" s="713"/>
      <c r="B164" s="729" t="s">
        <v>656</v>
      </c>
      <c r="C164" s="545" t="s">
        <v>40</v>
      </c>
      <c r="D164" s="545" t="s">
        <v>404</v>
      </c>
      <c r="E164" s="681">
        <v>44621</v>
      </c>
      <c r="F164" s="545">
        <v>744</v>
      </c>
      <c r="G164" s="545" t="s">
        <v>58</v>
      </c>
      <c r="H164" s="545" t="s">
        <v>3</v>
      </c>
      <c r="I164" s="545" t="s">
        <v>44</v>
      </c>
      <c r="J164" s="545" t="s">
        <v>84</v>
      </c>
      <c r="K164" s="545">
        <v>266</v>
      </c>
      <c r="L164" s="725" t="s">
        <v>54</v>
      </c>
      <c r="M164" s="695">
        <v>3</v>
      </c>
      <c r="N164" s="725">
        <v>0</v>
      </c>
      <c r="O164" s="695">
        <v>285.987699194176</v>
      </c>
      <c r="P164" s="725">
        <v>0</v>
      </c>
      <c r="Q164" s="742">
        <f t="shared" si="18"/>
        <v>638324.54460140085</v>
      </c>
      <c r="R164" s="603">
        <f t="shared" si="19"/>
        <v>0</v>
      </c>
      <c r="S164" s="743">
        <f t="shared" si="20"/>
        <v>-638324.54460140085</v>
      </c>
      <c r="T164" s="742">
        <v>55.7</v>
      </c>
      <c r="U164" s="603">
        <f t="shared" si="21"/>
        <v>-124322.40000000001</v>
      </c>
      <c r="V164" s="743">
        <f t="shared" si="22"/>
        <v>-514002.14460140083</v>
      </c>
      <c r="W164" s="744">
        <v>55.7</v>
      </c>
      <c r="X164" s="604">
        <f t="shared" si="23"/>
        <v>-124322.40000000001</v>
      </c>
      <c r="Y164" s="701">
        <f t="shared" si="24"/>
        <v>-514002.14460140083</v>
      </c>
      <c r="Z164" s="744">
        <v>55.7</v>
      </c>
      <c r="AA164" s="604">
        <f t="shared" si="25"/>
        <v>-124322.40000000001</v>
      </c>
      <c r="AB164" s="745">
        <f t="shared" si="26"/>
        <v>-514002.14460140083</v>
      </c>
      <c r="AC164" s="714"/>
    </row>
    <row r="165" spans="1:29" ht="15" customHeight="1" x14ac:dyDescent="0.25">
      <c r="A165" s="713"/>
      <c r="B165" s="730" t="s">
        <v>657</v>
      </c>
      <c r="C165" s="546" t="s">
        <v>40</v>
      </c>
      <c r="D165" s="546" t="s">
        <v>506</v>
      </c>
      <c r="E165" s="682">
        <v>44652</v>
      </c>
      <c r="F165" s="546">
        <v>720</v>
      </c>
      <c r="G165" s="546" t="s">
        <v>59</v>
      </c>
      <c r="H165" s="546" t="s">
        <v>3</v>
      </c>
      <c r="I165" s="546" t="s">
        <v>44</v>
      </c>
      <c r="J165" s="546" t="s">
        <v>85</v>
      </c>
      <c r="K165" s="546">
        <v>255</v>
      </c>
      <c r="L165" s="726" t="s">
        <v>54</v>
      </c>
      <c r="M165" s="696">
        <v>0</v>
      </c>
      <c r="N165" s="726">
        <v>2</v>
      </c>
      <c r="O165" s="696">
        <v>0</v>
      </c>
      <c r="P165" s="726">
        <v>274.16114020494314</v>
      </c>
      <c r="Q165" s="746">
        <f t="shared" si="18"/>
        <v>0</v>
      </c>
      <c r="R165" s="606">
        <f t="shared" si="19"/>
        <v>394792.04189511813</v>
      </c>
      <c r="S165" s="747">
        <f t="shared" si="20"/>
        <v>394792.04189511813</v>
      </c>
      <c r="T165" s="746">
        <v>55.7</v>
      </c>
      <c r="U165" s="606">
        <f t="shared" si="21"/>
        <v>80208</v>
      </c>
      <c r="V165" s="747">
        <f t="shared" si="22"/>
        <v>314584.04189511813</v>
      </c>
      <c r="W165" s="748">
        <v>55.7</v>
      </c>
      <c r="X165" s="607">
        <f t="shared" si="23"/>
        <v>80208</v>
      </c>
      <c r="Y165" s="702">
        <f t="shared" si="24"/>
        <v>314584.04189511813</v>
      </c>
      <c r="Z165" s="748">
        <v>55.7</v>
      </c>
      <c r="AA165" s="607">
        <f t="shared" si="25"/>
        <v>80208</v>
      </c>
      <c r="AB165" s="749">
        <f t="shared" si="26"/>
        <v>314584.04189511813</v>
      </c>
      <c r="AC165" s="714"/>
    </row>
    <row r="166" spans="1:29" ht="15" customHeight="1" x14ac:dyDescent="0.25">
      <c r="A166" s="713"/>
      <c r="B166" s="714" t="s">
        <v>657</v>
      </c>
      <c r="C166" s="676" t="s">
        <v>40</v>
      </c>
      <c r="D166" s="676" t="s">
        <v>506</v>
      </c>
      <c r="E166" s="680">
        <v>44682</v>
      </c>
      <c r="F166" s="676">
        <v>744</v>
      </c>
      <c r="G166" s="676" t="s">
        <v>59</v>
      </c>
      <c r="H166" s="676" t="s">
        <v>3</v>
      </c>
      <c r="I166" s="676" t="s">
        <v>44</v>
      </c>
      <c r="J166" s="676" t="s">
        <v>85</v>
      </c>
      <c r="K166" s="676">
        <v>255</v>
      </c>
      <c r="L166" s="690" t="s">
        <v>54</v>
      </c>
      <c r="M166" s="691">
        <v>0</v>
      </c>
      <c r="N166" s="690">
        <v>2</v>
      </c>
      <c r="O166" s="691">
        <v>0</v>
      </c>
      <c r="P166" s="690">
        <v>274.16114020494314</v>
      </c>
      <c r="Q166" s="738">
        <f t="shared" si="18"/>
        <v>0</v>
      </c>
      <c r="R166" s="677">
        <f t="shared" si="19"/>
        <v>407951.77662495541</v>
      </c>
      <c r="S166" s="739">
        <f t="shared" si="20"/>
        <v>407951.77662495541</v>
      </c>
      <c r="T166" s="738">
        <v>55.7</v>
      </c>
      <c r="U166" s="677">
        <f t="shared" si="21"/>
        <v>82881.600000000006</v>
      </c>
      <c r="V166" s="739">
        <f t="shared" si="22"/>
        <v>325070.17662495538</v>
      </c>
      <c r="W166" s="740">
        <v>55.7</v>
      </c>
      <c r="X166" s="678">
        <f t="shared" si="23"/>
        <v>82881.600000000006</v>
      </c>
      <c r="Y166" s="700">
        <f t="shared" si="24"/>
        <v>325070.17662495538</v>
      </c>
      <c r="Z166" s="740">
        <v>55.7</v>
      </c>
      <c r="AA166" s="678">
        <f t="shared" si="25"/>
        <v>82881.600000000006</v>
      </c>
      <c r="AB166" s="741">
        <f t="shared" si="26"/>
        <v>325070.17662495538</v>
      </c>
      <c r="AC166" s="714"/>
    </row>
    <row r="167" spans="1:29" ht="15" customHeight="1" x14ac:dyDescent="0.25">
      <c r="A167" s="713"/>
      <c r="B167" s="714" t="s">
        <v>657</v>
      </c>
      <c r="C167" s="676" t="s">
        <v>40</v>
      </c>
      <c r="D167" s="676" t="s">
        <v>506</v>
      </c>
      <c r="E167" s="680">
        <v>44713</v>
      </c>
      <c r="F167" s="676">
        <v>720</v>
      </c>
      <c r="G167" s="676" t="s">
        <v>59</v>
      </c>
      <c r="H167" s="676" t="s">
        <v>3</v>
      </c>
      <c r="I167" s="676" t="s">
        <v>44</v>
      </c>
      <c r="J167" s="676" t="s">
        <v>85</v>
      </c>
      <c r="K167" s="676">
        <v>255</v>
      </c>
      <c r="L167" s="690" t="s">
        <v>54</v>
      </c>
      <c r="M167" s="691">
        <v>0</v>
      </c>
      <c r="N167" s="690">
        <v>2</v>
      </c>
      <c r="O167" s="691">
        <v>0</v>
      </c>
      <c r="P167" s="690">
        <v>274.16114020494314</v>
      </c>
      <c r="Q167" s="738">
        <f t="shared" si="18"/>
        <v>0</v>
      </c>
      <c r="R167" s="677">
        <f t="shared" si="19"/>
        <v>394792.04189511813</v>
      </c>
      <c r="S167" s="739">
        <f t="shared" si="20"/>
        <v>394792.04189511813</v>
      </c>
      <c r="T167" s="738">
        <v>55.71</v>
      </c>
      <c r="U167" s="677">
        <f t="shared" si="21"/>
        <v>80222.399999999994</v>
      </c>
      <c r="V167" s="739">
        <f t="shared" si="22"/>
        <v>314569.64189511817</v>
      </c>
      <c r="W167" s="740">
        <v>55.71</v>
      </c>
      <c r="X167" s="678">
        <f t="shared" si="23"/>
        <v>80222.399999999994</v>
      </c>
      <c r="Y167" s="700">
        <f t="shared" si="24"/>
        <v>314569.64189511817</v>
      </c>
      <c r="Z167" s="740">
        <v>55.71</v>
      </c>
      <c r="AA167" s="678">
        <f t="shared" si="25"/>
        <v>80222.399999999994</v>
      </c>
      <c r="AB167" s="741">
        <f t="shared" si="26"/>
        <v>314569.64189511817</v>
      </c>
      <c r="AC167" s="714"/>
    </row>
    <row r="168" spans="1:29" ht="15" customHeight="1" x14ac:dyDescent="0.25">
      <c r="A168" s="713"/>
      <c r="B168" s="714" t="s">
        <v>657</v>
      </c>
      <c r="C168" s="676" t="s">
        <v>40</v>
      </c>
      <c r="D168" s="676" t="s">
        <v>506</v>
      </c>
      <c r="E168" s="680">
        <v>44743</v>
      </c>
      <c r="F168" s="676">
        <v>744</v>
      </c>
      <c r="G168" s="676" t="s">
        <v>59</v>
      </c>
      <c r="H168" s="676" t="s">
        <v>3</v>
      </c>
      <c r="I168" s="676" t="s">
        <v>44</v>
      </c>
      <c r="J168" s="676" t="s">
        <v>85</v>
      </c>
      <c r="K168" s="676">
        <v>255</v>
      </c>
      <c r="L168" s="690" t="s">
        <v>54</v>
      </c>
      <c r="M168" s="691">
        <v>0</v>
      </c>
      <c r="N168" s="690">
        <v>2</v>
      </c>
      <c r="O168" s="691">
        <v>0</v>
      </c>
      <c r="P168" s="690">
        <v>274.16114020494314</v>
      </c>
      <c r="Q168" s="738">
        <f t="shared" si="18"/>
        <v>0</v>
      </c>
      <c r="R168" s="677">
        <f t="shared" si="19"/>
        <v>407951.77662495541</v>
      </c>
      <c r="S168" s="739">
        <f t="shared" si="20"/>
        <v>407951.77662495541</v>
      </c>
      <c r="T168" s="738">
        <v>66.319999999999993</v>
      </c>
      <c r="U168" s="677">
        <f t="shared" si="21"/>
        <v>98684.159999999989</v>
      </c>
      <c r="V168" s="739">
        <f t="shared" si="22"/>
        <v>309267.61662495544</v>
      </c>
      <c r="W168" s="740">
        <v>66.319999999999993</v>
      </c>
      <c r="X168" s="678">
        <f t="shared" si="23"/>
        <v>98684.159999999989</v>
      </c>
      <c r="Y168" s="700">
        <f t="shared" si="24"/>
        <v>309267.61662495544</v>
      </c>
      <c r="Z168" s="740">
        <v>66.319999999999993</v>
      </c>
      <c r="AA168" s="678">
        <f t="shared" si="25"/>
        <v>98684.159999999989</v>
      </c>
      <c r="AB168" s="741">
        <f t="shared" si="26"/>
        <v>309267.61662495544</v>
      </c>
      <c r="AC168" s="714"/>
    </row>
    <row r="169" spans="1:29" ht="15" customHeight="1" x14ac:dyDescent="0.25">
      <c r="A169" s="713"/>
      <c r="B169" s="714" t="s">
        <v>657</v>
      </c>
      <c r="C169" s="676" t="s">
        <v>40</v>
      </c>
      <c r="D169" s="676" t="s">
        <v>506</v>
      </c>
      <c r="E169" s="680">
        <v>44774</v>
      </c>
      <c r="F169" s="676">
        <v>744</v>
      </c>
      <c r="G169" s="676" t="s">
        <v>59</v>
      </c>
      <c r="H169" s="676" t="s">
        <v>3</v>
      </c>
      <c r="I169" s="676" t="s">
        <v>44</v>
      </c>
      <c r="J169" s="676" t="s">
        <v>85</v>
      </c>
      <c r="K169" s="676">
        <v>255</v>
      </c>
      <c r="L169" s="690" t="s">
        <v>54</v>
      </c>
      <c r="M169" s="691">
        <v>0</v>
      </c>
      <c r="N169" s="690">
        <v>2</v>
      </c>
      <c r="O169" s="691">
        <v>0</v>
      </c>
      <c r="P169" s="690">
        <v>274.16114020494314</v>
      </c>
      <c r="Q169" s="738">
        <f t="shared" si="18"/>
        <v>0</v>
      </c>
      <c r="R169" s="677">
        <f t="shared" si="19"/>
        <v>407951.77662495541</v>
      </c>
      <c r="S169" s="739">
        <f t="shared" si="20"/>
        <v>407951.77662495541</v>
      </c>
      <c r="T169" s="738">
        <v>76.900000000000006</v>
      </c>
      <c r="U169" s="677">
        <f t="shared" si="21"/>
        <v>114427.20000000001</v>
      </c>
      <c r="V169" s="739">
        <f t="shared" si="22"/>
        <v>293524.5766249554</v>
      </c>
      <c r="W169" s="740">
        <v>76.900000000000006</v>
      </c>
      <c r="X169" s="678">
        <f t="shared" si="23"/>
        <v>114427.20000000001</v>
      </c>
      <c r="Y169" s="700">
        <f t="shared" si="24"/>
        <v>293524.5766249554</v>
      </c>
      <c r="Z169" s="740">
        <v>76.900000000000006</v>
      </c>
      <c r="AA169" s="678">
        <f t="shared" si="25"/>
        <v>114427.20000000001</v>
      </c>
      <c r="AB169" s="741">
        <f t="shared" si="26"/>
        <v>293524.5766249554</v>
      </c>
      <c r="AC169" s="714"/>
    </row>
    <row r="170" spans="1:29" ht="15" customHeight="1" x14ac:dyDescent="0.25">
      <c r="A170" s="713"/>
      <c r="B170" s="714" t="s">
        <v>657</v>
      </c>
      <c r="C170" s="676" t="s">
        <v>40</v>
      </c>
      <c r="D170" s="676" t="s">
        <v>506</v>
      </c>
      <c r="E170" s="680">
        <v>44805</v>
      </c>
      <c r="F170" s="676">
        <v>720</v>
      </c>
      <c r="G170" s="676" t="s">
        <v>59</v>
      </c>
      <c r="H170" s="676" t="s">
        <v>3</v>
      </c>
      <c r="I170" s="676" t="s">
        <v>44</v>
      </c>
      <c r="J170" s="676" t="s">
        <v>85</v>
      </c>
      <c r="K170" s="676">
        <v>255</v>
      </c>
      <c r="L170" s="690" t="s">
        <v>54</v>
      </c>
      <c r="M170" s="691">
        <v>0</v>
      </c>
      <c r="N170" s="690">
        <v>2</v>
      </c>
      <c r="O170" s="691">
        <v>0</v>
      </c>
      <c r="P170" s="690">
        <v>274.16114020494314</v>
      </c>
      <c r="Q170" s="738">
        <f t="shared" si="18"/>
        <v>0</v>
      </c>
      <c r="R170" s="677">
        <f t="shared" si="19"/>
        <v>394792.04189511813</v>
      </c>
      <c r="S170" s="739">
        <f t="shared" si="20"/>
        <v>394792.04189511813</v>
      </c>
      <c r="T170" s="738">
        <v>56.08</v>
      </c>
      <c r="U170" s="677">
        <f t="shared" si="21"/>
        <v>80755.199999999997</v>
      </c>
      <c r="V170" s="739">
        <f t="shared" si="22"/>
        <v>314036.84189511812</v>
      </c>
      <c r="W170" s="740">
        <v>56.08</v>
      </c>
      <c r="X170" s="678">
        <f t="shared" si="23"/>
        <v>80755.199999999997</v>
      </c>
      <c r="Y170" s="700">
        <f t="shared" si="24"/>
        <v>314036.84189511812</v>
      </c>
      <c r="Z170" s="740">
        <v>56.08</v>
      </c>
      <c r="AA170" s="678">
        <f t="shared" si="25"/>
        <v>80755.199999999997</v>
      </c>
      <c r="AB170" s="741">
        <f t="shared" si="26"/>
        <v>314036.84189511812</v>
      </c>
      <c r="AC170" s="714"/>
    </row>
    <row r="171" spans="1:29" ht="15" customHeight="1" x14ac:dyDescent="0.25">
      <c r="A171" s="713"/>
      <c r="B171" s="714" t="s">
        <v>657</v>
      </c>
      <c r="C171" s="676" t="s">
        <v>40</v>
      </c>
      <c r="D171" s="676" t="s">
        <v>506</v>
      </c>
      <c r="E171" s="680">
        <v>44835</v>
      </c>
      <c r="F171" s="676">
        <v>744</v>
      </c>
      <c r="G171" s="676" t="s">
        <v>59</v>
      </c>
      <c r="H171" s="676" t="s">
        <v>3</v>
      </c>
      <c r="I171" s="676" t="s">
        <v>44</v>
      </c>
      <c r="J171" s="676" t="s">
        <v>85</v>
      </c>
      <c r="K171" s="676">
        <v>255</v>
      </c>
      <c r="L171" s="690" t="s">
        <v>54</v>
      </c>
      <c r="M171" s="691">
        <v>0</v>
      </c>
      <c r="N171" s="690">
        <v>2</v>
      </c>
      <c r="O171" s="691">
        <v>0</v>
      </c>
      <c r="P171" s="690">
        <v>274.16114020494314</v>
      </c>
      <c r="Q171" s="738">
        <f t="shared" si="18"/>
        <v>0</v>
      </c>
      <c r="R171" s="677">
        <f t="shared" si="19"/>
        <v>407951.77662495541</v>
      </c>
      <c r="S171" s="739">
        <f t="shared" si="20"/>
        <v>407951.77662495541</v>
      </c>
      <c r="T171" s="738">
        <v>55.7</v>
      </c>
      <c r="U171" s="677">
        <f t="shared" si="21"/>
        <v>82881.600000000006</v>
      </c>
      <c r="V171" s="739">
        <f t="shared" si="22"/>
        <v>325070.17662495538</v>
      </c>
      <c r="W171" s="740">
        <v>55.7</v>
      </c>
      <c r="X171" s="678">
        <f t="shared" si="23"/>
        <v>82881.600000000006</v>
      </c>
      <c r="Y171" s="700">
        <f t="shared" si="24"/>
        <v>325070.17662495538</v>
      </c>
      <c r="Z171" s="740">
        <v>55.7</v>
      </c>
      <c r="AA171" s="678">
        <f t="shared" si="25"/>
        <v>82881.600000000006</v>
      </c>
      <c r="AB171" s="741">
        <f t="shared" si="26"/>
        <v>325070.17662495538</v>
      </c>
      <c r="AC171" s="714"/>
    </row>
    <row r="172" spans="1:29" ht="15" customHeight="1" x14ac:dyDescent="0.25">
      <c r="A172" s="713"/>
      <c r="B172" s="714" t="s">
        <v>657</v>
      </c>
      <c r="C172" s="676" t="s">
        <v>40</v>
      </c>
      <c r="D172" s="676" t="s">
        <v>506</v>
      </c>
      <c r="E172" s="680">
        <v>44866</v>
      </c>
      <c r="F172" s="676">
        <v>720</v>
      </c>
      <c r="G172" s="676" t="s">
        <v>59</v>
      </c>
      <c r="H172" s="676" t="s">
        <v>3</v>
      </c>
      <c r="I172" s="676" t="s">
        <v>44</v>
      </c>
      <c r="J172" s="676" t="s">
        <v>85</v>
      </c>
      <c r="K172" s="676">
        <v>255</v>
      </c>
      <c r="L172" s="690" t="s">
        <v>54</v>
      </c>
      <c r="M172" s="691">
        <v>0</v>
      </c>
      <c r="N172" s="690">
        <v>2</v>
      </c>
      <c r="O172" s="691">
        <v>0</v>
      </c>
      <c r="P172" s="690">
        <v>274.16114020494314</v>
      </c>
      <c r="Q172" s="738">
        <f t="shared" si="18"/>
        <v>0</v>
      </c>
      <c r="R172" s="677">
        <f t="shared" si="19"/>
        <v>394792.04189511813</v>
      </c>
      <c r="S172" s="739">
        <f t="shared" si="20"/>
        <v>394792.04189511813</v>
      </c>
      <c r="T172" s="738">
        <v>55.7</v>
      </c>
      <c r="U172" s="677">
        <f t="shared" si="21"/>
        <v>80208</v>
      </c>
      <c r="V172" s="739">
        <f t="shared" si="22"/>
        <v>314584.04189511813</v>
      </c>
      <c r="W172" s="740">
        <v>55.7</v>
      </c>
      <c r="X172" s="678">
        <f t="shared" si="23"/>
        <v>80208</v>
      </c>
      <c r="Y172" s="700">
        <f t="shared" si="24"/>
        <v>314584.04189511813</v>
      </c>
      <c r="Z172" s="740">
        <v>55.7</v>
      </c>
      <c r="AA172" s="678">
        <f t="shared" si="25"/>
        <v>80208</v>
      </c>
      <c r="AB172" s="741">
        <f t="shared" si="26"/>
        <v>314584.04189511813</v>
      </c>
      <c r="AC172" s="714"/>
    </row>
    <row r="173" spans="1:29" ht="15" customHeight="1" x14ac:dyDescent="0.25">
      <c r="A173" s="713"/>
      <c r="B173" s="729" t="s">
        <v>657</v>
      </c>
      <c r="C173" s="545" t="s">
        <v>40</v>
      </c>
      <c r="D173" s="545" t="s">
        <v>506</v>
      </c>
      <c r="E173" s="681">
        <v>44896</v>
      </c>
      <c r="F173" s="545">
        <v>744</v>
      </c>
      <c r="G173" s="545" t="s">
        <v>59</v>
      </c>
      <c r="H173" s="545" t="s">
        <v>3</v>
      </c>
      <c r="I173" s="545" t="s">
        <v>44</v>
      </c>
      <c r="J173" s="545" t="s">
        <v>85</v>
      </c>
      <c r="K173" s="545">
        <v>255</v>
      </c>
      <c r="L173" s="725" t="s">
        <v>54</v>
      </c>
      <c r="M173" s="695">
        <v>0</v>
      </c>
      <c r="N173" s="725">
        <v>2</v>
      </c>
      <c r="O173" s="695">
        <v>0</v>
      </c>
      <c r="P173" s="725">
        <v>274.16114020494314</v>
      </c>
      <c r="Q173" s="742">
        <f t="shared" si="18"/>
        <v>0</v>
      </c>
      <c r="R173" s="603">
        <f t="shared" si="19"/>
        <v>407951.77662495541</v>
      </c>
      <c r="S173" s="743">
        <f t="shared" si="20"/>
        <v>407951.77662495541</v>
      </c>
      <c r="T173" s="742">
        <v>55.7</v>
      </c>
      <c r="U173" s="603">
        <f t="shared" si="21"/>
        <v>82881.600000000006</v>
      </c>
      <c r="V173" s="743">
        <f t="shared" si="22"/>
        <v>325070.17662495538</v>
      </c>
      <c r="W173" s="744">
        <v>55.7</v>
      </c>
      <c r="X173" s="604">
        <f t="shared" si="23"/>
        <v>82881.600000000006</v>
      </c>
      <c r="Y173" s="701">
        <f t="shared" si="24"/>
        <v>325070.17662495538</v>
      </c>
      <c r="Z173" s="744">
        <v>78.400653594793155</v>
      </c>
      <c r="AA173" s="604">
        <f t="shared" si="25"/>
        <v>116660.17254905222</v>
      </c>
      <c r="AB173" s="745">
        <f t="shared" si="26"/>
        <v>291291.60407590319</v>
      </c>
      <c r="AC173" s="714"/>
    </row>
    <row r="174" spans="1:29" ht="15" customHeight="1" x14ac:dyDescent="0.25">
      <c r="A174" s="713"/>
      <c r="B174" s="730" t="s">
        <v>658</v>
      </c>
      <c r="C174" s="546" t="s">
        <v>40</v>
      </c>
      <c r="D174" s="546" t="s">
        <v>470</v>
      </c>
      <c r="E174" s="682">
        <v>44562</v>
      </c>
      <c r="F174" s="546">
        <v>744</v>
      </c>
      <c r="G174" s="546" t="s">
        <v>58</v>
      </c>
      <c r="H174" s="546" t="s">
        <v>3</v>
      </c>
      <c r="I174" s="546" t="s">
        <v>44</v>
      </c>
      <c r="J174" s="546" t="s">
        <v>84</v>
      </c>
      <c r="K174" s="546">
        <v>407</v>
      </c>
      <c r="L174" s="726" t="s">
        <v>54</v>
      </c>
      <c r="M174" s="696">
        <v>3</v>
      </c>
      <c r="N174" s="726">
        <v>0</v>
      </c>
      <c r="O174" s="696">
        <v>433.98035389472363</v>
      </c>
      <c r="P174" s="726">
        <v>0</v>
      </c>
      <c r="Q174" s="746">
        <f t="shared" si="18"/>
        <v>968644.14989302319</v>
      </c>
      <c r="R174" s="606">
        <f t="shared" si="19"/>
        <v>0</v>
      </c>
      <c r="S174" s="747">
        <f t="shared" si="20"/>
        <v>-968644.14989302319</v>
      </c>
      <c r="T174" s="746">
        <v>62.91</v>
      </c>
      <c r="U174" s="606">
        <f t="shared" si="21"/>
        <v>-140415.12</v>
      </c>
      <c r="V174" s="747">
        <f t="shared" si="22"/>
        <v>-828229.02989302319</v>
      </c>
      <c r="W174" s="748">
        <v>62.91</v>
      </c>
      <c r="X174" s="607">
        <f t="shared" si="23"/>
        <v>-140415.12</v>
      </c>
      <c r="Y174" s="702">
        <f t="shared" si="24"/>
        <v>-828229.02989302319</v>
      </c>
      <c r="Z174" s="748">
        <v>62.91</v>
      </c>
      <c r="AA174" s="607">
        <f t="shared" si="25"/>
        <v>-140415.12</v>
      </c>
      <c r="AB174" s="749">
        <f t="shared" si="26"/>
        <v>-828229.02989302319</v>
      </c>
      <c r="AC174" s="714"/>
    </row>
    <row r="175" spans="1:29" ht="15" customHeight="1" x14ac:dyDescent="0.25">
      <c r="A175" s="713"/>
      <c r="B175" s="714" t="s">
        <v>658</v>
      </c>
      <c r="C175" s="676" t="s">
        <v>40</v>
      </c>
      <c r="D175" s="676" t="s">
        <v>470</v>
      </c>
      <c r="E175" s="680">
        <v>44593</v>
      </c>
      <c r="F175" s="676">
        <v>672</v>
      </c>
      <c r="G175" s="676" t="s">
        <v>58</v>
      </c>
      <c r="H175" s="676" t="s">
        <v>3</v>
      </c>
      <c r="I175" s="676" t="s">
        <v>44</v>
      </c>
      <c r="J175" s="676" t="s">
        <v>84</v>
      </c>
      <c r="K175" s="676">
        <v>407</v>
      </c>
      <c r="L175" s="690" t="s">
        <v>54</v>
      </c>
      <c r="M175" s="691">
        <v>3</v>
      </c>
      <c r="N175" s="690">
        <v>0</v>
      </c>
      <c r="O175" s="691">
        <v>433.98035389472363</v>
      </c>
      <c r="P175" s="690">
        <v>0</v>
      </c>
      <c r="Q175" s="738">
        <f t="shared" si="18"/>
        <v>874904.39345176285</v>
      </c>
      <c r="R175" s="677">
        <f t="shared" si="19"/>
        <v>0</v>
      </c>
      <c r="S175" s="739">
        <f t="shared" si="20"/>
        <v>-874904.39345176285</v>
      </c>
      <c r="T175" s="738">
        <v>55.7</v>
      </c>
      <c r="U175" s="677">
        <f t="shared" si="21"/>
        <v>-112291.20000000001</v>
      </c>
      <c r="V175" s="739">
        <f t="shared" si="22"/>
        <v>-762613.1934517629</v>
      </c>
      <c r="W175" s="740">
        <v>55.7</v>
      </c>
      <c r="X175" s="678">
        <f t="shared" si="23"/>
        <v>-112291.20000000001</v>
      </c>
      <c r="Y175" s="700">
        <f t="shared" si="24"/>
        <v>-762613.1934517629</v>
      </c>
      <c r="Z175" s="740">
        <v>55.7</v>
      </c>
      <c r="AA175" s="678">
        <f t="shared" si="25"/>
        <v>-112291.20000000001</v>
      </c>
      <c r="AB175" s="741">
        <f t="shared" si="26"/>
        <v>-762613.1934517629</v>
      </c>
      <c r="AC175" s="714"/>
    </row>
    <row r="176" spans="1:29" ht="15" customHeight="1" x14ac:dyDescent="0.25">
      <c r="A176" s="713"/>
      <c r="B176" s="729" t="s">
        <v>658</v>
      </c>
      <c r="C176" s="545" t="s">
        <v>40</v>
      </c>
      <c r="D176" s="545" t="s">
        <v>470</v>
      </c>
      <c r="E176" s="681">
        <v>44621</v>
      </c>
      <c r="F176" s="545">
        <v>744</v>
      </c>
      <c r="G176" s="545" t="s">
        <v>58</v>
      </c>
      <c r="H176" s="545" t="s">
        <v>3</v>
      </c>
      <c r="I176" s="545" t="s">
        <v>44</v>
      </c>
      <c r="J176" s="545" t="s">
        <v>84</v>
      </c>
      <c r="K176" s="545">
        <v>407</v>
      </c>
      <c r="L176" s="725" t="s">
        <v>54</v>
      </c>
      <c r="M176" s="695">
        <v>3</v>
      </c>
      <c r="N176" s="725">
        <v>0</v>
      </c>
      <c r="O176" s="695">
        <v>433.98035389472363</v>
      </c>
      <c r="P176" s="725">
        <v>0</v>
      </c>
      <c r="Q176" s="742">
        <f t="shared" si="18"/>
        <v>968644.14989302319</v>
      </c>
      <c r="R176" s="603">
        <f t="shared" si="19"/>
        <v>0</v>
      </c>
      <c r="S176" s="743">
        <f t="shared" si="20"/>
        <v>-968644.14989302319</v>
      </c>
      <c r="T176" s="742">
        <v>55.7</v>
      </c>
      <c r="U176" s="603">
        <f t="shared" si="21"/>
        <v>-124322.40000000001</v>
      </c>
      <c r="V176" s="743">
        <f t="shared" si="22"/>
        <v>-844321.74989302317</v>
      </c>
      <c r="W176" s="744">
        <v>55.7</v>
      </c>
      <c r="X176" s="604">
        <f t="shared" si="23"/>
        <v>-124322.40000000001</v>
      </c>
      <c r="Y176" s="701">
        <f t="shared" si="24"/>
        <v>-844321.74989302317</v>
      </c>
      <c r="Z176" s="744">
        <v>55.7</v>
      </c>
      <c r="AA176" s="604">
        <f t="shared" si="25"/>
        <v>-124322.40000000001</v>
      </c>
      <c r="AB176" s="745">
        <f t="shared" si="26"/>
        <v>-844321.74989302317</v>
      </c>
      <c r="AC176" s="714"/>
    </row>
    <row r="177" spans="1:29" ht="15" customHeight="1" x14ac:dyDescent="0.25">
      <c r="A177" s="713"/>
      <c r="B177" s="730" t="s">
        <v>659</v>
      </c>
      <c r="C177" s="546" t="s">
        <v>534</v>
      </c>
      <c r="D177" s="546" t="s">
        <v>503</v>
      </c>
      <c r="E177" s="682">
        <v>44562</v>
      </c>
      <c r="F177" s="546">
        <v>744</v>
      </c>
      <c r="G177" s="546" t="s">
        <v>59</v>
      </c>
      <c r="H177" s="546" t="s">
        <v>3</v>
      </c>
      <c r="I177" s="546" t="s">
        <v>13</v>
      </c>
      <c r="J177" s="546" t="s">
        <v>85</v>
      </c>
      <c r="K177" s="546">
        <v>305</v>
      </c>
      <c r="L177" s="726" t="s">
        <v>54</v>
      </c>
      <c r="M177" s="696">
        <v>0</v>
      </c>
      <c r="N177" s="726">
        <v>8</v>
      </c>
      <c r="O177" s="696">
        <v>0</v>
      </c>
      <c r="P177" s="726">
        <v>325.21869272209017</v>
      </c>
      <c r="Q177" s="746">
        <f t="shared" si="18"/>
        <v>0</v>
      </c>
      <c r="R177" s="606">
        <f t="shared" si="19"/>
        <v>1935701.6590818807</v>
      </c>
      <c r="S177" s="747">
        <f t="shared" si="20"/>
        <v>1935701.6590818807</v>
      </c>
      <c r="T177" s="746">
        <v>57.22</v>
      </c>
      <c r="U177" s="606">
        <f t="shared" si="21"/>
        <v>340573.44</v>
      </c>
      <c r="V177" s="747">
        <f t="shared" si="22"/>
        <v>1595128.2190818808</v>
      </c>
      <c r="W177" s="748">
        <v>57.22</v>
      </c>
      <c r="X177" s="607">
        <f t="shared" si="23"/>
        <v>340573.44</v>
      </c>
      <c r="Y177" s="702">
        <f t="shared" si="24"/>
        <v>1595128.2190818808</v>
      </c>
      <c r="Z177" s="748">
        <v>57.22</v>
      </c>
      <c r="AA177" s="607">
        <f t="shared" si="25"/>
        <v>340573.44</v>
      </c>
      <c r="AB177" s="749">
        <f t="shared" si="26"/>
        <v>1595128.2190818808</v>
      </c>
      <c r="AC177" s="714"/>
    </row>
    <row r="178" spans="1:29" ht="15" customHeight="1" x14ac:dyDescent="0.25">
      <c r="A178" s="713"/>
      <c r="B178" s="714" t="s">
        <v>659</v>
      </c>
      <c r="C178" s="676" t="s">
        <v>534</v>
      </c>
      <c r="D178" s="676" t="s">
        <v>503</v>
      </c>
      <c r="E178" s="680">
        <v>44593</v>
      </c>
      <c r="F178" s="676">
        <v>672</v>
      </c>
      <c r="G178" s="676" t="s">
        <v>59</v>
      </c>
      <c r="H178" s="676" t="s">
        <v>3</v>
      </c>
      <c r="I178" s="676" t="s">
        <v>13</v>
      </c>
      <c r="J178" s="676" t="s">
        <v>85</v>
      </c>
      <c r="K178" s="676">
        <v>305</v>
      </c>
      <c r="L178" s="690" t="s">
        <v>54</v>
      </c>
      <c r="M178" s="691">
        <v>0</v>
      </c>
      <c r="N178" s="690">
        <v>8</v>
      </c>
      <c r="O178" s="691">
        <v>0</v>
      </c>
      <c r="P178" s="690">
        <v>325.21869272209017</v>
      </c>
      <c r="Q178" s="738">
        <f t="shared" si="18"/>
        <v>0</v>
      </c>
      <c r="R178" s="677">
        <f t="shared" si="19"/>
        <v>1748375.6920739568</v>
      </c>
      <c r="S178" s="739">
        <f t="shared" si="20"/>
        <v>1748375.6920739568</v>
      </c>
      <c r="T178" s="738">
        <v>55.7</v>
      </c>
      <c r="U178" s="677">
        <f t="shared" si="21"/>
        <v>299443.20000000001</v>
      </c>
      <c r="V178" s="739">
        <f t="shared" si="22"/>
        <v>1448932.4920739569</v>
      </c>
      <c r="W178" s="740">
        <v>55.7</v>
      </c>
      <c r="X178" s="678">
        <f t="shared" si="23"/>
        <v>299443.20000000001</v>
      </c>
      <c r="Y178" s="700">
        <f t="shared" si="24"/>
        <v>1448932.4920739569</v>
      </c>
      <c r="Z178" s="740">
        <v>55.7</v>
      </c>
      <c r="AA178" s="678">
        <f t="shared" si="25"/>
        <v>299443.20000000001</v>
      </c>
      <c r="AB178" s="741">
        <f t="shared" si="26"/>
        <v>1448932.4920739569</v>
      </c>
      <c r="AC178" s="714"/>
    </row>
    <row r="179" spans="1:29" ht="15" customHeight="1" x14ac:dyDescent="0.25">
      <c r="A179" s="713"/>
      <c r="B179" s="714" t="s">
        <v>659</v>
      </c>
      <c r="C179" s="676" t="s">
        <v>534</v>
      </c>
      <c r="D179" s="676" t="s">
        <v>503</v>
      </c>
      <c r="E179" s="680">
        <v>44621</v>
      </c>
      <c r="F179" s="676">
        <v>744</v>
      </c>
      <c r="G179" s="676" t="s">
        <v>59</v>
      </c>
      <c r="H179" s="676" t="s">
        <v>3</v>
      </c>
      <c r="I179" s="676" t="s">
        <v>13</v>
      </c>
      <c r="J179" s="676" t="s">
        <v>85</v>
      </c>
      <c r="K179" s="676">
        <v>305</v>
      </c>
      <c r="L179" s="690" t="s">
        <v>54</v>
      </c>
      <c r="M179" s="691">
        <v>0</v>
      </c>
      <c r="N179" s="690">
        <v>8</v>
      </c>
      <c r="O179" s="691">
        <v>0</v>
      </c>
      <c r="P179" s="690">
        <v>325.21869272209017</v>
      </c>
      <c r="Q179" s="738">
        <f t="shared" si="18"/>
        <v>0</v>
      </c>
      <c r="R179" s="677">
        <f t="shared" si="19"/>
        <v>1935701.6590818807</v>
      </c>
      <c r="S179" s="739">
        <f t="shared" si="20"/>
        <v>1935701.6590818807</v>
      </c>
      <c r="T179" s="738">
        <v>55.7</v>
      </c>
      <c r="U179" s="677">
        <f t="shared" si="21"/>
        <v>331526.40000000002</v>
      </c>
      <c r="V179" s="739">
        <f t="shared" si="22"/>
        <v>1604175.2590818806</v>
      </c>
      <c r="W179" s="740">
        <v>55.7</v>
      </c>
      <c r="X179" s="678">
        <f t="shared" si="23"/>
        <v>331526.40000000002</v>
      </c>
      <c r="Y179" s="700">
        <f t="shared" si="24"/>
        <v>1604175.2590818806</v>
      </c>
      <c r="Z179" s="740">
        <v>55.7</v>
      </c>
      <c r="AA179" s="678">
        <f t="shared" si="25"/>
        <v>331526.40000000002</v>
      </c>
      <c r="AB179" s="741">
        <f t="shared" si="26"/>
        <v>1604175.2590818806</v>
      </c>
      <c r="AC179" s="714"/>
    </row>
    <row r="180" spans="1:29" ht="15" customHeight="1" x14ac:dyDescent="0.25">
      <c r="A180" s="713"/>
      <c r="B180" s="714" t="s">
        <v>659</v>
      </c>
      <c r="C180" s="676" t="s">
        <v>534</v>
      </c>
      <c r="D180" s="676" t="s">
        <v>503</v>
      </c>
      <c r="E180" s="680">
        <v>44652</v>
      </c>
      <c r="F180" s="676">
        <v>720</v>
      </c>
      <c r="G180" s="676" t="s">
        <v>59</v>
      </c>
      <c r="H180" s="676" t="s">
        <v>3</v>
      </c>
      <c r="I180" s="676" t="s">
        <v>13</v>
      </c>
      <c r="J180" s="676" t="s">
        <v>85</v>
      </c>
      <c r="K180" s="676">
        <v>305</v>
      </c>
      <c r="L180" s="690" t="s">
        <v>54</v>
      </c>
      <c r="M180" s="691">
        <v>0</v>
      </c>
      <c r="N180" s="690">
        <v>8</v>
      </c>
      <c r="O180" s="691">
        <v>0</v>
      </c>
      <c r="P180" s="690">
        <v>325.21869272209017</v>
      </c>
      <c r="Q180" s="738">
        <f t="shared" si="18"/>
        <v>0</v>
      </c>
      <c r="R180" s="677">
        <f t="shared" si="19"/>
        <v>1873259.6700792394</v>
      </c>
      <c r="S180" s="739">
        <f t="shared" si="20"/>
        <v>1873259.6700792394</v>
      </c>
      <c r="T180" s="738">
        <v>55.7</v>
      </c>
      <c r="U180" s="677">
        <f t="shared" si="21"/>
        <v>320832</v>
      </c>
      <c r="V180" s="739">
        <f t="shared" si="22"/>
        <v>1552427.6700792394</v>
      </c>
      <c r="W180" s="740">
        <v>55.7</v>
      </c>
      <c r="X180" s="678">
        <f t="shared" si="23"/>
        <v>320832</v>
      </c>
      <c r="Y180" s="700">
        <f t="shared" si="24"/>
        <v>1552427.6700792394</v>
      </c>
      <c r="Z180" s="740">
        <v>55.7</v>
      </c>
      <c r="AA180" s="678">
        <f t="shared" si="25"/>
        <v>320832</v>
      </c>
      <c r="AB180" s="741">
        <f t="shared" si="26"/>
        <v>1552427.6700792394</v>
      </c>
      <c r="AC180" s="714"/>
    </row>
    <row r="181" spans="1:29" ht="15" customHeight="1" x14ac:dyDescent="0.25">
      <c r="A181" s="713"/>
      <c r="B181" s="714" t="s">
        <v>659</v>
      </c>
      <c r="C181" s="676" t="s">
        <v>534</v>
      </c>
      <c r="D181" s="676" t="s">
        <v>503</v>
      </c>
      <c r="E181" s="680">
        <v>44682</v>
      </c>
      <c r="F181" s="676">
        <v>744</v>
      </c>
      <c r="G181" s="676" t="s">
        <v>59</v>
      </c>
      <c r="H181" s="676" t="s">
        <v>3</v>
      </c>
      <c r="I181" s="676" t="s">
        <v>13</v>
      </c>
      <c r="J181" s="676" t="s">
        <v>85</v>
      </c>
      <c r="K181" s="676">
        <v>305</v>
      </c>
      <c r="L181" s="690" t="s">
        <v>54</v>
      </c>
      <c r="M181" s="691">
        <v>0</v>
      </c>
      <c r="N181" s="690">
        <v>8</v>
      </c>
      <c r="O181" s="691">
        <v>0</v>
      </c>
      <c r="P181" s="690">
        <v>325.21869272209017</v>
      </c>
      <c r="Q181" s="738">
        <f t="shared" si="18"/>
        <v>0</v>
      </c>
      <c r="R181" s="677">
        <f t="shared" si="19"/>
        <v>1935701.6590818807</v>
      </c>
      <c r="S181" s="739">
        <f t="shared" si="20"/>
        <v>1935701.6590818807</v>
      </c>
      <c r="T181" s="738">
        <v>55.7</v>
      </c>
      <c r="U181" s="677">
        <f t="shared" si="21"/>
        <v>331526.40000000002</v>
      </c>
      <c r="V181" s="739">
        <f t="shared" si="22"/>
        <v>1604175.2590818806</v>
      </c>
      <c r="W181" s="740">
        <v>55.7</v>
      </c>
      <c r="X181" s="678">
        <f t="shared" si="23"/>
        <v>331526.40000000002</v>
      </c>
      <c r="Y181" s="700">
        <f t="shared" si="24"/>
        <v>1604175.2590818806</v>
      </c>
      <c r="Z181" s="740">
        <v>55.7</v>
      </c>
      <c r="AA181" s="678">
        <f t="shared" si="25"/>
        <v>331526.40000000002</v>
      </c>
      <c r="AB181" s="741">
        <f t="shared" si="26"/>
        <v>1604175.2590818806</v>
      </c>
      <c r="AC181" s="714"/>
    </row>
    <row r="182" spans="1:29" ht="15" customHeight="1" x14ac:dyDescent="0.25">
      <c r="A182" s="713"/>
      <c r="B182" s="714" t="s">
        <v>659</v>
      </c>
      <c r="C182" s="676" t="s">
        <v>534</v>
      </c>
      <c r="D182" s="676" t="s">
        <v>503</v>
      </c>
      <c r="E182" s="680">
        <v>44713</v>
      </c>
      <c r="F182" s="676">
        <v>720</v>
      </c>
      <c r="G182" s="676" t="s">
        <v>59</v>
      </c>
      <c r="H182" s="676" t="s">
        <v>3</v>
      </c>
      <c r="I182" s="676" t="s">
        <v>13</v>
      </c>
      <c r="J182" s="676" t="s">
        <v>85</v>
      </c>
      <c r="K182" s="676">
        <v>305</v>
      </c>
      <c r="L182" s="690" t="s">
        <v>54</v>
      </c>
      <c r="M182" s="691">
        <v>0</v>
      </c>
      <c r="N182" s="690">
        <v>8</v>
      </c>
      <c r="O182" s="691">
        <v>0</v>
      </c>
      <c r="P182" s="690">
        <v>325.21869272209017</v>
      </c>
      <c r="Q182" s="738">
        <f t="shared" si="18"/>
        <v>0</v>
      </c>
      <c r="R182" s="677">
        <f t="shared" si="19"/>
        <v>1873259.6700792394</v>
      </c>
      <c r="S182" s="739">
        <f t="shared" si="20"/>
        <v>1873259.6700792394</v>
      </c>
      <c r="T182" s="738">
        <v>55.71</v>
      </c>
      <c r="U182" s="677">
        <f t="shared" si="21"/>
        <v>320889.59999999998</v>
      </c>
      <c r="V182" s="739">
        <f t="shared" si="22"/>
        <v>1552370.0700792396</v>
      </c>
      <c r="W182" s="740">
        <v>55.71</v>
      </c>
      <c r="X182" s="678">
        <f t="shared" si="23"/>
        <v>320889.59999999998</v>
      </c>
      <c r="Y182" s="700">
        <f t="shared" si="24"/>
        <v>1552370.0700792396</v>
      </c>
      <c r="Z182" s="740">
        <v>55.71</v>
      </c>
      <c r="AA182" s="678">
        <f t="shared" si="25"/>
        <v>320889.59999999998</v>
      </c>
      <c r="AB182" s="741">
        <f t="shared" si="26"/>
        <v>1552370.0700792396</v>
      </c>
      <c r="AC182" s="714"/>
    </row>
    <row r="183" spans="1:29" ht="15" customHeight="1" x14ac:dyDescent="0.25">
      <c r="A183" s="713"/>
      <c r="B183" s="714" t="s">
        <v>659</v>
      </c>
      <c r="C183" s="676" t="s">
        <v>534</v>
      </c>
      <c r="D183" s="676" t="s">
        <v>503</v>
      </c>
      <c r="E183" s="680">
        <v>44743</v>
      </c>
      <c r="F183" s="676">
        <v>744</v>
      </c>
      <c r="G183" s="676" t="s">
        <v>59</v>
      </c>
      <c r="H183" s="676" t="s">
        <v>3</v>
      </c>
      <c r="I183" s="676" t="s">
        <v>13</v>
      </c>
      <c r="J183" s="676" t="s">
        <v>85</v>
      </c>
      <c r="K183" s="676">
        <v>305</v>
      </c>
      <c r="L183" s="690" t="s">
        <v>54</v>
      </c>
      <c r="M183" s="691">
        <v>0</v>
      </c>
      <c r="N183" s="690">
        <v>8</v>
      </c>
      <c r="O183" s="691">
        <v>0</v>
      </c>
      <c r="P183" s="690">
        <v>325.21869272209017</v>
      </c>
      <c r="Q183" s="738">
        <f t="shared" si="18"/>
        <v>0</v>
      </c>
      <c r="R183" s="677">
        <f t="shared" si="19"/>
        <v>1935701.6590818807</v>
      </c>
      <c r="S183" s="739">
        <f t="shared" si="20"/>
        <v>1935701.6590818807</v>
      </c>
      <c r="T183" s="738">
        <v>66.319999999999993</v>
      </c>
      <c r="U183" s="677">
        <f t="shared" si="21"/>
        <v>394736.63999999996</v>
      </c>
      <c r="V183" s="739">
        <f t="shared" si="22"/>
        <v>1540965.0190818808</v>
      </c>
      <c r="W183" s="740">
        <v>66.319999999999993</v>
      </c>
      <c r="X183" s="678">
        <f t="shared" si="23"/>
        <v>394736.63999999996</v>
      </c>
      <c r="Y183" s="700">
        <f t="shared" si="24"/>
        <v>1540965.0190818808</v>
      </c>
      <c r="Z183" s="740">
        <v>66.319999999999993</v>
      </c>
      <c r="AA183" s="678">
        <f t="shared" si="25"/>
        <v>394736.63999999996</v>
      </c>
      <c r="AB183" s="741">
        <f t="shared" si="26"/>
        <v>1540965.0190818808</v>
      </c>
      <c r="AC183" s="714"/>
    </row>
    <row r="184" spans="1:29" ht="15" customHeight="1" x14ac:dyDescent="0.25">
      <c r="A184" s="713"/>
      <c r="B184" s="714" t="s">
        <v>659</v>
      </c>
      <c r="C184" s="676" t="s">
        <v>534</v>
      </c>
      <c r="D184" s="676" t="s">
        <v>503</v>
      </c>
      <c r="E184" s="680">
        <v>44774</v>
      </c>
      <c r="F184" s="676">
        <v>744</v>
      </c>
      <c r="G184" s="676" t="s">
        <v>59</v>
      </c>
      <c r="H184" s="676" t="s">
        <v>3</v>
      </c>
      <c r="I184" s="676" t="s">
        <v>13</v>
      </c>
      <c r="J184" s="676" t="s">
        <v>85</v>
      </c>
      <c r="K184" s="676">
        <v>305</v>
      </c>
      <c r="L184" s="690" t="s">
        <v>54</v>
      </c>
      <c r="M184" s="691">
        <v>0</v>
      </c>
      <c r="N184" s="690">
        <v>8</v>
      </c>
      <c r="O184" s="691">
        <v>0</v>
      </c>
      <c r="P184" s="690">
        <v>325.21869272209017</v>
      </c>
      <c r="Q184" s="738">
        <f t="shared" si="18"/>
        <v>0</v>
      </c>
      <c r="R184" s="677">
        <f t="shared" si="19"/>
        <v>1935701.6590818807</v>
      </c>
      <c r="S184" s="739">
        <f t="shared" si="20"/>
        <v>1935701.6590818807</v>
      </c>
      <c r="T184" s="738">
        <v>76.900000000000006</v>
      </c>
      <c r="U184" s="677">
        <f t="shared" si="21"/>
        <v>457708.80000000005</v>
      </c>
      <c r="V184" s="739">
        <f t="shared" si="22"/>
        <v>1477992.8590818807</v>
      </c>
      <c r="W184" s="740">
        <v>76.900000000000006</v>
      </c>
      <c r="X184" s="678">
        <f t="shared" si="23"/>
        <v>457708.80000000005</v>
      </c>
      <c r="Y184" s="700">
        <f t="shared" si="24"/>
        <v>1477992.8590818807</v>
      </c>
      <c r="Z184" s="740">
        <v>76.900000000000006</v>
      </c>
      <c r="AA184" s="678">
        <f t="shared" si="25"/>
        <v>457708.80000000005</v>
      </c>
      <c r="AB184" s="741">
        <f t="shared" si="26"/>
        <v>1477992.8590818807</v>
      </c>
      <c r="AC184" s="714"/>
    </row>
    <row r="185" spans="1:29" ht="15" customHeight="1" x14ac:dyDescent="0.25">
      <c r="A185" s="713"/>
      <c r="B185" s="714" t="s">
        <v>659</v>
      </c>
      <c r="C185" s="676" t="s">
        <v>534</v>
      </c>
      <c r="D185" s="676" t="s">
        <v>503</v>
      </c>
      <c r="E185" s="680">
        <v>44805</v>
      </c>
      <c r="F185" s="676">
        <v>720</v>
      </c>
      <c r="G185" s="676" t="s">
        <v>59</v>
      </c>
      <c r="H185" s="676" t="s">
        <v>3</v>
      </c>
      <c r="I185" s="676" t="s">
        <v>13</v>
      </c>
      <c r="J185" s="676" t="s">
        <v>85</v>
      </c>
      <c r="K185" s="676">
        <v>305</v>
      </c>
      <c r="L185" s="690" t="s">
        <v>54</v>
      </c>
      <c r="M185" s="691">
        <v>0</v>
      </c>
      <c r="N185" s="690">
        <v>8</v>
      </c>
      <c r="O185" s="691">
        <v>0</v>
      </c>
      <c r="P185" s="690">
        <v>325.21869272209017</v>
      </c>
      <c r="Q185" s="738">
        <f t="shared" si="18"/>
        <v>0</v>
      </c>
      <c r="R185" s="677">
        <f t="shared" si="19"/>
        <v>1873259.6700792394</v>
      </c>
      <c r="S185" s="739">
        <f t="shared" si="20"/>
        <v>1873259.6700792394</v>
      </c>
      <c r="T185" s="738">
        <v>56.08</v>
      </c>
      <c r="U185" s="677">
        <f t="shared" si="21"/>
        <v>323020.79999999999</v>
      </c>
      <c r="V185" s="739">
        <f t="shared" si="22"/>
        <v>1550238.8700792394</v>
      </c>
      <c r="W185" s="740">
        <v>56.08</v>
      </c>
      <c r="X185" s="678">
        <f t="shared" si="23"/>
        <v>323020.79999999999</v>
      </c>
      <c r="Y185" s="700">
        <f t="shared" si="24"/>
        <v>1550238.8700792394</v>
      </c>
      <c r="Z185" s="740">
        <v>56.08</v>
      </c>
      <c r="AA185" s="678">
        <f t="shared" si="25"/>
        <v>323020.79999999999</v>
      </c>
      <c r="AB185" s="741">
        <f t="shared" si="26"/>
        <v>1550238.8700792394</v>
      </c>
      <c r="AC185" s="714"/>
    </row>
    <row r="186" spans="1:29" ht="15" customHeight="1" x14ac:dyDescent="0.25">
      <c r="A186" s="713"/>
      <c r="B186" s="714" t="s">
        <v>659</v>
      </c>
      <c r="C186" s="676" t="s">
        <v>534</v>
      </c>
      <c r="D186" s="676" t="s">
        <v>503</v>
      </c>
      <c r="E186" s="680">
        <v>44835</v>
      </c>
      <c r="F186" s="676">
        <v>744</v>
      </c>
      <c r="G186" s="676" t="s">
        <v>59</v>
      </c>
      <c r="H186" s="676" t="s">
        <v>3</v>
      </c>
      <c r="I186" s="676" t="s">
        <v>13</v>
      </c>
      <c r="J186" s="676" t="s">
        <v>85</v>
      </c>
      <c r="K186" s="676">
        <v>305</v>
      </c>
      <c r="L186" s="690" t="s">
        <v>54</v>
      </c>
      <c r="M186" s="691">
        <v>0</v>
      </c>
      <c r="N186" s="690">
        <v>8</v>
      </c>
      <c r="O186" s="691">
        <v>0</v>
      </c>
      <c r="P186" s="690">
        <v>325.21869272209017</v>
      </c>
      <c r="Q186" s="738">
        <f t="shared" si="18"/>
        <v>0</v>
      </c>
      <c r="R186" s="677">
        <f t="shared" si="19"/>
        <v>1935701.6590818807</v>
      </c>
      <c r="S186" s="739">
        <f t="shared" si="20"/>
        <v>1935701.6590818807</v>
      </c>
      <c r="T186" s="738">
        <v>55.7</v>
      </c>
      <c r="U186" s="677">
        <f t="shared" si="21"/>
        <v>331526.40000000002</v>
      </c>
      <c r="V186" s="739">
        <f t="shared" si="22"/>
        <v>1604175.2590818806</v>
      </c>
      <c r="W186" s="740">
        <v>55.7</v>
      </c>
      <c r="X186" s="678">
        <f t="shared" si="23"/>
        <v>331526.40000000002</v>
      </c>
      <c r="Y186" s="700">
        <f t="shared" si="24"/>
        <v>1604175.2590818806</v>
      </c>
      <c r="Z186" s="740">
        <v>55.7</v>
      </c>
      <c r="AA186" s="678">
        <f t="shared" si="25"/>
        <v>331526.40000000002</v>
      </c>
      <c r="AB186" s="741">
        <f t="shared" si="26"/>
        <v>1604175.2590818806</v>
      </c>
      <c r="AC186" s="714"/>
    </row>
    <row r="187" spans="1:29" ht="15" customHeight="1" x14ac:dyDescent="0.25">
      <c r="A187" s="713"/>
      <c r="B187" s="714" t="s">
        <v>659</v>
      </c>
      <c r="C187" s="676" t="s">
        <v>534</v>
      </c>
      <c r="D187" s="676" t="s">
        <v>503</v>
      </c>
      <c r="E187" s="680">
        <v>44866</v>
      </c>
      <c r="F187" s="676">
        <v>720</v>
      </c>
      <c r="G187" s="676" t="s">
        <v>59</v>
      </c>
      <c r="H187" s="676" t="s">
        <v>3</v>
      </c>
      <c r="I187" s="676" t="s">
        <v>13</v>
      </c>
      <c r="J187" s="676" t="s">
        <v>85</v>
      </c>
      <c r="K187" s="676">
        <v>305</v>
      </c>
      <c r="L187" s="690" t="s">
        <v>54</v>
      </c>
      <c r="M187" s="691">
        <v>0</v>
      </c>
      <c r="N187" s="690">
        <v>8</v>
      </c>
      <c r="O187" s="691">
        <v>0</v>
      </c>
      <c r="P187" s="690">
        <v>325.21869272209017</v>
      </c>
      <c r="Q187" s="738">
        <f t="shared" si="18"/>
        <v>0</v>
      </c>
      <c r="R187" s="677">
        <f t="shared" si="19"/>
        <v>1873259.6700792394</v>
      </c>
      <c r="S187" s="739">
        <f t="shared" si="20"/>
        <v>1873259.6700792394</v>
      </c>
      <c r="T187" s="738">
        <v>55.7</v>
      </c>
      <c r="U187" s="677">
        <f t="shared" si="21"/>
        <v>320832</v>
      </c>
      <c r="V187" s="739">
        <f t="shared" si="22"/>
        <v>1552427.6700792394</v>
      </c>
      <c r="W187" s="740">
        <v>55.7</v>
      </c>
      <c r="X187" s="678">
        <f t="shared" si="23"/>
        <v>320832</v>
      </c>
      <c r="Y187" s="700">
        <f t="shared" si="24"/>
        <v>1552427.6700792394</v>
      </c>
      <c r="Z187" s="740">
        <v>55.7</v>
      </c>
      <c r="AA187" s="678">
        <f t="shared" si="25"/>
        <v>320832</v>
      </c>
      <c r="AB187" s="741">
        <f t="shared" si="26"/>
        <v>1552427.6700792394</v>
      </c>
      <c r="AC187" s="714"/>
    </row>
    <row r="188" spans="1:29" ht="15" customHeight="1" x14ac:dyDescent="0.25">
      <c r="A188" s="713"/>
      <c r="B188" s="729" t="s">
        <v>659</v>
      </c>
      <c r="C188" s="545" t="s">
        <v>534</v>
      </c>
      <c r="D188" s="545" t="s">
        <v>503</v>
      </c>
      <c r="E188" s="681">
        <v>44896</v>
      </c>
      <c r="F188" s="545">
        <v>744</v>
      </c>
      <c r="G188" s="545" t="s">
        <v>59</v>
      </c>
      <c r="H188" s="545" t="s">
        <v>3</v>
      </c>
      <c r="I188" s="545" t="s">
        <v>13</v>
      </c>
      <c r="J188" s="545" t="s">
        <v>85</v>
      </c>
      <c r="K188" s="545">
        <v>305</v>
      </c>
      <c r="L188" s="725" t="s">
        <v>54</v>
      </c>
      <c r="M188" s="695">
        <v>0</v>
      </c>
      <c r="N188" s="725">
        <v>8</v>
      </c>
      <c r="O188" s="695">
        <v>0</v>
      </c>
      <c r="P188" s="725">
        <v>325.21869272209017</v>
      </c>
      <c r="Q188" s="742">
        <f t="shared" si="18"/>
        <v>0</v>
      </c>
      <c r="R188" s="603">
        <f t="shared" si="19"/>
        <v>1935701.6590818807</v>
      </c>
      <c r="S188" s="743">
        <f t="shared" si="20"/>
        <v>1935701.6590818807</v>
      </c>
      <c r="T188" s="742">
        <v>55.7</v>
      </c>
      <c r="U188" s="603">
        <f t="shared" si="21"/>
        <v>331526.40000000002</v>
      </c>
      <c r="V188" s="743">
        <f t="shared" si="22"/>
        <v>1604175.2590818806</v>
      </c>
      <c r="W188" s="744">
        <v>55.7</v>
      </c>
      <c r="X188" s="604">
        <f t="shared" si="23"/>
        <v>331526.40000000002</v>
      </c>
      <c r="Y188" s="701">
        <f t="shared" si="24"/>
        <v>1604175.2590818806</v>
      </c>
      <c r="Z188" s="744">
        <v>78.400653594793155</v>
      </c>
      <c r="AA188" s="604">
        <f t="shared" si="25"/>
        <v>466640.69019620889</v>
      </c>
      <c r="AB188" s="745">
        <f t="shared" si="26"/>
        <v>1469060.9688856718</v>
      </c>
      <c r="AC188" s="714"/>
    </row>
    <row r="189" spans="1:29" ht="15" customHeight="1" x14ac:dyDescent="0.25">
      <c r="A189" s="713"/>
      <c r="B189" s="730" t="s">
        <v>661</v>
      </c>
      <c r="C189" s="546" t="s">
        <v>534</v>
      </c>
      <c r="D189" s="546" t="s">
        <v>472</v>
      </c>
      <c r="E189" s="682">
        <v>44562</v>
      </c>
      <c r="F189" s="546">
        <v>744</v>
      </c>
      <c r="G189" s="546" t="s">
        <v>59</v>
      </c>
      <c r="H189" s="546" t="s">
        <v>3</v>
      </c>
      <c r="I189" s="546" t="s">
        <v>13</v>
      </c>
      <c r="J189" s="546" t="s">
        <v>85</v>
      </c>
      <c r="K189" s="546">
        <v>305</v>
      </c>
      <c r="L189" s="726" t="s">
        <v>54</v>
      </c>
      <c r="M189" s="696">
        <v>0</v>
      </c>
      <c r="N189" s="726">
        <v>4</v>
      </c>
      <c r="O189" s="696">
        <v>0</v>
      </c>
      <c r="P189" s="726">
        <v>325.21869272209017</v>
      </c>
      <c r="Q189" s="746">
        <f t="shared" si="18"/>
        <v>0</v>
      </c>
      <c r="R189" s="606">
        <f t="shared" si="19"/>
        <v>967850.82954094035</v>
      </c>
      <c r="S189" s="747">
        <f t="shared" si="20"/>
        <v>967850.82954094035</v>
      </c>
      <c r="T189" s="746">
        <v>57.22</v>
      </c>
      <c r="U189" s="606">
        <f t="shared" si="21"/>
        <v>170286.72</v>
      </c>
      <c r="V189" s="747">
        <f t="shared" si="22"/>
        <v>797564.10954094038</v>
      </c>
      <c r="W189" s="748">
        <v>57.22</v>
      </c>
      <c r="X189" s="607">
        <f t="shared" si="23"/>
        <v>170286.72</v>
      </c>
      <c r="Y189" s="702">
        <f t="shared" si="24"/>
        <v>797564.10954094038</v>
      </c>
      <c r="Z189" s="748">
        <v>57.22</v>
      </c>
      <c r="AA189" s="607">
        <f t="shared" si="25"/>
        <v>170286.72</v>
      </c>
      <c r="AB189" s="749">
        <f t="shared" si="26"/>
        <v>797564.10954094038</v>
      </c>
      <c r="AC189" s="714"/>
    </row>
    <row r="190" spans="1:29" ht="15" customHeight="1" x14ac:dyDescent="0.25">
      <c r="A190" s="713"/>
      <c r="B190" s="714" t="s">
        <v>661</v>
      </c>
      <c r="C190" s="676" t="s">
        <v>534</v>
      </c>
      <c r="D190" s="676" t="s">
        <v>472</v>
      </c>
      <c r="E190" s="680">
        <v>44593</v>
      </c>
      <c r="F190" s="676">
        <v>672</v>
      </c>
      <c r="G190" s="676" t="s">
        <v>59</v>
      </c>
      <c r="H190" s="676" t="s">
        <v>3</v>
      </c>
      <c r="I190" s="676" t="s">
        <v>13</v>
      </c>
      <c r="J190" s="676" t="s">
        <v>85</v>
      </c>
      <c r="K190" s="676">
        <v>305</v>
      </c>
      <c r="L190" s="690" t="s">
        <v>54</v>
      </c>
      <c r="M190" s="691">
        <v>0</v>
      </c>
      <c r="N190" s="690">
        <v>4</v>
      </c>
      <c r="O190" s="691">
        <v>0</v>
      </c>
      <c r="P190" s="690">
        <v>325.21869272209017</v>
      </c>
      <c r="Q190" s="738">
        <f t="shared" si="18"/>
        <v>0</v>
      </c>
      <c r="R190" s="677">
        <f t="shared" si="19"/>
        <v>874187.84603697842</v>
      </c>
      <c r="S190" s="739">
        <f t="shared" si="20"/>
        <v>874187.84603697842</v>
      </c>
      <c r="T190" s="738">
        <v>55.7</v>
      </c>
      <c r="U190" s="677">
        <f t="shared" si="21"/>
        <v>149721.60000000001</v>
      </c>
      <c r="V190" s="739">
        <f t="shared" si="22"/>
        <v>724466.24603697844</v>
      </c>
      <c r="W190" s="740">
        <v>55.7</v>
      </c>
      <c r="X190" s="678">
        <f t="shared" si="23"/>
        <v>149721.60000000001</v>
      </c>
      <c r="Y190" s="700">
        <f t="shared" si="24"/>
        <v>724466.24603697844</v>
      </c>
      <c r="Z190" s="740">
        <v>55.7</v>
      </c>
      <c r="AA190" s="678">
        <f t="shared" si="25"/>
        <v>149721.60000000001</v>
      </c>
      <c r="AB190" s="741">
        <f t="shared" si="26"/>
        <v>724466.24603697844</v>
      </c>
      <c r="AC190" s="714"/>
    </row>
    <row r="191" spans="1:29" ht="15" customHeight="1" x14ac:dyDescent="0.25">
      <c r="A191" s="713"/>
      <c r="B191" s="714" t="s">
        <v>661</v>
      </c>
      <c r="C191" s="676" t="s">
        <v>534</v>
      </c>
      <c r="D191" s="676" t="s">
        <v>472</v>
      </c>
      <c r="E191" s="680">
        <v>44621</v>
      </c>
      <c r="F191" s="676">
        <v>744</v>
      </c>
      <c r="G191" s="676" t="s">
        <v>59</v>
      </c>
      <c r="H191" s="676" t="s">
        <v>3</v>
      </c>
      <c r="I191" s="676" t="s">
        <v>13</v>
      </c>
      <c r="J191" s="676" t="s">
        <v>85</v>
      </c>
      <c r="K191" s="676">
        <v>305</v>
      </c>
      <c r="L191" s="690" t="s">
        <v>54</v>
      </c>
      <c r="M191" s="691">
        <v>0</v>
      </c>
      <c r="N191" s="690">
        <v>4</v>
      </c>
      <c r="O191" s="691">
        <v>0</v>
      </c>
      <c r="P191" s="690">
        <v>325.21869272209017</v>
      </c>
      <c r="Q191" s="738">
        <f t="shared" si="18"/>
        <v>0</v>
      </c>
      <c r="R191" s="677">
        <f t="shared" si="19"/>
        <v>967850.82954094035</v>
      </c>
      <c r="S191" s="739">
        <f t="shared" si="20"/>
        <v>967850.82954094035</v>
      </c>
      <c r="T191" s="738">
        <v>55.7</v>
      </c>
      <c r="U191" s="677">
        <f t="shared" si="21"/>
        <v>165763.20000000001</v>
      </c>
      <c r="V191" s="739">
        <f t="shared" si="22"/>
        <v>802087.62954094028</v>
      </c>
      <c r="W191" s="740">
        <v>55.7</v>
      </c>
      <c r="X191" s="678">
        <f t="shared" si="23"/>
        <v>165763.20000000001</v>
      </c>
      <c r="Y191" s="700">
        <f t="shared" si="24"/>
        <v>802087.62954094028</v>
      </c>
      <c r="Z191" s="740">
        <v>55.7</v>
      </c>
      <c r="AA191" s="678">
        <f t="shared" si="25"/>
        <v>165763.20000000001</v>
      </c>
      <c r="AB191" s="741">
        <f t="shared" si="26"/>
        <v>802087.62954094028</v>
      </c>
      <c r="AC191" s="714"/>
    </row>
    <row r="192" spans="1:29" ht="15" customHeight="1" x14ac:dyDescent="0.25">
      <c r="A192" s="713"/>
      <c r="B192" s="714" t="s">
        <v>661</v>
      </c>
      <c r="C192" s="676" t="s">
        <v>534</v>
      </c>
      <c r="D192" s="676" t="s">
        <v>472</v>
      </c>
      <c r="E192" s="680">
        <v>44652</v>
      </c>
      <c r="F192" s="676">
        <v>720</v>
      </c>
      <c r="G192" s="676" t="s">
        <v>59</v>
      </c>
      <c r="H192" s="676" t="s">
        <v>3</v>
      </c>
      <c r="I192" s="676" t="s">
        <v>13</v>
      </c>
      <c r="J192" s="676" t="s">
        <v>85</v>
      </c>
      <c r="K192" s="676">
        <v>305</v>
      </c>
      <c r="L192" s="690" t="s">
        <v>54</v>
      </c>
      <c r="M192" s="691">
        <v>0</v>
      </c>
      <c r="N192" s="690">
        <v>4</v>
      </c>
      <c r="O192" s="691">
        <v>0</v>
      </c>
      <c r="P192" s="690">
        <v>325.21869272209017</v>
      </c>
      <c r="Q192" s="738">
        <f t="shared" si="18"/>
        <v>0</v>
      </c>
      <c r="R192" s="677">
        <f t="shared" si="19"/>
        <v>936629.83503961971</v>
      </c>
      <c r="S192" s="739">
        <f t="shared" si="20"/>
        <v>936629.83503961971</v>
      </c>
      <c r="T192" s="738">
        <v>55.7</v>
      </c>
      <c r="U192" s="677">
        <f t="shared" si="21"/>
        <v>160416</v>
      </c>
      <c r="V192" s="739">
        <f t="shared" si="22"/>
        <v>776213.83503961971</v>
      </c>
      <c r="W192" s="740">
        <v>55.7</v>
      </c>
      <c r="X192" s="678">
        <f t="shared" si="23"/>
        <v>160416</v>
      </c>
      <c r="Y192" s="700">
        <f t="shared" si="24"/>
        <v>776213.83503961971</v>
      </c>
      <c r="Z192" s="740">
        <v>55.7</v>
      </c>
      <c r="AA192" s="678">
        <f t="shared" si="25"/>
        <v>160416</v>
      </c>
      <c r="AB192" s="741">
        <f t="shared" si="26"/>
        <v>776213.83503961971</v>
      </c>
      <c r="AC192" s="714"/>
    </row>
    <row r="193" spans="1:29" ht="15" customHeight="1" x14ac:dyDescent="0.25">
      <c r="A193" s="713"/>
      <c r="B193" s="714" t="s">
        <v>661</v>
      </c>
      <c r="C193" s="676" t="s">
        <v>534</v>
      </c>
      <c r="D193" s="676" t="s">
        <v>472</v>
      </c>
      <c r="E193" s="680">
        <v>44682</v>
      </c>
      <c r="F193" s="676">
        <v>744</v>
      </c>
      <c r="G193" s="676" t="s">
        <v>59</v>
      </c>
      <c r="H193" s="676" t="s">
        <v>3</v>
      </c>
      <c r="I193" s="676" t="s">
        <v>13</v>
      </c>
      <c r="J193" s="676" t="s">
        <v>85</v>
      </c>
      <c r="K193" s="676">
        <v>305</v>
      </c>
      <c r="L193" s="690" t="s">
        <v>54</v>
      </c>
      <c r="M193" s="691">
        <v>0</v>
      </c>
      <c r="N193" s="690">
        <v>4</v>
      </c>
      <c r="O193" s="691">
        <v>0</v>
      </c>
      <c r="P193" s="690">
        <v>325.21869272209017</v>
      </c>
      <c r="Q193" s="738">
        <f t="shared" si="18"/>
        <v>0</v>
      </c>
      <c r="R193" s="677">
        <f t="shared" si="19"/>
        <v>967850.82954094035</v>
      </c>
      <c r="S193" s="739">
        <f t="shared" si="20"/>
        <v>967850.82954094035</v>
      </c>
      <c r="T193" s="738">
        <v>55.7</v>
      </c>
      <c r="U193" s="677">
        <f t="shared" si="21"/>
        <v>165763.20000000001</v>
      </c>
      <c r="V193" s="739">
        <f t="shared" si="22"/>
        <v>802087.62954094028</v>
      </c>
      <c r="W193" s="740">
        <v>55.7</v>
      </c>
      <c r="X193" s="678">
        <f t="shared" si="23"/>
        <v>165763.20000000001</v>
      </c>
      <c r="Y193" s="700">
        <f t="shared" si="24"/>
        <v>802087.62954094028</v>
      </c>
      <c r="Z193" s="740">
        <v>55.7</v>
      </c>
      <c r="AA193" s="678">
        <f t="shared" si="25"/>
        <v>165763.20000000001</v>
      </c>
      <c r="AB193" s="741">
        <f t="shared" si="26"/>
        <v>802087.62954094028</v>
      </c>
      <c r="AC193" s="714"/>
    </row>
    <row r="194" spans="1:29" ht="15" customHeight="1" x14ac:dyDescent="0.25">
      <c r="A194" s="713"/>
      <c r="B194" s="714" t="s">
        <v>661</v>
      </c>
      <c r="C194" s="676" t="s">
        <v>534</v>
      </c>
      <c r="D194" s="676" t="s">
        <v>472</v>
      </c>
      <c r="E194" s="680">
        <v>44713</v>
      </c>
      <c r="F194" s="676">
        <v>720</v>
      </c>
      <c r="G194" s="676" t="s">
        <v>59</v>
      </c>
      <c r="H194" s="676" t="s">
        <v>3</v>
      </c>
      <c r="I194" s="676" t="s">
        <v>13</v>
      </c>
      <c r="J194" s="676" t="s">
        <v>85</v>
      </c>
      <c r="K194" s="676">
        <v>305</v>
      </c>
      <c r="L194" s="690" t="s">
        <v>54</v>
      </c>
      <c r="M194" s="691">
        <v>0</v>
      </c>
      <c r="N194" s="690">
        <v>4</v>
      </c>
      <c r="O194" s="691">
        <v>0</v>
      </c>
      <c r="P194" s="690">
        <v>325.21869272209017</v>
      </c>
      <c r="Q194" s="738">
        <f t="shared" si="18"/>
        <v>0</v>
      </c>
      <c r="R194" s="677">
        <f t="shared" si="19"/>
        <v>936629.83503961971</v>
      </c>
      <c r="S194" s="739">
        <f t="shared" si="20"/>
        <v>936629.83503961971</v>
      </c>
      <c r="T194" s="738">
        <v>55.71</v>
      </c>
      <c r="U194" s="677">
        <f t="shared" si="21"/>
        <v>160444.79999999999</v>
      </c>
      <c r="V194" s="739">
        <f t="shared" si="22"/>
        <v>776185.03503961978</v>
      </c>
      <c r="W194" s="740">
        <v>55.71</v>
      </c>
      <c r="X194" s="678">
        <f t="shared" si="23"/>
        <v>160444.79999999999</v>
      </c>
      <c r="Y194" s="700">
        <f t="shared" si="24"/>
        <v>776185.03503961978</v>
      </c>
      <c r="Z194" s="740">
        <v>55.71</v>
      </c>
      <c r="AA194" s="678">
        <f t="shared" si="25"/>
        <v>160444.79999999999</v>
      </c>
      <c r="AB194" s="741">
        <f t="shared" si="26"/>
        <v>776185.03503961978</v>
      </c>
      <c r="AC194" s="714"/>
    </row>
    <row r="195" spans="1:29" ht="15" customHeight="1" x14ac:dyDescent="0.25">
      <c r="A195" s="713"/>
      <c r="B195" s="714" t="s">
        <v>661</v>
      </c>
      <c r="C195" s="676" t="s">
        <v>534</v>
      </c>
      <c r="D195" s="676" t="s">
        <v>472</v>
      </c>
      <c r="E195" s="680">
        <v>44743</v>
      </c>
      <c r="F195" s="676">
        <v>744</v>
      </c>
      <c r="G195" s="676" t="s">
        <v>59</v>
      </c>
      <c r="H195" s="676" t="s">
        <v>3</v>
      </c>
      <c r="I195" s="676" t="s">
        <v>13</v>
      </c>
      <c r="J195" s="676" t="s">
        <v>85</v>
      </c>
      <c r="K195" s="676">
        <v>305</v>
      </c>
      <c r="L195" s="690" t="s">
        <v>54</v>
      </c>
      <c r="M195" s="691">
        <v>0</v>
      </c>
      <c r="N195" s="690">
        <v>4</v>
      </c>
      <c r="O195" s="691">
        <v>0</v>
      </c>
      <c r="P195" s="690">
        <v>325.21869272209017</v>
      </c>
      <c r="Q195" s="738">
        <f t="shared" ref="Q195:Q258" si="27">(O195*(M195*F195))</f>
        <v>0</v>
      </c>
      <c r="R195" s="677">
        <f t="shared" ref="R195:R258" si="28">(P195*(N195*F195))</f>
        <v>967850.82954094035</v>
      </c>
      <c r="S195" s="739">
        <f t="shared" ref="S195:S258" si="29">R195-Q195</f>
        <v>967850.82954094035</v>
      </c>
      <c r="T195" s="738">
        <v>66.319999999999993</v>
      </c>
      <c r="U195" s="677">
        <f t="shared" ref="U195:U258" si="30">(((F195*N195)*T195)-(T195*(M195*F195)))</f>
        <v>197368.31999999998</v>
      </c>
      <c r="V195" s="739">
        <f t="shared" ref="V195:V258" si="31">S195-U195</f>
        <v>770482.5095409404</v>
      </c>
      <c r="W195" s="740">
        <v>66.319999999999993</v>
      </c>
      <c r="X195" s="678">
        <f t="shared" ref="X195:X258" si="32">(((F195*N195)*W195)-(W195*(M195*F195)))</f>
        <v>197368.31999999998</v>
      </c>
      <c r="Y195" s="700">
        <f t="shared" ref="Y195:Y258" si="33">S195-X195</f>
        <v>770482.5095409404</v>
      </c>
      <c r="Z195" s="740">
        <v>66.319999999999993</v>
      </c>
      <c r="AA195" s="678">
        <f t="shared" ref="AA195:AA258" si="34">(((F195*N195)*Z195)-(Z195*(M195*F195)))</f>
        <v>197368.31999999998</v>
      </c>
      <c r="AB195" s="741">
        <f t="shared" ref="AB195:AB258" si="35">S195-AA195</f>
        <v>770482.5095409404</v>
      </c>
      <c r="AC195" s="714"/>
    </row>
    <row r="196" spans="1:29" ht="15" customHeight="1" x14ac:dyDescent="0.25">
      <c r="A196" s="713"/>
      <c r="B196" s="714" t="s">
        <v>661</v>
      </c>
      <c r="C196" s="676" t="s">
        <v>534</v>
      </c>
      <c r="D196" s="676" t="s">
        <v>472</v>
      </c>
      <c r="E196" s="680">
        <v>44774</v>
      </c>
      <c r="F196" s="676">
        <v>744</v>
      </c>
      <c r="G196" s="676" t="s">
        <v>59</v>
      </c>
      <c r="H196" s="676" t="s">
        <v>3</v>
      </c>
      <c r="I196" s="676" t="s">
        <v>13</v>
      </c>
      <c r="J196" s="676" t="s">
        <v>85</v>
      </c>
      <c r="K196" s="676">
        <v>305</v>
      </c>
      <c r="L196" s="690" t="s">
        <v>54</v>
      </c>
      <c r="M196" s="691">
        <v>0</v>
      </c>
      <c r="N196" s="690">
        <v>4</v>
      </c>
      <c r="O196" s="691">
        <v>0</v>
      </c>
      <c r="P196" s="690">
        <v>325.21869272209017</v>
      </c>
      <c r="Q196" s="738">
        <f t="shared" si="27"/>
        <v>0</v>
      </c>
      <c r="R196" s="677">
        <f t="shared" si="28"/>
        <v>967850.82954094035</v>
      </c>
      <c r="S196" s="739">
        <f t="shared" si="29"/>
        <v>967850.82954094035</v>
      </c>
      <c r="T196" s="738">
        <v>76.900000000000006</v>
      </c>
      <c r="U196" s="677">
        <f t="shared" si="30"/>
        <v>228854.40000000002</v>
      </c>
      <c r="V196" s="739">
        <f t="shared" si="31"/>
        <v>738996.42954094033</v>
      </c>
      <c r="W196" s="740">
        <v>76.900000000000006</v>
      </c>
      <c r="X196" s="678">
        <f t="shared" si="32"/>
        <v>228854.40000000002</v>
      </c>
      <c r="Y196" s="700">
        <f t="shared" si="33"/>
        <v>738996.42954094033</v>
      </c>
      <c r="Z196" s="740">
        <v>76.900000000000006</v>
      </c>
      <c r="AA196" s="678">
        <f t="shared" si="34"/>
        <v>228854.40000000002</v>
      </c>
      <c r="AB196" s="741">
        <f t="shared" si="35"/>
        <v>738996.42954094033</v>
      </c>
      <c r="AC196" s="714"/>
    </row>
    <row r="197" spans="1:29" ht="15" customHeight="1" x14ac:dyDescent="0.25">
      <c r="A197" s="713"/>
      <c r="B197" s="714" t="s">
        <v>661</v>
      </c>
      <c r="C197" s="676" t="s">
        <v>534</v>
      </c>
      <c r="D197" s="676" t="s">
        <v>472</v>
      </c>
      <c r="E197" s="680">
        <v>44805</v>
      </c>
      <c r="F197" s="676">
        <v>720</v>
      </c>
      <c r="G197" s="676" t="s">
        <v>59</v>
      </c>
      <c r="H197" s="676" t="s">
        <v>3</v>
      </c>
      <c r="I197" s="676" t="s">
        <v>13</v>
      </c>
      <c r="J197" s="676" t="s">
        <v>85</v>
      </c>
      <c r="K197" s="676">
        <v>305</v>
      </c>
      <c r="L197" s="690" t="s">
        <v>54</v>
      </c>
      <c r="M197" s="691">
        <v>0</v>
      </c>
      <c r="N197" s="690">
        <v>4</v>
      </c>
      <c r="O197" s="691">
        <v>0</v>
      </c>
      <c r="P197" s="690">
        <v>325.21869272209017</v>
      </c>
      <c r="Q197" s="738">
        <f t="shared" si="27"/>
        <v>0</v>
      </c>
      <c r="R197" s="677">
        <f t="shared" si="28"/>
        <v>936629.83503961971</v>
      </c>
      <c r="S197" s="739">
        <f t="shared" si="29"/>
        <v>936629.83503961971</v>
      </c>
      <c r="T197" s="738">
        <v>56.08</v>
      </c>
      <c r="U197" s="677">
        <f t="shared" si="30"/>
        <v>161510.39999999999</v>
      </c>
      <c r="V197" s="739">
        <f t="shared" si="31"/>
        <v>775119.43503961968</v>
      </c>
      <c r="W197" s="740">
        <v>56.08</v>
      </c>
      <c r="X197" s="678">
        <f t="shared" si="32"/>
        <v>161510.39999999999</v>
      </c>
      <c r="Y197" s="700">
        <f t="shared" si="33"/>
        <v>775119.43503961968</v>
      </c>
      <c r="Z197" s="740">
        <v>56.08</v>
      </c>
      <c r="AA197" s="678">
        <f t="shared" si="34"/>
        <v>161510.39999999999</v>
      </c>
      <c r="AB197" s="741">
        <f t="shared" si="35"/>
        <v>775119.43503961968</v>
      </c>
      <c r="AC197" s="714"/>
    </row>
    <row r="198" spans="1:29" ht="15" customHeight="1" x14ac:dyDescent="0.25">
      <c r="A198" s="713"/>
      <c r="B198" s="714" t="s">
        <v>661</v>
      </c>
      <c r="C198" s="676" t="s">
        <v>534</v>
      </c>
      <c r="D198" s="676" t="s">
        <v>472</v>
      </c>
      <c r="E198" s="680">
        <v>44835</v>
      </c>
      <c r="F198" s="676">
        <v>744</v>
      </c>
      <c r="G198" s="676" t="s">
        <v>59</v>
      </c>
      <c r="H198" s="676" t="s">
        <v>3</v>
      </c>
      <c r="I198" s="676" t="s">
        <v>13</v>
      </c>
      <c r="J198" s="676" t="s">
        <v>85</v>
      </c>
      <c r="K198" s="676">
        <v>305</v>
      </c>
      <c r="L198" s="690" t="s">
        <v>54</v>
      </c>
      <c r="M198" s="691">
        <v>0</v>
      </c>
      <c r="N198" s="690">
        <v>4</v>
      </c>
      <c r="O198" s="691">
        <v>0</v>
      </c>
      <c r="P198" s="690">
        <v>325.21869272209017</v>
      </c>
      <c r="Q198" s="738">
        <f t="shared" si="27"/>
        <v>0</v>
      </c>
      <c r="R198" s="677">
        <f t="shared" si="28"/>
        <v>967850.82954094035</v>
      </c>
      <c r="S198" s="739">
        <f t="shared" si="29"/>
        <v>967850.82954094035</v>
      </c>
      <c r="T198" s="738">
        <v>55.7</v>
      </c>
      <c r="U198" s="677">
        <f t="shared" si="30"/>
        <v>165763.20000000001</v>
      </c>
      <c r="V198" s="739">
        <f t="shared" si="31"/>
        <v>802087.62954094028</v>
      </c>
      <c r="W198" s="740">
        <v>55.7</v>
      </c>
      <c r="X198" s="678">
        <f t="shared" si="32"/>
        <v>165763.20000000001</v>
      </c>
      <c r="Y198" s="700">
        <f t="shared" si="33"/>
        <v>802087.62954094028</v>
      </c>
      <c r="Z198" s="740">
        <v>55.7</v>
      </c>
      <c r="AA198" s="678">
        <f t="shared" si="34"/>
        <v>165763.20000000001</v>
      </c>
      <c r="AB198" s="741">
        <f t="shared" si="35"/>
        <v>802087.62954094028</v>
      </c>
      <c r="AC198" s="714"/>
    </row>
    <row r="199" spans="1:29" ht="15" customHeight="1" x14ac:dyDescent="0.25">
      <c r="A199" s="713"/>
      <c r="B199" s="714" t="s">
        <v>661</v>
      </c>
      <c r="C199" s="676" t="s">
        <v>534</v>
      </c>
      <c r="D199" s="676" t="s">
        <v>472</v>
      </c>
      <c r="E199" s="680">
        <v>44866</v>
      </c>
      <c r="F199" s="676">
        <v>720</v>
      </c>
      <c r="G199" s="676" t="s">
        <v>59</v>
      </c>
      <c r="H199" s="676" t="s">
        <v>3</v>
      </c>
      <c r="I199" s="676" t="s">
        <v>13</v>
      </c>
      <c r="J199" s="676" t="s">
        <v>85</v>
      </c>
      <c r="K199" s="676">
        <v>305</v>
      </c>
      <c r="L199" s="690" t="s">
        <v>54</v>
      </c>
      <c r="M199" s="691">
        <v>0</v>
      </c>
      <c r="N199" s="690">
        <v>4</v>
      </c>
      <c r="O199" s="691">
        <v>0</v>
      </c>
      <c r="P199" s="690">
        <v>325.21869272209017</v>
      </c>
      <c r="Q199" s="738">
        <f t="shared" si="27"/>
        <v>0</v>
      </c>
      <c r="R199" s="677">
        <f t="shared" si="28"/>
        <v>936629.83503961971</v>
      </c>
      <c r="S199" s="739">
        <f t="shared" si="29"/>
        <v>936629.83503961971</v>
      </c>
      <c r="T199" s="738">
        <v>55.7</v>
      </c>
      <c r="U199" s="677">
        <f t="shared" si="30"/>
        <v>160416</v>
      </c>
      <c r="V199" s="739">
        <f t="shared" si="31"/>
        <v>776213.83503961971</v>
      </c>
      <c r="W199" s="740">
        <v>55.7</v>
      </c>
      <c r="X199" s="678">
        <f t="shared" si="32"/>
        <v>160416</v>
      </c>
      <c r="Y199" s="700">
        <f t="shared" si="33"/>
        <v>776213.83503961971</v>
      </c>
      <c r="Z199" s="740">
        <v>55.7</v>
      </c>
      <c r="AA199" s="678">
        <f t="shared" si="34"/>
        <v>160416</v>
      </c>
      <c r="AB199" s="741">
        <f t="shared" si="35"/>
        <v>776213.83503961971</v>
      </c>
      <c r="AC199" s="714"/>
    </row>
    <row r="200" spans="1:29" ht="15" customHeight="1" x14ac:dyDescent="0.25">
      <c r="A200" s="713"/>
      <c r="B200" s="729" t="s">
        <v>661</v>
      </c>
      <c r="C200" s="545" t="s">
        <v>534</v>
      </c>
      <c r="D200" s="545" t="s">
        <v>472</v>
      </c>
      <c r="E200" s="681">
        <v>44896</v>
      </c>
      <c r="F200" s="545">
        <v>744</v>
      </c>
      <c r="G200" s="545" t="s">
        <v>59</v>
      </c>
      <c r="H200" s="545" t="s">
        <v>3</v>
      </c>
      <c r="I200" s="545" t="s">
        <v>13</v>
      </c>
      <c r="J200" s="545" t="s">
        <v>85</v>
      </c>
      <c r="K200" s="545">
        <v>305</v>
      </c>
      <c r="L200" s="725" t="s">
        <v>54</v>
      </c>
      <c r="M200" s="695">
        <v>0</v>
      </c>
      <c r="N200" s="725">
        <v>4</v>
      </c>
      <c r="O200" s="695">
        <v>0</v>
      </c>
      <c r="P200" s="725">
        <v>325.21869272209017</v>
      </c>
      <c r="Q200" s="742">
        <f t="shared" si="27"/>
        <v>0</v>
      </c>
      <c r="R200" s="603">
        <f t="shared" si="28"/>
        <v>967850.82954094035</v>
      </c>
      <c r="S200" s="743">
        <f t="shared" si="29"/>
        <v>967850.82954094035</v>
      </c>
      <c r="T200" s="742">
        <v>55.7</v>
      </c>
      <c r="U200" s="603">
        <f t="shared" si="30"/>
        <v>165763.20000000001</v>
      </c>
      <c r="V200" s="743">
        <f t="shared" si="31"/>
        <v>802087.62954094028</v>
      </c>
      <c r="W200" s="744">
        <v>55.7</v>
      </c>
      <c r="X200" s="604">
        <f t="shared" si="32"/>
        <v>165763.20000000001</v>
      </c>
      <c r="Y200" s="701">
        <f t="shared" si="33"/>
        <v>802087.62954094028</v>
      </c>
      <c r="Z200" s="744">
        <v>78.400653594793155</v>
      </c>
      <c r="AA200" s="604">
        <f t="shared" si="34"/>
        <v>233320.34509810444</v>
      </c>
      <c r="AB200" s="745">
        <f t="shared" si="35"/>
        <v>734530.48444283591</v>
      </c>
      <c r="AC200" s="714"/>
    </row>
    <row r="201" spans="1:29" ht="15" customHeight="1" x14ac:dyDescent="0.25">
      <c r="A201" s="713"/>
      <c r="B201" s="730" t="s">
        <v>663</v>
      </c>
      <c r="C201" s="546" t="s">
        <v>534</v>
      </c>
      <c r="D201" s="546" t="s">
        <v>465</v>
      </c>
      <c r="E201" s="682">
        <v>44562</v>
      </c>
      <c r="F201" s="546">
        <v>744</v>
      </c>
      <c r="G201" s="546" t="s">
        <v>59</v>
      </c>
      <c r="H201" s="546" t="s">
        <v>3</v>
      </c>
      <c r="I201" s="546" t="s">
        <v>13</v>
      </c>
      <c r="J201" s="546" t="s">
        <v>85</v>
      </c>
      <c r="K201" s="546">
        <v>307</v>
      </c>
      <c r="L201" s="726" t="s">
        <v>54</v>
      </c>
      <c r="M201" s="696">
        <v>0</v>
      </c>
      <c r="N201" s="726">
        <v>8</v>
      </c>
      <c r="O201" s="696">
        <v>0</v>
      </c>
      <c r="P201" s="726">
        <v>327.35127431371046</v>
      </c>
      <c r="Q201" s="746">
        <f t="shared" si="27"/>
        <v>0</v>
      </c>
      <c r="R201" s="606">
        <f t="shared" si="28"/>
        <v>1948394.7847152047</v>
      </c>
      <c r="S201" s="747">
        <f t="shared" si="29"/>
        <v>1948394.7847152047</v>
      </c>
      <c r="T201" s="746">
        <v>57.22</v>
      </c>
      <c r="U201" s="606">
        <f t="shared" si="30"/>
        <v>340573.44</v>
      </c>
      <c r="V201" s="747">
        <f t="shared" si="31"/>
        <v>1607821.3447152048</v>
      </c>
      <c r="W201" s="748">
        <v>57.22</v>
      </c>
      <c r="X201" s="607">
        <f t="shared" si="32"/>
        <v>340573.44</v>
      </c>
      <c r="Y201" s="702">
        <f t="shared" si="33"/>
        <v>1607821.3447152048</v>
      </c>
      <c r="Z201" s="748">
        <v>57.22</v>
      </c>
      <c r="AA201" s="607">
        <f t="shared" si="34"/>
        <v>340573.44</v>
      </c>
      <c r="AB201" s="749">
        <f t="shared" si="35"/>
        <v>1607821.3447152048</v>
      </c>
      <c r="AC201" s="714"/>
    </row>
    <row r="202" spans="1:29" ht="15" customHeight="1" x14ac:dyDescent="0.25">
      <c r="A202" s="713"/>
      <c r="B202" s="714" t="s">
        <v>663</v>
      </c>
      <c r="C202" s="676" t="s">
        <v>534</v>
      </c>
      <c r="D202" s="676" t="s">
        <v>465</v>
      </c>
      <c r="E202" s="680">
        <v>44593</v>
      </c>
      <c r="F202" s="676">
        <v>672</v>
      </c>
      <c r="G202" s="676" t="s">
        <v>59</v>
      </c>
      <c r="H202" s="676" t="s">
        <v>3</v>
      </c>
      <c r="I202" s="676" t="s">
        <v>13</v>
      </c>
      <c r="J202" s="676" t="s">
        <v>85</v>
      </c>
      <c r="K202" s="676">
        <v>307</v>
      </c>
      <c r="L202" s="690" t="s">
        <v>54</v>
      </c>
      <c r="M202" s="691">
        <v>0</v>
      </c>
      <c r="N202" s="690">
        <v>8</v>
      </c>
      <c r="O202" s="691">
        <v>0</v>
      </c>
      <c r="P202" s="690">
        <v>327.35127431371046</v>
      </c>
      <c r="Q202" s="738">
        <f t="shared" si="27"/>
        <v>0</v>
      </c>
      <c r="R202" s="677">
        <f t="shared" si="28"/>
        <v>1759840.4507105073</v>
      </c>
      <c r="S202" s="739">
        <f t="shared" si="29"/>
        <v>1759840.4507105073</v>
      </c>
      <c r="T202" s="738">
        <v>55.7</v>
      </c>
      <c r="U202" s="677">
        <f t="shared" si="30"/>
        <v>299443.20000000001</v>
      </c>
      <c r="V202" s="739">
        <f t="shared" si="31"/>
        <v>1460397.2507105074</v>
      </c>
      <c r="W202" s="740">
        <v>55.7</v>
      </c>
      <c r="X202" s="678">
        <f t="shared" si="32"/>
        <v>299443.20000000001</v>
      </c>
      <c r="Y202" s="700">
        <f t="shared" si="33"/>
        <v>1460397.2507105074</v>
      </c>
      <c r="Z202" s="740">
        <v>55.7</v>
      </c>
      <c r="AA202" s="678">
        <f t="shared" si="34"/>
        <v>299443.20000000001</v>
      </c>
      <c r="AB202" s="741">
        <f t="shared" si="35"/>
        <v>1460397.2507105074</v>
      </c>
      <c r="AC202" s="714"/>
    </row>
    <row r="203" spans="1:29" ht="15" customHeight="1" x14ac:dyDescent="0.25">
      <c r="A203" s="713"/>
      <c r="B203" s="714" t="s">
        <v>663</v>
      </c>
      <c r="C203" s="676" t="s">
        <v>534</v>
      </c>
      <c r="D203" s="676" t="s">
        <v>465</v>
      </c>
      <c r="E203" s="680">
        <v>44621</v>
      </c>
      <c r="F203" s="676">
        <v>744</v>
      </c>
      <c r="G203" s="676" t="s">
        <v>59</v>
      </c>
      <c r="H203" s="676" t="s">
        <v>3</v>
      </c>
      <c r="I203" s="676" t="s">
        <v>13</v>
      </c>
      <c r="J203" s="676" t="s">
        <v>85</v>
      </c>
      <c r="K203" s="676">
        <v>307</v>
      </c>
      <c r="L203" s="690" t="s">
        <v>54</v>
      </c>
      <c r="M203" s="691">
        <v>0</v>
      </c>
      <c r="N203" s="690">
        <v>8</v>
      </c>
      <c r="O203" s="691">
        <v>0</v>
      </c>
      <c r="P203" s="690">
        <v>327.35127431371046</v>
      </c>
      <c r="Q203" s="738">
        <f t="shared" si="27"/>
        <v>0</v>
      </c>
      <c r="R203" s="677">
        <f t="shared" si="28"/>
        <v>1948394.7847152047</v>
      </c>
      <c r="S203" s="739">
        <f t="shared" si="29"/>
        <v>1948394.7847152047</v>
      </c>
      <c r="T203" s="738">
        <v>55.7</v>
      </c>
      <c r="U203" s="677">
        <f t="shared" si="30"/>
        <v>331526.40000000002</v>
      </c>
      <c r="V203" s="739">
        <f t="shared" si="31"/>
        <v>1616868.3847152046</v>
      </c>
      <c r="W203" s="740">
        <v>55.7</v>
      </c>
      <c r="X203" s="678">
        <f t="shared" si="32"/>
        <v>331526.40000000002</v>
      </c>
      <c r="Y203" s="700">
        <f t="shared" si="33"/>
        <v>1616868.3847152046</v>
      </c>
      <c r="Z203" s="740">
        <v>55.7</v>
      </c>
      <c r="AA203" s="678">
        <f t="shared" si="34"/>
        <v>331526.40000000002</v>
      </c>
      <c r="AB203" s="741">
        <f t="shared" si="35"/>
        <v>1616868.3847152046</v>
      </c>
      <c r="AC203" s="714"/>
    </row>
    <row r="204" spans="1:29" ht="15" customHeight="1" x14ac:dyDescent="0.25">
      <c r="A204" s="713"/>
      <c r="B204" s="714" t="s">
        <v>663</v>
      </c>
      <c r="C204" s="676" t="s">
        <v>534</v>
      </c>
      <c r="D204" s="676" t="s">
        <v>465</v>
      </c>
      <c r="E204" s="680">
        <v>44652</v>
      </c>
      <c r="F204" s="676">
        <v>720</v>
      </c>
      <c r="G204" s="676" t="s">
        <v>59</v>
      </c>
      <c r="H204" s="676" t="s">
        <v>3</v>
      </c>
      <c r="I204" s="676" t="s">
        <v>13</v>
      </c>
      <c r="J204" s="676" t="s">
        <v>85</v>
      </c>
      <c r="K204" s="676">
        <v>307</v>
      </c>
      <c r="L204" s="690" t="s">
        <v>54</v>
      </c>
      <c r="M204" s="691">
        <v>0</v>
      </c>
      <c r="N204" s="690">
        <v>8</v>
      </c>
      <c r="O204" s="691">
        <v>0</v>
      </c>
      <c r="P204" s="690">
        <v>327.35127431371046</v>
      </c>
      <c r="Q204" s="738">
        <f t="shared" si="27"/>
        <v>0</v>
      </c>
      <c r="R204" s="677">
        <f t="shared" si="28"/>
        <v>1885543.3400469723</v>
      </c>
      <c r="S204" s="739">
        <f t="shared" si="29"/>
        <v>1885543.3400469723</v>
      </c>
      <c r="T204" s="738">
        <v>55.7</v>
      </c>
      <c r="U204" s="677">
        <f t="shared" si="30"/>
        <v>320832</v>
      </c>
      <c r="V204" s="739">
        <f t="shared" si="31"/>
        <v>1564711.3400469723</v>
      </c>
      <c r="W204" s="740">
        <v>55.7</v>
      </c>
      <c r="X204" s="678">
        <f t="shared" si="32"/>
        <v>320832</v>
      </c>
      <c r="Y204" s="700">
        <f t="shared" si="33"/>
        <v>1564711.3400469723</v>
      </c>
      <c r="Z204" s="740">
        <v>55.7</v>
      </c>
      <c r="AA204" s="678">
        <f t="shared" si="34"/>
        <v>320832</v>
      </c>
      <c r="AB204" s="741">
        <f t="shared" si="35"/>
        <v>1564711.3400469723</v>
      </c>
      <c r="AC204" s="714"/>
    </row>
    <row r="205" spans="1:29" ht="15" customHeight="1" x14ac:dyDescent="0.25">
      <c r="A205" s="713"/>
      <c r="B205" s="714" t="s">
        <v>663</v>
      </c>
      <c r="C205" s="676" t="s">
        <v>534</v>
      </c>
      <c r="D205" s="676" t="s">
        <v>465</v>
      </c>
      <c r="E205" s="680">
        <v>44682</v>
      </c>
      <c r="F205" s="676">
        <v>744</v>
      </c>
      <c r="G205" s="676" t="s">
        <v>59</v>
      </c>
      <c r="H205" s="676" t="s">
        <v>3</v>
      </c>
      <c r="I205" s="676" t="s">
        <v>13</v>
      </c>
      <c r="J205" s="676" t="s">
        <v>85</v>
      </c>
      <c r="K205" s="676">
        <v>307</v>
      </c>
      <c r="L205" s="690" t="s">
        <v>54</v>
      </c>
      <c r="M205" s="691">
        <v>0</v>
      </c>
      <c r="N205" s="690">
        <v>8</v>
      </c>
      <c r="O205" s="691">
        <v>0</v>
      </c>
      <c r="P205" s="690">
        <v>327.35127431371046</v>
      </c>
      <c r="Q205" s="738">
        <f t="shared" si="27"/>
        <v>0</v>
      </c>
      <c r="R205" s="677">
        <f t="shared" si="28"/>
        <v>1948394.7847152047</v>
      </c>
      <c r="S205" s="739">
        <f t="shared" si="29"/>
        <v>1948394.7847152047</v>
      </c>
      <c r="T205" s="738">
        <v>55.7</v>
      </c>
      <c r="U205" s="677">
        <f t="shared" si="30"/>
        <v>331526.40000000002</v>
      </c>
      <c r="V205" s="739">
        <f t="shared" si="31"/>
        <v>1616868.3847152046</v>
      </c>
      <c r="W205" s="740">
        <v>55.7</v>
      </c>
      <c r="X205" s="678">
        <f t="shared" si="32"/>
        <v>331526.40000000002</v>
      </c>
      <c r="Y205" s="700">
        <f t="shared" si="33"/>
        <v>1616868.3847152046</v>
      </c>
      <c r="Z205" s="740">
        <v>55.7</v>
      </c>
      <c r="AA205" s="678">
        <f t="shared" si="34"/>
        <v>331526.40000000002</v>
      </c>
      <c r="AB205" s="741">
        <f t="shared" si="35"/>
        <v>1616868.3847152046</v>
      </c>
      <c r="AC205" s="714"/>
    </row>
    <row r="206" spans="1:29" ht="15" customHeight="1" x14ac:dyDescent="0.25">
      <c r="A206" s="713"/>
      <c r="B206" s="714" t="s">
        <v>663</v>
      </c>
      <c r="C206" s="676" t="s">
        <v>534</v>
      </c>
      <c r="D206" s="676" t="s">
        <v>465</v>
      </c>
      <c r="E206" s="680">
        <v>44713</v>
      </c>
      <c r="F206" s="676">
        <v>720</v>
      </c>
      <c r="G206" s="676" t="s">
        <v>59</v>
      </c>
      <c r="H206" s="676" t="s">
        <v>3</v>
      </c>
      <c r="I206" s="676" t="s">
        <v>13</v>
      </c>
      <c r="J206" s="676" t="s">
        <v>85</v>
      </c>
      <c r="K206" s="676">
        <v>307</v>
      </c>
      <c r="L206" s="690" t="s">
        <v>54</v>
      </c>
      <c r="M206" s="691">
        <v>0</v>
      </c>
      <c r="N206" s="690">
        <v>8</v>
      </c>
      <c r="O206" s="691">
        <v>0</v>
      </c>
      <c r="P206" s="690">
        <v>327.35127431371046</v>
      </c>
      <c r="Q206" s="738">
        <f t="shared" si="27"/>
        <v>0</v>
      </c>
      <c r="R206" s="677">
        <f t="shared" si="28"/>
        <v>1885543.3400469723</v>
      </c>
      <c r="S206" s="739">
        <f t="shared" si="29"/>
        <v>1885543.3400469723</v>
      </c>
      <c r="T206" s="738">
        <v>55.71</v>
      </c>
      <c r="U206" s="677">
        <f t="shared" si="30"/>
        <v>320889.59999999998</v>
      </c>
      <c r="V206" s="739">
        <f t="shared" si="31"/>
        <v>1564653.7400469724</v>
      </c>
      <c r="W206" s="740">
        <v>55.71</v>
      </c>
      <c r="X206" s="678">
        <f t="shared" si="32"/>
        <v>320889.59999999998</v>
      </c>
      <c r="Y206" s="700">
        <f t="shared" si="33"/>
        <v>1564653.7400469724</v>
      </c>
      <c r="Z206" s="740">
        <v>55.71</v>
      </c>
      <c r="AA206" s="678">
        <f t="shared" si="34"/>
        <v>320889.59999999998</v>
      </c>
      <c r="AB206" s="741">
        <f t="shared" si="35"/>
        <v>1564653.7400469724</v>
      </c>
      <c r="AC206" s="714"/>
    </row>
    <row r="207" spans="1:29" ht="15" customHeight="1" x14ac:dyDescent="0.25">
      <c r="A207" s="713"/>
      <c r="B207" s="714" t="s">
        <v>663</v>
      </c>
      <c r="C207" s="676" t="s">
        <v>534</v>
      </c>
      <c r="D207" s="676" t="s">
        <v>465</v>
      </c>
      <c r="E207" s="680">
        <v>44743</v>
      </c>
      <c r="F207" s="676">
        <v>744</v>
      </c>
      <c r="G207" s="676" t="s">
        <v>59</v>
      </c>
      <c r="H207" s="676" t="s">
        <v>3</v>
      </c>
      <c r="I207" s="676" t="s">
        <v>13</v>
      </c>
      <c r="J207" s="676" t="s">
        <v>85</v>
      </c>
      <c r="K207" s="676">
        <v>307</v>
      </c>
      <c r="L207" s="690" t="s">
        <v>54</v>
      </c>
      <c r="M207" s="691">
        <v>0</v>
      </c>
      <c r="N207" s="690">
        <v>8</v>
      </c>
      <c r="O207" s="691">
        <v>0</v>
      </c>
      <c r="P207" s="690">
        <v>327.35127431371046</v>
      </c>
      <c r="Q207" s="738">
        <f t="shared" si="27"/>
        <v>0</v>
      </c>
      <c r="R207" s="677">
        <f t="shared" si="28"/>
        <v>1948394.7847152047</v>
      </c>
      <c r="S207" s="739">
        <f t="shared" si="29"/>
        <v>1948394.7847152047</v>
      </c>
      <c r="T207" s="738">
        <v>66.319999999999993</v>
      </c>
      <c r="U207" s="677">
        <f t="shared" si="30"/>
        <v>394736.63999999996</v>
      </c>
      <c r="V207" s="739">
        <f t="shared" si="31"/>
        <v>1553658.1447152048</v>
      </c>
      <c r="W207" s="740">
        <v>66.319999999999993</v>
      </c>
      <c r="X207" s="678">
        <f t="shared" si="32"/>
        <v>394736.63999999996</v>
      </c>
      <c r="Y207" s="700">
        <f t="shared" si="33"/>
        <v>1553658.1447152048</v>
      </c>
      <c r="Z207" s="740">
        <v>66.319999999999993</v>
      </c>
      <c r="AA207" s="678">
        <f t="shared" si="34"/>
        <v>394736.63999999996</v>
      </c>
      <c r="AB207" s="741">
        <f t="shared" si="35"/>
        <v>1553658.1447152048</v>
      </c>
      <c r="AC207" s="714"/>
    </row>
    <row r="208" spans="1:29" ht="15" customHeight="1" x14ac:dyDescent="0.25">
      <c r="A208" s="713"/>
      <c r="B208" s="714" t="s">
        <v>663</v>
      </c>
      <c r="C208" s="676" t="s">
        <v>534</v>
      </c>
      <c r="D208" s="676" t="s">
        <v>465</v>
      </c>
      <c r="E208" s="680">
        <v>44774</v>
      </c>
      <c r="F208" s="676">
        <v>744</v>
      </c>
      <c r="G208" s="676" t="s">
        <v>59</v>
      </c>
      <c r="H208" s="676" t="s">
        <v>3</v>
      </c>
      <c r="I208" s="676" t="s">
        <v>13</v>
      </c>
      <c r="J208" s="676" t="s">
        <v>85</v>
      </c>
      <c r="K208" s="676">
        <v>307</v>
      </c>
      <c r="L208" s="690" t="s">
        <v>54</v>
      </c>
      <c r="M208" s="691">
        <v>0</v>
      </c>
      <c r="N208" s="690">
        <v>8</v>
      </c>
      <c r="O208" s="691">
        <v>0</v>
      </c>
      <c r="P208" s="690">
        <v>327.35127431371046</v>
      </c>
      <c r="Q208" s="738">
        <f t="shared" si="27"/>
        <v>0</v>
      </c>
      <c r="R208" s="677">
        <f t="shared" si="28"/>
        <v>1948394.7847152047</v>
      </c>
      <c r="S208" s="739">
        <f t="shared" si="29"/>
        <v>1948394.7847152047</v>
      </c>
      <c r="T208" s="738">
        <v>76.900000000000006</v>
      </c>
      <c r="U208" s="677">
        <f t="shared" si="30"/>
        <v>457708.80000000005</v>
      </c>
      <c r="V208" s="739">
        <f t="shared" si="31"/>
        <v>1490685.9847152047</v>
      </c>
      <c r="W208" s="740">
        <v>76.900000000000006</v>
      </c>
      <c r="X208" s="678">
        <f t="shared" si="32"/>
        <v>457708.80000000005</v>
      </c>
      <c r="Y208" s="700">
        <f t="shared" si="33"/>
        <v>1490685.9847152047</v>
      </c>
      <c r="Z208" s="740">
        <v>76.900000000000006</v>
      </c>
      <c r="AA208" s="678">
        <f t="shared" si="34"/>
        <v>457708.80000000005</v>
      </c>
      <c r="AB208" s="741">
        <f t="shared" si="35"/>
        <v>1490685.9847152047</v>
      </c>
      <c r="AC208" s="714"/>
    </row>
    <row r="209" spans="1:29" ht="15" customHeight="1" x14ac:dyDescent="0.25">
      <c r="A209" s="713"/>
      <c r="B209" s="714" t="s">
        <v>663</v>
      </c>
      <c r="C209" s="676" t="s">
        <v>534</v>
      </c>
      <c r="D209" s="676" t="s">
        <v>465</v>
      </c>
      <c r="E209" s="680">
        <v>44805</v>
      </c>
      <c r="F209" s="676">
        <v>720</v>
      </c>
      <c r="G209" s="676" t="s">
        <v>59</v>
      </c>
      <c r="H209" s="676" t="s">
        <v>3</v>
      </c>
      <c r="I209" s="676" t="s">
        <v>13</v>
      </c>
      <c r="J209" s="676" t="s">
        <v>85</v>
      </c>
      <c r="K209" s="676">
        <v>307</v>
      </c>
      <c r="L209" s="690" t="s">
        <v>54</v>
      </c>
      <c r="M209" s="691">
        <v>0</v>
      </c>
      <c r="N209" s="690">
        <v>8</v>
      </c>
      <c r="O209" s="691">
        <v>0</v>
      </c>
      <c r="P209" s="690">
        <v>327.35127431371046</v>
      </c>
      <c r="Q209" s="738">
        <f t="shared" si="27"/>
        <v>0</v>
      </c>
      <c r="R209" s="677">
        <f t="shared" si="28"/>
        <v>1885543.3400469723</v>
      </c>
      <c r="S209" s="739">
        <f t="shared" si="29"/>
        <v>1885543.3400469723</v>
      </c>
      <c r="T209" s="738">
        <v>56.08</v>
      </c>
      <c r="U209" s="677">
        <f t="shared" si="30"/>
        <v>323020.79999999999</v>
      </c>
      <c r="V209" s="739">
        <f t="shared" si="31"/>
        <v>1562522.5400469722</v>
      </c>
      <c r="W209" s="740">
        <v>56.08</v>
      </c>
      <c r="X209" s="678">
        <f t="shared" si="32"/>
        <v>323020.79999999999</v>
      </c>
      <c r="Y209" s="700">
        <f t="shared" si="33"/>
        <v>1562522.5400469722</v>
      </c>
      <c r="Z209" s="740">
        <v>56.08</v>
      </c>
      <c r="AA209" s="678">
        <f t="shared" si="34"/>
        <v>323020.79999999999</v>
      </c>
      <c r="AB209" s="741">
        <f t="shared" si="35"/>
        <v>1562522.5400469722</v>
      </c>
      <c r="AC209" s="714"/>
    </row>
    <row r="210" spans="1:29" ht="15" customHeight="1" x14ac:dyDescent="0.25">
      <c r="A210" s="713"/>
      <c r="B210" s="714" t="s">
        <v>663</v>
      </c>
      <c r="C210" s="676" t="s">
        <v>534</v>
      </c>
      <c r="D210" s="676" t="s">
        <v>465</v>
      </c>
      <c r="E210" s="680">
        <v>44835</v>
      </c>
      <c r="F210" s="676">
        <v>744</v>
      </c>
      <c r="G210" s="676" t="s">
        <v>59</v>
      </c>
      <c r="H210" s="676" t="s">
        <v>3</v>
      </c>
      <c r="I210" s="676" t="s">
        <v>13</v>
      </c>
      <c r="J210" s="676" t="s">
        <v>85</v>
      </c>
      <c r="K210" s="676">
        <v>307</v>
      </c>
      <c r="L210" s="690" t="s">
        <v>54</v>
      </c>
      <c r="M210" s="691">
        <v>0</v>
      </c>
      <c r="N210" s="690">
        <v>8</v>
      </c>
      <c r="O210" s="691">
        <v>0</v>
      </c>
      <c r="P210" s="690">
        <v>327.35127431371046</v>
      </c>
      <c r="Q210" s="738">
        <f t="shared" si="27"/>
        <v>0</v>
      </c>
      <c r="R210" s="677">
        <f t="shared" si="28"/>
        <v>1948394.7847152047</v>
      </c>
      <c r="S210" s="739">
        <f t="shared" si="29"/>
        <v>1948394.7847152047</v>
      </c>
      <c r="T210" s="738">
        <v>55.7</v>
      </c>
      <c r="U210" s="677">
        <f t="shared" si="30"/>
        <v>331526.40000000002</v>
      </c>
      <c r="V210" s="739">
        <f t="shared" si="31"/>
        <v>1616868.3847152046</v>
      </c>
      <c r="W210" s="740">
        <v>55.7</v>
      </c>
      <c r="X210" s="678">
        <f t="shared" si="32"/>
        <v>331526.40000000002</v>
      </c>
      <c r="Y210" s="700">
        <f t="shared" si="33"/>
        <v>1616868.3847152046</v>
      </c>
      <c r="Z210" s="740">
        <v>55.7</v>
      </c>
      <c r="AA210" s="678">
        <f t="shared" si="34"/>
        <v>331526.40000000002</v>
      </c>
      <c r="AB210" s="741">
        <f t="shared" si="35"/>
        <v>1616868.3847152046</v>
      </c>
      <c r="AC210" s="714"/>
    </row>
    <row r="211" spans="1:29" ht="15" customHeight="1" x14ac:dyDescent="0.25">
      <c r="A211" s="713"/>
      <c r="B211" s="714" t="s">
        <v>663</v>
      </c>
      <c r="C211" s="676" t="s">
        <v>534</v>
      </c>
      <c r="D211" s="676" t="s">
        <v>465</v>
      </c>
      <c r="E211" s="680">
        <v>44866</v>
      </c>
      <c r="F211" s="676">
        <v>720</v>
      </c>
      <c r="G211" s="676" t="s">
        <v>59</v>
      </c>
      <c r="H211" s="676" t="s">
        <v>3</v>
      </c>
      <c r="I211" s="676" t="s">
        <v>13</v>
      </c>
      <c r="J211" s="676" t="s">
        <v>85</v>
      </c>
      <c r="K211" s="676">
        <v>307</v>
      </c>
      <c r="L211" s="690" t="s">
        <v>54</v>
      </c>
      <c r="M211" s="691">
        <v>0</v>
      </c>
      <c r="N211" s="690">
        <v>8</v>
      </c>
      <c r="O211" s="691">
        <v>0</v>
      </c>
      <c r="P211" s="690">
        <v>327.35127431371046</v>
      </c>
      <c r="Q211" s="738">
        <f t="shared" si="27"/>
        <v>0</v>
      </c>
      <c r="R211" s="677">
        <f t="shared" si="28"/>
        <v>1885543.3400469723</v>
      </c>
      <c r="S211" s="739">
        <f t="shared" si="29"/>
        <v>1885543.3400469723</v>
      </c>
      <c r="T211" s="738">
        <v>55.7</v>
      </c>
      <c r="U211" s="677">
        <f t="shared" si="30"/>
        <v>320832</v>
      </c>
      <c r="V211" s="739">
        <f t="shared" si="31"/>
        <v>1564711.3400469723</v>
      </c>
      <c r="W211" s="740">
        <v>55.7</v>
      </c>
      <c r="X211" s="678">
        <f t="shared" si="32"/>
        <v>320832</v>
      </c>
      <c r="Y211" s="700">
        <f t="shared" si="33"/>
        <v>1564711.3400469723</v>
      </c>
      <c r="Z211" s="740">
        <v>55.7</v>
      </c>
      <c r="AA211" s="678">
        <f t="shared" si="34"/>
        <v>320832</v>
      </c>
      <c r="AB211" s="741">
        <f t="shared" si="35"/>
        <v>1564711.3400469723</v>
      </c>
      <c r="AC211" s="714"/>
    </row>
    <row r="212" spans="1:29" ht="15" customHeight="1" x14ac:dyDescent="0.25">
      <c r="A212" s="713"/>
      <c r="B212" s="729" t="s">
        <v>663</v>
      </c>
      <c r="C212" s="545" t="s">
        <v>534</v>
      </c>
      <c r="D212" s="545" t="s">
        <v>465</v>
      </c>
      <c r="E212" s="681">
        <v>44896</v>
      </c>
      <c r="F212" s="545">
        <v>744</v>
      </c>
      <c r="G212" s="545" t="s">
        <v>59</v>
      </c>
      <c r="H212" s="545" t="s">
        <v>3</v>
      </c>
      <c r="I212" s="545" t="s">
        <v>13</v>
      </c>
      <c r="J212" s="545" t="s">
        <v>85</v>
      </c>
      <c r="K212" s="545">
        <v>307</v>
      </c>
      <c r="L212" s="725" t="s">
        <v>54</v>
      </c>
      <c r="M212" s="695">
        <v>0</v>
      </c>
      <c r="N212" s="725">
        <v>8</v>
      </c>
      <c r="O212" s="695">
        <v>0</v>
      </c>
      <c r="P212" s="725">
        <v>327.35127431371046</v>
      </c>
      <c r="Q212" s="742">
        <f t="shared" si="27"/>
        <v>0</v>
      </c>
      <c r="R212" s="603">
        <f t="shared" si="28"/>
        <v>1948394.7847152047</v>
      </c>
      <c r="S212" s="743">
        <f t="shared" si="29"/>
        <v>1948394.7847152047</v>
      </c>
      <c r="T212" s="742">
        <v>55.7</v>
      </c>
      <c r="U212" s="603">
        <f t="shared" si="30"/>
        <v>331526.40000000002</v>
      </c>
      <c r="V212" s="743">
        <f t="shared" si="31"/>
        <v>1616868.3847152046</v>
      </c>
      <c r="W212" s="744">
        <v>55.7</v>
      </c>
      <c r="X212" s="604">
        <f t="shared" si="32"/>
        <v>331526.40000000002</v>
      </c>
      <c r="Y212" s="701">
        <f t="shared" si="33"/>
        <v>1616868.3847152046</v>
      </c>
      <c r="Z212" s="744">
        <v>78.400653594793155</v>
      </c>
      <c r="AA212" s="604">
        <f t="shared" si="34"/>
        <v>466640.69019620889</v>
      </c>
      <c r="AB212" s="745">
        <f t="shared" si="35"/>
        <v>1481754.0945189958</v>
      </c>
      <c r="AC212" s="714"/>
    </row>
    <row r="213" spans="1:29" ht="15" customHeight="1" x14ac:dyDescent="0.25">
      <c r="A213" s="713"/>
      <c r="B213" s="730" t="s">
        <v>665</v>
      </c>
      <c r="C213" s="546" t="s">
        <v>534</v>
      </c>
      <c r="D213" s="546" t="s">
        <v>405</v>
      </c>
      <c r="E213" s="682">
        <v>44562</v>
      </c>
      <c r="F213" s="546">
        <v>744</v>
      </c>
      <c r="G213" s="546" t="s">
        <v>59</v>
      </c>
      <c r="H213" s="546" t="s">
        <v>3</v>
      </c>
      <c r="I213" s="546" t="s">
        <v>13</v>
      </c>
      <c r="J213" s="546" t="s">
        <v>85</v>
      </c>
      <c r="K213" s="546">
        <v>302</v>
      </c>
      <c r="L213" s="726" t="s">
        <v>54</v>
      </c>
      <c r="M213" s="696">
        <v>0</v>
      </c>
      <c r="N213" s="726">
        <v>20</v>
      </c>
      <c r="O213" s="696">
        <v>0</v>
      </c>
      <c r="P213" s="726">
        <v>322.01982033465981</v>
      </c>
      <c r="Q213" s="746">
        <f t="shared" si="27"/>
        <v>0</v>
      </c>
      <c r="R213" s="606">
        <f t="shared" si="28"/>
        <v>4791654.926579738</v>
      </c>
      <c r="S213" s="747">
        <f t="shared" si="29"/>
        <v>4791654.926579738</v>
      </c>
      <c r="T213" s="746">
        <v>57.22</v>
      </c>
      <c r="U213" s="606">
        <f t="shared" si="30"/>
        <v>851433.6</v>
      </c>
      <c r="V213" s="747">
        <f t="shared" si="31"/>
        <v>3940221.3265797379</v>
      </c>
      <c r="W213" s="748">
        <v>57.22</v>
      </c>
      <c r="X213" s="607">
        <f t="shared" si="32"/>
        <v>851433.6</v>
      </c>
      <c r="Y213" s="702">
        <f t="shared" si="33"/>
        <v>3940221.3265797379</v>
      </c>
      <c r="Z213" s="748">
        <v>57.22</v>
      </c>
      <c r="AA213" s="607">
        <f t="shared" si="34"/>
        <v>851433.6</v>
      </c>
      <c r="AB213" s="749">
        <f t="shared" si="35"/>
        <v>3940221.3265797379</v>
      </c>
      <c r="AC213" s="714"/>
    </row>
    <row r="214" spans="1:29" ht="15" customHeight="1" x14ac:dyDescent="0.25">
      <c r="A214" s="713"/>
      <c r="B214" s="714" t="s">
        <v>665</v>
      </c>
      <c r="C214" s="676" t="s">
        <v>534</v>
      </c>
      <c r="D214" s="676" t="s">
        <v>405</v>
      </c>
      <c r="E214" s="680">
        <v>44593</v>
      </c>
      <c r="F214" s="676">
        <v>672</v>
      </c>
      <c r="G214" s="676" t="s">
        <v>59</v>
      </c>
      <c r="H214" s="676" t="s">
        <v>3</v>
      </c>
      <c r="I214" s="676" t="s">
        <v>13</v>
      </c>
      <c r="J214" s="676" t="s">
        <v>85</v>
      </c>
      <c r="K214" s="676">
        <v>302</v>
      </c>
      <c r="L214" s="690" t="s">
        <v>54</v>
      </c>
      <c r="M214" s="691">
        <v>0</v>
      </c>
      <c r="N214" s="690">
        <v>20</v>
      </c>
      <c r="O214" s="691">
        <v>0</v>
      </c>
      <c r="P214" s="690">
        <v>322.01982033465981</v>
      </c>
      <c r="Q214" s="738">
        <f t="shared" si="27"/>
        <v>0</v>
      </c>
      <c r="R214" s="677">
        <f t="shared" si="28"/>
        <v>4327946.3852978274</v>
      </c>
      <c r="S214" s="739">
        <f t="shared" si="29"/>
        <v>4327946.3852978274</v>
      </c>
      <c r="T214" s="738">
        <v>55.7</v>
      </c>
      <c r="U214" s="677">
        <f t="shared" si="30"/>
        <v>748608</v>
      </c>
      <c r="V214" s="739">
        <f t="shared" si="31"/>
        <v>3579338.3852978274</v>
      </c>
      <c r="W214" s="740">
        <v>55.7</v>
      </c>
      <c r="X214" s="678">
        <f t="shared" si="32"/>
        <v>748608</v>
      </c>
      <c r="Y214" s="700">
        <f t="shared" si="33"/>
        <v>3579338.3852978274</v>
      </c>
      <c r="Z214" s="740">
        <v>55.7</v>
      </c>
      <c r="AA214" s="678">
        <f t="shared" si="34"/>
        <v>748608</v>
      </c>
      <c r="AB214" s="741">
        <f t="shared" si="35"/>
        <v>3579338.3852978274</v>
      </c>
      <c r="AC214" s="714"/>
    </row>
    <row r="215" spans="1:29" ht="15" customHeight="1" x14ac:dyDescent="0.25">
      <c r="A215" s="713"/>
      <c r="B215" s="714" t="s">
        <v>665</v>
      </c>
      <c r="C215" s="676" t="s">
        <v>534</v>
      </c>
      <c r="D215" s="676" t="s">
        <v>405</v>
      </c>
      <c r="E215" s="680">
        <v>44621</v>
      </c>
      <c r="F215" s="676">
        <v>744</v>
      </c>
      <c r="G215" s="676" t="s">
        <v>59</v>
      </c>
      <c r="H215" s="676" t="s">
        <v>3</v>
      </c>
      <c r="I215" s="676" t="s">
        <v>13</v>
      </c>
      <c r="J215" s="676" t="s">
        <v>85</v>
      </c>
      <c r="K215" s="676">
        <v>302</v>
      </c>
      <c r="L215" s="690" t="s">
        <v>54</v>
      </c>
      <c r="M215" s="691">
        <v>0</v>
      </c>
      <c r="N215" s="690">
        <v>20</v>
      </c>
      <c r="O215" s="691">
        <v>0</v>
      </c>
      <c r="P215" s="690">
        <v>322.01982033465981</v>
      </c>
      <c r="Q215" s="738">
        <f t="shared" si="27"/>
        <v>0</v>
      </c>
      <c r="R215" s="677">
        <f t="shared" si="28"/>
        <v>4791654.926579738</v>
      </c>
      <c r="S215" s="739">
        <f t="shared" si="29"/>
        <v>4791654.926579738</v>
      </c>
      <c r="T215" s="738">
        <v>55.7</v>
      </c>
      <c r="U215" s="677">
        <f t="shared" si="30"/>
        <v>828816</v>
      </c>
      <c r="V215" s="739">
        <f t="shared" si="31"/>
        <v>3962838.926579738</v>
      </c>
      <c r="W215" s="740">
        <v>55.7</v>
      </c>
      <c r="X215" s="678">
        <f t="shared" si="32"/>
        <v>828816</v>
      </c>
      <c r="Y215" s="700">
        <f t="shared" si="33"/>
        <v>3962838.926579738</v>
      </c>
      <c r="Z215" s="740">
        <v>55.7</v>
      </c>
      <c r="AA215" s="678">
        <f t="shared" si="34"/>
        <v>828816</v>
      </c>
      <c r="AB215" s="741">
        <f t="shared" si="35"/>
        <v>3962838.926579738</v>
      </c>
      <c r="AC215" s="714"/>
    </row>
    <row r="216" spans="1:29" ht="15" customHeight="1" x14ac:dyDescent="0.25">
      <c r="A216" s="713"/>
      <c r="B216" s="714" t="s">
        <v>665</v>
      </c>
      <c r="C216" s="676" t="s">
        <v>534</v>
      </c>
      <c r="D216" s="676" t="s">
        <v>405</v>
      </c>
      <c r="E216" s="680">
        <v>44652</v>
      </c>
      <c r="F216" s="676">
        <v>720</v>
      </c>
      <c r="G216" s="676" t="s">
        <v>59</v>
      </c>
      <c r="H216" s="676" t="s">
        <v>3</v>
      </c>
      <c r="I216" s="676" t="s">
        <v>13</v>
      </c>
      <c r="J216" s="676" t="s">
        <v>85</v>
      </c>
      <c r="K216" s="676">
        <v>302</v>
      </c>
      <c r="L216" s="690" t="s">
        <v>54</v>
      </c>
      <c r="M216" s="691">
        <v>0</v>
      </c>
      <c r="N216" s="690">
        <v>20</v>
      </c>
      <c r="O216" s="691">
        <v>0</v>
      </c>
      <c r="P216" s="690">
        <v>322.01982033465981</v>
      </c>
      <c r="Q216" s="738">
        <f t="shared" si="27"/>
        <v>0</v>
      </c>
      <c r="R216" s="677">
        <f t="shared" si="28"/>
        <v>4637085.4128191015</v>
      </c>
      <c r="S216" s="739">
        <f t="shared" si="29"/>
        <v>4637085.4128191015</v>
      </c>
      <c r="T216" s="738">
        <v>55.7</v>
      </c>
      <c r="U216" s="677">
        <f t="shared" si="30"/>
        <v>802080</v>
      </c>
      <c r="V216" s="739">
        <f t="shared" si="31"/>
        <v>3835005.4128191015</v>
      </c>
      <c r="W216" s="740">
        <v>55.7</v>
      </c>
      <c r="X216" s="678">
        <f t="shared" si="32"/>
        <v>802080</v>
      </c>
      <c r="Y216" s="700">
        <f t="shared" si="33"/>
        <v>3835005.4128191015</v>
      </c>
      <c r="Z216" s="740">
        <v>55.7</v>
      </c>
      <c r="AA216" s="678">
        <f t="shared" si="34"/>
        <v>802080</v>
      </c>
      <c r="AB216" s="741">
        <f t="shared" si="35"/>
        <v>3835005.4128191015</v>
      </c>
      <c r="AC216" s="714"/>
    </row>
    <row r="217" spans="1:29" ht="15" customHeight="1" x14ac:dyDescent="0.25">
      <c r="A217" s="713"/>
      <c r="B217" s="714" t="s">
        <v>665</v>
      </c>
      <c r="C217" s="676" t="s">
        <v>534</v>
      </c>
      <c r="D217" s="676" t="s">
        <v>405</v>
      </c>
      <c r="E217" s="680">
        <v>44682</v>
      </c>
      <c r="F217" s="676">
        <v>744</v>
      </c>
      <c r="G217" s="676" t="s">
        <v>59</v>
      </c>
      <c r="H217" s="676" t="s">
        <v>3</v>
      </c>
      <c r="I217" s="676" t="s">
        <v>13</v>
      </c>
      <c r="J217" s="676" t="s">
        <v>85</v>
      </c>
      <c r="K217" s="676">
        <v>302</v>
      </c>
      <c r="L217" s="690" t="s">
        <v>54</v>
      </c>
      <c r="M217" s="691">
        <v>0</v>
      </c>
      <c r="N217" s="690">
        <v>20</v>
      </c>
      <c r="O217" s="691">
        <v>0</v>
      </c>
      <c r="P217" s="690">
        <v>322.01982033465981</v>
      </c>
      <c r="Q217" s="738">
        <f t="shared" si="27"/>
        <v>0</v>
      </c>
      <c r="R217" s="677">
        <f t="shared" si="28"/>
        <v>4791654.926579738</v>
      </c>
      <c r="S217" s="739">
        <f t="shared" si="29"/>
        <v>4791654.926579738</v>
      </c>
      <c r="T217" s="738">
        <v>55.7</v>
      </c>
      <c r="U217" s="677">
        <f t="shared" si="30"/>
        <v>828816</v>
      </c>
      <c r="V217" s="739">
        <f t="shared" si="31"/>
        <v>3962838.926579738</v>
      </c>
      <c r="W217" s="740">
        <v>55.7</v>
      </c>
      <c r="X217" s="678">
        <f t="shared" si="32"/>
        <v>828816</v>
      </c>
      <c r="Y217" s="700">
        <f t="shared" si="33"/>
        <v>3962838.926579738</v>
      </c>
      <c r="Z217" s="740">
        <v>55.7</v>
      </c>
      <c r="AA217" s="678">
        <f t="shared" si="34"/>
        <v>828816</v>
      </c>
      <c r="AB217" s="741">
        <f t="shared" si="35"/>
        <v>3962838.926579738</v>
      </c>
      <c r="AC217" s="714"/>
    </row>
    <row r="218" spans="1:29" ht="15" customHeight="1" x14ac:dyDescent="0.25">
      <c r="A218" s="713"/>
      <c r="B218" s="714" t="s">
        <v>665</v>
      </c>
      <c r="C218" s="676" t="s">
        <v>534</v>
      </c>
      <c r="D218" s="676" t="s">
        <v>405</v>
      </c>
      <c r="E218" s="680">
        <v>44713</v>
      </c>
      <c r="F218" s="676">
        <v>720</v>
      </c>
      <c r="G218" s="676" t="s">
        <v>59</v>
      </c>
      <c r="H218" s="676" t="s">
        <v>3</v>
      </c>
      <c r="I218" s="676" t="s">
        <v>13</v>
      </c>
      <c r="J218" s="676" t="s">
        <v>85</v>
      </c>
      <c r="K218" s="676">
        <v>302</v>
      </c>
      <c r="L218" s="690" t="s">
        <v>54</v>
      </c>
      <c r="M218" s="691">
        <v>0</v>
      </c>
      <c r="N218" s="690">
        <v>20</v>
      </c>
      <c r="O218" s="691">
        <v>0</v>
      </c>
      <c r="P218" s="690">
        <v>322.01982033465981</v>
      </c>
      <c r="Q218" s="738">
        <f t="shared" si="27"/>
        <v>0</v>
      </c>
      <c r="R218" s="677">
        <f t="shared" si="28"/>
        <v>4637085.4128191015</v>
      </c>
      <c r="S218" s="739">
        <f t="shared" si="29"/>
        <v>4637085.4128191015</v>
      </c>
      <c r="T218" s="738">
        <v>55.71</v>
      </c>
      <c r="U218" s="677">
        <f t="shared" si="30"/>
        <v>802224</v>
      </c>
      <c r="V218" s="739">
        <f t="shared" si="31"/>
        <v>3834861.4128191015</v>
      </c>
      <c r="W218" s="740">
        <v>55.71</v>
      </c>
      <c r="X218" s="678">
        <f t="shared" si="32"/>
        <v>802224</v>
      </c>
      <c r="Y218" s="700">
        <f t="shared" si="33"/>
        <v>3834861.4128191015</v>
      </c>
      <c r="Z218" s="740">
        <v>55.71</v>
      </c>
      <c r="AA218" s="678">
        <f t="shared" si="34"/>
        <v>802224</v>
      </c>
      <c r="AB218" s="741">
        <f t="shared" si="35"/>
        <v>3834861.4128191015</v>
      </c>
      <c r="AC218" s="714"/>
    </row>
    <row r="219" spans="1:29" ht="15" customHeight="1" x14ac:dyDescent="0.25">
      <c r="A219" s="713"/>
      <c r="B219" s="714" t="s">
        <v>665</v>
      </c>
      <c r="C219" s="676" t="s">
        <v>534</v>
      </c>
      <c r="D219" s="676" t="s">
        <v>405</v>
      </c>
      <c r="E219" s="680">
        <v>44743</v>
      </c>
      <c r="F219" s="676">
        <v>744</v>
      </c>
      <c r="G219" s="676" t="s">
        <v>59</v>
      </c>
      <c r="H219" s="676" t="s">
        <v>3</v>
      </c>
      <c r="I219" s="676" t="s">
        <v>13</v>
      </c>
      <c r="J219" s="676" t="s">
        <v>85</v>
      </c>
      <c r="K219" s="676">
        <v>302</v>
      </c>
      <c r="L219" s="690" t="s">
        <v>54</v>
      </c>
      <c r="M219" s="691">
        <v>0</v>
      </c>
      <c r="N219" s="690">
        <v>20</v>
      </c>
      <c r="O219" s="691">
        <v>0</v>
      </c>
      <c r="P219" s="690">
        <v>322.01982033465981</v>
      </c>
      <c r="Q219" s="738">
        <f t="shared" si="27"/>
        <v>0</v>
      </c>
      <c r="R219" s="677">
        <f t="shared" si="28"/>
        <v>4791654.926579738</v>
      </c>
      <c r="S219" s="739">
        <f t="shared" si="29"/>
        <v>4791654.926579738</v>
      </c>
      <c r="T219" s="738">
        <v>66.319999999999993</v>
      </c>
      <c r="U219" s="677">
        <f t="shared" si="30"/>
        <v>986841.59999999986</v>
      </c>
      <c r="V219" s="739">
        <f t="shared" si="31"/>
        <v>3804813.3265797384</v>
      </c>
      <c r="W219" s="740">
        <v>66.319999999999993</v>
      </c>
      <c r="X219" s="678">
        <f t="shared" si="32"/>
        <v>986841.59999999986</v>
      </c>
      <c r="Y219" s="700">
        <f t="shared" si="33"/>
        <v>3804813.3265797384</v>
      </c>
      <c r="Z219" s="740">
        <v>66.319999999999993</v>
      </c>
      <c r="AA219" s="678">
        <f t="shared" si="34"/>
        <v>986841.59999999986</v>
      </c>
      <c r="AB219" s="741">
        <f t="shared" si="35"/>
        <v>3804813.3265797384</v>
      </c>
      <c r="AC219" s="714"/>
    </row>
    <row r="220" spans="1:29" ht="15" customHeight="1" x14ac:dyDescent="0.25">
      <c r="A220" s="713"/>
      <c r="B220" s="714" t="s">
        <v>665</v>
      </c>
      <c r="C220" s="676" t="s">
        <v>534</v>
      </c>
      <c r="D220" s="676" t="s">
        <v>405</v>
      </c>
      <c r="E220" s="680">
        <v>44774</v>
      </c>
      <c r="F220" s="676">
        <v>744</v>
      </c>
      <c r="G220" s="676" t="s">
        <v>59</v>
      </c>
      <c r="H220" s="676" t="s">
        <v>3</v>
      </c>
      <c r="I220" s="676" t="s">
        <v>13</v>
      </c>
      <c r="J220" s="676" t="s">
        <v>85</v>
      </c>
      <c r="K220" s="676">
        <v>302</v>
      </c>
      <c r="L220" s="690" t="s">
        <v>54</v>
      </c>
      <c r="M220" s="691">
        <v>0</v>
      </c>
      <c r="N220" s="690">
        <v>20</v>
      </c>
      <c r="O220" s="691">
        <v>0</v>
      </c>
      <c r="P220" s="690">
        <v>322.01982033465981</v>
      </c>
      <c r="Q220" s="738">
        <f t="shared" si="27"/>
        <v>0</v>
      </c>
      <c r="R220" s="677">
        <f t="shared" si="28"/>
        <v>4791654.926579738</v>
      </c>
      <c r="S220" s="739">
        <f t="shared" si="29"/>
        <v>4791654.926579738</v>
      </c>
      <c r="T220" s="738">
        <v>76.900000000000006</v>
      </c>
      <c r="U220" s="677">
        <f t="shared" si="30"/>
        <v>1144272</v>
      </c>
      <c r="V220" s="739">
        <f t="shared" si="31"/>
        <v>3647382.926579738</v>
      </c>
      <c r="W220" s="740">
        <v>76.900000000000006</v>
      </c>
      <c r="X220" s="678">
        <f t="shared" si="32"/>
        <v>1144272</v>
      </c>
      <c r="Y220" s="700">
        <f t="shared" si="33"/>
        <v>3647382.926579738</v>
      </c>
      <c r="Z220" s="740">
        <v>76.900000000000006</v>
      </c>
      <c r="AA220" s="678">
        <f t="shared" si="34"/>
        <v>1144272</v>
      </c>
      <c r="AB220" s="741">
        <f t="shared" si="35"/>
        <v>3647382.926579738</v>
      </c>
      <c r="AC220" s="714"/>
    </row>
    <row r="221" spans="1:29" ht="15" customHeight="1" x14ac:dyDescent="0.25">
      <c r="A221" s="713"/>
      <c r="B221" s="714" t="s">
        <v>665</v>
      </c>
      <c r="C221" s="676" t="s">
        <v>534</v>
      </c>
      <c r="D221" s="676" t="s">
        <v>405</v>
      </c>
      <c r="E221" s="680">
        <v>44805</v>
      </c>
      <c r="F221" s="676">
        <v>720</v>
      </c>
      <c r="G221" s="676" t="s">
        <v>59</v>
      </c>
      <c r="H221" s="676" t="s">
        <v>3</v>
      </c>
      <c r="I221" s="676" t="s">
        <v>13</v>
      </c>
      <c r="J221" s="676" t="s">
        <v>85</v>
      </c>
      <c r="K221" s="676">
        <v>302</v>
      </c>
      <c r="L221" s="690" t="s">
        <v>54</v>
      </c>
      <c r="M221" s="691">
        <v>0</v>
      </c>
      <c r="N221" s="690">
        <v>20</v>
      </c>
      <c r="O221" s="691">
        <v>0</v>
      </c>
      <c r="P221" s="690">
        <v>322.01982033465981</v>
      </c>
      <c r="Q221" s="738">
        <f t="shared" si="27"/>
        <v>0</v>
      </c>
      <c r="R221" s="677">
        <f t="shared" si="28"/>
        <v>4637085.4128191015</v>
      </c>
      <c r="S221" s="739">
        <f t="shared" si="29"/>
        <v>4637085.4128191015</v>
      </c>
      <c r="T221" s="738">
        <v>56.08</v>
      </c>
      <c r="U221" s="677">
        <f t="shared" si="30"/>
        <v>807552</v>
      </c>
      <c r="V221" s="739">
        <f t="shared" si="31"/>
        <v>3829533.4128191015</v>
      </c>
      <c r="W221" s="740">
        <v>56.08</v>
      </c>
      <c r="X221" s="678">
        <f t="shared" si="32"/>
        <v>807552</v>
      </c>
      <c r="Y221" s="700">
        <f t="shared" si="33"/>
        <v>3829533.4128191015</v>
      </c>
      <c r="Z221" s="740">
        <v>56.08</v>
      </c>
      <c r="AA221" s="678">
        <f t="shared" si="34"/>
        <v>807552</v>
      </c>
      <c r="AB221" s="741">
        <f t="shared" si="35"/>
        <v>3829533.4128191015</v>
      </c>
      <c r="AC221" s="714"/>
    </row>
    <row r="222" spans="1:29" ht="15" customHeight="1" x14ac:dyDescent="0.25">
      <c r="A222" s="713"/>
      <c r="B222" s="714" t="s">
        <v>665</v>
      </c>
      <c r="C222" s="676" t="s">
        <v>534</v>
      </c>
      <c r="D222" s="676" t="s">
        <v>405</v>
      </c>
      <c r="E222" s="680">
        <v>44835</v>
      </c>
      <c r="F222" s="676">
        <v>744</v>
      </c>
      <c r="G222" s="676" t="s">
        <v>59</v>
      </c>
      <c r="H222" s="676" t="s">
        <v>3</v>
      </c>
      <c r="I222" s="676" t="s">
        <v>13</v>
      </c>
      <c r="J222" s="676" t="s">
        <v>85</v>
      </c>
      <c r="K222" s="676">
        <v>302</v>
      </c>
      <c r="L222" s="690" t="s">
        <v>54</v>
      </c>
      <c r="M222" s="691">
        <v>0</v>
      </c>
      <c r="N222" s="690">
        <v>20</v>
      </c>
      <c r="O222" s="691">
        <v>0</v>
      </c>
      <c r="P222" s="690">
        <v>322.01982033465981</v>
      </c>
      <c r="Q222" s="738">
        <f t="shared" si="27"/>
        <v>0</v>
      </c>
      <c r="R222" s="677">
        <f t="shared" si="28"/>
        <v>4791654.926579738</v>
      </c>
      <c r="S222" s="739">
        <f t="shared" si="29"/>
        <v>4791654.926579738</v>
      </c>
      <c r="T222" s="738">
        <v>55.7</v>
      </c>
      <c r="U222" s="677">
        <f t="shared" si="30"/>
        <v>828816</v>
      </c>
      <c r="V222" s="739">
        <f t="shared" si="31"/>
        <v>3962838.926579738</v>
      </c>
      <c r="W222" s="740">
        <v>55.7</v>
      </c>
      <c r="X222" s="678">
        <f t="shared" si="32"/>
        <v>828816</v>
      </c>
      <c r="Y222" s="700">
        <f t="shared" si="33"/>
        <v>3962838.926579738</v>
      </c>
      <c r="Z222" s="740">
        <v>55.7</v>
      </c>
      <c r="AA222" s="678">
        <f t="shared" si="34"/>
        <v>828816</v>
      </c>
      <c r="AB222" s="741">
        <f t="shared" si="35"/>
        <v>3962838.926579738</v>
      </c>
      <c r="AC222" s="714"/>
    </row>
    <row r="223" spans="1:29" ht="15" customHeight="1" x14ac:dyDescent="0.25">
      <c r="A223" s="713"/>
      <c r="B223" s="714" t="s">
        <v>665</v>
      </c>
      <c r="C223" s="676" t="s">
        <v>534</v>
      </c>
      <c r="D223" s="676" t="s">
        <v>405</v>
      </c>
      <c r="E223" s="680">
        <v>44866</v>
      </c>
      <c r="F223" s="676">
        <v>720</v>
      </c>
      <c r="G223" s="676" t="s">
        <v>59</v>
      </c>
      <c r="H223" s="676" t="s">
        <v>3</v>
      </c>
      <c r="I223" s="676" t="s">
        <v>13</v>
      </c>
      <c r="J223" s="676" t="s">
        <v>85</v>
      </c>
      <c r="K223" s="676">
        <v>302</v>
      </c>
      <c r="L223" s="690" t="s">
        <v>54</v>
      </c>
      <c r="M223" s="691">
        <v>0</v>
      </c>
      <c r="N223" s="690">
        <v>20</v>
      </c>
      <c r="O223" s="691">
        <v>0</v>
      </c>
      <c r="P223" s="690">
        <v>322.01982033465981</v>
      </c>
      <c r="Q223" s="738">
        <f t="shared" si="27"/>
        <v>0</v>
      </c>
      <c r="R223" s="677">
        <f t="shared" si="28"/>
        <v>4637085.4128191015</v>
      </c>
      <c r="S223" s="739">
        <f t="shared" si="29"/>
        <v>4637085.4128191015</v>
      </c>
      <c r="T223" s="738">
        <v>55.7</v>
      </c>
      <c r="U223" s="677">
        <f t="shared" si="30"/>
        <v>802080</v>
      </c>
      <c r="V223" s="739">
        <f t="shared" si="31"/>
        <v>3835005.4128191015</v>
      </c>
      <c r="W223" s="740">
        <v>55.7</v>
      </c>
      <c r="X223" s="678">
        <f t="shared" si="32"/>
        <v>802080</v>
      </c>
      <c r="Y223" s="700">
        <f t="shared" si="33"/>
        <v>3835005.4128191015</v>
      </c>
      <c r="Z223" s="740">
        <v>55.7</v>
      </c>
      <c r="AA223" s="678">
        <f t="shared" si="34"/>
        <v>802080</v>
      </c>
      <c r="AB223" s="741">
        <f t="shared" si="35"/>
        <v>3835005.4128191015</v>
      </c>
      <c r="AC223" s="714"/>
    </row>
    <row r="224" spans="1:29" ht="15" customHeight="1" x14ac:dyDescent="0.25">
      <c r="A224" s="713"/>
      <c r="B224" s="729" t="s">
        <v>665</v>
      </c>
      <c r="C224" s="545" t="s">
        <v>534</v>
      </c>
      <c r="D224" s="545" t="s">
        <v>405</v>
      </c>
      <c r="E224" s="681">
        <v>44896</v>
      </c>
      <c r="F224" s="545">
        <v>744</v>
      </c>
      <c r="G224" s="545" t="s">
        <v>59</v>
      </c>
      <c r="H224" s="545" t="s">
        <v>3</v>
      </c>
      <c r="I224" s="545" t="s">
        <v>13</v>
      </c>
      <c r="J224" s="545" t="s">
        <v>85</v>
      </c>
      <c r="K224" s="545">
        <v>302</v>
      </c>
      <c r="L224" s="725" t="s">
        <v>54</v>
      </c>
      <c r="M224" s="695">
        <v>0</v>
      </c>
      <c r="N224" s="725">
        <v>20</v>
      </c>
      <c r="O224" s="695">
        <v>0</v>
      </c>
      <c r="P224" s="725">
        <v>322.01982033465981</v>
      </c>
      <c r="Q224" s="742">
        <f t="shared" si="27"/>
        <v>0</v>
      </c>
      <c r="R224" s="603">
        <f t="shared" si="28"/>
        <v>4791654.926579738</v>
      </c>
      <c r="S224" s="743">
        <f t="shared" si="29"/>
        <v>4791654.926579738</v>
      </c>
      <c r="T224" s="742">
        <v>55.7</v>
      </c>
      <c r="U224" s="603">
        <f t="shared" si="30"/>
        <v>828816</v>
      </c>
      <c r="V224" s="743">
        <f t="shared" si="31"/>
        <v>3962838.926579738</v>
      </c>
      <c r="W224" s="744">
        <v>55.7</v>
      </c>
      <c r="X224" s="604">
        <f t="shared" si="32"/>
        <v>828816</v>
      </c>
      <c r="Y224" s="701">
        <f t="shared" si="33"/>
        <v>3962838.926579738</v>
      </c>
      <c r="Z224" s="744">
        <v>78.400653594793155</v>
      </c>
      <c r="AA224" s="604">
        <f t="shared" si="34"/>
        <v>1166601.7254905221</v>
      </c>
      <c r="AB224" s="745">
        <f t="shared" si="35"/>
        <v>3625053.2010892159</v>
      </c>
      <c r="AC224" s="714"/>
    </row>
    <row r="225" spans="1:29" ht="15" customHeight="1" x14ac:dyDescent="0.25">
      <c r="A225" s="713"/>
      <c r="B225" s="730" t="s">
        <v>667</v>
      </c>
      <c r="C225" s="546" t="s">
        <v>534</v>
      </c>
      <c r="D225" s="546" t="s">
        <v>357</v>
      </c>
      <c r="E225" s="682">
        <v>44562</v>
      </c>
      <c r="F225" s="546">
        <v>744</v>
      </c>
      <c r="G225" s="546" t="s">
        <v>59</v>
      </c>
      <c r="H225" s="546" t="s">
        <v>3</v>
      </c>
      <c r="I225" s="546" t="s">
        <v>13</v>
      </c>
      <c r="J225" s="546" t="s">
        <v>85</v>
      </c>
      <c r="K225" s="546">
        <v>305</v>
      </c>
      <c r="L225" s="726" t="s">
        <v>54</v>
      </c>
      <c r="M225" s="696">
        <v>0</v>
      </c>
      <c r="N225" s="726">
        <v>10</v>
      </c>
      <c r="O225" s="696">
        <v>0</v>
      </c>
      <c r="P225" s="726">
        <v>325.21869272209017</v>
      </c>
      <c r="Q225" s="746">
        <f t="shared" si="27"/>
        <v>0</v>
      </c>
      <c r="R225" s="606">
        <f t="shared" si="28"/>
        <v>2419627.0738523509</v>
      </c>
      <c r="S225" s="747">
        <f t="shared" si="29"/>
        <v>2419627.0738523509</v>
      </c>
      <c r="T225" s="746">
        <v>57.22</v>
      </c>
      <c r="U225" s="606">
        <f t="shared" si="30"/>
        <v>425716.8</v>
      </c>
      <c r="V225" s="747">
        <f t="shared" si="31"/>
        <v>1993910.2738523509</v>
      </c>
      <c r="W225" s="748">
        <v>57.22</v>
      </c>
      <c r="X225" s="607">
        <f t="shared" si="32"/>
        <v>425716.8</v>
      </c>
      <c r="Y225" s="702">
        <f t="shared" si="33"/>
        <v>1993910.2738523509</v>
      </c>
      <c r="Z225" s="748">
        <v>57.22</v>
      </c>
      <c r="AA225" s="607">
        <f t="shared" si="34"/>
        <v>425716.8</v>
      </c>
      <c r="AB225" s="749">
        <f t="shared" si="35"/>
        <v>1993910.2738523509</v>
      </c>
      <c r="AC225" s="714"/>
    </row>
    <row r="226" spans="1:29" ht="15" customHeight="1" x14ac:dyDescent="0.25">
      <c r="A226" s="713"/>
      <c r="B226" s="714" t="s">
        <v>667</v>
      </c>
      <c r="C226" s="676" t="s">
        <v>534</v>
      </c>
      <c r="D226" s="676" t="s">
        <v>357</v>
      </c>
      <c r="E226" s="680">
        <v>44593</v>
      </c>
      <c r="F226" s="676">
        <v>672</v>
      </c>
      <c r="G226" s="676" t="s">
        <v>59</v>
      </c>
      <c r="H226" s="676" t="s">
        <v>3</v>
      </c>
      <c r="I226" s="676" t="s">
        <v>13</v>
      </c>
      <c r="J226" s="676" t="s">
        <v>85</v>
      </c>
      <c r="K226" s="676">
        <v>305</v>
      </c>
      <c r="L226" s="690" t="s">
        <v>54</v>
      </c>
      <c r="M226" s="691">
        <v>0</v>
      </c>
      <c r="N226" s="690">
        <v>10</v>
      </c>
      <c r="O226" s="691">
        <v>0</v>
      </c>
      <c r="P226" s="690">
        <v>325.21869272209017</v>
      </c>
      <c r="Q226" s="738">
        <f t="shared" si="27"/>
        <v>0</v>
      </c>
      <c r="R226" s="677">
        <f t="shared" si="28"/>
        <v>2185469.6150924461</v>
      </c>
      <c r="S226" s="739">
        <f t="shared" si="29"/>
        <v>2185469.6150924461</v>
      </c>
      <c r="T226" s="738">
        <v>55.7</v>
      </c>
      <c r="U226" s="677">
        <f t="shared" si="30"/>
        <v>374304</v>
      </c>
      <c r="V226" s="739">
        <f t="shared" si="31"/>
        <v>1811165.6150924461</v>
      </c>
      <c r="W226" s="740">
        <v>55.7</v>
      </c>
      <c r="X226" s="678">
        <f t="shared" si="32"/>
        <v>374304</v>
      </c>
      <c r="Y226" s="700">
        <f t="shared" si="33"/>
        <v>1811165.6150924461</v>
      </c>
      <c r="Z226" s="740">
        <v>55.7</v>
      </c>
      <c r="AA226" s="678">
        <f t="shared" si="34"/>
        <v>374304</v>
      </c>
      <c r="AB226" s="741">
        <f t="shared" si="35"/>
        <v>1811165.6150924461</v>
      </c>
      <c r="AC226" s="714"/>
    </row>
    <row r="227" spans="1:29" ht="15" customHeight="1" x14ac:dyDescent="0.25">
      <c r="A227" s="713"/>
      <c r="B227" s="714" t="s">
        <v>667</v>
      </c>
      <c r="C227" s="676" t="s">
        <v>534</v>
      </c>
      <c r="D227" s="676" t="s">
        <v>357</v>
      </c>
      <c r="E227" s="680">
        <v>44621</v>
      </c>
      <c r="F227" s="676">
        <v>744</v>
      </c>
      <c r="G227" s="676" t="s">
        <v>59</v>
      </c>
      <c r="H227" s="676" t="s">
        <v>3</v>
      </c>
      <c r="I227" s="676" t="s">
        <v>13</v>
      </c>
      <c r="J227" s="676" t="s">
        <v>85</v>
      </c>
      <c r="K227" s="676">
        <v>305</v>
      </c>
      <c r="L227" s="690" t="s">
        <v>54</v>
      </c>
      <c r="M227" s="691">
        <v>0</v>
      </c>
      <c r="N227" s="690">
        <v>10</v>
      </c>
      <c r="O227" s="691">
        <v>0</v>
      </c>
      <c r="P227" s="690">
        <v>325.21869272209017</v>
      </c>
      <c r="Q227" s="738">
        <f t="shared" si="27"/>
        <v>0</v>
      </c>
      <c r="R227" s="677">
        <f t="shared" si="28"/>
        <v>2419627.0738523509</v>
      </c>
      <c r="S227" s="739">
        <f t="shared" si="29"/>
        <v>2419627.0738523509</v>
      </c>
      <c r="T227" s="738">
        <v>55.7</v>
      </c>
      <c r="U227" s="677">
        <f t="shared" si="30"/>
        <v>414408</v>
      </c>
      <c r="V227" s="739">
        <f t="shared" si="31"/>
        <v>2005219.0738523509</v>
      </c>
      <c r="W227" s="740">
        <v>55.7</v>
      </c>
      <c r="X227" s="678">
        <f t="shared" si="32"/>
        <v>414408</v>
      </c>
      <c r="Y227" s="700">
        <f t="shared" si="33"/>
        <v>2005219.0738523509</v>
      </c>
      <c r="Z227" s="740">
        <v>55.7</v>
      </c>
      <c r="AA227" s="678">
        <f t="shared" si="34"/>
        <v>414408</v>
      </c>
      <c r="AB227" s="741">
        <f t="shared" si="35"/>
        <v>2005219.0738523509</v>
      </c>
      <c r="AC227" s="714"/>
    </row>
    <row r="228" spans="1:29" ht="15" customHeight="1" x14ac:dyDescent="0.25">
      <c r="A228" s="713"/>
      <c r="B228" s="714" t="s">
        <v>667</v>
      </c>
      <c r="C228" s="676" t="s">
        <v>534</v>
      </c>
      <c r="D228" s="676" t="s">
        <v>357</v>
      </c>
      <c r="E228" s="680">
        <v>44652</v>
      </c>
      <c r="F228" s="676">
        <v>720</v>
      </c>
      <c r="G228" s="676" t="s">
        <v>59</v>
      </c>
      <c r="H228" s="676" t="s">
        <v>3</v>
      </c>
      <c r="I228" s="676" t="s">
        <v>13</v>
      </c>
      <c r="J228" s="676" t="s">
        <v>85</v>
      </c>
      <c r="K228" s="676">
        <v>305</v>
      </c>
      <c r="L228" s="690" t="s">
        <v>54</v>
      </c>
      <c r="M228" s="691">
        <v>0</v>
      </c>
      <c r="N228" s="690">
        <v>10</v>
      </c>
      <c r="O228" s="691">
        <v>0</v>
      </c>
      <c r="P228" s="690">
        <v>325.21869272209017</v>
      </c>
      <c r="Q228" s="738">
        <f t="shared" si="27"/>
        <v>0</v>
      </c>
      <c r="R228" s="677">
        <f t="shared" si="28"/>
        <v>2341574.5875990493</v>
      </c>
      <c r="S228" s="739">
        <f t="shared" si="29"/>
        <v>2341574.5875990493</v>
      </c>
      <c r="T228" s="738">
        <v>55.7</v>
      </c>
      <c r="U228" s="677">
        <f t="shared" si="30"/>
        <v>401040</v>
      </c>
      <c r="V228" s="739">
        <f t="shared" si="31"/>
        <v>1940534.5875990493</v>
      </c>
      <c r="W228" s="740">
        <v>55.7</v>
      </c>
      <c r="X228" s="678">
        <f t="shared" si="32"/>
        <v>401040</v>
      </c>
      <c r="Y228" s="700">
        <f t="shared" si="33"/>
        <v>1940534.5875990493</v>
      </c>
      <c r="Z228" s="740">
        <v>55.7</v>
      </c>
      <c r="AA228" s="678">
        <f t="shared" si="34"/>
        <v>401040</v>
      </c>
      <c r="AB228" s="741">
        <f t="shared" si="35"/>
        <v>1940534.5875990493</v>
      </c>
      <c r="AC228" s="714"/>
    </row>
    <row r="229" spans="1:29" ht="15" customHeight="1" x14ac:dyDescent="0.25">
      <c r="A229" s="713"/>
      <c r="B229" s="714" t="s">
        <v>667</v>
      </c>
      <c r="C229" s="676" t="s">
        <v>534</v>
      </c>
      <c r="D229" s="676" t="s">
        <v>357</v>
      </c>
      <c r="E229" s="680">
        <v>44682</v>
      </c>
      <c r="F229" s="676">
        <v>744</v>
      </c>
      <c r="G229" s="676" t="s">
        <v>59</v>
      </c>
      <c r="H229" s="676" t="s">
        <v>3</v>
      </c>
      <c r="I229" s="676" t="s">
        <v>13</v>
      </c>
      <c r="J229" s="676" t="s">
        <v>85</v>
      </c>
      <c r="K229" s="676">
        <v>305</v>
      </c>
      <c r="L229" s="690" t="s">
        <v>54</v>
      </c>
      <c r="M229" s="691">
        <v>0</v>
      </c>
      <c r="N229" s="690">
        <v>10</v>
      </c>
      <c r="O229" s="691">
        <v>0</v>
      </c>
      <c r="P229" s="690">
        <v>325.21869272209017</v>
      </c>
      <c r="Q229" s="738">
        <f t="shared" si="27"/>
        <v>0</v>
      </c>
      <c r="R229" s="677">
        <f t="shared" si="28"/>
        <v>2419627.0738523509</v>
      </c>
      <c r="S229" s="739">
        <f t="shared" si="29"/>
        <v>2419627.0738523509</v>
      </c>
      <c r="T229" s="738">
        <v>55.7</v>
      </c>
      <c r="U229" s="677">
        <f t="shared" si="30"/>
        <v>414408</v>
      </c>
      <c r="V229" s="739">
        <f t="shared" si="31"/>
        <v>2005219.0738523509</v>
      </c>
      <c r="W229" s="740">
        <v>55.7</v>
      </c>
      <c r="X229" s="678">
        <f t="shared" si="32"/>
        <v>414408</v>
      </c>
      <c r="Y229" s="700">
        <f t="shared" si="33"/>
        <v>2005219.0738523509</v>
      </c>
      <c r="Z229" s="740">
        <v>55.7</v>
      </c>
      <c r="AA229" s="678">
        <f t="shared" si="34"/>
        <v>414408</v>
      </c>
      <c r="AB229" s="741">
        <f t="shared" si="35"/>
        <v>2005219.0738523509</v>
      </c>
      <c r="AC229" s="714"/>
    </row>
    <row r="230" spans="1:29" ht="15" customHeight="1" x14ac:dyDescent="0.25">
      <c r="A230" s="713"/>
      <c r="B230" s="714" t="s">
        <v>667</v>
      </c>
      <c r="C230" s="676" t="s">
        <v>534</v>
      </c>
      <c r="D230" s="676" t="s">
        <v>357</v>
      </c>
      <c r="E230" s="680">
        <v>44713</v>
      </c>
      <c r="F230" s="676">
        <v>720</v>
      </c>
      <c r="G230" s="676" t="s">
        <v>59</v>
      </c>
      <c r="H230" s="676" t="s">
        <v>3</v>
      </c>
      <c r="I230" s="676" t="s">
        <v>13</v>
      </c>
      <c r="J230" s="676" t="s">
        <v>85</v>
      </c>
      <c r="K230" s="676">
        <v>305</v>
      </c>
      <c r="L230" s="690" t="s">
        <v>54</v>
      </c>
      <c r="M230" s="691">
        <v>0</v>
      </c>
      <c r="N230" s="690">
        <v>10</v>
      </c>
      <c r="O230" s="691">
        <v>0</v>
      </c>
      <c r="P230" s="690">
        <v>325.21869272209017</v>
      </c>
      <c r="Q230" s="738">
        <f t="shared" si="27"/>
        <v>0</v>
      </c>
      <c r="R230" s="677">
        <f t="shared" si="28"/>
        <v>2341574.5875990493</v>
      </c>
      <c r="S230" s="739">
        <f t="shared" si="29"/>
        <v>2341574.5875990493</v>
      </c>
      <c r="T230" s="738">
        <v>55.71</v>
      </c>
      <c r="U230" s="677">
        <f t="shared" si="30"/>
        <v>401112</v>
      </c>
      <c r="V230" s="739">
        <f t="shared" si="31"/>
        <v>1940462.5875990493</v>
      </c>
      <c r="W230" s="740">
        <v>55.71</v>
      </c>
      <c r="X230" s="678">
        <f t="shared" si="32"/>
        <v>401112</v>
      </c>
      <c r="Y230" s="700">
        <f t="shared" si="33"/>
        <v>1940462.5875990493</v>
      </c>
      <c r="Z230" s="740">
        <v>55.71</v>
      </c>
      <c r="AA230" s="678">
        <f t="shared" si="34"/>
        <v>401112</v>
      </c>
      <c r="AB230" s="741">
        <f t="shared" si="35"/>
        <v>1940462.5875990493</v>
      </c>
      <c r="AC230" s="714"/>
    </row>
    <row r="231" spans="1:29" ht="15" customHeight="1" x14ac:dyDescent="0.25">
      <c r="A231" s="713"/>
      <c r="B231" s="714" t="s">
        <v>667</v>
      </c>
      <c r="C231" s="676" t="s">
        <v>534</v>
      </c>
      <c r="D231" s="676" t="s">
        <v>357</v>
      </c>
      <c r="E231" s="680">
        <v>44743</v>
      </c>
      <c r="F231" s="676">
        <v>744</v>
      </c>
      <c r="G231" s="676" t="s">
        <v>59</v>
      </c>
      <c r="H231" s="676" t="s">
        <v>3</v>
      </c>
      <c r="I231" s="676" t="s">
        <v>13</v>
      </c>
      <c r="J231" s="676" t="s">
        <v>85</v>
      </c>
      <c r="K231" s="676">
        <v>305</v>
      </c>
      <c r="L231" s="690" t="s">
        <v>54</v>
      </c>
      <c r="M231" s="691">
        <v>0</v>
      </c>
      <c r="N231" s="690">
        <v>10</v>
      </c>
      <c r="O231" s="691">
        <v>0</v>
      </c>
      <c r="P231" s="690">
        <v>325.21869272209017</v>
      </c>
      <c r="Q231" s="738">
        <f t="shared" si="27"/>
        <v>0</v>
      </c>
      <c r="R231" s="677">
        <f t="shared" si="28"/>
        <v>2419627.0738523509</v>
      </c>
      <c r="S231" s="739">
        <f t="shared" si="29"/>
        <v>2419627.0738523509</v>
      </c>
      <c r="T231" s="738">
        <v>66.319999999999993</v>
      </c>
      <c r="U231" s="677">
        <f t="shared" si="30"/>
        <v>493420.79999999993</v>
      </c>
      <c r="V231" s="739">
        <f t="shared" si="31"/>
        <v>1926206.2738523511</v>
      </c>
      <c r="W231" s="740">
        <v>66.319999999999993</v>
      </c>
      <c r="X231" s="678">
        <f t="shared" si="32"/>
        <v>493420.79999999993</v>
      </c>
      <c r="Y231" s="700">
        <f t="shared" si="33"/>
        <v>1926206.2738523511</v>
      </c>
      <c r="Z231" s="740">
        <v>66.319999999999993</v>
      </c>
      <c r="AA231" s="678">
        <f t="shared" si="34"/>
        <v>493420.79999999993</v>
      </c>
      <c r="AB231" s="741">
        <f t="shared" si="35"/>
        <v>1926206.2738523511</v>
      </c>
      <c r="AC231" s="714"/>
    </row>
    <row r="232" spans="1:29" ht="15" customHeight="1" x14ac:dyDescent="0.25">
      <c r="A232" s="713"/>
      <c r="B232" s="714" t="s">
        <v>667</v>
      </c>
      <c r="C232" s="676" t="s">
        <v>534</v>
      </c>
      <c r="D232" s="676" t="s">
        <v>357</v>
      </c>
      <c r="E232" s="680">
        <v>44774</v>
      </c>
      <c r="F232" s="676">
        <v>744</v>
      </c>
      <c r="G232" s="676" t="s">
        <v>59</v>
      </c>
      <c r="H232" s="676" t="s">
        <v>3</v>
      </c>
      <c r="I232" s="676" t="s">
        <v>13</v>
      </c>
      <c r="J232" s="676" t="s">
        <v>85</v>
      </c>
      <c r="K232" s="676">
        <v>305</v>
      </c>
      <c r="L232" s="690" t="s">
        <v>54</v>
      </c>
      <c r="M232" s="691">
        <v>0</v>
      </c>
      <c r="N232" s="690">
        <v>10</v>
      </c>
      <c r="O232" s="691">
        <v>0</v>
      </c>
      <c r="P232" s="690">
        <v>325.21869272209017</v>
      </c>
      <c r="Q232" s="738">
        <f t="shared" si="27"/>
        <v>0</v>
      </c>
      <c r="R232" s="677">
        <f t="shared" si="28"/>
        <v>2419627.0738523509</v>
      </c>
      <c r="S232" s="739">
        <f t="shared" si="29"/>
        <v>2419627.0738523509</v>
      </c>
      <c r="T232" s="738">
        <v>76.900000000000006</v>
      </c>
      <c r="U232" s="677">
        <f t="shared" si="30"/>
        <v>572136</v>
      </c>
      <c r="V232" s="739">
        <f t="shared" si="31"/>
        <v>1847491.0738523509</v>
      </c>
      <c r="W232" s="740">
        <v>76.900000000000006</v>
      </c>
      <c r="X232" s="678">
        <f t="shared" si="32"/>
        <v>572136</v>
      </c>
      <c r="Y232" s="700">
        <f t="shared" si="33"/>
        <v>1847491.0738523509</v>
      </c>
      <c r="Z232" s="740">
        <v>76.900000000000006</v>
      </c>
      <c r="AA232" s="678">
        <f t="shared" si="34"/>
        <v>572136</v>
      </c>
      <c r="AB232" s="741">
        <f t="shared" si="35"/>
        <v>1847491.0738523509</v>
      </c>
      <c r="AC232" s="714"/>
    </row>
    <row r="233" spans="1:29" ht="15" customHeight="1" x14ac:dyDescent="0.25">
      <c r="A233" s="713"/>
      <c r="B233" s="714" t="s">
        <v>667</v>
      </c>
      <c r="C233" s="676" t="s">
        <v>534</v>
      </c>
      <c r="D233" s="676" t="s">
        <v>357</v>
      </c>
      <c r="E233" s="680">
        <v>44805</v>
      </c>
      <c r="F233" s="676">
        <v>720</v>
      </c>
      <c r="G233" s="676" t="s">
        <v>59</v>
      </c>
      <c r="H233" s="676" t="s">
        <v>3</v>
      </c>
      <c r="I233" s="676" t="s">
        <v>13</v>
      </c>
      <c r="J233" s="676" t="s">
        <v>85</v>
      </c>
      <c r="K233" s="676">
        <v>305</v>
      </c>
      <c r="L233" s="690" t="s">
        <v>54</v>
      </c>
      <c r="M233" s="691">
        <v>0</v>
      </c>
      <c r="N233" s="690">
        <v>10</v>
      </c>
      <c r="O233" s="691">
        <v>0</v>
      </c>
      <c r="P233" s="690">
        <v>325.21869272209017</v>
      </c>
      <c r="Q233" s="738">
        <f t="shared" si="27"/>
        <v>0</v>
      </c>
      <c r="R233" s="677">
        <f t="shared" si="28"/>
        <v>2341574.5875990493</v>
      </c>
      <c r="S233" s="739">
        <f t="shared" si="29"/>
        <v>2341574.5875990493</v>
      </c>
      <c r="T233" s="738">
        <v>56.08</v>
      </c>
      <c r="U233" s="677">
        <f t="shared" si="30"/>
        <v>403776</v>
      </c>
      <c r="V233" s="739">
        <f t="shared" si="31"/>
        <v>1937798.5875990493</v>
      </c>
      <c r="W233" s="740">
        <v>56.08</v>
      </c>
      <c r="X233" s="678">
        <f t="shared" si="32"/>
        <v>403776</v>
      </c>
      <c r="Y233" s="700">
        <f t="shared" si="33"/>
        <v>1937798.5875990493</v>
      </c>
      <c r="Z233" s="740">
        <v>56.08</v>
      </c>
      <c r="AA233" s="678">
        <f t="shared" si="34"/>
        <v>403776</v>
      </c>
      <c r="AB233" s="741">
        <f t="shared" si="35"/>
        <v>1937798.5875990493</v>
      </c>
      <c r="AC233" s="714"/>
    </row>
    <row r="234" spans="1:29" ht="15" customHeight="1" x14ac:dyDescent="0.25">
      <c r="A234" s="713"/>
      <c r="B234" s="714" t="s">
        <v>667</v>
      </c>
      <c r="C234" s="676" t="s">
        <v>534</v>
      </c>
      <c r="D234" s="676" t="s">
        <v>357</v>
      </c>
      <c r="E234" s="680">
        <v>44835</v>
      </c>
      <c r="F234" s="676">
        <v>744</v>
      </c>
      <c r="G234" s="676" t="s">
        <v>59</v>
      </c>
      <c r="H234" s="676" t="s">
        <v>3</v>
      </c>
      <c r="I234" s="676" t="s">
        <v>13</v>
      </c>
      <c r="J234" s="676" t="s">
        <v>85</v>
      </c>
      <c r="K234" s="676">
        <v>305</v>
      </c>
      <c r="L234" s="690" t="s">
        <v>54</v>
      </c>
      <c r="M234" s="691">
        <v>0</v>
      </c>
      <c r="N234" s="690">
        <v>10</v>
      </c>
      <c r="O234" s="691">
        <v>0</v>
      </c>
      <c r="P234" s="690">
        <v>325.21869272209017</v>
      </c>
      <c r="Q234" s="738">
        <f t="shared" si="27"/>
        <v>0</v>
      </c>
      <c r="R234" s="677">
        <f t="shared" si="28"/>
        <v>2419627.0738523509</v>
      </c>
      <c r="S234" s="739">
        <f t="shared" si="29"/>
        <v>2419627.0738523509</v>
      </c>
      <c r="T234" s="738">
        <v>55.7</v>
      </c>
      <c r="U234" s="677">
        <f t="shared" si="30"/>
        <v>414408</v>
      </c>
      <c r="V234" s="739">
        <f t="shared" si="31"/>
        <v>2005219.0738523509</v>
      </c>
      <c r="W234" s="740">
        <v>55.7</v>
      </c>
      <c r="X234" s="678">
        <f t="shared" si="32"/>
        <v>414408</v>
      </c>
      <c r="Y234" s="700">
        <f t="shared" si="33"/>
        <v>2005219.0738523509</v>
      </c>
      <c r="Z234" s="740">
        <v>55.7</v>
      </c>
      <c r="AA234" s="678">
        <f t="shared" si="34"/>
        <v>414408</v>
      </c>
      <c r="AB234" s="741">
        <f t="shared" si="35"/>
        <v>2005219.0738523509</v>
      </c>
      <c r="AC234" s="714"/>
    </row>
    <row r="235" spans="1:29" ht="15" customHeight="1" x14ac:dyDescent="0.25">
      <c r="A235" s="713"/>
      <c r="B235" s="714" t="s">
        <v>667</v>
      </c>
      <c r="C235" s="676" t="s">
        <v>534</v>
      </c>
      <c r="D235" s="676" t="s">
        <v>357</v>
      </c>
      <c r="E235" s="680">
        <v>44866</v>
      </c>
      <c r="F235" s="676">
        <v>720</v>
      </c>
      <c r="G235" s="676" t="s">
        <v>59</v>
      </c>
      <c r="H235" s="676" t="s">
        <v>3</v>
      </c>
      <c r="I235" s="676" t="s">
        <v>13</v>
      </c>
      <c r="J235" s="676" t="s">
        <v>85</v>
      </c>
      <c r="K235" s="676">
        <v>305</v>
      </c>
      <c r="L235" s="690" t="s">
        <v>54</v>
      </c>
      <c r="M235" s="691">
        <v>0</v>
      </c>
      <c r="N235" s="690">
        <v>10</v>
      </c>
      <c r="O235" s="691">
        <v>0</v>
      </c>
      <c r="P235" s="690">
        <v>325.21869272209017</v>
      </c>
      <c r="Q235" s="738">
        <f t="shared" si="27"/>
        <v>0</v>
      </c>
      <c r="R235" s="677">
        <f t="shared" si="28"/>
        <v>2341574.5875990493</v>
      </c>
      <c r="S235" s="739">
        <f t="shared" si="29"/>
        <v>2341574.5875990493</v>
      </c>
      <c r="T235" s="738">
        <v>55.7</v>
      </c>
      <c r="U235" s="677">
        <f t="shared" si="30"/>
        <v>401040</v>
      </c>
      <c r="V235" s="739">
        <f t="shared" si="31"/>
        <v>1940534.5875990493</v>
      </c>
      <c r="W235" s="740">
        <v>55.7</v>
      </c>
      <c r="X235" s="678">
        <f t="shared" si="32"/>
        <v>401040</v>
      </c>
      <c r="Y235" s="700">
        <f t="shared" si="33"/>
        <v>1940534.5875990493</v>
      </c>
      <c r="Z235" s="740">
        <v>55.7</v>
      </c>
      <c r="AA235" s="678">
        <f t="shared" si="34"/>
        <v>401040</v>
      </c>
      <c r="AB235" s="741">
        <f t="shared" si="35"/>
        <v>1940534.5875990493</v>
      </c>
      <c r="AC235" s="714"/>
    </row>
    <row r="236" spans="1:29" ht="15" customHeight="1" x14ac:dyDescent="0.25">
      <c r="A236" s="713"/>
      <c r="B236" s="729" t="s">
        <v>667</v>
      </c>
      <c r="C236" s="545" t="s">
        <v>534</v>
      </c>
      <c r="D236" s="545" t="s">
        <v>357</v>
      </c>
      <c r="E236" s="681">
        <v>44896</v>
      </c>
      <c r="F236" s="545">
        <v>744</v>
      </c>
      <c r="G236" s="545" t="s">
        <v>59</v>
      </c>
      <c r="H236" s="545" t="s">
        <v>3</v>
      </c>
      <c r="I236" s="545" t="s">
        <v>13</v>
      </c>
      <c r="J236" s="545" t="s">
        <v>85</v>
      </c>
      <c r="K236" s="545">
        <v>305</v>
      </c>
      <c r="L236" s="725" t="s">
        <v>54</v>
      </c>
      <c r="M236" s="695">
        <v>0</v>
      </c>
      <c r="N236" s="725">
        <v>10</v>
      </c>
      <c r="O236" s="695">
        <v>0</v>
      </c>
      <c r="P236" s="725">
        <v>325.21869272209017</v>
      </c>
      <c r="Q236" s="742">
        <f t="shared" si="27"/>
        <v>0</v>
      </c>
      <c r="R236" s="603">
        <f t="shared" si="28"/>
        <v>2419627.0738523509</v>
      </c>
      <c r="S236" s="743">
        <f t="shared" si="29"/>
        <v>2419627.0738523509</v>
      </c>
      <c r="T236" s="742">
        <v>55.7</v>
      </c>
      <c r="U236" s="603">
        <f t="shared" si="30"/>
        <v>414408</v>
      </c>
      <c r="V236" s="743">
        <f t="shared" si="31"/>
        <v>2005219.0738523509</v>
      </c>
      <c r="W236" s="744">
        <v>55.7</v>
      </c>
      <c r="X236" s="604">
        <f t="shared" si="32"/>
        <v>414408</v>
      </c>
      <c r="Y236" s="701">
        <f t="shared" si="33"/>
        <v>2005219.0738523509</v>
      </c>
      <c r="Z236" s="744">
        <v>78.400653594793155</v>
      </c>
      <c r="AA236" s="604">
        <f t="shared" si="34"/>
        <v>583300.86274526105</v>
      </c>
      <c r="AB236" s="745">
        <f t="shared" si="35"/>
        <v>1836326.2111070899</v>
      </c>
      <c r="AC236" s="714"/>
    </row>
    <row r="237" spans="1:29" ht="15" customHeight="1" x14ac:dyDescent="0.25">
      <c r="A237" s="713"/>
      <c r="B237" s="730" t="s">
        <v>669</v>
      </c>
      <c r="C237" s="546" t="s">
        <v>534</v>
      </c>
      <c r="D237" s="546" t="s">
        <v>355</v>
      </c>
      <c r="E237" s="682">
        <v>44562</v>
      </c>
      <c r="F237" s="546">
        <v>744</v>
      </c>
      <c r="G237" s="546" t="s">
        <v>59</v>
      </c>
      <c r="H237" s="546" t="s">
        <v>3</v>
      </c>
      <c r="I237" s="546" t="s">
        <v>13</v>
      </c>
      <c r="J237" s="546" t="s">
        <v>85</v>
      </c>
      <c r="K237" s="546">
        <v>315</v>
      </c>
      <c r="L237" s="726" t="s">
        <v>54</v>
      </c>
      <c r="M237" s="696">
        <v>0</v>
      </c>
      <c r="N237" s="726">
        <v>5</v>
      </c>
      <c r="O237" s="696">
        <v>0</v>
      </c>
      <c r="P237" s="726">
        <v>335.88160068019153</v>
      </c>
      <c r="Q237" s="746">
        <f t="shared" si="27"/>
        <v>0</v>
      </c>
      <c r="R237" s="606">
        <f t="shared" si="28"/>
        <v>1249479.5545303125</v>
      </c>
      <c r="S237" s="747">
        <f t="shared" si="29"/>
        <v>1249479.5545303125</v>
      </c>
      <c r="T237" s="746">
        <v>57.22</v>
      </c>
      <c r="U237" s="606">
        <f t="shared" si="30"/>
        <v>212858.4</v>
      </c>
      <c r="V237" s="747">
        <f t="shared" si="31"/>
        <v>1036621.1545303125</v>
      </c>
      <c r="W237" s="748">
        <v>57.22</v>
      </c>
      <c r="X237" s="607">
        <f t="shared" si="32"/>
        <v>212858.4</v>
      </c>
      <c r="Y237" s="702">
        <f t="shared" si="33"/>
        <v>1036621.1545303125</v>
      </c>
      <c r="Z237" s="748">
        <v>57.22</v>
      </c>
      <c r="AA237" s="607">
        <f t="shared" si="34"/>
        <v>212858.4</v>
      </c>
      <c r="AB237" s="749">
        <f t="shared" si="35"/>
        <v>1036621.1545303125</v>
      </c>
      <c r="AC237" s="714"/>
    </row>
    <row r="238" spans="1:29" ht="15" customHeight="1" x14ac:dyDescent="0.25">
      <c r="A238" s="713"/>
      <c r="B238" s="714" t="s">
        <v>669</v>
      </c>
      <c r="C238" s="676" t="s">
        <v>534</v>
      </c>
      <c r="D238" s="676" t="s">
        <v>355</v>
      </c>
      <c r="E238" s="680">
        <v>44593</v>
      </c>
      <c r="F238" s="676">
        <v>672</v>
      </c>
      <c r="G238" s="676" t="s">
        <v>59</v>
      </c>
      <c r="H238" s="676" t="s">
        <v>3</v>
      </c>
      <c r="I238" s="676" t="s">
        <v>13</v>
      </c>
      <c r="J238" s="676" t="s">
        <v>85</v>
      </c>
      <c r="K238" s="676">
        <v>315</v>
      </c>
      <c r="L238" s="690" t="s">
        <v>54</v>
      </c>
      <c r="M238" s="691">
        <v>0</v>
      </c>
      <c r="N238" s="690">
        <v>5</v>
      </c>
      <c r="O238" s="691">
        <v>0</v>
      </c>
      <c r="P238" s="690">
        <v>335.88160068019153</v>
      </c>
      <c r="Q238" s="738">
        <f t="shared" si="27"/>
        <v>0</v>
      </c>
      <c r="R238" s="677">
        <f t="shared" si="28"/>
        <v>1128562.1782854435</v>
      </c>
      <c r="S238" s="739">
        <f t="shared" si="29"/>
        <v>1128562.1782854435</v>
      </c>
      <c r="T238" s="738">
        <v>55.7</v>
      </c>
      <c r="U238" s="677">
        <f t="shared" si="30"/>
        <v>187152</v>
      </c>
      <c r="V238" s="739">
        <f t="shared" si="31"/>
        <v>941410.17828544346</v>
      </c>
      <c r="W238" s="740">
        <v>55.7</v>
      </c>
      <c r="X238" s="678">
        <f t="shared" si="32"/>
        <v>187152</v>
      </c>
      <c r="Y238" s="700">
        <f t="shared" si="33"/>
        <v>941410.17828544346</v>
      </c>
      <c r="Z238" s="740">
        <v>55.7</v>
      </c>
      <c r="AA238" s="678">
        <f t="shared" si="34"/>
        <v>187152</v>
      </c>
      <c r="AB238" s="741">
        <f t="shared" si="35"/>
        <v>941410.17828544346</v>
      </c>
      <c r="AC238" s="714"/>
    </row>
    <row r="239" spans="1:29" ht="15" customHeight="1" x14ac:dyDescent="0.25">
      <c r="A239" s="713"/>
      <c r="B239" s="714" t="s">
        <v>669</v>
      </c>
      <c r="C239" s="676" t="s">
        <v>534</v>
      </c>
      <c r="D239" s="676" t="s">
        <v>355</v>
      </c>
      <c r="E239" s="680">
        <v>44621</v>
      </c>
      <c r="F239" s="676">
        <v>744</v>
      </c>
      <c r="G239" s="676" t="s">
        <v>59</v>
      </c>
      <c r="H239" s="676" t="s">
        <v>3</v>
      </c>
      <c r="I239" s="676" t="s">
        <v>13</v>
      </c>
      <c r="J239" s="676" t="s">
        <v>85</v>
      </c>
      <c r="K239" s="676">
        <v>315</v>
      </c>
      <c r="L239" s="690" t="s">
        <v>54</v>
      </c>
      <c r="M239" s="691">
        <v>0</v>
      </c>
      <c r="N239" s="690">
        <v>5</v>
      </c>
      <c r="O239" s="691">
        <v>0</v>
      </c>
      <c r="P239" s="690">
        <v>335.88160068019153</v>
      </c>
      <c r="Q239" s="738">
        <f t="shared" si="27"/>
        <v>0</v>
      </c>
      <c r="R239" s="677">
        <f t="shared" si="28"/>
        <v>1249479.5545303125</v>
      </c>
      <c r="S239" s="739">
        <f t="shared" si="29"/>
        <v>1249479.5545303125</v>
      </c>
      <c r="T239" s="738">
        <v>55.7</v>
      </c>
      <c r="U239" s="677">
        <f t="shared" si="30"/>
        <v>207204</v>
      </c>
      <c r="V239" s="739">
        <f t="shared" si="31"/>
        <v>1042275.5545303125</v>
      </c>
      <c r="W239" s="740">
        <v>55.7</v>
      </c>
      <c r="X239" s="678">
        <f t="shared" si="32"/>
        <v>207204</v>
      </c>
      <c r="Y239" s="700">
        <f t="shared" si="33"/>
        <v>1042275.5545303125</v>
      </c>
      <c r="Z239" s="740">
        <v>55.7</v>
      </c>
      <c r="AA239" s="678">
        <f t="shared" si="34"/>
        <v>207204</v>
      </c>
      <c r="AB239" s="741">
        <f t="shared" si="35"/>
        <v>1042275.5545303125</v>
      </c>
      <c r="AC239" s="714"/>
    </row>
    <row r="240" spans="1:29" ht="15" customHeight="1" x14ac:dyDescent="0.25">
      <c r="A240" s="713"/>
      <c r="B240" s="714" t="s">
        <v>669</v>
      </c>
      <c r="C240" s="676" t="s">
        <v>534</v>
      </c>
      <c r="D240" s="676" t="s">
        <v>355</v>
      </c>
      <c r="E240" s="680">
        <v>44652</v>
      </c>
      <c r="F240" s="676">
        <v>720</v>
      </c>
      <c r="G240" s="676" t="s">
        <v>59</v>
      </c>
      <c r="H240" s="676" t="s">
        <v>3</v>
      </c>
      <c r="I240" s="676" t="s">
        <v>13</v>
      </c>
      <c r="J240" s="676" t="s">
        <v>85</v>
      </c>
      <c r="K240" s="676">
        <v>315</v>
      </c>
      <c r="L240" s="690" t="s">
        <v>54</v>
      </c>
      <c r="M240" s="691">
        <v>0</v>
      </c>
      <c r="N240" s="690">
        <v>5</v>
      </c>
      <c r="O240" s="691">
        <v>0</v>
      </c>
      <c r="P240" s="690">
        <v>335.88160068019153</v>
      </c>
      <c r="Q240" s="738">
        <f t="shared" si="27"/>
        <v>0</v>
      </c>
      <c r="R240" s="677">
        <f t="shared" si="28"/>
        <v>1209173.7624486894</v>
      </c>
      <c r="S240" s="739">
        <f t="shared" si="29"/>
        <v>1209173.7624486894</v>
      </c>
      <c r="T240" s="738">
        <v>55.7</v>
      </c>
      <c r="U240" s="677">
        <f t="shared" si="30"/>
        <v>200520</v>
      </c>
      <c r="V240" s="739">
        <f t="shared" si="31"/>
        <v>1008653.7624486894</v>
      </c>
      <c r="W240" s="740">
        <v>55.7</v>
      </c>
      <c r="X240" s="678">
        <f t="shared" si="32"/>
        <v>200520</v>
      </c>
      <c r="Y240" s="700">
        <f t="shared" si="33"/>
        <v>1008653.7624486894</v>
      </c>
      <c r="Z240" s="740">
        <v>55.7</v>
      </c>
      <c r="AA240" s="678">
        <f t="shared" si="34"/>
        <v>200520</v>
      </c>
      <c r="AB240" s="741">
        <f t="shared" si="35"/>
        <v>1008653.7624486894</v>
      </c>
      <c r="AC240" s="714"/>
    </row>
    <row r="241" spans="1:29" ht="15" customHeight="1" x14ac:dyDescent="0.25">
      <c r="A241" s="713"/>
      <c r="B241" s="714" t="s">
        <v>669</v>
      </c>
      <c r="C241" s="676" t="s">
        <v>534</v>
      </c>
      <c r="D241" s="676" t="s">
        <v>355</v>
      </c>
      <c r="E241" s="680">
        <v>44682</v>
      </c>
      <c r="F241" s="676">
        <v>744</v>
      </c>
      <c r="G241" s="676" t="s">
        <v>59</v>
      </c>
      <c r="H241" s="676" t="s">
        <v>3</v>
      </c>
      <c r="I241" s="676" t="s">
        <v>13</v>
      </c>
      <c r="J241" s="676" t="s">
        <v>85</v>
      </c>
      <c r="K241" s="676">
        <v>315</v>
      </c>
      <c r="L241" s="690" t="s">
        <v>54</v>
      </c>
      <c r="M241" s="691">
        <v>0</v>
      </c>
      <c r="N241" s="690">
        <v>5</v>
      </c>
      <c r="O241" s="691">
        <v>0</v>
      </c>
      <c r="P241" s="690">
        <v>335.88160068019153</v>
      </c>
      <c r="Q241" s="738">
        <f t="shared" si="27"/>
        <v>0</v>
      </c>
      <c r="R241" s="677">
        <f t="shared" si="28"/>
        <v>1249479.5545303125</v>
      </c>
      <c r="S241" s="739">
        <f t="shared" si="29"/>
        <v>1249479.5545303125</v>
      </c>
      <c r="T241" s="738">
        <v>55.7</v>
      </c>
      <c r="U241" s="677">
        <f t="shared" si="30"/>
        <v>207204</v>
      </c>
      <c r="V241" s="739">
        <f t="shared" si="31"/>
        <v>1042275.5545303125</v>
      </c>
      <c r="W241" s="740">
        <v>55.7</v>
      </c>
      <c r="X241" s="678">
        <f t="shared" si="32"/>
        <v>207204</v>
      </c>
      <c r="Y241" s="700">
        <f t="shared" si="33"/>
        <v>1042275.5545303125</v>
      </c>
      <c r="Z241" s="740">
        <v>55.7</v>
      </c>
      <c r="AA241" s="678">
        <f t="shared" si="34"/>
        <v>207204</v>
      </c>
      <c r="AB241" s="741">
        <f t="shared" si="35"/>
        <v>1042275.5545303125</v>
      </c>
      <c r="AC241" s="714"/>
    </row>
    <row r="242" spans="1:29" ht="15" customHeight="1" x14ac:dyDescent="0.25">
      <c r="A242" s="713"/>
      <c r="B242" s="714" t="s">
        <v>669</v>
      </c>
      <c r="C242" s="676" t="s">
        <v>534</v>
      </c>
      <c r="D242" s="676" t="s">
        <v>355</v>
      </c>
      <c r="E242" s="680">
        <v>44713</v>
      </c>
      <c r="F242" s="676">
        <v>720</v>
      </c>
      <c r="G242" s="676" t="s">
        <v>59</v>
      </c>
      <c r="H242" s="676" t="s">
        <v>3</v>
      </c>
      <c r="I242" s="676" t="s">
        <v>13</v>
      </c>
      <c r="J242" s="676" t="s">
        <v>85</v>
      </c>
      <c r="K242" s="676">
        <v>315</v>
      </c>
      <c r="L242" s="690" t="s">
        <v>54</v>
      </c>
      <c r="M242" s="691">
        <v>0</v>
      </c>
      <c r="N242" s="690">
        <v>5</v>
      </c>
      <c r="O242" s="691">
        <v>0</v>
      </c>
      <c r="P242" s="690">
        <v>335.88160068019153</v>
      </c>
      <c r="Q242" s="738">
        <f t="shared" si="27"/>
        <v>0</v>
      </c>
      <c r="R242" s="677">
        <f t="shared" si="28"/>
        <v>1209173.7624486894</v>
      </c>
      <c r="S242" s="739">
        <f t="shared" si="29"/>
        <v>1209173.7624486894</v>
      </c>
      <c r="T242" s="738">
        <v>55.71</v>
      </c>
      <c r="U242" s="677">
        <f t="shared" si="30"/>
        <v>200556</v>
      </c>
      <c r="V242" s="739">
        <f t="shared" si="31"/>
        <v>1008617.7624486894</v>
      </c>
      <c r="W242" s="740">
        <v>55.71</v>
      </c>
      <c r="X242" s="678">
        <f t="shared" si="32"/>
        <v>200556</v>
      </c>
      <c r="Y242" s="700">
        <f t="shared" si="33"/>
        <v>1008617.7624486894</v>
      </c>
      <c r="Z242" s="740">
        <v>55.71</v>
      </c>
      <c r="AA242" s="678">
        <f t="shared" si="34"/>
        <v>200556</v>
      </c>
      <c r="AB242" s="741">
        <f t="shared" si="35"/>
        <v>1008617.7624486894</v>
      </c>
      <c r="AC242" s="714"/>
    </row>
    <row r="243" spans="1:29" ht="15" customHeight="1" x14ac:dyDescent="0.25">
      <c r="A243" s="713"/>
      <c r="B243" s="714" t="s">
        <v>669</v>
      </c>
      <c r="C243" s="676" t="s">
        <v>534</v>
      </c>
      <c r="D243" s="676" t="s">
        <v>355</v>
      </c>
      <c r="E243" s="680">
        <v>44743</v>
      </c>
      <c r="F243" s="676">
        <v>744</v>
      </c>
      <c r="G243" s="676" t="s">
        <v>59</v>
      </c>
      <c r="H243" s="676" t="s">
        <v>3</v>
      </c>
      <c r="I243" s="676" t="s">
        <v>13</v>
      </c>
      <c r="J243" s="676" t="s">
        <v>85</v>
      </c>
      <c r="K243" s="676">
        <v>315</v>
      </c>
      <c r="L243" s="690" t="s">
        <v>54</v>
      </c>
      <c r="M243" s="691">
        <v>0</v>
      </c>
      <c r="N243" s="690">
        <v>5</v>
      </c>
      <c r="O243" s="691">
        <v>0</v>
      </c>
      <c r="P243" s="690">
        <v>335.88160068019153</v>
      </c>
      <c r="Q243" s="738">
        <f t="shared" si="27"/>
        <v>0</v>
      </c>
      <c r="R243" s="677">
        <f t="shared" si="28"/>
        <v>1249479.5545303125</v>
      </c>
      <c r="S243" s="739">
        <f t="shared" si="29"/>
        <v>1249479.5545303125</v>
      </c>
      <c r="T243" s="738">
        <v>66.319999999999993</v>
      </c>
      <c r="U243" s="677">
        <f t="shared" si="30"/>
        <v>246710.39999999997</v>
      </c>
      <c r="V243" s="739">
        <f t="shared" si="31"/>
        <v>1002769.1545303126</v>
      </c>
      <c r="W243" s="740">
        <v>66.319999999999993</v>
      </c>
      <c r="X243" s="678">
        <f t="shared" si="32"/>
        <v>246710.39999999997</v>
      </c>
      <c r="Y243" s="700">
        <f t="shared" si="33"/>
        <v>1002769.1545303126</v>
      </c>
      <c r="Z243" s="740">
        <v>66.319999999999993</v>
      </c>
      <c r="AA243" s="678">
        <f t="shared" si="34"/>
        <v>246710.39999999997</v>
      </c>
      <c r="AB243" s="741">
        <f t="shared" si="35"/>
        <v>1002769.1545303126</v>
      </c>
      <c r="AC243" s="714"/>
    </row>
    <row r="244" spans="1:29" ht="15" customHeight="1" x14ac:dyDescent="0.25">
      <c r="A244" s="713"/>
      <c r="B244" s="714" t="s">
        <v>669</v>
      </c>
      <c r="C244" s="676" t="s">
        <v>534</v>
      </c>
      <c r="D244" s="676" t="s">
        <v>355</v>
      </c>
      <c r="E244" s="680">
        <v>44774</v>
      </c>
      <c r="F244" s="676">
        <v>744</v>
      </c>
      <c r="G244" s="676" t="s">
        <v>59</v>
      </c>
      <c r="H244" s="676" t="s">
        <v>3</v>
      </c>
      <c r="I244" s="676" t="s">
        <v>13</v>
      </c>
      <c r="J244" s="676" t="s">
        <v>85</v>
      </c>
      <c r="K244" s="676">
        <v>315</v>
      </c>
      <c r="L244" s="690" t="s">
        <v>54</v>
      </c>
      <c r="M244" s="691">
        <v>0</v>
      </c>
      <c r="N244" s="690">
        <v>5</v>
      </c>
      <c r="O244" s="691">
        <v>0</v>
      </c>
      <c r="P244" s="690">
        <v>335.88160068019153</v>
      </c>
      <c r="Q244" s="738">
        <f t="shared" si="27"/>
        <v>0</v>
      </c>
      <c r="R244" s="677">
        <f t="shared" si="28"/>
        <v>1249479.5545303125</v>
      </c>
      <c r="S244" s="739">
        <f t="shared" si="29"/>
        <v>1249479.5545303125</v>
      </c>
      <c r="T244" s="738">
        <v>76.900000000000006</v>
      </c>
      <c r="U244" s="677">
        <f t="shared" si="30"/>
        <v>286068</v>
      </c>
      <c r="V244" s="739">
        <f t="shared" si="31"/>
        <v>963411.55453031254</v>
      </c>
      <c r="W244" s="740">
        <v>76.900000000000006</v>
      </c>
      <c r="X244" s="678">
        <f t="shared" si="32"/>
        <v>286068</v>
      </c>
      <c r="Y244" s="700">
        <f t="shared" si="33"/>
        <v>963411.55453031254</v>
      </c>
      <c r="Z244" s="740">
        <v>76.900000000000006</v>
      </c>
      <c r="AA244" s="678">
        <f t="shared" si="34"/>
        <v>286068</v>
      </c>
      <c r="AB244" s="741">
        <f t="shared" si="35"/>
        <v>963411.55453031254</v>
      </c>
      <c r="AC244" s="714"/>
    </row>
    <row r="245" spans="1:29" ht="15" customHeight="1" x14ac:dyDescent="0.25">
      <c r="A245" s="713"/>
      <c r="B245" s="714" t="s">
        <v>669</v>
      </c>
      <c r="C245" s="676" t="s">
        <v>534</v>
      </c>
      <c r="D245" s="676" t="s">
        <v>355</v>
      </c>
      <c r="E245" s="680">
        <v>44805</v>
      </c>
      <c r="F245" s="676">
        <v>720</v>
      </c>
      <c r="G245" s="676" t="s">
        <v>59</v>
      </c>
      <c r="H245" s="676" t="s">
        <v>3</v>
      </c>
      <c r="I245" s="676" t="s">
        <v>13</v>
      </c>
      <c r="J245" s="676" t="s">
        <v>85</v>
      </c>
      <c r="K245" s="676">
        <v>315</v>
      </c>
      <c r="L245" s="690" t="s">
        <v>54</v>
      </c>
      <c r="M245" s="691">
        <v>0</v>
      </c>
      <c r="N245" s="690">
        <v>5</v>
      </c>
      <c r="O245" s="691">
        <v>0</v>
      </c>
      <c r="P245" s="690">
        <v>335.88160068019153</v>
      </c>
      <c r="Q245" s="738">
        <f t="shared" si="27"/>
        <v>0</v>
      </c>
      <c r="R245" s="677">
        <f t="shared" si="28"/>
        <v>1209173.7624486894</v>
      </c>
      <c r="S245" s="739">
        <f t="shared" si="29"/>
        <v>1209173.7624486894</v>
      </c>
      <c r="T245" s="738">
        <v>56.08</v>
      </c>
      <c r="U245" s="677">
        <f t="shared" si="30"/>
        <v>201888</v>
      </c>
      <c r="V245" s="739">
        <f t="shared" si="31"/>
        <v>1007285.7624486894</v>
      </c>
      <c r="W245" s="740">
        <v>56.08</v>
      </c>
      <c r="X245" s="678">
        <f t="shared" si="32"/>
        <v>201888</v>
      </c>
      <c r="Y245" s="700">
        <f t="shared" si="33"/>
        <v>1007285.7624486894</v>
      </c>
      <c r="Z245" s="740">
        <v>56.08</v>
      </c>
      <c r="AA245" s="678">
        <f t="shared" si="34"/>
        <v>201888</v>
      </c>
      <c r="AB245" s="741">
        <f t="shared" si="35"/>
        <v>1007285.7624486894</v>
      </c>
      <c r="AC245" s="714"/>
    </row>
    <row r="246" spans="1:29" ht="15" customHeight="1" x14ac:dyDescent="0.25">
      <c r="A246" s="713"/>
      <c r="B246" s="714" t="s">
        <v>669</v>
      </c>
      <c r="C246" s="676" t="s">
        <v>534</v>
      </c>
      <c r="D246" s="676" t="s">
        <v>355</v>
      </c>
      <c r="E246" s="680">
        <v>44835</v>
      </c>
      <c r="F246" s="676">
        <v>744</v>
      </c>
      <c r="G246" s="676" t="s">
        <v>59</v>
      </c>
      <c r="H246" s="676" t="s">
        <v>3</v>
      </c>
      <c r="I246" s="676" t="s">
        <v>13</v>
      </c>
      <c r="J246" s="676" t="s">
        <v>85</v>
      </c>
      <c r="K246" s="676">
        <v>315</v>
      </c>
      <c r="L246" s="690" t="s">
        <v>54</v>
      </c>
      <c r="M246" s="691">
        <v>0</v>
      </c>
      <c r="N246" s="690">
        <v>5</v>
      </c>
      <c r="O246" s="691">
        <v>0</v>
      </c>
      <c r="P246" s="690">
        <v>335.88160068019153</v>
      </c>
      <c r="Q246" s="738">
        <f t="shared" si="27"/>
        <v>0</v>
      </c>
      <c r="R246" s="677">
        <f t="shared" si="28"/>
        <v>1249479.5545303125</v>
      </c>
      <c r="S246" s="739">
        <f t="shared" si="29"/>
        <v>1249479.5545303125</v>
      </c>
      <c r="T246" s="738">
        <v>55.7</v>
      </c>
      <c r="U246" s="677">
        <f t="shared" si="30"/>
        <v>207204</v>
      </c>
      <c r="V246" s="739">
        <f t="shared" si="31"/>
        <v>1042275.5545303125</v>
      </c>
      <c r="W246" s="740">
        <v>55.7</v>
      </c>
      <c r="X246" s="678">
        <f t="shared" si="32"/>
        <v>207204</v>
      </c>
      <c r="Y246" s="700">
        <f t="shared" si="33"/>
        <v>1042275.5545303125</v>
      </c>
      <c r="Z246" s="740">
        <v>55.7</v>
      </c>
      <c r="AA246" s="678">
        <f t="shared" si="34"/>
        <v>207204</v>
      </c>
      <c r="AB246" s="741">
        <f t="shared" si="35"/>
        <v>1042275.5545303125</v>
      </c>
      <c r="AC246" s="714"/>
    </row>
    <row r="247" spans="1:29" ht="15" customHeight="1" x14ac:dyDescent="0.25">
      <c r="A247" s="713"/>
      <c r="B247" s="714" t="s">
        <v>669</v>
      </c>
      <c r="C247" s="676" t="s">
        <v>534</v>
      </c>
      <c r="D247" s="676" t="s">
        <v>355</v>
      </c>
      <c r="E247" s="680">
        <v>44866</v>
      </c>
      <c r="F247" s="676">
        <v>720</v>
      </c>
      <c r="G247" s="676" t="s">
        <v>59</v>
      </c>
      <c r="H247" s="676" t="s">
        <v>3</v>
      </c>
      <c r="I247" s="676" t="s">
        <v>13</v>
      </c>
      <c r="J247" s="676" t="s">
        <v>85</v>
      </c>
      <c r="K247" s="676">
        <v>315</v>
      </c>
      <c r="L247" s="690" t="s">
        <v>54</v>
      </c>
      <c r="M247" s="691">
        <v>0</v>
      </c>
      <c r="N247" s="690">
        <v>5</v>
      </c>
      <c r="O247" s="691">
        <v>0</v>
      </c>
      <c r="P247" s="690">
        <v>335.88160068019153</v>
      </c>
      <c r="Q247" s="738">
        <f t="shared" si="27"/>
        <v>0</v>
      </c>
      <c r="R247" s="677">
        <f t="shared" si="28"/>
        <v>1209173.7624486894</v>
      </c>
      <c r="S247" s="739">
        <f t="shared" si="29"/>
        <v>1209173.7624486894</v>
      </c>
      <c r="T247" s="738">
        <v>55.7</v>
      </c>
      <c r="U247" s="677">
        <f t="shared" si="30"/>
        <v>200520</v>
      </c>
      <c r="V247" s="739">
        <f t="shared" si="31"/>
        <v>1008653.7624486894</v>
      </c>
      <c r="W247" s="740">
        <v>55.7</v>
      </c>
      <c r="X247" s="678">
        <f t="shared" si="32"/>
        <v>200520</v>
      </c>
      <c r="Y247" s="700">
        <f t="shared" si="33"/>
        <v>1008653.7624486894</v>
      </c>
      <c r="Z247" s="740">
        <v>55.7</v>
      </c>
      <c r="AA247" s="678">
        <f t="shared" si="34"/>
        <v>200520</v>
      </c>
      <c r="AB247" s="741">
        <f t="shared" si="35"/>
        <v>1008653.7624486894</v>
      </c>
      <c r="AC247" s="714"/>
    </row>
    <row r="248" spans="1:29" ht="15" customHeight="1" x14ac:dyDescent="0.25">
      <c r="A248" s="713"/>
      <c r="B248" s="729" t="s">
        <v>669</v>
      </c>
      <c r="C248" s="545" t="s">
        <v>534</v>
      </c>
      <c r="D248" s="545" t="s">
        <v>355</v>
      </c>
      <c r="E248" s="681">
        <v>44896</v>
      </c>
      <c r="F248" s="545">
        <v>744</v>
      </c>
      <c r="G248" s="545" t="s">
        <v>59</v>
      </c>
      <c r="H248" s="545" t="s">
        <v>3</v>
      </c>
      <c r="I248" s="545" t="s">
        <v>13</v>
      </c>
      <c r="J248" s="545" t="s">
        <v>85</v>
      </c>
      <c r="K248" s="545">
        <v>315</v>
      </c>
      <c r="L248" s="725" t="s">
        <v>54</v>
      </c>
      <c r="M248" s="695">
        <v>0</v>
      </c>
      <c r="N248" s="725">
        <v>5</v>
      </c>
      <c r="O248" s="695">
        <v>0</v>
      </c>
      <c r="P248" s="725">
        <v>335.88160068019153</v>
      </c>
      <c r="Q248" s="742">
        <f t="shared" si="27"/>
        <v>0</v>
      </c>
      <c r="R248" s="603">
        <f t="shared" si="28"/>
        <v>1249479.5545303125</v>
      </c>
      <c r="S248" s="743">
        <f t="shared" si="29"/>
        <v>1249479.5545303125</v>
      </c>
      <c r="T248" s="742">
        <v>55.7</v>
      </c>
      <c r="U248" s="603">
        <f t="shared" si="30"/>
        <v>207204</v>
      </c>
      <c r="V248" s="743">
        <f t="shared" si="31"/>
        <v>1042275.5545303125</v>
      </c>
      <c r="W248" s="744">
        <v>55.7</v>
      </c>
      <c r="X248" s="604">
        <f t="shared" si="32"/>
        <v>207204</v>
      </c>
      <c r="Y248" s="701">
        <f t="shared" si="33"/>
        <v>1042275.5545303125</v>
      </c>
      <c r="Z248" s="744">
        <v>78.400653594793155</v>
      </c>
      <c r="AA248" s="604">
        <f t="shared" si="34"/>
        <v>291650.43137263053</v>
      </c>
      <c r="AB248" s="745">
        <f t="shared" si="35"/>
        <v>957829.12315768201</v>
      </c>
      <c r="AC248" s="714"/>
    </row>
    <row r="249" spans="1:29" ht="15" customHeight="1" x14ac:dyDescent="0.25">
      <c r="A249" s="713"/>
      <c r="B249" s="730" t="s">
        <v>671</v>
      </c>
      <c r="C249" s="546" t="s">
        <v>40</v>
      </c>
      <c r="D249" s="546" t="s">
        <v>502</v>
      </c>
      <c r="E249" s="682">
        <v>44743</v>
      </c>
      <c r="F249" s="546">
        <v>744</v>
      </c>
      <c r="G249" s="546" t="s">
        <v>59</v>
      </c>
      <c r="H249" s="546" t="s">
        <v>3</v>
      </c>
      <c r="I249" s="546" t="s">
        <v>13</v>
      </c>
      <c r="J249" s="546" t="s">
        <v>85</v>
      </c>
      <c r="K249" s="546">
        <v>305</v>
      </c>
      <c r="L249" s="726" t="s">
        <v>54</v>
      </c>
      <c r="M249" s="696">
        <v>0</v>
      </c>
      <c r="N249" s="726">
        <v>10</v>
      </c>
      <c r="O249" s="696">
        <v>0</v>
      </c>
      <c r="P249" s="726">
        <v>323.50410226725228</v>
      </c>
      <c r="Q249" s="746">
        <f t="shared" si="27"/>
        <v>0</v>
      </c>
      <c r="R249" s="606">
        <f t="shared" si="28"/>
        <v>2406870.5208683568</v>
      </c>
      <c r="S249" s="747">
        <f t="shared" si="29"/>
        <v>2406870.5208683568</v>
      </c>
      <c r="T249" s="746">
        <v>66.319999999999993</v>
      </c>
      <c r="U249" s="606">
        <f t="shared" si="30"/>
        <v>493420.79999999993</v>
      </c>
      <c r="V249" s="747">
        <f t="shared" si="31"/>
        <v>1913449.720868357</v>
      </c>
      <c r="W249" s="748">
        <v>66.319999999999993</v>
      </c>
      <c r="X249" s="607">
        <f t="shared" si="32"/>
        <v>493420.79999999993</v>
      </c>
      <c r="Y249" s="702">
        <f t="shared" si="33"/>
        <v>1913449.720868357</v>
      </c>
      <c r="Z249" s="748">
        <v>66.319999999999993</v>
      </c>
      <c r="AA249" s="607">
        <f t="shared" si="34"/>
        <v>493420.79999999993</v>
      </c>
      <c r="AB249" s="749">
        <f t="shared" si="35"/>
        <v>1913449.720868357</v>
      </c>
      <c r="AC249" s="714"/>
    </row>
    <row r="250" spans="1:29" ht="15" customHeight="1" x14ac:dyDescent="0.25">
      <c r="A250" s="713"/>
      <c r="B250" s="714" t="s">
        <v>671</v>
      </c>
      <c r="C250" s="676" t="s">
        <v>40</v>
      </c>
      <c r="D250" s="676" t="s">
        <v>502</v>
      </c>
      <c r="E250" s="680">
        <v>44774</v>
      </c>
      <c r="F250" s="676">
        <v>744</v>
      </c>
      <c r="G250" s="676" t="s">
        <v>59</v>
      </c>
      <c r="H250" s="676" t="s">
        <v>3</v>
      </c>
      <c r="I250" s="676" t="s">
        <v>13</v>
      </c>
      <c r="J250" s="676" t="s">
        <v>85</v>
      </c>
      <c r="K250" s="676">
        <v>305</v>
      </c>
      <c r="L250" s="690" t="s">
        <v>54</v>
      </c>
      <c r="M250" s="691">
        <v>0</v>
      </c>
      <c r="N250" s="690">
        <v>10</v>
      </c>
      <c r="O250" s="691">
        <v>0</v>
      </c>
      <c r="P250" s="690">
        <v>323.50410226725228</v>
      </c>
      <c r="Q250" s="738">
        <f t="shared" si="27"/>
        <v>0</v>
      </c>
      <c r="R250" s="677">
        <f t="shared" si="28"/>
        <v>2406870.5208683568</v>
      </c>
      <c r="S250" s="739">
        <f t="shared" si="29"/>
        <v>2406870.5208683568</v>
      </c>
      <c r="T250" s="738">
        <v>76.900000000000006</v>
      </c>
      <c r="U250" s="677">
        <f t="shared" si="30"/>
        <v>572136</v>
      </c>
      <c r="V250" s="739">
        <f t="shared" si="31"/>
        <v>1834734.5208683568</v>
      </c>
      <c r="W250" s="740">
        <v>76.900000000000006</v>
      </c>
      <c r="X250" s="678">
        <f t="shared" si="32"/>
        <v>572136</v>
      </c>
      <c r="Y250" s="700">
        <f t="shared" si="33"/>
        <v>1834734.5208683568</v>
      </c>
      <c r="Z250" s="740">
        <v>76.900000000000006</v>
      </c>
      <c r="AA250" s="678">
        <f t="shared" si="34"/>
        <v>572136</v>
      </c>
      <c r="AB250" s="741">
        <f t="shared" si="35"/>
        <v>1834734.5208683568</v>
      </c>
      <c r="AC250" s="714"/>
    </row>
    <row r="251" spans="1:29" ht="15" customHeight="1" x14ac:dyDescent="0.25">
      <c r="A251" s="713"/>
      <c r="B251" s="714" t="s">
        <v>671</v>
      </c>
      <c r="C251" s="676" t="s">
        <v>40</v>
      </c>
      <c r="D251" s="676" t="s">
        <v>502</v>
      </c>
      <c r="E251" s="680">
        <v>44805</v>
      </c>
      <c r="F251" s="676">
        <v>720</v>
      </c>
      <c r="G251" s="676" t="s">
        <v>59</v>
      </c>
      <c r="H251" s="676" t="s">
        <v>3</v>
      </c>
      <c r="I251" s="676" t="s">
        <v>13</v>
      </c>
      <c r="J251" s="676" t="s">
        <v>85</v>
      </c>
      <c r="K251" s="676">
        <v>305</v>
      </c>
      <c r="L251" s="690" t="s">
        <v>54</v>
      </c>
      <c r="M251" s="691">
        <v>0</v>
      </c>
      <c r="N251" s="690">
        <v>10</v>
      </c>
      <c r="O251" s="691">
        <v>0</v>
      </c>
      <c r="P251" s="690">
        <v>323.50410226725228</v>
      </c>
      <c r="Q251" s="738">
        <f t="shared" si="27"/>
        <v>0</v>
      </c>
      <c r="R251" s="677">
        <f t="shared" si="28"/>
        <v>2329229.5363242165</v>
      </c>
      <c r="S251" s="739">
        <f t="shared" si="29"/>
        <v>2329229.5363242165</v>
      </c>
      <c r="T251" s="738">
        <v>56.08</v>
      </c>
      <c r="U251" s="677">
        <f t="shared" si="30"/>
        <v>403776</v>
      </c>
      <c r="V251" s="739">
        <f t="shared" si="31"/>
        <v>1925453.5363242165</v>
      </c>
      <c r="W251" s="740">
        <v>56.08</v>
      </c>
      <c r="X251" s="678">
        <f t="shared" si="32"/>
        <v>403776</v>
      </c>
      <c r="Y251" s="700">
        <f t="shared" si="33"/>
        <v>1925453.5363242165</v>
      </c>
      <c r="Z251" s="740">
        <v>56.08</v>
      </c>
      <c r="AA251" s="678">
        <f t="shared" si="34"/>
        <v>403776</v>
      </c>
      <c r="AB251" s="741">
        <f t="shared" si="35"/>
        <v>1925453.5363242165</v>
      </c>
      <c r="AC251" s="714"/>
    </row>
    <row r="252" spans="1:29" ht="15" customHeight="1" x14ac:dyDescent="0.25">
      <c r="A252" s="713"/>
      <c r="B252" s="714" t="s">
        <v>671</v>
      </c>
      <c r="C252" s="676" t="s">
        <v>40</v>
      </c>
      <c r="D252" s="676" t="s">
        <v>502</v>
      </c>
      <c r="E252" s="680">
        <v>44835</v>
      </c>
      <c r="F252" s="676">
        <v>744</v>
      </c>
      <c r="G252" s="676" t="s">
        <v>59</v>
      </c>
      <c r="H252" s="676" t="s">
        <v>3</v>
      </c>
      <c r="I252" s="676" t="s">
        <v>13</v>
      </c>
      <c r="J252" s="676" t="s">
        <v>85</v>
      </c>
      <c r="K252" s="676">
        <v>305</v>
      </c>
      <c r="L252" s="690" t="s">
        <v>54</v>
      </c>
      <c r="M252" s="691">
        <v>0</v>
      </c>
      <c r="N252" s="690">
        <v>10</v>
      </c>
      <c r="O252" s="691">
        <v>0</v>
      </c>
      <c r="P252" s="690">
        <v>323.50410226725228</v>
      </c>
      <c r="Q252" s="738">
        <f t="shared" si="27"/>
        <v>0</v>
      </c>
      <c r="R252" s="677">
        <f t="shared" si="28"/>
        <v>2406870.5208683568</v>
      </c>
      <c r="S252" s="739">
        <f t="shared" si="29"/>
        <v>2406870.5208683568</v>
      </c>
      <c r="T252" s="738">
        <v>55.7</v>
      </c>
      <c r="U252" s="677">
        <f t="shared" si="30"/>
        <v>414408</v>
      </c>
      <c r="V252" s="739">
        <f t="shared" si="31"/>
        <v>1992462.5208683568</v>
      </c>
      <c r="W252" s="740">
        <v>55.7</v>
      </c>
      <c r="X252" s="678">
        <f t="shared" si="32"/>
        <v>414408</v>
      </c>
      <c r="Y252" s="700">
        <f t="shared" si="33"/>
        <v>1992462.5208683568</v>
      </c>
      <c r="Z252" s="740">
        <v>55.7</v>
      </c>
      <c r="AA252" s="678">
        <f t="shared" si="34"/>
        <v>414408</v>
      </c>
      <c r="AB252" s="741">
        <f t="shared" si="35"/>
        <v>1992462.5208683568</v>
      </c>
      <c r="AC252" s="714"/>
    </row>
    <row r="253" spans="1:29" ht="15" customHeight="1" x14ac:dyDescent="0.25">
      <c r="A253" s="713"/>
      <c r="B253" s="714" t="s">
        <v>671</v>
      </c>
      <c r="C253" s="676" t="s">
        <v>40</v>
      </c>
      <c r="D253" s="676" t="s">
        <v>502</v>
      </c>
      <c r="E253" s="680">
        <v>44866</v>
      </c>
      <c r="F253" s="676">
        <v>720</v>
      </c>
      <c r="G253" s="676" t="s">
        <v>59</v>
      </c>
      <c r="H253" s="676" t="s">
        <v>3</v>
      </c>
      <c r="I253" s="676" t="s">
        <v>13</v>
      </c>
      <c r="J253" s="676" t="s">
        <v>85</v>
      </c>
      <c r="K253" s="676">
        <v>305</v>
      </c>
      <c r="L253" s="690" t="s">
        <v>54</v>
      </c>
      <c r="M253" s="691">
        <v>0</v>
      </c>
      <c r="N253" s="690">
        <v>10</v>
      </c>
      <c r="O253" s="691">
        <v>0</v>
      </c>
      <c r="P253" s="690">
        <v>323.50410226725228</v>
      </c>
      <c r="Q253" s="738">
        <f t="shared" si="27"/>
        <v>0</v>
      </c>
      <c r="R253" s="677">
        <f t="shared" si="28"/>
        <v>2329229.5363242165</v>
      </c>
      <c r="S253" s="739">
        <f t="shared" si="29"/>
        <v>2329229.5363242165</v>
      </c>
      <c r="T253" s="738">
        <v>55.7</v>
      </c>
      <c r="U253" s="677">
        <f t="shared" si="30"/>
        <v>401040</v>
      </c>
      <c r="V253" s="739">
        <f t="shared" si="31"/>
        <v>1928189.5363242165</v>
      </c>
      <c r="W253" s="740">
        <v>55.7</v>
      </c>
      <c r="X253" s="678">
        <f t="shared" si="32"/>
        <v>401040</v>
      </c>
      <c r="Y253" s="700">
        <f t="shared" si="33"/>
        <v>1928189.5363242165</v>
      </c>
      <c r="Z253" s="740">
        <v>55.7</v>
      </c>
      <c r="AA253" s="678">
        <f t="shared" si="34"/>
        <v>401040</v>
      </c>
      <c r="AB253" s="741">
        <f t="shared" si="35"/>
        <v>1928189.5363242165</v>
      </c>
      <c r="AC253" s="714"/>
    </row>
    <row r="254" spans="1:29" ht="15" customHeight="1" x14ac:dyDescent="0.25">
      <c r="A254" s="713"/>
      <c r="B254" s="729" t="s">
        <v>671</v>
      </c>
      <c r="C254" s="545" t="s">
        <v>40</v>
      </c>
      <c r="D254" s="545" t="s">
        <v>502</v>
      </c>
      <c r="E254" s="681">
        <v>44896</v>
      </c>
      <c r="F254" s="545">
        <v>744</v>
      </c>
      <c r="G254" s="545" t="s">
        <v>59</v>
      </c>
      <c r="H254" s="545" t="s">
        <v>3</v>
      </c>
      <c r="I254" s="545" t="s">
        <v>13</v>
      </c>
      <c r="J254" s="545" t="s">
        <v>85</v>
      </c>
      <c r="K254" s="545">
        <v>305</v>
      </c>
      <c r="L254" s="725" t="s">
        <v>54</v>
      </c>
      <c r="M254" s="695">
        <v>0</v>
      </c>
      <c r="N254" s="725">
        <v>10</v>
      </c>
      <c r="O254" s="695">
        <v>0</v>
      </c>
      <c r="P254" s="725">
        <v>323.50410226725228</v>
      </c>
      <c r="Q254" s="742">
        <f t="shared" si="27"/>
        <v>0</v>
      </c>
      <c r="R254" s="603">
        <f t="shared" si="28"/>
        <v>2406870.5208683568</v>
      </c>
      <c r="S254" s="743">
        <f t="shared" si="29"/>
        <v>2406870.5208683568</v>
      </c>
      <c r="T254" s="742">
        <v>55.7</v>
      </c>
      <c r="U254" s="603">
        <f t="shared" si="30"/>
        <v>414408</v>
      </c>
      <c r="V254" s="743">
        <f t="shared" si="31"/>
        <v>1992462.5208683568</v>
      </c>
      <c r="W254" s="744">
        <v>55.7</v>
      </c>
      <c r="X254" s="604">
        <f t="shared" si="32"/>
        <v>414408</v>
      </c>
      <c r="Y254" s="701">
        <f t="shared" si="33"/>
        <v>1992462.5208683568</v>
      </c>
      <c r="Z254" s="744">
        <v>78.400653594793155</v>
      </c>
      <c r="AA254" s="604">
        <f t="shared" si="34"/>
        <v>583300.86274526105</v>
      </c>
      <c r="AB254" s="745">
        <f t="shared" si="35"/>
        <v>1823569.6581230958</v>
      </c>
      <c r="AC254" s="714"/>
    </row>
    <row r="255" spans="1:29" ht="15" customHeight="1" x14ac:dyDescent="0.25">
      <c r="A255" s="713"/>
      <c r="B255" s="730" t="s">
        <v>673</v>
      </c>
      <c r="C255" s="546" t="s">
        <v>40</v>
      </c>
      <c r="D255" s="546" t="s">
        <v>467</v>
      </c>
      <c r="E255" s="682">
        <v>44562</v>
      </c>
      <c r="F255" s="546">
        <v>744</v>
      </c>
      <c r="G255" s="546" t="s">
        <v>59</v>
      </c>
      <c r="H255" s="546" t="s">
        <v>3</v>
      </c>
      <c r="I255" s="546" t="s">
        <v>44</v>
      </c>
      <c r="J255" s="546" t="s">
        <v>85</v>
      </c>
      <c r="K255" s="546">
        <v>425</v>
      </c>
      <c r="L255" s="726" t="s">
        <v>54</v>
      </c>
      <c r="M255" s="696">
        <v>0</v>
      </c>
      <c r="N255" s="726">
        <v>2</v>
      </c>
      <c r="O255" s="696">
        <v>0</v>
      </c>
      <c r="P255" s="726">
        <v>450.78440479863025</v>
      </c>
      <c r="Q255" s="746">
        <f t="shared" si="27"/>
        <v>0</v>
      </c>
      <c r="R255" s="606">
        <f t="shared" si="28"/>
        <v>670767.19434036186</v>
      </c>
      <c r="S255" s="747">
        <f t="shared" si="29"/>
        <v>670767.19434036186</v>
      </c>
      <c r="T255" s="746">
        <v>62.91</v>
      </c>
      <c r="U255" s="606">
        <f t="shared" si="30"/>
        <v>93610.08</v>
      </c>
      <c r="V255" s="747">
        <f t="shared" si="31"/>
        <v>577157.11434036191</v>
      </c>
      <c r="W255" s="748">
        <v>62.91</v>
      </c>
      <c r="X255" s="607">
        <f t="shared" si="32"/>
        <v>93610.08</v>
      </c>
      <c r="Y255" s="702">
        <f t="shared" si="33"/>
        <v>577157.11434036191</v>
      </c>
      <c r="Z255" s="748">
        <v>62.91</v>
      </c>
      <c r="AA255" s="607">
        <f t="shared" si="34"/>
        <v>93610.08</v>
      </c>
      <c r="AB255" s="749">
        <f t="shared" si="35"/>
        <v>577157.11434036191</v>
      </c>
      <c r="AC255" s="714"/>
    </row>
    <row r="256" spans="1:29" ht="15" customHeight="1" x14ac:dyDescent="0.25">
      <c r="A256" s="713"/>
      <c r="B256" s="714" t="s">
        <v>673</v>
      </c>
      <c r="C256" s="676" t="s">
        <v>40</v>
      </c>
      <c r="D256" s="676" t="s">
        <v>467</v>
      </c>
      <c r="E256" s="680">
        <v>44593</v>
      </c>
      <c r="F256" s="676">
        <v>672</v>
      </c>
      <c r="G256" s="676" t="s">
        <v>59</v>
      </c>
      <c r="H256" s="676" t="s">
        <v>3</v>
      </c>
      <c r="I256" s="676" t="s">
        <v>44</v>
      </c>
      <c r="J256" s="676" t="s">
        <v>85</v>
      </c>
      <c r="K256" s="676">
        <v>425</v>
      </c>
      <c r="L256" s="690" t="s">
        <v>54</v>
      </c>
      <c r="M256" s="691">
        <v>0</v>
      </c>
      <c r="N256" s="690">
        <v>2</v>
      </c>
      <c r="O256" s="691">
        <v>0</v>
      </c>
      <c r="P256" s="690">
        <v>450.78440479863025</v>
      </c>
      <c r="Q256" s="738">
        <f t="shared" si="27"/>
        <v>0</v>
      </c>
      <c r="R256" s="677">
        <f t="shared" si="28"/>
        <v>605854.24004935904</v>
      </c>
      <c r="S256" s="739">
        <f t="shared" si="29"/>
        <v>605854.24004935904</v>
      </c>
      <c r="T256" s="738">
        <v>55.7</v>
      </c>
      <c r="U256" s="677">
        <f t="shared" si="30"/>
        <v>74860.800000000003</v>
      </c>
      <c r="V256" s="739">
        <f t="shared" si="31"/>
        <v>530993.44004935899</v>
      </c>
      <c r="W256" s="740">
        <v>55.7</v>
      </c>
      <c r="X256" s="678">
        <f t="shared" si="32"/>
        <v>74860.800000000003</v>
      </c>
      <c r="Y256" s="700">
        <f t="shared" si="33"/>
        <v>530993.44004935899</v>
      </c>
      <c r="Z256" s="740">
        <v>55.7</v>
      </c>
      <c r="AA256" s="678">
        <f t="shared" si="34"/>
        <v>74860.800000000003</v>
      </c>
      <c r="AB256" s="741">
        <f t="shared" si="35"/>
        <v>530993.44004935899</v>
      </c>
      <c r="AC256" s="714"/>
    </row>
    <row r="257" spans="1:29" ht="15" customHeight="1" x14ac:dyDescent="0.25">
      <c r="A257" s="713"/>
      <c r="B257" s="729" t="s">
        <v>673</v>
      </c>
      <c r="C257" s="545" t="s">
        <v>40</v>
      </c>
      <c r="D257" s="545" t="s">
        <v>467</v>
      </c>
      <c r="E257" s="681">
        <v>44621</v>
      </c>
      <c r="F257" s="545">
        <v>744</v>
      </c>
      <c r="G257" s="545" t="s">
        <v>59</v>
      </c>
      <c r="H257" s="545" t="s">
        <v>3</v>
      </c>
      <c r="I257" s="545" t="s">
        <v>44</v>
      </c>
      <c r="J257" s="545" t="s">
        <v>85</v>
      </c>
      <c r="K257" s="545">
        <v>425</v>
      </c>
      <c r="L257" s="725" t="s">
        <v>54</v>
      </c>
      <c r="M257" s="695">
        <v>0</v>
      </c>
      <c r="N257" s="725">
        <v>2</v>
      </c>
      <c r="O257" s="695">
        <v>0</v>
      </c>
      <c r="P257" s="725">
        <v>450.78440479863025</v>
      </c>
      <c r="Q257" s="742">
        <f t="shared" si="27"/>
        <v>0</v>
      </c>
      <c r="R257" s="603">
        <f t="shared" si="28"/>
        <v>670767.19434036186</v>
      </c>
      <c r="S257" s="743">
        <f t="shared" si="29"/>
        <v>670767.19434036186</v>
      </c>
      <c r="T257" s="742">
        <v>55.7</v>
      </c>
      <c r="U257" s="603">
        <f t="shared" si="30"/>
        <v>82881.600000000006</v>
      </c>
      <c r="V257" s="743">
        <f t="shared" si="31"/>
        <v>587885.59434036189</v>
      </c>
      <c r="W257" s="744">
        <v>55.7</v>
      </c>
      <c r="X257" s="604">
        <f t="shared" si="32"/>
        <v>82881.600000000006</v>
      </c>
      <c r="Y257" s="701">
        <f t="shared" si="33"/>
        <v>587885.59434036189</v>
      </c>
      <c r="Z257" s="744">
        <v>55.7</v>
      </c>
      <c r="AA257" s="604">
        <f t="shared" si="34"/>
        <v>82881.600000000006</v>
      </c>
      <c r="AB257" s="745">
        <f t="shared" si="35"/>
        <v>587885.59434036189</v>
      </c>
      <c r="AC257" s="714"/>
    </row>
    <row r="258" spans="1:29" ht="15" customHeight="1" x14ac:dyDescent="0.25">
      <c r="A258" s="713"/>
      <c r="B258" s="730" t="s">
        <v>674</v>
      </c>
      <c r="C258" s="546" t="s">
        <v>40</v>
      </c>
      <c r="D258" s="546" t="s">
        <v>464</v>
      </c>
      <c r="E258" s="682">
        <v>44562</v>
      </c>
      <c r="F258" s="546">
        <v>744</v>
      </c>
      <c r="G258" s="546" t="s">
        <v>59</v>
      </c>
      <c r="H258" s="546" t="s">
        <v>3</v>
      </c>
      <c r="I258" s="546" t="s">
        <v>44</v>
      </c>
      <c r="J258" s="546" t="s">
        <v>85</v>
      </c>
      <c r="K258" s="546">
        <v>430</v>
      </c>
      <c r="L258" s="726" t="s">
        <v>54</v>
      </c>
      <c r="M258" s="696">
        <v>0</v>
      </c>
      <c r="N258" s="726">
        <v>1</v>
      </c>
      <c r="O258" s="696">
        <v>0</v>
      </c>
      <c r="P258" s="726">
        <v>456.08775073743766</v>
      </c>
      <c r="Q258" s="746">
        <f t="shared" si="27"/>
        <v>0</v>
      </c>
      <c r="R258" s="606">
        <f t="shared" si="28"/>
        <v>339329.28654865362</v>
      </c>
      <c r="S258" s="747">
        <f t="shared" si="29"/>
        <v>339329.28654865362</v>
      </c>
      <c r="T258" s="746">
        <v>62.91</v>
      </c>
      <c r="U258" s="606">
        <f t="shared" si="30"/>
        <v>46805.04</v>
      </c>
      <c r="V258" s="747">
        <f t="shared" si="31"/>
        <v>292524.24654865364</v>
      </c>
      <c r="W258" s="748">
        <v>62.91</v>
      </c>
      <c r="X258" s="607">
        <f t="shared" si="32"/>
        <v>46805.04</v>
      </c>
      <c r="Y258" s="702">
        <f t="shared" si="33"/>
        <v>292524.24654865364</v>
      </c>
      <c r="Z258" s="748">
        <v>62.91</v>
      </c>
      <c r="AA258" s="607">
        <f t="shared" si="34"/>
        <v>46805.04</v>
      </c>
      <c r="AB258" s="749">
        <f t="shared" si="35"/>
        <v>292524.24654865364</v>
      </c>
      <c r="AC258" s="714"/>
    </row>
    <row r="259" spans="1:29" ht="15" customHeight="1" x14ac:dyDescent="0.25">
      <c r="A259" s="713"/>
      <c r="B259" s="714" t="s">
        <v>674</v>
      </c>
      <c r="C259" s="676" t="s">
        <v>40</v>
      </c>
      <c r="D259" s="676" t="s">
        <v>464</v>
      </c>
      <c r="E259" s="680">
        <v>44593</v>
      </c>
      <c r="F259" s="676">
        <v>672</v>
      </c>
      <c r="G259" s="676" t="s">
        <v>59</v>
      </c>
      <c r="H259" s="676" t="s">
        <v>3</v>
      </c>
      <c r="I259" s="676" t="s">
        <v>44</v>
      </c>
      <c r="J259" s="676" t="s">
        <v>85</v>
      </c>
      <c r="K259" s="676">
        <v>430</v>
      </c>
      <c r="L259" s="690" t="s">
        <v>54</v>
      </c>
      <c r="M259" s="691">
        <v>0</v>
      </c>
      <c r="N259" s="690">
        <v>1</v>
      </c>
      <c r="O259" s="691">
        <v>0</v>
      </c>
      <c r="P259" s="690">
        <v>456.08775073743766</v>
      </c>
      <c r="Q259" s="738">
        <f t="shared" ref="Q259:Q322" si="36">(O259*(M259*F259))</f>
        <v>0</v>
      </c>
      <c r="R259" s="677">
        <f t="shared" ref="R259:R322" si="37">(P259*(N259*F259))</f>
        <v>306490.96849555813</v>
      </c>
      <c r="S259" s="739">
        <f t="shared" ref="S259:S322" si="38">R259-Q259</f>
        <v>306490.96849555813</v>
      </c>
      <c r="T259" s="738">
        <v>55.7</v>
      </c>
      <c r="U259" s="677">
        <f t="shared" ref="U259:U322" si="39">(((F259*N259)*T259)-(T259*(M259*F259)))</f>
        <v>37430.400000000001</v>
      </c>
      <c r="V259" s="739">
        <f t="shared" ref="V259:V322" si="40">S259-U259</f>
        <v>269060.56849555811</v>
      </c>
      <c r="W259" s="740">
        <v>55.7</v>
      </c>
      <c r="X259" s="678">
        <f t="shared" ref="X259:X322" si="41">(((F259*N259)*W259)-(W259*(M259*F259)))</f>
        <v>37430.400000000001</v>
      </c>
      <c r="Y259" s="700">
        <f t="shared" ref="Y259:Y322" si="42">S259-X259</f>
        <v>269060.56849555811</v>
      </c>
      <c r="Z259" s="740">
        <v>55.7</v>
      </c>
      <c r="AA259" s="678">
        <f t="shared" ref="AA259:AA322" si="43">(((F259*N259)*Z259)-(Z259*(M259*F259)))</f>
        <v>37430.400000000001</v>
      </c>
      <c r="AB259" s="741">
        <f t="shared" ref="AB259:AB322" si="44">S259-AA259</f>
        <v>269060.56849555811</v>
      </c>
      <c r="AC259" s="714"/>
    </row>
    <row r="260" spans="1:29" ht="15" customHeight="1" x14ac:dyDescent="0.25">
      <c r="A260" s="713"/>
      <c r="B260" s="729" t="s">
        <v>674</v>
      </c>
      <c r="C260" s="545" t="s">
        <v>40</v>
      </c>
      <c r="D260" s="545" t="s">
        <v>464</v>
      </c>
      <c r="E260" s="681">
        <v>44621</v>
      </c>
      <c r="F260" s="545">
        <v>744</v>
      </c>
      <c r="G260" s="545" t="s">
        <v>59</v>
      </c>
      <c r="H260" s="545" t="s">
        <v>3</v>
      </c>
      <c r="I260" s="545" t="s">
        <v>44</v>
      </c>
      <c r="J260" s="545" t="s">
        <v>85</v>
      </c>
      <c r="K260" s="545">
        <v>430</v>
      </c>
      <c r="L260" s="725" t="s">
        <v>54</v>
      </c>
      <c r="M260" s="695">
        <v>0</v>
      </c>
      <c r="N260" s="725">
        <v>1</v>
      </c>
      <c r="O260" s="695">
        <v>0</v>
      </c>
      <c r="P260" s="725">
        <v>456.08775073743766</v>
      </c>
      <c r="Q260" s="742">
        <f t="shared" si="36"/>
        <v>0</v>
      </c>
      <c r="R260" s="603">
        <f t="shared" si="37"/>
        <v>339329.28654865362</v>
      </c>
      <c r="S260" s="743">
        <f t="shared" si="38"/>
        <v>339329.28654865362</v>
      </c>
      <c r="T260" s="742">
        <v>55.7</v>
      </c>
      <c r="U260" s="603">
        <f t="shared" si="39"/>
        <v>41440.800000000003</v>
      </c>
      <c r="V260" s="743">
        <f t="shared" si="40"/>
        <v>297888.48654865363</v>
      </c>
      <c r="W260" s="744">
        <v>55.7</v>
      </c>
      <c r="X260" s="604">
        <f t="shared" si="41"/>
        <v>41440.800000000003</v>
      </c>
      <c r="Y260" s="701">
        <f t="shared" si="42"/>
        <v>297888.48654865363</v>
      </c>
      <c r="Z260" s="744">
        <v>55.7</v>
      </c>
      <c r="AA260" s="604">
        <f t="shared" si="43"/>
        <v>41440.800000000003</v>
      </c>
      <c r="AB260" s="745">
        <f t="shared" si="44"/>
        <v>297888.48654865363</v>
      </c>
      <c r="AC260" s="714"/>
    </row>
    <row r="261" spans="1:29" ht="15" customHeight="1" x14ac:dyDescent="0.25">
      <c r="A261" s="713"/>
      <c r="B261" s="730" t="s">
        <v>675</v>
      </c>
      <c r="C261" s="546" t="s">
        <v>40</v>
      </c>
      <c r="D261" s="546" t="s">
        <v>387</v>
      </c>
      <c r="E261" s="682">
        <v>44562</v>
      </c>
      <c r="F261" s="546">
        <v>744</v>
      </c>
      <c r="G261" s="546" t="s">
        <v>58</v>
      </c>
      <c r="H261" s="546" t="s">
        <v>3</v>
      </c>
      <c r="I261" s="546" t="s">
        <v>44</v>
      </c>
      <c r="J261" s="546" t="s">
        <v>84</v>
      </c>
      <c r="K261" s="546">
        <v>345.1</v>
      </c>
      <c r="L261" s="726" t="s">
        <v>54</v>
      </c>
      <c r="M261" s="696">
        <v>2</v>
      </c>
      <c r="N261" s="726">
        <v>0</v>
      </c>
      <c r="O261" s="696">
        <v>366.03693669648777</v>
      </c>
      <c r="P261" s="726">
        <v>0</v>
      </c>
      <c r="Q261" s="746">
        <f t="shared" si="36"/>
        <v>544662.96180437377</v>
      </c>
      <c r="R261" s="606">
        <f t="shared" si="37"/>
        <v>0</v>
      </c>
      <c r="S261" s="747">
        <f t="shared" si="38"/>
        <v>-544662.96180437377</v>
      </c>
      <c r="T261" s="746">
        <v>62.91</v>
      </c>
      <c r="U261" s="606">
        <f t="shared" si="39"/>
        <v>-93610.08</v>
      </c>
      <c r="V261" s="747">
        <f t="shared" si="40"/>
        <v>-451052.88180437376</v>
      </c>
      <c r="W261" s="748">
        <v>62.91</v>
      </c>
      <c r="X261" s="607">
        <f t="shared" si="41"/>
        <v>-93610.08</v>
      </c>
      <c r="Y261" s="702">
        <f t="shared" si="42"/>
        <v>-451052.88180437376</v>
      </c>
      <c r="Z261" s="748">
        <v>62.91</v>
      </c>
      <c r="AA261" s="607">
        <f t="shared" si="43"/>
        <v>-93610.08</v>
      </c>
      <c r="AB261" s="749">
        <f t="shared" si="44"/>
        <v>-451052.88180437376</v>
      </c>
      <c r="AC261" s="714"/>
    </row>
    <row r="262" spans="1:29" ht="15" customHeight="1" x14ac:dyDescent="0.25">
      <c r="A262" s="713"/>
      <c r="B262" s="714" t="s">
        <v>675</v>
      </c>
      <c r="C262" s="676" t="s">
        <v>40</v>
      </c>
      <c r="D262" s="676" t="s">
        <v>387</v>
      </c>
      <c r="E262" s="680">
        <v>44593</v>
      </c>
      <c r="F262" s="676">
        <v>672</v>
      </c>
      <c r="G262" s="676" t="s">
        <v>58</v>
      </c>
      <c r="H262" s="676" t="s">
        <v>3</v>
      </c>
      <c r="I262" s="676" t="s">
        <v>44</v>
      </c>
      <c r="J262" s="676" t="s">
        <v>84</v>
      </c>
      <c r="K262" s="676">
        <v>345.1</v>
      </c>
      <c r="L262" s="690" t="s">
        <v>54</v>
      </c>
      <c r="M262" s="691">
        <v>2</v>
      </c>
      <c r="N262" s="690">
        <v>0</v>
      </c>
      <c r="O262" s="691">
        <v>366.03693669648777</v>
      </c>
      <c r="P262" s="690">
        <v>0</v>
      </c>
      <c r="Q262" s="738">
        <f t="shared" si="36"/>
        <v>491953.64292007958</v>
      </c>
      <c r="R262" s="677">
        <f t="shared" si="37"/>
        <v>0</v>
      </c>
      <c r="S262" s="739">
        <f t="shared" si="38"/>
        <v>-491953.64292007958</v>
      </c>
      <c r="T262" s="738">
        <v>55.7</v>
      </c>
      <c r="U262" s="677">
        <f t="shared" si="39"/>
        <v>-74860.800000000003</v>
      </c>
      <c r="V262" s="739">
        <f t="shared" si="40"/>
        <v>-417092.84292007959</v>
      </c>
      <c r="W262" s="740">
        <v>55.7</v>
      </c>
      <c r="X262" s="678">
        <f t="shared" si="41"/>
        <v>-74860.800000000003</v>
      </c>
      <c r="Y262" s="700">
        <f t="shared" si="42"/>
        <v>-417092.84292007959</v>
      </c>
      <c r="Z262" s="740">
        <v>55.7</v>
      </c>
      <c r="AA262" s="678">
        <f t="shared" si="43"/>
        <v>-74860.800000000003</v>
      </c>
      <c r="AB262" s="741">
        <f t="shared" si="44"/>
        <v>-417092.84292007959</v>
      </c>
      <c r="AC262" s="714"/>
    </row>
    <row r="263" spans="1:29" ht="15" customHeight="1" x14ac:dyDescent="0.25">
      <c r="A263" s="713"/>
      <c r="B263" s="714" t="s">
        <v>675</v>
      </c>
      <c r="C263" s="676" t="s">
        <v>40</v>
      </c>
      <c r="D263" s="676" t="s">
        <v>387</v>
      </c>
      <c r="E263" s="680">
        <v>44621</v>
      </c>
      <c r="F263" s="676">
        <v>744</v>
      </c>
      <c r="G263" s="676" t="s">
        <v>58</v>
      </c>
      <c r="H263" s="676" t="s">
        <v>3</v>
      </c>
      <c r="I263" s="676" t="s">
        <v>44</v>
      </c>
      <c r="J263" s="676" t="s">
        <v>84</v>
      </c>
      <c r="K263" s="676">
        <v>345.1</v>
      </c>
      <c r="L263" s="690" t="s">
        <v>54</v>
      </c>
      <c r="M263" s="691">
        <v>2</v>
      </c>
      <c r="N263" s="690">
        <v>0</v>
      </c>
      <c r="O263" s="691">
        <v>366.03693669648777</v>
      </c>
      <c r="P263" s="690">
        <v>0</v>
      </c>
      <c r="Q263" s="738">
        <f t="shared" si="36"/>
        <v>544662.96180437377</v>
      </c>
      <c r="R263" s="677">
        <f t="shared" si="37"/>
        <v>0</v>
      </c>
      <c r="S263" s="739">
        <f t="shared" si="38"/>
        <v>-544662.96180437377</v>
      </c>
      <c r="T263" s="738">
        <v>55.7</v>
      </c>
      <c r="U263" s="677">
        <f t="shared" si="39"/>
        <v>-82881.600000000006</v>
      </c>
      <c r="V263" s="739">
        <f t="shared" si="40"/>
        <v>-461781.3618043738</v>
      </c>
      <c r="W263" s="740">
        <v>55.7</v>
      </c>
      <c r="X263" s="678">
        <f t="shared" si="41"/>
        <v>-82881.600000000006</v>
      </c>
      <c r="Y263" s="700">
        <f t="shared" si="42"/>
        <v>-461781.3618043738</v>
      </c>
      <c r="Z263" s="740">
        <v>55.7</v>
      </c>
      <c r="AA263" s="678">
        <f t="shared" si="43"/>
        <v>-82881.600000000006</v>
      </c>
      <c r="AB263" s="741">
        <f t="shared" si="44"/>
        <v>-461781.3618043738</v>
      </c>
      <c r="AC263" s="714"/>
    </row>
    <row r="264" spans="1:29" ht="15" customHeight="1" x14ac:dyDescent="0.25">
      <c r="A264" s="713"/>
      <c r="B264" s="714" t="s">
        <v>675</v>
      </c>
      <c r="C264" s="676" t="s">
        <v>40</v>
      </c>
      <c r="D264" s="676" t="s">
        <v>387</v>
      </c>
      <c r="E264" s="680">
        <v>44652</v>
      </c>
      <c r="F264" s="676">
        <v>720</v>
      </c>
      <c r="G264" s="676" t="s">
        <v>58</v>
      </c>
      <c r="H264" s="676" t="s">
        <v>3</v>
      </c>
      <c r="I264" s="676" t="s">
        <v>44</v>
      </c>
      <c r="J264" s="676" t="s">
        <v>84</v>
      </c>
      <c r="K264" s="676">
        <v>345.1</v>
      </c>
      <c r="L264" s="690" t="s">
        <v>54</v>
      </c>
      <c r="M264" s="691">
        <v>2</v>
      </c>
      <c r="N264" s="690">
        <v>0</v>
      </c>
      <c r="O264" s="691">
        <v>366.03693669648777</v>
      </c>
      <c r="P264" s="690">
        <v>0</v>
      </c>
      <c r="Q264" s="738">
        <f t="shared" si="36"/>
        <v>527093.18884294236</v>
      </c>
      <c r="R264" s="677">
        <f t="shared" si="37"/>
        <v>0</v>
      </c>
      <c r="S264" s="739">
        <f t="shared" si="38"/>
        <v>-527093.18884294236</v>
      </c>
      <c r="T264" s="738">
        <v>55.7</v>
      </c>
      <c r="U264" s="677">
        <f t="shared" si="39"/>
        <v>-80208</v>
      </c>
      <c r="V264" s="739">
        <f t="shared" si="40"/>
        <v>-446885.18884294236</v>
      </c>
      <c r="W264" s="740">
        <v>55.7</v>
      </c>
      <c r="X264" s="678">
        <f t="shared" si="41"/>
        <v>-80208</v>
      </c>
      <c r="Y264" s="700">
        <f t="shared" si="42"/>
        <v>-446885.18884294236</v>
      </c>
      <c r="Z264" s="740">
        <v>55.7</v>
      </c>
      <c r="AA264" s="678">
        <f t="shared" si="43"/>
        <v>-80208</v>
      </c>
      <c r="AB264" s="741">
        <f t="shared" si="44"/>
        <v>-446885.18884294236</v>
      </c>
      <c r="AC264" s="714"/>
    </row>
    <row r="265" spans="1:29" ht="15" customHeight="1" x14ac:dyDescent="0.25">
      <c r="A265" s="713"/>
      <c r="B265" s="714" t="s">
        <v>675</v>
      </c>
      <c r="C265" s="676" t="s">
        <v>40</v>
      </c>
      <c r="D265" s="676" t="s">
        <v>387</v>
      </c>
      <c r="E265" s="680">
        <v>44682</v>
      </c>
      <c r="F265" s="676">
        <v>744</v>
      </c>
      <c r="G265" s="676" t="s">
        <v>58</v>
      </c>
      <c r="H265" s="676" t="s">
        <v>3</v>
      </c>
      <c r="I265" s="676" t="s">
        <v>44</v>
      </c>
      <c r="J265" s="676" t="s">
        <v>84</v>
      </c>
      <c r="K265" s="676">
        <v>345.1</v>
      </c>
      <c r="L265" s="690" t="s">
        <v>54</v>
      </c>
      <c r="M265" s="691">
        <v>2</v>
      </c>
      <c r="N265" s="690">
        <v>0</v>
      </c>
      <c r="O265" s="691">
        <v>366.03693669648777</v>
      </c>
      <c r="P265" s="690">
        <v>0</v>
      </c>
      <c r="Q265" s="738">
        <f t="shared" si="36"/>
        <v>544662.96180437377</v>
      </c>
      <c r="R265" s="677">
        <f t="shared" si="37"/>
        <v>0</v>
      </c>
      <c r="S265" s="739">
        <f t="shared" si="38"/>
        <v>-544662.96180437377</v>
      </c>
      <c r="T265" s="738">
        <v>55.7</v>
      </c>
      <c r="U265" s="677">
        <f t="shared" si="39"/>
        <v>-82881.600000000006</v>
      </c>
      <c r="V265" s="739">
        <f t="shared" si="40"/>
        <v>-461781.3618043738</v>
      </c>
      <c r="W265" s="740">
        <v>55.7</v>
      </c>
      <c r="X265" s="678">
        <f t="shared" si="41"/>
        <v>-82881.600000000006</v>
      </c>
      <c r="Y265" s="700">
        <f t="shared" si="42"/>
        <v>-461781.3618043738</v>
      </c>
      <c r="Z265" s="740">
        <v>55.7</v>
      </c>
      <c r="AA265" s="678">
        <f t="shared" si="43"/>
        <v>-82881.600000000006</v>
      </c>
      <c r="AB265" s="741">
        <f t="shared" si="44"/>
        <v>-461781.3618043738</v>
      </c>
      <c r="AC265" s="714"/>
    </row>
    <row r="266" spans="1:29" ht="15" customHeight="1" x14ac:dyDescent="0.25">
      <c r="A266" s="713"/>
      <c r="B266" s="714" t="s">
        <v>675</v>
      </c>
      <c r="C266" s="676" t="s">
        <v>40</v>
      </c>
      <c r="D266" s="676" t="s">
        <v>387</v>
      </c>
      <c r="E266" s="680">
        <v>44713</v>
      </c>
      <c r="F266" s="676">
        <v>720</v>
      </c>
      <c r="G266" s="676" t="s">
        <v>58</v>
      </c>
      <c r="H266" s="676" t="s">
        <v>3</v>
      </c>
      <c r="I266" s="676" t="s">
        <v>44</v>
      </c>
      <c r="J266" s="676" t="s">
        <v>84</v>
      </c>
      <c r="K266" s="676">
        <v>345.1</v>
      </c>
      <c r="L266" s="690" t="s">
        <v>54</v>
      </c>
      <c r="M266" s="691">
        <v>2</v>
      </c>
      <c r="N266" s="690">
        <v>0</v>
      </c>
      <c r="O266" s="691">
        <v>366.03693669648777</v>
      </c>
      <c r="P266" s="690">
        <v>0</v>
      </c>
      <c r="Q266" s="738">
        <f t="shared" si="36"/>
        <v>527093.18884294236</v>
      </c>
      <c r="R266" s="677">
        <f t="shared" si="37"/>
        <v>0</v>
      </c>
      <c r="S266" s="739">
        <f t="shared" si="38"/>
        <v>-527093.18884294236</v>
      </c>
      <c r="T266" s="738">
        <v>55.71</v>
      </c>
      <c r="U266" s="677">
        <f t="shared" si="39"/>
        <v>-80222.399999999994</v>
      </c>
      <c r="V266" s="739">
        <f t="shared" si="40"/>
        <v>-446870.78884294233</v>
      </c>
      <c r="W266" s="740">
        <v>55.71</v>
      </c>
      <c r="X266" s="678">
        <f t="shared" si="41"/>
        <v>-80222.399999999994</v>
      </c>
      <c r="Y266" s="700">
        <f t="shared" si="42"/>
        <v>-446870.78884294233</v>
      </c>
      <c r="Z266" s="740">
        <v>55.71</v>
      </c>
      <c r="AA266" s="678">
        <f t="shared" si="43"/>
        <v>-80222.399999999994</v>
      </c>
      <c r="AB266" s="741">
        <f t="shared" si="44"/>
        <v>-446870.78884294233</v>
      </c>
      <c r="AC266" s="714"/>
    </row>
    <row r="267" spans="1:29" ht="15" customHeight="1" x14ac:dyDescent="0.25">
      <c r="A267" s="713"/>
      <c r="B267" s="714" t="s">
        <v>675</v>
      </c>
      <c r="C267" s="676" t="s">
        <v>40</v>
      </c>
      <c r="D267" s="676" t="s">
        <v>387</v>
      </c>
      <c r="E267" s="680">
        <v>44743</v>
      </c>
      <c r="F267" s="676">
        <v>744</v>
      </c>
      <c r="G267" s="676" t="s">
        <v>58</v>
      </c>
      <c r="H267" s="676" t="s">
        <v>3</v>
      </c>
      <c r="I267" s="676" t="s">
        <v>44</v>
      </c>
      <c r="J267" s="676" t="s">
        <v>84</v>
      </c>
      <c r="K267" s="676">
        <v>345.1</v>
      </c>
      <c r="L267" s="690" t="s">
        <v>54</v>
      </c>
      <c r="M267" s="691">
        <v>2</v>
      </c>
      <c r="N267" s="690">
        <v>0</v>
      </c>
      <c r="O267" s="691">
        <v>366.03693669648777</v>
      </c>
      <c r="P267" s="690">
        <v>0</v>
      </c>
      <c r="Q267" s="738">
        <f t="shared" si="36"/>
        <v>544662.96180437377</v>
      </c>
      <c r="R267" s="677">
        <f t="shared" si="37"/>
        <v>0</v>
      </c>
      <c r="S267" s="739">
        <f t="shared" si="38"/>
        <v>-544662.96180437377</v>
      </c>
      <c r="T267" s="738">
        <v>66.319999999999993</v>
      </c>
      <c r="U267" s="677">
        <f t="shared" si="39"/>
        <v>-98684.159999999989</v>
      </c>
      <c r="V267" s="739">
        <f t="shared" si="40"/>
        <v>-445978.8018043738</v>
      </c>
      <c r="W267" s="740">
        <v>66.319999999999993</v>
      </c>
      <c r="X267" s="678">
        <f t="shared" si="41"/>
        <v>-98684.159999999989</v>
      </c>
      <c r="Y267" s="700">
        <f t="shared" si="42"/>
        <v>-445978.8018043738</v>
      </c>
      <c r="Z267" s="740">
        <v>66.319999999999993</v>
      </c>
      <c r="AA267" s="678">
        <f t="shared" si="43"/>
        <v>-98684.159999999989</v>
      </c>
      <c r="AB267" s="741">
        <f t="shared" si="44"/>
        <v>-445978.8018043738</v>
      </c>
      <c r="AC267" s="714"/>
    </row>
    <row r="268" spans="1:29" ht="15" customHeight="1" x14ac:dyDescent="0.25">
      <c r="A268" s="713"/>
      <c r="B268" s="714" t="s">
        <v>675</v>
      </c>
      <c r="C268" s="676" t="s">
        <v>40</v>
      </c>
      <c r="D268" s="676" t="s">
        <v>387</v>
      </c>
      <c r="E268" s="680">
        <v>44774</v>
      </c>
      <c r="F268" s="676">
        <v>744</v>
      </c>
      <c r="G268" s="676" t="s">
        <v>58</v>
      </c>
      <c r="H268" s="676" t="s">
        <v>3</v>
      </c>
      <c r="I268" s="676" t="s">
        <v>44</v>
      </c>
      <c r="J268" s="676" t="s">
        <v>84</v>
      </c>
      <c r="K268" s="676">
        <v>345.1</v>
      </c>
      <c r="L268" s="690" t="s">
        <v>54</v>
      </c>
      <c r="M268" s="691">
        <v>2</v>
      </c>
      <c r="N268" s="690">
        <v>0</v>
      </c>
      <c r="O268" s="691">
        <v>366.03693669648777</v>
      </c>
      <c r="P268" s="690">
        <v>0</v>
      </c>
      <c r="Q268" s="738">
        <f t="shared" si="36"/>
        <v>544662.96180437377</v>
      </c>
      <c r="R268" s="677">
        <f t="shared" si="37"/>
        <v>0</v>
      </c>
      <c r="S268" s="739">
        <f t="shared" si="38"/>
        <v>-544662.96180437377</v>
      </c>
      <c r="T268" s="738">
        <v>76.900000000000006</v>
      </c>
      <c r="U268" s="677">
        <f t="shared" si="39"/>
        <v>-114427.20000000001</v>
      </c>
      <c r="V268" s="739">
        <f t="shared" si="40"/>
        <v>-430235.76180437376</v>
      </c>
      <c r="W268" s="740">
        <v>76.900000000000006</v>
      </c>
      <c r="X268" s="678">
        <f t="shared" si="41"/>
        <v>-114427.20000000001</v>
      </c>
      <c r="Y268" s="700">
        <f t="shared" si="42"/>
        <v>-430235.76180437376</v>
      </c>
      <c r="Z268" s="740">
        <v>76.900000000000006</v>
      </c>
      <c r="AA268" s="678">
        <f t="shared" si="43"/>
        <v>-114427.20000000001</v>
      </c>
      <c r="AB268" s="741">
        <f t="shared" si="44"/>
        <v>-430235.76180437376</v>
      </c>
      <c r="AC268" s="714"/>
    </row>
    <row r="269" spans="1:29" ht="15" customHeight="1" x14ac:dyDescent="0.25">
      <c r="A269" s="713"/>
      <c r="B269" s="714" t="s">
        <v>675</v>
      </c>
      <c r="C269" s="676" t="s">
        <v>40</v>
      </c>
      <c r="D269" s="676" t="s">
        <v>387</v>
      </c>
      <c r="E269" s="680">
        <v>44805</v>
      </c>
      <c r="F269" s="676">
        <v>720</v>
      </c>
      <c r="G269" s="676" t="s">
        <v>58</v>
      </c>
      <c r="H269" s="676" t="s">
        <v>3</v>
      </c>
      <c r="I269" s="676" t="s">
        <v>44</v>
      </c>
      <c r="J269" s="676" t="s">
        <v>84</v>
      </c>
      <c r="K269" s="676">
        <v>345.1</v>
      </c>
      <c r="L269" s="690" t="s">
        <v>54</v>
      </c>
      <c r="M269" s="691">
        <v>2</v>
      </c>
      <c r="N269" s="690">
        <v>0</v>
      </c>
      <c r="O269" s="691">
        <v>366.03693669648777</v>
      </c>
      <c r="P269" s="690">
        <v>0</v>
      </c>
      <c r="Q269" s="738">
        <f t="shared" si="36"/>
        <v>527093.18884294236</v>
      </c>
      <c r="R269" s="677">
        <f t="shared" si="37"/>
        <v>0</v>
      </c>
      <c r="S269" s="739">
        <f t="shared" si="38"/>
        <v>-527093.18884294236</v>
      </c>
      <c r="T269" s="738">
        <v>56.08</v>
      </c>
      <c r="U269" s="677">
        <f t="shared" si="39"/>
        <v>-80755.199999999997</v>
      </c>
      <c r="V269" s="739">
        <f t="shared" si="40"/>
        <v>-446337.98884294234</v>
      </c>
      <c r="W269" s="740">
        <v>56.08</v>
      </c>
      <c r="X269" s="678">
        <f t="shared" si="41"/>
        <v>-80755.199999999997</v>
      </c>
      <c r="Y269" s="700">
        <f t="shared" si="42"/>
        <v>-446337.98884294234</v>
      </c>
      <c r="Z269" s="740">
        <v>56.08</v>
      </c>
      <c r="AA269" s="678">
        <f t="shared" si="43"/>
        <v>-80755.199999999997</v>
      </c>
      <c r="AB269" s="741">
        <f t="shared" si="44"/>
        <v>-446337.98884294234</v>
      </c>
      <c r="AC269" s="714"/>
    </row>
    <row r="270" spans="1:29" ht="15" customHeight="1" x14ac:dyDescent="0.25">
      <c r="A270" s="713"/>
      <c r="B270" s="714" t="s">
        <v>675</v>
      </c>
      <c r="C270" s="676" t="s">
        <v>40</v>
      </c>
      <c r="D270" s="676" t="s">
        <v>387</v>
      </c>
      <c r="E270" s="680">
        <v>44835</v>
      </c>
      <c r="F270" s="676">
        <v>744</v>
      </c>
      <c r="G270" s="676" t="s">
        <v>58</v>
      </c>
      <c r="H270" s="676" t="s">
        <v>3</v>
      </c>
      <c r="I270" s="676" t="s">
        <v>44</v>
      </c>
      <c r="J270" s="676" t="s">
        <v>84</v>
      </c>
      <c r="K270" s="676">
        <v>345.1</v>
      </c>
      <c r="L270" s="690" t="s">
        <v>54</v>
      </c>
      <c r="M270" s="691">
        <v>2</v>
      </c>
      <c r="N270" s="690">
        <v>0</v>
      </c>
      <c r="O270" s="691">
        <v>366.03693669648777</v>
      </c>
      <c r="P270" s="690">
        <v>0</v>
      </c>
      <c r="Q270" s="738">
        <f t="shared" si="36"/>
        <v>544662.96180437377</v>
      </c>
      <c r="R270" s="677">
        <f t="shared" si="37"/>
        <v>0</v>
      </c>
      <c r="S270" s="739">
        <f t="shared" si="38"/>
        <v>-544662.96180437377</v>
      </c>
      <c r="T270" s="738">
        <v>55.7</v>
      </c>
      <c r="U270" s="677">
        <f t="shared" si="39"/>
        <v>-82881.600000000006</v>
      </c>
      <c r="V270" s="739">
        <f t="shared" si="40"/>
        <v>-461781.3618043738</v>
      </c>
      <c r="W270" s="740">
        <v>55.7</v>
      </c>
      <c r="X270" s="678">
        <f t="shared" si="41"/>
        <v>-82881.600000000006</v>
      </c>
      <c r="Y270" s="700">
        <f t="shared" si="42"/>
        <v>-461781.3618043738</v>
      </c>
      <c r="Z270" s="740">
        <v>55.7</v>
      </c>
      <c r="AA270" s="678">
        <f t="shared" si="43"/>
        <v>-82881.600000000006</v>
      </c>
      <c r="AB270" s="741">
        <f t="shared" si="44"/>
        <v>-461781.3618043738</v>
      </c>
      <c r="AC270" s="714"/>
    </row>
    <row r="271" spans="1:29" ht="15" customHeight="1" x14ac:dyDescent="0.25">
      <c r="A271" s="713"/>
      <c r="B271" s="714" t="s">
        <v>675</v>
      </c>
      <c r="C271" s="676" t="s">
        <v>40</v>
      </c>
      <c r="D271" s="676" t="s">
        <v>387</v>
      </c>
      <c r="E271" s="680">
        <v>44866</v>
      </c>
      <c r="F271" s="676">
        <v>720</v>
      </c>
      <c r="G271" s="676" t="s">
        <v>58</v>
      </c>
      <c r="H271" s="676" t="s">
        <v>3</v>
      </c>
      <c r="I271" s="676" t="s">
        <v>44</v>
      </c>
      <c r="J271" s="676" t="s">
        <v>84</v>
      </c>
      <c r="K271" s="676">
        <v>345.1</v>
      </c>
      <c r="L271" s="690" t="s">
        <v>54</v>
      </c>
      <c r="M271" s="691">
        <v>2</v>
      </c>
      <c r="N271" s="690">
        <v>0</v>
      </c>
      <c r="O271" s="691">
        <v>366.03693669648777</v>
      </c>
      <c r="P271" s="690">
        <v>0</v>
      </c>
      <c r="Q271" s="738">
        <f t="shared" si="36"/>
        <v>527093.18884294236</v>
      </c>
      <c r="R271" s="677">
        <f t="shared" si="37"/>
        <v>0</v>
      </c>
      <c r="S271" s="739">
        <f t="shared" si="38"/>
        <v>-527093.18884294236</v>
      </c>
      <c r="T271" s="738">
        <v>55.7</v>
      </c>
      <c r="U271" s="677">
        <f t="shared" si="39"/>
        <v>-80208</v>
      </c>
      <c r="V271" s="739">
        <f t="shared" si="40"/>
        <v>-446885.18884294236</v>
      </c>
      <c r="W271" s="740">
        <v>55.7</v>
      </c>
      <c r="X271" s="678">
        <f t="shared" si="41"/>
        <v>-80208</v>
      </c>
      <c r="Y271" s="700">
        <f t="shared" si="42"/>
        <v>-446885.18884294236</v>
      </c>
      <c r="Z271" s="740">
        <v>55.7</v>
      </c>
      <c r="AA271" s="678">
        <f t="shared" si="43"/>
        <v>-80208</v>
      </c>
      <c r="AB271" s="741">
        <f t="shared" si="44"/>
        <v>-446885.18884294236</v>
      </c>
      <c r="AC271" s="714"/>
    </row>
    <row r="272" spans="1:29" ht="15" customHeight="1" x14ac:dyDescent="0.25">
      <c r="A272" s="713"/>
      <c r="B272" s="729" t="s">
        <v>675</v>
      </c>
      <c r="C272" s="545" t="s">
        <v>40</v>
      </c>
      <c r="D272" s="545" t="s">
        <v>387</v>
      </c>
      <c r="E272" s="681">
        <v>44896</v>
      </c>
      <c r="F272" s="545">
        <v>744</v>
      </c>
      <c r="G272" s="545" t="s">
        <v>58</v>
      </c>
      <c r="H272" s="545" t="s">
        <v>3</v>
      </c>
      <c r="I272" s="545" t="s">
        <v>44</v>
      </c>
      <c r="J272" s="545" t="s">
        <v>84</v>
      </c>
      <c r="K272" s="545">
        <v>345.1</v>
      </c>
      <c r="L272" s="725" t="s">
        <v>54</v>
      </c>
      <c r="M272" s="695">
        <v>2</v>
      </c>
      <c r="N272" s="725">
        <v>0</v>
      </c>
      <c r="O272" s="695">
        <v>366.03693669648777</v>
      </c>
      <c r="P272" s="725">
        <v>0</v>
      </c>
      <c r="Q272" s="742">
        <f t="shared" si="36"/>
        <v>544662.96180437377</v>
      </c>
      <c r="R272" s="603">
        <f t="shared" si="37"/>
        <v>0</v>
      </c>
      <c r="S272" s="743">
        <f t="shared" si="38"/>
        <v>-544662.96180437377</v>
      </c>
      <c r="T272" s="742">
        <v>55.7</v>
      </c>
      <c r="U272" s="603">
        <f t="shared" si="39"/>
        <v>-82881.600000000006</v>
      </c>
      <c r="V272" s="743">
        <f t="shared" si="40"/>
        <v>-461781.3618043738</v>
      </c>
      <c r="W272" s="744">
        <v>55.7</v>
      </c>
      <c r="X272" s="604">
        <f t="shared" si="41"/>
        <v>-82881.600000000006</v>
      </c>
      <c r="Y272" s="701">
        <f t="shared" si="42"/>
        <v>-461781.3618043738</v>
      </c>
      <c r="Z272" s="744">
        <v>78.400653594793155</v>
      </c>
      <c r="AA272" s="604">
        <f t="shared" si="43"/>
        <v>-116660.17254905222</v>
      </c>
      <c r="AB272" s="745">
        <f t="shared" si="44"/>
        <v>-428002.78925532155</v>
      </c>
      <c r="AC272" s="714"/>
    </row>
    <row r="273" spans="1:29" ht="15" customHeight="1" x14ac:dyDescent="0.25">
      <c r="A273" s="713"/>
      <c r="B273" s="730" t="s">
        <v>676</v>
      </c>
      <c r="C273" s="546" t="s">
        <v>40</v>
      </c>
      <c r="D273" s="546" t="s">
        <v>620</v>
      </c>
      <c r="E273" s="682">
        <v>44927</v>
      </c>
      <c r="F273" s="546">
        <v>744</v>
      </c>
      <c r="G273" s="546" t="s">
        <v>58</v>
      </c>
      <c r="H273" s="546" t="s">
        <v>3</v>
      </c>
      <c r="I273" s="546" t="s">
        <v>44</v>
      </c>
      <c r="J273" s="546" t="s">
        <v>84</v>
      </c>
      <c r="K273" s="546">
        <v>239</v>
      </c>
      <c r="L273" s="726" t="s">
        <v>54</v>
      </c>
      <c r="M273" s="696">
        <v>1</v>
      </c>
      <c r="N273" s="726">
        <v>0</v>
      </c>
      <c r="O273" s="696">
        <v>265.24573283812703</v>
      </c>
      <c r="P273" s="726">
        <v>0</v>
      </c>
      <c r="Q273" s="746">
        <f t="shared" si="36"/>
        <v>197342.8252315665</v>
      </c>
      <c r="R273" s="606">
        <f t="shared" si="37"/>
        <v>0</v>
      </c>
      <c r="S273" s="747">
        <f t="shared" si="38"/>
        <v>-197342.8252315665</v>
      </c>
      <c r="T273" s="746">
        <v>68.72</v>
      </c>
      <c r="U273" s="606">
        <f t="shared" si="39"/>
        <v>-51127.68</v>
      </c>
      <c r="V273" s="747">
        <f t="shared" si="40"/>
        <v>-146215.14523156651</v>
      </c>
      <c r="W273" s="748">
        <v>55.7</v>
      </c>
      <c r="X273" s="607">
        <f t="shared" si="41"/>
        <v>-41440.800000000003</v>
      </c>
      <c r="Y273" s="702">
        <f t="shared" si="42"/>
        <v>-155902.02523156651</v>
      </c>
      <c r="Z273" s="748">
        <v>96.206580759134184</v>
      </c>
      <c r="AA273" s="607">
        <f t="shared" si="43"/>
        <v>-71577.69608479584</v>
      </c>
      <c r="AB273" s="749">
        <f t="shared" si="44"/>
        <v>-125765.12914677066</v>
      </c>
      <c r="AC273" s="714"/>
    </row>
    <row r="274" spans="1:29" ht="15" customHeight="1" x14ac:dyDescent="0.25">
      <c r="A274" s="713"/>
      <c r="B274" s="714" t="s">
        <v>676</v>
      </c>
      <c r="C274" s="676" t="s">
        <v>40</v>
      </c>
      <c r="D274" s="676" t="s">
        <v>620</v>
      </c>
      <c r="E274" s="680">
        <v>44958</v>
      </c>
      <c r="F274" s="676">
        <v>672</v>
      </c>
      <c r="G274" s="676" t="s">
        <v>58</v>
      </c>
      <c r="H274" s="676" t="s">
        <v>3</v>
      </c>
      <c r="I274" s="676" t="s">
        <v>44</v>
      </c>
      <c r="J274" s="676" t="s">
        <v>84</v>
      </c>
      <c r="K274" s="676">
        <v>239</v>
      </c>
      <c r="L274" s="690" t="s">
        <v>54</v>
      </c>
      <c r="M274" s="691">
        <v>1</v>
      </c>
      <c r="N274" s="690">
        <v>0</v>
      </c>
      <c r="O274" s="691">
        <v>265.24573283812703</v>
      </c>
      <c r="P274" s="690">
        <v>0</v>
      </c>
      <c r="Q274" s="738">
        <f t="shared" si="36"/>
        <v>178245.13246722135</v>
      </c>
      <c r="R274" s="677">
        <f t="shared" si="37"/>
        <v>0</v>
      </c>
      <c r="S274" s="739">
        <f t="shared" si="38"/>
        <v>-178245.13246722135</v>
      </c>
      <c r="T274" s="738">
        <v>69.25</v>
      </c>
      <c r="U274" s="677">
        <f t="shared" si="39"/>
        <v>-46536</v>
      </c>
      <c r="V274" s="739">
        <f t="shared" si="40"/>
        <v>-131709.13246722135</v>
      </c>
      <c r="W274" s="740">
        <v>55.7</v>
      </c>
      <c r="X274" s="678">
        <f t="shared" si="41"/>
        <v>-37430.400000000001</v>
      </c>
      <c r="Y274" s="700">
        <f t="shared" si="42"/>
        <v>-140814.73246722136</v>
      </c>
      <c r="Z274" s="740">
        <v>92.430648861364247</v>
      </c>
      <c r="AA274" s="678">
        <f t="shared" si="43"/>
        <v>-62113.396034836776</v>
      </c>
      <c r="AB274" s="741">
        <f t="shared" si="44"/>
        <v>-116131.73643238458</v>
      </c>
      <c r="AC274" s="714"/>
    </row>
    <row r="275" spans="1:29" ht="15" customHeight="1" x14ac:dyDescent="0.25">
      <c r="A275" s="713"/>
      <c r="B275" s="714" t="s">
        <v>676</v>
      </c>
      <c r="C275" s="676" t="s">
        <v>40</v>
      </c>
      <c r="D275" s="676" t="s">
        <v>620</v>
      </c>
      <c r="E275" s="680">
        <v>44986</v>
      </c>
      <c r="F275" s="676">
        <v>744</v>
      </c>
      <c r="G275" s="676" t="s">
        <v>58</v>
      </c>
      <c r="H275" s="676" t="s">
        <v>3</v>
      </c>
      <c r="I275" s="676" t="s">
        <v>44</v>
      </c>
      <c r="J275" s="676" t="s">
        <v>84</v>
      </c>
      <c r="K275" s="676">
        <v>239</v>
      </c>
      <c r="L275" s="690" t="s">
        <v>54</v>
      </c>
      <c r="M275" s="691">
        <v>1</v>
      </c>
      <c r="N275" s="690">
        <v>0</v>
      </c>
      <c r="O275" s="691">
        <v>265.24573283812703</v>
      </c>
      <c r="P275" s="690">
        <v>0</v>
      </c>
      <c r="Q275" s="738">
        <f t="shared" si="36"/>
        <v>197342.8252315665</v>
      </c>
      <c r="R275" s="677">
        <f t="shared" si="37"/>
        <v>0</v>
      </c>
      <c r="S275" s="739">
        <f t="shared" si="38"/>
        <v>-197342.8252315665</v>
      </c>
      <c r="T275" s="738">
        <v>69.3</v>
      </c>
      <c r="U275" s="677">
        <f t="shared" si="39"/>
        <v>-51559.199999999997</v>
      </c>
      <c r="V275" s="739">
        <f t="shared" si="40"/>
        <v>-145783.62523156649</v>
      </c>
      <c r="W275" s="740">
        <v>55.7</v>
      </c>
      <c r="X275" s="678">
        <f t="shared" si="41"/>
        <v>-41440.800000000003</v>
      </c>
      <c r="Y275" s="700">
        <f t="shared" si="42"/>
        <v>-155902.02523156651</v>
      </c>
      <c r="Z275" s="740">
        <v>89.053218420260009</v>
      </c>
      <c r="AA275" s="678">
        <f t="shared" si="43"/>
        <v>-66255.594504673441</v>
      </c>
      <c r="AB275" s="741">
        <f t="shared" si="44"/>
        <v>-131087.23072689306</v>
      </c>
      <c r="AC275" s="714"/>
    </row>
    <row r="276" spans="1:29" ht="15" customHeight="1" x14ac:dyDescent="0.25">
      <c r="A276" s="713"/>
      <c r="B276" s="714" t="s">
        <v>676</v>
      </c>
      <c r="C276" s="676" t="s">
        <v>40</v>
      </c>
      <c r="D276" s="676" t="s">
        <v>620</v>
      </c>
      <c r="E276" s="680">
        <v>45017</v>
      </c>
      <c r="F276" s="676">
        <v>720</v>
      </c>
      <c r="G276" s="676" t="s">
        <v>58</v>
      </c>
      <c r="H276" s="676" t="s">
        <v>3</v>
      </c>
      <c r="I276" s="676" t="s">
        <v>44</v>
      </c>
      <c r="J276" s="676" t="s">
        <v>84</v>
      </c>
      <c r="K276" s="676">
        <v>239</v>
      </c>
      <c r="L276" s="690" t="s">
        <v>54</v>
      </c>
      <c r="M276" s="691">
        <v>1</v>
      </c>
      <c r="N276" s="690">
        <v>0</v>
      </c>
      <c r="O276" s="691">
        <v>265.24573283812703</v>
      </c>
      <c r="P276" s="690">
        <v>0</v>
      </c>
      <c r="Q276" s="738">
        <f t="shared" si="36"/>
        <v>190976.92764345146</v>
      </c>
      <c r="R276" s="677">
        <f t="shared" si="37"/>
        <v>0</v>
      </c>
      <c r="S276" s="739">
        <f t="shared" si="38"/>
        <v>-190976.92764345146</v>
      </c>
      <c r="T276" s="738">
        <v>69.8</v>
      </c>
      <c r="U276" s="677">
        <f t="shared" si="39"/>
        <v>-50256</v>
      </c>
      <c r="V276" s="739">
        <f t="shared" si="40"/>
        <v>-140720.92764345146</v>
      </c>
      <c r="W276" s="740">
        <v>55.7</v>
      </c>
      <c r="X276" s="678">
        <f t="shared" si="41"/>
        <v>-40104</v>
      </c>
      <c r="Y276" s="700">
        <f t="shared" si="42"/>
        <v>-150872.92764345146</v>
      </c>
      <c r="Z276" s="740">
        <v>85.732008718771311</v>
      </c>
      <c r="AA276" s="678">
        <f t="shared" si="43"/>
        <v>-61727.046277515343</v>
      </c>
      <c r="AB276" s="741">
        <f t="shared" si="44"/>
        <v>-129249.88136593612</v>
      </c>
      <c r="AC276" s="714"/>
    </row>
    <row r="277" spans="1:29" ht="15" customHeight="1" x14ac:dyDescent="0.25">
      <c r="A277" s="713"/>
      <c r="B277" s="714" t="s">
        <v>676</v>
      </c>
      <c r="C277" s="676" t="s">
        <v>40</v>
      </c>
      <c r="D277" s="676" t="s">
        <v>620</v>
      </c>
      <c r="E277" s="680">
        <v>45047</v>
      </c>
      <c r="F277" s="676">
        <v>744</v>
      </c>
      <c r="G277" s="676" t="s">
        <v>58</v>
      </c>
      <c r="H277" s="676" t="s">
        <v>3</v>
      </c>
      <c r="I277" s="676" t="s">
        <v>44</v>
      </c>
      <c r="J277" s="676" t="s">
        <v>84</v>
      </c>
      <c r="K277" s="676">
        <v>239</v>
      </c>
      <c r="L277" s="690" t="s">
        <v>54</v>
      </c>
      <c r="M277" s="691">
        <v>1</v>
      </c>
      <c r="N277" s="690">
        <v>0</v>
      </c>
      <c r="O277" s="691">
        <v>265.24573283812703</v>
      </c>
      <c r="P277" s="690">
        <v>0</v>
      </c>
      <c r="Q277" s="738">
        <f t="shared" si="36"/>
        <v>197342.8252315665</v>
      </c>
      <c r="R277" s="677">
        <f t="shared" si="37"/>
        <v>0</v>
      </c>
      <c r="S277" s="739">
        <f t="shared" si="38"/>
        <v>-197342.8252315665</v>
      </c>
      <c r="T277" s="738">
        <v>70.2</v>
      </c>
      <c r="U277" s="677">
        <f t="shared" si="39"/>
        <v>-52228.800000000003</v>
      </c>
      <c r="V277" s="739">
        <f t="shared" si="40"/>
        <v>-145114.02523156651</v>
      </c>
      <c r="W277" s="740">
        <v>55.7</v>
      </c>
      <c r="X277" s="678">
        <f t="shared" si="41"/>
        <v>-41440.800000000003</v>
      </c>
      <c r="Y277" s="700">
        <f t="shared" si="42"/>
        <v>-155902.02523156651</v>
      </c>
      <c r="Z277" s="740">
        <v>86.223309628334476</v>
      </c>
      <c r="AA277" s="678">
        <f t="shared" si="43"/>
        <v>-64150.142363480853</v>
      </c>
      <c r="AB277" s="741">
        <f t="shared" si="44"/>
        <v>-133192.68286808566</v>
      </c>
      <c r="AC277" s="714"/>
    </row>
    <row r="278" spans="1:29" ht="15" customHeight="1" x14ac:dyDescent="0.25">
      <c r="A278" s="713"/>
      <c r="B278" s="714" t="s">
        <v>676</v>
      </c>
      <c r="C278" s="676" t="s">
        <v>40</v>
      </c>
      <c r="D278" s="676" t="s">
        <v>620</v>
      </c>
      <c r="E278" s="680">
        <v>45078</v>
      </c>
      <c r="F278" s="676">
        <v>720</v>
      </c>
      <c r="G278" s="676" t="s">
        <v>58</v>
      </c>
      <c r="H278" s="676" t="s">
        <v>3</v>
      </c>
      <c r="I278" s="676" t="s">
        <v>44</v>
      </c>
      <c r="J278" s="676" t="s">
        <v>84</v>
      </c>
      <c r="K278" s="676">
        <v>239</v>
      </c>
      <c r="L278" s="690" t="s">
        <v>54</v>
      </c>
      <c r="M278" s="691">
        <v>1</v>
      </c>
      <c r="N278" s="690">
        <v>0</v>
      </c>
      <c r="O278" s="691">
        <v>265.24573283812703</v>
      </c>
      <c r="P278" s="690">
        <v>0</v>
      </c>
      <c r="Q278" s="738">
        <f t="shared" si="36"/>
        <v>190976.92764345146</v>
      </c>
      <c r="R278" s="677">
        <f t="shared" si="37"/>
        <v>0</v>
      </c>
      <c r="S278" s="739">
        <f t="shared" si="38"/>
        <v>-190976.92764345146</v>
      </c>
      <c r="T278" s="738">
        <v>72.400000000000006</v>
      </c>
      <c r="U278" s="677">
        <f t="shared" si="39"/>
        <v>-52128.000000000007</v>
      </c>
      <c r="V278" s="739">
        <f t="shared" si="40"/>
        <v>-138848.92764345146</v>
      </c>
      <c r="W278" s="740">
        <v>55.874535369068141</v>
      </c>
      <c r="X278" s="678">
        <f t="shared" si="41"/>
        <v>-40229.665465729064</v>
      </c>
      <c r="Y278" s="700">
        <f t="shared" si="42"/>
        <v>-150747.26217772241</v>
      </c>
      <c r="Z278" s="740">
        <v>88.925464630931856</v>
      </c>
      <c r="AA278" s="678">
        <f t="shared" si="43"/>
        <v>-64026.334534270936</v>
      </c>
      <c r="AB278" s="741">
        <f t="shared" si="44"/>
        <v>-126950.59310918053</v>
      </c>
      <c r="AC278" s="714"/>
    </row>
    <row r="279" spans="1:29" ht="15" customHeight="1" x14ac:dyDescent="0.25">
      <c r="A279" s="713"/>
      <c r="B279" s="714" t="s">
        <v>676</v>
      </c>
      <c r="C279" s="676" t="s">
        <v>40</v>
      </c>
      <c r="D279" s="676" t="s">
        <v>620</v>
      </c>
      <c r="E279" s="680">
        <v>45108</v>
      </c>
      <c r="F279" s="676">
        <v>744</v>
      </c>
      <c r="G279" s="676" t="s">
        <v>58</v>
      </c>
      <c r="H279" s="676" t="s">
        <v>3</v>
      </c>
      <c r="I279" s="676" t="s">
        <v>44</v>
      </c>
      <c r="J279" s="676" t="s">
        <v>84</v>
      </c>
      <c r="K279" s="676">
        <v>239</v>
      </c>
      <c r="L279" s="690" t="s">
        <v>54</v>
      </c>
      <c r="M279" s="691">
        <v>1</v>
      </c>
      <c r="N279" s="690">
        <v>0</v>
      </c>
      <c r="O279" s="691">
        <v>265.24573283812703</v>
      </c>
      <c r="P279" s="690">
        <v>0</v>
      </c>
      <c r="Q279" s="738">
        <f t="shared" si="36"/>
        <v>197342.8252315665</v>
      </c>
      <c r="R279" s="677">
        <f t="shared" si="37"/>
        <v>0</v>
      </c>
      <c r="S279" s="739">
        <f t="shared" si="38"/>
        <v>-197342.8252315665</v>
      </c>
      <c r="T279" s="738">
        <v>77.150000000000006</v>
      </c>
      <c r="U279" s="677">
        <f t="shared" si="39"/>
        <v>-57399.600000000006</v>
      </c>
      <c r="V279" s="739">
        <f t="shared" si="40"/>
        <v>-139943.2252315665</v>
      </c>
      <c r="W279" s="740">
        <v>59.54033706800562</v>
      </c>
      <c r="X279" s="678">
        <f t="shared" si="41"/>
        <v>-44298.010778596181</v>
      </c>
      <c r="Y279" s="700">
        <f t="shared" si="42"/>
        <v>-153044.81445297031</v>
      </c>
      <c r="Z279" s="740">
        <v>94.759662931994384</v>
      </c>
      <c r="AA279" s="678">
        <f t="shared" si="43"/>
        <v>-70501.189221403823</v>
      </c>
      <c r="AB279" s="741">
        <f t="shared" si="44"/>
        <v>-126841.63601016268</v>
      </c>
      <c r="AC279" s="714"/>
    </row>
    <row r="280" spans="1:29" ht="15" customHeight="1" x14ac:dyDescent="0.25">
      <c r="A280" s="713"/>
      <c r="B280" s="714" t="s">
        <v>676</v>
      </c>
      <c r="C280" s="676" t="s">
        <v>40</v>
      </c>
      <c r="D280" s="676" t="s">
        <v>620</v>
      </c>
      <c r="E280" s="680">
        <v>45139</v>
      </c>
      <c r="F280" s="676">
        <v>744</v>
      </c>
      <c r="G280" s="676" t="s">
        <v>58</v>
      </c>
      <c r="H280" s="676" t="s">
        <v>3</v>
      </c>
      <c r="I280" s="676" t="s">
        <v>44</v>
      </c>
      <c r="J280" s="676" t="s">
        <v>84</v>
      </c>
      <c r="K280" s="676">
        <v>239</v>
      </c>
      <c r="L280" s="690" t="s">
        <v>54</v>
      </c>
      <c r="M280" s="691">
        <v>1</v>
      </c>
      <c r="N280" s="690">
        <v>0</v>
      </c>
      <c r="O280" s="691">
        <v>265.24573283812703</v>
      </c>
      <c r="P280" s="690">
        <v>0</v>
      </c>
      <c r="Q280" s="738">
        <f t="shared" si="36"/>
        <v>197342.8252315665</v>
      </c>
      <c r="R280" s="677">
        <f t="shared" si="37"/>
        <v>0</v>
      </c>
      <c r="S280" s="739">
        <f t="shared" si="38"/>
        <v>-197342.8252315665</v>
      </c>
      <c r="T280" s="738">
        <v>77.150000000000006</v>
      </c>
      <c r="U280" s="677">
        <f t="shared" si="39"/>
        <v>-57399.600000000006</v>
      </c>
      <c r="V280" s="739">
        <f t="shared" si="40"/>
        <v>-139943.2252315665</v>
      </c>
      <c r="W280" s="740">
        <v>59.54033706800562</v>
      </c>
      <c r="X280" s="678">
        <f t="shared" si="41"/>
        <v>-44298.010778596181</v>
      </c>
      <c r="Y280" s="700">
        <f t="shared" si="42"/>
        <v>-153044.81445297031</v>
      </c>
      <c r="Z280" s="740">
        <v>94.759662931994384</v>
      </c>
      <c r="AA280" s="678">
        <f t="shared" si="43"/>
        <v>-70501.189221403823</v>
      </c>
      <c r="AB280" s="741">
        <f t="shared" si="44"/>
        <v>-126841.63601016268</v>
      </c>
      <c r="AC280" s="714"/>
    </row>
    <row r="281" spans="1:29" ht="15" customHeight="1" x14ac:dyDescent="0.25">
      <c r="A281" s="713"/>
      <c r="B281" s="714" t="s">
        <v>676</v>
      </c>
      <c r="C281" s="676" t="s">
        <v>40</v>
      </c>
      <c r="D281" s="676" t="s">
        <v>620</v>
      </c>
      <c r="E281" s="680">
        <v>45170</v>
      </c>
      <c r="F281" s="676">
        <v>720</v>
      </c>
      <c r="G281" s="676" t="s">
        <v>58</v>
      </c>
      <c r="H281" s="676" t="s">
        <v>3</v>
      </c>
      <c r="I281" s="676" t="s">
        <v>44</v>
      </c>
      <c r="J281" s="676" t="s">
        <v>84</v>
      </c>
      <c r="K281" s="676">
        <v>239</v>
      </c>
      <c r="L281" s="690" t="s">
        <v>54</v>
      </c>
      <c r="M281" s="691">
        <v>1</v>
      </c>
      <c r="N281" s="690">
        <v>0</v>
      </c>
      <c r="O281" s="691">
        <v>265.24573283812703</v>
      </c>
      <c r="P281" s="690">
        <v>0</v>
      </c>
      <c r="Q281" s="738">
        <f t="shared" si="36"/>
        <v>190976.92764345146</v>
      </c>
      <c r="R281" s="677">
        <f t="shared" si="37"/>
        <v>0</v>
      </c>
      <c r="S281" s="739">
        <f t="shared" si="38"/>
        <v>-190976.92764345146</v>
      </c>
      <c r="T281" s="738">
        <v>77.150000000000006</v>
      </c>
      <c r="U281" s="677">
        <f t="shared" si="39"/>
        <v>-55548.000000000007</v>
      </c>
      <c r="V281" s="739">
        <f t="shared" si="40"/>
        <v>-135428.92764345146</v>
      </c>
      <c r="W281" s="740">
        <v>59.54033706800562</v>
      </c>
      <c r="X281" s="678">
        <f t="shared" si="41"/>
        <v>-42869.042688964044</v>
      </c>
      <c r="Y281" s="700">
        <f t="shared" si="42"/>
        <v>-148107.88495448741</v>
      </c>
      <c r="Z281" s="740">
        <v>94.759662931994384</v>
      </c>
      <c r="AA281" s="678">
        <f t="shared" si="43"/>
        <v>-68226.957311035963</v>
      </c>
      <c r="AB281" s="741">
        <f t="shared" si="44"/>
        <v>-122749.9703324155</v>
      </c>
      <c r="AC281" s="714"/>
    </row>
    <row r="282" spans="1:29" ht="15" customHeight="1" x14ac:dyDescent="0.25">
      <c r="A282" s="713"/>
      <c r="B282" s="714" t="s">
        <v>676</v>
      </c>
      <c r="C282" s="676" t="s">
        <v>40</v>
      </c>
      <c r="D282" s="676" t="s">
        <v>620</v>
      </c>
      <c r="E282" s="680">
        <v>45200</v>
      </c>
      <c r="F282" s="676">
        <v>744</v>
      </c>
      <c r="G282" s="676" t="s">
        <v>58</v>
      </c>
      <c r="H282" s="676" t="s">
        <v>3</v>
      </c>
      <c r="I282" s="676" t="s">
        <v>44</v>
      </c>
      <c r="J282" s="676" t="s">
        <v>84</v>
      </c>
      <c r="K282" s="676">
        <v>239</v>
      </c>
      <c r="L282" s="690" t="s">
        <v>54</v>
      </c>
      <c r="M282" s="691">
        <v>1</v>
      </c>
      <c r="N282" s="690">
        <v>0</v>
      </c>
      <c r="O282" s="691">
        <v>265.24573283812703</v>
      </c>
      <c r="P282" s="690">
        <v>0</v>
      </c>
      <c r="Q282" s="738">
        <f t="shared" si="36"/>
        <v>197342.8252315665</v>
      </c>
      <c r="R282" s="677">
        <f t="shared" si="37"/>
        <v>0</v>
      </c>
      <c r="S282" s="739">
        <f t="shared" si="38"/>
        <v>-197342.8252315665</v>
      </c>
      <c r="T282" s="738">
        <v>80.45</v>
      </c>
      <c r="U282" s="677">
        <f t="shared" si="39"/>
        <v>-59854.8</v>
      </c>
      <c r="V282" s="739">
        <f t="shared" si="40"/>
        <v>-137488.02523156651</v>
      </c>
      <c r="W282" s="740">
        <v>62.087104564109552</v>
      </c>
      <c r="X282" s="678">
        <f t="shared" si="41"/>
        <v>-46192.80579569751</v>
      </c>
      <c r="Y282" s="700">
        <f t="shared" si="42"/>
        <v>-151150.01943586901</v>
      </c>
      <c r="Z282" s="740">
        <v>98.812895435890439</v>
      </c>
      <c r="AA282" s="678">
        <f t="shared" si="43"/>
        <v>-73516.794204302481</v>
      </c>
      <c r="AB282" s="741">
        <f t="shared" si="44"/>
        <v>-123826.03102726402</v>
      </c>
      <c r="AC282" s="714"/>
    </row>
    <row r="283" spans="1:29" ht="15" customHeight="1" x14ac:dyDescent="0.25">
      <c r="A283" s="713"/>
      <c r="B283" s="714" t="s">
        <v>676</v>
      </c>
      <c r="C283" s="676" t="s">
        <v>40</v>
      </c>
      <c r="D283" s="676" t="s">
        <v>620</v>
      </c>
      <c r="E283" s="680">
        <v>45231</v>
      </c>
      <c r="F283" s="676">
        <v>720</v>
      </c>
      <c r="G283" s="676" t="s">
        <v>58</v>
      </c>
      <c r="H283" s="676" t="s">
        <v>3</v>
      </c>
      <c r="I283" s="676" t="s">
        <v>44</v>
      </c>
      <c r="J283" s="676" t="s">
        <v>84</v>
      </c>
      <c r="K283" s="676">
        <v>239</v>
      </c>
      <c r="L283" s="690" t="s">
        <v>54</v>
      </c>
      <c r="M283" s="691">
        <v>1</v>
      </c>
      <c r="N283" s="690">
        <v>0</v>
      </c>
      <c r="O283" s="691">
        <v>265.24573283812703</v>
      </c>
      <c r="P283" s="690">
        <v>0</v>
      </c>
      <c r="Q283" s="738">
        <f t="shared" si="36"/>
        <v>190976.92764345146</v>
      </c>
      <c r="R283" s="677">
        <f t="shared" si="37"/>
        <v>0</v>
      </c>
      <c r="S283" s="739">
        <f t="shared" si="38"/>
        <v>-190976.92764345146</v>
      </c>
      <c r="T283" s="738">
        <v>80.45</v>
      </c>
      <c r="U283" s="677">
        <f t="shared" si="39"/>
        <v>-57924</v>
      </c>
      <c r="V283" s="739">
        <f t="shared" si="40"/>
        <v>-133052.92764345146</v>
      </c>
      <c r="W283" s="740">
        <v>62.087104564109552</v>
      </c>
      <c r="X283" s="678">
        <f t="shared" si="41"/>
        <v>-44702.715286158877</v>
      </c>
      <c r="Y283" s="700">
        <f t="shared" si="42"/>
        <v>-146274.21235729259</v>
      </c>
      <c r="Z283" s="740">
        <v>98.812895435890439</v>
      </c>
      <c r="AA283" s="678">
        <f t="shared" si="43"/>
        <v>-71145.284713841116</v>
      </c>
      <c r="AB283" s="741">
        <f t="shared" si="44"/>
        <v>-119831.64292961035</v>
      </c>
      <c r="AC283" s="714"/>
    </row>
    <row r="284" spans="1:29" ht="15" customHeight="1" x14ac:dyDescent="0.25">
      <c r="A284" s="713"/>
      <c r="B284" s="729" t="s">
        <v>676</v>
      </c>
      <c r="C284" s="545" t="s">
        <v>40</v>
      </c>
      <c r="D284" s="545" t="s">
        <v>620</v>
      </c>
      <c r="E284" s="681">
        <v>45261</v>
      </c>
      <c r="F284" s="545">
        <v>744</v>
      </c>
      <c r="G284" s="545" t="s">
        <v>58</v>
      </c>
      <c r="H284" s="545" t="s">
        <v>3</v>
      </c>
      <c r="I284" s="545" t="s">
        <v>44</v>
      </c>
      <c r="J284" s="545" t="s">
        <v>84</v>
      </c>
      <c r="K284" s="545">
        <v>239</v>
      </c>
      <c r="L284" s="725" t="s">
        <v>54</v>
      </c>
      <c r="M284" s="695">
        <v>1</v>
      </c>
      <c r="N284" s="725">
        <v>0</v>
      </c>
      <c r="O284" s="695">
        <v>265.24573283812703</v>
      </c>
      <c r="P284" s="725">
        <v>0</v>
      </c>
      <c r="Q284" s="742">
        <f t="shared" si="36"/>
        <v>197342.8252315665</v>
      </c>
      <c r="R284" s="603">
        <f t="shared" si="37"/>
        <v>0</v>
      </c>
      <c r="S284" s="743">
        <f t="shared" si="38"/>
        <v>-197342.8252315665</v>
      </c>
      <c r="T284" s="742">
        <v>80.45</v>
      </c>
      <c r="U284" s="603">
        <f t="shared" si="39"/>
        <v>-59854.8</v>
      </c>
      <c r="V284" s="743">
        <f t="shared" si="40"/>
        <v>-137488.02523156651</v>
      </c>
      <c r="W284" s="744">
        <v>62.087104564109552</v>
      </c>
      <c r="X284" s="604">
        <f t="shared" si="41"/>
        <v>-46192.80579569751</v>
      </c>
      <c r="Y284" s="701">
        <f t="shared" si="42"/>
        <v>-151150.01943586901</v>
      </c>
      <c r="Z284" s="744">
        <v>98.812895435890439</v>
      </c>
      <c r="AA284" s="604">
        <f t="shared" si="43"/>
        <v>-73516.794204302481</v>
      </c>
      <c r="AB284" s="745">
        <f t="shared" si="44"/>
        <v>-123826.03102726402</v>
      </c>
      <c r="AC284" s="714"/>
    </row>
    <row r="285" spans="1:29" ht="15" customHeight="1" x14ac:dyDescent="0.25">
      <c r="A285" s="713"/>
      <c r="B285" s="730" t="s">
        <v>678</v>
      </c>
      <c r="C285" s="546" t="s">
        <v>40</v>
      </c>
      <c r="D285" s="546" t="s">
        <v>346</v>
      </c>
      <c r="E285" s="682">
        <v>44562</v>
      </c>
      <c r="F285" s="546">
        <v>744</v>
      </c>
      <c r="G285" s="546" t="s">
        <v>59</v>
      </c>
      <c r="H285" s="546" t="s">
        <v>3</v>
      </c>
      <c r="I285" s="546" t="s">
        <v>44</v>
      </c>
      <c r="J285" s="546" t="s">
        <v>85</v>
      </c>
      <c r="K285" s="546">
        <v>346</v>
      </c>
      <c r="L285" s="726" t="s">
        <v>54</v>
      </c>
      <c r="M285" s="696">
        <v>0</v>
      </c>
      <c r="N285" s="726">
        <v>0.4</v>
      </c>
      <c r="O285" s="696">
        <v>0</v>
      </c>
      <c r="P285" s="726">
        <v>366.99153896547307</v>
      </c>
      <c r="Q285" s="746">
        <f t="shared" si="36"/>
        <v>0</v>
      </c>
      <c r="R285" s="606">
        <f t="shared" si="37"/>
        <v>109216.6819961248</v>
      </c>
      <c r="S285" s="747">
        <f t="shared" si="38"/>
        <v>109216.6819961248</v>
      </c>
      <c r="T285" s="746">
        <v>62.91</v>
      </c>
      <c r="U285" s="606">
        <f t="shared" si="39"/>
        <v>18722.016</v>
      </c>
      <c r="V285" s="747">
        <f t="shared" si="40"/>
        <v>90494.665996124793</v>
      </c>
      <c r="W285" s="748">
        <v>62.91</v>
      </c>
      <c r="X285" s="607">
        <f t="shared" si="41"/>
        <v>18722.016</v>
      </c>
      <c r="Y285" s="702">
        <f t="shared" si="42"/>
        <v>90494.665996124793</v>
      </c>
      <c r="Z285" s="748">
        <v>62.91</v>
      </c>
      <c r="AA285" s="607">
        <f t="shared" si="43"/>
        <v>18722.016</v>
      </c>
      <c r="AB285" s="749">
        <f t="shared" si="44"/>
        <v>90494.665996124793</v>
      </c>
      <c r="AC285" s="714"/>
    </row>
    <row r="286" spans="1:29" ht="15" customHeight="1" x14ac:dyDescent="0.25">
      <c r="A286" s="713"/>
      <c r="B286" s="714" t="s">
        <v>678</v>
      </c>
      <c r="C286" s="676" t="s">
        <v>40</v>
      </c>
      <c r="D286" s="676" t="s">
        <v>346</v>
      </c>
      <c r="E286" s="680">
        <v>44593</v>
      </c>
      <c r="F286" s="676">
        <v>672</v>
      </c>
      <c r="G286" s="676" t="s">
        <v>59</v>
      </c>
      <c r="H286" s="676" t="s">
        <v>3</v>
      </c>
      <c r="I286" s="676" t="s">
        <v>44</v>
      </c>
      <c r="J286" s="676" t="s">
        <v>85</v>
      </c>
      <c r="K286" s="676">
        <v>346</v>
      </c>
      <c r="L286" s="690" t="s">
        <v>54</v>
      </c>
      <c r="M286" s="691">
        <v>0</v>
      </c>
      <c r="N286" s="690">
        <v>0.4</v>
      </c>
      <c r="O286" s="691">
        <v>0</v>
      </c>
      <c r="P286" s="690">
        <v>366.99153896547307</v>
      </c>
      <c r="Q286" s="738">
        <f t="shared" si="36"/>
        <v>0</v>
      </c>
      <c r="R286" s="677">
        <f t="shared" si="37"/>
        <v>98647.325673919171</v>
      </c>
      <c r="S286" s="739">
        <f t="shared" si="38"/>
        <v>98647.325673919171</v>
      </c>
      <c r="T286" s="738">
        <v>55.7</v>
      </c>
      <c r="U286" s="677">
        <f t="shared" si="39"/>
        <v>14972.160000000002</v>
      </c>
      <c r="V286" s="739">
        <f t="shared" si="40"/>
        <v>83675.165673919168</v>
      </c>
      <c r="W286" s="740">
        <v>55.7</v>
      </c>
      <c r="X286" s="678">
        <f t="shared" si="41"/>
        <v>14972.160000000002</v>
      </c>
      <c r="Y286" s="700">
        <f t="shared" si="42"/>
        <v>83675.165673919168</v>
      </c>
      <c r="Z286" s="740">
        <v>55.7</v>
      </c>
      <c r="AA286" s="678">
        <f t="shared" si="43"/>
        <v>14972.160000000002</v>
      </c>
      <c r="AB286" s="741">
        <f t="shared" si="44"/>
        <v>83675.165673919168</v>
      </c>
      <c r="AC286" s="714"/>
    </row>
    <row r="287" spans="1:29" ht="15" customHeight="1" x14ac:dyDescent="0.25">
      <c r="A287" s="713"/>
      <c r="B287" s="714" t="s">
        <v>678</v>
      </c>
      <c r="C287" s="676" t="s">
        <v>40</v>
      </c>
      <c r="D287" s="676" t="s">
        <v>346</v>
      </c>
      <c r="E287" s="680">
        <v>44621</v>
      </c>
      <c r="F287" s="676">
        <v>744</v>
      </c>
      <c r="G287" s="676" t="s">
        <v>59</v>
      </c>
      <c r="H287" s="676" t="s">
        <v>3</v>
      </c>
      <c r="I287" s="676" t="s">
        <v>44</v>
      </c>
      <c r="J287" s="676" t="s">
        <v>85</v>
      </c>
      <c r="K287" s="676">
        <v>346</v>
      </c>
      <c r="L287" s="690" t="s">
        <v>54</v>
      </c>
      <c r="M287" s="691">
        <v>0</v>
      </c>
      <c r="N287" s="690">
        <v>0.4</v>
      </c>
      <c r="O287" s="691">
        <v>0</v>
      </c>
      <c r="P287" s="690">
        <v>366.99153896547307</v>
      </c>
      <c r="Q287" s="738">
        <f t="shared" si="36"/>
        <v>0</v>
      </c>
      <c r="R287" s="677">
        <f t="shared" si="37"/>
        <v>109216.6819961248</v>
      </c>
      <c r="S287" s="739">
        <f t="shared" si="38"/>
        <v>109216.6819961248</v>
      </c>
      <c r="T287" s="738">
        <v>55.7</v>
      </c>
      <c r="U287" s="677">
        <f t="shared" si="39"/>
        <v>16576.320000000003</v>
      </c>
      <c r="V287" s="739">
        <f t="shared" si="40"/>
        <v>92640.36199612479</v>
      </c>
      <c r="W287" s="740">
        <v>55.7</v>
      </c>
      <c r="X287" s="678">
        <f t="shared" si="41"/>
        <v>16576.320000000003</v>
      </c>
      <c r="Y287" s="700">
        <f t="shared" si="42"/>
        <v>92640.36199612479</v>
      </c>
      <c r="Z287" s="740">
        <v>55.7</v>
      </c>
      <c r="AA287" s="678">
        <f t="shared" si="43"/>
        <v>16576.320000000003</v>
      </c>
      <c r="AB287" s="741">
        <f t="shared" si="44"/>
        <v>92640.36199612479</v>
      </c>
      <c r="AC287" s="714"/>
    </row>
    <row r="288" spans="1:29" ht="15" customHeight="1" x14ac:dyDescent="0.25">
      <c r="A288" s="713"/>
      <c r="B288" s="714" t="s">
        <v>678</v>
      </c>
      <c r="C288" s="676" t="s">
        <v>40</v>
      </c>
      <c r="D288" s="676" t="s">
        <v>346</v>
      </c>
      <c r="E288" s="680">
        <v>44652</v>
      </c>
      <c r="F288" s="676">
        <v>720</v>
      </c>
      <c r="G288" s="676" t="s">
        <v>59</v>
      </c>
      <c r="H288" s="676" t="s">
        <v>3</v>
      </c>
      <c r="I288" s="676" t="s">
        <v>44</v>
      </c>
      <c r="J288" s="676" t="s">
        <v>85</v>
      </c>
      <c r="K288" s="676">
        <v>346</v>
      </c>
      <c r="L288" s="690" t="s">
        <v>54</v>
      </c>
      <c r="M288" s="691">
        <v>0</v>
      </c>
      <c r="N288" s="690">
        <v>0.4</v>
      </c>
      <c r="O288" s="691">
        <v>0</v>
      </c>
      <c r="P288" s="690">
        <v>366.99153896547307</v>
      </c>
      <c r="Q288" s="738">
        <f t="shared" si="36"/>
        <v>0</v>
      </c>
      <c r="R288" s="677">
        <f t="shared" si="37"/>
        <v>105693.56322205624</v>
      </c>
      <c r="S288" s="739">
        <f t="shared" si="38"/>
        <v>105693.56322205624</v>
      </c>
      <c r="T288" s="738">
        <v>55.7</v>
      </c>
      <c r="U288" s="677">
        <f t="shared" si="39"/>
        <v>16041.6</v>
      </c>
      <c r="V288" s="739">
        <f t="shared" si="40"/>
        <v>89651.963222056234</v>
      </c>
      <c r="W288" s="740">
        <v>55.7</v>
      </c>
      <c r="X288" s="678">
        <f t="shared" si="41"/>
        <v>16041.6</v>
      </c>
      <c r="Y288" s="700">
        <f t="shared" si="42"/>
        <v>89651.963222056234</v>
      </c>
      <c r="Z288" s="740">
        <v>55.7</v>
      </c>
      <c r="AA288" s="678">
        <f t="shared" si="43"/>
        <v>16041.6</v>
      </c>
      <c r="AB288" s="741">
        <f t="shared" si="44"/>
        <v>89651.963222056234</v>
      </c>
      <c r="AC288" s="714"/>
    </row>
    <row r="289" spans="1:29" ht="15" customHeight="1" x14ac:dyDescent="0.25">
      <c r="A289" s="713"/>
      <c r="B289" s="714" t="s">
        <v>678</v>
      </c>
      <c r="C289" s="676" t="s">
        <v>40</v>
      </c>
      <c r="D289" s="676" t="s">
        <v>346</v>
      </c>
      <c r="E289" s="680">
        <v>44682</v>
      </c>
      <c r="F289" s="676">
        <v>744</v>
      </c>
      <c r="G289" s="676" t="s">
        <v>59</v>
      </c>
      <c r="H289" s="676" t="s">
        <v>3</v>
      </c>
      <c r="I289" s="676" t="s">
        <v>44</v>
      </c>
      <c r="J289" s="676" t="s">
        <v>85</v>
      </c>
      <c r="K289" s="676">
        <v>346</v>
      </c>
      <c r="L289" s="690" t="s">
        <v>54</v>
      </c>
      <c r="M289" s="691">
        <v>0</v>
      </c>
      <c r="N289" s="690">
        <v>0.4</v>
      </c>
      <c r="O289" s="691">
        <v>0</v>
      </c>
      <c r="P289" s="690">
        <v>366.99153896547307</v>
      </c>
      <c r="Q289" s="738">
        <f t="shared" si="36"/>
        <v>0</v>
      </c>
      <c r="R289" s="677">
        <f t="shared" si="37"/>
        <v>109216.6819961248</v>
      </c>
      <c r="S289" s="739">
        <f t="shared" si="38"/>
        <v>109216.6819961248</v>
      </c>
      <c r="T289" s="738">
        <v>55.7</v>
      </c>
      <c r="U289" s="677">
        <f t="shared" si="39"/>
        <v>16576.320000000003</v>
      </c>
      <c r="V289" s="739">
        <f t="shared" si="40"/>
        <v>92640.36199612479</v>
      </c>
      <c r="W289" s="740">
        <v>55.7</v>
      </c>
      <c r="X289" s="678">
        <f t="shared" si="41"/>
        <v>16576.320000000003</v>
      </c>
      <c r="Y289" s="700">
        <f t="shared" si="42"/>
        <v>92640.36199612479</v>
      </c>
      <c r="Z289" s="740">
        <v>55.7</v>
      </c>
      <c r="AA289" s="678">
        <f t="shared" si="43"/>
        <v>16576.320000000003</v>
      </c>
      <c r="AB289" s="741">
        <f t="shared" si="44"/>
        <v>92640.36199612479</v>
      </c>
      <c r="AC289" s="714"/>
    </row>
    <row r="290" spans="1:29" ht="15" customHeight="1" x14ac:dyDescent="0.25">
      <c r="A290" s="713"/>
      <c r="B290" s="714" t="s">
        <v>678</v>
      </c>
      <c r="C290" s="676" t="s">
        <v>40</v>
      </c>
      <c r="D290" s="676" t="s">
        <v>346</v>
      </c>
      <c r="E290" s="680">
        <v>44713</v>
      </c>
      <c r="F290" s="676">
        <v>720</v>
      </c>
      <c r="G290" s="676" t="s">
        <v>59</v>
      </c>
      <c r="H290" s="676" t="s">
        <v>3</v>
      </c>
      <c r="I290" s="676" t="s">
        <v>44</v>
      </c>
      <c r="J290" s="676" t="s">
        <v>85</v>
      </c>
      <c r="K290" s="676">
        <v>346</v>
      </c>
      <c r="L290" s="690" t="s">
        <v>54</v>
      </c>
      <c r="M290" s="691">
        <v>0</v>
      </c>
      <c r="N290" s="690">
        <v>0.4</v>
      </c>
      <c r="O290" s="691">
        <v>0</v>
      </c>
      <c r="P290" s="690">
        <v>366.99153896547307</v>
      </c>
      <c r="Q290" s="738">
        <f t="shared" si="36"/>
        <v>0</v>
      </c>
      <c r="R290" s="677">
        <f t="shared" si="37"/>
        <v>105693.56322205624</v>
      </c>
      <c r="S290" s="739">
        <f t="shared" si="38"/>
        <v>105693.56322205624</v>
      </c>
      <c r="T290" s="738">
        <v>55.71</v>
      </c>
      <c r="U290" s="677">
        <f t="shared" si="39"/>
        <v>16044.48</v>
      </c>
      <c r="V290" s="739">
        <f t="shared" si="40"/>
        <v>89649.083222056244</v>
      </c>
      <c r="W290" s="740">
        <v>55.71</v>
      </c>
      <c r="X290" s="678">
        <f t="shared" si="41"/>
        <v>16044.48</v>
      </c>
      <c r="Y290" s="700">
        <f t="shared" si="42"/>
        <v>89649.083222056244</v>
      </c>
      <c r="Z290" s="740">
        <v>55.71</v>
      </c>
      <c r="AA290" s="678">
        <f t="shared" si="43"/>
        <v>16044.48</v>
      </c>
      <c r="AB290" s="741">
        <f t="shared" si="44"/>
        <v>89649.083222056244</v>
      </c>
      <c r="AC290" s="714"/>
    </row>
    <row r="291" spans="1:29" ht="15" customHeight="1" x14ac:dyDescent="0.25">
      <c r="A291" s="713"/>
      <c r="B291" s="714" t="s">
        <v>678</v>
      </c>
      <c r="C291" s="676" t="s">
        <v>40</v>
      </c>
      <c r="D291" s="676" t="s">
        <v>346</v>
      </c>
      <c r="E291" s="680">
        <v>44743</v>
      </c>
      <c r="F291" s="676">
        <v>744</v>
      </c>
      <c r="G291" s="676" t="s">
        <v>59</v>
      </c>
      <c r="H291" s="676" t="s">
        <v>3</v>
      </c>
      <c r="I291" s="676" t="s">
        <v>44</v>
      </c>
      <c r="J291" s="676" t="s">
        <v>85</v>
      </c>
      <c r="K291" s="676">
        <v>346</v>
      </c>
      <c r="L291" s="690" t="s">
        <v>54</v>
      </c>
      <c r="M291" s="691">
        <v>0</v>
      </c>
      <c r="N291" s="690">
        <v>0.4</v>
      </c>
      <c r="O291" s="691">
        <v>0</v>
      </c>
      <c r="P291" s="690">
        <v>366.99153896547307</v>
      </c>
      <c r="Q291" s="738">
        <f t="shared" si="36"/>
        <v>0</v>
      </c>
      <c r="R291" s="677">
        <f t="shared" si="37"/>
        <v>109216.6819961248</v>
      </c>
      <c r="S291" s="739">
        <f t="shared" si="38"/>
        <v>109216.6819961248</v>
      </c>
      <c r="T291" s="738">
        <v>66.319999999999993</v>
      </c>
      <c r="U291" s="677">
        <f t="shared" si="39"/>
        <v>19736.831999999999</v>
      </c>
      <c r="V291" s="739">
        <f t="shared" si="40"/>
        <v>89479.849996124802</v>
      </c>
      <c r="W291" s="740">
        <v>66.319999999999993</v>
      </c>
      <c r="X291" s="678">
        <f t="shared" si="41"/>
        <v>19736.831999999999</v>
      </c>
      <c r="Y291" s="700">
        <f t="shared" si="42"/>
        <v>89479.849996124802</v>
      </c>
      <c r="Z291" s="740">
        <v>66.319999999999993</v>
      </c>
      <c r="AA291" s="678">
        <f t="shared" si="43"/>
        <v>19736.831999999999</v>
      </c>
      <c r="AB291" s="741">
        <f t="shared" si="44"/>
        <v>89479.849996124802</v>
      </c>
      <c r="AC291" s="714"/>
    </row>
    <row r="292" spans="1:29" ht="15" customHeight="1" x14ac:dyDescent="0.25">
      <c r="A292" s="713"/>
      <c r="B292" s="714" t="s">
        <v>678</v>
      </c>
      <c r="C292" s="676" t="s">
        <v>40</v>
      </c>
      <c r="D292" s="676" t="s">
        <v>346</v>
      </c>
      <c r="E292" s="680">
        <v>44774</v>
      </c>
      <c r="F292" s="676">
        <v>744</v>
      </c>
      <c r="G292" s="676" t="s">
        <v>59</v>
      </c>
      <c r="H292" s="676" t="s">
        <v>3</v>
      </c>
      <c r="I292" s="676" t="s">
        <v>44</v>
      </c>
      <c r="J292" s="676" t="s">
        <v>85</v>
      </c>
      <c r="K292" s="676">
        <v>346</v>
      </c>
      <c r="L292" s="690" t="s">
        <v>54</v>
      </c>
      <c r="M292" s="691">
        <v>0</v>
      </c>
      <c r="N292" s="690">
        <v>0.4</v>
      </c>
      <c r="O292" s="691">
        <v>0</v>
      </c>
      <c r="P292" s="690">
        <v>366.99153896547307</v>
      </c>
      <c r="Q292" s="738">
        <f t="shared" si="36"/>
        <v>0</v>
      </c>
      <c r="R292" s="677">
        <f t="shared" si="37"/>
        <v>109216.6819961248</v>
      </c>
      <c r="S292" s="739">
        <f t="shared" si="38"/>
        <v>109216.6819961248</v>
      </c>
      <c r="T292" s="738">
        <v>76.900000000000006</v>
      </c>
      <c r="U292" s="677">
        <f t="shared" si="39"/>
        <v>22885.440000000002</v>
      </c>
      <c r="V292" s="739">
        <f t="shared" si="40"/>
        <v>86331.241996124794</v>
      </c>
      <c r="W292" s="740">
        <v>76.900000000000006</v>
      </c>
      <c r="X292" s="678">
        <f t="shared" si="41"/>
        <v>22885.440000000002</v>
      </c>
      <c r="Y292" s="700">
        <f t="shared" si="42"/>
        <v>86331.241996124794</v>
      </c>
      <c r="Z292" s="740">
        <v>76.900000000000006</v>
      </c>
      <c r="AA292" s="678">
        <f t="shared" si="43"/>
        <v>22885.440000000002</v>
      </c>
      <c r="AB292" s="741">
        <f t="shared" si="44"/>
        <v>86331.241996124794</v>
      </c>
      <c r="AC292" s="714"/>
    </row>
    <row r="293" spans="1:29" ht="15" customHeight="1" x14ac:dyDescent="0.25">
      <c r="A293" s="713"/>
      <c r="B293" s="714" t="s">
        <v>678</v>
      </c>
      <c r="C293" s="676" t="s">
        <v>40</v>
      </c>
      <c r="D293" s="676" t="s">
        <v>346</v>
      </c>
      <c r="E293" s="680">
        <v>44805</v>
      </c>
      <c r="F293" s="676">
        <v>720</v>
      </c>
      <c r="G293" s="676" t="s">
        <v>59</v>
      </c>
      <c r="H293" s="676" t="s">
        <v>3</v>
      </c>
      <c r="I293" s="676" t="s">
        <v>44</v>
      </c>
      <c r="J293" s="676" t="s">
        <v>85</v>
      </c>
      <c r="K293" s="676">
        <v>346</v>
      </c>
      <c r="L293" s="690" t="s">
        <v>54</v>
      </c>
      <c r="M293" s="691">
        <v>0</v>
      </c>
      <c r="N293" s="690">
        <v>0.4</v>
      </c>
      <c r="O293" s="691">
        <v>0</v>
      </c>
      <c r="P293" s="690">
        <v>366.99153896547307</v>
      </c>
      <c r="Q293" s="738">
        <f t="shared" si="36"/>
        <v>0</v>
      </c>
      <c r="R293" s="677">
        <f t="shared" si="37"/>
        <v>105693.56322205624</v>
      </c>
      <c r="S293" s="739">
        <f t="shared" si="38"/>
        <v>105693.56322205624</v>
      </c>
      <c r="T293" s="738">
        <v>56.08</v>
      </c>
      <c r="U293" s="677">
        <f t="shared" si="39"/>
        <v>16151.039999999999</v>
      </c>
      <c r="V293" s="739">
        <f t="shared" si="40"/>
        <v>89542.523222056247</v>
      </c>
      <c r="W293" s="740">
        <v>56.08</v>
      </c>
      <c r="X293" s="678">
        <f t="shared" si="41"/>
        <v>16151.039999999999</v>
      </c>
      <c r="Y293" s="700">
        <f t="shared" si="42"/>
        <v>89542.523222056247</v>
      </c>
      <c r="Z293" s="740">
        <v>56.08</v>
      </c>
      <c r="AA293" s="678">
        <f t="shared" si="43"/>
        <v>16151.039999999999</v>
      </c>
      <c r="AB293" s="741">
        <f t="shared" si="44"/>
        <v>89542.523222056247</v>
      </c>
      <c r="AC293" s="714"/>
    </row>
    <row r="294" spans="1:29" ht="15" customHeight="1" x14ac:dyDescent="0.25">
      <c r="A294" s="713"/>
      <c r="B294" s="714" t="s">
        <v>678</v>
      </c>
      <c r="C294" s="676" t="s">
        <v>40</v>
      </c>
      <c r="D294" s="676" t="s">
        <v>346</v>
      </c>
      <c r="E294" s="680">
        <v>44835</v>
      </c>
      <c r="F294" s="676">
        <v>744</v>
      </c>
      <c r="G294" s="676" t="s">
        <v>59</v>
      </c>
      <c r="H294" s="676" t="s">
        <v>3</v>
      </c>
      <c r="I294" s="676" t="s">
        <v>44</v>
      </c>
      <c r="J294" s="676" t="s">
        <v>85</v>
      </c>
      <c r="K294" s="676">
        <v>346</v>
      </c>
      <c r="L294" s="690" t="s">
        <v>54</v>
      </c>
      <c r="M294" s="691">
        <v>0</v>
      </c>
      <c r="N294" s="690">
        <v>0.4</v>
      </c>
      <c r="O294" s="691">
        <v>0</v>
      </c>
      <c r="P294" s="690">
        <v>366.99153896547307</v>
      </c>
      <c r="Q294" s="738">
        <f t="shared" si="36"/>
        <v>0</v>
      </c>
      <c r="R294" s="677">
        <f t="shared" si="37"/>
        <v>109216.6819961248</v>
      </c>
      <c r="S294" s="739">
        <f t="shared" si="38"/>
        <v>109216.6819961248</v>
      </c>
      <c r="T294" s="738">
        <v>55.7</v>
      </c>
      <c r="U294" s="677">
        <f t="shared" si="39"/>
        <v>16576.320000000003</v>
      </c>
      <c r="V294" s="739">
        <f t="shared" si="40"/>
        <v>92640.36199612479</v>
      </c>
      <c r="W294" s="740">
        <v>55.7</v>
      </c>
      <c r="X294" s="678">
        <f t="shared" si="41"/>
        <v>16576.320000000003</v>
      </c>
      <c r="Y294" s="700">
        <f t="shared" si="42"/>
        <v>92640.36199612479</v>
      </c>
      <c r="Z294" s="740">
        <v>55.7</v>
      </c>
      <c r="AA294" s="678">
        <f t="shared" si="43"/>
        <v>16576.320000000003</v>
      </c>
      <c r="AB294" s="741">
        <f t="shared" si="44"/>
        <v>92640.36199612479</v>
      </c>
      <c r="AC294" s="714"/>
    </row>
    <row r="295" spans="1:29" ht="15" customHeight="1" x14ac:dyDescent="0.25">
      <c r="A295" s="713"/>
      <c r="B295" s="714" t="s">
        <v>678</v>
      </c>
      <c r="C295" s="676" t="s">
        <v>40</v>
      </c>
      <c r="D295" s="676" t="s">
        <v>346</v>
      </c>
      <c r="E295" s="680">
        <v>44866</v>
      </c>
      <c r="F295" s="676">
        <v>720</v>
      </c>
      <c r="G295" s="676" t="s">
        <v>59</v>
      </c>
      <c r="H295" s="676" t="s">
        <v>3</v>
      </c>
      <c r="I295" s="676" t="s">
        <v>44</v>
      </c>
      <c r="J295" s="676" t="s">
        <v>85</v>
      </c>
      <c r="K295" s="676">
        <v>346</v>
      </c>
      <c r="L295" s="690" t="s">
        <v>54</v>
      </c>
      <c r="M295" s="691">
        <v>0</v>
      </c>
      <c r="N295" s="690">
        <v>0.4</v>
      </c>
      <c r="O295" s="691">
        <v>0</v>
      </c>
      <c r="P295" s="690">
        <v>366.99153896547307</v>
      </c>
      <c r="Q295" s="738">
        <f t="shared" si="36"/>
        <v>0</v>
      </c>
      <c r="R295" s="677">
        <f t="shared" si="37"/>
        <v>105693.56322205624</v>
      </c>
      <c r="S295" s="739">
        <f t="shared" si="38"/>
        <v>105693.56322205624</v>
      </c>
      <c r="T295" s="738">
        <v>55.7</v>
      </c>
      <c r="U295" s="677">
        <f t="shared" si="39"/>
        <v>16041.6</v>
      </c>
      <c r="V295" s="739">
        <f t="shared" si="40"/>
        <v>89651.963222056234</v>
      </c>
      <c r="W295" s="740">
        <v>55.7</v>
      </c>
      <c r="X295" s="678">
        <f t="shared" si="41"/>
        <v>16041.6</v>
      </c>
      <c r="Y295" s="700">
        <f t="shared" si="42"/>
        <v>89651.963222056234</v>
      </c>
      <c r="Z295" s="740">
        <v>55.7</v>
      </c>
      <c r="AA295" s="678">
        <f t="shared" si="43"/>
        <v>16041.6</v>
      </c>
      <c r="AB295" s="741">
        <f t="shared" si="44"/>
        <v>89651.963222056234</v>
      </c>
      <c r="AC295" s="714"/>
    </row>
    <row r="296" spans="1:29" ht="15" customHeight="1" x14ac:dyDescent="0.25">
      <c r="A296" s="713"/>
      <c r="B296" s="729" t="s">
        <v>678</v>
      </c>
      <c r="C296" s="545" t="s">
        <v>40</v>
      </c>
      <c r="D296" s="545" t="s">
        <v>346</v>
      </c>
      <c r="E296" s="681">
        <v>44896</v>
      </c>
      <c r="F296" s="545">
        <v>744</v>
      </c>
      <c r="G296" s="545" t="s">
        <v>59</v>
      </c>
      <c r="H296" s="545" t="s">
        <v>3</v>
      </c>
      <c r="I296" s="545" t="s">
        <v>44</v>
      </c>
      <c r="J296" s="545" t="s">
        <v>85</v>
      </c>
      <c r="K296" s="545">
        <v>346</v>
      </c>
      <c r="L296" s="725" t="s">
        <v>54</v>
      </c>
      <c r="M296" s="695">
        <v>0</v>
      </c>
      <c r="N296" s="725">
        <v>0.4</v>
      </c>
      <c r="O296" s="695">
        <v>0</v>
      </c>
      <c r="P296" s="725">
        <v>366.99153896547307</v>
      </c>
      <c r="Q296" s="742">
        <f t="shared" si="36"/>
        <v>0</v>
      </c>
      <c r="R296" s="603">
        <f t="shared" si="37"/>
        <v>109216.6819961248</v>
      </c>
      <c r="S296" s="743">
        <f t="shared" si="38"/>
        <v>109216.6819961248</v>
      </c>
      <c r="T296" s="742">
        <v>55.7</v>
      </c>
      <c r="U296" s="603">
        <f t="shared" si="39"/>
        <v>16576.320000000003</v>
      </c>
      <c r="V296" s="743">
        <f t="shared" si="40"/>
        <v>92640.36199612479</v>
      </c>
      <c r="W296" s="744">
        <v>55.7</v>
      </c>
      <c r="X296" s="604">
        <f t="shared" si="41"/>
        <v>16576.320000000003</v>
      </c>
      <c r="Y296" s="701">
        <f t="shared" si="42"/>
        <v>92640.36199612479</v>
      </c>
      <c r="Z296" s="744">
        <v>78.400653594793155</v>
      </c>
      <c r="AA296" s="604">
        <f t="shared" si="43"/>
        <v>23332.034509810444</v>
      </c>
      <c r="AB296" s="745">
        <f t="shared" si="44"/>
        <v>85884.647486314352</v>
      </c>
      <c r="AC296" s="714"/>
    </row>
    <row r="297" spans="1:29" ht="15" customHeight="1" x14ac:dyDescent="0.25">
      <c r="A297" s="713"/>
      <c r="B297" s="730" t="s">
        <v>679</v>
      </c>
      <c r="C297" s="546" t="s">
        <v>40</v>
      </c>
      <c r="D297" s="546" t="s">
        <v>357</v>
      </c>
      <c r="E297" s="682">
        <v>44562</v>
      </c>
      <c r="F297" s="546">
        <v>744</v>
      </c>
      <c r="G297" s="546" t="s">
        <v>59</v>
      </c>
      <c r="H297" s="546" t="s">
        <v>3</v>
      </c>
      <c r="I297" s="546" t="s">
        <v>44</v>
      </c>
      <c r="J297" s="546" t="s">
        <v>85</v>
      </c>
      <c r="K297" s="546">
        <v>352</v>
      </c>
      <c r="L297" s="726" t="s">
        <v>54</v>
      </c>
      <c r="M297" s="696">
        <v>0</v>
      </c>
      <c r="N297" s="726">
        <v>1.6</v>
      </c>
      <c r="O297" s="696">
        <v>0</v>
      </c>
      <c r="P297" s="726">
        <v>369.80553681568728</v>
      </c>
      <c r="Q297" s="746">
        <f t="shared" si="36"/>
        <v>0</v>
      </c>
      <c r="R297" s="606">
        <f t="shared" si="37"/>
        <v>440216.51102539414</v>
      </c>
      <c r="S297" s="747">
        <f t="shared" si="38"/>
        <v>440216.51102539414</v>
      </c>
      <c r="T297" s="746">
        <v>62.91</v>
      </c>
      <c r="U297" s="606">
        <f t="shared" si="39"/>
        <v>74888.063999999998</v>
      </c>
      <c r="V297" s="747">
        <f t="shared" si="40"/>
        <v>365328.44702539413</v>
      </c>
      <c r="W297" s="748">
        <v>62.91</v>
      </c>
      <c r="X297" s="607">
        <f t="shared" si="41"/>
        <v>74888.063999999998</v>
      </c>
      <c r="Y297" s="702">
        <f t="shared" si="42"/>
        <v>365328.44702539413</v>
      </c>
      <c r="Z297" s="748">
        <v>62.91</v>
      </c>
      <c r="AA297" s="607">
        <f t="shared" si="43"/>
        <v>74888.063999999998</v>
      </c>
      <c r="AB297" s="749">
        <f t="shared" si="44"/>
        <v>365328.44702539413</v>
      </c>
      <c r="AC297" s="714"/>
    </row>
    <row r="298" spans="1:29" ht="15" customHeight="1" x14ac:dyDescent="0.25">
      <c r="A298" s="713"/>
      <c r="B298" s="714" t="s">
        <v>679</v>
      </c>
      <c r="C298" s="676" t="s">
        <v>40</v>
      </c>
      <c r="D298" s="676" t="s">
        <v>357</v>
      </c>
      <c r="E298" s="680">
        <v>44593</v>
      </c>
      <c r="F298" s="676">
        <v>672</v>
      </c>
      <c r="G298" s="676" t="s">
        <v>59</v>
      </c>
      <c r="H298" s="676" t="s">
        <v>3</v>
      </c>
      <c r="I298" s="676" t="s">
        <v>44</v>
      </c>
      <c r="J298" s="676" t="s">
        <v>85</v>
      </c>
      <c r="K298" s="676">
        <v>352</v>
      </c>
      <c r="L298" s="690" t="s">
        <v>54</v>
      </c>
      <c r="M298" s="691">
        <v>0</v>
      </c>
      <c r="N298" s="690">
        <v>1.6</v>
      </c>
      <c r="O298" s="691">
        <v>0</v>
      </c>
      <c r="P298" s="690">
        <v>369.80553681568728</v>
      </c>
      <c r="Q298" s="738">
        <f t="shared" si="36"/>
        <v>0</v>
      </c>
      <c r="R298" s="677">
        <f t="shared" si="37"/>
        <v>397614.91318422696</v>
      </c>
      <c r="S298" s="739">
        <f t="shared" si="38"/>
        <v>397614.91318422696</v>
      </c>
      <c r="T298" s="738">
        <v>55.7</v>
      </c>
      <c r="U298" s="677">
        <f t="shared" si="39"/>
        <v>59888.640000000007</v>
      </c>
      <c r="V298" s="739">
        <f t="shared" si="40"/>
        <v>337726.27318422694</v>
      </c>
      <c r="W298" s="740">
        <v>55.7</v>
      </c>
      <c r="X298" s="678">
        <f t="shared" si="41"/>
        <v>59888.640000000007</v>
      </c>
      <c r="Y298" s="700">
        <f t="shared" si="42"/>
        <v>337726.27318422694</v>
      </c>
      <c r="Z298" s="740">
        <v>55.7</v>
      </c>
      <c r="AA298" s="678">
        <f t="shared" si="43"/>
        <v>59888.640000000007</v>
      </c>
      <c r="AB298" s="741">
        <f t="shared" si="44"/>
        <v>337726.27318422694</v>
      </c>
      <c r="AC298" s="714"/>
    </row>
    <row r="299" spans="1:29" ht="15" customHeight="1" x14ac:dyDescent="0.25">
      <c r="A299" s="713"/>
      <c r="B299" s="714" t="s">
        <v>679</v>
      </c>
      <c r="C299" s="676" t="s">
        <v>40</v>
      </c>
      <c r="D299" s="676" t="s">
        <v>357</v>
      </c>
      <c r="E299" s="680">
        <v>44621</v>
      </c>
      <c r="F299" s="676">
        <v>744</v>
      </c>
      <c r="G299" s="676" t="s">
        <v>59</v>
      </c>
      <c r="H299" s="676" t="s">
        <v>3</v>
      </c>
      <c r="I299" s="676" t="s">
        <v>44</v>
      </c>
      <c r="J299" s="676" t="s">
        <v>85</v>
      </c>
      <c r="K299" s="676">
        <v>352</v>
      </c>
      <c r="L299" s="690" t="s">
        <v>54</v>
      </c>
      <c r="M299" s="691">
        <v>0</v>
      </c>
      <c r="N299" s="690">
        <v>1.6</v>
      </c>
      <c r="O299" s="691">
        <v>0</v>
      </c>
      <c r="P299" s="690">
        <v>369.80553681568728</v>
      </c>
      <c r="Q299" s="738">
        <f t="shared" si="36"/>
        <v>0</v>
      </c>
      <c r="R299" s="677">
        <f t="shared" si="37"/>
        <v>440216.51102539414</v>
      </c>
      <c r="S299" s="739">
        <f t="shared" si="38"/>
        <v>440216.51102539414</v>
      </c>
      <c r="T299" s="738">
        <v>55.7</v>
      </c>
      <c r="U299" s="677">
        <f t="shared" si="39"/>
        <v>66305.280000000013</v>
      </c>
      <c r="V299" s="739">
        <f t="shared" si="40"/>
        <v>373911.23102539411</v>
      </c>
      <c r="W299" s="740">
        <v>55.7</v>
      </c>
      <c r="X299" s="678">
        <f t="shared" si="41"/>
        <v>66305.280000000013</v>
      </c>
      <c r="Y299" s="700">
        <f t="shared" si="42"/>
        <v>373911.23102539411</v>
      </c>
      <c r="Z299" s="740">
        <v>55.7</v>
      </c>
      <c r="AA299" s="678">
        <f t="shared" si="43"/>
        <v>66305.280000000013</v>
      </c>
      <c r="AB299" s="741">
        <f t="shared" si="44"/>
        <v>373911.23102539411</v>
      </c>
      <c r="AC299" s="714"/>
    </row>
    <row r="300" spans="1:29" ht="15" customHeight="1" x14ac:dyDescent="0.25">
      <c r="A300" s="713"/>
      <c r="B300" s="714" t="s">
        <v>679</v>
      </c>
      <c r="C300" s="676" t="s">
        <v>40</v>
      </c>
      <c r="D300" s="676" t="s">
        <v>357</v>
      </c>
      <c r="E300" s="680">
        <v>44652</v>
      </c>
      <c r="F300" s="676">
        <v>720</v>
      </c>
      <c r="G300" s="676" t="s">
        <v>59</v>
      </c>
      <c r="H300" s="676" t="s">
        <v>3</v>
      </c>
      <c r="I300" s="676" t="s">
        <v>44</v>
      </c>
      <c r="J300" s="676" t="s">
        <v>85</v>
      </c>
      <c r="K300" s="676">
        <v>352</v>
      </c>
      <c r="L300" s="690" t="s">
        <v>54</v>
      </c>
      <c r="M300" s="691">
        <v>0</v>
      </c>
      <c r="N300" s="690">
        <v>1.6</v>
      </c>
      <c r="O300" s="691">
        <v>0</v>
      </c>
      <c r="P300" s="690">
        <v>369.80553681568728</v>
      </c>
      <c r="Q300" s="738">
        <f t="shared" si="36"/>
        <v>0</v>
      </c>
      <c r="R300" s="677">
        <f t="shared" si="37"/>
        <v>426015.97841167176</v>
      </c>
      <c r="S300" s="739">
        <f t="shared" si="38"/>
        <v>426015.97841167176</v>
      </c>
      <c r="T300" s="738">
        <v>55.7</v>
      </c>
      <c r="U300" s="677">
        <f t="shared" si="39"/>
        <v>64166.400000000001</v>
      </c>
      <c r="V300" s="739">
        <f t="shared" si="40"/>
        <v>361849.57841167174</v>
      </c>
      <c r="W300" s="740">
        <v>55.7</v>
      </c>
      <c r="X300" s="678">
        <f t="shared" si="41"/>
        <v>64166.400000000001</v>
      </c>
      <c r="Y300" s="700">
        <f t="shared" si="42"/>
        <v>361849.57841167174</v>
      </c>
      <c r="Z300" s="740">
        <v>55.7</v>
      </c>
      <c r="AA300" s="678">
        <f t="shared" si="43"/>
        <v>64166.400000000001</v>
      </c>
      <c r="AB300" s="741">
        <f t="shared" si="44"/>
        <v>361849.57841167174</v>
      </c>
      <c r="AC300" s="714"/>
    </row>
    <row r="301" spans="1:29" ht="15" customHeight="1" x14ac:dyDescent="0.25">
      <c r="A301" s="713"/>
      <c r="B301" s="714" t="s">
        <v>679</v>
      </c>
      <c r="C301" s="676" t="s">
        <v>40</v>
      </c>
      <c r="D301" s="676" t="s">
        <v>357</v>
      </c>
      <c r="E301" s="680">
        <v>44682</v>
      </c>
      <c r="F301" s="676">
        <v>744</v>
      </c>
      <c r="G301" s="676" t="s">
        <v>59</v>
      </c>
      <c r="H301" s="676" t="s">
        <v>3</v>
      </c>
      <c r="I301" s="676" t="s">
        <v>44</v>
      </c>
      <c r="J301" s="676" t="s">
        <v>85</v>
      </c>
      <c r="K301" s="676">
        <v>352</v>
      </c>
      <c r="L301" s="690" t="s">
        <v>54</v>
      </c>
      <c r="M301" s="691">
        <v>0</v>
      </c>
      <c r="N301" s="690">
        <v>1.6</v>
      </c>
      <c r="O301" s="691">
        <v>0</v>
      </c>
      <c r="P301" s="690">
        <v>369.80553681568728</v>
      </c>
      <c r="Q301" s="738">
        <f t="shared" si="36"/>
        <v>0</v>
      </c>
      <c r="R301" s="677">
        <f t="shared" si="37"/>
        <v>440216.51102539414</v>
      </c>
      <c r="S301" s="739">
        <f t="shared" si="38"/>
        <v>440216.51102539414</v>
      </c>
      <c r="T301" s="738">
        <v>55.7</v>
      </c>
      <c r="U301" s="677">
        <f t="shared" si="39"/>
        <v>66305.280000000013</v>
      </c>
      <c r="V301" s="739">
        <f t="shared" si="40"/>
        <v>373911.23102539411</v>
      </c>
      <c r="W301" s="740">
        <v>55.7</v>
      </c>
      <c r="X301" s="678">
        <f t="shared" si="41"/>
        <v>66305.280000000013</v>
      </c>
      <c r="Y301" s="700">
        <f t="shared" si="42"/>
        <v>373911.23102539411</v>
      </c>
      <c r="Z301" s="740">
        <v>55.7</v>
      </c>
      <c r="AA301" s="678">
        <f t="shared" si="43"/>
        <v>66305.280000000013</v>
      </c>
      <c r="AB301" s="741">
        <f t="shared" si="44"/>
        <v>373911.23102539411</v>
      </c>
      <c r="AC301" s="714"/>
    </row>
    <row r="302" spans="1:29" ht="15" customHeight="1" x14ac:dyDescent="0.25">
      <c r="A302" s="713"/>
      <c r="B302" s="714" t="s">
        <v>679</v>
      </c>
      <c r="C302" s="676" t="s">
        <v>40</v>
      </c>
      <c r="D302" s="676" t="s">
        <v>357</v>
      </c>
      <c r="E302" s="680">
        <v>44713</v>
      </c>
      <c r="F302" s="676">
        <v>720</v>
      </c>
      <c r="G302" s="676" t="s">
        <v>59</v>
      </c>
      <c r="H302" s="676" t="s">
        <v>3</v>
      </c>
      <c r="I302" s="676" t="s">
        <v>44</v>
      </c>
      <c r="J302" s="676" t="s">
        <v>85</v>
      </c>
      <c r="K302" s="676">
        <v>352</v>
      </c>
      <c r="L302" s="690" t="s">
        <v>54</v>
      </c>
      <c r="M302" s="691">
        <v>0</v>
      </c>
      <c r="N302" s="690">
        <v>1.6</v>
      </c>
      <c r="O302" s="691">
        <v>0</v>
      </c>
      <c r="P302" s="690">
        <v>369.80553681568728</v>
      </c>
      <c r="Q302" s="738">
        <f t="shared" si="36"/>
        <v>0</v>
      </c>
      <c r="R302" s="677">
        <f t="shared" si="37"/>
        <v>426015.97841167176</v>
      </c>
      <c r="S302" s="739">
        <f t="shared" si="38"/>
        <v>426015.97841167176</v>
      </c>
      <c r="T302" s="738">
        <v>55.71</v>
      </c>
      <c r="U302" s="677">
        <f t="shared" si="39"/>
        <v>64177.919999999998</v>
      </c>
      <c r="V302" s="739">
        <f t="shared" si="40"/>
        <v>361838.05841167178</v>
      </c>
      <c r="W302" s="740">
        <v>55.71</v>
      </c>
      <c r="X302" s="678">
        <f t="shared" si="41"/>
        <v>64177.919999999998</v>
      </c>
      <c r="Y302" s="700">
        <f t="shared" si="42"/>
        <v>361838.05841167178</v>
      </c>
      <c r="Z302" s="740">
        <v>55.71</v>
      </c>
      <c r="AA302" s="678">
        <f t="shared" si="43"/>
        <v>64177.919999999998</v>
      </c>
      <c r="AB302" s="741">
        <f t="shared" si="44"/>
        <v>361838.05841167178</v>
      </c>
      <c r="AC302" s="714"/>
    </row>
    <row r="303" spans="1:29" ht="15" customHeight="1" x14ac:dyDescent="0.25">
      <c r="A303" s="713"/>
      <c r="B303" s="714" t="s">
        <v>679</v>
      </c>
      <c r="C303" s="676" t="s">
        <v>40</v>
      </c>
      <c r="D303" s="676" t="s">
        <v>357</v>
      </c>
      <c r="E303" s="680">
        <v>44743</v>
      </c>
      <c r="F303" s="676">
        <v>744</v>
      </c>
      <c r="G303" s="676" t="s">
        <v>59</v>
      </c>
      <c r="H303" s="676" t="s">
        <v>3</v>
      </c>
      <c r="I303" s="676" t="s">
        <v>44</v>
      </c>
      <c r="J303" s="676" t="s">
        <v>85</v>
      </c>
      <c r="K303" s="676">
        <v>352</v>
      </c>
      <c r="L303" s="690" t="s">
        <v>54</v>
      </c>
      <c r="M303" s="691">
        <v>0</v>
      </c>
      <c r="N303" s="690">
        <v>1.6</v>
      </c>
      <c r="O303" s="691">
        <v>0</v>
      </c>
      <c r="P303" s="690">
        <v>369.80553681568728</v>
      </c>
      <c r="Q303" s="738">
        <f t="shared" si="36"/>
        <v>0</v>
      </c>
      <c r="R303" s="677">
        <f t="shared" si="37"/>
        <v>440216.51102539414</v>
      </c>
      <c r="S303" s="739">
        <f t="shared" si="38"/>
        <v>440216.51102539414</v>
      </c>
      <c r="T303" s="738">
        <v>66.319999999999993</v>
      </c>
      <c r="U303" s="677">
        <f t="shared" si="39"/>
        <v>78947.327999999994</v>
      </c>
      <c r="V303" s="739">
        <f t="shared" si="40"/>
        <v>361269.18302539416</v>
      </c>
      <c r="W303" s="740">
        <v>66.319999999999993</v>
      </c>
      <c r="X303" s="678">
        <f t="shared" si="41"/>
        <v>78947.327999999994</v>
      </c>
      <c r="Y303" s="700">
        <f t="shared" si="42"/>
        <v>361269.18302539416</v>
      </c>
      <c r="Z303" s="740">
        <v>66.319999999999993</v>
      </c>
      <c r="AA303" s="678">
        <f t="shared" si="43"/>
        <v>78947.327999999994</v>
      </c>
      <c r="AB303" s="741">
        <f t="shared" si="44"/>
        <v>361269.18302539416</v>
      </c>
      <c r="AC303" s="714"/>
    </row>
    <row r="304" spans="1:29" ht="15" customHeight="1" x14ac:dyDescent="0.25">
      <c r="A304" s="713"/>
      <c r="B304" s="714" t="s">
        <v>679</v>
      </c>
      <c r="C304" s="676" t="s">
        <v>40</v>
      </c>
      <c r="D304" s="676" t="s">
        <v>357</v>
      </c>
      <c r="E304" s="680">
        <v>44774</v>
      </c>
      <c r="F304" s="676">
        <v>744</v>
      </c>
      <c r="G304" s="676" t="s">
        <v>59</v>
      </c>
      <c r="H304" s="676" t="s">
        <v>3</v>
      </c>
      <c r="I304" s="676" t="s">
        <v>44</v>
      </c>
      <c r="J304" s="676" t="s">
        <v>85</v>
      </c>
      <c r="K304" s="676">
        <v>352</v>
      </c>
      <c r="L304" s="690" t="s">
        <v>54</v>
      </c>
      <c r="M304" s="691">
        <v>0</v>
      </c>
      <c r="N304" s="690">
        <v>1.6</v>
      </c>
      <c r="O304" s="691">
        <v>0</v>
      </c>
      <c r="P304" s="690">
        <v>369.80553681568728</v>
      </c>
      <c r="Q304" s="738">
        <f t="shared" si="36"/>
        <v>0</v>
      </c>
      <c r="R304" s="677">
        <f t="shared" si="37"/>
        <v>440216.51102539414</v>
      </c>
      <c r="S304" s="739">
        <f t="shared" si="38"/>
        <v>440216.51102539414</v>
      </c>
      <c r="T304" s="738">
        <v>76.900000000000006</v>
      </c>
      <c r="U304" s="677">
        <f t="shared" si="39"/>
        <v>91541.760000000009</v>
      </c>
      <c r="V304" s="739">
        <f t="shared" si="40"/>
        <v>348674.75102539413</v>
      </c>
      <c r="W304" s="740">
        <v>76.900000000000006</v>
      </c>
      <c r="X304" s="678">
        <f t="shared" si="41"/>
        <v>91541.760000000009</v>
      </c>
      <c r="Y304" s="700">
        <f t="shared" si="42"/>
        <v>348674.75102539413</v>
      </c>
      <c r="Z304" s="740">
        <v>76.900000000000006</v>
      </c>
      <c r="AA304" s="678">
        <f t="shared" si="43"/>
        <v>91541.760000000009</v>
      </c>
      <c r="AB304" s="741">
        <f t="shared" si="44"/>
        <v>348674.75102539413</v>
      </c>
      <c r="AC304" s="714"/>
    </row>
    <row r="305" spans="1:29" ht="15" customHeight="1" x14ac:dyDescent="0.25">
      <c r="A305" s="713"/>
      <c r="B305" s="714" t="s">
        <v>679</v>
      </c>
      <c r="C305" s="676" t="s">
        <v>40</v>
      </c>
      <c r="D305" s="676" t="s">
        <v>357</v>
      </c>
      <c r="E305" s="680">
        <v>44805</v>
      </c>
      <c r="F305" s="676">
        <v>720</v>
      </c>
      <c r="G305" s="676" t="s">
        <v>59</v>
      </c>
      <c r="H305" s="676" t="s">
        <v>3</v>
      </c>
      <c r="I305" s="676" t="s">
        <v>44</v>
      </c>
      <c r="J305" s="676" t="s">
        <v>85</v>
      </c>
      <c r="K305" s="676">
        <v>352</v>
      </c>
      <c r="L305" s="690" t="s">
        <v>54</v>
      </c>
      <c r="M305" s="691">
        <v>0</v>
      </c>
      <c r="N305" s="690">
        <v>1.6</v>
      </c>
      <c r="O305" s="691">
        <v>0</v>
      </c>
      <c r="P305" s="690">
        <v>369.80553681568728</v>
      </c>
      <c r="Q305" s="738">
        <f t="shared" si="36"/>
        <v>0</v>
      </c>
      <c r="R305" s="677">
        <f t="shared" si="37"/>
        <v>426015.97841167176</v>
      </c>
      <c r="S305" s="739">
        <f t="shared" si="38"/>
        <v>426015.97841167176</v>
      </c>
      <c r="T305" s="738">
        <v>56.08</v>
      </c>
      <c r="U305" s="677">
        <f t="shared" si="39"/>
        <v>64604.159999999996</v>
      </c>
      <c r="V305" s="739">
        <f t="shared" si="40"/>
        <v>361411.81841167179</v>
      </c>
      <c r="W305" s="740">
        <v>56.08</v>
      </c>
      <c r="X305" s="678">
        <f t="shared" si="41"/>
        <v>64604.159999999996</v>
      </c>
      <c r="Y305" s="700">
        <f t="shared" si="42"/>
        <v>361411.81841167179</v>
      </c>
      <c r="Z305" s="740">
        <v>56.08</v>
      </c>
      <c r="AA305" s="678">
        <f t="shared" si="43"/>
        <v>64604.159999999996</v>
      </c>
      <c r="AB305" s="741">
        <f t="shared" si="44"/>
        <v>361411.81841167179</v>
      </c>
      <c r="AC305" s="714"/>
    </row>
    <row r="306" spans="1:29" ht="15" customHeight="1" x14ac:dyDescent="0.25">
      <c r="A306" s="713"/>
      <c r="B306" s="714" t="s">
        <v>679</v>
      </c>
      <c r="C306" s="676" t="s">
        <v>40</v>
      </c>
      <c r="D306" s="676" t="s">
        <v>357</v>
      </c>
      <c r="E306" s="680">
        <v>44835</v>
      </c>
      <c r="F306" s="676">
        <v>744</v>
      </c>
      <c r="G306" s="676" t="s">
        <v>59</v>
      </c>
      <c r="H306" s="676" t="s">
        <v>3</v>
      </c>
      <c r="I306" s="676" t="s">
        <v>44</v>
      </c>
      <c r="J306" s="676" t="s">
        <v>85</v>
      </c>
      <c r="K306" s="676">
        <v>352</v>
      </c>
      <c r="L306" s="690" t="s">
        <v>54</v>
      </c>
      <c r="M306" s="691">
        <v>0</v>
      </c>
      <c r="N306" s="690">
        <v>1.6</v>
      </c>
      <c r="O306" s="691">
        <v>0</v>
      </c>
      <c r="P306" s="690">
        <v>369.80553681568728</v>
      </c>
      <c r="Q306" s="738">
        <f t="shared" si="36"/>
        <v>0</v>
      </c>
      <c r="R306" s="677">
        <f t="shared" si="37"/>
        <v>440216.51102539414</v>
      </c>
      <c r="S306" s="739">
        <f t="shared" si="38"/>
        <v>440216.51102539414</v>
      </c>
      <c r="T306" s="738">
        <v>55.7</v>
      </c>
      <c r="U306" s="677">
        <f t="shared" si="39"/>
        <v>66305.280000000013</v>
      </c>
      <c r="V306" s="739">
        <f t="shared" si="40"/>
        <v>373911.23102539411</v>
      </c>
      <c r="W306" s="740">
        <v>55.7</v>
      </c>
      <c r="X306" s="678">
        <f t="shared" si="41"/>
        <v>66305.280000000013</v>
      </c>
      <c r="Y306" s="700">
        <f t="shared" si="42"/>
        <v>373911.23102539411</v>
      </c>
      <c r="Z306" s="740">
        <v>55.7</v>
      </c>
      <c r="AA306" s="678">
        <f t="shared" si="43"/>
        <v>66305.280000000013</v>
      </c>
      <c r="AB306" s="741">
        <f t="shared" si="44"/>
        <v>373911.23102539411</v>
      </c>
      <c r="AC306" s="714"/>
    </row>
    <row r="307" spans="1:29" ht="15" customHeight="1" x14ac:dyDescent="0.25">
      <c r="A307" s="713"/>
      <c r="B307" s="714" t="s">
        <v>679</v>
      </c>
      <c r="C307" s="676" t="s">
        <v>40</v>
      </c>
      <c r="D307" s="676" t="s">
        <v>357</v>
      </c>
      <c r="E307" s="680">
        <v>44866</v>
      </c>
      <c r="F307" s="676">
        <v>720</v>
      </c>
      <c r="G307" s="676" t="s">
        <v>59</v>
      </c>
      <c r="H307" s="676" t="s">
        <v>3</v>
      </c>
      <c r="I307" s="676" t="s">
        <v>44</v>
      </c>
      <c r="J307" s="676" t="s">
        <v>85</v>
      </c>
      <c r="K307" s="676">
        <v>352</v>
      </c>
      <c r="L307" s="690" t="s">
        <v>54</v>
      </c>
      <c r="M307" s="691">
        <v>0</v>
      </c>
      <c r="N307" s="690">
        <v>1.6</v>
      </c>
      <c r="O307" s="691">
        <v>0</v>
      </c>
      <c r="P307" s="690">
        <v>369.80553681568728</v>
      </c>
      <c r="Q307" s="738">
        <f t="shared" si="36"/>
        <v>0</v>
      </c>
      <c r="R307" s="677">
        <f t="shared" si="37"/>
        <v>426015.97841167176</v>
      </c>
      <c r="S307" s="739">
        <f t="shared" si="38"/>
        <v>426015.97841167176</v>
      </c>
      <c r="T307" s="738">
        <v>55.7</v>
      </c>
      <c r="U307" s="677">
        <f t="shared" si="39"/>
        <v>64166.400000000001</v>
      </c>
      <c r="V307" s="739">
        <f t="shared" si="40"/>
        <v>361849.57841167174</v>
      </c>
      <c r="W307" s="740">
        <v>55.7</v>
      </c>
      <c r="X307" s="678">
        <f t="shared" si="41"/>
        <v>64166.400000000001</v>
      </c>
      <c r="Y307" s="700">
        <f t="shared" si="42"/>
        <v>361849.57841167174</v>
      </c>
      <c r="Z307" s="740">
        <v>55.7</v>
      </c>
      <c r="AA307" s="678">
        <f t="shared" si="43"/>
        <v>64166.400000000001</v>
      </c>
      <c r="AB307" s="741">
        <f t="shared" si="44"/>
        <v>361849.57841167174</v>
      </c>
      <c r="AC307" s="714"/>
    </row>
    <row r="308" spans="1:29" ht="15" customHeight="1" x14ac:dyDescent="0.25">
      <c r="A308" s="713"/>
      <c r="B308" s="729" t="s">
        <v>679</v>
      </c>
      <c r="C308" s="545" t="s">
        <v>40</v>
      </c>
      <c r="D308" s="545" t="s">
        <v>357</v>
      </c>
      <c r="E308" s="681">
        <v>44896</v>
      </c>
      <c r="F308" s="545">
        <v>744</v>
      </c>
      <c r="G308" s="545" t="s">
        <v>59</v>
      </c>
      <c r="H308" s="545" t="s">
        <v>3</v>
      </c>
      <c r="I308" s="545" t="s">
        <v>44</v>
      </c>
      <c r="J308" s="545" t="s">
        <v>85</v>
      </c>
      <c r="K308" s="545">
        <v>352</v>
      </c>
      <c r="L308" s="725" t="s">
        <v>54</v>
      </c>
      <c r="M308" s="695">
        <v>0</v>
      </c>
      <c r="N308" s="725">
        <v>1.6</v>
      </c>
      <c r="O308" s="695">
        <v>0</v>
      </c>
      <c r="P308" s="725">
        <v>369.80553681568728</v>
      </c>
      <c r="Q308" s="742">
        <f t="shared" si="36"/>
        <v>0</v>
      </c>
      <c r="R308" s="603">
        <f t="shared" si="37"/>
        <v>440216.51102539414</v>
      </c>
      <c r="S308" s="743">
        <f t="shared" si="38"/>
        <v>440216.51102539414</v>
      </c>
      <c r="T308" s="742">
        <v>55.7</v>
      </c>
      <c r="U308" s="603">
        <f t="shared" si="39"/>
        <v>66305.280000000013</v>
      </c>
      <c r="V308" s="743">
        <f t="shared" si="40"/>
        <v>373911.23102539411</v>
      </c>
      <c r="W308" s="744">
        <v>55.7</v>
      </c>
      <c r="X308" s="604">
        <f t="shared" si="41"/>
        <v>66305.280000000013</v>
      </c>
      <c r="Y308" s="701">
        <f t="shared" si="42"/>
        <v>373911.23102539411</v>
      </c>
      <c r="Z308" s="744">
        <v>78.400653594793155</v>
      </c>
      <c r="AA308" s="604">
        <f t="shared" si="43"/>
        <v>93328.138039241778</v>
      </c>
      <c r="AB308" s="745">
        <f t="shared" si="44"/>
        <v>346888.37298615236</v>
      </c>
      <c r="AC308" s="714"/>
    </row>
    <row r="309" spans="1:29" ht="15" customHeight="1" x14ac:dyDescent="0.25">
      <c r="A309" s="713"/>
      <c r="B309" s="730" t="s">
        <v>680</v>
      </c>
      <c r="C309" s="546" t="s">
        <v>40</v>
      </c>
      <c r="D309" s="546" t="s">
        <v>507</v>
      </c>
      <c r="E309" s="682">
        <v>44927</v>
      </c>
      <c r="F309" s="546">
        <v>744</v>
      </c>
      <c r="G309" s="546" t="s">
        <v>58</v>
      </c>
      <c r="H309" s="546" t="s">
        <v>3</v>
      </c>
      <c r="I309" s="546" t="s">
        <v>44</v>
      </c>
      <c r="J309" s="546" t="s">
        <v>84</v>
      </c>
      <c r="K309" s="546">
        <v>248</v>
      </c>
      <c r="L309" s="726" t="s">
        <v>54</v>
      </c>
      <c r="M309" s="696">
        <v>0.3</v>
      </c>
      <c r="N309" s="726">
        <v>0</v>
      </c>
      <c r="O309" s="696">
        <v>272.86021567544179</v>
      </c>
      <c r="P309" s="726">
        <v>0</v>
      </c>
      <c r="Q309" s="746">
        <f t="shared" si="36"/>
        <v>60902.400138758603</v>
      </c>
      <c r="R309" s="606">
        <f t="shared" si="37"/>
        <v>0</v>
      </c>
      <c r="S309" s="747">
        <f t="shared" si="38"/>
        <v>-60902.400138758603</v>
      </c>
      <c r="T309" s="746">
        <v>68.72</v>
      </c>
      <c r="U309" s="606">
        <f t="shared" si="39"/>
        <v>-15338.303999999998</v>
      </c>
      <c r="V309" s="747">
        <f t="shared" si="40"/>
        <v>-45564.096138758607</v>
      </c>
      <c r="W309" s="748">
        <v>55.7</v>
      </c>
      <c r="X309" s="607">
        <f t="shared" si="41"/>
        <v>-12432.24</v>
      </c>
      <c r="Y309" s="702">
        <f t="shared" si="42"/>
        <v>-48470.160138758605</v>
      </c>
      <c r="Z309" s="748">
        <v>96.206580759134184</v>
      </c>
      <c r="AA309" s="607">
        <f t="shared" si="43"/>
        <v>-21473.308825438748</v>
      </c>
      <c r="AB309" s="749">
        <f t="shared" si="44"/>
        <v>-39429.091313319856</v>
      </c>
      <c r="AC309" s="714"/>
    </row>
    <row r="310" spans="1:29" ht="15" customHeight="1" x14ac:dyDescent="0.25">
      <c r="A310" s="713"/>
      <c r="B310" s="714" t="s">
        <v>680</v>
      </c>
      <c r="C310" s="676" t="s">
        <v>40</v>
      </c>
      <c r="D310" s="676" t="s">
        <v>507</v>
      </c>
      <c r="E310" s="680">
        <v>44958</v>
      </c>
      <c r="F310" s="676">
        <v>672</v>
      </c>
      <c r="G310" s="676" t="s">
        <v>58</v>
      </c>
      <c r="H310" s="676" t="s">
        <v>3</v>
      </c>
      <c r="I310" s="676" t="s">
        <v>44</v>
      </c>
      <c r="J310" s="676" t="s">
        <v>84</v>
      </c>
      <c r="K310" s="676">
        <v>248</v>
      </c>
      <c r="L310" s="690" t="s">
        <v>54</v>
      </c>
      <c r="M310" s="691">
        <v>0.3</v>
      </c>
      <c r="N310" s="690">
        <v>0</v>
      </c>
      <c r="O310" s="691">
        <v>272.86021567544179</v>
      </c>
      <c r="P310" s="690">
        <v>0</v>
      </c>
      <c r="Q310" s="738">
        <f t="shared" si="36"/>
        <v>55008.619480169065</v>
      </c>
      <c r="R310" s="677">
        <f t="shared" si="37"/>
        <v>0</v>
      </c>
      <c r="S310" s="739">
        <f t="shared" si="38"/>
        <v>-55008.619480169065</v>
      </c>
      <c r="T310" s="738">
        <v>69.25</v>
      </c>
      <c r="U310" s="677">
        <f t="shared" si="39"/>
        <v>-13960.8</v>
      </c>
      <c r="V310" s="739">
        <f t="shared" si="40"/>
        <v>-41047.81948016907</v>
      </c>
      <c r="W310" s="740">
        <v>55.7</v>
      </c>
      <c r="X310" s="678">
        <f t="shared" si="41"/>
        <v>-11229.12</v>
      </c>
      <c r="Y310" s="700">
        <f t="shared" si="42"/>
        <v>-43779.499480169063</v>
      </c>
      <c r="Z310" s="740">
        <v>92.430648861364247</v>
      </c>
      <c r="AA310" s="678">
        <f t="shared" si="43"/>
        <v>-18634.018810451031</v>
      </c>
      <c r="AB310" s="741">
        <f t="shared" si="44"/>
        <v>-36374.600669718035</v>
      </c>
      <c r="AC310" s="714"/>
    </row>
    <row r="311" spans="1:29" ht="15" customHeight="1" x14ac:dyDescent="0.25">
      <c r="A311" s="713"/>
      <c r="B311" s="714" t="s">
        <v>680</v>
      </c>
      <c r="C311" s="676" t="s">
        <v>40</v>
      </c>
      <c r="D311" s="676" t="s">
        <v>507</v>
      </c>
      <c r="E311" s="680">
        <v>44986</v>
      </c>
      <c r="F311" s="676">
        <v>744</v>
      </c>
      <c r="G311" s="676" t="s">
        <v>58</v>
      </c>
      <c r="H311" s="676" t="s">
        <v>3</v>
      </c>
      <c r="I311" s="676" t="s">
        <v>44</v>
      </c>
      <c r="J311" s="676" t="s">
        <v>84</v>
      </c>
      <c r="K311" s="676">
        <v>248</v>
      </c>
      <c r="L311" s="690" t="s">
        <v>54</v>
      </c>
      <c r="M311" s="691">
        <v>0.3</v>
      </c>
      <c r="N311" s="690">
        <v>0</v>
      </c>
      <c r="O311" s="691">
        <v>272.86021567544179</v>
      </c>
      <c r="P311" s="690">
        <v>0</v>
      </c>
      <c r="Q311" s="738">
        <f t="shared" si="36"/>
        <v>60902.400138758603</v>
      </c>
      <c r="R311" s="677">
        <f t="shared" si="37"/>
        <v>0</v>
      </c>
      <c r="S311" s="739">
        <f t="shared" si="38"/>
        <v>-60902.400138758603</v>
      </c>
      <c r="T311" s="738">
        <v>69.3</v>
      </c>
      <c r="U311" s="677">
        <f t="shared" si="39"/>
        <v>-15467.759999999998</v>
      </c>
      <c r="V311" s="739">
        <f t="shared" si="40"/>
        <v>-45434.640138758608</v>
      </c>
      <c r="W311" s="740">
        <v>55.7</v>
      </c>
      <c r="X311" s="678">
        <f t="shared" si="41"/>
        <v>-12432.24</v>
      </c>
      <c r="Y311" s="700">
        <f t="shared" si="42"/>
        <v>-48470.160138758605</v>
      </c>
      <c r="Z311" s="740">
        <v>89.053218420260009</v>
      </c>
      <c r="AA311" s="678">
        <f t="shared" si="43"/>
        <v>-19876.678351402032</v>
      </c>
      <c r="AB311" s="741">
        <f t="shared" si="44"/>
        <v>-41025.721787356568</v>
      </c>
      <c r="AC311" s="714"/>
    </row>
    <row r="312" spans="1:29" ht="15" customHeight="1" x14ac:dyDescent="0.25">
      <c r="A312" s="713"/>
      <c r="B312" s="714" t="s">
        <v>680</v>
      </c>
      <c r="C312" s="676" t="s">
        <v>40</v>
      </c>
      <c r="D312" s="676" t="s">
        <v>507</v>
      </c>
      <c r="E312" s="680">
        <v>45017</v>
      </c>
      <c r="F312" s="676">
        <v>720</v>
      </c>
      <c r="G312" s="676" t="s">
        <v>58</v>
      </c>
      <c r="H312" s="676" t="s">
        <v>3</v>
      </c>
      <c r="I312" s="676" t="s">
        <v>44</v>
      </c>
      <c r="J312" s="676" t="s">
        <v>84</v>
      </c>
      <c r="K312" s="676">
        <v>248</v>
      </c>
      <c r="L312" s="690" t="s">
        <v>54</v>
      </c>
      <c r="M312" s="691">
        <v>0.3</v>
      </c>
      <c r="N312" s="690">
        <v>0</v>
      </c>
      <c r="O312" s="691">
        <v>272.86021567544179</v>
      </c>
      <c r="P312" s="690">
        <v>0</v>
      </c>
      <c r="Q312" s="738">
        <f t="shared" si="36"/>
        <v>58937.806585895429</v>
      </c>
      <c r="R312" s="677">
        <f t="shared" si="37"/>
        <v>0</v>
      </c>
      <c r="S312" s="739">
        <f t="shared" si="38"/>
        <v>-58937.806585895429</v>
      </c>
      <c r="T312" s="738">
        <v>69.8</v>
      </c>
      <c r="U312" s="677">
        <f t="shared" si="39"/>
        <v>-15076.8</v>
      </c>
      <c r="V312" s="739">
        <f t="shared" si="40"/>
        <v>-43861.006585895433</v>
      </c>
      <c r="W312" s="740">
        <v>55.7</v>
      </c>
      <c r="X312" s="678">
        <f t="shared" si="41"/>
        <v>-12031.2</v>
      </c>
      <c r="Y312" s="700">
        <f t="shared" si="42"/>
        <v>-46906.606585895424</v>
      </c>
      <c r="Z312" s="740">
        <v>85.732008718771311</v>
      </c>
      <c r="AA312" s="678">
        <f t="shared" si="43"/>
        <v>-18518.113883254602</v>
      </c>
      <c r="AB312" s="741">
        <f t="shared" si="44"/>
        <v>-40419.692702640823</v>
      </c>
      <c r="AC312" s="714"/>
    </row>
    <row r="313" spans="1:29" ht="15" customHeight="1" x14ac:dyDescent="0.25">
      <c r="A313" s="713"/>
      <c r="B313" s="714" t="s">
        <v>680</v>
      </c>
      <c r="C313" s="676" t="s">
        <v>40</v>
      </c>
      <c r="D313" s="676" t="s">
        <v>507</v>
      </c>
      <c r="E313" s="680">
        <v>45047</v>
      </c>
      <c r="F313" s="676">
        <v>744</v>
      </c>
      <c r="G313" s="676" t="s">
        <v>58</v>
      </c>
      <c r="H313" s="676" t="s">
        <v>3</v>
      </c>
      <c r="I313" s="676" t="s">
        <v>44</v>
      </c>
      <c r="J313" s="676" t="s">
        <v>84</v>
      </c>
      <c r="K313" s="676">
        <v>248</v>
      </c>
      <c r="L313" s="690" t="s">
        <v>54</v>
      </c>
      <c r="M313" s="691">
        <v>0.3</v>
      </c>
      <c r="N313" s="690">
        <v>0</v>
      </c>
      <c r="O313" s="691">
        <v>272.86021567544179</v>
      </c>
      <c r="P313" s="690">
        <v>0</v>
      </c>
      <c r="Q313" s="738">
        <f t="shared" si="36"/>
        <v>60902.400138758603</v>
      </c>
      <c r="R313" s="677">
        <f t="shared" si="37"/>
        <v>0</v>
      </c>
      <c r="S313" s="739">
        <f t="shared" si="38"/>
        <v>-60902.400138758603</v>
      </c>
      <c r="T313" s="738">
        <v>70.2</v>
      </c>
      <c r="U313" s="677">
        <f t="shared" si="39"/>
        <v>-15668.64</v>
      </c>
      <c r="V313" s="739">
        <f t="shared" si="40"/>
        <v>-45233.760138758604</v>
      </c>
      <c r="W313" s="740">
        <v>55.7</v>
      </c>
      <c r="X313" s="678">
        <f t="shared" si="41"/>
        <v>-12432.24</v>
      </c>
      <c r="Y313" s="700">
        <f t="shared" si="42"/>
        <v>-48470.160138758605</v>
      </c>
      <c r="Z313" s="740">
        <v>86.223309628334476</v>
      </c>
      <c r="AA313" s="678">
        <f t="shared" si="43"/>
        <v>-19245.042709044254</v>
      </c>
      <c r="AB313" s="741">
        <f t="shared" si="44"/>
        <v>-41657.35742971435</v>
      </c>
      <c r="AC313" s="714"/>
    </row>
    <row r="314" spans="1:29" ht="15" customHeight="1" x14ac:dyDescent="0.25">
      <c r="A314" s="713"/>
      <c r="B314" s="714" t="s">
        <v>680</v>
      </c>
      <c r="C314" s="676" t="s">
        <v>40</v>
      </c>
      <c r="D314" s="676" t="s">
        <v>507</v>
      </c>
      <c r="E314" s="680">
        <v>45078</v>
      </c>
      <c r="F314" s="676">
        <v>720</v>
      </c>
      <c r="G314" s="676" t="s">
        <v>58</v>
      </c>
      <c r="H314" s="676" t="s">
        <v>3</v>
      </c>
      <c r="I314" s="676" t="s">
        <v>44</v>
      </c>
      <c r="J314" s="676" t="s">
        <v>84</v>
      </c>
      <c r="K314" s="676">
        <v>248</v>
      </c>
      <c r="L314" s="690" t="s">
        <v>54</v>
      </c>
      <c r="M314" s="691">
        <v>0.3</v>
      </c>
      <c r="N314" s="690">
        <v>0</v>
      </c>
      <c r="O314" s="691">
        <v>272.86021567544179</v>
      </c>
      <c r="P314" s="690">
        <v>0</v>
      </c>
      <c r="Q314" s="738">
        <f t="shared" si="36"/>
        <v>58937.806585895429</v>
      </c>
      <c r="R314" s="677">
        <f t="shared" si="37"/>
        <v>0</v>
      </c>
      <c r="S314" s="739">
        <f t="shared" si="38"/>
        <v>-58937.806585895429</v>
      </c>
      <c r="T314" s="738">
        <v>72.400000000000006</v>
      </c>
      <c r="U314" s="677">
        <f t="shared" si="39"/>
        <v>-15638.400000000001</v>
      </c>
      <c r="V314" s="739">
        <f t="shared" si="40"/>
        <v>-43299.406585895427</v>
      </c>
      <c r="W314" s="740">
        <v>55.874535369068141</v>
      </c>
      <c r="X314" s="678">
        <f t="shared" si="41"/>
        <v>-12068.899639718718</v>
      </c>
      <c r="Y314" s="700">
        <f t="shared" si="42"/>
        <v>-46868.906946176707</v>
      </c>
      <c r="Z314" s="740">
        <v>88.925464630931856</v>
      </c>
      <c r="AA314" s="678">
        <f t="shared" si="43"/>
        <v>-19207.900360281281</v>
      </c>
      <c r="AB314" s="741">
        <f t="shared" si="44"/>
        <v>-39729.906225614148</v>
      </c>
      <c r="AC314" s="714"/>
    </row>
    <row r="315" spans="1:29" ht="15" customHeight="1" x14ac:dyDescent="0.25">
      <c r="A315" s="713"/>
      <c r="B315" s="714" t="s">
        <v>680</v>
      </c>
      <c r="C315" s="676" t="s">
        <v>40</v>
      </c>
      <c r="D315" s="676" t="s">
        <v>507</v>
      </c>
      <c r="E315" s="680">
        <v>45108</v>
      </c>
      <c r="F315" s="676">
        <v>744</v>
      </c>
      <c r="G315" s="676" t="s">
        <v>58</v>
      </c>
      <c r="H315" s="676" t="s">
        <v>3</v>
      </c>
      <c r="I315" s="676" t="s">
        <v>44</v>
      </c>
      <c r="J315" s="676" t="s">
        <v>84</v>
      </c>
      <c r="K315" s="676">
        <v>248</v>
      </c>
      <c r="L315" s="690" t="s">
        <v>54</v>
      </c>
      <c r="M315" s="691">
        <v>0.3</v>
      </c>
      <c r="N315" s="690">
        <v>0</v>
      </c>
      <c r="O315" s="691">
        <v>272.86021567544179</v>
      </c>
      <c r="P315" s="690">
        <v>0</v>
      </c>
      <c r="Q315" s="738">
        <f t="shared" si="36"/>
        <v>60902.400138758603</v>
      </c>
      <c r="R315" s="677">
        <f t="shared" si="37"/>
        <v>0</v>
      </c>
      <c r="S315" s="739">
        <f t="shared" si="38"/>
        <v>-60902.400138758603</v>
      </c>
      <c r="T315" s="738">
        <v>77.150000000000006</v>
      </c>
      <c r="U315" s="677">
        <f t="shared" si="39"/>
        <v>-17219.88</v>
      </c>
      <c r="V315" s="739">
        <f t="shared" si="40"/>
        <v>-43682.520138758598</v>
      </c>
      <c r="W315" s="740">
        <v>59.54033706800562</v>
      </c>
      <c r="X315" s="678">
        <f t="shared" si="41"/>
        <v>-13289.403233578854</v>
      </c>
      <c r="Y315" s="700">
        <f t="shared" si="42"/>
        <v>-47612.996905179753</v>
      </c>
      <c r="Z315" s="740">
        <v>94.759662931994384</v>
      </c>
      <c r="AA315" s="678">
        <f t="shared" si="43"/>
        <v>-21150.356766421144</v>
      </c>
      <c r="AB315" s="741">
        <f t="shared" si="44"/>
        <v>-39752.043372337459</v>
      </c>
      <c r="AC315" s="714"/>
    </row>
    <row r="316" spans="1:29" ht="15" customHeight="1" x14ac:dyDescent="0.25">
      <c r="A316" s="713"/>
      <c r="B316" s="714" t="s">
        <v>680</v>
      </c>
      <c r="C316" s="676" t="s">
        <v>40</v>
      </c>
      <c r="D316" s="676" t="s">
        <v>507</v>
      </c>
      <c r="E316" s="680">
        <v>45139</v>
      </c>
      <c r="F316" s="676">
        <v>744</v>
      </c>
      <c r="G316" s="676" t="s">
        <v>58</v>
      </c>
      <c r="H316" s="676" t="s">
        <v>3</v>
      </c>
      <c r="I316" s="676" t="s">
        <v>44</v>
      </c>
      <c r="J316" s="676" t="s">
        <v>84</v>
      </c>
      <c r="K316" s="676">
        <v>248</v>
      </c>
      <c r="L316" s="690" t="s">
        <v>54</v>
      </c>
      <c r="M316" s="691">
        <v>0.3</v>
      </c>
      <c r="N316" s="690">
        <v>0</v>
      </c>
      <c r="O316" s="691">
        <v>272.86021567544179</v>
      </c>
      <c r="P316" s="690">
        <v>0</v>
      </c>
      <c r="Q316" s="738">
        <f t="shared" si="36"/>
        <v>60902.400138758603</v>
      </c>
      <c r="R316" s="677">
        <f t="shared" si="37"/>
        <v>0</v>
      </c>
      <c r="S316" s="739">
        <f t="shared" si="38"/>
        <v>-60902.400138758603</v>
      </c>
      <c r="T316" s="738">
        <v>77.150000000000006</v>
      </c>
      <c r="U316" s="677">
        <f t="shared" si="39"/>
        <v>-17219.88</v>
      </c>
      <c r="V316" s="739">
        <f t="shared" si="40"/>
        <v>-43682.520138758598</v>
      </c>
      <c r="W316" s="740">
        <v>59.54033706800562</v>
      </c>
      <c r="X316" s="678">
        <f t="shared" si="41"/>
        <v>-13289.403233578854</v>
      </c>
      <c r="Y316" s="700">
        <f t="shared" si="42"/>
        <v>-47612.996905179753</v>
      </c>
      <c r="Z316" s="740">
        <v>94.759662931994384</v>
      </c>
      <c r="AA316" s="678">
        <f t="shared" si="43"/>
        <v>-21150.356766421144</v>
      </c>
      <c r="AB316" s="741">
        <f t="shared" si="44"/>
        <v>-39752.043372337459</v>
      </c>
      <c r="AC316" s="714"/>
    </row>
    <row r="317" spans="1:29" ht="15" customHeight="1" x14ac:dyDescent="0.25">
      <c r="A317" s="713"/>
      <c r="B317" s="714" t="s">
        <v>680</v>
      </c>
      <c r="C317" s="676" t="s">
        <v>40</v>
      </c>
      <c r="D317" s="676" t="s">
        <v>507</v>
      </c>
      <c r="E317" s="680">
        <v>45170</v>
      </c>
      <c r="F317" s="676">
        <v>720</v>
      </c>
      <c r="G317" s="676" t="s">
        <v>58</v>
      </c>
      <c r="H317" s="676" t="s">
        <v>3</v>
      </c>
      <c r="I317" s="676" t="s">
        <v>44</v>
      </c>
      <c r="J317" s="676" t="s">
        <v>84</v>
      </c>
      <c r="K317" s="676">
        <v>248</v>
      </c>
      <c r="L317" s="690" t="s">
        <v>54</v>
      </c>
      <c r="M317" s="691">
        <v>0.3</v>
      </c>
      <c r="N317" s="690">
        <v>0</v>
      </c>
      <c r="O317" s="691">
        <v>272.86021567544179</v>
      </c>
      <c r="P317" s="690">
        <v>0</v>
      </c>
      <c r="Q317" s="738">
        <f t="shared" si="36"/>
        <v>58937.806585895429</v>
      </c>
      <c r="R317" s="677">
        <f t="shared" si="37"/>
        <v>0</v>
      </c>
      <c r="S317" s="739">
        <f t="shared" si="38"/>
        <v>-58937.806585895429</v>
      </c>
      <c r="T317" s="738">
        <v>77.150000000000006</v>
      </c>
      <c r="U317" s="677">
        <f t="shared" si="39"/>
        <v>-16664.400000000001</v>
      </c>
      <c r="V317" s="739">
        <f t="shared" si="40"/>
        <v>-42273.406585895427</v>
      </c>
      <c r="W317" s="740">
        <v>59.54033706800562</v>
      </c>
      <c r="X317" s="678">
        <f t="shared" si="41"/>
        <v>-12860.712806689215</v>
      </c>
      <c r="Y317" s="700">
        <f t="shared" si="42"/>
        <v>-46077.093779206218</v>
      </c>
      <c r="Z317" s="740">
        <v>94.759662931994384</v>
      </c>
      <c r="AA317" s="678">
        <f t="shared" si="43"/>
        <v>-20468.087193310788</v>
      </c>
      <c r="AB317" s="741">
        <f t="shared" si="44"/>
        <v>-38469.719392584637</v>
      </c>
      <c r="AC317" s="714"/>
    </row>
    <row r="318" spans="1:29" ht="15" customHeight="1" x14ac:dyDescent="0.25">
      <c r="A318" s="713"/>
      <c r="B318" s="714" t="s">
        <v>680</v>
      </c>
      <c r="C318" s="676" t="s">
        <v>40</v>
      </c>
      <c r="D318" s="676" t="s">
        <v>507</v>
      </c>
      <c r="E318" s="680">
        <v>45200</v>
      </c>
      <c r="F318" s="676">
        <v>744</v>
      </c>
      <c r="G318" s="676" t="s">
        <v>58</v>
      </c>
      <c r="H318" s="676" t="s">
        <v>3</v>
      </c>
      <c r="I318" s="676" t="s">
        <v>44</v>
      </c>
      <c r="J318" s="676" t="s">
        <v>84</v>
      </c>
      <c r="K318" s="676">
        <v>248</v>
      </c>
      <c r="L318" s="690" t="s">
        <v>54</v>
      </c>
      <c r="M318" s="691">
        <v>0.3</v>
      </c>
      <c r="N318" s="690">
        <v>0</v>
      </c>
      <c r="O318" s="691">
        <v>272.86021567544179</v>
      </c>
      <c r="P318" s="690">
        <v>0</v>
      </c>
      <c r="Q318" s="738">
        <f t="shared" si="36"/>
        <v>60902.400138758603</v>
      </c>
      <c r="R318" s="677">
        <f t="shared" si="37"/>
        <v>0</v>
      </c>
      <c r="S318" s="739">
        <f t="shared" si="38"/>
        <v>-60902.400138758603</v>
      </c>
      <c r="T318" s="738">
        <v>80.45</v>
      </c>
      <c r="U318" s="677">
        <f t="shared" si="39"/>
        <v>-17956.439999999999</v>
      </c>
      <c r="V318" s="739">
        <f t="shared" si="40"/>
        <v>-42945.960138758601</v>
      </c>
      <c r="W318" s="740">
        <v>62.087104564109552</v>
      </c>
      <c r="X318" s="678">
        <f t="shared" si="41"/>
        <v>-13857.84173870925</v>
      </c>
      <c r="Y318" s="700">
        <f t="shared" si="42"/>
        <v>-47044.558400049355</v>
      </c>
      <c r="Z318" s="740">
        <v>98.812895435890439</v>
      </c>
      <c r="AA318" s="678">
        <f t="shared" si="43"/>
        <v>-22055.038261290745</v>
      </c>
      <c r="AB318" s="741">
        <f t="shared" si="44"/>
        <v>-38847.361877467862</v>
      </c>
      <c r="AC318" s="714"/>
    </row>
    <row r="319" spans="1:29" ht="15" customHeight="1" x14ac:dyDescent="0.25">
      <c r="A319" s="713"/>
      <c r="B319" s="714" t="s">
        <v>680</v>
      </c>
      <c r="C319" s="676" t="s">
        <v>40</v>
      </c>
      <c r="D319" s="676" t="s">
        <v>507</v>
      </c>
      <c r="E319" s="680">
        <v>45231</v>
      </c>
      <c r="F319" s="676">
        <v>720</v>
      </c>
      <c r="G319" s="676" t="s">
        <v>58</v>
      </c>
      <c r="H319" s="676" t="s">
        <v>3</v>
      </c>
      <c r="I319" s="676" t="s">
        <v>44</v>
      </c>
      <c r="J319" s="676" t="s">
        <v>84</v>
      </c>
      <c r="K319" s="676">
        <v>248</v>
      </c>
      <c r="L319" s="690" t="s">
        <v>54</v>
      </c>
      <c r="M319" s="691">
        <v>0.3</v>
      </c>
      <c r="N319" s="690">
        <v>0</v>
      </c>
      <c r="O319" s="691">
        <v>272.86021567544179</v>
      </c>
      <c r="P319" s="690">
        <v>0</v>
      </c>
      <c r="Q319" s="738">
        <f t="shared" si="36"/>
        <v>58937.806585895429</v>
      </c>
      <c r="R319" s="677">
        <f t="shared" si="37"/>
        <v>0</v>
      </c>
      <c r="S319" s="739">
        <f t="shared" si="38"/>
        <v>-58937.806585895429</v>
      </c>
      <c r="T319" s="738">
        <v>80.45</v>
      </c>
      <c r="U319" s="677">
        <f t="shared" si="39"/>
        <v>-17377.2</v>
      </c>
      <c r="V319" s="739">
        <f t="shared" si="40"/>
        <v>-41560.606585895424</v>
      </c>
      <c r="W319" s="740">
        <v>62.087104564109552</v>
      </c>
      <c r="X319" s="678">
        <f t="shared" si="41"/>
        <v>-13410.814585847664</v>
      </c>
      <c r="Y319" s="700">
        <f t="shared" si="42"/>
        <v>-45526.992000047765</v>
      </c>
      <c r="Z319" s="740">
        <v>98.812895435890439</v>
      </c>
      <c r="AA319" s="678">
        <f t="shared" si="43"/>
        <v>-21343.585414152334</v>
      </c>
      <c r="AB319" s="741">
        <f t="shared" si="44"/>
        <v>-37594.221171743091</v>
      </c>
      <c r="AC319" s="714"/>
    </row>
    <row r="320" spans="1:29" ht="15" customHeight="1" x14ac:dyDescent="0.25">
      <c r="A320" s="713"/>
      <c r="B320" s="729" t="s">
        <v>680</v>
      </c>
      <c r="C320" s="545" t="s">
        <v>40</v>
      </c>
      <c r="D320" s="545" t="s">
        <v>507</v>
      </c>
      <c r="E320" s="681">
        <v>45261</v>
      </c>
      <c r="F320" s="545">
        <v>744</v>
      </c>
      <c r="G320" s="545" t="s">
        <v>58</v>
      </c>
      <c r="H320" s="545" t="s">
        <v>3</v>
      </c>
      <c r="I320" s="545" t="s">
        <v>44</v>
      </c>
      <c r="J320" s="545" t="s">
        <v>84</v>
      </c>
      <c r="K320" s="545">
        <v>248</v>
      </c>
      <c r="L320" s="725" t="s">
        <v>54</v>
      </c>
      <c r="M320" s="695">
        <v>0.3</v>
      </c>
      <c r="N320" s="725">
        <v>0</v>
      </c>
      <c r="O320" s="695">
        <v>272.86021567544179</v>
      </c>
      <c r="P320" s="725">
        <v>0</v>
      </c>
      <c r="Q320" s="742">
        <f t="shared" si="36"/>
        <v>60902.400138758603</v>
      </c>
      <c r="R320" s="603">
        <f t="shared" si="37"/>
        <v>0</v>
      </c>
      <c r="S320" s="743">
        <f t="shared" si="38"/>
        <v>-60902.400138758603</v>
      </c>
      <c r="T320" s="742">
        <v>80.45</v>
      </c>
      <c r="U320" s="603">
        <f t="shared" si="39"/>
        <v>-17956.439999999999</v>
      </c>
      <c r="V320" s="743">
        <f t="shared" si="40"/>
        <v>-42945.960138758601</v>
      </c>
      <c r="W320" s="744">
        <v>62.087104564109552</v>
      </c>
      <c r="X320" s="604">
        <f t="shared" si="41"/>
        <v>-13857.84173870925</v>
      </c>
      <c r="Y320" s="701">
        <f t="shared" si="42"/>
        <v>-47044.558400049355</v>
      </c>
      <c r="Z320" s="744">
        <v>98.812895435890439</v>
      </c>
      <c r="AA320" s="604">
        <f t="shared" si="43"/>
        <v>-22055.038261290745</v>
      </c>
      <c r="AB320" s="745">
        <f t="shared" si="44"/>
        <v>-38847.361877467862</v>
      </c>
      <c r="AC320" s="714"/>
    </row>
    <row r="321" spans="1:29" ht="15" customHeight="1" x14ac:dyDescent="0.25">
      <c r="A321" s="713"/>
      <c r="B321" s="730" t="s">
        <v>682</v>
      </c>
      <c r="C321" s="546" t="s">
        <v>40</v>
      </c>
      <c r="D321" s="546" t="s">
        <v>507</v>
      </c>
      <c r="E321" s="682">
        <v>44562</v>
      </c>
      <c r="F321" s="546">
        <v>744</v>
      </c>
      <c r="G321" s="546" t="s">
        <v>58</v>
      </c>
      <c r="H321" s="546" t="s">
        <v>3</v>
      </c>
      <c r="I321" s="546" t="s">
        <v>44</v>
      </c>
      <c r="J321" s="546" t="s">
        <v>84</v>
      </c>
      <c r="K321" s="546">
        <v>354</v>
      </c>
      <c r="L321" s="726" t="s">
        <v>54</v>
      </c>
      <c r="M321" s="696">
        <v>0.3</v>
      </c>
      <c r="N321" s="726">
        <v>0</v>
      </c>
      <c r="O321" s="696">
        <v>368.69906825163162</v>
      </c>
      <c r="P321" s="726">
        <v>0</v>
      </c>
      <c r="Q321" s="746">
        <f t="shared" si="36"/>
        <v>82293.632033764166</v>
      </c>
      <c r="R321" s="606">
        <f t="shared" si="37"/>
        <v>0</v>
      </c>
      <c r="S321" s="747">
        <f t="shared" si="38"/>
        <v>-82293.632033764166</v>
      </c>
      <c r="T321" s="746">
        <v>62.91</v>
      </c>
      <c r="U321" s="606">
        <f t="shared" si="39"/>
        <v>-14041.511999999999</v>
      </c>
      <c r="V321" s="747">
        <f t="shared" si="40"/>
        <v>-68252.120033764164</v>
      </c>
      <c r="W321" s="748">
        <v>62.91</v>
      </c>
      <c r="X321" s="607">
        <f t="shared" si="41"/>
        <v>-14041.511999999999</v>
      </c>
      <c r="Y321" s="702">
        <f t="shared" si="42"/>
        <v>-68252.120033764164</v>
      </c>
      <c r="Z321" s="748">
        <v>62.91</v>
      </c>
      <c r="AA321" s="607">
        <f t="shared" si="43"/>
        <v>-14041.511999999999</v>
      </c>
      <c r="AB321" s="749">
        <f t="shared" si="44"/>
        <v>-68252.120033764164</v>
      </c>
      <c r="AC321" s="714"/>
    </row>
    <row r="322" spans="1:29" ht="15" customHeight="1" x14ac:dyDescent="0.25">
      <c r="A322" s="713"/>
      <c r="B322" s="714" t="s">
        <v>682</v>
      </c>
      <c r="C322" s="676" t="s">
        <v>40</v>
      </c>
      <c r="D322" s="676" t="s">
        <v>507</v>
      </c>
      <c r="E322" s="680">
        <v>44593</v>
      </c>
      <c r="F322" s="676">
        <v>672</v>
      </c>
      <c r="G322" s="676" t="s">
        <v>58</v>
      </c>
      <c r="H322" s="676" t="s">
        <v>3</v>
      </c>
      <c r="I322" s="676" t="s">
        <v>44</v>
      </c>
      <c r="J322" s="676" t="s">
        <v>84</v>
      </c>
      <c r="K322" s="676">
        <v>354</v>
      </c>
      <c r="L322" s="690" t="s">
        <v>54</v>
      </c>
      <c r="M322" s="691">
        <v>0.3</v>
      </c>
      <c r="N322" s="690">
        <v>0</v>
      </c>
      <c r="O322" s="691">
        <v>368.69906825163162</v>
      </c>
      <c r="P322" s="690">
        <v>0</v>
      </c>
      <c r="Q322" s="738">
        <f t="shared" si="36"/>
        <v>74329.732159528925</v>
      </c>
      <c r="R322" s="677">
        <f t="shared" si="37"/>
        <v>0</v>
      </c>
      <c r="S322" s="739">
        <f t="shared" si="38"/>
        <v>-74329.732159528925</v>
      </c>
      <c r="T322" s="738">
        <v>55.7</v>
      </c>
      <c r="U322" s="677">
        <f t="shared" si="39"/>
        <v>-11229.12</v>
      </c>
      <c r="V322" s="739">
        <f t="shared" si="40"/>
        <v>-63100.612159528922</v>
      </c>
      <c r="W322" s="740">
        <v>55.7</v>
      </c>
      <c r="X322" s="678">
        <f t="shared" si="41"/>
        <v>-11229.12</v>
      </c>
      <c r="Y322" s="700">
        <f t="shared" si="42"/>
        <v>-63100.612159528922</v>
      </c>
      <c r="Z322" s="740">
        <v>55.7</v>
      </c>
      <c r="AA322" s="678">
        <f t="shared" si="43"/>
        <v>-11229.12</v>
      </c>
      <c r="AB322" s="741">
        <f t="shared" si="44"/>
        <v>-63100.612159528922</v>
      </c>
      <c r="AC322" s="714"/>
    </row>
    <row r="323" spans="1:29" ht="15" customHeight="1" x14ac:dyDescent="0.25">
      <c r="A323" s="713"/>
      <c r="B323" s="714" t="s">
        <v>682</v>
      </c>
      <c r="C323" s="676" t="s">
        <v>40</v>
      </c>
      <c r="D323" s="676" t="s">
        <v>507</v>
      </c>
      <c r="E323" s="680">
        <v>44621</v>
      </c>
      <c r="F323" s="676">
        <v>744</v>
      </c>
      <c r="G323" s="676" t="s">
        <v>58</v>
      </c>
      <c r="H323" s="676" t="s">
        <v>3</v>
      </c>
      <c r="I323" s="676" t="s">
        <v>44</v>
      </c>
      <c r="J323" s="676" t="s">
        <v>84</v>
      </c>
      <c r="K323" s="676">
        <v>354</v>
      </c>
      <c r="L323" s="690" t="s">
        <v>54</v>
      </c>
      <c r="M323" s="691">
        <v>0.3</v>
      </c>
      <c r="N323" s="690">
        <v>0</v>
      </c>
      <c r="O323" s="691">
        <v>368.69906825163162</v>
      </c>
      <c r="P323" s="690">
        <v>0</v>
      </c>
      <c r="Q323" s="738">
        <f t="shared" ref="Q323:Q386" si="45">(O323*(M323*F323))</f>
        <v>82293.632033764166</v>
      </c>
      <c r="R323" s="677">
        <f t="shared" ref="R323:R386" si="46">(P323*(N323*F323))</f>
        <v>0</v>
      </c>
      <c r="S323" s="739">
        <f t="shared" ref="S323:S386" si="47">R323-Q323</f>
        <v>-82293.632033764166</v>
      </c>
      <c r="T323" s="738">
        <v>55.7</v>
      </c>
      <c r="U323" s="677">
        <f t="shared" ref="U323:U386" si="48">(((F323*N323)*T323)-(T323*(M323*F323)))</f>
        <v>-12432.24</v>
      </c>
      <c r="V323" s="739">
        <f t="shared" ref="V323:V386" si="49">S323-U323</f>
        <v>-69861.392033764161</v>
      </c>
      <c r="W323" s="740">
        <v>55.7</v>
      </c>
      <c r="X323" s="678">
        <f t="shared" ref="X323:X386" si="50">(((F323*N323)*W323)-(W323*(M323*F323)))</f>
        <v>-12432.24</v>
      </c>
      <c r="Y323" s="700">
        <f t="shared" ref="Y323:Y386" si="51">S323-X323</f>
        <v>-69861.392033764161</v>
      </c>
      <c r="Z323" s="740">
        <v>55.7</v>
      </c>
      <c r="AA323" s="678">
        <f t="shared" ref="AA323:AA386" si="52">(((F323*N323)*Z323)-(Z323*(M323*F323)))</f>
        <v>-12432.24</v>
      </c>
      <c r="AB323" s="741">
        <f t="shared" ref="AB323:AB386" si="53">S323-AA323</f>
        <v>-69861.392033764161</v>
      </c>
      <c r="AC323" s="714"/>
    </row>
    <row r="324" spans="1:29" ht="15" customHeight="1" x14ac:dyDescent="0.25">
      <c r="A324" s="713"/>
      <c r="B324" s="714" t="s">
        <v>682</v>
      </c>
      <c r="C324" s="676" t="s">
        <v>40</v>
      </c>
      <c r="D324" s="676" t="s">
        <v>507</v>
      </c>
      <c r="E324" s="680">
        <v>44652</v>
      </c>
      <c r="F324" s="676">
        <v>720</v>
      </c>
      <c r="G324" s="676" t="s">
        <v>58</v>
      </c>
      <c r="H324" s="676" t="s">
        <v>3</v>
      </c>
      <c r="I324" s="676" t="s">
        <v>44</v>
      </c>
      <c r="J324" s="676" t="s">
        <v>84</v>
      </c>
      <c r="K324" s="676">
        <v>354</v>
      </c>
      <c r="L324" s="690" t="s">
        <v>54</v>
      </c>
      <c r="M324" s="691">
        <v>0.3</v>
      </c>
      <c r="N324" s="690">
        <v>0</v>
      </c>
      <c r="O324" s="691">
        <v>368.69906825163162</v>
      </c>
      <c r="P324" s="690">
        <v>0</v>
      </c>
      <c r="Q324" s="738">
        <f t="shared" si="45"/>
        <v>79638.998742352429</v>
      </c>
      <c r="R324" s="677">
        <f t="shared" si="46"/>
        <v>0</v>
      </c>
      <c r="S324" s="739">
        <f t="shared" si="47"/>
        <v>-79638.998742352429</v>
      </c>
      <c r="T324" s="738">
        <v>55.7</v>
      </c>
      <c r="U324" s="677">
        <f t="shared" si="48"/>
        <v>-12031.2</v>
      </c>
      <c r="V324" s="739">
        <f t="shared" si="49"/>
        <v>-67607.798742352432</v>
      </c>
      <c r="W324" s="740">
        <v>55.7</v>
      </c>
      <c r="X324" s="678">
        <f t="shared" si="50"/>
        <v>-12031.2</v>
      </c>
      <c r="Y324" s="700">
        <f t="shared" si="51"/>
        <v>-67607.798742352432</v>
      </c>
      <c r="Z324" s="740">
        <v>55.7</v>
      </c>
      <c r="AA324" s="678">
        <f t="shared" si="52"/>
        <v>-12031.2</v>
      </c>
      <c r="AB324" s="741">
        <f t="shared" si="53"/>
        <v>-67607.798742352432</v>
      </c>
      <c r="AC324" s="714"/>
    </row>
    <row r="325" spans="1:29" ht="15" customHeight="1" x14ac:dyDescent="0.25">
      <c r="A325" s="713"/>
      <c r="B325" s="714" t="s">
        <v>682</v>
      </c>
      <c r="C325" s="676" t="s">
        <v>40</v>
      </c>
      <c r="D325" s="676" t="s">
        <v>507</v>
      </c>
      <c r="E325" s="680">
        <v>44682</v>
      </c>
      <c r="F325" s="676">
        <v>744</v>
      </c>
      <c r="G325" s="676" t="s">
        <v>58</v>
      </c>
      <c r="H325" s="676" t="s">
        <v>3</v>
      </c>
      <c r="I325" s="676" t="s">
        <v>44</v>
      </c>
      <c r="J325" s="676" t="s">
        <v>84</v>
      </c>
      <c r="K325" s="676">
        <v>354</v>
      </c>
      <c r="L325" s="690" t="s">
        <v>54</v>
      </c>
      <c r="M325" s="691">
        <v>0.3</v>
      </c>
      <c r="N325" s="690">
        <v>0</v>
      </c>
      <c r="O325" s="691">
        <v>368.69906825163162</v>
      </c>
      <c r="P325" s="690">
        <v>0</v>
      </c>
      <c r="Q325" s="738">
        <f t="shared" si="45"/>
        <v>82293.632033764166</v>
      </c>
      <c r="R325" s="677">
        <f t="shared" si="46"/>
        <v>0</v>
      </c>
      <c r="S325" s="739">
        <f t="shared" si="47"/>
        <v>-82293.632033764166</v>
      </c>
      <c r="T325" s="738">
        <v>55.7</v>
      </c>
      <c r="U325" s="677">
        <f t="shared" si="48"/>
        <v>-12432.24</v>
      </c>
      <c r="V325" s="739">
        <f t="shared" si="49"/>
        <v>-69861.392033764161</v>
      </c>
      <c r="W325" s="740">
        <v>55.7</v>
      </c>
      <c r="X325" s="678">
        <f t="shared" si="50"/>
        <v>-12432.24</v>
      </c>
      <c r="Y325" s="700">
        <f t="shared" si="51"/>
        <v>-69861.392033764161</v>
      </c>
      <c r="Z325" s="740">
        <v>55.7</v>
      </c>
      <c r="AA325" s="678">
        <f t="shared" si="52"/>
        <v>-12432.24</v>
      </c>
      <c r="AB325" s="741">
        <f t="shared" si="53"/>
        <v>-69861.392033764161</v>
      </c>
      <c r="AC325" s="714"/>
    </row>
    <row r="326" spans="1:29" ht="15" customHeight="1" x14ac:dyDescent="0.25">
      <c r="A326" s="713"/>
      <c r="B326" s="714" t="s">
        <v>682</v>
      </c>
      <c r="C326" s="676" t="s">
        <v>40</v>
      </c>
      <c r="D326" s="676" t="s">
        <v>507</v>
      </c>
      <c r="E326" s="680">
        <v>44713</v>
      </c>
      <c r="F326" s="676">
        <v>720</v>
      </c>
      <c r="G326" s="676" t="s">
        <v>58</v>
      </c>
      <c r="H326" s="676" t="s">
        <v>3</v>
      </c>
      <c r="I326" s="676" t="s">
        <v>44</v>
      </c>
      <c r="J326" s="676" t="s">
        <v>84</v>
      </c>
      <c r="K326" s="676">
        <v>354</v>
      </c>
      <c r="L326" s="690" t="s">
        <v>54</v>
      </c>
      <c r="M326" s="691">
        <v>0.3</v>
      </c>
      <c r="N326" s="690">
        <v>0</v>
      </c>
      <c r="O326" s="691">
        <v>368.69906825163162</v>
      </c>
      <c r="P326" s="690">
        <v>0</v>
      </c>
      <c r="Q326" s="738">
        <f t="shared" si="45"/>
        <v>79638.998742352429</v>
      </c>
      <c r="R326" s="677">
        <f t="shared" si="46"/>
        <v>0</v>
      </c>
      <c r="S326" s="739">
        <f t="shared" si="47"/>
        <v>-79638.998742352429</v>
      </c>
      <c r="T326" s="738">
        <v>55.71</v>
      </c>
      <c r="U326" s="677">
        <f t="shared" si="48"/>
        <v>-12033.36</v>
      </c>
      <c r="V326" s="739">
        <f t="shared" si="49"/>
        <v>-67605.638742352428</v>
      </c>
      <c r="W326" s="740">
        <v>55.71</v>
      </c>
      <c r="X326" s="678">
        <f t="shared" si="50"/>
        <v>-12033.36</v>
      </c>
      <c r="Y326" s="700">
        <f t="shared" si="51"/>
        <v>-67605.638742352428</v>
      </c>
      <c r="Z326" s="740">
        <v>55.71</v>
      </c>
      <c r="AA326" s="678">
        <f t="shared" si="52"/>
        <v>-12033.36</v>
      </c>
      <c r="AB326" s="741">
        <f t="shared" si="53"/>
        <v>-67605.638742352428</v>
      </c>
      <c r="AC326" s="714"/>
    </row>
    <row r="327" spans="1:29" ht="15" customHeight="1" x14ac:dyDescent="0.25">
      <c r="A327" s="713"/>
      <c r="B327" s="714" t="s">
        <v>682</v>
      </c>
      <c r="C327" s="676" t="s">
        <v>40</v>
      </c>
      <c r="D327" s="676" t="s">
        <v>507</v>
      </c>
      <c r="E327" s="680">
        <v>44743</v>
      </c>
      <c r="F327" s="676">
        <v>744</v>
      </c>
      <c r="G327" s="676" t="s">
        <v>58</v>
      </c>
      <c r="H327" s="676" t="s">
        <v>3</v>
      </c>
      <c r="I327" s="676" t="s">
        <v>44</v>
      </c>
      <c r="J327" s="676" t="s">
        <v>84</v>
      </c>
      <c r="K327" s="676">
        <v>354</v>
      </c>
      <c r="L327" s="690" t="s">
        <v>54</v>
      </c>
      <c r="M327" s="691">
        <v>0.3</v>
      </c>
      <c r="N327" s="690">
        <v>0</v>
      </c>
      <c r="O327" s="691">
        <v>368.69906825163162</v>
      </c>
      <c r="P327" s="690">
        <v>0</v>
      </c>
      <c r="Q327" s="738">
        <f t="shared" si="45"/>
        <v>82293.632033764166</v>
      </c>
      <c r="R327" s="677">
        <f t="shared" si="46"/>
        <v>0</v>
      </c>
      <c r="S327" s="739">
        <f t="shared" si="47"/>
        <v>-82293.632033764166</v>
      </c>
      <c r="T327" s="738">
        <v>66.319999999999993</v>
      </c>
      <c r="U327" s="677">
        <f t="shared" si="48"/>
        <v>-14802.623999999998</v>
      </c>
      <c r="V327" s="739">
        <f t="shared" si="49"/>
        <v>-67491.00803376417</v>
      </c>
      <c r="W327" s="740">
        <v>66.319999999999993</v>
      </c>
      <c r="X327" s="678">
        <f t="shared" si="50"/>
        <v>-14802.623999999998</v>
      </c>
      <c r="Y327" s="700">
        <f t="shared" si="51"/>
        <v>-67491.00803376417</v>
      </c>
      <c r="Z327" s="740">
        <v>66.319999999999993</v>
      </c>
      <c r="AA327" s="678">
        <f t="shared" si="52"/>
        <v>-14802.623999999998</v>
      </c>
      <c r="AB327" s="741">
        <f t="shared" si="53"/>
        <v>-67491.00803376417</v>
      </c>
      <c r="AC327" s="714"/>
    </row>
    <row r="328" spans="1:29" ht="15" customHeight="1" x14ac:dyDescent="0.25">
      <c r="A328" s="713"/>
      <c r="B328" s="714" t="s">
        <v>682</v>
      </c>
      <c r="C328" s="676" t="s">
        <v>40</v>
      </c>
      <c r="D328" s="676" t="s">
        <v>507</v>
      </c>
      <c r="E328" s="680">
        <v>44774</v>
      </c>
      <c r="F328" s="676">
        <v>744</v>
      </c>
      <c r="G328" s="676" t="s">
        <v>58</v>
      </c>
      <c r="H328" s="676" t="s">
        <v>3</v>
      </c>
      <c r="I328" s="676" t="s">
        <v>44</v>
      </c>
      <c r="J328" s="676" t="s">
        <v>84</v>
      </c>
      <c r="K328" s="676">
        <v>354</v>
      </c>
      <c r="L328" s="690" t="s">
        <v>54</v>
      </c>
      <c r="M328" s="691">
        <v>0.3</v>
      </c>
      <c r="N328" s="690">
        <v>0</v>
      </c>
      <c r="O328" s="691">
        <v>368.69906825163162</v>
      </c>
      <c r="P328" s="690">
        <v>0</v>
      </c>
      <c r="Q328" s="738">
        <f t="shared" si="45"/>
        <v>82293.632033764166</v>
      </c>
      <c r="R328" s="677">
        <f t="shared" si="46"/>
        <v>0</v>
      </c>
      <c r="S328" s="739">
        <f t="shared" si="47"/>
        <v>-82293.632033764166</v>
      </c>
      <c r="T328" s="738">
        <v>76.900000000000006</v>
      </c>
      <c r="U328" s="677">
        <f t="shared" si="48"/>
        <v>-17164.080000000002</v>
      </c>
      <c r="V328" s="739">
        <f t="shared" si="49"/>
        <v>-65129.552033764165</v>
      </c>
      <c r="W328" s="740">
        <v>76.900000000000006</v>
      </c>
      <c r="X328" s="678">
        <f t="shared" si="50"/>
        <v>-17164.080000000002</v>
      </c>
      <c r="Y328" s="700">
        <f t="shared" si="51"/>
        <v>-65129.552033764165</v>
      </c>
      <c r="Z328" s="740">
        <v>76.900000000000006</v>
      </c>
      <c r="AA328" s="678">
        <f t="shared" si="52"/>
        <v>-17164.080000000002</v>
      </c>
      <c r="AB328" s="741">
        <f t="shared" si="53"/>
        <v>-65129.552033764165</v>
      </c>
      <c r="AC328" s="714"/>
    </row>
    <row r="329" spans="1:29" ht="15" customHeight="1" x14ac:dyDescent="0.25">
      <c r="A329" s="713"/>
      <c r="B329" s="714" t="s">
        <v>682</v>
      </c>
      <c r="C329" s="676" t="s">
        <v>40</v>
      </c>
      <c r="D329" s="676" t="s">
        <v>507</v>
      </c>
      <c r="E329" s="680">
        <v>44805</v>
      </c>
      <c r="F329" s="676">
        <v>720</v>
      </c>
      <c r="G329" s="676" t="s">
        <v>58</v>
      </c>
      <c r="H329" s="676" t="s">
        <v>3</v>
      </c>
      <c r="I329" s="676" t="s">
        <v>44</v>
      </c>
      <c r="J329" s="676" t="s">
        <v>84</v>
      </c>
      <c r="K329" s="676">
        <v>354</v>
      </c>
      <c r="L329" s="690" t="s">
        <v>54</v>
      </c>
      <c r="M329" s="691">
        <v>0.3</v>
      </c>
      <c r="N329" s="690">
        <v>0</v>
      </c>
      <c r="O329" s="691">
        <v>368.69906825163162</v>
      </c>
      <c r="P329" s="690">
        <v>0</v>
      </c>
      <c r="Q329" s="738">
        <f t="shared" si="45"/>
        <v>79638.998742352429</v>
      </c>
      <c r="R329" s="677">
        <f t="shared" si="46"/>
        <v>0</v>
      </c>
      <c r="S329" s="739">
        <f t="shared" si="47"/>
        <v>-79638.998742352429</v>
      </c>
      <c r="T329" s="738">
        <v>56.08</v>
      </c>
      <c r="U329" s="677">
        <f t="shared" si="48"/>
        <v>-12113.279999999999</v>
      </c>
      <c r="V329" s="739">
        <f t="shared" si="49"/>
        <v>-67525.71874235243</v>
      </c>
      <c r="W329" s="740">
        <v>56.08</v>
      </c>
      <c r="X329" s="678">
        <f t="shared" si="50"/>
        <v>-12113.279999999999</v>
      </c>
      <c r="Y329" s="700">
        <f t="shared" si="51"/>
        <v>-67525.71874235243</v>
      </c>
      <c r="Z329" s="740">
        <v>56.08</v>
      </c>
      <c r="AA329" s="678">
        <f t="shared" si="52"/>
        <v>-12113.279999999999</v>
      </c>
      <c r="AB329" s="741">
        <f t="shared" si="53"/>
        <v>-67525.71874235243</v>
      </c>
      <c r="AC329" s="714"/>
    </row>
    <row r="330" spans="1:29" ht="15" customHeight="1" x14ac:dyDescent="0.25">
      <c r="A330" s="713"/>
      <c r="B330" s="714" t="s">
        <v>682</v>
      </c>
      <c r="C330" s="676" t="s">
        <v>40</v>
      </c>
      <c r="D330" s="676" t="s">
        <v>507</v>
      </c>
      <c r="E330" s="680">
        <v>44835</v>
      </c>
      <c r="F330" s="676">
        <v>744</v>
      </c>
      <c r="G330" s="676" t="s">
        <v>58</v>
      </c>
      <c r="H330" s="676" t="s">
        <v>3</v>
      </c>
      <c r="I330" s="676" t="s">
        <v>44</v>
      </c>
      <c r="J330" s="676" t="s">
        <v>84</v>
      </c>
      <c r="K330" s="676">
        <v>354</v>
      </c>
      <c r="L330" s="690" t="s">
        <v>54</v>
      </c>
      <c r="M330" s="691">
        <v>0.3</v>
      </c>
      <c r="N330" s="690">
        <v>0</v>
      </c>
      <c r="O330" s="691">
        <v>368.69906825163162</v>
      </c>
      <c r="P330" s="690">
        <v>0</v>
      </c>
      <c r="Q330" s="738">
        <f t="shared" si="45"/>
        <v>82293.632033764166</v>
      </c>
      <c r="R330" s="677">
        <f t="shared" si="46"/>
        <v>0</v>
      </c>
      <c r="S330" s="739">
        <f t="shared" si="47"/>
        <v>-82293.632033764166</v>
      </c>
      <c r="T330" s="738">
        <v>55.7</v>
      </c>
      <c r="U330" s="677">
        <f t="shared" si="48"/>
        <v>-12432.24</v>
      </c>
      <c r="V330" s="739">
        <f t="shared" si="49"/>
        <v>-69861.392033764161</v>
      </c>
      <c r="W330" s="740">
        <v>55.7</v>
      </c>
      <c r="X330" s="678">
        <f t="shared" si="50"/>
        <v>-12432.24</v>
      </c>
      <c r="Y330" s="700">
        <f t="shared" si="51"/>
        <v>-69861.392033764161</v>
      </c>
      <c r="Z330" s="740">
        <v>55.7</v>
      </c>
      <c r="AA330" s="678">
        <f t="shared" si="52"/>
        <v>-12432.24</v>
      </c>
      <c r="AB330" s="741">
        <f t="shared" si="53"/>
        <v>-69861.392033764161</v>
      </c>
      <c r="AC330" s="714"/>
    </row>
    <row r="331" spans="1:29" ht="15" customHeight="1" x14ac:dyDescent="0.25">
      <c r="A331" s="713"/>
      <c r="B331" s="714" t="s">
        <v>682</v>
      </c>
      <c r="C331" s="676" t="s">
        <v>40</v>
      </c>
      <c r="D331" s="676" t="s">
        <v>507</v>
      </c>
      <c r="E331" s="680">
        <v>44866</v>
      </c>
      <c r="F331" s="676">
        <v>720</v>
      </c>
      <c r="G331" s="676" t="s">
        <v>58</v>
      </c>
      <c r="H331" s="676" t="s">
        <v>3</v>
      </c>
      <c r="I331" s="676" t="s">
        <v>44</v>
      </c>
      <c r="J331" s="676" t="s">
        <v>84</v>
      </c>
      <c r="K331" s="676">
        <v>354</v>
      </c>
      <c r="L331" s="690" t="s">
        <v>54</v>
      </c>
      <c r="M331" s="691">
        <v>0.3</v>
      </c>
      <c r="N331" s="690">
        <v>0</v>
      </c>
      <c r="O331" s="691">
        <v>368.69906825163162</v>
      </c>
      <c r="P331" s="690">
        <v>0</v>
      </c>
      <c r="Q331" s="738">
        <f t="shared" si="45"/>
        <v>79638.998742352429</v>
      </c>
      <c r="R331" s="677">
        <f t="shared" si="46"/>
        <v>0</v>
      </c>
      <c r="S331" s="739">
        <f t="shared" si="47"/>
        <v>-79638.998742352429</v>
      </c>
      <c r="T331" s="738">
        <v>55.7</v>
      </c>
      <c r="U331" s="677">
        <f t="shared" si="48"/>
        <v>-12031.2</v>
      </c>
      <c r="V331" s="739">
        <f t="shared" si="49"/>
        <v>-67607.798742352432</v>
      </c>
      <c r="W331" s="740">
        <v>55.7</v>
      </c>
      <c r="X331" s="678">
        <f t="shared" si="50"/>
        <v>-12031.2</v>
      </c>
      <c r="Y331" s="700">
        <f t="shared" si="51"/>
        <v>-67607.798742352432</v>
      </c>
      <c r="Z331" s="740">
        <v>55.7</v>
      </c>
      <c r="AA331" s="678">
        <f t="shared" si="52"/>
        <v>-12031.2</v>
      </c>
      <c r="AB331" s="741">
        <f t="shared" si="53"/>
        <v>-67607.798742352432</v>
      </c>
      <c r="AC331" s="714"/>
    </row>
    <row r="332" spans="1:29" ht="15" customHeight="1" x14ac:dyDescent="0.25">
      <c r="A332" s="713"/>
      <c r="B332" s="729" t="s">
        <v>682</v>
      </c>
      <c r="C332" s="545" t="s">
        <v>40</v>
      </c>
      <c r="D332" s="545" t="s">
        <v>507</v>
      </c>
      <c r="E332" s="681">
        <v>44896</v>
      </c>
      <c r="F332" s="545">
        <v>744</v>
      </c>
      <c r="G332" s="545" t="s">
        <v>58</v>
      </c>
      <c r="H332" s="545" t="s">
        <v>3</v>
      </c>
      <c r="I332" s="545" t="s">
        <v>44</v>
      </c>
      <c r="J332" s="545" t="s">
        <v>84</v>
      </c>
      <c r="K332" s="545">
        <v>354</v>
      </c>
      <c r="L332" s="725" t="s">
        <v>54</v>
      </c>
      <c r="M332" s="695">
        <v>0.3</v>
      </c>
      <c r="N332" s="725">
        <v>0</v>
      </c>
      <c r="O332" s="695">
        <v>368.69906825163162</v>
      </c>
      <c r="P332" s="725">
        <v>0</v>
      </c>
      <c r="Q332" s="742">
        <f t="shared" si="45"/>
        <v>82293.632033764166</v>
      </c>
      <c r="R332" s="603">
        <f t="shared" si="46"/>
        <v>0</v>
      </c>
      <c r="S332" s="743">
        <f t="shared" si="47"/>
        <v>-82293.632033764166</v>
      </c>
      <c r="T332" s="742">
        <v>55.7</v>
      </c>
      <c r="U332" s="603">
        <f t="shared" si="48"/>
        <v>-12432.24</v>
      </c>
      <c r="V332" s="743">
        <f t="shared" si="49"/>
        <v>-69861.392033764161</v>
      </c>
      <c r="W332" s="744">
        <v>55.7</v>
      </c>
      <c r="X332" s="604">
        <f t="shared" si="50"/>
        <v>-12432.24</v>
      </c>
      <c r="Y332" s="701">
        <f t="shared" si="51"/>
        <v>-69861.392033764161</v>
      </c>
      <c r="Z332" s="744">
        <v>78.400653594793155</v>
      </c>
      <c r="AA332" s="604">
        <f t="shared" si="52"/>
        <v>-17499.02588235783</v>
      </c>
      <c r="AB332" s="745">
        <f t="shared" si="53"/>
        <v>-64794.606151406333</v>
      </c>
      <c r="AC332" s="714"/>
    </row>
    <row r="333" spans="1:29" ht="15" customHeight="1" x14ac:dyDescent="0.25">
      <c r="A333" s="713"/>
      <c r="B333" s="731" t="s">
        <v>684</v>
      </c>
      <c r="C333" s="547" t="s">
        <v>40</v>
      </c>
      <c r="D333" s="547" t="s">
        <v>464</v>
      </c>
      <c r="E333" s="683">
        <v>44562</v>
      </c>
      <c r="F333" s="547">
        <v>744</v>
      </c>
      <c r="G333" s="547" t="s">
        <v>58</v>
      </c>
      <c r="H333" s="547" t="s">
        <v>3</v>
      </c>
      <c r="I333" s="547" t="s">
        <v>44</v>
      </c>
      <c r="J333" s="547" t="s">
        <v>84</v>
      </c>
      <c r="K333" s="547">
        <v>515</v>
      </c>
      <c r="L333" s="727" t="s">
        <v>54</v>
      </c>
      <c r="M333" s="697">
        <v>10</v>
      </c>
      <c r="N333" s="727">
        <v>0</v>
      </c>
      <c r="O333" s="697">
        <v>515</v>
      </c>
      <c r="P333" s="727">
        <v>0</v>
      </c>
      <c r="Q333" s="750">
        <f t="shared" si="45"/>
        <v>3831600</v>
      </c>
      <c r="R333" s="608">
        <f t="shared" si="46"/>
        <v>0</v>
      </c>
      <c r="S333" s="751">
        <f t="shared" si="47"/>
        <v>-3831600</v>
      </c>
      <c r="T333" s="750">
        <v>62.91</v>
      </c>
      <c r="U333" s="608">
        <f t="shared" si="48"/>
        <v>-468050.39999999997</v>
      </c>
      <c r="V333" s="751">
        <f t="shared" si="49"/>
        <v>-3363549.6</v>
      </c>
      <c r="W333" s="752">
        <v>62.91</v>
      </c>
      <c r="X333" s="609">
        <f t="shared" si="50"/>
        <v>-468050.39999999997</v>
      </c>
      <c r="Y333" s="703">
        <f t="shared" si="51"/>
        <v>-3363549.6</v>
      </c>
      <c r="Z333" s="752">
        <v>62.91</v>
      </c>
      <c r="AA333" s="609">
        <f t="shared" si="52"/>
        <v>-468050.39999999997</v>
      </c>
      <c r="AB333" s="753">
        <f t="shared" si="53"/>
        <v>-3363549.6</v>
      </c>
      <c r="AC333" s="714"/>
    </row>
    <row r="334" spans="1:29" ht="15" customHeight="1" x14ac:dyDescent="0.25">
      <c r="A334" s="713"/>
      <c r="B334" s="731" t="s">
        <v>686</v>
      </c>
      <c r="C334" s="547" t="s">
        <v>40</v>
      </c>
      <c r="D334" s="547" t="s">
        <v>464</v>
      </c>
      <c r="E334" s="683">
        <v>44621</v>
      </c>
      <c r="F334" s="547">
        <v>744</v>
      </c>
      <c r="G334" s="547" t="s">
        <v>59</v>
      </c>
      <c r="H334" s="547" t="s">
        <v>3</v>
      </c>
      <c r="I334" s="547" t="s">
        <v>44</v>
      </c>
      <c r="J334" s="547" t="s">
        <v>85</v>
      </c>
      <c r="K334" s="547">
        <v>375</v>
      </c>
      <c r="L334" s="727" t="s">
        <v>54</v>
      </c>
      <c r="M334" s="697">
        <v>0</v>
      </c>
      <c r="N334" s="727">
        <v>10</v>
      </c>
      <c r="O334" s="697">
        <v>0</v>
      </c>
      <c r="P334" s="727">
        <v>375</v>
      </c>
      <c r="Q334" s="750">
        <f t="shared" si="45"/>
        <v>0</v>
      </c>
      <c r="R334" s="608">
        <f t="shared" si="46"/>
        <v>2790000</v>
      </c>
      <c r="S334" s="751">
        <f t="shared" si="47"/>
        <v>2790000</v>
      </c>
      <c r="T334" s="750">
        <v>55.7</v>
      </c>
      <c r="U334" s="608">
        <f t="shared" si="48"/>
        <v>414408</v>
      </c>
      <c r="V334" s="751">
        <f t="shared" si="49"/>
        <v>2375592</v>
      </c>
      <c r="W334" s="752">
        <v>55.7</v>
      </c>
      <c r="X334" s="609">
        <f t="shared" si="50"/>
        <v>414408</v>
      </c>
      <c r="Y334" s="703">
        <f t="shared" si="51"/>
        <v>2375592</v>
      </c>
      <c r="Z334" s="752">
        <v>55.7</v>
      </c>
      <c r="AA334" s="609">
        <f t="shared" si="52"/>
        <v>414408</v>
      </c>
      <c r="AB334" s="753">
        <f t="shared" si="53"/>
        <v>2375592</v>
      </c>
      <c r="AC334" s="714"/>
    </row>
    <row r="335" spans="1:29" ht="15" customHeight="1" x14ac:dyDescent="0.25">
      <c r="A335" s="713"/>
      <c r="B335" s="730" t="s">
        <v>688</v>
      </c>
      <c r="C335" s="546" t="s">
        <v>40</v>
      </c>
      <c r="D335" s="546" t="s">
        <v>348</v>
      </c>
      <c r="E335" s="682">
        <v>44743</v>
      </c>
      <c r="F335" s="546">
        <v>744</v>
      </c>
      <c r="G335" s="546" t="s">
        <v>58</v>
      </c>
      <c r="H335" s="546" t="s">
        <v>3</v>
      </c>
      <c r="I335" s="546" t="s">
        <v>44</v>
      </c>
      <c r="J335" s="546" t="s">
        <v>84</v>
      </c>
      <c r="K335" s="546">
        <v>370</v>
      </c>
      <c r="L335" s="726" t="s">
        <v>54</v>
      </c>
      <c r="M335" s="696">
        <v>7</v>
      </c>
      <c r="N335" s="726">
        <v>0</v>
      </c>
      <c r="O335" s="696">
        <v>370</v>
      </c>
      <c r="P335" s="726">
        <v>0</v>
      </c>
      <c r="Q335" s="746">
        <f t="shared" si="45"/>
        <v>1926960</v>
      </c>
      <c r="R335" s="606">
        <f t="shared" si="46"/>
        <v>0</v>
      </c>
      <c r="S335" s="747">
        <f t="shared" si="47"/>
        <v>-1926960</v>
      </c>
      <c r="T335" s="746">
        <v>66.319999999999993</v>
      </c>
      <c r="U335" s="606">
        <f t="shared" si="48"/>
        <v>-345394.55999999994</v>
      </c>
      <c r="V335" s="747">
        <f t="shared" si="49"/>
        <v>-1581565.44</v>
      </c>
      <c r="W335" s="748">
        <v>66.319999999999993</v>
      </c>
      <c r="X335" s="607">
        <f t="shared" si="50"/>
        <v>-345394.55999999994</v>
      </c>
      <c r="Y335" s="702">
        <f t="shared" si="51"/>
        <v>-1581565.44</v>
      </c>
      <c r="Z335" s="748">
        <v>66.319999999999993</v>
      </c>
      <c r="AA335" s="607">
        <f t="shared" si="52"/>
        <v>-345394.55999999994</v>
      </c>
      <c r="AB335" s="749">
        <f t="shared" si="53"/>
        <v>-1581565.44</v>
      </c>
      <c r="AC335" s="714"/>
    </row>
    <row r="336" spans="1:29" ht="15" customHeight="1" x14ac:dyDescent="0.25">
      <c r="A336" s="713"/>
      <c r="B336" s="714" t="s">
        <v>688</v>
      </c>
      <c r="C336" s="676" t="s">
        <v>40</v>
      </c>
      <c r="D336" s="676" t="s">
        <v>348</v>
      </c>
      <c r="E336" s="680">
        <v>44774</v>
      </c>
      <c r="F336" s="676">
        <v>744</v>
      </c>
      <c r="G336" s="676" t="s">
        <v>58</v>
      </c>
      <c r="H336" s="676" t="s">
        <v>3</v>
      </c>
      <c r="I336" s="676" t="s">
        <v>44</v>
      </c>
      <c r="J336" s="676" t="s">
        <v>84</v>
      </c>
      <c r="K336" s="676">
        <v>370</v>
      </c>
      <c r="L336" s="690" t="s">
        <v>54</v>
      </c>
      <c r="M336" s="691">
        <v>7</v>
      </c>
      <c r="N336" s="690">
        <v>0</v>
      </c>
      <c r="O336" s="691">
        <v>370</v>
      </c>
      <c r="P336" s="690">
        <v>0</v>
      </c>
      <c r="Q336" s="738">
        <f t="shared" si="45"/>
        <v>1926960</v>
      </c>
      <c r="R336" s="677">
        <f t="shared" si="46"/>
        <v>0</v>
      </c>
      <c r="S336" s="739">
        <f t="shared" si="47"/>
        <v>-1926960</v>
      </c>
      <c r="T336" s="738">
        <v>76.900000000000006</v>
      </c>
      <c r="U336" s="677">
        <f t="shared" si="48"/>
        <v>-400495.2</v>
      </c>
      <c r="V336" s="739">
        <f t="shared" si="49"/>
        <v>-1526464.8</v>
      </c>
      <c r="W336" s="740">
        <v>76.900000000000006</v>
      </c>
      <c r="X336" s="678">
        <f t="shared" si="50"/>
        <v>-400495.2</v>
      </c>
      <c r="Y336" s="700">
        <f t="shared" si="51"/>
        <v>-1526464.8</v>
      </c>
      <c r="Z336" s="740">
        <v>76.900000000000006</v>
      </c>
      <c r="AA336" s="678">
        <f t="shared" si="52"/>
        <v>-400495.2</v>
      </c>
      <c r="AB336" s="741">
        <f t="shared" si="53"/>
        <v>-1526464.8</v>
      </c>
      <c r="AC336" s="714"/>
    </row>
    <row r="337" spans="1:29" ht="15" customHeight="1" x14ac:dyDescent="0.25">
      <c r="A337" s="713"/>
      <c r="B337" s="729" t="s">
        <v>688</v>
      </c>
      <c r="C337" s="545" t="s">
        <v>40</v>
      </c>
      <c r="D337" s="545" t="s">
        <v>348</v>
      </c>
      <c r="E337" s="681">
        <v>44805</v>
      </c>
      <c r="F337" s="545">
        <v>720</v>
      </c>
      <c r="G337" s="545" t="s">
        <v>58</v>
      </c>
      <c r="H337" s="545" t="s">
        <v>3</v>
      </c>
      <c r="I337" s="545" t="s">
        <v>44</v>
      </c>
      <c r="J337" s="545" t="s">
        <v>84</v>
      </c>
      <c r="K337" s="545">
        <v>370</v>
      </c>
      <c r="L337" s="725" t="s">
        <v>54</v>
      </c>
      <c r="M337" s="695">
        <v>7</v>
      </c>
      <c r="N337" s="725">
        <v>0</v>
      </c>
      <c r="O337" s="695">
        <v>370</v>
      </c>
      <c r="P337" s="725">
        <v>0</v>
      </c>
      <c r="Q337" s="742">
        <f t="shared" si="45"/>
        <v>1864800</v>
      </c>
      <c r="R337" s="603">
        <f t="shared" si="46"/>
        <v>0</v>
      </c>
      <c r="S337" s="743">
        <f t="shared" si="47"/>
        <v>-1864800</v>
      </c>
      <c r="T337" s="742">
        <v>56.08</v>
      </c>
      <c r="U337" s="603">
        <f t="shared" si="48"/>
        <v>-282643.20000000001</v>
      </c>
      <c r="V337" s="743">
        <f t="shared" si="49"/>
        <v>-1582156.8</v>
      </c>
      <c r="W337" s="744">
        <v>56.08</v>
      </c>
      <c r="X337" s="604">
        <f t="shared" si="50"/>
        <v>-282643.20000000001</v>
      </c>
      <c r="Y337" s="701">
        <f t="shared" si="51"/>
        <v>-1582156.8</v>
      </c>
      <c r="Z337" s="744">
        <v>56.08</v>
      </c>
      <c r="AA337" s="604">
        <f t="shared" si="52"/>
        <v>-282643.20000000001</v>
      </c>
      <c r="AB337" s="745">
        <f t="shared" si="53"/>
        <v>-1582156.8</v>
      </c>
      <c r="AC337" s="714"/>
    </row>
    <row r="338" spans="1:29" ht="15" customHeight="1" x14ac:dyDescent="0.25">
      <c r="A338" s="713"/>
      <c r="B338" s="730" t="s">
        <v>690</v>
      </c>
      <c r="C338" s="546" t="s">
        <v>40</v>
      </c>
      <c r="D338" s="546" t="s">
        <v>348</v>
      </c>
      <c r="E338" s="682">
        <v>44562</v>
      </c>
      <c r="F338" s="546">
        <v>744</v>
      </c>
      <c r="G338" s="546" t="s">
        <v>59</v>
      </c>
      <c r="H338" s="546" t="s">
        <v>3</v>
      </c>
      <c r="I338" s="546" t="s">
        <v>44</v>
      </c>
      <c r="J338" s="546" t="s">
        <v>85</v>
      </c>
      <c r="K338" s="546">
        <v>440</v>
      </c>
      <c r="L338" s="726" t="s">
        <v>54</v>
      </c>
      <c r="M338" s="696">
        <v>0</v>
      </c>
      <c r="N338" s="726">
        <v>7</v>
      </c>
      <c r="O338" s="696">
        <v>0</v>
      </c>
      <c r="P338" s="726">
        <v>440</v>
      </c>
      <c r="Q338" s="746">
        <f t="shared" si="45"/>
        <v>0</v>
      </c>
      <c r="R338" s="606">
        <f t="shared" si="46"/>
        <v>2291520</v>
      </c>
      <c r="S338" s="747">
        <f t="shared" si="47"/>
        <v>2291520</v>
      </c>
      <c r="T338" s="746">
        <v>62.91</v>
      </c>
      <c r="U338" s="606">
        <f t="shared" si="48"/>
        <v>327635.27999999997</v>
      </c>
      <c r="V338" s="747">
        <f t="shared" si="49"/>
        <v>1963884.72</v>
      </c>
      <c r="W338" s="748">
        <v>62.91</v>
      </c>
      <c r="X338" s="607">
        <f t="shared" si="50"/>
        <v>327635.27999999997</v>
      </c>
      <c r="Y338" s="702">
        <f t="shared" si="51"/>
        <v>1963884.72</v>
      </c>
      <c r="Z338" s="748">
        <v>62.91</v>
      </c>
      <c r="AA338" s="607">
        <f t="shared" si="52"/>
        <v>327635.27999999997</v>
      </c>
      <c r="AB338" s="749">
        <f t="shared" si="53"/>
        <v>1963884.72</v>
      </c>
      <c r="AC338" s="714"/>
    </row>
    <row r="339" spans="1:29" ht="15" customHeight="1" x14ac:dyDescent="0.25">
      <c r="A339" s="713"/>
      <c r="B339" s="714" t="s">
        <v>690</v>
      </c>
      <c r="C339" s="676" t="s">
        <v>40</v>
      </c>
      <c r="D339" s="676" t="s">
        <v>348</v>
      </c>
      <c r="E339" s="680">
        <v>44593</v>
      </c>
      <c r="F339" s="676">
        <v>672</v>
      </c>
      <c r="G339" s="676" t="s">
        <v>59</v>
      </c>
      <c r="H339" s="676" t="s">
        <v>3</v>
      </c>
      <c r="I339" s="676" t="s">
        <v>44</v>
      </c>
      <c r="J339" s="676" t="s">
        <v>85</v>
      </c>
      <c r="K339" s="676">
        <v>440</v>
      </c>
      <c r="L339" s="690" t="s">
        <v>54</v>
      </c>
      <c r="M339" s="691">
        <v>0</v>
      </c>
      <c r="N339" s="690">
        <v>7</v>
      </c>
      <c r="O339" s="691">
        <v>0</v>
      </c>
      <c r="P339" s="690">
        <v>440</v>
      </c>
      <c r="Q339" s="738">
        <f t="shared" si="45"/>
        <v>0</v>
      </c>
      <c r="R339" s="677">
        <f t="shared" si="46"/>
        <v>2069760</v>
      </c>
      <c r="S339" s="739">
        <f t="shared" si="47"/>
        <v>2069760</v>
      </c>
      <c r="T339" s="738">
        <v>55.7</v>
      </c>
      <c r="U339" s="677">
        <f t="shared" si="48"/>
        <v>262012.80000000002</v>
      </c>
      <c r="V339" s="739">
        <f t="shared" si="49"/>
        <v>1807747.2</v>
      </c>
      <c r="W339" s="740">
        <v>55.7</v>
      </c>
      <c r="X339" s="678">
        <f t="shared" si="50"/>
        <v>262012.80000000002</v>
      </c>
      <c r="Y339" s="700">
        <f t="shared" si="51"/>
        <v>1807747.2</v>
      </c>
      <c r="Z339" s="740">
        <v>55.7</v>
      </c>
      <c r="AA339" s="678">
        <f t="shared" si="52"/>
        <v>262012.80000000002</v>
      </c>
      <c r="AB339" s="741">
        <f t="shared" si="53"/>
        <v>1807747.2</v>
      </c>
      <c r="AC339" s="714"/>
    </row>
    <row r="340" spans="1:29" ht="15" customHeight="1" x14ac:dyDescent="0.25">
      <c r="A340" s="713"/>
      <c r="B340" s="729" t="s">
        <v>690</v>
      </c>
      <c r="C340" s="545" t="s">
        <v>40</v>
      </c>
      <c r="D340" s="545" t="s">
        <v>348</v>
      </c>
      <c r="E340" s="681">
        <v>44621</v>
      </c>
      <c r="F340" s="545">
        <v>744</v>
      </c>
      <c r="G340" s="545" t="s">
        <v>59</v>
      </c>
      <c r="H340" s="545" t="s">
        <v>3</v>
      </c>
      <c r="I340" s="545" t="s">
        <v>44</v>
      </c>
      <c r="J340" s="545" t="s">
        <v>85</v>
      </c>
      <c r="K340" s="545">
        <v>440</v>
      </c>
      <c r="L340" s="725" t="s">
        <v>54</v>
      </c>
      <c r="M340" s="695">
        <v>0</v>
      </c>
      <c r="N340" s="725">
        <v>7</v>
      </c>
      <c r="O340" s="695">
        <v>0</v>
      </c>
      <c r="P340" s="725">
        <v>440</v>
      </c>
      <c r="Q340" s="742">
        <f t="shared" si="45"/>
        <v>0</v>
      </c>
      <c r="R340" s="603">
        <f t="shared" si="46"/>
        <v>2291520</v>
      </c>
      <c r="S340" s="743">
        <f t="shared" si="47"/>
        <v>2291520</v>
      </c>
      <c r="T340" s="742">
        <v>55.7</v>
      </c>
      <c r="U340" s="603">
        <f t="shared" si="48"/>
        <v>290085.60000000003</v>
      </c>
      <c r="V340" s="743">
        <f t="shared" si="49"/>
        <v>2001434.4</v>
      </c>
      <c r="W340" s="744">
        <v>55.7</v>
      </c>
      <c r="X340" s="604">
        <f t="shared" si="50"/>
        <v>290085.60000000003</v>
      </c>
      <c r="Y340" s="701">
        <f t="shared" si="51"/>
        <v>2001434.4</v>
      </c>
      <c r="Z340" s="744">
        <v>55.7</v>
      </c>
      <c r="AA340" s="604">
        <f t="shared" si="52"/>
        <v>290085.60000000003</v>
      </c>
      <c r="AB340" s="745">
        <f t="shared" si="53"/>
        <v>2001434.4</v>
      </c>
      <c r="AC340" s="714"/>
    </row>
    <row r="341" spans="1:29" ht="15" customHeight="1" x14ac:dyDescent="0.25">
      <c r="A341" s="713"/>
      <c r="B341" s="730" t="s">
        <v>692</v>
      </c>
      <c r="C341" s="546" t="s">
        <v>40</v>
      </c>
      <c r="D341" s="546" t="s">
        <v>405</v>
      </c>
      <c r="E341" s="682">
        <v>44562</v>
      </c>
      <c r="F341" s="546">
        <v>744</v>
      </c>
      <c r="G341" s="546" t="s">
        <v>58</v>
      </c>
      <c r="H341" s="546" t="s">
        <v>3</v>
      </c>
      <c r="I341" s="546" t="s">
        <v>44</v>
      </c>
      <c r="J341" s="546" t="s">
        <v>84</v>
      </c>
      <c r="K341" s="546">
        <v>246</v>
      </c>
      <c r="L341" s="726" t="s">
        <v>54</v>
      </c>
      <c r="M341" s="696">
        <v>3</v>
      </c>
      <c r="N341" s="726">
        <v>0</v>
      </c>
      <c r="O341" s="696">
        <v>256.21460675113383</v>
      </c>
      <c r="P341" s="726">
        <v>0</v>
      </c>
      <c r="Q341" s="746">
        <f t="shared" si="45"/>
        <v>571871.00226853066</v>
      </c>
      <c r="R341" s="606">
        <f t="shared" si="46"/>
        <v>0</v>
      </c>
      <c r="S341" s="747">
        <f t="shared" si="47"/>
        <v>-571871.00226853066</v>
      </c>
      <c r="T341" s="746">
        <v>62.91</v>
      </c>
      <c r="U341" s="606">
        <f t="shared" si="48"/>
        <v>-140415.12</v>
      </c>
      <c r="V341" s="747">
        <f t="shared" si="49"/>
        <v>-431455.88226853067</v>
      </c>
      <c r="W341" s="748">
        <v>62.91</v>
      </c>
      <c r="X341" s="607">
        <f t="shared" si="50"/>
        <v>-140415.12</v>
      </c>
      <c r="Y341" s="702">
        <f t="shared" si="51"/>
        <v>-431455.88226853067</v>
      </c>
      <c r="Z341" s="748">
        <v>62.91</v>
      </c>
      <c r="AA341" s="607">
        <f t="shared" si="52"/>
        <v>-140415.12</v>
      </c>
      <c r="AB341" s="749">
        <f t="shared" si="53"/>
        <v>-431455.88226853067</v>
      </c>
      <c r="AC341" s="714"/>
    </row>
    <row r="342" spans="1:29" ht="15" customHeight="1" x14ac:dyDescent="0.25">
      <c r="A342" s="713"/>
      <c r="B342" s="714" t="s">
        <v>692</v>
      </c>
      <c r="C342" s="676" t="s">
        <v>40</v>
      </c>
      <c r="D342" s="676" t="s">
        <v>405</v>
      </c>
      <c r="E342" s="680">
        <v>44593</v>
      </c>
      <c r="F342" s="676">
        <v>672</v>
      </c>
      <c r="G342" s="676" t="s">
        <v>58</v>
      </c>
      <c r="H342" s="676" t="s">
        <v>3</v>
      </c>
      <c r="I342" s="676" t="s">
        <v>44</v>
      </c>
      <c r="J342" s="676" t="s">
        <v>84</v>
      </c>
      <c r="K342" s="676">
        <v>246</v>
      </c>
      <c r="L342" s="690" t="s">
        <v>54</v>
      </c>
      <c r="M342" s="691">
        <v>3</v>
      </c>
      <c r="N342" s="690">
        <v>0</v>
      </c>
      <c r="O342" s="691">
        <v>256.21460675113383</v>
      </c>
      <c r="P342" s="690">
        <v>0</v>
      </c>
      <c r="Q342" s="738">
        <f t="shared" si="45"/>
        <v>516528.64721028582</v>
      </c>
      <c r="R342" s="677">
        <f t="shared" si="46"/>
        <v>0</v>
      </c>
      <c r="S342" s="739">
        <f t="shared" si="47"/>
        <v>-516528.64721028582</v>
      </c>
      <c r="T342" s="738">
        <v>55.7</v>
      </c>
      <c r="U342" s="677">
        <f t="shared" si="48"/>
        <v>-112291.20000000001</v>
      </c>
      <c r="V342" s="739">
        <f t="shared" si="49"/>
        <v>-404237.44721028581</v>
      </c>
      <c r="W342" s="740">
        <v>55.7</v>
      </c>
      <c r="X342" s="678">
        <f t="shared" si="50"/>
        <v>-112291.20000000001</v>
      </c>
      <c r="Y342" s="700">
        <f t="shared" si="51"/>
        <v>-404237.44721028581</v>
      </c>
      <c r="Z342" s="740">
        <v>55.7</v>
      </c>
      <c r="AA342" s="678">
        <f t="shared" si="52"/>
        <v>-112291.20000000001</v>
      </c>
      <c r="AB342" s="741">
        <f t="shared" si="53"/>
        <v>-404237.44721028581</v>
      </c>
      <c r="AC342" s="714"/>
    </row>
    <row r="343" spans="1:29" ht="15" customHeight="1" x14ac:dyDescent="0.25">
      <c r="A343" s="713"/>
      <c r="B343" s="714" t="s">
        <v>692</v>
      </c>
      <c r="C343" s="676" t="s">
        <v>40</v>
      </c>
      <c r="D343" s="676" t="s">
        <v>405</v>
      </c>
      <c r="E343" s="680">
        <v>44621</v>
      </c>
      <c r="F343" s="676">
        <v>744</v>
      </c>
      <c r="G343" s="676" t="s">
        <v>58</v>
      </c>
      <c r="H343" s="676" t="s">
        <v>3</v>
      </c>
      <c r="I343" s="676" t="s">
        <v>44</v>
      </c>
      <c r="J343" s="676" t="s">
        <v>84</v>
      </c>
      <c r="K343" s="676">
        <v>246</v>
      </c>
      <c r="L343" s="690" t="s">
        <v>54</v>
      </c>
      <c r="M343" s="691">
        <v>3</v>
      </c>
      <c r="N343" s="690">
        <v>0</v>
      </c>
      <c r="O343" s="691">
        <v>256.21460675113383</v>
      </c>
      <c r="P343" s="690">
        <v>0</v>
      </c>
      <c r="Q343" s="738">
        <f t="shared" si="45"/>
        <v>571871.00226853066</v>
      </c>
      <c r="R343" s="677">
        <f t="shared" si="46"/>
        <v>0</v>
      </c>
      <c r="S343" s="739">
        <f t="shared" si="47"/>
        <v>-571871.00226853066</v>
      </c>
      <c r="T343" s="738">
        <v>55.7</v>
      </c>
      <c r="U343" s="677">
        <f t="shared" si="48"/>
        <v>-124322.40000000001</v>
      </c>
      <c r="V343" s="739">
        <f t="shared" si="49"/>
        <v>-447548.60226853064</v>
      </c>
      <c r="W343" s="740">
        <v>55.7</v>
      </c>
      <c r="X343" s="678">
        <f t="shared" si="50"/>
        <v>-124322.40000000001</v>
      </c>
      <c r="Y343" s="700">
        <f t="shared" si="51"/>
        <v>-447548.60226853064</v>
      </c>
      <c r="Z343" s="740">
        <v>55.7</v>
      </c>
      <c r="AA343" s="678">
        <f t="shared" si="52"/>
        <v>-124322.40000000001</v>
      </c>
      <c r="AB343" s="741">
        <f t="shared" si="53"/>
        <v>-447548.60226853064</v>
      </c>
      <c r="AC343" s="714"/>
    </row>
    <row r="344" spans="1:29" ht="15" customHeight="1" x14ac:dyDescent="0.25">
      <c r="A344" s="713"/>
      <c r="B344" s="714" t="s">
        <v>692</v>
      </c>
      <c r="C344" s="676" t="s">
        <v>40</v>
      </c>
      <c r="D344" s="676" t="s">
        <v>405</v>
      </c>
      <c r="E344" s="680">
        <v>44652</v>
      </c>
      <c r="F344" s="676">
        <v>720</v>
      </c>
      <c r="G344" s="676" t="s">
        <v>58</v>
      </c>
      <c r="H344" s="676" t="s">
        <v>3</v>
      </c>
      <c r="I344" s="676" t="s">
        <v>44</v>
      </c>
      <c r="J344" s="676" t="s">
        <v>84</v>
      </c>
      <c r="K344" s="676">
        <v>246</v>
      </c>
      <c r="L344" s="690" t="s">
        <v>54</v>
      </c>
      <c r="M344" s="691">
        <v>3</v>
      </c>
      <c r="N344" s="690">
        <v>0</v>
      </c>
      <c r="O344" s="691">
        <v>256.21460675113383</v>
      </c>
      <c r="P344" s="690">
        <v>0</v>
      </c>
      <c r="Q344" s="738">
        <f t="shared" si="45"/>
        <v>553423.55058244907</v>
      </c>
      <c r="R344" s="677">
        <f t="shared" si="46"/>
        <v>0</v>
      </c>
      <c r="S344" s="739">
        <f t="shared" si="47"/>
        <v>-553423.55058244907</v>
      </c>
      <c r="T344" s="738">
        <v>55.7</v>
      </c>
      <c r="U344" s="677">
        <f t="shared" si="48"/>
        <v>-120312</v>
      </c>
      <c r="V344" s="739">
        <f t="shared" si="49"/>
        <v>-433111.55058244907</v>
      </c>
      <c r="W344" s="740">
        <v>55.7</v>
      </c>
      <c r="X344" s="678">
        <f t="shared" si="50"/>
        <v>-120312</v>
      </c>
      <c r="Y344" s="700">
        <f t="shared" si="51"/>
        <v>-433111.55058244907</v>
      </c>
      <c r="Z344" s="740">
        <v>55.7</v>
      </c>
      <c r="AA344" s="678">
        <f t="shared" si="52"/>
        <v>-120312</v>
      </c>
      <c r="AB344" s="741">
        <f t="shared" si="53"/>
        <v>-433111.55058244907</v>
      </c>
      <c r="AC344" s="714"/>
    </row>
    <row r="345" spans="1:29" ht="15" customHeight="1" x14ac:dyDescent="0.25">
      <c r="A345" s="713"/>
      <c r="B345" s="714" t="s">
        <v>692</v>
      </c>
      <c r="C345" s="676" t="s">
        <v>40</v>
      </c>
      <c r="D345" s="676" t="s">
        <v>405</v>
      </c>
      <c r="E345" s="680">
        <v>44682</v>
      </c>
      <c r="F345" s="676">
        <v>744</v>
      </c>
      <c r="G345" s="676" t="s">
        <v>58</v>
      </c>
      <c r="H345" s="676" t="s">
        <v>3</v>
      </c>
      <c r="I345" s="676" t="s">
        <v>44</v>
      </c>
      <c r="J345" s="676" t="s">
        <v>84</v>
      </c>
      <c r="K345" s="676">
        <v>246</v>
      </c>
      <c r="L345" s="690" t="s">
        <v>54</v>
      </c>
      <c r="M345" s="691">
        <v>3</v>
      </c>
      <c r="N345" s="690">
        <v>0</v>
      </c>
      <c r="O345" s="691">
        <v>256.21460675113383</v>
      </c>
      <c r="P345" s="690">
        <v>0</v>
      </c>
      <c r="Q345" s="738">
        <f t="shared" si="45"/>
        <v>571871.00226853066</v>
      </c>
      <c r="R345" s="677">
        <f t="shared" si="46"/>
        <v>0</v>
      </c>
      <c r="S345" s="739">
        <f t="shared" si="47"/>
        <v>-571871.00226853066</v>
      </c>
      <c r="T345" s="738">
        <v>55.7</v>
      </c>
      <c r="U345" s="677">
        <f t="shared" si="48"/>
        <v>-124322.40000000001</v>
      </c>
      <c r="V345" s="739">
        <f t="shared" si="49"/>
        <v>-447548.60226853064</v>
      </c>
      <c r="W345" s="740">
        <v>55.7</v>
      </c>
      <c r="X345" s="678">
        <f t="shared" si="50"/>
        <v>-124322.40000000001</v>
      </c>
      <c r="Y345" s="700">
        <f t="shared" si="51"/>
        <v>-447548.60226853064</v>
      </c>
      <c r="Z345" s="740">
        <v>55.7</v>
      </c>
      <c r="AA345" s="678">
        <f t="shared" si="52"/>
        <v>-124322.40000000001</v>
      </c>
      <c r="AB345" s="741">
        <f t="shared" si="53"/>
        <v>-447548.60226853064</v>
      </c>
      <c r="AC345" s="714"/>
    </row>
    <row r="346" spans="1:29" ht="15" customHeight="1" x14ac:dyDescent="0.25">
      <c r="A346" s="713"/>
      <c r="B346" s="714" t="s">
        <v>692</v>
      </c>
      <c r="C346" s="676" t="s">
        <v>40</v>
      </c>
      <c r="D346" s="676" t="s">
        <v>405</v>
      </c>
      <c r="E346" s="680">
        <v>44713</v>
      </c>
      <c r="F346" s="676">
        <v>720</v>
      </c>
      <c r="G346" s="676" t="s">
        <v>58</v>
      </c>
      <c r="H346" s="676" t="s">
        <v>3</v>
      </c>
      <c r="I346" s="676" t="s">
        <v>44</v>
      </c>
      <c r="J346" s="676" t="s">
        <v>84</v>
      </c>
      <c r="K346" s="676">
        <v>246</v>
      </c>
      <c r="L346" s="690" t="s">
        <v>54</v>
      </c>
      <c r="M346" s="691">
        <v>3</v>
      </c>
      <c r="N346" s="690">
        <v>0</v>
      </c>
      <c r="O346" s="691">
        <v>256.21460675113383</v>
      </c>
      <c r="P346" s="690">
        <v>0</v>
      </c>
      <c r="Q346" s="738">
        <f t="shared" si="45"/>
        <v>553423.55058244907</v>
      </c>
      <c r="R346" s="677">
        <f t="shared" si="46"/>
        <v>0</v>
      </c>
      <c r="S346" s="739">
        <f t="shared" si="47"/>
        <v>-553423.55058244907</v>
      </c>
      <c r="T346" s="738">
        <v>55.71</v>
      </c>
      <c r="U346" s="677">
        <f t="shared" si="48"/>
        <v>-120333.6</v>
      </c>
      <c r="V346" s="739">
        <f t="shared" si="49"/>
        <v>-433089.95058244909</v>
      </c>
      <c r="W346" s="740">
        <v>55.71</v>
      </c>
      <c r="X346" s="678">
        <f t="shared" si="50"/>
        <v>-120333.6</v>
      </c>
      <c r="Y346" s="700">
        <f t="shared" si="51"/>
        <v>-433089.95058244909</v>
      </c>
      <c r="Z346" s="740">
        <v>55.71</v>
      </c>
      <c r="AA346" s="678">
        <f t="shared" si="52"/>
        <v>-120333.6</v>
      </c>
      <c r="AB346" s="741">
        <f t="shared" si="53"/>
        <v>-433089.95058244909</v>
      </c>
      <c r="AC346" s="714"/>
    </row>
    <row r="347" spans="1:29" ht="15" customHeight="1" x14ac:dyDescent="0.25">
      <c r="A347" s="713"/>
      <c r="B347" s="714" t="s">
        <v>692</v>
      </c>
      <c r="C347" s="676" t="s">
        <v>40</v>
      </c>
      <c r="D347" s="676" t="s">
        <v>405</v>
      </c>
      <c r="E347" s="680">
        <v>44743</v>
      </c>
      <c r="F347" s="676">
        <v>744</v>
      </c>
      <c r="G347" s="676" t="s">
        <v>58</v>
      </c>
      <c r="H347" s="676" t="s">
        <v>3</v>
      </c>
      <c r="I347" s="676" t="s">
        <v>44</v>
      </c>
      <c r="J347" s="676" t="s">
        <v>84</v>
      </c>
      <c r="K347" s="676">
        <v>246</v>
      </c>
      <c r="L347" s="690" t="s">
        <v>54</v>
      </c>
      <c r="M347" s="691">
        <v>3</v>
      </c>
      <c r="N347" s="690">
        <v>0</v>
      </c>
      <c r="O347" s="691">
        <v>256.21460675113383</v>
      </c>
      <c r="P347" s="690">
        <v>0</v>
      </c>
      <c r="Q347" s="738">
        <f t="shared" si="45"/>
        <v>571871.00226853066</v>
      </c>
      <c r="R347" s="677">
        <f t="shared" si="46"/>
        <v>0</v>
      </c>
      <c r="S347" s="739">
        <f t="shared" si="47"/>
        <v>-571871.00226853066</v>
      </c>
      <c r="T347" s="738">
        <v>66.319999999999993</v>
      </c>
      <c r="U347" s="677">
        <f t="shared" si="48"/>
        <v>-148026.23999999999</v>
      </c>
      <c r="V347" s="739">
        <f t="shared" si="49"/>
        <v>-423844.76226853067</v>
      </c>
      <c r="W347" s="740">
        <v>66.319999999999993</v>
      </c>
      <c r="X347" s="678">
        <f t="shared" si="50"/>
        <v>-148026.23999999999</v>
      </c>
      <c r="Y347" s="700">
        <f t="shared" si="51"/>
        <v>-423844.76226853067</v>
      </c>
      <c r="Z347" s="740">
        <v>66.319999999999993</v>
      </c>
      <c r="AA347" s="678">
        <f t="shared" si="52"/>
        <v>-148026.23999999999</v>
      </c>
      <c r="AB347" s="741">
        <f t="shared" si="53"/>
        <v>-423844.76226853067</v>
      </c>
      <c r="AC347" s="714"/>
    </row>
    <row r="348" spans="1:29" ht="15" customHeight="1" x14ac:dyDescent="0.25">
      <c r="A348" s="713"/>
      <c r="B348" s="714" t="s">
        <v>692</v>
      </c>
      <c r="C348" s="676" t="s">
        <v>40</v>
      </c>
      <c r="D348" s="676" t="s">
        <v>405</v>
      </c>
      <c r="E348" s="680">
        <v>44774</v>
      </c>
      <c r="F348" s="676">
        <v>744</v>
      </c>
      <c r="G348" s="676" t="s">
        <v>58</v>
      </c>
      <c r="H348" s="676" t="s">
        <v>3</v>
      </c>
      <c r="I348" s="676" t="s">
        <v>44</v>
      </c>
      <c r="J348" s="676" t="s">
        <v>84</v>
      </c>
      <c r="K348" s="676">
        <v>246</v>
      </c>
      <c r="L348" s="690" t="s">
        <v>54</v>
      </c>
      <c r="M348" s="691">
        <v>3</v>
      </c>
      <c r="N348" s="690">
        <v>0</v>
      </c>
      <c r="O348" s="691">
        <v>256.21460675113383</v>
      </c>
      <c r="P348" s="690">
        <v>0</v>
      </c>
      <c r="Q348" s="738">
        <f t="shared" si="45"/>
        <v>571871.00226853066</v>
      </c>
      <c r="R348" s="677">
        <f t="shared" si="46"/>
        <v>0</v>
      </c>
      <c r="S348" s="739">
        <f t="shared" si="47"/>
        <v>-571871.00226853066</v>
      </c>
      <c r="T348" s="738">
        <v>76.900000000000006</v>
      </c>
      <c r="U348" s="677">
        <f t="shared" si="48"/>
        <v>-171640.80000000002</v>
      </c>
      <c r="V348" s="739">
        <f t="shared" si="49"/>
        <v>-400230.20226853061</v>
      </c>
      <c r="W348" s="740">
        <v>76.900000000000006</v>
      </c>
      <c r="X348" s="678">
        <f t="shared" si="50"/>
        <v>-171640.80000000002</v>
      </c>
      <c r="Y348" s="700">
        <f t="shared" si="51"/>
        <v>-400230.20226853061</v>
      </c>
      <c r="Z348" s="740">
        <v>76.900000000000006</v>
      </c>
      <c r="AA348" s="678">
        <f t="shared" si="52"/>
        <v>-171640.80000000002</v>
      </c>
      <c r="AB348" s="741">
        <f t="shared" si="53"/>
        <v>-400230.20226853061</v>
      </c>
      <c r="AC348" s="714"/>
    </row>
    <row r="349" spans="1:29" ht="15" customHeight="1" x14ac:dyDescent="0.25">
      <c r="A349" s="713"/>
      <c r="B349" s="714" t="s">
        <v>692</v>
      </c>
      <c r="C349" s="676" t="s">
        <v>40</v>
      </c>
      <c r="D349" s="676" t="s">
        <v>405</v>
      </c>
      <c r="E349" s="680">
        <v>44805</v>
      </c>
      <c r="F349" s="676">
        <v>720</v>
      </c>
      <c r="G349" s="676" t="s">
        <v>58</v>
      </c>
      <c r="H349" s="676" t="s">
        <v>3</v>
      </c>
      <c r="I349" s="676" t="s">
        <v>44</v>
      </c>
      <c r="J349" s="676" t="s">
        <v>84</v>
      </c>
      <c r="K349" s="676">
        <v>246</v>
      </c>
      <c r="L349" s="690" t="s">
        <v>54</v>
      </c>
      <c r="M349" s="691">
        <v>3</v>
      </c>
      <c r="N349" s="690">
        <v>0</v>
      </c>
      <c r="O349" s="691">
        <v>256.21460675113383</v>
      </c>
      <c r="P349" s="690">
        <v>0</v>
      </c>
      <c r="Q349" s="738">
        <f t="shared" si="45"/>
        <v>553423.55058244907</v>
      </c>
      <c r="R349" s="677">
        <f t="shared" si="46"/>
        <v>0</v>
      </c>
      <c r="S349" s="739">
        <f t="shared" si="47"/>
        <v>-553423.55058244907</v>
      </c>
      <c r="T349" s="738">
        <v>56.08</v>
      </c>
      <c r="U349" s="677">
        <f t="shared" si="48"/>
        <v>-121132.8</v>
      </c>
      <c r="V349" s="739">
        <f t="shared" si="49"/>
        <v>-432290.75058244908</v>
      </c>
      <c r="W349" s="740">
        <v>56.08</v>
      </c>
      <c r="X349" s="678">
        <f t="shared" si="50"/>
        <v>-121132.8</v>
      </c>
      <c r="Y349" s="700">
        <f t="shared" si="51"/>
        <v>-432290.75058244908</v>
      </c>
      <c r="Z349" s="740">
        <v>56.08</v>
      </c>
      <c r="AA349" s="678">
        <f t="shared" si="52"/>
        <v>-121132.8</v>
      </c>
      <c r="AB349" s="741">
        <f t="shared" si="53"/>
        <v>-432290.75058244908</v>
      </c>
      <c r="AC349" s="714"/>
    </row>
    <row r="350" spans="1:29" ht="15" customHeight="1" x14ac:dyDescent="0.25">
      <c r="A350" s="713"/>
      <c r="B350" s="714" t="s">
        <v>692</v>
      </c>
      <c r="C350" s="676" t="s">
        <v>40</v>
      </c>
      <c r="D350" s="676" t="s">
        <v>405</v>
      </c>
      <c r="E350" s="680">
        <v>44835</v>
      </c>
      <c r="F350" s="676">
        <v>744</v>
      </c>
      <c r="G350" s="676" t="s">
        <v>58</v>
      </c>
      <c r="H350" s="676" t="s">
        <v>3</v>
      </c>
      <c r="I350" s="676" t="s">
        <v>44</v>
      </c>
      <c r="J350" s="676" t="s">
        <v>84</v>
      </c>
      <c r="K350" s="676">
        <v>246</v>
      </c>
      <c r="L350" s="690" t="s">
        <v>54</v>
      </c>
      <c r="M350" s="691">
        <v>3</v>
      </c>
      <c r="N350" s="690">
        <v>0</v>
      </c>
      <c r="O350" s="691">
        <v>256.21460675113383</v>
      </c>
      <c r="P350" s="690">
        <v>0</v>
      </c>
      <c r="Q350" s="738">
        <f t="shared" si="45"/>
        <v>571871.00226853066</v>
      </c>
      <c r="R350" s="677">
        <f t="shared" si="46"/>
        <v>0</v>
      </c>
      <c r="S350" s="739">
        <f t="shared" si="47"/>
        <v>-571871.00226853066</v>
      </c>
      <c r="T350" s="738">
        <v>55.7</v>
      </c>
      <c r="U350" s="677">
        <f t="shared" si="48"/>
        <v>-124322.40000000001</v>
      </c>
      <c r="V350" s="739">
        <f t="shared" si="49"/>
        <v>-447548.60226853064</v>
      </c>
      <c r="W350" s="740">
        <v>55.7</v>
      </c>
      <c r="X350" s="678">
        <f t="shared" si="50"/>
        <v>-124322.40000000001</v>
      </c>
      <c r="Y350" s="700">
        <f t="shared" si="51"/>
        <v>-447548.60226853064</v>
      </c>
      <c r="Z350" s="740">
        <v>55.7</v>
      </c>
      <c r="AA350" s="678">
        <f t="shared" si="52"/>
        <v>-124322.40000000001</v>
      </c>
      <c r="AB350" s="741">
        <f t="shared" si="53"/>
        <v>-447548.60226853064</v>
      </c>
      <c r="AC350" s="714"/>
    </row>
    <row r="351" spans="1:29" ht="15" customHeight="1" x14ac:dyDescent="0.25">
      <c r="A351" s="713"/>
      <c r="B351" s="714" t="s">
        <v>692</v>
      </c>
      <c r="C351" s="676" t="s">
        <v>40</v>
      </c>
      <c r="D351" s="676" t="s">
        <v>405</v>
      </c>
      <c r="E351" s="680">
        <v>44866</v>
      </c>
      <c r="F351" s="676">
        <v>720</v>
      </c>
      <c r="G351" s="676" t="s">
        <v>58</v>
      </c>
      <c r="H351" s="676" t="s">
        <v>3</v>
      </c>
      <c r="I351" s="676" t="s">
        <v>44</v>
      </c>
      <c r="J351" s="676" t="s">
        <v>84</v>
      </c>
      <c r="K351" s="676">
        <v>246</v>
      </c>
      <c r="L351" s="690" t="s">
        <v>54</v>
      </c>
      <c r="M351" s="691">
        <v>3</v>
      </c>
      <c r="N351" s="690">
        <v>0</v>
      </c>
      <c r="O351" s="691">
        <v>256.21460675113383</v>
      </c>
      <c r="P351" s="690">
        <v>0</v>
      </c>
      <c r="Q351" s="738">
        <f t="shared" si="45"/>
        <v>553423.55058244907</v>
      </c>
      <c r="R351" s="677">
        <f t="shared" si="46"/>
        <v>0</v>
      </c>
      <c r="S351" s="739">
        <f t="shared" si="47"/>
        <v>-553423.55058244907</v>
      </c>
      <c r="T351" s="738">
        <v>55.7</v>
      </c>
      <c r="U351" s="677">
        <f t="shared" si="48"/>
        <v>-120312</v>
      </c>
      <c r="V351" s="739">
        <f t="shared" si="49"/>
        <v>-433111.55058244907</v>
      </c>
      <c r="W351" s="740">
        <v>55.7</v>
      </c>
      <c r="X351" s="678">
        <f t="shared" si="50"/>
        <v>-120312</v>
      </c>
      <c r="Y351" s="700">
        <f t="shared" si="51"/>
        <v>-433111.55058244907</v>
      </c>
      <c r="Z351" s="740">
        <v>55.7</v>
      </c>
      <c r="AA351" s="678">
        <f t="shared" si="52"/>
        <v>-120312</v>
      </c>
      <c r="AB351" s="741">
        <f t="shared" si="53"/>
        <v>-433111.55058244907</v>
      </c>
      <c r="AC351" s="714"/>
    </row>
    <row r="352" spans="1:29" ht="15" customHeight="1" x14ac:dyDescent="0.25">
      <c r="A352" s="713"/>
      <c r="B352" s="729" t="s">
        <v>692</v>
      </c>
      <c r="C352" s="545" t="s">
        <v>40</v>
      </c>
      <c r="D352" s="545" t="s">
        <v>405</v>
      </c>
      <c r="E352" s="681">
        <v>44896</v>
      </c>
      <c r="F352" s="545">
        <v>744</v>
      </c>
      <c r="G352" s="545" t="s">
        <v>58</v>
      </c>
      <c r="H352" s="545" t="s">
        <v>3</v>
      </c>
      <c r="I352" s="545" t="s">
        <v>44</v>
      </c>
      <c r="J352" s="545" t="s">
        <v>84</v>
      </c>
      <c r="K352" s="545">
        <v>246</v>
      </c>
      <c r="L352" s="725" t="s">
        <v>54</v>
      </c>
      <c r="M352" s="695">
        <v>3</v>
      </c>
      <c r="N352" s="725">
        <v>0</v>
      </c>
      <c r="O352" s="695">
        <v>256.21460675113383</v>
      </c>
      <c r="P352" s="725">
        <v>0</v>
      </c>
      <c r="Q352" s="742">
        <f t="shared" si="45"/>
        <v>571871.00226853066</v>
      </c>
      <c r="R352" s="603">
        <f t="shared" si="46"/>
        <v>0</v>
      </c>
      <c r="S352" s="743">
        <f t="shared" si="47"/>
        <v>-571871.00226853066</v>
      </c>
      <c r="T352" s="742">
        <v>55.7</v>
      </c>
      <c r="U352" s="603">
        <f t="shared" si="48"/>
        <v>-124322.40000000001</v>
      </c>
      <c r="V352" s="743">
        <f t="shared" si="49"/>
        <v>-447548.60226853064</v>
      </c>
      <c r="W352" s="744">
        <v>55.7</v>
      </c>
      <c r="X352" s="604">
        <f t="shared" si="50"/>
        <v>-124322.40000000001</v>
      </c>
      <c r="Y352" s="701">
        <f t="shared" si="51"/>
        <v>-447548.60226853064</v>
      </c>
      <c r="Z352" s="744">
        <v>78.400653594793155</v>
      </c>
      <c r="AA352" s="604">
        <f t="shared" si="52"/>
        <v>-174990.25882357833</v>
      </c>
      <c r="AB352" s="745">
        <f t="shared" si="53"/>
        <v>-396880.7434449523</v>
      </c>
      <c r="AC352" s="714"/>
    </row>
    <row r="353" spans="1:29" ht="15" customHeight="1" x14ac:dyDescent="0.25">
      <c r="A353" s="713"/>
      <c r="B353" s="730" t="s">
        <v>693</v>
      </c>
      <c r="C353" s="546" t="s">
        <v>40</v>
      </c>
      <c r="D353" s="546" t="s">
        <v>468</v>
      </c>
      <c r="E353" s="682">
        <v>44562</v>
      </c>
      <c r="F353" s="546">
        <v>744</v>
      </c>
      <c r="G353" s="546" t="s">
        <v>58</v>
      </c>
      <c r="H353" s="546" t="s">
        <v>3</v>
      </c>
      <c r="I353" s="546" t="s">
        <v>44</v>
      </c>
      <c r="J353" s="546" t="s">
        <v>547</v>
      </c>
      <c r="K353" s="546">
        <v>0</v>
      </c>
      <c r="L353" s="726" t="s">
        <v>54</v>
      </c>
      <c r="M353" s="696">
        <v>1.050186491935484</v>
      </c>
      <c r="N353" s="726">
        <v>0</v>
      </c>
      <c r="O353" s="696">
        <v>0</v>
      </c>
      <c r="P353" s="726">
        <v>0</v>
      </c>
      <c r="Q353" s="746">
        <f t="shared" si="45"/>
        <v>0</v>
      </c>
      <c r="R353" s="606">
        <f t="shared" si="46"/>
        <v>0</v>
      </c>
      <c r="S353" s="747">
        <f t="shared" si="47"/>
        <v>0</v>
      </c>
      <c r="T353" s="746">
        <v>62.91</v>
      </c>
      <c r="U353" s="606">
        <f t="shared" si="48"/>
        <v>-49154.020762500004</v>
      </c>
      <c r="V353" s="747">
        <f t="shared" si="49"/>
        <v>49154.020762500004</v>
      </c>
      <c r="W353" s="748">
        <v>62.91</v>
      </c>
      <c r="X353" s="607">
        <f t="shared" si="50"/>
        <v>-49154.020762500004</v>
      </c>
      <c r="Y353" s="702">
        <f t="shared" si="51"/>
        <v>49154.020762500004</v>
      </c>
      <c r="Z353" s="748">
        <v>62.91</v>
      </c>
      <c r="AA353" s="607">
        <f t="shared" si="52"/>
        <v>-49154.020762500004</v>
      </c>
      <c r="AB353" s="749">
        <f t="shared" si="53"/>
        <v>49154.020762500004</v>
      </c>
      <c r="AC353" s="714"/>
    </row>
    <row r="354" spans="1:29" ht="15" customHeight="1" x14ac:dyDescent="0.25">
      <c r="A354" s="713"/>
      <c r="B354" s="714" t="s">
        <v>693</v>
      </c>
      <c r="C354" s="676" t="s">
        <v>40</v>
      </c>
      <c r="D354" s="676" t="s">
        <v>468</v>
      </c>
      <c r="E354" s="680">
        <v>44593</v>
      </c>
      <c r="F354" s="676">
        <v>672</v>
      </c>
      <c r="G354" s="676" t="s">
        <v>58</v>
      </c>
      <c r="H354" s="676" t="s">
        <v>3</v>
      </c>
      <c r="I354" s="676" t="s">
        <v>44</v>
      </c>
      <c r="J354" s="676" t="s">
        <v>547</v>
      </c>
      <c r="K354" s="676">
        <v>0</v>
      </c>
      <c r="L354" s="690" t="s">
        <v>54</v>
      </c>
      <c r="M354" s="691">
        <v>1.1627064732142858</v>
      </c>
      <c r="N354" s="690">
        <v>0</v>
      </c>
      <c r="O354" s="691">
        <v>0</v>
      </c>
      <c r="P354" s="690">
        <v>0</v>
      </c>
      <c r="Q354" s="738">
        <f t="shared" si="45"/>
        <v>0</v>
      </c>
      <c r="R354" s="677">
        <f t="shared" si="46"/>
        <v>0</v>
      </c>
      <c r="S354" s="739">
        <f t="shared" si="47"/>
        <v>0</v>
      </c>
      <c r="T354" s="738">
        <v>55.7</v>
      </c>
      <c r="U354" s="677">
        <f t="shared" si="48"/>
        <v>-43520.568375000003</v>
      </c>
      <c r="V354" s="739">
        <f t="shared" si="49"/>
        <v>43520.568375000003</v>
      </c>
      <c r="W354" s="740">
        <v>55.7</v>
      </c>
      <c r="X354" s="678">
        <f t="shared" si="50"/>
        <v>-43520.568375000003</v>
      </c>
      <c r="Y354" s="700">
        <f t="shared" si="51"/>
        <v>43520.568375000003</v>
      </c>
      <c r="Z354" s="740">
        <v>55.7</v>
      </c>
      <c r="AA354" s="678">
        <f t="shared" si="52"/>
        <v>-43520.568375000003</v>
      </c>
      <c r="AB354" s="741">
        <f t="shared" si="53"/>
        <v>43520.568375000003</v>
      </c>
      <c r="AC354" s="714"/>
    </row>
    <row r="355" spans="1:29" ht="15" customHeight="1" x14ac:dyDescent="0.25">
      <c r="A355" s="713"/>
      <c r="B355" s="714" t="s">
        <v>693</v>
      </c>
      <c r="C355" s="676" t="s">
        <v>40</v>
      </c>
      <c r="D355" s="676" t="s">
        <v>468</v>
      </c>
      <c r="E355" s="680">
        <v>44621</v>
      </c>
      <c r="F355" s="676">
        <v>744</v>
      </c>
      <c r="G355" s="676" t="s">
        <v>58</v>
      </c>
      <c r="H355" s="676" t="s">
        <v>3</v>
      </c>
      <c r="I355" s="676" t="s">
        <v>44</v>
      </c>
      <c r="J355" s="676" t="s">
        <v>547</v>
      </c>
      <c r="K355" s="676">
        <v>0</v>
      </c>
      <c r="L355" s="690" t="s">
        <v>54</v>
      </c>
      <c r="M355" s="691">
        <v>1.050186491935484</v>
      </c>
      <c r="N355" s="690">
        <v>0</v>
      </c>
      <c r="O355" s="691">
        <v>0</v>
      </c>
      <c r="P355" s="690">
        <v>0</v>
      </c>
      <c r="Q355" s="738">
        <f t="shared" si="45"/>
        <v>0</v>
      </c>
      <c r="R355" s="677">
        <f t="shared" si="46"/>
        <v>0</v>
      </c>
      <c r="S355" s="739">
        <f t="shared" si="47"/>
        <v>0</v>
      </c>
      <c r="T355" s="738">
        <v>55.7</v>
      </c>
      <c r="U355" s="677">
        <f t="shared" si="48"/>
        <v>-43520.56837500001</v>
      </c>
      <c r="V355" s="739">
        <f t="shared" si="49"/>
        <v>43520.56837500001</v>
      </c>
      <c r="W355" s="740">
        <v>55.7</v>
      </c>
      <c r="X355" s="678">
        <f t="shared" si="50"/>
        <v>-43520.56837500001</v>
      </c>
      <c r="Y355" s="700">
        <f t="shared" si="51"/>
        <v>43520.56837500001</v>
      </c>
      <c r="Z355" s="740">
        <v>55.7</v>
      </c>
      <c r="AA355" s="678">
        <f t="shared" si="52"/>
        <v>-43520.56837500001</v>
      </c>
      <c r="AB355" s="741">
        <f t="shared" si="53"/>
        <v>43520.56837500001</v>
      </c>
      <c r="AC355" s="714"/>
    </row>
    <row r="356" spans="1:29" ht="15" customHeight="1" x14ac:dyDescent="0.25">
      <c r="A356" s="713"/>
      <c r="B356" s="714" t="s">
        <v>693</v>
      </c>
      <c r="C356" s="676" t="s">
        <v>40</v>
      </c>
      <c r="D356" s="676" t="s">
        <v>468</v>
      </c>
      <c r="E356" s="680">
        <v>44652</v>
      </c>
      <c r="F356" s="676">
        <v>720</v>
      </c>
      <c r="G356" s="676" t="s">
        <v>58</v>
      </c>
      <c r="H356" s="676" t="s">
        <v>3</v>
      </c>
      <c r="I356" s="676" t="s">
        <v>44</v>
      </c>
      <c r="J356" s="676" t="s">
        <v>547</v>
      </c>
      <c r="K356" s="676">
        <v>0</v>
      </c>
      <c r="L356" s="690" t="s">
        <v>54</v>
      </c>
      <c r="M356" s="691">
        <v>1.0851927083333333</v>
      </c>
      <c r="N356" s="690">
        <v>0</v>
      </c>
      <c r="O356" s="691">
        <v>0</v>
      </c>
      <c r="P356" s="690">
        <v>0</v>
      </c>
      <c r="Q356" s="738">
        <f t="shared" si="45"/>
        <v>0</v>
      </c>
      <c r="R356" s="677">
        <f t="shared" si="46"/>
        <v>0</v>
      </c>
      <c r="S356" s="739">
        <f t="shared" si="47"/>
        <v>0</v>
      </c>
      <c r="T356" s="738">
        <v>55.7</v>
      </c>
      <c r="U356" s="677">
        <f t="shared" si="48"/>
        <v>-43520.568374999995</v>
      </c>
      <c r="V356" s="739">
        <f t="shared" si="49"/>
        <v>43520.568374999995</v>
      </c>
      <c r="W356" s="740">
        <v>55.7</v>
      </c>
      <c r="X356" s="678">
        <f t="shared" si="50"/>
        <v>-43520.568374999995</v>
      </c>
      <c r="Y356" s="700">
        <f t="shared" si="51"/>
        <v>43520.568374999995</v>
      </c>
      <c r="Z356" s="740">
        <v>55.7</v>
      </c>
      <c r="AA356" s="678">
        <f t="shared" si="52"/>
        <v>-43520.568374999995</v>
      </c>
      <c r="AB356" s="741">
        <f t="shared" si="53"/>
        <v>43520.568374999995</v>
      </c>
      <c r="AC356" s="714"/>
    </row>
    <row r="357" spans="1:29" ht="15" customHeight="1" x14ac:dyDescent="0.25">
      <c r="A357" s="713"/>
      <c r="B357" s="714" t="s">
        <v>693</v>
      </c>
      <c r="C357" s="676" t="s">
        <v>40</v>
      </c>
      <c r="D357" s="676" t="s">
        <v>468</v>
      </c>
      <c r="E357" s="680">
        <v>44682</v>
      </c>
      <c r="F357" s="676">
        <v>744</v>
      </c>
      <c r="G357" s="676" t="s">
        <v>58</v>
      </c>
      <c r="H357" s="676" t="s">
        <v>3</v>
      </c>
      <c r="I357" s="676" t="s">
        <v>44</v>
      </c>
      <c r="J357" s="676" t="s">
        <v>547</v>
      </c>
      <c r="K357" s="676">
        <v>0</v>
      </c>
      <c r="L357" s="690" t="s">
        <v>54</v>
      </c>
      <c r="M357" s="691">
        <v>1.050186491935484</v>
      </c>
      <c r="N357" s="690">
        <v>0</v>
      </c>
      <c r="O357" s="691">
        <v>0</v>
      </c>
      <c r="P357" s="690">
        <v>0</v>
      </c>
      <c r="Q357" s="738">
        <f t="shared" si="45"/>
        <v>0</v>
      </c>
      <c r="R357" s="677">
        <f t="shared" si="46"/>
        <v>0</v>
      </c>
      <c r="S357" s="739">
        <f t="shared" si="47"/>
        <v>0</v>
      </c>
      <c r="T357" s="738">
        <v>55.7</v>
      </c>
      <c r="U357" s="677">
        <f t="shared" si="48"/>
        <v>-43520.56837500001</v>
      </c>
      <c r="V357" s="739">
        <f t="shared" si="49"/>
        <v>43520.56837500001</v>
      </c>
      <c r="W357" s="740">
        <v>55.7</v>
      </c>
      <c r="X357" s="678">
        <f t="shared" si="50"/>
        <v>-43520.56837500001</v>
      </c>
      <c r="Y357" s="700">
        <f t="shared" si="51"/>
        <v>43520.56837500001</v>
      </c>
      <c r="Z357" s="740">
        <v>55.7</v>
      </c>
      <c r="AA357" s="678">
        <f t="shared" si="52"/>
        <v>-43520.56837500001</v>
      </c>
      <c r="AB357" s="741">
        <f t="shared" si="53"/>
        <v>43520.56837500001</v>
      </c>
      <c r="AC357" s="714"/>
    </row>
    <row r="358" spans="1:29" ht="15" customHeight="1" x14ac:dyDescent="0.25">
      <c r="A358" s="713"/>
      <c r="B358" s="714" t="s">
        <v>693</v>
      </c>
      <c r="C358" s="676" t="s">
        <v>40</v>
      </c>
      <c r="D358" s="676" t="s">
        <v>468</v>
      </c>
      <c r="E358" s="680">
        <v>44713</v>
      </c>
      <c r="F358" s="676">
        <v>720</v>
      </c>
      <c r="G358" s="676" t="s">
        <v>58</v>
      </c>
      <c r="H358" s="676" t="s">
        <v>3</v>
      </c>
      <c r="I358" s="676" t="s">
        <v>44</v>
      </c>
      <c r="J358" s="676" t="s">
        <v>547</v>
      </c>
      <c r="K358" s="676">
        <v>0</v>
      </c>
      <c r="L358" s="690" t="s">
        <v>54</v>
      </c>
      <c r="M358" s="691">
        <v>1.0851927083333333</v>
      </c>
      <c r="N358" s="690">
        <v>0</v>
      </c>
      <c r="O358" s="691">
        <v>0</v>
      </c>
      <c r="P358" s="690">
        <v>0</v>
      </c>
      <c r="Q358" s="738">
        <f t="shared" si="45"/>
        <v>0</v>
      </c>
      <c r="R358" s="677">
        <f t="shared" si="46"/>
        <v>0</v>
      </c>
      <c r="S358" s="739">
        <f t="shared" si="47"/>
        <v>0</v>
      </c>
      <c r="T358" s="738">
        <v>55.71</v>
      </c>
      <c r="U358" s="677">
        <f t="shared" si="48"/>
        <v>-43528.381762499994</v>
      </c>
      <c r="V358" s="739">
        <f t="shared" si="49"/>
        <v>43528.381762499994</v>
      </c>
      <c r="W358" s="740">
        <v>55.71</v>
      </c>
      <c r="X358" s="678">
        <f t="shared" si="50"/>
        <v>-43528.381762499994</v>
      </c>
      <c r="Y358" s="700">
        <f t="shared" si="51"/>
        <v>43528.381762499994</v>
      </c>
      <c r="Z358" s="740">
        <v>55.71</v>
      </c>
      <c r="AA358" s="678">
        <f t="shared" si="52"/>
        <v>-43528.381762499994</v>
      </c>
      <c r="AB358" s="741">
        <f t="shared" si="53"/>
        <v>43528.381762499994</v>
      </c>
      <c r="AC358" s="714"/>
    </row>
    <row r="359" spans="1:29" ht="15" customHeight="1" x14ac:dyDescent="0.25">
      <c r="A359" s="713"/>
      <c r="B359" s="714" t="s">
        <v>693</v>
      </c>
      <c r="C359" s="676" t="s">
        <v>40</v>
      </c>
      <c r="D359" s="676" t="s">
        <v>468</v>
      </c>
      <c r="E359" s="680">
        <v>44743</v>
      </c>
      <c r="F359" s="676">
        <v>744</v>
      </c>
      <c r="G359" s="676" t="s">
        <v>58</v>
      </c>
      <c r="H359" s="676" t="s">
        <v>3</v>
      </c>
      <c r="I359" s="676" t="s">
        <v>44</v>
      </c>
      <c r="J359" s="676" t="s">
        <v>547</v>
      </c>
      <c r="K359" s="676">
        <v>0</v>
      </c>
      <c r="L359" s="690" t="s">
        <v>54</v>
      </c>
      <c r="M359" s="691">
        <v>1.050186491935484</v>
      </c>
      <c r="N359" s="690">
        <v>0</v>
      </c>
      <c r="O359" s="691">
        <v>0</v>
      </c>
      <c r="P359" s="690">
        <v>0</v>
      </c>
      <c r="Q359" s="738">
        <f t="shared" si="45"/>
        <v>0</v>
      </c>
      <c r="R359" s="677">
        <f t="shared" si="46"/>
        <v>0</v>
      </c>
      <c r="S359" s="739">
        <f t="shared" si="47"/>
        <v>0</v>
      </c>
      <c r="T359" s="738">
        <v>66.319999999999993</v>
      </c>
      <c r="U359" s="677">
        <f t="shared" si="48"/>
        <v>-51818.385900000001</v>
      </c>
      <c r="V359" s="739">
        <f t="shared" si="49"/>
        <v>51818.385900000001</v>
      </c>
      <c r="W359" s="740">
        <v>66.319999999999993</v>
      </c>
      <c r="X359" s="678">
        <f t="shared" si="50"/>
        <v>-51818.385900000001</v>
      </c>
      <c r="Y359" s="700">
        <f t="shared" si="51"/>
        <v>51818.385900000001</v>
      </c>
      <c r="Z359" s="740">
        <v>66.319999999999993</v>
      </c>
      <c r="AA359" s="678">
        <f t="shared" si="52"/>
        <v>-51818.385900000001</v>
      </c>
      <c r="AB359" s="741">
        <f t="shared" si="53"/>
        <v>51818.385900000001</v>
      </c>
      <c r="AC359" s="714"/>
    </row>
    <row r="360" spans="1:29" ht="15" customHeight="1" x14ac:dyDescent="0.25">
      <c r="A360" s="713"/>
      <c r="B360" s="714" t="s">
        <v>693</v>
      </c>
      <c r="C360" s="676" t="s">
        <v>40</v>
      </c>
      <c r="D360" s="676" t="s">
        <v>468</v>
      </c>
      <c r="E360" s="680">
        <v>44774</v>
      </c>
      <c r="F360" s="676">
        <v>744</v>
      </c>
      <c r="G360" s="676" t="s">
        <v>58</v>
      </c>
      <c r="H360" s="676" t="s">
        <v>3</v>
      </c>
      <c r="I360" s="676" t="s">
        <v>44</v>
      </c>
      <c r="J360" s="676" t="s">
        <v>547</v>
      </c>
      <c r="K360" s="676">
        <v>0</v>
      </c>
      <c r="L360" s="690" t="s">
        <v>54</v>
      </c>
      <c r="M360" s="691">
        <v>1.050186491935484</v>
      </c>
      <c r="N360" s="690">
        <v>0</v>
      </c>
      <c r="O360" s="691">
        <v>0</v>
      </c>
      <c r="P360" s="690">
        <v>0</v>
      </c>
      <c r="Q360" s="738">
        <f t="shared" si="45"/>
        <v>0</v>
      </c>
      <c r="R360" s="677">
        <f t="shared" si="46"/>
        <v>0</v>
      </c>
      <c r="S360" s="739">
        <f t="shared" si="47"/>
        <v>0</v>
      </c>
      <c r="T360" s="738">
        <v>76.900000000000006</v>
      </c>
      <c r="U360" s="677">
        <f t="shared" si="48"/>
        <v>-60084.949875000013</v>
      </c>
      <c r="V360" s="739">
        <f t="shared" si="49"/>
        <v>60084.949875000013</v>
      </c>
      <c r="W360" s="740">
        <v>76.900000000000006</v>
      </c>
      <c r="X360" s="678">
        <f t="shared" si="50"/>
        <v>-60084.949875000013</v>
      </c>
      <c r="Y360" s="700">
        <f t="shared" si="51"/>
        <v>60084.949875000013</v>
      </c>
      <c r="Z360" s="740">
        <v>76.900000000000006</v>
      </c>
      <c r="AA360" s="678">
        <f t="shared" si="52"/>
        <v>-60084.949875000013</v>
      </c>
      <c r="AB360" s="741">
        <f t="shared" si="53"/>
        <v>60084.949875000013</v>
      </c>
      <c r="AC360" s="714"/>
    </row>
    <row r="361" spans="1:29" ht="15" customHeight="1" x14ac:dyDescent="0.25">
      <c r="A361" s="713"/>
      <c r="B361" s="714" t="s">
        <v>693</v>
      </c>
      <c r="C361" s="676" t="s">
        <v>40</v>
      </c>
      <c r="D361" s="676" t="s">
        <v>468</v>
      </c>
      <c r="E361" s="680">
        <v>44805</v>
      </c>
      <c r="F361" s="676">
        <v>720</v>
      </c>
      <c r="G361" s="676" t="s">
        <v>58</v>
      </c>
      <c r="H361" s="676" t="s">
        <v>3</v>
      </c>
      <c r="I361" s="676" t="s">
        <v>44</v>
      </c>
      <c r="J361" s="676" t="s">
        <v>547</v>
      </c>
      <c r="K361" s="676">
        <v>0</v>
      </c>
      <c r="L361" s="690" t="s">
        <v>54</v>
      </c>
      <c r="M361" s="691">
        <v>1.0851927083333333</v>
      </c>
      <c r="N361" s="690">
        <v>0</v>
      </c>
      <c r="O361" s="691">
        <v>0</v>
      </c>
      <c r="P361" s="690">
        <v>0</v>
      </c>
      <c r="Q361" s="738">
        <f t="shared" si="45"/>
        <v>0</v>
      </c>
      <c r="R361" s="677">
        <f t="shared" si="46"/>
        <v>0</v>
      </c>
      <c r="S361" s="739">
        <f t="shared" si="47"/>
        <v>0</v>
      </c>
      <c r="T361" s="738">
        <v>56.08</v>
      </c>
      <c r="U361" s="677">
        <f t="shared" si="48"/>
        <v>-43817.477099999989</v>
      </c>
      <c r="V361" s="739">
        <f t="shared" si="49"/>
        <v>43817.477099999989</v>
      </c>
      <c r="W361" s="740">
        <v>56.08</v>
      </c>
      <c r="X361" s="678">
        <f t="shared" si="50"/>
        <v>-43817.477099999989</v>
      </c>
      <c r="Y361" s="700">
        <f t="shared" si="51"/>
        <v>43817.477099999989</v>
      </c>
      <c r="Z361" s="740">
        <v>56.08</v>
      </c>
      <c r="AA361" s="678">
        <f t="shared" si="52"/>
        <v>-43817.477099999989</v>
      </c>
      <c r="AB361" s="741">
        <f t="shared" si="53"/>
        <v>43817.477099999989</v>
      </c>
      <c r="AC361" s="714"/>
    </row>
    <row r="362" spans="1:29" ht="15" customHeight="1" x14ac:dyDescent="0.25">
      <c r="A362" s="713"/>
      <c r="B362" s="714" t="s">
        <v>693</v>
      </c>
      <c r="C362" s="676" t="s">
        <v>40</v>
      </c>
      <c r="D362" s="676" t="s">
        <v>468</v>
      </c>
      <c r="E362" s="680">
        <v>44835</v>
      </c>
      <c r="F362" s="676">
        <v>744</v>
      </c>
      <c r="G362" s="676" t="s">
        <v>58</v>
      </c>
      <c r="H362" s="676" t="s">
        <v>3</v>
      </c>
      <c r="I362" s="676" t="s">
        <v>44</v>
      </c>
      <c r="J362" s="676" t="s">
        <v>547</v>
      </c>
      <c r="K362" s="676">
        <v>0</v>
      </c>
      <c r="L362" s="690" t="s">
        <v>54</v>
      </c>
      <c r="M362" s="691">
        <v>1.050186491935484</v>
      </c>
      <c r="N362" s="690">
        <v>0</v>
      </c>
      <c r="O362" s="691">
        <v>0</v>
      </c>
      <c r="P362" s="690">
        <v>0</v>
      </c>
      <c r="Q362" s="738">
        <f t="shared" si="45"/>
        <v>0</v>
      </c>
      <c r="R362" s="677">
        <f t="shared" si="46"/>
        <v>0</v>
      </c>
      <c r="S362" s="739">
        <f t="shared" si="47"/>
        <v>0</v>
      </c>
      <c r="T362" s="738">
        <v>55.7</v>
      </c>
      <c r="U362" s="677">
        <f t="shared" si="48"/>
        <v>-43520.56837500001</v>
      </c>
      <c r="V362" s="739">
        <f t="shared" si="49"/>
        <v>43520.56837500001</v>
      </c>
      <c r="W362" s="740">
        <v>55.7</v>
      </c>
      <c r="X362" s="678">
        <f t="shared" si="50"/>
        <v>-43520.56837500001</v>
      </c>
      <c r="Y362" s="700">
        <f t="shared" si="51"/>
        <v>43520.56837500001</v>
      </c>
      <c r="Z362" s="740">
        <v>55.7</v>
      </c>
      <c r="AA362" s="678">
        <f t="shared" si="52"/>
        <v>-43520.56837500001</v>
      </c>
      <c r="AB362" s="741">
        <f t="shared" si="53"/>
        <v>43520.56837500001</v>
      </c>
      <c r="AC362" s="714"/>
    </row>
    <row r="363" spans="1:29" ht="15" customHeight="1" x14ac:dyDescent="0.25">
      <c r="A363" s="713"/>
      <c r="B363" s="714" t="s">
        <v>693</v>
      </c>
      <c r="C363" s="676" t="s">
        <v>40</v>
      </c>
      <c r="D363" s="676" t="s">
        <v>468</v>
      </c>
      <c r="E363" s="680">
        <v>44866</v>
      </c>
      <c r="F363" s="676">
        <v>720</v>
      </c>
      <c r="G363" s="676" t="s">
        <v>58</v>
      </c>
      <c r="H363" s="676" t="s">
        <v>3</v>
      </c>
      <c r="I363" s="676" t="s">
        <v>44</v>
      </c>
      <c r="J363" s="676" t="s">
        <v>547</v>
      </c>
      <c r="K363" s="676">
        <v>0</v>
      </c>
      <c r="L363" s="690" t="s">
        <v>54</v>
      </c>
      <c r="M363" s="691">
        <v>1.0851927083333333</v>
      </c>
      <c r="N363" s="690">
        <v>0</v>
      </c>
      <c r="O363" s="691">
        <v>0</v>
      </c>
      <c r="P363" s="690">
        <v>0</v>
      </c>
      <c r="Q363" s="738">
        <f t="shared" si="45"/>
        <v>0</v>
      </c>
      <c r="R363" s="677">
        <f t="shared" si="46"/>
        <v>0</v>
      </c>
      <c r="S363" s="739">
        <f t="shared" si="47"/>
        <v>0</v>
      </c>
      <c r="T363" s="738">
        <v>55.7</v>
      </c>
      <c r="U363" s="677">
        <f t="shared" si="48"/>
        <v>-43520.568374999995</v>
      </c>
      <c r="V363" s="739">
        <f t="shared" si="49"/>
        <v>43520.568374999995</v>
      </c>
      <c r="W363" s="740">
        <v>55.7</v>
      </c>
      <c r="X363" s="678">
        <f t="shared" si="50"/>
        <v>-43520.568374999995</v>
      </c>
      <c r="Y363" s="700">
        <f t="shared" si="51"/>
        <v>43520.568374999995</v>
      </c>
      <c r="Z363" s="740">
        <v>55.7</v>
      </c>
      <c r="AA363" s="678">
        <f t="shared" si="52"/>
        <v>-43520.568374999995</v>
      </c>
      <c r="AB363" s="741">
        <f t="shared" si="53"/>
        <v>43520.568374999995</v>
      </c>
      <c r="AC363" s="714"/>
    </row>
    <row r="364" spans="1:29" ht="15" customHeight="1" x14ac:dyDescent="0.25">
      <c r="A364" s="713"/>
      <c r="B364" s="729" t="s">
        <v>693</v>
      </c>
      <c r="C364" s="545" t="s">
        <v>40</v>
      </c>
      <c r="D364" s="545" t="s">
        <v>468</v>
      </c>
      <c r="E364" s="681">
        <v>44896</v>
      </c>
      <c r="F364" s="545">
        <v>744</v>
      </c>
      <c r="G364" s="545" t="s">
        <v>58</v>
      </c>
      <c r="H364" s="545" t="s">
        <v>3</v>
      </c>
      <c r="I364" s="545" t="s">
        <v>44</v>
      </c>
      <c r="J364" s="545" t="s">
        <v>547</v>
      </c>
      <c r="K364" s="545">
        <v>0</v>
      </c>
      <c r="L364" s="725" t="s">
        <v>54</v>
      </c>
      <c r="M364" s="695">
        <v>1.050186491935484</v>
      </c>
      <c r="N364" s="725">
        <v>0</v>
      </c>
      <c r="O364" s="695">
        <v>0</v>
      </c>
      <c r="P364" s="725">
        <v>0</v>
      </c>
      <c r="Q364" s="742">
        <f t="shared" si="45"/>
        <v>0</v>
      </c>
      <c r="R364" s="603">
        <f t="shared" si="46"/>
        <v>0</v>
      </c>
      <c r="S364" s="743">
        <f t="shared" si="47"/>
        <v>0</v>
      </c>
      <c r="T364" s="742">
        <v>55.7</v>
      </c>
      <c r="U364" s="603">
        <f t="shared" si="48"/>
        <v>-43520.56837500001</v>
      </c>
      <c r="V364" s="743">
        <f t="shared" si="49"/>
        <v>43520.56837500001</v>
      </c>
      <c r="W364" s="744">
        <v>55.7</v>
      </c>
      <c r="X364" s="604">
        <f t="shared" si="50"/>
        <v>-43520.56837500001</v>
      </c>
      <c r="Y364" s="701">
        <f t="shared" si="51"/>
        <v>43520.56837500001</v>
      </c>
      <c r="Z364" s="744">
        <v>78.400653594793155</v>
      </c>
      <c r="AA364" s="604">
        <f t="shared" si="52"/>
        <v>-61257.468678938698</v>
      </c>
      <c r="AB364" s="745">
        <f t="shared" si="53"/>
        <v>61257.468678938698</v>
      </c>
      <c r="AC364" s="714"/>
    </row>
    <row r="365" spans="1:29" ht="15" customHeight="1" x14ac:dyDescent="0.25">
      <c r="A365" s="713"/>
      <c r="B365" s="730" t="s">
        <v>694</v>
      </c>
      <c r="C365" s="546" t="s">
        <v>40</v>
      </c>
      <c r="D365" s="546" t="s">
        <v>468</v>
      </c>
      <c r="E365" s="682">
        <v>44562</v>
      </c>
      <c r="F365" s="546">
        <v>744</v>
      </c>
      <c r="G365" s="546" t="s">
        <v>59</v>
      </c>
      <c r="H365" s="546" t="s">
        <v>3</v>
      </c>
      <c r="I365" s="546" t="s">
        <v>44</v>
      </c>
      <c r="J365" s="546" t="s">
        <v>547</v>
      </c>
      <c r="K365" s="546">
        <v>40</v>
      </c>
      <c r="L365" s="726" t="s">
        <v>54</v>
      </c>
      <c r="M365" s="696">
        <v>0</v>
      </c>
      <c r="N365" s="726">
        <v>1.050186491935484</v>
      </c>
      <c r="O365" s="696">
        <v>0</v>
      </c>
      <c r="P365" s="726">
        <v>40</v>
      </c>
      <c r="Q365" s="746">
        <f t="shared" si="45"/>
        <v>0</v>
      </c>
      <c r="R365" s="606">
        <f t="shared" si="46"/>
        <v>31253.550000000003</v>
      </c>
      <c r="S365" s="747">
        <f t="shared" si="47"/>
        <v>31253.550000000003</v>
      </c>
      <c r="T365" s="746">
        <v>62.91</v>
      </c>
      <c r="U365" s="606">
        <f t="shared" si="48"/>
        <v>49154.020762500004</v>
      </c>
      <c r="V365" s="747">
        <f t="shared" si="49"/>
        <v>-17900.470762500001</v>
      </c>
      <c r="W365" s="748">
        <v>62.91</v>
      </c>
      <c r="X365" s="607">
        <f t="shared" si="50"/>
        <v>49154.020762500004</v>
      </c>
      <c r="Y365" s="702">
        <f t="shared" si="51"/>
        <v>-17900.470762500001</v>
      </c>
      <c r="Z365" s="748">
        <v>62.91</v>
      </c>
      <c r="AA365" s="607">
        <f t="shared" si="52"/>
        <v>49154.020762500004</v>
      </c>
      <c r="AB365" s="749">
        <f t="shared" si="53"/>
        <v>-17900.470762500001</v>
      </c>
      <c r="AC365" s="714"/>
    </row>
    <row r="366" spans="1:29" ht="15" customHeight="1" x14ac:dyDescent="0.25">
      <c r="A366" s="713"/>
      <c r="B366" s="714" t="s">
        <v>694</v>
      </c>
      <c r="C366" s="676" t="s">
        <v>40</v>
      </c>
      <c r="D366" s="676" t="s">
        <v>468</v>
      </c>
      <c r="E366" s="680">
        <v>44593</v>
      </c>
      <c r="F366" s="676">
        <v>672</v>
      </c>
      <c r="G366" s="676" t="s">
        <v>59</v>
      </c>
      <c r="H366" s="676" t="s">
        <v>3</v>
      </c>
      <c r="I366" s="676" t="s">
        <v>44</v>
      </c>
      <c r="J366" s="676" t="s">
        <v>547</v>
      </c>
      <c r="K366" s="676">
        <v>40</v>
      </c>
      <c r="L366" s="690" t="s">
        <v>54</v>
      </c>
      <c r="M366" s="691">
        <v>0</v>
      </c>
      <c r="N366" s="690">
        <v>1.1627064732142858</v>
      </c>
      <c r="O366" s="691">
        <v>0</v>
      </c>
      <c r="P366" s="690">
        <v>40</v>
      </c>
      <c r="Q366" s="738">
        <f t="shared" si="45"/>
        <v>0</v>
      </c>
      <c r="R366" s="677">
        <f t="shared" si="46"/>
        <v>31253.55</v>
      </c>
      <c r="S366" s="739">
        <f t="shared" si="47"/>
        <v>31253.55</v>
      </c>
      <c r="T366" s="738">
        <v>55.7</v>
      </c>
      <c r="U366" s="677">
        <f t="shared" si="48"/>
        <v>43520.568375000003</v>
      </c>
      <c r="V366" s="739">
        <f t="shared" si="49"/>
        <v>-12267.018375000003</v>
      </c>
      <c r="W366" s="740">
        <v>55.7</v>
      </c>
      <c r="X366" s="678">
        <f t="shared" si="50"/>
        <v>43520.568375000003</v>
      </c>
      <c r="Y366" s="700">
        <f t="shared" si="51"/>
        <v>-12267.018375000003</v>
      </c>
      <c r="Z366" s="740">
        <v>55.7</v>
      </c>
      <c r="AA366" s="678">
        <f t="shared" si="52"/>
        <v>43520.568375000003</v>
      </c>
      <c r="AB366" s="741">
        <f t="shared" si="53"/>
        <v>-12267.018375000003</v>
      </c>
      <c r="AC366" s="714"/>
    </row>
    <row r="367" spans="1:29" ht="15" customHeight="1" x14ac:dyDescent="0.25">
      <c r="A367" s="713"/>
      <c r="B367" s="714" t="s">
        <v>694</v>
      </c>
      <c r="C367" s="676" t="s">
        <v>40</v>
      </c>
      <c r="D367" s="676" t="s">
        <v>468</v>
      </c>
      <c r="E367" s="680">
        <v>44621</v>
      </c>
      <c r="F367" s="676">
        <v>744</v>
      </c>
      <c r="G367" s="676" t="s">
        <v>59</v>
      </c>
      <c r="H367" s="676" t="s">
        <v>3</v>
      </c>
      <c r="I367" s="676" t="s">
        <v>44</v>
      </c>
      <c r="J367" s="676" t="s">
        <v>547</v>
      </c>
      <c r="K367" s="676">
        <v>40</v>
      </c>
      <c r="L367" s="690" t="s">
        <v>54</v>
      </c>
      <c r="M367" s="691">
        <v>0</v>
      </c>
      <c r="N367" s="690">
        <v>1.050186491935484</v>
      </c>
      <c r="O367" s="691">
        <v>0</v>
      </c>
      <c r="P367" s="690">
        <v>40</v>
      </c>
      <c r="Q367" s="738">
        <f t="shared" si="45"/>
        <v>0</v>
      </c>
      <c r="R367" s="677">
        <f t="shared" si="46"/>
        <v>31253.550000000003</v>
      </c>
      <c r="S367" s="739">
        <f t="shared" si="47"/>
        <v>31253.550000000003</v>
      </c>
      <c r="T367" s="738">
        <v>55.7</v>
      </c>
      <c r="U367" s="677">
        <f t="shared" si="48"/>
        <v>43520.56837500001</v>
      </c>
      <c r="V367" s="739">
        <f t="shared" si="49"/>
        <v>-12267.018375000007</v>
      </c>
      <c r="W367" s="740">
        <v>55.7</v>
      </c>
      <c r="X367" s="678">
        <f t="shared" si="50"/>
        <v>43520.56837500001</v>
      </c>
      <c r="Y367" s="700">
        <f t="shared" si="51"/>
        <v>-12267.018375000007</v>
      </c>
      <c r="Z367" s="740">
        <v>55.7</v>
      </c>
      <c r="AA367" s="678">
        <f t="shared" si="52"/>
        <v>43520.56837500001</v>
      </c>
      <c r="AB367" s="741">
        <f t="shared" si="53"/>
        <v>-12267.018375000007</v>
      </c>
      <c r="AC367" s="714"/>
    </row>
    <row r="368" spans="1:29" ht="15" customHeight="1" x14ac:dyDescent="0.25">
      <c r="A368" s="713"/>
      <c r="B368" s="714" t="s">
        <v>694</v>
      </c>
      <c r="C368" s="676" t="s">
        <v>40</v>
      </c>
      <c r="D368" s="676" t="s">
        <v>468</v>
      </c>
      <c r="E368" s="680">
        <v>44652</v>
      </c>
      <c r="F368" s="676">
        <v>720</v>
      </c>
      <c r="G368" s="676" t="s">
        <v>59</v>
      </c>
      <c r="H368" s="676" t="s">
        <v>3</v>
      </c>
      <c r="I368" s="676" t="s">
        <v>44</v>
      </c>
      <c r="J368" s="676" t="s">
        <v>547</v>
      </c>
      <c r="K368" s="676">
        <v>40</v>
      </c>
      <c r="L368" s="690" t="s">
        <v>54</v>
      </c>
      <c r="M368" s="691">
        <v>0</v>
      </c>
      <c r="N368" s="690">
        <v>1.0851927083333333</v>
      </c>
      <c r="O368" s="691">
        <v>0</v>
      </c>
      <c r="P368" s="690">
        <v>40</v>
      </c>
      <c r="Q368" s="738">
        <f t="shared" si="45"/>
        <v>0</v>
      </c>
      <c r="R368" s="677">
        <f t="shared" si="46"/>
        <v>31253.549999999996</v>
      </c>
      <c r="S368" s="739">
        <f t="shared" si="47"/>
        <v>31253.549999999996</v>
      </c>
      <c r="T368" s="738">
        <v>55.7</v>
      </c>
      <c r="U368" s="677">
        <f t="shared" si="48"/>
        <v>43520.568374999995</v>
      </c>
      <c r="V368" s="739">
        <f t="shared" si="49"/>
        <v>-12267.018375</v>
      </c>
      <c r="W368" s="740">
        <v>55.7</v>
      </c>
      <c r="X368" s="678">
        <f t="shared" si="50"/>
        <v>43520.568374999995</v>
      </c>
      <c r="Y368" s="700">
        <f t="shared" si="51"/>
        <v>-12267.018375</v>
      </c>
      <c r="Z368" s="740">
        <v>55.7</v>
      </c>
      <c r="AA368" s="678">
        <f t="shared" si="52"/>
        <v>43520.568374999995</v>
      </c>
      <c r="AB368" s="741">
        <f t="shared" si="53"/>
        <v>-12267.018375</v>
      </c>
      <c r="AC368" s="714"/>
    </row>
    <row r="369" spans="1:29" ht="15" customHeight="1" x14ac:dyDescent="0.25">
      <c r="A369" s="713"/>
      <c r="B369" s="714" t="s">
        <v>694</v>
      </c>
      <c r="C369" s="676" t="s">
        <v>40</v>
      </c>
      <c r="D369" s="676" t="s">
        <v>468</v>
      </c>
      <c r="E369" s="680">
        <v>44682</v>
      </c>
      <c r="F369" s="676">
        <v>744</v>
      </c>
      <c r="G369" s="676" t="s">
        <v>59</v>
      </c>
      <c r="H369" s="676" t="s">
        <v>3</v>
      </c>
      <c r="I369" s="676" t="s">
        <v>44</v>
      </c>
      <c r="J369" s="676" t="s">
        <v>547</v>
      </c>
      <c r="K369" s="676">
        <v>40</v>
      </c>
      <c r="L369" s="690" t="s">
        <v>54</v>
      </c>
      <c r="M369" s="691">
        <v>0</v>
      </c>
      <c r="N369" s="690">
        <v>1.050186491935484</v>
      </c>
      <c r="O369" s="691">
        <v>0</v>
      </c>
      <c r="P369" s="690">
        <v>40</v>
      </c>
      <c r="Q369" s="738">
        <f t="shared" si="45"/>
        <v>0</v>
      </c>
      <c r="R369" s="677">
        <f t="shared" si="46"/>
        <v>31253.550000000003</v>
      </c>
      <c r="S369" s="739">
        <f t="shared" si="47"/>
        <v>31253.550000000003</v>
      </c>
      <c r="T369" s="738">
        <v>55.7</v>
      </c>
      <c r="U369" s="677">
        <f t="shared" si="48"/>
        <v>43520.56837500001</v>
      </c>
      <c r="V369" s="739">
        <f t="shared" si="49"/>
        <v>-12267.018375000007</v>
      </c>
      <c r="W369" s="740">
        <v>55.7</v>
      </c>
      <c r="X369" s="678">
        <f t="shared" si="50"/>
        <v>43520.56837500001</v>
      </c>
      <c r="Y369" s="700">
        <f t="shared" si="51"/>
        <v>-12267.018375000007</v>
      </c>
      <c r="Z369" s="740">
        <v>55.7</v>
      </c>
      <c r="AA369" s="678">
        <f t="shared" si="52"/>
        <v>43520.56837500001</v>
      </c>
      <c r="AB369" s="741">
        <f t="shared" si="53"/>
        <v>-12267.018375000007</v>
      </c>
      <c r="AC369" s="714"/>
    </row>
    <row r="370" spans="1:29" ht="15" customHeight="1" x14ac:dyDescent="0.25">
      <c r="A370" s="713"/>
      <c r="B370" s="714" t="s">
        <v>694</v>
      </c>
      <c r="C370" s="676" t="s">
        <v>40</v>
      </c>
      <c r="D370" s="676" t="s">
        <v>468</v>
      </c>
      <c r="E370" s="680">
        <v>44713</v>
      </c>
      <c r="F370" s="676">
        <v>720</v>
      </c>
      <c r="G370" s="676" t="s">
        <v>59</v>
      </c>
      <c r="H370" s="676" t="s">
        <v>3</v>
      </c>
      <c r="I370" s="676" t="s">
        <v>44</v>
      </c>
      <c r="J370" s="676" t="s">
        <v>547</v>
      </c>
      <c r="K370" s="676">
        <v>40</v>
      </c>
      <c r="L370" s="690" t="s">
        <v>54</v>
      </c>
      <c r="M370" s="691">
        <v>0</v>
      </c>
      <c r="N370" s="690">
        <v>1.0851927083333333</v>
      </c>
      <c r="O370" s="691">
        <v>0</v>
      </c>
      <c r="P370" s="690">
        <v>40</v>
      </c>
      <c r="Q370" s="738">
        <f t="shared" si="45"/>
        <v>0</v>
      </c>
      <c r="R370" s="677">
        <f t="shared" si="46"/>
        <v>31253.549999999996</v>
      </c>
      <c r="S370" s="739">
        <f t="shared" si="47"/>
        <v>31253.549999999996</v>
      </c>
      <c r="T370" s="738">
        <v>55.71</v>
      </c>
      <c r="U370" s="677">
        <f t="shared" si="48"/>
        <v>43528.381762499994</v>
      </c>
      <c r="V370" s="739">
        <f t="shared" si="49"/>
        <v>-12274.831762499998</v>
      </c>
      <c r="W370" s="740">
        <v>55.71</v>
      </c>
      <c r="X370" s="678">
        <f t="shared" si="50"/>
        <v>43528.381762499994</v>
      </c>
      <c r="Y370" s="700">
        <f t="shared" si="51"/>
        <v>-12274.831762499998</v>
      </c>
      <c r="Z370" s="740">
        <v>55.71</v>
      </c>
      <c r="AA370" s="678">
        <f t="shared" si="52"/>
        <v>43528.381762499994</v>
      </c>
      <c r="AB370" s="741">
        <f t="shared" si="53"/>
        <v>-12274.831762499998</v>
      </c>
      <c r="AC370" s="714"/>
    </row>
    <row r="371" spans="1:29" ht="15" customHeight="1" x14ac:dyDescent="0.25">
      <c r="A371" s="713"/>
      <c r="B371" s="714" t="s">
        <v>694</v>
      </c>
      <c r="C371" s="676" t="s">
        <v>40</v>
      </c>
      <c r="D371" s="676" t="s">
        <v>468</v>
      </c>
      <c r="E371" s="680">
        <v>44743</v>
      </c>
      <c r="F371" s="676">
        <v>744</v>
      </c>
      <c r="G371" s="676" t="s">
        <v>59</v>
      </c>
      <c r="H371" s="676" t="s">
        <v>3</v>
      </c>
      <c r="I371" s="676" t="s">
        <v>44</v>
      </c>
      <c r="J371" s="676" t="s">
        <v>547</v>
      </c>
      <c r="K371" s="676">
        <v>40</v>
      </c>
      <c r="L371" s="690" t="s">
        <v>54</v>
      </c>
      <c r="M371" s="691">
        <v>0</v>
      </c>
      <c r="N371" s="690">
        <v>1.050186491935484</v>
      </c>
      <c r="O371" s="691">
        <v>0</v>
      </c>
      <c r="P371" s="690">
        <v>40</v>
      </c>
      <c r="Q371" s="738">
        <f t="shared" si="45"/>
        <v>0</v>
      </c>
      <c r="R371" s="677">
        <f t="shared" si="46"/>
        <v>31253.550000000003</v>
      </c>
      <c r="S371" s="739">
        <f t="shared" si="47"/>
        <v>31253.550000000003</v>
      </c>
      <c r="T371" s="738">
        <v>66.319999999999993</v>
      </c>
      <c r="U371" s="677">
        <f t="shared" si="48"/>
        <v>51818.385900000001</v>
      </c>
      <c r="V371" s="739">
        <f t="shared" si="49"/>
        <v>-20564.835899999998</v>
      </c>
      <c r="W371" s="740">
        <v>66.319999999999993</v>
      </c>
      <c r="X371" s="678">
        <f t="shared" si="50"/>
        <v>51818.385900000001</v>
      </c>
      <c r="Y371" s="700">
        <f t="shared" si="51"/>
        <v>-20564.835899999998</v>
      </c>
      <c r="Z371" s="740">
        <v>66.319999999999993</v>
      </c>
      <c r="AA371" s="678">
        <f t="shared" si="52"/>
        <v>51818.385900000001</v>
      </c>
      <c r="AB371" s="741">
        <f t="shared" si="53"/>
        <v>-20564.835899999998</v>
      </c>
      <c r="AC371" s="714"/>
    </row>
    <row r="372" spans="1:29" ht="15" customHeight="1" x14ac:dyDescent="0.25">
      <c r="A372" s="713"/>
      <c r="B372" s="714" t="s">
        <v>694</v>
      </c>
      <c r="C372" s="676" t="s">
        <v>40</v>
      </c>
      <c r="D372" s="676" t="s">
        <v>468</v>
      </c>
      <c r="E372" s="680">
        <v>44774</v>
      </c>
      <c r="F372" s="676">
        <v>744</v>
      </c>
      <c r="G372" s="676" t="s">
        <v>59</v>
      </c>
      <c r="H372" s="676" t="s">
        <v>3</v>
      </c>
      <c r="I372" s="676" t="s">
        <v>44</v>
      </c>
      <c r="J372" s="676" t="s">
        <v>547</v>
      </c>
      <c r="K372" s="676">
        <v>40</v>
      </c>
      <c r="L372" s="690" t="s">
        <v>54</v>
      </c>
      <c r="M372" s="691">
        <v>0</v>
      </c>
      <c r="N372" s="690">
        <v>1.050186491935484</v>
      </c>
      <c r="O372" s="691">
        <v>0</v>
      </c>
      <c r="P372" s="690">
        <v>40</v>
      </c>
      <c r="Q372" s="738">
        <f t="shared" si="45"/>
        <v>0</v>
      </c>
      <c r="R372" s="677">
        <f t="shared" si="46"/>
        <v>31253.550000000003</v>
      </c>
      <c r="S372" s="739">
        <f t="shared" si="47"/>
        <v>31253.550000000003</v>
      </c>
      <c r="T372" s="738">
        <v>76.900000000000006</v>
      </c>
      <c r="U372" s="677">
        <f t="shared" si="48"/>
        <v>60084.949875000013</v>
      </c>
      <c r="V372" s="739">
        <f t="shared" si="49"/>
        <v>-28831.39987500001</v>
      </c>
      <c r="W372" s="740">
        <v>76.900000000000006</v>
      </c>
      <c r="X372" s="678">
        <f t="shared" si="50"/>
        <v>60084.949875000013</v>
      </c>
      <c r="Y372" s="700">
        <f t="shared" si="51"/>
        <v>-28831.39987500001</v>
      </c>
      <c r="Z372" s="740">
        <v>76.900000000000006</v>
      </c>
      <c r="AA372" s="678">
        <f t="shared" si="52"/>
        <v>60084.949875000013</v>
      </c>
      <c r="AB372" s="741">
        <f t="shared" si="53"/>
        <v>-28831.39987500001</v>
      </c>
      <c r="AC372" s="714"/>
    </row>
    <row r="373" spans="1:29" ht="15" customHeight="1" x14ac:dyDescent="0.25">
      <c r="A373" s="713"/>
      <c r="B373" s="714" t="s">
        <v>694</v>
      </c>
      <c r="C373" s="676" t="s">
        <v>40</v>
      </c>
      <c r="D373" s="676" t="s">
        <v>468</v>
      </c>
      <c r="E373" s="680">
        <v>44805</v>
      </c>
      <c r="F373" s="676">
        <v>720</v>
      </c>
      <c r="G373" s="676" t="s">
        <v>59</v>
      </c>
      <c r="H373" s="676" t="s">
        <v>3</v>
      </c>
      <c r="I373" s="676" t="s">
        <v>44</v>
      </c>
      <c r="J373" s="676" t="s">
        <v>547</v>
      </c>
      <c r="K373" s="676">
        <v>40</v>
      </c>
      <c r="L373" s="690" t="s">
        <v>54</v>
      </c>
      <c r="M373" s="691">
        <v>0</v>
      </c>
      <c r="N373" s="690">
        <v>1.0851927083333333</v>
      </c>
      <c r="O373" s="691">
        <v>0</v>
      </c>
      <c r="P373" s="690">
        <v>40</v>
      </c>
      <c r="Q373" s="738">
        <f t="shared" si="45"/>
        <v>0</v>
      </c>
      <c r="R373" s="677">
        <f t="shared" si="46"/>
        <v>31253.549999999996</v>
      </c>
      <c r="S373" s="739">
        <f t="shared" si="47"/>
        <v>31253.549999999996</v>
      </c>
      <c r="T373" s="738">
        <v>56.08</v>
      </c>
      <c r="U373" s="677">
        <f t="shared" si="48"/>
        <v>43817.477099999989</v>
      </c>
      <c r="V373" s="739">
        <f t="shared" si="49"/>
        <v>-12563.927099999994</v>
      </c>
      <c r="W373" s="740">
        <v>56.08</v>
      </c>
      <c r="X373" s="678">
        <f t="shared" si="50"/>
        <v>43817.477099999989</v>
      </c>
      <c r="Y373" s="700">
        <f t="shared" si="51"/>
        <v>-12563.927099999994</v>
      </c>
      <c r="Z373" s="740">
        <v>56.08</v>
      </c>
      <c r="AA373" s="678">
        <f t="shared" si="52"/>
        <v>43817.477099999989</v>
      </c>
      <c r="AB373" s="741">
        <f t="shared" si="53"/>
        <v>-12563.927099999994</v>
      </c>
      <c r="AC373" s="714"/>
    </row>
    <row r="374" spans="1:29" ht="15" customHeight="1" x14ac:dyDescent="0.25">
      <c r="A374" s="713"/>
      <c r="B374" s="714" t="s">
        <v>694</v>
      </c>
      <c r="C374" s="676" t="s">
        <v>40</v>
      </c>
      <c r="D374" s="676" t="s">
        <v>468</v>
      </c>
      <c r="E374" s="680">
        <v>44835</v>
      </c>
      <c r="F374" s="676">
        <v>744</v>
      </c>
      <c r="G374" s="676" t="s">
        <v>59</v>
      </c>
      <c r="H374" s="676" t="s">
        <v>3</v>
      </c>
      <c r="I374" s="676" t="s">
        <v>44</v>
      </c>
      <c r="J374" s="676" t="s">
        <v>547</v>
      </c>
      <c r="K374" s="676">
        <v>40</v>
      </c>
      <c r="L374" s="690" t="s">
        <v>54</v>
      </c>
      <c r="M374" s="691">
        <v>0</v>
      </c>
      <c r="N374" s="690">
        <v>1.050186491935484</v>
      </c>
      <c r="O374" s="691">
        <v>0</v>
      </c>
      <c r="P374" s="690">
        <v>40</v>
      </c>
      <c r="Q374" s="738">
        <f t="shared" si="45"/>
        <v>0</v>
      </c>
      <c r="R374" s="677">
        <f t="shared" si="46"/>
        <v>31253.550000000003</v>
      </c>
      <c r="S374" s="739">
        <f t="shared" si="47"/>
        <v>31253.550000000003</v>
      </c>
      <c r="T374" s="738">
        <v>55.7</v>
      </c>
      <c r="U374" s="677">
        <f t="shared" si="48"/>
        <v>43520.56837500001</v>
      </c>
      <c r="V374" s="739">
        <f t="shared" si="49"/>
        <v>-12267.018375000007</v>
      </c>
      <c r="W374" s="740">
        <v>55.7</v>
      </c>
      <c r="X374" s="678">
        <f t="shared" si="50"/>
        <v>43520.56837500001</v>
      </c>
      <c r="Y374" s="700">
        <f t="shared" si="51"/>
        <v>-12267.018375000007</v>
      </c>
      <c r="Z374" s="740">
        <v>55.7</v>
      </c>
      <c r="AA374" s="678">
        <f t="shared" si="52"/>
        <v>43520.56837500001</v>
      </c>
      <c r="AB374" s="741">
        <f t="shared" si="53"/>
        <v>-12267.018375000007</v>
      </c>
      <c r="AC374" s="714"/>
    </row>
    <row r="375" spans="1:29" ht="15" customHeight="1" x14ac:dyDescent="0.25">
      <c r="A375" s="713"/>
      <c r="B375" s="714" t="s">
        <v>694</v>
      </c>
      <c r="C375" s="676" t="s">
        <v>40</v>
      </c>
      <c r="D375" s="676" t="s">
        <v>468</v>
      </c>
      <c r="E375" s="680">
        <v>44866</v>
      </c>
      <c r="F375" s="676">
        <v>720</v>
      </c>
      <c r="G375" s="676" t="s">
        <v>59</v>
      </c>
      <c r="H375" s="676" t="s">
        <v>3</v>
      </c>
      <c r="I375" s="676" t="s">
        <v>44</v>
      </c>
      <c r="J375" s="676" t="s">
        <v>547</v>
      </c>
      <c r="K375" s="676">
        <v>40</v>
      </c>
      <c r="L375" s="690" t="s">
        <v>54</v>
      </c>
      <c r="M375" s="691">
        <v>0</v>
      </c>
      <c r="N375" s="690">
        <v>1.0851927083333333</v>
      </c>
      <c r="O375" s="691">
        <v>0</v>
      </c>
      <c r="P375" s="690">
        <v>40</v>
      </c>
      <c r="Q375" s="738">
        <f t="shared" si="45"/>
        <v>0</v>
      </c>
      <c r="R375" s="677">
        <f t="shared" si="46"/>
        <v>31253.549999999996</v>
      </c>
      <c r="S375" s="739">
        <f t="shared" si="47"/>
        <v>31253.549999999996</v>
      </c>
      <c r="T375" s="738">
        <v>55.7</v>
      </c>
      <c r="U375" s="677">
        <f t="shared" si="48"/>
        <v>43520.568374999995</v>
      </c>
      <c r="V375" s="739">
        <f t="shared" si="49"/>
        <v>-12267.018375</v>
      </c>
      <c r="W375" s="740">
        <v>55.7</v>
      </c>
      <c r="X375" s="678">
        <f t="shared" si="50"/>
        <v>43520.568374999995</v>
      </c>
      <c r="Y375" s="700">
        <f t="shared" si="51"/>
        <v>-12267.018375</v>
      </c>
      <c r="Z375" s="740">
        <v>55.7</v>
      </c>
      <c r="AA375" s="678">
        <f t="shared" si="52"/>
        <v>43520.568374999995</v>
      </c>
      <c r="AB375" s="741">
        <f t="shared" si="53"/>
        <v>-12267.018375</v>
      </c>
      <c r="AC375" s="714"/>
    </row>
    <row r="376" spans="1:29" ht="15" customHeight="1" x14ac:dyDescent="0.25">
      <c r="A376" s="713"/>
      <c r="B376" s="729" t="s">
        <v>694</v>
      </c>
      <c r="C376" s="545" t="s">
        <v>40</v>
      </c>
      <c r="D376" s="545" t="s">
        <v>468</v>
      </c>
      <c r="E376" s="681">
        <v>44896</v>
      </c>
      <c r="F376" s="545">
        <v>744</v>
      </c>
      <c r="G376" s="545" t="s">
        <v>59</v>
      </c>
      <c r="H376" s="545" t="s">
        <v>3</v>
      </c>
      <c r="I376" s="545" t="s">
        <v>44</v>
      </c>
      <c r="J376" s="545" t="s">
        <v>547</v>
      </c>
      <c r="K376" s="545">
        <v>40</v>
      </c>
      <c r="L376" s="725" t="s">
        <v>54</v>
      </c>
      <c r="M376" s="695">
        <v>0</v>
      </c>
      <c r="N376" s="725">
        <v>1.050186491935484</v>
      </c>
      <c r="O376" s="695">
        <v>0</v>
      </c>
      <c r="P376" s="725">
        <v>40</v>
      </c>
      <c r="Q376" s="742">
        <f t="shared" si="45"/>
        <v>0</v>
      </c>
      <c r="R376" s="603">
        <f t="shared" si="46"/>
        <v>31253.550000000003</v>
      </c>
      <c r="S376" s="743">
        <f t="shared" si="47"/>
        <v>31253.550000000003</v>
      </c>
      <c r="T376" s="742">
        <v>55.7</v>
      </c>
      <c r="U376" s="603">
        <f t="shared" si="48"/>
        <v>43520.56837500001</v>
      </c>
      <c r="V376" s="743">
        <f t="shared" si="49"/>
        <v>-12267.018375000007</v>
      </c>
      <c r="W376" s="744">
        <v>55.7</v>
      </c>
      <c r="X376" s="604">
        <f t="shared" si="50"/>
        <v>43520.56837500001</v>
      </c>
      <c r="Y376" s="701">
        <f t="shared" si="51"/>
        <v>-12267.018375000007</v>
      </c>
      <c r="Z376" s="744">
        <v>78.400653594793155</v>
      </c>
      <c r="AA376" s="604">
        <f t="shared" si="52"/>
        <v>61257.468678938698</v>
      </c>
      <c r="AB376" s="745">
        <f t="shared" si="53"/>
        <v>-30003.918678938695</v>
      </c>
      <c r="AC376" s="714"/>
    </row>
    <row r="377" spans="1:29" ht="15" customHeight="1" x14ac:dyDescent="0.25">
      <c r="A377" s="713"/>
      <c r="B377" s="730" t="s">
        <v>695</v>
      </c>
      <c r="C377" s="546" t="s">
        <v>40</v>
      </c>
      <c r="D377" s="546" t="s">
        <v>509</v>
      </c>
      <c r="E377" s="682">
        <v>44562</v>
      </c>
      <c r="F377" s="546">
        <v>744</v>
      </c>
      <c r="G377" s="546" t="s">
        <v>59</v>
      </c>
      <c r="H377" s="546" t="s">
        <v>3</v>
      </c>
      <c r="I377" s="546" t="s">
        <v>44</v>
      </c>
      <c r="J377" s="546" t="s">
        <v>85</v>
      </c>
      <c r="K377" s="546">
        <v>275</v>
      </c>
      <c r="L377" s="726" t="s">
        <v>54</v>
      </c>
      <c r="M377" s="696">
        <v>0</v>
      </c>
      <c r="N377" s="726">
        <v>3</v>
      </c>
      <c r="O377" s="696">
        <v>0</v>
      </c>
      <c r="P377" s="726">
        <v>275</v>
      </c>
      <c r="Q377" s="746">
        <f t="shared" si="45"/>
        <v>0</v>
      </c>
      <c r="R377" s="606">
        <f t="shared" si="46"/>
        <v>613800</v>
      </c>
      <c r="S377" s="747">
        <f t="shared" si="47"/>
        <v>613800</v>
      </c>
      <c r="T377" s="746">
        <v>62.91</v>
      </c>
      <c r="U377" s="606">
        <f t="shared" si="48"/>
        <v>140415.12</v>
      </c>
      <c r="V377" s="747">
        <f t="shared" si="49"/>
        <v>473384.88</v>
      </c>
      <c r="W377" s="748">
        <v>62.91</v>
      </c>
      <c r="X377" s="607">
        <f t="shared" si="50"/>
        <v>140415.12</v>
      </c>
      <c r="Y377" s="702">
        <f t="shared" si="51"/>
        <v>473384.88</v>
      </c>
      <c r="Z377" s="748">
        <v>62.91</v>
      </c>
      <c r="AA377" s="607">
        <f t="shared" si="52"/>
        <v>140415.12</v>
      </c>
      <c r="AB377" s="749">
        <f t="shared" si="53"/>
        <v>473384.88</v>
      </c>
      <c r="AC377" s="714"/>
    </row>
    <row r="378" spans="1:29" ht="15" customHeight="1" x14ac:dyDescent="0.25">
      <c r="A378" s="713"/>
      <c r="B378" s="714" t="s">
        <v>695</v>
      </c>
      <c r="C378" s="676" t="s">
        <v>40</v>
      </c>
      <c r="D378" s="676" t="s">
        <v>509</v>
      </c>
      <c r="E378" s="680">
        <v>44593</v>
      </c>
      <c r="F378" s="676">
        <v>672</v>
      </c>
      <c r="G378" s="676" t="s">
        <v>59</v>
      </c>
      <c r="H378" s="676" t="s">
        <v>3</v>
      </c>
      <c r="I378" s="676" t="s">
        <v>44</v>
      </c>
      <c r="J378" s="676" t="s">
        <v>85</v>
      </c>
      <c r="K378" s="676">
        <v>275</v>
      </c>
      <c r="L378" s="690" t="s">
        <v>54</v>
      </c>
      <c r="M378" s="691">
        <v>0</v>
      </c>
      <c r="N378" s="690">
        <v>3</v>
      </c>
      <c r="O378" s="691">
        <v>0</v>
      </c>
      <c r="P378" s="690">
        <v>275</v>
      </c>
      <c r="Q378" s="738">
        <f t="shared" si="45"/>
        <v>0</v>
      </c>
      <c r="R378" s="677">
        <f t="shared" si="46"/>
        <v>554400</v>
      </c>
      <c r="S378" s="739">
        <f t="shared" si="47"/>
        <v>554400</v>
      </c>
      <c r="T378" s="738">
        <v>55.7</v>
      </c>
      <c r="U378" s="677">
        <f t="shared" si="48"/>
        <v>112291.20000000001</v>
      </c>
      <c r="V378" s="739">
        <f t="shared" si="49"/>
        <v>442108.8</v>
      </c>
      <c r="W378" s="740">
        <v>55.7</v>
      </c>
      <c r="X378" s="678">
        <f t="shared" si="50"/>
        <v>112291.20000000001</v>
      </c>
      <c r="Y378" s="700">
        <f t="shared" si="51"/>
        <v>442108.8</v>
      </c>
      <c r="Z378" s="740">
        <v>55.7</v>
      </c>
      <c r="AA378" s="678">
        <f t="shared" si="52"/>
        <v>112291.20000000001</v>
      </c>
      <c r="AB378" s="741">
        <f t="shared" si="53"/>
        <v>442108.8</v>
      </c>
      <c r="AC378" s="714"/>
    </row>
    <row r="379" spans="1:29" ht="15" customHeight="1" x14ac:dyDescent="0.25">
      <c r="A379" s="713"/>
      <c r="B379" s="714" t="s">
        <v>695</v>
      </c>
      <c r="C379" s="676" t="s">
        <v>40</v>
      </c>
      <c r="D379" s="676" t="s">
        <v>509</v>
      </c>
      <c r="E379" s="680">
        <v>44621</v>
      </c>
      <c r="F379" s="676">
        <v>744</v>
      </c>
      <c r="G379" s="676" t="s">
        <v>59</v>
      </c>
      <c r="H379" s="676" t="s">
        <v>3</v>
      </c>
      <c r="I379" s="676" t="s">
        <v>44</v>
      </c>
      <c r="J379" s="676" t="s">
        <v>85</v>
      </c>
      <c r="K379" s="676">
        <v>275</v>
      </c>
      <c r="L379" s="690" t="s">
        <v>54</v>
      </c>
      <c r="M379" s="691">
        <v>0</v>
      </c>
      <c r="N379" s="690">
        <v>3</v>
      </c>
      <c r="O379" s="691">
        <v>0</v>
      </c>
      <c r="P379" s="690">
        <v>275</v>
      </c>
      <c r="Q379" s="738">
        <f t="shared" si="45"/>
        <v>0</v>
      </c>
      <c r="R379" s="677">
        <f t="shared" si="46"/>
        <v>613800</v>
      </c>
      <c r="S379" s="739">
        <f t="shared" si="47"/>
        <v>613800</v>
      </c>
      <c r="T379" s="738">
        <v>55.7</v>
      </c>
      <c r="U379" s="677">
        <f t="shared" si="48"/>
        <v>124322.40000000001</v>
      </c>
      <c r="V379" s="739">
        <f t="shared" si="49"/>
        <v>489477.6</v>
      </c>
      <c r="W379" s="740">
        <v>55.7</v>
      </c>
      <c r="X379" s="678">
        <f t="shared" si="50"/>
        <v>124322.40000000001</v>
      </c>
      <c r="Y379" s="700">
        <f t="shared" si="51"/>
        <v>489477.6</v>
      </c>
      <c r="Z379" s="740">
        <v>55.7</v>
      </c>
      <c r="AA379" s="678">
        <f t="shared" si="52"/>
        <v>124322.40000000001</v>
      </c>
      <c r="AB379" s="741">
        <f t="shared" si="53"/>
        <v>489477.6</v>
      </c>
      <c r="AC379" s="714"/>
    </row>
    <row r="380" spans="1:29" ht="15" customHeight="1" x14ac:dyDescent="0.25">
      <c r="A380" s="713"/>
      <c r="B380" s="714" t="s">
        <v>695</v>
      </c>
      <c r="C380" s="676" t="s">
        <v>40</v>
      </c>
      <c r="D380" s="676" t="s">
        <v>509</v>
      </c>
      <c r="E380" s="680">
        <v>44652</v>
      </c>
      <c r="F380" s="676">
        <v>720</v>
      </c>
      <c r="G380" s="676" t="s">
        <v>59</v>
      </c>
      <c r="H380" s="676" t="s">
        <v>3</v>
      </c>
      <c r="I380" s="676" t="s">
        <v>44</v>
      </c>
      <c r="J380" s="676" t="s">
        <v>85</v>
      </c>
      <c r="K380" s="676">
        <v>275</v>
      </c>
      <c r="L380" s="690" t="s">
        <v>54</v>
      </c>
      <c r="M380" s="691">
        <v>0</v>
      </c>
      <c r="N380" s="690">
        <v>3</v>
      </c>
      <c r="O380" s="691">
        <v>0</v>
      </c>
      <c r="P380" s="690">
        <v>275</v>
      </c>
      <c r="Q380" s="738">
        <f t="shared" si="45"/>
        <v>0</v>
      </c>
      <c r="R380" s="677">
        <f t="shared" si="46"/>
        <v>594000</v>
      </c>
      <c r="S380" s="739">
        <f t="shared" si="47"/>
        <v>594000</v>
      </c>
      <c r="T380" s="738">
        <v>55.7</v>
      </c>
      <c r="U380" s="677">
        <f t="shared" si="48"/>
        <v>120312</v>
      </c>
      <c r="V380" s="739">
        <f t="shared" si="49"/>
        <v>473688</v>
      </c>
      <c r="W380" s="740">
        <v>55.7</v>
      </c>
      <c r="X380" s="678">
        <f t="shared" si="50"/>
        <v>120312</v>
      </c>
      <c r="Y380" s="700">
        <f t="shared" si="51"/>
        <v>473688</v>
      </c>
      <c r="Z380" s="740">
        <v>55.7</v>
      </c>
      <c r="AA380" s="678">
        <f t="shared" si="52"/>
        <v>120312</v>
      </c>
      <c r="AB380" s="741">
        <f t="shared" si="53"/>
        <v>473688</v>
      </c>
      <c r="AC380" s="714"/>
    </row>
    <row r="381" spans="1:29" ht="15" customHeight="1" x14ac:dyDescent="0.25">
      <c r="A381" s="713"/>
      <c r="B381" s="714" t="s">
        <v>695</v>
      </c>
      <c r="C381" s="676" t="s">
        <v>40</v>
      </c>
      <c r="D381" s="676" t="s">
        <v>509</v>
      </c>
      <c r="E381" s="680">
        <v>44682</v>
      </c>
      <c r="F381" s="676">
        <v>744</v>
      </c>
      <c r="G381" s="676" t="s">
        <v>59</v>
      </c>
      <c r="H381" s="676" t="s">
        <v>3</v>
      </c>
      <c r="I381" s="676" t="s">
        <v>44</v>
      </c>
      <c r="J381" s="676" t="s">
        <v>85</v>
      </c>
      <c r="K381" s="676">
        <v>275</v>
      </c>
      <c r="L381" s="690" t="s">
        <v>54</v>
      </c>
      <c r="M381" s="691">
        <v>0</v>
      </c>
      <c r="N381" s="690">
        <v>3</v>
      </c>
      <c r="O381" s="691">
        <v>0</v>
      </c>
      <c r="P381" s="690">
        <v>275</v>
      </c>
      <c r="Q381" s="738">
        <f t="shared" si="45"/>
        <v>0</v>
      </c>
      <c r="R381" s="677">
        <f t="shared" si="46"/>
        <v>613800</v>
      </c>
      <c r="S381" s="739">
        <f t="shared" si="47"/>
        <v>613800</v>
      </c>
      <c r="T381" s="738">
        <v>55.7</v>
      </c>
      <c r="U381" s="677">
        <f t="shared" si="48"/>
        <v>124322.40000000001</v>
      </c>
      <c r="V381" s="739">
        <f t="shared" si="49"/>
        <v>489477.6</v>
      </c>
      <c r="W381" s="740">
        <v>55.7</v>
      </c>
      <c r="X381" s="678">
        <f t="shared" si="50"/>
        <v>124322.40000000001</v>
      </c>
      <c r="Y381" s="700">
        <f t="shared" si="51"/>
        <v>489477.6</v>
      </c>
      <c r="Z381" s="740">
        <v>55.7</v>
      </c>
      <c r="AA381" s="678">
        <f t="shared" si="52"/>
        <v>124322.40000000001</v>
      </c>
      <c r="AB381" s="741">
        <f t="shared" si="53"/>
        <v>489477.6</v>
      </c>
      <c r="AC381" s="714"/>
    </row>
    <row r="382" spans="1:29" ht="15" customHeight="1" x14ac:dyDescent="0.25">
      <c r="A382" s="713"/>
      <c r="B382" s="714" t="s">
        <v>695</v>
      </c>
      <c r="C382" s="676" t="s">
        <v>40</v>
      </c>
      <c r="D382" s="676" t="s">
        <v>509</v>
      </c>
      <c r="E382" s="680">
        <v>44713</v>
      </c>
      <c r="F382" s="676">
        <v>720</v>
      </c>
      <c r="G382" s="676" t="s">
        <v>59</v>
      </c>
      <c r="H382" s="676" t="s">
        <v>3</v>
      </c>
      <c r="I382" s="676" t="s">
        <v>44</v>
      </c>
      <c r="J382" s="676" t="s">
        <v>85</v>
      </c>
      <c r="K382" s="676">
        <v>275</v>
      </c>
      <c r="L382" s="690" t="s">
        <v>54</v>
      </c>
      <c r="M382" s="691">
        <v>0</v>
      </c>
      <c r="N382" s="690">
        <v>3</v>
      </c>
      <c r="O382" s="691">
        <v>0</v>
      </c>
      <c r="P382" s="690">
        <v>275</v>
      </c>
      <c r="Q382" s="738">
        <f t="shared" si="45"/>
        <v>0</v>
      </c>
      <c r="R382" s="677">
        <f t="shared" si="46"/>
        <v>594000</v>
      </c>
      <c r="S382" s="739">
        <f t="shared" si="47"/>
        <v>594000</v>
      </c>
      <c r="T382" s="738">
        <v>55.71</v>
      </c>
      <c r="U382" s="677">
        <f t="shared" si="48"/>
        <v>120333.6</v>
      </c>
      <c r="V382" s="739">
        <f t="shared" si="49"/>
        <v>473666.4</v>
      </c>
      <c r="W382" s="740">
        <v>55.71</v>
      </c>
      <c r="X382" s="678">
        <f t="shared" si="50"/>
        <v>120333.6</v>
      </c>
      <c r="Y382" s="700">
        <f t="shared" si="51"/>
        <v>473666.4</v>
      </c>
      <c r="Z382" s="740">
        <v>55.71</v>
      </c>
      <c r="AA382" s="678">
        <f t="shared" si="52"/>
        <v>120333.6</v>
      </c>
      <c r="AB382" s="741">
        <f t="shared" si="53"/>
        <v>473666.4</v>
      </c>
      <c r="AC382" s="714"/>
    </row>
    <row r="383" spans="1:29" ht="15" customHeight="1" x14ac:dyDescent="0.25">
      <c r="A383" s="713"/>
      <c r="B383" s="714" t="s">
        <v>695</v>
      </c>
      <c r="C383" s="676" t="s">
        <v>40</v>
      </c>
      <c r="D383" s="676" t="s">
        <v>509</v>
      </c>
      <c r="E383" s="680">
        <v>44743</v>
      </c>
      <c r="F383" s="676">
        <v>744</v>
      </c>
      <c r="G383" s="676" t="s">
        <v>59</v>
      </c>
      <c r="H383" s="676" t="s">
        <v>3</v>
      </c>
      <c r="I383" s="676" t="s">
        <v>44</v>
      </c>
      <c r="J383" s="676" t="s">
        <v>85</v>
      </c>
      <c r="K383" s="676">
        <v>275</v>
      </c>
      <c r="L383" s="690" t="s">
        <v>54</v>
      </c>
      <c r="M383" s="691">
        <v>0</v>
      </c>
      <c r="N383" s="690">
        <v>3</v>
      </c>
      <c r="O383" s="691">
        <v>0</v>
      </c>
      <c r="P383" s="690">
        <v>275</v>
      </c>
      <c r="Q383" s="738">
        <f t="shared" si="45"/>
        <v>0</v>
      </c>
      <c r="R383" s="677">
        <f t="shared" si="46"/>
        <v>613800</v>
      </c>
      <c r="S383" s="739">
        <f t="shared" si="47"/>
        <v>613800</v>
      </c>
      <c r="T383" s="738">
        <v>66.319999999999993</v>
      </c>
      <c r="U383" s="677">
        <f t="shared" si="48"/>
        <v>148026.23999999999</v>
      </c>
      <c r="V383" s="739">
        <f t="shared" si="49"/>
        <v>465773.76</v>
      </c>
      <c r="W383" s="740">
        <v>66.319999999999993</v>
      </c>
      <c r="X383" s="678">
        <f t="shared" si="50"/>
        <v>148026.23999999999</v>
      </c>
      <c r="Y383" s="700">
        <f t="shared" si="51"/>
        <v>465773.76</v>
      </c>
      <c r="Z383" s="740">
        <v>66.319999999999993</v>
      </c>
      <c r="AA383" s="678">
        <f t="shared" si="52"/>
        <v>148026.23999999999</v>
      </c>
      <c r="AB383" s="741">
        <f t="shared" si="53"/>
        <v>465773.76</v>
      </c>
      <c r="AC383" s="714"/>
    </row>
    <row r="384" spans="1:29" ht="15" customHeight="1" x14ac:dyDescent="0.25">
      <c r="A384" s="713"/>
      <c r="B384" s="714" t="s">
        <v>695</v>
      </c>
      <c r="C384" s="676" t="s">
        <v>40</v>
      </c>
      <c r="D384" s="676" t="s">
        <v>509</v>
      </c>
      <c r="E384" s="680">
        <v>44774</v>
      </c>
      <c r="F384" s="676">
        <v>744</v>
      </c>
      <c r="G384" s="676" t="s">
        <v>59</v>
      </c>
      <c r="H384" s="676" t="s">
        <v>3</v>
      </c>
      <c r="I384" s="676" t="s">
        <v>44</v>
      </c>
      <c r="J384" s="676" t="s">
        <v>85</v>
      </c>
      <c r="K384" s="676">
        <v>275</v>
      </c>
      <c r="L384" s="690" t="s">
        <v>54</v>
      </c>
      <c r="M384" s="691">
        <v>0</v>
      </c>
      <c r="N384" s="690">
        <v>3</v>
      </c>
      <c r="O384" s="691">
        <v>0</v>
      </c>
      <c r="P384" s="690">
        <v>275</v>
      </c>
      <c r="Q384" s="738">
        <f t="shared" si="45"/>
        <v>0</v>
      </c>
      <c r="R384" s="677">
        <f t="shared" si="46"/>
        <v>613800</v>
      </c>
      <c r="S384" s="739">
        <f t="shared" si="47"/>
        <v>613800</v>
      </c>
      <c r="T384" s="738">
        <v>76.900000000000006</v>
      </c>
      <c r="U384" s="677">
        <f t="shared" si="48"/>
        <v>171640.80000000002</v>
      </c>
      <c r="V384" s="739">
        <f t="shared" si="49"/>
        <v>442159.19999999995</v>
      </c>
      <c r="W384" s="740">
        <v>76.900000000000006</v>
      </c>
      <c r="X384" s="678">
        <f t="shared" si="50"/>
        <v>171640.80000000002</v>
      </c>
      <c r="Y384" s="700">
        <f t="shared" si="51"/>
        <v>442159.19999999995</v>
      </c>
      <c r="Z384" s="740">
        <v>76.900000000000006</v>
      </c>
      <c r="AA384" s="678">
        <f t="shared" si="52"/>
        <v>171640.80000000002</v>
      </c>
      <c r="AB384" s="741">
        <f t="shared" si="53"/>
        <v>442159.19999999995</v>
      </c>
      <c r="AC384" s="714"/>
    </row>
    <row r="385" spans="1:29" ht="15" customHeight="1" x14ac:dyDescent="0.25">
      <c r="A385" s="713"/>
      <c r="B385" s="714" t="s">
        <v>695</v>
      </c>
      <c r="C385" s="676" t="s">
        <v>40</v>
      </c>
      <c r="D385" s="676" t="s">
        <v>509</v>
      </c>
      <c r="E385" s="680">
        <v>44805</v>
      </c>
      <c r="F385" s="676">
        <v>720</v>
      </c>
      <c r="G385" s="676" t="s">
        <v>59</v>
      </c>
      <c r="H385" s="676" t="s">
        <v>3</v>
      </c>
      <c r="I385" s="676" t="s">
        <v>44</v>
      </c>
      <c r="J385" s="676" t="s">
        <v>85</v>
      </c>
      <c r="K385" s="676">
        <v>275</v>
      </c>
      <c r="L385" s="690" t="s">
        <v>54</v>
      </c>
      <c r="M385" s="691">
        <v>0</v>
      </c>
      <c r="N385" s="690">
        <v>3</v>
      </c>
      <c r="O385" s="691">
        <v>0</v>
      </c>
      <c r="P385" s="690">
        <v>275</v>
      </c>
      <c r="Q385" s="738">
        <f t="shared" si="45"/>
        <v>0</v>
      </c>
      <c r="R385" s="677">
        <f t="shared" si="46"/>
        <v>594000</v>
      </c>
      <c r="S385" s="739">
        <f t="shared" si="47"/>
        <v>594000</v>
      </c>
      <c r="T385" s="738">
        <v>56.08</v>
      </c>
      <c r="U385" s="677">
        <f t="shared" si="48"/>
        <v>121132.8</v>
      </c>
      <c r="V385" s="739">
        <f t="shared" si="49"/>
        <v>472867.2</v>
      </c>
      <c r="W385" s="740">
        <v>56.08</v>
      </c>
      <c r="X385" s="678">
        <f t="shared" si="50"/>
        <v>121132.8</v>
      </c>
      <c r="Y385" s="700">
        <f t="shared" si="51"/>
        <v>472867.2</v>
      </c>
      <c r="Z385" s="740">
        <v>56.08</v>
      </c>
      <c r="AA385" s="678">
        <f t="shared" si="52"/>
        <v>121132.8</v>
      </c>
      <c r="AB385" s="741">
        <f t="shared" si="53"/>
        <v>472867.2</v>
      </c>
      <c r="AC385" s="714"/>
    </row>
    <row r="386" spans="1:29" ht="15" customHeight="1" x14ac:dyDescent="0.25">
      <c r="A386" s="713"/>
      <c r="B386" s="714" t="s">
        <v>695</v>
      </c>
      <c r="C386" s="676" t="s">
        <v>40</v>
      </c>
      <c r="D386" s="676" t="s">
        <v>509</v>
      </c>
      <c r="E386" s="680">
        <v>44835</v>
      </c>
      <c r="F386" s="676">
        <v>744</v>
      </c>
      <c r="G386" s="676" t="s">
        <v>59</v>
      </c>
      <c r="H386" s="676" t="s">
        <v>3</v>
      </c>
      <c r="I386" s="676" t="s">
        <v>44</v>
      </c>
      <c r="J386" s="676" t="s">
        <v>85</v>
      </c>
      <c r="K386" s="676">
        <v>275</v>
      </c>
      <c r="L386" s="690" t="s">
        <v>54</v>
      </c>
      <c r="M386" s="691">
        <v>0</v>
      </c>
      <c r="N386" s="690">
        <v>3</v>
      </c>
      <c r="O386" s="691">
        <v>0</v>
      </c>
      <c r="P386" s="690">
        <v>275</v>
      </c>
      <c r="Q386" s="738">
        <f t="shared" si="45"/>
        <v>0</v>
      </c>
      <c r="R386" s="677">
        <f t="shared" si="46"/>
        <v>613800</v>
      </c>
      <c r="S386" s="739">
        <f t="shared" si="47"/>
        <v>613800</v>
      </c>
      <c r="T386" s="738">
        <v>55.7</v>
      </c>
      <c r="U386" s="677">
        <f t="shared" si="48"/>
        <v>124322.40000000001</v>
      </c>
      <c r="V386" s="739">
        <f t="shared" si="49"/>
        <v>489477.6</v>
      </c>
      <c r="W386" s="740">
        <v>55.7</v>
      </c>
      <c r="X386" s="678">
        <f t="shared" si="50"/>
        <v>124322.40000000001</v>
      </c>
      <c r="Y386" s="700">
        <f t="shared" si="51"/>
        <v>489477.6</v>
      </c>
      <c r="Z386" s="740">
        <v>55.7</v>
      </c>
      <c r="AA386" s="678">
        <f t="shared" si="52"/>
        <v>124322.40000000001</v>
      </c>
      <c r="AB386" s="741">
        <f t="shared" si="53"/>
        <v>489477.6</v>
      </c>
      <c r="AC386" s="714"/>
    </row>
    <row r="387" spans="1:29" ht="15" customHeight="1" x14ac:dyDescent="0.25">
      <c r="A387" s="713"/>
      <c r="B387" s="714" t="s">
        <v>695</v>
      </c>
      <c r="C387" s="676" t="s">
        <v>40</v>
      </c>
      <c r="D387" s="676" t="s">
        <v>509</v>
      </c>
      <c r="E387" s="680">
        <v>44866</v>
      </c>
      <c r="F387" s="676">
        <v>720</v>
      </c>
      <c r="G387" s="676" t="s">
        <v>59</v>
      </c>
      <c r="H387" s="676" t="s">
        <v>3</v>
      </c>
      <c r="I387" s="676" t="s">
        <v>44</v>
      </c>
      <c r="J387" s="676" t="s">
        <v>85</v>
      </c>
      <c r="K387" s="676">
        <v>275</v>
      </c>
      <c r="L387" s="690" t="s">
        <v>54</v>
      </c>
      <c r="M387" s="691">
        <v>0</v>
      </c>
      <c r="N387" s="690">
        <v>3</v>
      </c>
      <c r="O387" s="691">
        <v>0</v>
      </c>
      <c r="P387" s="690">
        <v>275</v>
      </c>
      <c r="Q387" s="738">
        <f t="shared" ref="Q387:Q450" si="54">(O387*(M387*F387))</f>
        <v>0</v>
      </c>
      <c r="R387" s="677">
        <f t="shared" ref="R387:R450" si="55">(P387*(N387*F387))</f>
        <v>594000</v>
      </c>
      <c r="S387" s="739">
        <f t="shared" ref="S387:S450" si="56">R387-Q387</f>
        <v>594000</v>
      </c>
      <c r="T387" s="738">
        <v>55.7</v>
      </c>
      <c r="U387" s="677">
        <f t="shared" ref="U387:U450" si="57">(((F387*N387)*T387)-(T387*(M387*F387)))</f>
        <v>120312</v>
      </c>
      <c r="V387" s="739">
        <f t="shared" ref="V387:V450" si="58">S387-U387</f>
        <v>473688</v>
      </c>
      <c r="W387" s="740">
        <v>55.7</v>
      </c>
      <c r="X387" s="678">
        <f t="shared" ref="X387:X450" si="59">(((F387*N387)*W387)-(W387*(M387*F387)))</f>
        <v>120312</v>
      </c>
      <c r="Y387" s="700">
        <f t="shared" ref="Y387:Y450" si="60">S387-X387</f>
        <v>473688</v>
      </c>
      <c r="Z387" s="740">
        <v>55.7</v>
      </c>
      <c r="AA387" s="678">
        <f t="shared" ref="AA387:AA450" si="61">(((F387*N387)*Z387)-(Z387*(M387*F387)))</f>
        <v>120312</v>
      </c>
      <c r="AB387" s="741">
        <f t="shared" ref="AB387:AB450" si="62">S387-AA387</f>
        <v>473688</v>
      </c>
      <c r="AC387" s="714"/>
    </row>
    <row r="388" spans="1:29" ht="15" customHeight="1" x14ac:dyDescent="0.25">
      <c r="A388" s="713"/>
      <c r="B388" s="729" t="s">
        <v>695</v>
      </c>
      <c r="C388" s="545" t="s">
        <v>40</v>
      </c>
      <c r="D388" s="545" t="s">
        <v>509</v>
      </c>
      <c r="E388" s="681">
        <v>44896</v>
      </c>
      <c r="F388" s="545">
        <v>744</v>
      </c>
      <c r="G388" s="545" t="s">
        <v>59</v>
      </c>
      <c r="H388" s="545" t="s">
        <v>3</v>
      </c>
      <c r="I388" s="545" t="s">
        <v>44</v>
      </c>
      <c r="J388" s="545" t="s">
        <v>85</v>
      </c>
      <c r="K388" s="545">
        <v>275</v>
      </c>
      <c r="L388" s="725" t="s">
        <v>54</v>
      </c>
      <c r="M388" s="695">
        <v>0</v>
      </c>
      <c r="N388" s="725">
        <v>3</v>
      </c>
      <c r="O388" s="695">
        <v>0</v>
      </c>
      <c r="P388" s="725">
        <v>275</v>
      </c>
      <c r="Q388" s="742">
        <f t="shared" si="54"/>
        <v>0</v>
      </c>
      <c r="R388" s="603">
        <f t="shared" si="55"/>
        <v>613800</v>
      </c>
      <c r="S388" s="743">
        <f t="shared" si="56"/>
        <v>613800</v>
      </c>
      <c r="T388" s="742">
        <v>55.7</v>
      </c>
      <c r="U388" s="603">
        <f t="shared" si="57"/>
        <v>124322.40000000001</v>
      </c>
      <c r="V388" s="743">
        <f t="shared" si="58"/>
        <v>489477.6</v>
      </c>
      <c r="W388" s="744">
        <v>55.7</v>
      </c>
      <c r="X388" s="604">
        <f t="shared" si="59"/>
        <v>124322.40000000001</v>
      </c>
      <c r="Y388" s="701">
        <f t="shared" si="60"/>
        <v>489477.6</v>
      </c>
      <c r="Z388" s="744">
        <v>78.400653594793155</v>
      </c>
      <c r="AA388" s="604">
        <f t="shared" si="61"/>
        <v>174990.25882357833</v>
      </c>
      <c r="AB388" s="745">
        <f t="shared" si="62"/>
        <v>438809.74117642164</v>
      </c>
      <c r="AC388" s="714"/>
    </row>
    <row r="389" spans="1:29" ht="15" customHeight="1" x14ac:dyDescent="0.25">
      <c r="A389" s="713"/>
      <c r="B389" s="730" t="s">
        <v>696</v>
      </c>
      <c r="C389" s="546" t="s">
        <v>40</v>
      </c>
      <c r="D389" s="546" t="s">
        <v>511</v>
      </c>
      <c r="E389" s="682">
        <v>44652</v>
      </c>
      <c r="F389" s="546">
        <v>720</v>
      </c>
      <c r="G389" s="546" t="s">
        <v>58</v>
      </c>
      <c r="H389" s="546" t="s">
        <v>3</v>
      </c>
      <c r="I389" s="546" t="s">
        <v>44</v>
      </c>
      <c r="J389" s="546" t="s">
        <v>84</v>
      </c>
      <c r="K389" s="546">
        <v>200</v>
      </c>
      <c r="L389" s="726" t="s">
        <v>54</v>
      </c>
      <c r="M389" s="696">
        <v>3</v>
      </c>
      <c r="N389" s="726">
        <v>0</v>
      </c>
      <c r="O389" s="696">
        <v>200</v>
      </c>
      <c r="P389" s="726">
        <v>0</v>
      </c>
      <c r="Q389" s="746">
        <f t="shared" si="54"/>
        <v>432000</v>
      </c>
      <c r="R389" s="606">
        <f t="shared" si="55"/>
        <v>0</v>
      </c>
      <c r="S389" s="747">
        <f t="shared" si="56"/>
        <v>-432000</v>
      </c>
      <c r="T389" s="746">
        <v>55.7</v>
      </c>
      <c r="U389" s="606">
        <f t="shared" si="57"/>
        <v>-120312</v>
      </c>
      <c r="V389" s="747">
        <f t="shared" si="58"/>
        <v>-311688</v>
      </c>
      <c r="W389" s="748">
        <v>55.7</v>
      </c>
      <c r="X389" s="607">
        <f t="shared" si="59"/>
        <v>-120312</v>
      </c>
      <c r="Y389" s="702">
        <f t="shared" si="60"/>
        <v>-311688</v>
      </c>
      <c r="Z389" s="748">
        <v>55.7</v>
      </c>
      <c r="AA389" s="607">
        <f t="shared" si="61"/>
        <v>-120312</v>
      </c>
      <c r="AB389" s="749">
        <f t="shared" si="62"/>
        <v>-311688</v>
      </c>
      <c r="AC389" s="714"/>
    </row>
    <row r="390" spans="1:29" ht="15" customHeight="1" x14ac:dyDescent="0.25">
      <c r="A390" s="713"/>
      <c r="B390" s="714" t="s">
        <v>696</v>
      </c>
      <c r="C390" s="676" t="s">
        <v>40</v>
      </c>
      <c r="D390" s="676" t="s">
        <v>511</v>
      </c>
      <c r="E390" s="680">
        <v>44682</v>
      </c>
      <c r="F390" s="676">
        <v>744</v>
      </c>
      <c r="G390" s="676" t="s">
        <v>58</v>
      </c>
      <c r="H390" s="676" t="s">
        <v>3</v>
      </c>
      <c r="I390" s="676" t="s">
        <v>44</v>
      </c>
      <c r="J390" s="676" t="s">
        <v>84</v>
      </c>
      <c r="K390" s="676">
        <v>200</v>
      </c>
      <c r="L390" s="690" t="s">
        <v>54</v>
      </c>
      <c r="M390" s="691">
        <v>3</v>
      </c>
      <c r="N390" s="690">
        <v>0</v>
      </c>
      <c r="O390" s="691">
        <v>200</v>
      </c>
      <c r="P390" s="690">
        <v>0</v>
      </c>
      <c r="Q390" s="738">
        <f t="shared" si="54"/>
        <v>446400</v>
      </c>
      <c r="R390" s="677">
        <f t="shared" si="55"/>
        <v>0</v>
      </c>
      <c r="S390" s="739">
        <f t="shared" si="56"/>
        <v>-446400</v>
      </c>
      <c r="T390" s="738">
        <v>55.7</v>
      </c>
      <c r="U390" s="677">
        <f t="shared" si="57"/>
        <v>-124322.40000000001</v>
      </c>
      <c r="V390" s="739">
        <f t="shared" si="58"/>
        <v>-322077.59999999998</v>
      </c>
      <c r="W390" s="740">
        <v>55.7</v>
      </c>
      <c r="X390" s="678">
        <f t="shared" si="59"/>
        <v>-124322.40000000001</v>
      </c>
      <c r="Y390" s="700">
        <f t="shared" si="60"/>
        <v>-322077.59999999998</v>
      </c>
      <c r="Z390" s="740">
        <v>55.7</v>
      </c>
      <c r="AA390" s="678">
        <f t="shared" si="61"/>
        <v>-124322.40000000001</v>
      </c>
      <c r="AB390" s="741">
        <f t="shared" si="62"/>
        <v>-322077.59999999998</v>
      </c>
      <c r="AC390" s="714"/>
    </row>
    <row r="391" spans="1:29" ht="15" customHeight="1" x14ac:dyDescent="0.25">
      <c r="A391" s="713"/>
      <c r="B391" s="729" t="s">
        <v>696</v>
      </c>
      <c r="C391" s="545" t="s">
        <v>40</v>
      </c>
      <c r="D391" s="545" t="s">
        <v>511</v>
      </c>
      <c r="E391" s="681">
        <v>44713</v>
      </c>
      <c r="F391" s="545">
        <v>720</v>
      </c>
      <c r="G391" s="545" t="s">
        <v>58</v>
      </c>
      <c r="H391" s="545" t="s">
        <v>3</v>
      </c>
      <c r="I391" s="545" t="s">
        <v>44</v>
      </c>
      <c r="J391" s="545" t="s">
        <v>84</v>
      </c>
      <c r="K391" s="545">
        <v>200</v>
      </c>
      <c r="L391" s="725" t="s">
        <v>54</v>
      </c>
      <c r="M391" s="695">
        <v>3</v>
      </c>
      <c r="N391" s="725">
        <v>0</v>
      </c>
      <c r="O391" s="695">
        <v>200</v>
      </c>
      <c r="P391" s="725">
        <v>0</v>
      </c>
      <c r="Q391" s="742">
        <f t="shared" si="54"/>
        <v>432000</v>
      </c>
      <c r="R391" s="603">
        <f t="shared" si="55"/>
        <v>0</v>
      </c>
      <c r="S391" s="743">
        <f t="shared" si="56"/>
        <v>-432000</v>
      </c>
      <c r="T391" s="742">
        <v>55.71</v>
      </c>
      <c r="U391" s="603">
        <f t="shared" si="57"/>
        <v>-120333.6</v>
      </c>
      <c r="V391" s="743">
        <f t="shared" si="58"/>
        <v>-311666.40000000002</v>
      </c>
      <c r="W391" s="744">
        <v>55.71</v>
      </c>
      <c r="X391" s="604">
        <f t="shared" si="59"/>
        <v>-120333.6</v>
      </c>
      <c r="Y391" s="701">
        <f t="shared" si="60"/>
        <v>-311666.40000000002</v>
      </c>
      <c r="Z391" s="744">
        <v>55.71</v>
      </c>
      <c r="AA391" s="604">
        <f t="shared" si="61"/>
        <v>-120333.6</v>
      </c>
      <c r="AB391" s="745">
        <f t="shared" si="62"/>
        <v>-311666.40000000002</v>
      </c>
      <c r="AC391" s="714"/>
    </row>
    <row r="392" spans="1:29" ht="15" customHeight="1" x14ac:dyDescent="0.25">
      <c r="A392" s="713"/>
      <c r="B392" s="730" t="s">
        <v>697</v>
      </c>
      <c r="C392" s="546" t="s">
        <v>40</v>
      </c>
      <c r="D392" s="546" t="s">
        <v>404</v>
      </c>
      <c r="E392" s="682">
        <v>44562</v>
      </c>
      <c r="F392" s="546">
        <v>744</v>
      </c>
      <c r="G392" s="546" t="s">
        <v>58</v>
      </c>
      <c r="H392" s="546" t="s">
        <v>3</v>
      </c>
      <c r="I392" s="546" t="s">
        <v>44</v>
      </c>
      <c r="J392" s="546" t="s">
        <v>84</v>
      </c>
      <c r="K392" s="546">
        <v>282</v>
      </c>
      <c r="L392" s="726" t="s">
        <v>54</v>
      </c>
      <c r="M392" s="696">
        <v>3</v>
      </c>
      <c r="N392" s="726">
        <v>0</v>
      </c>
      <c r="O392" s="696">
        <v>282</v>
      </c>
      <c r="P392" s="726">
        <v>0</v>
      </c>
      <c r="Q392" s="746">
        <f t="shared" si="54"/>
        <v>629424</v>
      </c>
      <c r="R392" s="606">
        <f t="shared" si="55"/>
        <v>0</v>
      </c>
      <c r="S392" s="747">
        <f t="shared" si="56"/>
        <v>-629424</v>
      </c>
      <c r="T392" s="746">
        <v>62.91</v>
      </c>
      <c r="U392" s="606">
        <f t="shared" si="57"/>
        <v>-140415.12</v>
      </c>
      <c r="V392" s="747">
        <f t="shared" si="58"/>
        <v>-489008.88</v>
      </c>
      <c r="W392" s="748">
        <v>62.91</v>
      </c>
      <c r="X392" s="607">
        <f t="shared" si="59"/>
        <v>-140415.12</v>
      </c>
      <c r="Y392" s="702">
        <f t="shared" si="60"/>
        <v>-489008.88</v>
      </c>
      <c r="Z392" s="748">
        <v>62.91</v>
      </c>
      <c r="AA392" s="607">
        <f t="shared" si="61"/>
        <v>-140415.12</v>
      </c>
      <c r="AB392" s="749">
        <f t="shared" si="62"/>
        <v>-489008.88</v>
      </c>
      <c r="AC392" s="714"/>
    </row>
    <row r="393" spans="1:29" ht="15" customHeight="1" x14ac:dyDescent="0.25">
      <c r="A393" s="713"/>
      <c r="B393" s="714" t="s">
        <v>697</v>
      </c>
      <c r="C393" s="676" t="s">
        <v>40</v>
      </c>
      <c r="D393" s="676" t="s">
        <v>404</v>
      </c>
      <c r="E393" s="680">
        <v>44593</v>
      </c>
      <c r="F393" s="676">
        <v>672</v>
      </c>
      <c r="G393" s="676" t="s">
        <v>58</v>
      </c>
      <c r="H393" s="676" t="s">
        <v>3</v>
      </c>
      <c r="I393" s="676" t="s">
        <v>44</v>
      </c>
      <c r="J393" s="676" t="s">
        <v>84</v>
      </c>
      <c r="K393" s="676">
        <v>282</v>
      </c>
      <c r="L393" s="690" t="s">
        <v>54</v>
      </c>
      <c r="M393" s="691">
        <v>3</v>
      </c>
      <c r="N393" s="690">
        <v>0</v>
      </c>
      <c r="O393" s="691">
        <v>282</v>
      </c>
      <c r="P393" s="690">
        <v>0</v>
      </c>
      <c r="Q393" s="738">
        <f t="shared" si="54"/>
        <v>568512</v>
      </c>
      <c r="R393" s="677">
        <f t="shared" si="55"/>
        <v>0</v>
      </c>
      <c r="S393" s="739">
        <f t="shared" si="56"/>
        <v>-568512</v>
      </c>
      <c r="T393" s="738">
        <v>55.7</v>
      </c>
      <c r="U393" s="677">
        <f t="shared" si="57"/>
        <v>-112291.20000000001</v>
      </c>
      <c r="V393" s="739">
        <f t="shared" si="58"/>
        <v>-456220.8</v>
      </c>
      <c r="W393" s="740">
        <v>55.7</v>
      </c>
      <c r="X393" s="678">
        <f t="shared" si="59"/>
        <v>-112291.20000000001</v>
      </c>
      <c r="Y393" s="700">
        <f t="shared" si="60"/>
        <v>-456220.8</v>
      </c>
      <c r="Z393" s="740">
        <v>55.7</v>
      </c>
      <c r="AA393" s="678">
        <f t="shared" si="61"/>
        <v>-112291.20000000001</v>
      </c>
      <c r="AB393" s="741">
        <f t="shared" si="62"/>
        <v>-456220.8</v>
      </c>
      <c r="AC393" s="714"/>
    </row>
    <row r="394" spans="1:29" ht="15" customHeight="1" x14ac:dyDescent="0.25">
      <c r="A394" s="713"/>
      <c r="B394" s="729" t="s">
        <v>697</v>
      </c>
      <c r="C394" s="545" t="s">
        <v>40</v>
      </c>
      <c r="D394" s="545" t="s">
        <v>404</v>
      </c>
      <c r="E394" s="681">
        <v>44621</v>
      </c>
      <c r="F394" s="545">
        <v>744</v>
      </c>
      <c r="G394" s="545" t="s">
        <v>58</v>
      </c>
      <c r="H394" s="545" t="s">
        <v>3</v>
      </c>
      <c r="I394" s="545" t="s">
        <v>44</v>
      </c>
      <c r="J394" s="545" t="s">
        <v>84</v>
      </c>
      <c r="K394" s="545">
        <v>282</v>
      </c>
      <c r="L394" s="725" t="s">
        <v>54</v>
      </c>
      <c r="M394" s="695">
        <v>3</v>
      </c>
      <c r="N394" s="725">
        <v>0</v>
      </c>
      <c r="O394" s="695">
        <v>282</v>
      </c>
      <c r="P394" s="725">
        <v>0</v>
      </c>
      <c r="Q394" s="742">
        <f t="shared" si="54"/>
        <v>629424</v>
      </c>
      <c r="R394" s="603">
        <f t="shared" si="55"/>
        <v>0</v>
      </c>
      <c r="S394" s="743">
        <f t="shared" si="56"/>
        <v>-629424</v>
      </c>
      <c r="T394" s="742">
        <v>55.7</v>
      </c>
      <c r="U394" s="603">
        <f t="shared" si="57"/>
        <v>-124322.40000000001</v>
      </c>
      <c r="V394" s="743">
        <f t="shared" si="58"/>
        <v>-505101.6</v>
      </c>
      <c r="W394" s="744">
        <v>55.7</v>
      </c>
      <c r="X394" s="604">
        <f t="shared" si="59"/>
        <v>-124322.40000000001</v>
      </c>
      <c r="Y394" s="701">
        <f t="shared" si="60"/>
        <v>-505101.6</v>
      </c>
      <c r="Z394" s="744">
        <v>55.7</v>
      </c>
      <c r="AA394" s="604">
        <f t="shared" si="61"/>
        <v>-124322.40000000001</v>
      </c>
      <c r="AB394" s="745">
        <f t="shared" si="62"/>
        <v>-505101.6</v>
      </c>
      <c r="AC394" s="714"/>
    </row>
    <row r="395" spans="1:29" ht="15" customHeight="1" x14ac:dyDescent="0.25">
      <c r="A395" s="713"/>
      <c r="B395" s="730" t="s">
        <v>698</v>
      </c>
      <c r="C395" s="546" t="s">
        <v>40</v>
      </c>
      <c r="D395" s="546" t="s">
        <v>620</v>
      </c>
      <c r="E395" s="682">
        <v>44743</v>
      </c>
      <c r="F395" s="546">
        <v>744</v>
      </c>
      <c r="G395" s="546" t="s">
        <v>58</v>
      </c>
      <c r="H395" s="546" t="s">
        <v>3</v>
      </c>
      <c r="I395" s="546" t="s">
        <v>44</v>
      </c>
      <c r="J395" s="546" t="s">
        <v>84</v>
      </c>
      <c r="K395" s="546">
        <v>300</v>
      </c>
      <c r="L395" s="726" t="s">
        <v>54</v>
      </c>
      <c r="M395" s="696">
        <v>3</v>
      </c>
      <c r="N395" s="726">
        <v>0</v>
      </c>
      <c r="O395" s="696">
        <v>300</v>
      </c>
      <c r="P395" s="726">
        <v>0</v>
      </c>
      <c r="Q395" s="746">
        <f t="shared" si="54"/>
        <v>669600</v>
      </c>
      <c r="R395" s="606">
        <f t="shared" si="55"/>
        <v>0</v>
      </c>
      <c r="S395" s="747">
        <f t="shared" si="56"/>
        <v>-669600</v>
      </c>
      <c r="T395" s="746">
        <v>66.319999999999993</v>
      </c>
      <c r="U395" s="606">
        <f t="shared" si="57"/>
        <v>-148026.23999999999</v>
      </c>
      <c r="V395" s="747">
        <f t="shared" si="58"/>
        <v>-521573.76</v>
      </c>
      <c r="W395" s="748">
        <v>66.319999999999993</v>
      </c>
      <c r="X395" s="607">
        <f t="shared" si="59"/>
        <v>-148026.23999999999</v>
      </c>
      <c r="Y395" s="702">
        <f t="shared" si="60"/>
        <v>-521573.76</v>
      </c>
      <c r="Z395" s="748">
        <v>66.319999999999993</v>
      </c>
      <c r="AA395" s="607">
        <f t="shared" si="61"/>
        <v>-148026.23999999999</v>
      </c>
      <c r="AB395" s="749">
        <f t="shared" si="62"/>
        <v>-521573.76</v>
      </c>
      <c r="AC395" s="714"/>
    </row>
    <row r="396" spans="1:29" ht="15" customHeight="1" x14ac:dyDescent="0.25">
      <c r="A396" s="713"/>
      <c r="B396" s="714" t="s">
        <v>698</v>
      </c>
      <c r="C396" s="676" t="s">
        <v>40</v>
      </c>
      <c r="D396" s="676" t="s">
        <v>620</v>
      </c>
      <c r="E396" s="680">
        <v>44774</v>
      </c>
      <c r="F396" s="676">
        <v>744</v>
      </c>
      <c r="G396" s="676" t="s">
        <v>58</v>
      </c>
      <c r="H396" s="676" t="s">
        <v>3</v>
      </c>
      <c r="I396" s="676" t="s">
        <v>44</v>
      </c>
      <c r="J396" s="676" t="s">
        <v>84</v>
      </c>
      <c r="K396" s="676">
        <v>300</v>
      </c>
      <c r="L396" s="690" t="s">
        <v>54</v>
      </c>
      <c r="M396" s="691">
        <v>3</v>
      </c>
      <c r="N396" s="690">
        <v>0</v>
      </c>
      <c r="O396" s="691">
        <v>300</v>
      </c>
      <c r="P396" s="690">
        <v>0</v>
      </c>
      <c r="Q396" s="738">
        <f t="shared" si="54"/>
        <v>669600</v>
      </c>
      <c r="R396" s="677">
        <f t="shared" si="55"/>
        <v>0</v>
      </c>
      <c r="S396" s="739">
        <f t="shared" si="56"/>
        <v>-669600</v>
      </c>
      <c r="T396" s="738">
        <v>76.900000000000006</v>
      </c>
      <c r="U396" s="677">
        <f t="shared" si="57"/>
        <v>-171640.80000000002</v>
      </c>
      <c r="V396" s="739">
        <f t="shared" si="58"/>
        <v>-497959.19999999995</v>
      </c>
      <c r="W396" s="740">
        <v>76.900000000000006</v>
      </c>
      <c r="X396" s="678">
        <f t="shared" si="59"/>
        <v>-171640.80000000002</v>
      </c>
      <c r="Y396" s="700">
        <f t="shared" si="60"/>
        <v>-497959.19999999995</v>
      </c>
      <c r="Z396" s="740">
        <v>76.900000000000006</v>
      </c>
      <c r="AA396" s="678">
        <f t="shared" si="61"/>
        <v>-171640.80000000002</v>
      </c>
      <c r="AB396" s="741">
        <f t="shared" si="62"/>
        <v>-497959.19999999995</v>
      </c>
      <c r="AC396" s="714"/>
    </row>
    <row r="397" spans="1:29" ht="15" customHeight="1" x14ac:dyDescent="0.25">
      <c r="A397" s="713"/>
      <c r="B397" s="714" t="s">
        <v>698</v>
      </c>
      <c r="C397" s="676" t="s">
        <v>40</v>
      </c>
      <c r="D397" s="676" t="s">
        <v>620</v>
      </c>
      <c r="E397" s="680">
        <v>44805</v>
      </c>
      <c r="F397" s="676">
        <v>720</v>
      </c>
      <c r="G397" s="676" t="s">
        <v>58</v>
      </c>
      <c r="H397" s="676" t="s">
        <v>3</v>
      </c>
      <c r="I397" s="676" t="s">
        <v>44</v>
      </c>
      <c r="J397" s="676" t="s">
        <v>84</v>
      </c>
      <c r="K397" s="676">
        <v>300</v>
      </c>
      <c r="L397" s="690" t="s">
        <v>54</v>
      </c>
      <c r="M397" s="691">
        <v>3</v>
      </c>
      <c r="N397" s="690">
        <v>0</v>
      </c>
      <c r="O397" s="691">
        <v>300</v>
      </c>
      <c r="P397" s="690">
        <v>0</v>
      </c>
      <c r="Q397" s="738">
        <f t="shared" si="54"/>
        <v>648000</v>
      </c>
      <c r="R397" s="677">
        <f t="shared" si="55"/>
        <v>0</v>
      </c>
      <c r="S397" s="739">
        <f t="shared" si="56"/>
        <v>-648000</v>
      </c>
      <c r="T397" s="738">
        <v>56.08</v>
      </c>
      <c r="U397" s="677">
        <f t="shared" si="57"/>
        <v>-121132.8</v>
      </c>
      <c r="V397" s="739">
        <f t="shared" si="58"/>
        <v>-526867.19999999995</v>
      </c>
      <c r="W397" s="740">
        <v>56.08</v>
      </c>
      <c r="X397" s="678">
        <f t="shared" si="59"/>
        <v>-121132.8</v>
      </c>
      <c r="Y397" s="700">
        <f t="shared" si="60"/>
        <v>-526867.19999999995</v>
      </c>
      <c r="Z397" s="740">
        <v>56.08</v>
      </c>
      <c r="AA397" s="678">
        <f t="shared" si="61"/>
        <v>-121132.8</v>
      </c>
      <c r="AB397" s="741">
        <f t="shared" si="62"/>
        <v>-526867.19999999995</v>
      </c>
      <c r="AC397" s="714"/>
    </row>
    <row r="398" spans="1:29" ht="15" customHeight="1" x14ac:dyDescent="0.25">
      <c r="A398" s="713"/>
      <c r="B398" s="714" t="s">
        <v>698</v>
      </c>
      <c r="C398" s="676" t="s">
        <v>40</v>
      </c>
      <c r="D398" s="676" t="s">
        <v>620</v>
      </c>
      <c r="E398" s="680">
        <v>44835</v>
      </c>
      <c r="F398" s="676">
        <v>744</v>
      </c>
      <c r="G398" s="676" t="s">
        <v>58</v>
      </c>
      <c r="H398" s="676" t="s">
        <v>3</v>
      </c>
      <c r="I398" s="676" t="s">
        <v>44</v>
      </c>
      <c r="J398" s="676" t="s">
        <v>84</v>
      </c>
      <c r="K398" s="676">
        <v>300</v>
      </c>
      <c r="L398" s="690" t="s">
        <v>54</v>
      </c>
      <c r="M398" s="691">
        <v>3</v>
      </c>
      <c r="N398" s="690">
        <v>0</v>
      </c>
      <c r="O398" s="691">
        <v>300</v>
      </c>
      <c r="P398" s="690">
        <v>0</v>
      </c>
      <c r="Q398" s="738">
        <f t="shared" si="54"/>
        <v>669600</v>
      </c>
      <c r="R398" s="677">
        <f t="shared" si="55"/>
        <v>0</v>
      </c>
      <c r="S398" s="739">
        <f t="shared" si="56"/>
        <v>-669600</v>
      </c>
      <c r="T398" s="738">
        <v>55.7</v>
      </c>
      <c r="U398" s="677">
        <f t="shared" si="57"/>
        <v>-124322.40000000001</v>
      </c>
      <c r="V398" s="739">
        <f t="shared" si="58"/>
        <v>-545277.6</v>
      </c>
      <c r="W398" s="740">
        <v>55.7</v>
      </c>
      <c r="X398" s="678">
        <f t="shared" si="59"/>
        <v>-124322.40000000001</v>
      </c>
      <c r="Y398" s="700">
        <f t="shared" si="60"/>
        <v>-545277.6</v>
      </c>
      <c r="Z398" s="740">
        <v>55.7</v>
      </c>
      <c r="AA398" s="678">
        <f t="shared" si="61"/>
        <v>-124322.40000000001</v>
      </c>
      <c r="AB398" s="741">
        <f t="shared" si="62"/>
        <v>-545277.6</v>
      </c>
      <c r="AC398" s="714"/>
    </row>
    <row r="399" spans="1:29" ht="15" customHeight="1" x14ac:dyDescent="0.25">
      <c r="A399" s="713"/>
      <c r="B399" s="714" t="s">
        <v>698</v>
      </c>
      <c r="C399" s="676" t="s">
        <v>40</v>
      </c>
      <c r="D399" s="676" t="s">
        <v>620</v>
      </c>
      <c r="E399" s="680">
        <v>44866</v>
      </c>
      <c r="F399" s="676">
        <v>720</v>
      </c>
      <c r="G399" s="676" t="s">
        <v>58</v>
      </c>
      <c r="H399" s="676" t="s">
        <v>3</v>
      </c>
      <c r="I399" s="676" t="s">
        <v>44</v>
      </c>
      <c r="J399" s="676" t="s">
        <v>84</v>
      </c>
      <c r="K399" s="676">
        <v>300</v>
      </c>
      <c r="L399" s="690" t="s">
        <v>54</v>
      </c>
      <c r="M399" s="691">
        <v>3</v>
      </c>
      <c r="N399" s="690">
        <v>0</v>
      </c>
      <c r="O399" s="691">
        <v>300</v>
      </c>
      <c r="P399" s="690">
        <v>0</v>
      </c>
      <c r="Q399" s="738">
        <f t="shared" si="54"/>
        <v>648000</v>
      </c>
      <c r="R399" s="677">
        <f t="shared" si="55"/>
        <v>0</v>
      </c>
      <c r="S399" s="739">
        <f t="shared" si="56"/>
        <v>-648000</v>
      </c>
      <c r="T399" s="738">
        <v>55.7</v>
      </c>
      <c r="U399" s="677">
        <f t="shared" si="57"/>
        <v>-120312</v>
      </c>
      <c r="V399" s="739">
        <f t="shared" si="58"/>
        <v>-527688</v>
      </c>
      <c r="W399" s="740">
        <v>55.7</v>
      </c>
      <c r="X399" s="678">
        <f t="shared" si="59"/>
        <v>-120312</v>
      </c>
      <c r="Y399" s="700">
        <f t="shared" si="60"/>
        <v>-527688</v>
      </c>
      <c r="Z399" s="740">
        <v>55.7</v>
      </c>
      <c r="AA399" s="678">
        <f t="shared" si="61"/>
        <v>-120312</v>
      </c>
      <c r="AB399" s="741">
        <f t="shared" si="62"/>
        <v>-527688</v>
      </c>
      <c r="AC399" s="714"/>
    </row>
    <row r="400" spans="1:29" ht="15" customHeight="1" x14ac:dyDescent="0.25">
      <c r="A400" s="713"/>
      <c r="B400" s="729" t="s">
        <v>698</v>
      </c>
      <c r="C400" s="545" t="s">
        <v>40</v>
      </c>
      <c r="D400" s="545" t="s">
        <v>620</v>
      </c>
      <c r="E400" s="681">
        <v>44896</v>
      </c>
      <c r="F400" s="545">
        <v>744</v>
      </c>
      <c r="G400" s="545" t="s">
        <v>58</v>
      </c>
      <c r="H400" s="545" t="s">
        <v>3</v>
      </c>
      <c r="I400" s="545" t="s">
        <v>44</v>
      </c>
      <c r="J400" s="545" t="s">
        <v>84</v>
      </c>
      <c r="K400" s="545">
        <v>300</v>
      </c>
      <c r="L400" s="725" t="s">
        <v>54</v>
      </c>
      <c r="M400" s="695">
        <v>3</v>
      </c>
      <c r="N400" s="725">
        <v>0</v>
      </c>
      <c r="O400" s="695">
        <v>300</v>
      </c>
      <c r="P400" s="725">
        <v>0</v>
      </c>
      <c r="Q400" s="742">
        <f t="shared" si="54"/>
        <v>669600</v>
      </c>
      <c r="R400" s="603">
        <f t="shared" si="55"/>
        <v>0</v>
      </c>
      <c r="S400" s="743">
        <f t="shared" si="56"/>
        <v>-669600</v>
      </c>
      <c r="T400" s="742">
        <v>55.7</v>
      </c>
      <c r="U400" s="603">
        <f t="shared" si="57"/>
        <v>-124322.40000000001</v>
      </c>
      <c r="V400" s="743">
        <f t="shared" si="58"/>
        <v>-545277.6</v>
      </c>
      <c r="W400" s="744">
        <v>55.7</v>
      </c>
      <c r="X400" s="604">
        <f t="shared" si="59"/>
        <v>-124322.40000000001</v>
      </c>
      <c r="Y400" s="701">
        <f t="shared" si="60"/>
        <v>-545277.6</v>
      </c>
      <c r="Z400" s="744">
        <v>78.400653594793155</v>
      </c>
      <c r="AA400" s="604">
        <f t="shared" si="61"/>
        <v>-174990.25882357833</v>
      </c>
      <c r="AB400" s="745">
        <f t="shared" si="62"/>
        <v>-494609.74117642164</v>
      </c>
      <c r="AC400" s="714"/>
    </row>
    <row r="401" spans="1:29" ht="15" customHeight="1" x14ac:dyDescent="0.25">
      <c r="A401" s="713"/>
      <c r="B401" s="730" t="s">
        <v>699</v>
      </c>
      <c r="C401" s="546" t="s">
        <v>40</v>
      </c>
      <c r="D401" s="546" t="s">
        <v>513</v>
      </c>
      <c r="E401" s="682">
        <v>44743</v>
      </c>
      <c r="F401" s="546">
        <v>744</v>
      </c>
      <c r="G401" s="546" t="s">
        <v>59</v>
      </c>
      <c r="H401" s="546" t="s">
        <v>3</v>
      </c>
      <c r="I401" s="546" t="s">
        <v>44</v>
      </c>
      <c r="J401" s="546" t="s">
        <v>85</v>
      </c>
      <c r="K401" s="546">
        <v>335</v>
      </c>
      <c r="L401" s="726" t="s">
        <v>54</v>
      </c>
      <c r="M401" s="696">
        <v>0</v>
      </c>
      <c r="N401" s="726">
        <v>2</v>
      </c>
      <c r="O401" s="696">
        <v>0</v>
      </c>
      <c r="P401" s="726">
        <v>335</v>
      </c>
      <c r="Q401" s="746">
        <f t="shared" si="54"/>
        <v>0</v>
      </c>
      <c r="R401" s="606">
        <f t="shared" si="55"/>
        <v>498480</v>
      </c>
      <c r="S401" s="747">
        <f t="shared" si="56"/>
        <v>498480</v>
      </c>
      <c r="T401" s="746">
        <v>66.319999999999993</v>
      </c>
      <c r="U401" s="606">
        <f t="shared" si="57"/>
        <v>98684.159999999989</v>
      </c>
      <c r="V401" s="747">
        <f t="shared" si="58"/>
        <v>399795.84</v>
      </c>
      <c r="W401" s="748">
        <v>66.319999999999993</v>
      </c>
      <c r="X401" s="607">
        <f t="shared" si="59"/>
        <v>98684.159999999989</v>
      </c>
      <c r="Y401" s="702">
        <f t="shared" si="60"/>
        <v>399795.84</v>
      </c>
      <c r="Z401" s="748">
        <v>66.319999999999993</v>
      </c>
      <c r="AA401" s="607">
        <f t="shared" si="61"/>
        <v>98684.159999999989</v>
      </c>
      <c r="AB401" s="749">
        <f t="shared" si="62"/>
        <v>399795.84</v>
      </c>
      <c r="AC401" s="714"/>
    </row>
    <row r="402" spans="1:29" ht="15" customHeight="1" x14ac:dyDescent="0.25">
      <c r="A402" s="713"/>
      <c r="B402" s="714" t="s">
        <v>699</v>
      </c>
      <c r="C402" s="676" t="s">
        <v>40</v>
      </c>
      <c r="D402" s="676" t="s">
        <v>513</v>
      </c>
      <c r="E402" s="680">
        <v>44774</v>
      </c>
      <c r="F402" s="676">
        <v>744</v>
      </c>
      <c r="G402" s="676" t="s">
        <v>59</v>
      </c>
      <c r="H402" s="676" t="s">
        <v>3</v>
      </c>
      <c r="I402" s="676" t="s">
        <v>44</v>
      </c>
      <c r="J402" s="676" t="s">
        <v>85</v>
      </c>
      <c r="K402" s="676">
        <v>335</v>
      </c>
      <c r="L402" s="690" t="s">
        <v>54</v>
      </c>
      <c r="M402" s="691">
        <v>0</v>
      </c>
      <c r="N402" s="690">
        <v>2</v>
      </c>
      <c r="O402" s="691">
        <v>0</v>
      </c>
      <c r="P402" s="690">
        <v>335</v>
      </c>
      <c r="Q402" s="738">
        <f t="shared" si="54"/>
        <v>0</v>
      </c>
      <c r="R402" s="677">
        <f t="shared" si="55"/>
        <v>498480</v>
      </c>
      <c r="S402" s="739">
        <f t="shared" si="56"/>
        <v>498480</v>
      </c>
      <c r="T402" s="738">
        <v>76.900000000000006</v>
      </c>
      <c r="U402" s="677">
        <f t="shared" si="57"/>
        <v>114427.20000000001</v>
      </c>
      <c r="V402" s="739">
        <f t="shared" si="58"/>
        <v>384052.8</v>
      </c>
      <c r="W402" s="740">
        <v>76.900000000000006</v>
      </c>
      <c r="X402" s="678">
        <f t="shared" si="59"/>
        <v>114427.20000000001</v>
      </c>
      <c r="Y402" s="700">
        <f t="shared" si="60"/>
        <v>384052.8</v>
      </c>
      <c r="Z402" s="740">
        <v>76.900000000000006</v>
      </c>
      <c r="AA402" s="678">
        <f t="shared" si="61"/>
        <v>114427.20000000001</v>
      </c>
      <c r="AB402" s="741">
        <f t="shared" si="62"/>
        <v>384052.8</v>
      </c>
      <c r="AC402" s="714"/>
    </row>
    <row r="403" spans="1:29" ht="15" customHeight="1" x14ac:dyDescent="0.25">
      <c r="A403" s="713"/>
      <c r="B403" s="729" t="s">
        <v>699</v>
      </c>
      <c r="C403" s="545" t="s">
        <v>40</v>
      </c>
      <c r="D403" s="545" t="s">
        <v>513</v>
      </c>
      <c r="E403" s="681">
        <v>44805</v>
      </c>
      <c r="F403" s="545">
        <v>720</v>
      </c>
      <c r="G403" s="545" t="s">
        <v>59</v>
      </c>
      <c r="H403" s="545" t="s">
        <v>3</v>
      </c>
      <c r="I403" s="545" t="s">
        <v>44</v>
      </c>
      <c r="J403" s="545" t="s">
        <v>85</v>
      </c>
      <c r="K403" s="545">
        <v>335</v>
      </c>
      <c r="L403" s="725" t="s">
        <v>54</v>
      </c>
      <c r="M403" s="695">
        <v>0</v>
      </c>
      <c r="N403" s="725">
        <v>2</v>
      </c>
      <c r="O403" s="695">
        <v>0</v>
      </c>
      <c r="P403" s="725">
        <v>335</v>
      </c>
      <c r="Q403" s="742">
        <f t="shared" si="54"/>
        <v>0</v>
      </c>
      <c r="R403" s="603">
        <f t="shared" si="55"/>
        <v>482400</v>
      </c>
      <c r="S403" s="743">
        <f t="shared" si="56"/>
        <v>482400</v>
      </c>
      <c r="T403" s="742">
        <v>56.08</v>
      </c>
      <c r="U403" s="603">
        <f t="shared" si="57"/>
        <v>80755.199999999997</v>
      </c>
      <c r="V403" s="743">
        <f t="shared" si="58"/>
        <v>401644.79999999999</v>
      </c>
      <c r="W403" s="744">
        <v>56.08</v>
      </c>
      <c r="X403" s="604">
        <f t="shared" si="59"/>
        <v>80755.199999999997</v>
      </c>
      <c r="Y403" s="701">
        <f t="shared" si="60"/>
        <v>401644.79999999999</v>
      </c>
      <c r="Z403" s="744">
        <v>56.08</v>
      </c>
      <c r="AA403" s="604">
        <f t="shared" si="61"/>
        <v>80755.199999999997</v>
      </c>
      <c r="AB403" s="745">
        <f t="shared" si="62"/>
        <v>401644.79999999999</v>
      </c>
      <c r="AC403" s="714"/>
    </row>
    <row r="404" spans="1:29" ht="15" customHeight="1" x14ac:dyDescent="0.25">
      <c r="A404" s="713"/>
      <c r="B404" s="730" t="s">
        <v>701</v>
      </c>
      <c r="C404" s="546" t="s">
        <v>40</v>
      </c>
      <c r="D404" s="546" t="s">
        <v>513</v>
      </c>
      <c r="E404" s="682">
        <v>44652</v>
      </c>
      <c r="F404" s="546">
        <v>720</v>
      </c>
      <c r="G404" s="546" t="s">
        <v>58</v>
      </c>
      <c r="H404" s="546" t="s">
        <v>3</v>
      </c>
      <c r="I404" s="546" t="s">
        <v>44</v>
      </c>
      <c r="J404" s="546" t="s">
        <v>84</v>
      </c>
      <c r="K404" s="546">
        <v>200</v>
      </c>
      <c r="L404" s="726" t="s">
        <v>54</v>
      </c>
      <c r="M404" s="696">
        <v>2</v>
      </c>
      <c r="N404" s="726">
        <v>0</v>
      </c>
      <c r="O404" s="696">
        <v>200</v>
      </c>
      <c r="P404" s="726">
        <v>0</v>
      </c>
      <c r="Q404" s="746">
        <f t="shared" si="54"/>
        <v>288000</v>
      </c>
      <c r="R404" s="606">
        <f t="shared" si="55"/>
        <v>0</v>
      </c>
      <c r="S404" s="747">
        <f t="shared" si="56"/>
        <v>-288000</v>
      </c>
      <c r="T404" s="746">
        <v>55.7</v>
      </c>
      <c r="U404" s="606">
        <f t="shared" si="57"/>
        <v>-80208</v>
      </c>
      <c r="V404" s="747">
        <f t="shared" si="58"/>
        <v>-207792</v>
      </c>
      <c r="W404" s="748">
        <v>55.7</v>
      </c>
      <c r="X404" s="607">
        <f t="shared" si="59"/>
        <v>-80208</v>
      </c>
      <c r="Y404" s="702">
        <f t="shared" si="60"/>
        <v>-207792</v>
      </c>
      <c r="Z404" s="748">
        <v>55.7</v>
      </c>
      <c r="AA404" s="607">
        <f t="shared" si="61"/>
        <v>-80208</v>
      </c>
      <c r="AB404" s="749">
        <f t="shared" si="62"/>
        <v>-207792</v>
      </c>
      <c r="AC404" s="714"/>
    </row>
    <row r="405" spans="1:29" ht="15" customHeight="1" x14ac:dyDescent="0.25">
      <c r="A405" s="713"/>
      <c r="B405" s="714" t="s">
        <v>701</v>
      </c>
      <c r="C405" s="676" t="s">
        <v>40</v>
      </c>
      <c r="D405" s="676" t="s">
        <v>513</v>
      </c>
      <c r="E405" s="680">
        <v>44682</v>
      </c>
      <c r="F405" s="676">
        <v>744</v>
      </c>
      <c r="G405" s="676" t="s">
        <v>58</v>
      </c>
      <c r="H405" s="676" t="s">
        <v>3</v>
      </c>
      <c r="I405" s="676" t="s">
        <v>44</v>
      </c>
      <c r="J405" s="676" t="s">
        <v>84</v>
      </c>
      <c r="K405" s="676">
        <v>200</v>
      </c>
      <c r="L405" s="690" t="s">
        <v>54</v>
      </c>
      <c r="M405" s="691">
        <v>2</v>
      </c>
      <c r="N405" s="690">
        <v>0</v>
      </c>
      <c r="O405" s="691">
        <v>200</v>
      </c>
      <c r="P405" s="690">
        <v>0</v>
      </c>
      <c r="Q405" s="738">
        <f t="shared" si="54"/>
        <v>297600</v>
      </c>
      <c r="R405" s="677">
        <f t="shared" si="55"/>
        <v>0</v>
      </c>
      <c r="S405" s="739">
        <f t="shared" si="56"/>
        <v>-297600</v>
      </c>
      <c r="T405" s="738">
        <v>55.7</v>
      </c>
      <c r="U405" s="677">
        <f t="shared" si="57"/>
        <v>-82881.600000000006</v>
      </c>
      <c r="V405" s="739">
        <f t="shared" si="58"/>
        <v>-214718.4</v>
      </c>
      <c r="W405" s="740">
        <v>55.7</v>
      </c>
      <c r="X405" s="678">
        <f t="shared" si="59"/>
        <v>-82881.600000000006</v>
      </c>
      <c r="Y405" s="700">
        <f t="shared" si="60"/>
        <v>-214718.4</v>
      </c>
      <c r="Z405" s="740">
        <v>55.7</v>
      </c>
      <c r="AA405" s="678">
        <f t="shared" si="61"/>
        <v>-82881.600000000006</v>
      </c>
      <c r="AB405" s="741">
        <f t="shared" si="62"/>
        <v>-214718.4</v>
      </c>
      <c r="AC405" s="714"/>
    </row>
    <row r="406" spans="1:29" ht="15" customHeight="1" x14ac:dyDescent="0.25">
      <c r="A406" s="713"/>
      <c r="B406" s="729" t="s">
        <v>701</v>
      </c>
      <c r="C406" s="545" t="s">
        <v>40</v>
      </c>
      <c r="D406" s="545" t="s">
        <v>513</v>
      </c>
      <c r="E406" s="681">
        <v>44713</v>
      </c>
      <c r="F406" s="545">
        <v>720</v>
      </c>
      <c r="G406" s="545" t="s">
        <v>58</v>
      </c>
      <c r="H406" s="545" t="s">
        <v>3</v>
      </c>
      <c r="I406" s="545" t="s">
        <v>44</v>
      </c>
      <c r="J406" s="545" t="s">
        <v>84</v>
      </c>
      <c r="K406" s="545">
        <v>200</v>
      </c>
      <c r="L406" s="725" t="s">
        <v>54</v>
      </c>
      <c r="M406" s="695">
        <v>2</v>
      </c>
      <c r="N406" s="725">
        <v>0</v>
      </c>
      <c r="O406" s="695">
        <v>200</v>
      </c>
      <c r="P406" s="725">
        <v>0</v>
      </c>
      <c r="Q406" s="742">
        <f t="shared" si="54"/>
        <v>288000</v>
      </c>
      <c r="R406" s="603">
        <f t="shared" si="55"/>
        <v>0</v>
      </c>
      <c r="S406" s="743">
        <f t="shared" si="56"/>
        <v>-288000</v>
      </c>
      <c r="T406" s="742">
        <v>55.71</v>
      </c>
      <c r="U406" s="603">
        <f t="shared" si="57"/>
        <v>-80222.399999999994</v>
      </c>
      <c r="V406" s="743">
        <f t="shared" si="58"/>
        <v>-207777.6</v>
      </c>
      <c r="W406" s="744">
        <v>55.71</v>
      </c>
      <c r="X406" s="604">
        <f t="shared" si="59"/>
        <v>-80222.399999999994</v>
      </c>
      <c r="Y406" s="701">
        <f t="shared" si="60"/>
        <v>-207777.6</v>
      </c>
      <c r="Z406" s="744">
        <v>55.71</v>
      </c>
      <c r="AA406" s="604">
        <f t="shared" si="61"/>
        <v>-80222.399999999994</v>
      </c>
      <c r="AB406" s="745">
        <f t="shared" si="62"/>
        <v>-207777.6</v>
      </c>
      <c r="AC406" s="714"/>
    </row>
    <row r="407" spans="1:29" ht="15" customHeight="1" x14ac:dyDescent="0.25">
      <c r="A407" s="713"/>
      <c r="B407" s="730" t="s">
        <v>703</v>
      </c>
      <c r="C407" s="546" t="s">
        <v>40</v>
      </c>
      <c r="D407" s="546" t="s">
        <v>506</v>
      </c>
      <c r="E407" s="682">
        <v>44652</v>
      </c>
      <c r="F407" s="546">
        <v>720</v>
      </c>
      <c r="G407" s="546" t="s">
        <v>58</v>
      </c>
      <c r="H407" s="546" t="s">
        <v>3</v>
      </c>
      <c r="I407" s="546" t="s">
        <v>44</v>
      </c>
      <c r="J407" s="546" t="s">
        <v>84</v>
      </c>
      <c r="K407" s="546">
        <v>195</v>
      </c>
      <c r="L407" s="726" t="s">
        <v>54</v>
      </c>
      <c r="M407" s="696">
        <v>5</v>
      </c>
      <c r="N407" s="726">
        <v>0</v>
      </c>
      <c r="O407" s="696">
        <v>195</v>
      </c>
      <c r="P407" s="726">
        <v>0</v>
      </c>
      <c r="Q407" s="746">
        <f t="shared" si="54"/>
        <v>702000</v>
      </c>
      <c r="R407" s="606">
        <f t="shared" si="55"/>
        <v>0</v>
      </c>
      <c r="S407" s="747">
        <f t="shared" si="56"/>
        <v>-702000</v>
      </c>
      <c r="T407" s="746">
        <v>55.7</v>
      </c>
      <c r="U407" s="606">
        <f t="shared" si="57"/>
        <v>-200520</v>
      </c>
      <c r="V407" s="747">
        <f t="shared" si="58"/>
        <v>-501480</v>
      </c>
      <c r="W407" s="748">
        <v>55.7</v>
      </c>
      <c r="X407" s="607">
        <f t="shared" si="59"/>
        <v>-200520</v>
      </c>
      <c r="Y407" s="702">
        <f t="shared" si="60"/>
        <v>-501480</v>
      </c>
      <c r="Z407" s="748">
        <v>55.7</v>
      </c>
      <c r="AA407" s="607">
        <f t="shared" si="61"/>
        <v>-200520</v>
      </c>
      <c r="AB407" s="749">
        <f t="shared" si="62"/>
        <v>-501480</v>
      </c>
      <c r="AC407" s="714"/>
    </row>
    <row r="408" spans="1:29" ht="15" customHeight="1" x14ac:dyDescent="0.25">
      <c r="A408" s="713"/>
      <c r="B408" s="714" t="s">
        <v>703</v>
      </c>
      <c r="C408" s="676" t="s">
        <v>40</v>
      </c>
      <c r="D408" s="676" t="s">
        <v>506</v>
      </c>
      <c r="E408" s="680">
        <v>44682</v>
      </c>
      <c r="F408" s="676">
        <v>744</v>
      </c>
      <c r="G408" s="676" t="s">
        <v>58</v>
      </c>
      <c r="H408" s="676" t="s">
        <v>3</v>
      </c>
      <c r="I408" s="676" t="s">
        <v>44</v>
      </c>
      <c r="J408" s="676" t="s">
        <v>84</v>
      </c>
      <c r="K408" s="676">
        <v>195</v>
      </c>
      <c r="L408" s="690" t="s">
        <v>54</v>
      </c>
      <c r="M408" s="691">
        <v>5</v>
      </c>
      <c r="N408" s="690">
        <v>0</v>
      </c>
      <c r="O408" s="691">
        <v>195</v>
      </c>
      <c r="P408" s="690">
        <v>0</v>
      </c>
      <c r="Q408" s="738">
        <f t="shared" si="54"/>
        <v>725400</v>
      </c>
      <c r="R408" s="677">
        <f t="shared" si="55"/>
        <v>0</v>
      </c>
      <c r="S408" s="739">
        <f t="shared" si="56"/>
        <v>-725400</v>
      </c>
      <c r="T408" s="738">
        <v>55.7</v>
      </c>
      <c r="U408" s="677">
        <f t="shared" si="57"/>
        <v>-207204</v>
      </c>
      <c r="V408" s="739">
        <f t="shared" si="58"/>
        <v>-518196</v>
      </c>
      <c r="W408" s="740">
        <v>55.7</v>
      </c>
      <c r="X408" s="678">
        <f t="shared" si="59"/>
        <v>-207204</v>
      </c>
      <c r="Y408" s="700">
        <f t="shared" si="60"/>
        <v>-518196</v>
      </c>
      <c r="Z408" s="740">
        <v>55.7</v>
      </c>
      <c r="AA408" s="678">
        <f t="shared" si="61"/>
        <v>-207204</v>
      </c>
      <c r="AB408" s="741">
        <f t="shared" si="62"/>
        <v>-518196</v>
      </c>
      <c r="AC408" s="714"/>
    </row>
    <row r="409" spans="1:29" ht="15" customHeight="1" x14ac:dyDescent="0.25">
      <c r="A409" s="713"/>
      <c r="B409" s="729" t="s">
        <v>703</v>
      </c>
      <c r="C409" s="545" t="s">
        <v>40</v>
      </c>
      <c r="D409" s="545" t="s">
        <v>506</v>
      </c>
      <c r="E409" s="681">
        <v>44713</v>
      </c>
      <c r="F409" s="545">
        <v>720</v>
      </c>
      <c r="G409" s="545" t="s">
        <v>58</v>
      </c>
      <c r="H409" s="545" t="s">
        <v>3</v>
      </c>
      <c r="I409" s="545" t="s">
        <v>44</v>
      </c>
      <c r="J409" s="545" t="s">
        <v>84</v>
      </c>
      <c r="K409" s="545">
        <v>195</v>
      </c>
      <c r="L409" s="725" t="s">
        <v>54</v>
      </c>
      <c r="M409" s="695">
        <v>5</v>
      </c>
      <c r="N409" s="725">
        <v>0</v>
      </c>
      <c r="O409" s="695">
        <v>195</v>
      </c>
      <c r="P409" s="725">
        <v>0</v>
      </c>
      <c r="Q409" s="742">
        <f t="shared" si="54"/>
        <v>702000</v>
      </c>
      <c r="R409" s="603">
        <f t="shared" si="55"/>
        <v>0</v>
      </c>
      <c r="S409" s="743">
        <f t="shared" si="56"/>
        <v>-702000</v>
      </c>
      <c r="T409" s="742">
        <v>55.71</v>
      </c>
      <c r="U409" s="603">
        <f t="shared" si="57"/>
        <v>-200556</v>
      </c>
      <c r="V409" s="743">
        <f t="shared" si="58"/>
        <v>-501444</v>
      </c>
      <c r="W409" s="744">
        <v>55.71</v>
      </c>
      <c r="X409" s="604">
        <f t="shared" si="59"/>
        <v>-200556</v>
      </c>
      <c r="Y409" s="701">
        <f t="shared" si="60"/>
        <v>-501444</v>
      </c>
      <c r="Z409" s="744">
        <v>55.71</v>
      </c>
      <c r="AA409" s="604">
        <f t="shared" si="61"/>
        <v>-200556</v>
      </c>
      <c r="AB409" s="745">
        <f t="shared" si="62"/>
        <v>-501444</v>
      </c>
      <c r="AC409" s="714"/>
    </row>
    <row r="410" spans="1:29" ht="15" customHeight="1" x14ac:dyDescent="0.25">
      <c r="A410" s="713"/>
      <c r="B410" s="730" t="s">
        <v>705</v>
      </c>
      <c r="C410" s="546" t="s">
        <v>40</v>
      </c>
      <c r="D410" s="546" t="s">
        <v>506</v>
      </c>
      <c r="E410" s="682">
        <v>44652</v>
      </c>
      <c r="F410" s="546">
        <v>720</v>
      </c>
      <c r="G410" s="546" t="s">
        <v>58</v>
      </c>
      <c r="H410" s="546" t="s">
        <v>3</v>
      </c>
      <c r="I410" s="546" t="s">
        <v>44</v>
      </c>
      <c r="J410" s="546" t="s">
        <v>84</v>
      </c>
      <c r="K410" s="546">
        <v>200</v>
      </c>
      <c r="L410" s="726" t="s">
        <v>54</v>
      </c>
      <c r="M410" s="696">
        <v>5</v>
      </c>
      <c r="N410" s="726">
        <v>0</v>
      </c>
      <c r="O410" s="696">
        <v>200</v>
      </c>
      <c r="P410" s="726">
        <v>0</v>
      </c>
      <c r="Q410" s="746">
        <f t="shared" si="54"/>
        <v>720000</v>
      </c>
      <c r="R410" s="606">
        <f t="shared" si="55"/>
        <v>0</v>
      </c>
      <c r="S410" s="747">
        <f t="shared" si="56"/>
        <v>-720000</v>
      </c>
      <c r="T410" s="746">
        <v>55.7</v>
      </c>
      <c r="U410" s="606">
        <f t="shared" si="57"/>
        <v>-200520</v>
      </c>
      <c r="V410" s="747">
        <f t="shared" si="58"/>
        <v>-519480</v>
      </c>
      <c r="W410" s="748">
        <v>55.7</v>
      </c>
      <c r="X410" s="607">
        <f t="shared" si="59"/>
        <v>-200520</v>
      </c>
      <c r="Y410" s="702">
        <f t="shared" si="60"/>
        <v>-519480</v>
      </c>
      <c r="Z410" s="748">
        <v>55.7</v>
      </c>
      <c r="AA410" s="607">
        <f t="shared" si="61"/>
        <v>-200520</v>
      </c>
      <c r="AB410" s="749">
        <f t="shared" si="62"/>
        <v>-519480</v>
      </c>
      <c r="AC410" s="714"/>
    </row>
    <row r="411" spans="1:29" ht="15" customHeight="1" x14ac:dyDescent="0.25">
      <c r="A411" s="713"/>
      <c r="B411" s="714" t="s">
        <v>705</v>
      </c>
      <c r="C411" s="676" t="s">
        <v>40</v>
      </c>
      <c r="D411" s="676" t="s">
        <v>506</v>
      </c>
      <c r="E411" s="680">
        <v>44682</v>
      </c>
      <c r="F411" s="676">
        <v>744</v>
      </c>
      <c r="G411" s="676" t="s">
        <v>58</v>
      </c>
      <c r="H411" s="676" t="s">
        <v>3</v>
      </c>
      <c r="I411" s="676" t="s">
        <v>44</v>
      </c>
      <c r="J411" s="676" t="s">
        <v>84</v>
      </c>
      <c r="K411" s="676">
        <v>200</v>
      </c>
      <c r="L411" s="690" t="s">
        <v>54</v>
      </c>
      <c r="M411" s="691">
        <v>5</v>
      </c>
      <c r="N411" s="690">
        <v>0</v>
      </c>
      <c r="O411" s="691">
        <v>200</v>
      </c>
      <c r="P411" s="690">
        <v>0</v>
      </c>
      <c r="Q411" s="738">
        <f t="shared" si="54"/>
        <v>744000</v>
      </c>
      <c r="R411" s="677">
        <f t="shared" si="55"/>
        <v>0</v>
      </c>
      <c r="S411" s="739">
        <f t="shared" si="56"/>
        <v>-744000</v>
      </c>
      <c r="T411" s="738">
        <v>55.7</v>
      </c>
      <c r="U411" s="677">
        <f t="shared" si="57"/>
        <v>-207204</v>
      </c>
      <c r="V411" s="739">
        <f t="shared" si="58"/>
        <v>-536796</v>
      </c>
      <c r="W411" s="740">
        <v>55.7</v>
      </c>
      <c r="X411" s="678">
        <f t="shared" si="59"/>
        <v>-207204</v>
      </c>
      <c r="Y411" s="700">
        <f t="shared" si="60"/>
        <v>-536796</v>
      </c>
      <c r="Z411" s="740">
        <v>55.7</v>
      </c>
      <c r="AA411" s="678">
        <f t="shared" si="61"/>
        <v>-207204</v>
      </c>
      <c r="AB411" s="741">
        <f t="shared" si="62"/>
        <v>-536796</v>
      </c>
      <c r="AC411" s="714"/>
    </row>
    <row r="412" spans="1:29" ht="15" customHeight="1" x14ac:dyDescent="0.25">
      <c r="A412" s="713"/>
      <c r="B412" s="729" t="s">
        <v>705</v>
      </c>
      <c r="C412" s="545" t="s">
        <v>40</v>
      </c>
      <c r="D412" s="545" t="s">
        <v>506</v>
      </c>
      <c r="E412" s="681">
        <v>44713</v>
      </c>
      <c r="F412" s="545">
        <v>720</v>
      </c>
      <c r="G412" s="545" t="s">
        <v>58</v>
      </c>
      <c r="H412" s="545" t="s">
        <v>3</v>
      </c>
      <c r="I412" s="545" t="s">
        <v>44</v>
      </c>
      <c r="J412" s="545" t="s">
        <v>84</v>
      </c>
      <c r="K412" s="545">
        <v>200</v>
      </c>
      <c r="L412" s="725" t="s">
        <v>54</v>
      </c>
      <c r="M412" s="695">
        <v>5</v>
      </c>
      <c r="N412" s="725">
        <v>0</v>
      </c>
      <c r="O412" s="695">
        <v>200</v>
      </c>
      <c r="P412" s="725">
        <v>0</v>
      </c>
      <c r="Q412" s="742">
        <f t="shared" si="54"/>
        <v>720000</v>
      </c>
      <c r="R412" s="603">
        <f t="shared" si="55"/>
        <v>0</v>
      </c>
      <c r="S412" s="743">
        <f t="shared" si="56"/>
        <v>-720000</v>
      </c>
      <c r="T412" s="742">
        <v>55.71</v>
      </c>
      <c r="U412" s="603">
        <f t="shared" si="57"/>
        <v>-200556</v>
      </c>
      <c r="V412" s="743">
        <f t="shared" si="58"/>
        <v>-519444</v>
      </c>
      <c r="W412" s="744">
        <v>55.71</v>
      </c>
      <c r="X412" s="604">
        <f t="shared" si="59"/>
        <v>-200556</v>
      </c>
      <c r="Y412" s="701">
        <f t="shared" si="60"/>
        <v>-519444</v>
      </c>
      <c r="Z412" s="744">
        <v>55.71</v>
      </c>
      <c r="AA412" s="604">
        <f t="shared" si="61"/>
        <v>-200556</v>
      </c>
      <c r="AB412" s="745">
        <f t="shared" si="62"/>
        <v>-519444</v>
      </c>
      <c r="AC412" s="714"/>
    </row>
    <row r="413" spans="1:29" ht="15" customHeight="1" x14ac:dyDescent="0.25">
      <c r="A413" s="713"/>
      <c r="B413" s="730" t="s">
        <v>707</v>
      </c>
      <c r="C413" s="546" t="s">
        <v>40</v>
      </c>
      <c r="D413" s="546" t="s">
        <v>357</v>
      </c>
      <c r="E413" s="682">
        <v>44743</v>
      </c>
      <c r="F413" s="546">
        <v>744</v>
      </c>
      <c r="G413" s="546" t="s">
        <v>59</v>
      </c>
      <c r="H413" s="546" t="s">
        <v>3</v>
      </c>
      <c r="I413" s="546" t="s">
        <v>44</v>
      </c>
      <c r="J413" s="546" t="s">
        <v>85</v>
      </c>
      <c r="K413" s="546">
        <v>322</v>
      </c>
      <c r="L413" s="726" t="s">
        <v>54</v>
      </c>
      <c r="M413" s="696">
        <v>0</v>
      </c>
      <c r="N413" s="726">
        <v>5</v>
      </c>
      <c r="O413" s="696">
        <v>0</v>
      </c>
      <c r="P413" s="726">
        <v>322</v>
      </c>
      <c r="Q413" s="746">
        <f t="shared" si="54"/>
        <v>0</v>
      </c>
      <c r="R413" s="606">
        <f t="shared" si="55"/>
        <v>1197840</v>
      </c>
      <c r="S413" s="747">
        <f t="shared" si="56"/>
        <v>1197840</v>
      </c>
      <c r="T413" s="746">
        <v>66.319999999999993</v>
      </c>
      <c r="U413" s="606">
        <f t="shared" si="57"/>
        <v>246710.39999999997</v>
      </c>
      <c r="V413" s="747">
        <f t="shared" si="58"/>
        <v>951129.60000000009</v>
      </c>
      <c r="W413" s="748">
        <v>66.319999999999993</v>
      </c>
      <c r="X413" s="607">
        <f t="shared" si="59"/>
        <v>246710.39999999997</v>
      </c>
      <c r="Y413" s="702">
        <f t="shared" si="60"/>
        <v>951129.60000000009</v>
      </c>
      <c r="Z413" s="748">
        <v>66.319999999999993</v>
      </c>
      <c r="AA413" s="607">
        <f t="shared" si="61"/>
        <v>246710.39999999997</v>
      </c>
      <c r="AB413" s="749">
        <f t="shared" si="62"/>
        <v>951129.60000000009</v>
      </c>
      <c r="AC413" s="714"/>
    </row>
    <row r="414" spans="1:29" ht="15" customHeight="1" x14ac:dyDescent="0.25">
      <c r="A414" s="713"/>
      <c r="B414" s="714" t="s">
        <v>707</v>
      </c>
      <c r="C414" s="676" t="s">
        <v>40</v>
      </c>
      <c r="D414" s="676" t="s">
        <v>357</v>
      </c>
      <c r="E414" s="680">
        <v>44774</v>
      </c>
      <c r="F414" s="676">
        <v>744</v>
      </c>
      <c r="G414" s="676" t="s">
        <v>59</v>
      </c>
      <c r="H414" s="676" t="s">
        <v>3</v>
      </c>
      <c r="I414" s="676" t="s">
        <v>44</v>
      </c>
      <c r="J414" s="676" t="s">
        <v>85</v>
      </c>
      <c r="K414" s="676">
        <v>322</v>
      </c>
      <c r="L414" s="690" t="s">
        <v>54</v>
      </c>
      <c r="M414" s="691">
        <v>0</v>
      </c>
      <c r="N414" s="690">
        <v>5</v>
      </c>
      <c r="O414" s="691">
        <v>0</v>
      </c>
      <c r="P414" s="690">
        <v>322</v>
      </c>
      <c r="Q414" s="738">
        <f t="shared" si="54"/>
        <v>0</v>
      </c>
      <c r="R414" s="677">
        <f t="shared" si="55"/>
        <v>1197840</v>
      </c>
      <c r="S414" s="739">
        <f t="shared" si="56"/>
        <v>1197840</v>
      </c>
      <c r="T414" s="738">
        <v>76.900000000000006</v>
      </c>
      <c r="U414" s="677">
        <f t="shared" si="57"/>
        <v>286068</v>
      </c>
      <c r="V414" s="739">
        <f t="shared" si="58"/>
        <v>911772</v>
      </c>
      <c r="W414" s="740">
        <v>76.900000000000006</v>
      </c>
      <c r="X414" s="678">
        <f t="shared" si="59"/>
        <v>286068</v>
      </c>
      <c r="Y414" s="700">
        <f t="shared" si="60"/>
        <v>911772</v>
      </c>
      <c r="Z414" s="740">
        <v>76.900000000000006</v>
      </c>
      <c r="AA414" s="678">
        <f t="shared" si="61"/>
        <v>286068</v>
      </c>
      <c r="AB414" s="741">
        <f t="shared" si="62"/>
        <v>911772</v>
      </c>
      <c r="AC414" s="714"/>
    </row>
    <row r="415" spans="1:29" ht="15" customHeight="1" x14ac:dyDescent="0.25">
      <c r="A415" s="713"/>
      <c r="B415" s="729" t="s">
        <v>707</v>
      </c>
      <c r="C415" s="545" t="s">
        <v>40</v>
      </c>
      <c r="D415" s="545" t="s">
        <v>357</v>
      </c>
      <c r="E415" s="681">
        <v>44805</v>
      </c>
      <c r="F415" s="545">
        <v>720</v>
      </c>
      <c r="G415" s="545" t="s">
        <v>59</v>
      </c>
      <c r="H415" s="545" t="s">
        <v>3</v>
      </c>
      <c r="I415" s="545" t="s">
        <v>44</v>
      </c>
      <c r="J415" s="545" t="s">
        <v>85</v>
      </c>
      <c r="K415" s="545">
        <v>322</v>
      </c>
      <c r="L415" s="725" t="s">
        <v>54</v>
      </c>
      <c r="M415" s="695">
        <v>0</v>
      </c>
      <c r="N415" s="725">
        <v>5</v>
      </c>
      <c r="O415" s="695">
        <v>0</v>
      </c>
      <c r="P415" s="725">
        <v>322</v>
      </c>
      <c r="Q415" s="742">
        <f t="shared" si="54"/>
        <v>0</v>
      </c>
      <c r="R415" s="603">
        <f t="shared" si="55"/>
        <v>1159200</v>
      </c>
      <c r="S415" s="743">
        <f t="shared" si="56"/>
        <v>1159200</v>
      </c>
      <c r="T415" s="742">
        <v>56.08</v>
      </c>
      <c r="U415" s="603">
        <f t="shared" si="57"/>
        <v>201888</v>
      </c>
      <c r="V415" s="743">
        <f t="shared" si="58"/>
        <v>957312</v>
      </c>
      <c r="W415" s="744">
        <v>56.08</v>
      </c>
      <c r="X415" s="604">
        <f t="shared" si="59"/>
        <v>201888</v>
      </c>
      <c r="Y415" s="701">
        <f t="shared" si="60"/>
        <v>957312</v>
      </c>
      <c r="Z415" s="744">
        <v>56.08</v>
      </c>
      <c r="AA415" s="604">
        <f t="shared" si="61"/>
        <v>201888</v>
      </c>
      <c r="AB415" s="745">
        <f t="shared" si="62"/>
        <v>957312</v>
      </c>
      <c r="AC415" s="714"/>
    </row>
    <row r="416" spans="1:29" ht="15" customHeight="1" x14ac:dyDescent="0.25">
      <c r="A416" s="713"/>
      <c r="B416" s="730" t="s">
        <v>709</v>
      </c>
      <c r="C416" s="546" t="s">
        <v>40</v>
      </c>
      <c r="D416" s="546" t="s">
        <v>478</v>
      </c>
      <c r="E416" s="682">
        <v>44743</v>
      </c>
      <c r="F416" s="546">
        <v>744</v>
      </c>
      <c r="G416" s="546" t="s">
        <v>59</v>
      </c>
      <c r="H416" s="546" t="s">
        <v>3</v>
      </c>
      <c r="I416" s="546" t="s">
        <v>44</v>
      </c>
      <c r="J416" s="546" t="s">
        <v>85</v>
      </c>
      <c r="K416" s="546">
        <v>320</v>
      </c>
      <c r="L416" s="726" t="s">
        <v>54</v>
      </c>
      <c r="M416" s="696">
        <v>0</v>
      </c>
      <c r="N416" s="726">
        <v>2</v>
      </c>
      <c r="O416" s="696">
        <v>0</v>
      </c>
      <c r="P416" s="726">
        <v>320</v>
      </c>
      <c r="Q416" s="746">
        <f t="shared" si="54"/>
        <v>0</v>
      </c>
      <c r="R416" s="606">
        <f t="shared" si="55"/>
        <v>476160</v>
      </c>
      <c r="S416" s="747">
        <f t="shared" si="56"/>
        <v>476160</v>
      </c>
      <c r="T416" s="746">
        <v>66.319999999999993</v>
      </c>
      <c r="U416" s="606">
        <f t="shared" si="57"/>
        <v>98684.159999999989</v>
      </c>
      <c r="V416" s="747">
        <f t="shared" si="58"/>
        <v>377475.84000000003</v>
      </c>
      <c r="W416" s="748">
        <v>66.319999999999993</v>
      </c>
      <c r="X416" s="607">
        <f t="shared" si="59"/>
        <v>98684.159999999989</v>
      </c>
      <c r="Y416" s="702">
        <f t="shared" si="60"/>
        <v>377475.84000000003</v>
      </c>
      <c r="Z416" s="748">
        <v>66.319999999999993</v>
      </c>
      <c r="AA416" s="607">
        <f t="shared" si="61"/>
        <v>98684.159999999989</v>
      </c>
      <c r="AB416" s="749">
        <f t="shared" si="62"/>
        <v>377475.84000000003</v>
      </c>
      <c r="AC416" s="714"/>
    </row>
    <row r="417" spans="1:29" ht="15" customHeight="1" x14ac:dyDescent="0.25">
      <c r="A417" s="713"/>
      <c r="B417" s="714" t="s">
        <v>709</v>
      </c>
      <c r="C417" s="676" t="s">
        <v>40</v>
      </c>
      <c r="D417" s="676" t="s">
        <v>478</v>
      </c>
      <c r="E417" s="680">
        <v>44774</v>
      </c>
      <c r="F417" s="676">
        <v>744</v>
      </c>
      <c r="G417" s="676" t="s">
        <v>59</v>
      </c>
      <c r="H417" s="676" t="s">
        <v>3</v>
      </c>
      <c r="I417" s="676" t="s">
        <v>44</v>
      </c>
      <c r="J417" s="676" t="s">
        <v>85</v>
      </c>
      <c r="K417" s="676">
        <v>320</v>
      </c>
      <c r="L417" s="690" t="s">
        <v>54</v>
      </c>
      <c r="M417" s="691">
        <v>0</v>
      </c>
      <c r="N417" s="690">
        <v>2</v>
      </c>
      <c r="O417" s="691">
        <v>0</v>
      </c>
      <c r="P417" s="690">
        <v>320</v>
      </c>
      <c r="Q417" s="738">
        <f t="shared" si="54"/>
        <v>0</v>
      </c>
      <c r="R417" s="677">
        <f t="shared" si="55"/>
        <v>476160</v>
      </c>
      <c r="S417" s="739">
        <f t="shared" si="56"/>
        <v>476160</v>
      </c>
      <c r="T417" s="738">
        <v>76.900000000000006</v>
      </c>
      <c r="U417" s="677">
        <f t="shared" si="57"/>
        <v>114427.20000000001</v>
      </c>
      <c r="V417" s="739">
        <f t="shared" si="58"/>
        <v>361732.8</v>
      </c>
      <c r="W417" s="740">
        <v>76.900000000000006</v>
      </c>
      <c r="X417" s="678">
        <f t="shared" si="59"/>
        <v>114427.20000000001</v>
      </c>
      <c r="Y417" s="700">
        <f t="shared" si="60"/>
        <v>361732.8</v>
      </c>
      <c r="Z417" s="740">
        <v>76.900000000000006</v>
      </c>
      <c r="AA417" s="678">
        <f t="shared" si="61"/>
        <v>114427.20000000001</v>
      </c>
      <c r="AB417" s="741">
        <f t="shared" si="62"/>
        <v>361732.8</v>
      </c>
      <c r="AC417" s="714"/>
    </row>
    <row r="418" spans="1:29" ht="15" customHeight="1" x14ac:dyDescent="0.25">
      <c r="A418" s="713"/>
      <c r="B418" s="729" t="s">
        <v>709</v>
      </c>
      <c r="C418" s="545" t="s">
        <v>40</v>
      </c>
      <c r="D418" s="545" t="s">
        <v>478</v>
      </c>
      <c r="E418" s="681">
        <v>44805</v>
      </c>
      <c r="F418" s="545">
        <v>720</v>
      </c>
      <c r="G418" s="545" t="s">
        <v>59</v>
      </c>
      <c r="H418" s="545" t="s">
        <v>3</v>
      </c>
      <c r="I418" s="545" t="s">
        <v>44</v>
      </c>
      <c r="J418" s="545" t="s">
        <v>85</v>
      </c>
      <c r="K418" s="545">
        <v>320</v>
      </c>
      <c r="L418" s="725" t="s">
        <v>54</v>
      </c>
      <c r="M418" s="695">
        <v>0</v>
      </c>
      <c r="N418" s="725">
        <v>2</v>
      </c>
      <c r="O418" s="695">
        <v>0</v>
      </c>
      <c r="P418" s="725">
        <v>320</v>
      </c>
      <c r="Q418" s="742">
        <f t="shared" si="54"/>
        <v>0</v>
      </c>
      <c r="R418" s="603">
        <f t="shared" si="55"/>
        <v>460800</v>
      </c>
      <c r="S418" s="743">
        <f t="shared" si="56"/>
        <v>460800</v>
      </c>
      <c r="T418" s="742">
        <v>56.08</v>
      </c>
      <c r="U418" s="603">
        <f t="shared" si="57"/>
        <v>80755.199999999997</v>
      </c>
      <c r="V418" s="743">
        <f t="shared" si="58"/>
        <v>380044.79999999999</v>
      </c>
      <c r="W418" s="744">
        <v>56.08</v>
      </c>
      <c r="X418" s="604">
        <f t="shared" si="59"/>
        <v>80755.199999999997</v>
      </c>
      <c r="Y418" s="701">
        <f t="shared" si="60"/>
        <v>380044.79999999999</v>
      </c>
      <c r="Z418" s="744">
        <v>56.08</v>
      </c>
      <c r="AA418" s="604">
        <f t="shared" si="61"/>
        <v>80755.199999999997</v>
      </c>
      <c r="AB418" s="745">
        <f t="shared" si="62"/>
        <v>380044.79999999999</v>
      </c>
      <c r="AC418" s="714"/>
    </row>
    <row r="419" spans="1:29" ht="15" customHeight="1" x14ac:dyDescent="0.25">
      <c r="A419" s="713"/>
      <c r="B419" s="730" t="s">
        <v>711</v>
      </c>
      <c r="C419" s="546" t="s">
        <v>40</v>
      </c>
      <c r="D419" s="546" t="s">
        <v>349</v>
      </c>
      <c r="E419" s="682">
        <v>44652</v>
      </c>
      <c r="F419" s="546">
        <v>720</v>
      </c>
      <c r="G419" s="546" t="s">
        <v>58</v>
      </c>
      <c r="H419" s="546" t="s">
        <v>3</v>
      </c>
      <c r="I419" s="546" t="s">
        <v>44</v>
      </c>
      <c r="J419" s="546" t="s">
        <v>84</v>
      </c>
      <c r="K419" s="546">
        <v>200</v>
      </c>
      <c r="L419" s="726" t="s">
        <v>54</v>
      </c>
      <c r="M419" s="696">
        <v>2</v>
      </c>
      <c r="N419" s="726">
        <v>0</v>
      </c>
      <c r="O419" s="696">
        <v>200</v>
      </c>
      <c r="P419" s="726">
        <v>0</v>
      </c>
      <c r="Q419" s="746">
        <f t="shared" si="54"/>
        <v>288000</v>
      </c>
      <c r="R419" s="606">
        <f t="shared" si="55"/>
        <v>0</v>
      </c>
      <c r="S419" s="747">
        <f t="shared" si="56"/>
        <v>-288000</v>
      </c>
      <c r="T419" s="746">
        <v>55.7</v>
      </c>
      <c r="U419" s="606">
        <f t="shared" si="57"/>
        <v>-80208</v>
      </c>
      <c r="V419" s="747">
        <f t="shared" si="58"/>
        <v>-207792</v>
      </c>
      <c r="W419" s="748">
        <v>55.7</v>
      </c>
      <c r="X419" s="607">
        <f t="shared" si="59"/>
        <v>-80208</v>
      </c>
      <c r="Y419" s="702">
        <f t="shared" si="60"/>
        <v>-207792</v>
      </c>
      <c r="Z419" s="748">
        <v>55.7</v>
      </c>
      <c r="AA419" s="607">
        <f t="shared" si="61"/>
        <v>-80208</v>
      </c>
      <c r="AB419" s="749">
        <f t="shared" si="62"/>
        <v>-207792</v>
      </c>
      <c r="AC419" s="714"/>
    </row>
    <row r="420" spans="1:29" ht="15" customHeight="1" x14ac:dyDescent="0.25">
      <c r="A420" s="713"/>
      <c r="B420" s="714" t="s">
        <v>711</v>
      </c>
      <c r="C420" s="676" t="s">
        <v>40</v>
      </c>
      <c r="D420" s="676" t="s">
        <v>349</v>
      </c>
      <c r="E420" s="680">
        <v>44682</v>
      </c>
      <c r="F420" s="676">
        <v>744</v>
      </c>
      <c r="G420" s="676" t="s">
        <v>58</v>
      </c>
      <c r="H420" s="676" t="s">
        <v>3</v>
      </c>
      <c r="I420" s="676" t="s">
        <v>44</v>
      </c>
      <c r="J420" s="676" t="s">
        <v>84</v>
      </c>
      <c r="K420" s="676">
        <v>200</v>
      </c>
      <c r="L420" s="690" t="s">
        <v>54</v>
      </c>
      <c r="M420" s="691">
        <v>2</v>
      </c>
      <c r="N420" s="690">
        <v>0</v>
      </c>
      <c r="O420" s="691">
        <v>200</v>
      </c>
      <c r="P420" s="690">
        <v>0</v>
      </c>
      <c r="Q420" s="738">
        <f t="shared" si="54"/>
        <v>297600</v>
      </c>
      <c r="R420" s="677">
        <f t="shared" si="55"/>
        <v>0</v>
      </c>
      <c r="S420" s="739">
        <f t="shared" si="56"/>
        <v>-297600</v>
      </c>
      <c r="T420" s="738">
        <v>55.7</v>
      </c>
      <c r="U420" s="677">
        <f t="shared" si="57"/>
        <v>-82881.600000000006</v>
      </c>
      <c r="V420" s="739">
        <f t="shared" si="58"/>
        <v>-214718.4</v>
      </c>
      <c r="W420" s="740">
        <v>55.7</v>
      </c>
      <c r="X420" s="678">
        <f t="shared" si="59"/>
        <v>-82881.600000000006</v>
      </c>
      <c r="Y420" s="700">
        <f t="shared" si="60"/>
        <v>-214718.4</v>
      </c>
      <c r="Z420" s="740">
        <v>55.7</v>
      </c>
      <c r="AA420" s="678">
        <f t="shared" si="61"/>
        <v>-82881.600000000006</v>
      </c>
      <c r="AB420" s="741">
        <f t="shared" si="62"/>
        <v>-214718.4</v>
      </c>
      <c r="AC420" s="714"/>
    </row>
    <row r="421" spans="1:29" ht="15" customHeight="1" x14ac:dyDescent="0.25">
      <c r="A421" s="713"/>
      <c r="B421" s="729" t="s">
        <v>711</v>
      </c>
      <c r="C421" s="545" t="s">
        <v>40</v>
      </c>
      <c r="D421" s="545" t="s">
        <v>349</v>
      </c>
      <c r="E421" s="681">
        <v>44713</v>
      </c>
      <c r="F421" s="545">
        <v>720</v>
      </c>
      <c r="G421" s="545" t="s">
        <v>58</v>
      </c>
      <c r="H421" s="545" t="s">
        <v>3</v>
      </c>
      <c r="I421" s="545" t="s">
        <v>44</v>
      </c>
      <c r="J421" s="545" t="s">
        <v>84</v>
      </c>
      <c r="K421" s="545">
        <v>200</v>
      </c>
      <c r="L421" s="725" t="s">
        <v>54</v>
      </c>
      <c r="M421" s="695">
        <v>2</v>
      </c>
      <c r="N421" s="725">
        <v>0</v>
      </c>
      <c r="O421" s="695">
        <v>200</v>
      </c>
      <c r="P421" s="725">
        <v>0</v>
      </c>
      <c r="Q421" s="742">
        <f t="shared" si="54"/>
        <v>288000</v>
      </c>
      <c r="R421" s="603">
        <f t="shared" si="55"/>
        <v>0</v>
      </c>
      <c r="S421" s="743">
        <f t="shared" si="56"/>
        <v>-288000</v>
      </c>
      <c r="T421" s="742">
        <v>55.71</v>
      </c>
      <c r="U421" s="603">
        <f t="shared" si="57"/>
        <v>-80222.399999999994</v>
      </c>
      <c r="V421" s="743">
        <f t="shared" si="58"/>
        <v>-207777.6</v>
      </c>
      <c r="W421" s="744">
        <v>55.71</v>
      </c>
      <c r="X421" s="604">
        <f t="shared" si="59"/>
        <v>-80222.399999999994</v>
      </c>
      <c r="Y421" s="701">
        <f t="shared" si="60"/>
        <v>-207777.6</v>
      </c>
      <c r="Z421" s="744">
        <v>55.71</v>
      </c>
      <c r="AA421" s="604">
        <f t="shared" si="61"/>
        <v>-80222.399999999994</v>
      </c>
      <c r="AB421" s="745">
        <f t="shared" si="62"/>
        <v>-207777.6</v>
      </c>
      <c r="AC421" s="714"/>
    </row>
    <row r="422" spans="1:29" ht="15" customHeight="1" x14ac:dyDescent="0.25">
      <c r="A422" s="713"/>
      <c r="B422" s="730" t="s">
        <v>713</v>
      </c>
      <c r="C422" s="546" t="s">
        <v>40</v>
      </c>
      <c r="D422" s="546" t="s">
        <v>474</v>
      </c>
      <c r="E422" s="682">
        <v>44743</v>
      </c>
      <c r="F422" s="546">
        <v>744</v>
      </c>
      <c r="G422" s="546" t="s">
        <v>59</v>
      </c>
      <c r="H422" s="546" t="s">
        <v>3</v>
      </c>
      <c r="I422" s="546" t="s">
        <v>44</v>
      </c>
      <c r="J422" s="546" t="s">
        <v>85</v>
      </c>
      <c r="K422" s="546">
        <v>320</v>
      </c>
      <c r="L422" s="726" t="s">
        <v>54</v>
      </c>
      <c r="M422" s="696">
        <v>0</v>
      </c>
      <c r="N422" s="726">
        <v>5</v>
      </c>
      <c r="O422" s="696">
        <v>0</v>
      </c>
      <c r="P422" s="726">
        <v>320</v>
      </c>
      <c r="Q422" s="746">
        <f t="shared" si="54"/>
        <v>0</v>
      </c>
      <c r="R422" s="606">
        <f t="shared" si="55"/>
        <v>1190400</v>
      </c>
      <c r="S422" s="747">
        <f t="shared" si="56"/>
        <v>1190400</v>
      </c>
      <c r="T422" s="746">
        <v>66.319999999999993</v>
      </c>
      <c r="U422" s="606">
        <f t="shared" si="57"/>
        <v>246710.39999999997</v>
      </c>
      <c r="V422" s="747">
        <f t="shared" si="58"/>
        <v>943689.60000000009</v>
      </c>
      <c r="W422" s="748">
        <v>66.319999999999993</v>
      </c>
      <c r="X422" s="607">
        <f t="shared" si="59"/>
        <v>246710.39999999997</v>
      </c>
      <c r="Y422" s="702">
        <f t="shared" si="60"/>
        <v>943689.60000000009</v>
      </c>
      <c r="Z422" s="748">
        <v>66.319999999999993</v>
      </c>
      <c r="AA422" s="607">
        <f t="shared" si="61"/>
        <v>246710.39999999997</v>
      </c>
      <c r="AB422" s="749">
        <f t="shared" si="62"/>
        <v>943689.60000000009</v>
      </c>
      <c r="AC422" s="714"/>
    </row>
    <row r="423" spans="1:29" ht="15" customHeight="1" x14ac:dyDescent="0.25">
      <c r="A423" s="713"/>
      <c r="B423" s="714" t="s">
        <v>713</v>
      </c>
      <c r="C423" s="676" t="s">
        <v>40</v>
      </c>
      <c r="D423" s="676" t="s">
        <v>474</v>
      </c>
      <c r="E423" s="680">
        <v>44774</v>
      </c>
      <c r="F423" s="676">
        <v>744</v>
      </c>
      <c r="G423" s="676" t="s">
        <v>59</v>
      </c>
      <c r="H423" s="676" t="s">
        <v>3</v>
      </c>
      <c r="I423" s="676" t="s">
        <v>44</v>
      </c>
      <c r="J423" s="676" t="s">
        <v>85</v>
      </c>
      <c r="K423" s="676">
        <v>320</v>
      </c>
      <c r="L423" s="690" t="s">
        <v>54</v>
      </c>
      <c r="M423" s="691">
        <v>0</v>
      </c>
      <c r="N423" s="690">
        <v>5</v>
      </c>
      <c r="O423" s="691">
        <v>0</v>
      </c>
      <c r="P423" s="690">
        <v>320</v>
      </c>
      <c r="Q423" s="738">
        <f t="shared" si="54"/>
        <v>0</v>
      </c>
      <c r="R423" s="677">
        <f t="shared" si="55"/>
        <v>1190400</v>
      </c>
      <c r="S423" s="739">
        <f t="shared" si="56"/>
        <v>1190400</v>
      </c>
      <c r="T423" s="738">
        <v>76.900000000000006</v>
      </c>
      <c r="U423" s="677">
        <f t="shared" si="57"/>
        <v>286068</v>
      </c>
      <c r="V423" s="739">
        <f t="shared" si="58"/>
        <v>904332</v>
      </c>
      <c r="W423" s="740">
        <v>76.900000000000006</v>
      </c>
      <c r="X423" s="678">
        <f t="shared" si="59"/>
        <v>286068</v>
      </c>
      <c r="Y423" s="700">
        <f t="shared" si="60"/>
        <v>904332</v>
      </c>
      <c r="Z423" s="740">
        <v>76.900000000000006</v>
      </c>
      <c r="AA423" s="678">
        <f t="shared" si="61"/>
        <v>286068</v>
      </c>
      <c r="AB423" s="741">
        <f t="shared" si="62"/>
        <v>904332</v>
      </c>
      <c r="AC423" s="714"/>
    </row>
    <row r="424" spans="1:29" ht="15" customHeight="1" x14ac:dyDescent="0.25">
      <c r="A424" s="713"/>
      <c r="B424" s="729" t="s">
        <v>713</v>
      </c>
      <c r="C424" s="545" t="s">
        <v>40</v>
      </c>
      <c r="D424" s="545" t="s">
        <v>474</v>
      </c>
      <c r="E424" s="681">
        <v>44805</v>
      </c>
      <c r="F424" s="545">
        <v>720</v>
      </c>
      <c r="G424" s="545" t="s">
        <v>59</v>
      </c>
      <c r="H424" s="545" t="s">
        <v>3</v>
      </c>
      <c r="I424" s="545" t="s">
        <v>44</v>
      </c>
      <c r="J424" s="545" t="s">
        <v>85</v>
      </c>
      <c r="K424" s="545">
        <v>320</v>
      </c>
      <c r="L424" s="725" t="s">
        <v>54</v>
      </c>
      <c r="M424" s="695">
        <v>0</v>
      </c>
      <c r="N424" s="725">
        <v>5</v>
      </c>
      <c r="O424" s="695">
        <v>0</v>
      </c>
      <c r="P424" s="725">
        <v>320</v>
      </c>
      <c r="Q424" s="742">
        <f t="shared" si="54"/>
        <v>0</v>
      </c>
      <c r="R424" s="603">
        <f t="shared" si="55"/>
        <v>1152000</v>
      </c>
      <c r="S424" s="743">
        <f t="shared" si="56"/>
        <v>1152000</v>
      </c>
      <c r="T424" s="742">
        <v>56.08</v>
      </c>
      <c r="U424" s="603">
        <f t="shared" si="57"/>
        <v>201888</v>
      </c>
      <c r="V424" s="743">
        <f t="shared" si="58"/>
        <v>950112</v>
      </c>
      <c r="W424" s="744">
        <v>56.08</v>
      </c>
      <c r="X424" s="604">
        <f t="shared" si="59"/>
        <v>201888</v>
      </c>
      <c r="Y424" s="701">
        <f t="shared" si="60"/>
        <v>950112</v>
      </c>
      <c r="Z424" s="744">
        <v>56.08</v>
      </c>
      <c r="AA424" s="604">
        <f t="shared" si="61"/>
        <v>201888</v>
      </c>
      <c r="AB424" s="745">
        <f t="shared" si="62"/>
        <v>950112</v>
      </c>
      <c r="AC424" s="714"/>
    </row>
    <row r="425" spans="1:29" ht="15" customHeight="1" x14ac:dyDescent="0.25">
      <c r="A425" s="713"/>
      <c r="B425" s="730" t="s">
        <v>715</v>
      </c>
      <c r="C425" s="546" t="s">
        <v>40</v>
      </c>
      <c r="D425" s="546" t="s">
        <v>357</v>
      </c>
      <c r="E425" s="682">
        <v>44743</v>
      </c>
      <c r="F425" s="546">
        <v>744</v>
      </c>
      <c r="G425" s="546" t="s">
        <v>59</v>
      </c>
      <c r="H425" s="546" t="s">
        <v>3</v>
      </c>
      <c r="I425" s="546" t="s">
        <v>44</v>
      </c>
      <c r="J425" s="546" t="s">
        <v>85</v>
      </c>
      <c r="K425" s="546">
        <v>322</v>
      </c>
      <c r="L425" s="726" t="s">
        <v>54</v>
      </c>
      <c r="M425" s="696">
        <v>0</v>
      </c>
      <c r="N425" s="726">
        <v>5</v>
      </c>
      <c r="O425" s="696">
        <v>0</v>
      </c>
      <c r="P425" s="726">
        <v>322</v>
      </c>
      <c r="Q425" s="746">
        <f t="shared" si="54"/>
        <v>0</v>
      </c>
      <c r="R425" s="606">
        <f t="shared" si="55"/>
        <v>1197840</v>
      </c>
      <c r="S425" s="747">
        <f t="shared" si="56"/>
        <v>1197840</v>
      </c>
      <c r="T425" s="746">
        <v>66.319999999999993</v>
      </c>
      <c r="U425" s="606">
        <f t="shared" si="57"/>
        <v>246710.39999999997</v>
      </c>
      <c r="V425" s="747">
        <f t="shared" si="58"/>
        <v>951129.60000000009</v>
      </c>
      <c r="W425" s="748">
        <v>66.319999999999993</v>
      </c>
      <c r="X425" s="607">
        <f t="shared" si="59"/>
        <v>246710.39999999997</v>
      </c>
      <c r="Y425" s="702">
        <f t="shared" si="60"/>
        <v>951129.60000000009</v>
      </c>
      <c r="Z425" s="748">
        <v>66.319999999999993</v>
      </c>
      <c r="AA425" s="607">
        <f t="shared" si="61"/>
        <v>246710.39999999997</v>
      </c>
      <c r="AB425" s="749">
        <f t="shared" si="62"/>
        <v>951129.60000000009</v>
      </c>
      <c r="AC425" s="714"/>
    </row>
    <row r="426" spans="1:29" ht="15" customHeight="1" x14ac:dyDescent="0.25">
      <c r="A426" s="713"/>
      <c r="B426" s="714" t="s">
        <v>715</v>
      </c>
      <c r="C426" s="676" t="s">
        <v>40</v>
      </c>
      <c r="D426" s="676" t="s">
        <v>357</v>
      </c>
      <c r="E426" s="680">
        <v>44774</v>
      </c>
      <c r="F426" s="676">
        <v>744</v>
      </c>
      <c r="G426" s="676" t="s">
        <v>59</v>
      </c>
      <c r="H426" s="676" t="s">
        <v>3</v>
      </c>
      <c r="I426" s="676" t="s">
        <v>44</v>
      </c>
      <c r="J426" s="676" t="s">
        <v>85</v>
      </c>
      <c r="K426" s="676">
        <v>322</v>
      </c>
      <c r="L426" s="690" t="s">
        <v>54</v>
      </c>
      <c r="M426" s="691">
        <v>0</v>
      </c>
      <c r="N426" s="690">
        <v>5</v>
      </c>
      <c r="O426" s="691">
        <v>0</v>
      </c>
      <c r="P426" s="690">
        <v>322</v>
      </c>
      <c r="Q426" s="738">
        <f t="shared" si="54"/>
        <v>0</v>
      </c>
      <c r="R426" s="677">
        <f t="shared" si="55"/>
        <v>1197840</v>
      </c>
      <c r="S426" s="739">
        <f t="shared" si="56"/>
        <v>1197840</v>
      </c>
      <c r="T426" s="738">
        <v>76.900000000000006</v>
      </c>
      <c r="U426" s="677">
        <f t="shared" si="57"/>
        <v>286068</v>
      </c>
      <c r="V426" s="739">
        <f t="shared" si="58"/>
        <v>911772</v>
      </c>
      <c r="W426" s="740">
        <v>76.900000000000006</v>
      </c>
      <c r="X426" s="678">
        <f t="shared" si="59"/>
        <v>286068</v>
      </c>
      <c r="Y426" s="700">
        <f t="shared" si="60"/>
        <v>911772</v>
      </c>
      <c r="Z426" s="740">
        <v>76.900000000000006</v>
      </c>
      <c r="AA426" s="678">
        <f t="shared" si="61"/>
        <v>286068</v>
      </c>
      <c r="AB426" s="741">
        <f t="shared" si="62"/>
        <v>911772</v>
      </c>
      <c r="AC426" s="714"/>
    </row>
    <row r="427" spans="1:29" ht="15" customHeight="1" x14ac:dyDescent="0.25">
      <c r="A427" s="713"/>
      <c r="B427" s="729" t="s">
        <v>715</v>
      </c>
      <c r="C427" s="545" t="s">
        <v>40</v>
      </c>
      <c r="D427" s="545" t="s">
        <v>357</v>
      </c>
      <c r="E427" s="681">
        <v>44805</v>
      </c>
      <c r="F427" s="545">
        <v>720</v>
      </c>
      <c r="G427" s="545" t="s">
        <v>59</v>
      </c>
      <c r="H427" s="545" t="s">
        <v>3</v>
      </c>
      <c r="I427" s="545" t="s">
        <v>44</v>
      </c>
      <c r="J427" s="545" t="s">
        <v>85</v>
      </c>
      <c r="K427" s="545">
        <v>322</v>
      </c>
      <c r="L427" s="725" t="s">
        <v>54</v>
      </c>
      <c r="M427" s="695">
        <v>0</v>
      </c>
      <c r="N427" s="725">
        <v>5</v>
      </c>
      <c r="O427" s="695">
        <v>0</v>
      </c>
      <c r="P427" s="725">
        <v>322</v>
      </c>
      <c r="Q427" s="742">
        <f t="shared" si="54"/>
        <v>0</v>
      </c>
      <c r="R427" s="603">
        <f t="shared" si="55"/>
        <v>1159200</v>
      </c>
      <c r="S427" s="743">
        <f t="shared" si="56"/>
        <v>1159200</v>
      </c>
      <c r="T427" s="742">
        <v>56.08</v>
      </c>
      <c r="U427" s="603">
        <f t="shared" si="57"/>
        <v>201888</v>
      </c>
      <c r="V427" s="743">
        <f t="shared" si="58"/>
        <v>957312</v>
      </c>
      <c r="W427" s="744">
        <v>56.08</v>
      </c>
      <c r="X427" s="604">
        <f t="shared" si="59"/>
        <v>201888</v>
      </c>
      <c r="Y427" s="701">
        <f t="shared" si="60"/>
        <v>957312</v>
      </c>
      <c r="Z427" s="744">
        <v>56.08</v>
      </c>
      <c r="AA427" s="604">
        <f t="shared" si="61"/>
        <v>201888</v>
      </c>
      <c r="AB427" s="745">
        <f t="shared" si="62"/>
        <v>957312</v>
      </c>
      <c r="AC427" s="714"/>
    </row>
    <row r="428" spans="1:29" ht="15" customHeight="1" x14ac:dyDescent="0.25">
      <c r="A428" s="713"/>
      <c r="B428" s="730" t="s">
        <v>717</v>
      </c>
      <c r="C428" s="546" t="s">
        <v>40</v>
      </c>
      <c r="D428" s="546" t="s">
        <v>506</v>
      </c>
      <c r="E428" s="682">
        <v>44652</v>
      </c>
      <c r="F428" s="546">
        <v>720</v>
      </c>
      <c r="G428" s="546" t="s">
        <v>58</v>
      </c>
      <c r="H428" s="546" t="s">
        <v>3</v>
      </c>
      <c r="I428" s="546" t="s">
        <v>44</v>
      </c>
      <c r="J428" s="546" t="s">
        <v>84</v>
      </c>
      <c r="K428" s="546">
        <v>196</v>
      </c>
      <c r="L428" s="726" t="s">
        <v>54</v>
      </c>
      <c r="M428" s="696">
        <v>5</v>
      </c>
      <c r="N428" s="726">
        <v>0</v>
      </c>
      <c r="O428" s="696">
        <v>196</v>
      </c>
      <c r="P428" s="726">
        <v>0</v>
      </c>
      <c r="Q428" s="746">
        <f t="shared" si="54"/>
        <v>705600</v>
      </c>
      <c r="R428" s="606">
        <f t="shared" si="55"/>
        <v>0</v>
      </c>
      <c r="S428" s="747">
        <f t="shared" si="56"/>
        <v>-705600</v>
      </c>
      <c r="T428" s="746">
        <v>55.7</v>
      </c>
      <c r="U428" s="606">
        <f t="shared" si="57"/>
        <v>-200520</v>
      </c>
      <c r="V428" s="747">
        <f t="shared" si="58"/>
        <v>-505080</v>
      </c>
      <c r="W428" s="748">
        <v>55.7</v>
      </c>
      <c r="X428" s="607">
        <f t="shared" si="59"/>
        <v>-200520</v>
      </c>
      <c r="Y428" s="702">
        <f t="shared" si="60"/>
        <v>-505080</v>
      </c>
      <c r="Z428" s="748">
        <v>55.7</v>
      </c>
      <c r="AA428" s="607">
        <f t="shared" si="61"/>
        <v>-200520</v>
      </c>
      <c r="AB428" s="749">
        <f t="shared" si="62"/>
        <v>-505080</v>
      </c>
      <c r="AC428" s="714"/>
    </row>
    <row r="429" spans="1:29" ht="15" customHeight="1" x14ac:dyDescent="0.25">
      <c r="A429" s="713"/>
      <c r="B429" s="714" t="s">
        <v>717</v>
      </c>
      <c r="C429" s="676" t="s">
        <v>40</v>
      </c>
      <c r="D429" s="676" t="s">
        <v>506</v>
      </c>
      <c r="E429" s="680">
        <v>44682</v>
      </c>
      <c r="F429" s="676">
        <v>744</v>
      </c>
      <c r="G429" s="676" t="s">
        <v>58</v>
      </c>
      <c r="H429" s="676" t="s">
        <v>3</v>
      </c>
      <c r="I429" s="676" t="s">
        <v>44</v>
      </c>
      <c r="J429" s="676" t="s">
        <v>84</v>
      </c>
      <c r="K429" s="676">
        <v>196</v>
      </c>
      <c r="L429" s="690" t="s">
        <v>54</v>
      </c>
      <c r="M429" s="691">
        <v>5</v>
      </c>
      <c r="N429" s="690">
        <v>0</v>
      </c>
      <c r="O429" s="691">
        <v>196</v>
      </c>
      <c r="P429" s="690">
        <v>0</v>
      </c>
      <c r="Q429" s="738">
        <f t="shared" si="54"/>
        <v>729120</v>
      </c>
      <c r="R429" s="677">
        <f t="shared" si="55"/>
        <v>0</v>
      </c>
      <c r="S429" s="739">
        <f t="shared" si="56"/>
        <v>-729120</v>
      </c>
      <c r="T429" s="738">
        <v>55.7</v>
      </c>
      <c r="U429" s="677">
        <f t="shared" si="57"/>
        <v>-207204</v>
      </c>
      <c r="V429" s="739">
        <f t="shared" si="58"/>
        <v>-521916</v>
      </c>
      <c r="W429" s="740">
        <v>55.7</v>
      </c>
      <c r="X429" s="678">
        <f t="shared" si="59"/>
        <v>-207204</v>
      </c>
      <c r="Y429" s="700">
        <f t="shared" si="60"/>
        <v>-521916</v>
      </c>
      <c r="Z429" s="740">
        <v>55.7</v>
      </c>
      <c r="AA429" s="678">
        <f t="shared" si="61"/>
        <v>-207204</v>
      </c>
      <c r="AB429" s="741">
        <f t="shared" si="62"/>
        <v>-521916</v>
      </c>
      <c r="AC429" s="714"/>
    </row>
    <row r="430" spans="1:29" ht="15" customHeight="1" x14ac:dyDescent="0.25">
      <c r="A430" s="713"/>
      <c r="B430" s="729" t="s">
        <v>717</v>
      </c>
      <c r="C430" s="545" t="s">
        <v>40</v>
      </c>
      <c r="D430" s="545" t="s">
        <v>506</v>
      </c>
      <c r="E430" s="681">
        <v>44713</v>
      </c>
      <c r="F430" s="545">
        <v>720</v>
      </c>
      <c r="G430" s="545" t="s">
        <v>58</v>
      </c>
      <c r="H430" s="545" t="s">
        <v>3</v>
      </c>
      <c r="I430" s="545" t="s">
        <v>44</v>
      </c>
      <c r="J430" s="545" t="s">
        <v>84</v>
      </c>
      <c r="K430" s="545">
        <v>196</v>
      </c>
      <c r="L430" s="725" t="s">
        <v>54</v>
      </c>
      <c r="M430" s="695">
        <v>5</v>
      </c>
      <c r="N430" s="725">
        <v>0</v>
      </c>
      <c r="O430" s="695">
        <v>196</v>
      </c>
      <c r="P430" s="725">
        <v>0</v>
      </c>
      <c r="Q430" s="742">
        <f t="shared" si="54"/>
        <v>705600</v>
      </c>
      <c r="R430" s="603">
        <f t="shared" si="55"/>
        <v>0</v>
      </c>
      <c r="S430" s="743">
        <f t="shared" si="56"/>
        <v>-705600</v>
      </c>
      <c r="T430" s="742">
        <v>55.71</v>
      </c>
      <c r="U430" s="603">
        <f t="shared" si="57"/>
        <v>-200556</v>
      </c>
      <c r="V430" s="743">
        <f t="shared" si="58"/>
        <v>-505044</v>
      </c>
      <c r="W430" s="744">
        <v>55.71</v>
      </c>
      <c r="X430" s="604">
        <f t="shared" si="59"/>
        <v>-200556</v>
      </c>
      <c r="Y430" s="701">
        <f t="shared" si="60"/>
        <v>-505044</v>
      </c>
      <c r="Z430" s="744">
        <v>55.71</v>
      </c>
      <c r="AA430" s="604">
        <f t="shared" si="61"/>
        <v>-200556</v>
      </c>
      <c r="AB430" s="745">
        <f t="shared" si="62"/>
        <v>-505044</v>
      </c>
      <c r="AC430" s="714"/>
    </row>
    <row r="431" spans="1:29" ht="15" customHeight="1" x14ac:dyDescent="0.25">
      <c r="A431" s="713"/>
      <c r="B431" s="731" t="s">
        <v>719</v>
      </c>
      <c r="C431" s="547" t="s">
        <v>40</v>
      </c>
      <c r="D431" s="547" t="s">
        <v>501</v>
      </c>
      <c r="E431" s="683">
        <v>44562</v>
      </c>
      <c r="F431" s="547">
        <v>744</v>
      </c>
      <c r="G431" s="547" t="s">
        <v>59</v>
      </c>
      <c r="H431" s="547" t="s">
        <v>3</v>
      </c>
      <c r="I431" s="547" t="s">
        <v>44</v>
      </c>
      <c r="J431" s="547" t="s">
        <v>85</v>
      </c>
      <c r="K431" s="547">
        <v>250</v>
      </c>
      <c r="L431" s="727" t="s">
        <v>54</v>
      </c>
      <c r="M431" s="697">
        <v>0</v>
      </c>
      <c r="N431" s="727">
        <v>1</v>
      </c>
      <c r="O431" s="697">
        <v>0</v>
      </c>
      <c r="P431" s="727">
        <v>250</v>
      </c>
      <c r="Q431" s="750">
        <f t="shared" si="54"/>
        <v>0</v>
      </c>
      <c r="R431" s="608">
        <f t="shared" si="55"/>
        <v>186000</v>
      </c>
      <c r="S431" s="751">
        <f t="shared" si="56"/>
        <v>186000</v>
      </c>
      <c r="T431" s="750">
        <v>62.91</v>
      </c>
      <c r="U431" s="608">
        <f t="shared" si="57"/>
        <v>46805.04</v>
      </c>
      <c r="V431" s="751">
        <f t="shared" si="58"/>
        <v>139194.96</v>
      </c>
      <c r="W431" s="752">
        <v>62.91</v>
      </c>
      <c r="X431" s="609">
        <f t="shared" si="59"/>
        <v>46805.04</v>
      </c>
      <c r="Y431" s="703">
        <f t="shared" si="60"/>
        <v>139194.96</v>
      </c>
      <c r="Z431" s="752">
        <v>62.91</v>
      </c>
      <c r="AA431" s="609">
        <f t="shared" si="61"/>
        <v>46805.04</v>
      </c>
      <c r="AB431" s="753">
        <f t="shared" si="62"/>
        <v>139194.96</v>
      </c>
      <c r="AC431" s="714"/>
    </row>
    <row r="432" spans="1:29" ht="15" customHeight="1" x14ac:dyDescent="0.25">
      <c r="A432" s="713"/>
      <c r="B432" s="731" t="s">
        <v>720</v>
      </c>
      <c r="C432" s="547" t="s">
        <v>40</v>
      </c>
      <c r="D432" s="547" t="s">
        <v>508</v>
      </c>
      <c r="E432" s="683">
        <v>44562</v>
      </c>
      <c r="F432" s="547">
        <v>744</v>
      </c>
      <c r="G432" s="547" t="s">
        <v>59</v>
      </c>
      <c r="H432" s="547" t="s">
        <v>3</v>
      </c>
      <c r="I432" s="547" t="s">
        <v>44</v>
      </c>
      <c r="J432" s="547" t="s">
        <v>85</v>
      </c>
      <c r="K432" s="547">
        <v>247</v>
      </c>
      <c r="L432" s="727" t="s">
        <v>54</v>
      </c>
      <c r="M432" s="697">
        <v>0</v>
      </c>
      <c r="N432" s="727">
        <v>3</v>
      </c>
      <c r="O432" s="697">
        <v>0</v>
      </c>
      <c r="P432" s="727">
        <v>247</v>
      </c>
      <c r="Q432" s="750">
        <f t="shared" si="54"/>
        <v>0</v>
      </c>
      <c r="R432" s="608">
        <f t="shared" si="55"/>
        <v>551304</v>
      </c>
      <c r="S432" s="751">
        <f t="shared" si="56"/>
        <v>551304</v>
      </c>
      <c r="T432" s="750">
        <v>62.91</v>
      </c>
      <c r="U432" s="608">
        <f t="shared" si="57"/>
        <v>140415.12</v>
      </c>
      <c r="V432" s="751">
        <f t="shared" si="58"/>
        <v>410888.88</v>
      </c>
      <c r="W432" s="752">
        <v>62.91</v>
      </c>
      <c r="X432" s="609">
        <f t="shared" si="59"/>
        <v>140415.12</v>
      </c>
      <c r="Y432" s="703">
        <f t="shared" si="60"/>
        <v>410888.88</v>
      </c>
      <c r="Z432" s="752">
        <v>62.91</v>
      </c>
      <c r="AA432" s="609">
        <f t="shared" si="61"/>
        <v>140415.12</v>
      </c>
      <c r="AB432" s="753">
        <f t="shared" si="62"/>
        <v>410888.88</v>
      </c>
      <c r="AC432" s="714"/>
    </row>
    <row r="433" spans="1:29" ht="15" customHeight="1" x14ac:dyDescent="0.25">
      <c r="A433" s="713"/>
      <c r="B433" s="730" t="s">
        <v>721</v>
      </c>
      <c r="C433" s="546" t="s">
        <v>40</v>
      </c>
      <c r="D433" s="546" t="s">
        <v>502</v>
      </c>
      <c r="E433" s="682">
        <v>44652</v>
      </c>
      <c r="F433" s="546">
        <v>720</v>
      </c>
      <c r="G433" s="546" t="s">
        <v>58</v>
      </c>
      <c r="H433" s="546" t="s">
        <v>3</v>
      </c>
      <c r="I433" s="546" t="s">
        <v>44</v>
      </c>
      <c r="J433" s="546" t="s">
        <v>84</v>
      </c>
      <c r="K433" s="546">
        <v>175</v>
      </c>
      <c r="L433" s="726" t="s">
        <v>54</v>
      </c>
      <c r="M433" s="696">
        <v>10</v>
      </c>
      <c r="N433" s="726">
        <v>0</v>
      </c>
      <c r="O433" s="696">
        <v>175</v>
      </c>
      <c r="P433" s="726">
        <v>0</v>
      </c>
      <c r="Q433" s="746">
        <f t="shared" si="54"/>
        <v>1260000</v>
      </c>
      <c r="R433" s="606">
        <f t="shared" si="55"/>
        <v>0</v>
      </c>
      <c r="S433" s="747">
        <f t="shared" si="56"/>
        <v>-1260000</v>
      </c>
      <c r="T433" s="746">
        <v>55.7</v>
      </c>
      <c r="U433" s="606">
        <f t="shared" si="57"/>
        <v>-401040</v>
      </c>
      <c r="V433" s="747">
        <f t="shared" si="58"/>
        <v>-858960</v>
      </c>
      <c r="W433" s="748">
        <v>55.7</v>
      </c>
      <c r="X433" s="607">
        <f t="shared" si="59"/>
        <v>-401040</v>
      </c>
      <c r="Y433" s="702">
        <f t="shared" si="60"/>
        <v>-858960</v>
      </c>
      <c r="Z433" s="748">
        <v>55.7</v>
      </c>
      <c r="AA433" s="607">
        <f t="shared" si="61"/>
        <v>-401040</v>
      </c>
      <c r="AB433" s="749">
        <f t="shared" si="62"/>
        <v>-858960</v>
      </c>
      <c r="AC433" s="714"/>
    </row>
    <row r="434" spans="1:29" ht="15" customHeight="1" x14ac:dyDescent="0.25">
      <c r="A434" s="713"/>
      <c r="B434" s="714" t="s">
        <v>721</v>
      </c>
      <c r="C434" s="676" t="s">
        <v>40</v>
      </c>
      <c r="D434" s="676" t="s">
        <v>502</v>
      </c>
      <c r="E434" s="680">
        <v>44682</v>
      </c>
      <c r="F434" s="676">
        <v>744</v>
      </c>
      <c r="G434" s="676" t="s">
        <v>58</v>
      </c>
      <c r="H434" s="676" t="s">
        <v>3</v>
      </c>
      <c r="I434" s="676" t="s">
        <v>44</v>
      </c>
      <c r="J434" s="676" t="s">
        <v>84</v>
      </c>
      <c r="K434" s="676">
        <v>175</v>
      </c>
      <c r="L434" s="690" t="s">
        <v>54</v>
      </c>
      <c r="M434" s="691">
        <v>10</v>
      </c>
      <c r="N434" s="690">
        <v>0</v>
      </c>
      <c r="O434" s="691">
        <v>175</v>
      </c>
      <c r="P434" s="690">
        <v>0</v>
      </c>
      <c r="Q434" s="738">
        <f t="shared" si="54"/>
        <v>1302000</v>
      </c>
      <c r="R434" s="677">
        <f t="shared" si="55"/>
        <v>0</v>
      </c>
      <c r="S434" s="739">
        <f t="shared" si="56"/>
        <v>-1302000</v>
      </c>
      <c r="T434" s="738">
        <v>55.7</v>
      </c>
      <c r="U434" s="677">
        <f t="shared" si="57"/>
        <v>-414408</v>
      </c>
      <c r="V434" s="739">
        <f t="shared" si="58"/>
        <v>-887592</v>
      </c>
      <c r="W434" s="740">
        <v>55.7</v>
      </c>
      <c r="X434" s="678">
        <f t="shared" si="59"/>
        <v>-414408</v>
      </c>
      <c r="Y434" s="700">
        <f t="shared" si="60"/>
        <v>-887592</v>
      </c>
      <c r="Z434" s="740">
        <v>55.7</v>
      </c>
      <c r="AA434" s="678">
        <f t="shared" si="61"/>
        <v>-414408</v>
      </c>
      <c r="AB434" s="741">
        <f t="shared" si="62"/>
        <v>-887592</v>
      </c>
      <c r="AC434" s="714"/>
    </row>
    <row r="435" spans="1:29" ht="15" customHeight="1" x14ac:dyDescent="0.25">
      <c r="A435" s="713"/>
      <c r="B435" s="729" t="s">
        <v>721</v>
      </c>
      <c r="C435" s="545" t="s">
        <v>40</v>
      </c>
      <c r="D435" s="545" t="s">
        <v>502</v>
      </c>
      <c r="E435" s="681">
        <v>44713</v>
      </c>
      <c r="F435" s="545">
        <v>720</v>
      </c>
      <c r="G435" s="545" t="s">
        <v>58</v>
      </c>
      <c r="H435" s="545" t="s">
        <v>3</v>
      </c>
      <c r="I435" s="545" t="s">
        <v>44</v>
      </c>
      <c r="J435" s="545" t="s">
        <v>84</v>
      </c>
      <c r="K435" s="545">
        <v>175</v>
      </c>
      <c r="L435" s="725" t="s">
        <v>54</v>
      </c>
      <c r="M435" s="695">
        <v>10</v>
      </c>
      <c r="N435" s="725">
        <v>0</v>
      </c>
      <c r="O435" s="695">
        <v>175</v>
      </c>
      <c r="P435" s="725">
        <v>0</v>
      </c>
      <c r="Q435" s="742">
        <f t="shared" si="54"/>
        <v>1260000</v>
      </c>
      <c r="R435" s="603">
        <f t="shared" si="55"/>
        <v>0</v>
      </c>
      <c r="S435" s="743">
        <f t="shared" si="56"/>
        <v>-1260000</v>
      </c>
      <c r="T435" s="742">
        <v>55.71</v>
      </c>
      <c r="U435" s="603">
        <f t="shared" si="57"/>
        <v>-401112</v>
      </c>
      <c r="V435" s="743">
        <f t="shared" si="58"/>
        <v>-858888</v>
      </c>
      <c r="W435" s="744">
        <v>55.71</v>
      </c>
      <c r="X435" s="604">
        <f t="shared" si="59"/>
        <v>-401112</v>
      </c>
      <c r="Y435" s="701">
        <f t="shared" si="60"/>
        <v>-858888</v>
      </c>
      <c r="Z435" s="744">
        <v>55.71</v>
      </c>
      <c r="AA435" s="604">
        <f t="shared" si="61"/>
        <v>-401112</v>
      </c>
      <c r="AB435" s="745">
        <f t="shared" si="62"/>
        <v>-858888</v>
      </c>
      <c r="AC435" s="714"/>
    </row>
    <row r="436" spans="1:29" ht="15" customHeight="1" x14ac:dyDescent="0.25">
      <c r="A436" s="713"/>
      <c r="B436" s="730" t="s">
        <v>723</v>
      </c>
      <c r="C436" s="546" t="s">
        <v>40</v>
      </c>
      <c r="D436" s="546" t="s">
        <v>502</v>
      </c>
      <c r="E436" s="682">
        <v>44743</v>
      </c>
      <c r="F436" s="546">
        <v>744</v>
      </c>
      <c r="G436" s="546" t="s">
        <v>59</v>
      </c>
      <c r="H436" s="546" t="s">
        <v>3</v>
      </c>
      <c r="I436" s="546" t="s">
        <v>44</v>
      </c>
      <c r="J436" s="546" t="s">
        <v>85</v>
      </c>
      <c r="K436" s="546">
        <v>270</v>
      </c>
      <c r="L436" s="726" t="s">
        <v>54</v>
      </c>
      <c r="M436" s="696">
        <v>0</v>
      </c>
      <c r="N436" s="726">
        <v>10</v>
      </c>
      <c r="O436" s="696">
        <v>0</v>
      </c>
      <c r="P436" s="726">
        <v>270</v>
      </c>
      <c r="Q436" s="746">
        <f t="shared" si="54"/>
        <v>0</v>
      </c>
      <c r="R436" s="606">
        <f t="shared" si="55"/>
        <v>2008800</v>
      </c>
      <c r="S436" s="747">
        <f t="shared" si="56"/>
        <v>2008800</v>
      </c>
      <c r="T436" s="746">
        <v>66.319999999999993</v>
      </c>
      <c r="U436" s="606">
        <f t="shared" si="57"/>
        <v>493420.79999999993</v>
      </c>
      <c r="V436" s="747">
        <f t="shared" si="58"/>
        <v>1515379.2000000002</v>
      </c>
      <c r="W436" s="748">
        <v>66.319999999999993</v>
      </c>
      <c r="X436" s="607">
        <f t="shared" si="59"/>
        <v>493420.79999999993</v>
      </c>
      <c r="Y436" s="702">
        <f t="shared" si="60"/>
        <v>1515379.2000000002</v>
      </c>
      <c r="Z436" s="748">
        <v>66.319999999999993</v>
      </c>
      <c r="AA436" s="607">
        <f t="shared" si="61"/>
        <v>493420.79999999993</v>
      </c>
      <c r="AB436" s="749">
        <f t="shared" si="62"/>
        <v>1515379.2000000002</v>
      </c>
      <c r="AC436" s="714"/>
    </row>
    <row r="437" spans="1:29" ht="15" customHeight="1" x14ac:dyDescent="0.25">
      <c r="A437" s="713"/>
      <c r="B437" s="714" t="s">
        <v>723</v>
      </c>
      <c r="C437" s="676" t="s">
        <v>40</v>
      </c>
      <c r="D437" s="676" t="s">
        <v>502</v>
      </c>
      <c r="E437" s="680">
        <v>44774</v>
      </c>
      <c r="F437" s="676">
        <v>744</v>
      </c>
      <c r="G437" s="676" t="s">
        <v>59</v>
      </c>
      <c r="H437" s="676" t="s">
        <v>3</v>
      </c>
      <c r="I437" s="676" t="s">
        <v>44</v>
      </c>
      <c r="J437" s="676" t="s">
        <v>85</v>
      </c>
      <c r="K437" s="676">
        <v>270</v>
      </c>
      <c r="L437" s="690" t="s">
        <v>54</v>
      </c>
      <c r="M437" s="691">
        <v>0</v>
      </c>
      <c r="N437" s="690">
        <v>10</v>
      </c>
      <c r="O437" s="691">
        <v>0</v>
      </c>
      <c r="P437" s="690">
        <v>270</v>
      </c>
      <c r="Q437" s="738">
        <f t="shared" si="54"/>
        <v>0</v>
      </c>
      <c r="R437" s="677">
        <f t="shared" si="55"/>
        <v>2008800</v>
      </c>
      <c r="S437" s="739">
        <f t="shared" si="56"/>
        <v>2008800</v>
      </c>
      <c r="T437" s="738">
        <v>76.900000000000006</v>
      </c>
      <c r="U437" s="677">
        <f t="shared" si="57"/>
        <v>572136</v>
      </c>
      <c r="V437" s="739">
        <f t="shared" si="58"/>
        <v>1436664</v>
      </c>
      <c r="W437" s="740">
        <v>76.900000000000006</v>
      </c>
      <c r="X437" s="678">
        <f t="shared" si="59"/>
        <v>572136</v>
      </c>
      <c r="Y437" s="700">
        <f t="shared" si="60"/>
        <v>1436664</v>
      </c>
      <c r="Z437" s="740">
        <v>76.900000000000006</v>
      </c>
      <c r="AA437" s="678">
        <f t="shared" si="61"/>
        <v>572136</v>
      </c>
      <c r="AB437" s="741">
        <f t="shared" si="62"/>
        <v>1436664</v>
      </c>
      <c r="AC437" s="714"/>
    </row>
    <row r="438" spans="1:29" ht="15" customHeight="1" x14ac:dyDescent="0.25">
      <c r="A438" s="713"/>
      <c r="B438" s="729" t="s">
        <v>723</v>
      </c>
      <c r="C438" s="545" t="s">
        <v>40</v>
      </c>
      <c r="D438" s="545" t="s">
        <v>502</v>
      </c>
      <c r="E438" s="681">
        <v>44805</v>
      </c>
      <c r="F438" s="545">
        <v>720</v>
      </c>
      <c r="G438" s="545" t="s">
        <v>59</v>
      </c>
      <c r="H438" s="545" t="s">
        <v>3</v>
      </c>
      <c r="I438" s="545" t="s">
        <v>44</v>
      </c>
      <c r="J438" s="545" t="s">
        <v>85</v>
      </c>
      <c r="K438" s="545">
        <v>270</v>
      </c>
      <c r="L438" s="725" t="s">
        <v>54</v>
      </c>
      <c r="M438" s="695">
        <v>0</v>
      </c>
      <c r="N438" s="725">
        <v>10</v>
      </c>
      <c r="O438" s="695">
        <v>0</v>
      </c>
      <c r="P438" s="725">
        <v>270</v>
      </c>
      <c r="Q438" s="742">
        <f t="shared" si="54"/>
        <v>0</v>
      </c>
      <c r="R438" s="603">
        <f t="shared" si="55"/>
        <v>1944000</v>
      </c>
      <c r="S438" s="743">
        <f t="shared" si="56"/>
        <v>1944000</v>
      </c>
      <c r="T438" s="742">
        <v>56.08</v>
      </c>
      <c r="U438" s="603">
        <f t="shared" si="57"/>
        <v>403776</v>
      </c>
      <c r="V438" s="743">
        <f t="shared" si="58"/>
        <v>1540224</v>
      </c>
      <c r="W438" s="744">
        <v>56.08</v>
      </c>
      <c r="X438" s="604">
        <f t="shared" si="59"/>
        <v>403776</v>
      </c>
      <c r="Y438" s="701">
        <f t="shared" si="60"/>
        <v>1540224</v>
      </c>
      <c r="Z438" s="744">
        <v>56.08</v>
      </c>
      <c r="AA438" s="604">
        <f t="shared" si="61"/>
        <v>403776</v>
      </c>
      <c r="AB438" s="745">
        <f t="shared" si="62"/>
        <v>1540224</v>
      </c>
      <c r="AC438" s="714"/>
    </row>
    <row r="439" spans="1:29" ht="15" customHeight="1" x14ac:dyDescent="0.25">
      <c r="A439" s="713"/>
      <c r="B439" s="730" t="s">
        <v>725</v>
      </c>
      <c r="C439" s="546" t="s">
        <v>40</v>
      </c>
      <c r="D439" s="546" t="s">
        <v>571</v>
      </c>
      <c r="E439" s="682">
        <v>44927</v>
      </c>
      <c r="F439" s="546">
        <v>744</v>
      </c>
      <c r="G439" s="546" t="s">
        <v>58</v>
      </c>
      <c r="H439" s="546" t="s">
        <v>3</v>
      </c>
      <c r="I439" s="546" t="s">
        <v>44</v>
      </c>
      <c r="J439" s="546" t="s">
        <v>84</v>
      </c>
      <c r="K439" s="546">
        <v>204</v>
      </c>
      <c r="L439" s="726" t="s">
        <v>54</v>
      </c>
      <c r="M439" s="696">
        <v>2</v>
      </c>
      <c r="N439" s="726">
        <v>0</v>
      </c>
      <c r="O439" s="696">
        <v>219.13674214591981</v>
      </c>
      <c r="P439" s="726">
        <v>0</v>
      </c>
      <c r="Q439" s="746">
        <f t="shared" si="54"/>
        <v>326075.4723131287</v>
      </c>
      <c r="R439" s="606">
        <f t="shared" si="55"/>
        <v>0</v>
      </c>
      <c r="S439" s="747">
        <f t="shared" si="56"/>
        <v>-326075.4723131287</v>
      </c>
      <c r="T439" s="746">
        <v>68.72</v>
      </c>
      <c r="U439" s="606">
        <f t="shared" si="57"/>
        <v>-102255.36</v>
      </c>
      <c r="V439" s="747">
        <f t="shared" si="58"/>
        <v>-223820.11231312872</v>
      </c>
      <c r="W439" s="748">
        <v>55.7</v>
      </c>
      <c r="X439" s="607">
        <f t="shared" si="59"/>
        <v>-82881.600000000006</v>
      </c>
      <c r="Y439" s="702">
        <f t="shared" si="60"/>
        <v>-243193.8723131287</v>
      </c>
      <c r="Z439" s="748">
        <v>96.206580759134184</v>
      </c>
      <c r="AA439" s="607">
        <f t="shared" si="61"/>
        <v>-143155.39216959168</v>
      </c>
      <c r="AB439" s="749">
        <f t="shared" si="62"/>
        <v>-182920.08014353702</v>
      </c>
      <c r="AC439" s="714"/>
    </row>
    <row r="440" spans="1:29" ht="15" customHeight="1" x14ac:dyDescent="0.25">
      <c r="A440" s="713"/>
      <c r="B440" s="714" t="s">
        <v>725</v>
      </c>
      <c r="C440" s="676" t="s">
        <v>40</v>
      </c>
      <c r="D440" s="676" t="s">
        <v>571</v>
      </c>
      <c r="E440" s="680">
        <v>44958</v>
      </c>
      <c r="F440" s="676">
        <v>672</v>
      </c>
      <c r="G440" s="676" t="s">
        <v>58</v>
      </c>
      <c r="H440" s="676" t="s">
        <v>3</v>
      </c>
      <c r="I440" s="676" t="s">
        <v>44</v>
      </c>
      <c r="J440" s="676" t="s">
        <v>84</v>
      </c>
      <c r="K440" s="676">
        <v>204</v>
      </c>
      <c r="L440" s="690" t="s">
        <v>54</v>
      </c>
      <c r="M440" s="691">
        <v>2</v>
      </c>
      <c r="N440" s="690">
        <v>0</v>
      </c>
      <c r="O440" s="691">
        <v>219.13674214591981</v>
      </c>
      <c r="P440" s="690">
        <v>0</v>
      </c>
      <c r="Q440" s="738">
        <f t="shared" si="54"/>
        <v>294519.7814441162</v>
      </c>
      <c r="R440" s="677">
        <f t="shared" si="55"/>
        <v>0</v>
      </c>
      <c r="S440" s="739">
        <f t="shared" si="56"/>
        <v>-294519.7814441162</v>
      </c>
      <c r="T440" s="738">
        <v>69.25</v>
      </c>
      <c r="U440" s="677">
        <f t="shared" si="57"/>
        <v>-93072</v>
      </c>
      <c r="V440" s="739">
        <f t="shared" si="58"/>
        <v>-201447.7814441162</v>
      </c>
      <c r="W440" s="740">
        <v>55.7</v>
      </c>
      <c r="X440" s="678">
        <f t="shared" si="59"/>
        <v>-74860.800000000003</v>
      </c>
      <c r="Y440" s="700">
        <f t="shared" si="60"/>
        <v>-219658.98144411622</v>
      </c>
      <c r="Z440" s="740">
        <v>92.430648861364247</v>
      </c>
      <c r="AA440" s="678">
        <f t="shared" si="61"/>
        <v>-124226.79206967355</v>
      </c>
      <c r="AB440" s="741">
        <f t="shared" si="62"/>
        <v>-170292.98937444267</v>
      </c>
      <c r="AC440" s="714"/>
    </row>
    <row r="441" spans="1:29" ht="15" customHeight="1" x14ac:dyDescent="0.25">
      <c r="A441" s="713"/>
      <c r="B441" s="714" t="s">
        <v>725</v>
      </c>
      <c r="C441" s="676" t="s">
        <v>40</v>
      </c>
      <c r="D441" s="676" t="s">
        <v>571</v>
      </c>
      <c r="E441" s="680">
        <v>44986</v>
      </c>
      <c r="F441" s="676">
        <v>744</v>
      </c>
      <c r="G441" s="676" t="s">
        <v>58</v>
      </c>
      <c r="H441" s="676" t="s">
        <v>3</v>
      </c>
      <c r="I441" s="676" t="s">
        <v>44</v>
      </c>
      <c r="J441" s="676" t="s">
        <v>84</v>
      </c>
      <c r="K441" s="676">
        <v>204</v>
      </c>
      <c r="L441" s="690" t="s">
        <v>54</v>
      </c>
      <c r="M441" s="691">
        <v>2</v>
      </c>
      <c r="N441" s="690">
        <v>0</v>
      </c>
      <c r="O441" s="691">
        <v>219.13674214591981</v>
      </c>
      <c r="P441" s="690">
        <v>0</v>
      </c>
      <c r="Q441" s="738">
        <f t="shared" si="54"/>
        <v>326075.4723131287</v>
      </c>
      <c r="R441" s="677">
        <f t="shared" si="55"/>
        <v>0</v>
      </c>
      <c r="S441" s="739">
        <f t="shared" si="56"/>
        <v>-326075.4723131287</v>
      </c>
      <c r="T441" s="738">
        <v>69.3</v>
      </c>
      <c r="U441" s="677">
        <f t="shared" si="57"/>
        <v>-103118.39999999999</v>
      </c>
      <c r="V441" s="739">
        <f t="shared" si="58"/>
        <v>-222957.07231312871</v>
      </c>
      <c r="W441" s="740">
        <v>55.7</v>
      </c>
      <c r="X441" s="678">
        <f t="shared" si="59"/>
        <v>-82881.600000000006</v>
      </c>
      <c r="Y441" s="700">
        <f t="shared" si="60"/>
        <v>-243193.8723131287</v>
      </c>
      <c r="Z441" s="740">
        <v>89.053218420260009</v>
      </c>
      <c r="AA441" s="678">
        <f t="shared" si="61"/>
        <v>-132511.18900934688</v>
      </c>
      <c r="AB441" s="741">
        <f t="shared" si="62"/>
        <v>-193564.28330378182</v>
      </c>
      <c r="AC441" s="714"/>
    </row>
    <row r="442" spans="1:29" ht="15" customHeight="1" x14ac:dyDescent="0.25">
      <c r="A442" s="713"/>
      <c r="B442" s="714" t="s">
        <v>725</v>
      </c>
      <c r="C442" s="676" t="s">
        <v>40</v>
      </c>
      <c r="D442" s="676" t="s">
        <v>571</v>
      </c>
      <c r="E442" s="680">
        <v>45017</v>
      </c>
      <c r="F442" s="676">
        <v>720</v>
      </c>
      <c r="G442" s="676" t="s">
        <v>58</v>
      </c>
      <c r="H442" s="676" t="s">
        <v>3</v>
      </c>
      <c r="I442" s="676" t="s">
        <v>44</v>
      </c>
      <c r="J442" s="676" t="s">
        <v>84</v>
      </c>
      <c r="K442" s="676">
        <v>204</v>
      </c>
      <c r="L442" s="690" t="s">
        <v>54</v>
      </c>
      <c r="M442" s="691">
        <v>2</v>
      </c>
      <c r="N442" s="690">
        <v>0</v>
      </c>
      <c r="O442" s="691">
        <v>219.13674214591981</v>
      </c>
      <c r="P442" s="690">
        <v>0</v>
      </c>
      <c r="Q442" s="738">
        <f t="shared" si="54"/>
        <v>315556.90869012452</v>
      </c>
      <c r="R442" s="677">
        <f t="shared" si="55"/>
        <v>0</v>
      </c>
      <c r="S442" s="739">
        <f t="shared" si="56"/>
        <v>-315556.90869012452</v>
      </c>
      <c r="T442" s="738">
        <v>69.8</v>
      </c>
      <c r="U442" s="677">
        <f t="shared" si="57"/>
        <v>-100512</v>
      </c>
      <c r="V442" s="739">
        <f t="shared" si="58"/>
        <v>-215044.90869012452</v>
      </c>
      <c r="W442" s="740">
        <v>55.7</v>
      </c>
      <c r="X442" s="678">
        <f t="shared" si="59"/>
        <v>-80208</v>
      </c>
      <c r="Y442" s="700">
        <f t="shared" si="60"/>
        <v>-235348.90869012452</v>
      </c>
      <c r="Z442" s="740">
        <v>85.732008718771311</v>
      </c>
      <c r="AA442" s="678">
        <f t="shared" si="61"/>
        <v>-123454.09255503069</v>
      </c>
      <c r="AB442" s="741">
        <f t="shared" si="62"/>
        <v>-192102.81613509383</v>
      </c>
      <c r="AC442" s="714"/>
    </row>
    <row r="443" spans="1:29" ht="15" customHeight="1" x14ac:dyDescent="0.25">
      <c r="A443" s="713"/>
      <c r="B443" s="714" t="s">
        <v>725</v>
      </c>
      <c r="C443" s="676" t="s">
        <v>40</v>
      </c>
      <c r="D443" s="676" t="s">
        <v>571</v>
      </c>
      <c r="E443" s="680">
        <v>45047</v>
      </c>
      <c r="F443" s="676">
        <v>744</v>
      </c>
      <c r="G443" s="676" t="s">
        <v>58</v>
      </c>
      <c r="H443" s="676" t="s">
        <v>3</v>
      </c>
      <c r="I443" s="676" t="s">
        <v>44</v>
      </c>
      <c r="J443" s="676" t="s">
        <v>84</v>
      </c>
      <c r="K443" s="676">
        <v>204</v>
      </c>
      <c r="L443" s="690" t="s">
        <v>54</v>
      </c>
      <c r="M443" s="691">
        <v>2</v>
      </c>
      <c r="N443" s="690">
        <v>0</v>
      </c>
      <c r="O443" s="691">
        <v>219.13674214591981</v>
      </c>
      <c r="P443" s="690">
        <v>0</v>
      </c>
      <c r="Q443" s="738">
        <f t="shared" si="54"/>
        <v>326075.4723131287</v>
      </c>
      <c r="R443" s="677">
        <f t="shared" si="55"/>
        <v>0</v>
      </c>
      <c r="S443" s="739">
        <f t="shared" si="56"/>
        <v>-326075.4723131287</v>
      </c>
      <c r="T443" s="738">
        <v>70.2</v>
      </c>
      <c r="U443" s="677">
        <f t="shared" si="57"/>
        <v>-104457.60000000001</v>
      </c>
      <c r="V443" s="739">
        <f t="shared" si="58"/>
        <v>-221617.8723131287</v>
      </c>
      <c r="W443" s="740">
        <v>55.7</v>
      </c>
      <c r="X443" s="678">
        <f t="shared" si="59"/>
        <v>-82881.600000000006</v>
      </c>
      <c r="Y443" s="700">
        <f t="shared" si="60"/>
        <v>-243193.8723131287</v>
      </c>
      <c r="Z443" s="740">
        <v>86.223309628334476</v>
      </c>
      <c r="AA443" s="678">
        <f t="shared" si="61"/>
        <v>-128300.28472696171</v>
      </c>
      <c r="AB443" s="741">
        <f t="shared" si="62"/>
        <v>-197775.18758616701</v>
      </c>
      <c r="AC443" s="714"/>
    </row>
    <row r="444" spans="1:29" ht="15" customHeight="1" x14ac:dyDescent="0.25">
      <c r="A444" s="713"/>
      <c r="B444" s="714" t="s">
        <v>725</v>
      </c>
      <c r="C444" s="676" t="s">
        <v>40</v>
      </c>
      <c r="D444" s="676" t="s">
        <v>571</v>
      </c>
      <c r="E444" s="680">
        <v>45078</v>
      </c>
      <c r="F444" s="676">
        <v>720</v>
      </c>
      <c r="G444" s="676" t="s">
        <v>58</v>
      </c>
      <c r="H444" s="676" t="s">
        <v>3</v>
      </c>
      <c r="I444" s="676" t="s">
        <v>44</v>
      </c>
      <c r="J444" s="676" t="s">
        <v>84</v>
      </c>
      <c r="K444" s="676">
        <v>204</v>
      </c>
      <c r="L444" s="690" t="s">
        <v>54</v>
      </c>
      <c r="M444" s="691">
        <v>2</v>
      </c>
      <c r="N444" s="690">
        <v>0</v>
      </c>
      <c r="O444" s="691">
        <v>219.13674214591981</v>
      </c>
      <c r="P444" s="690">
        <v>0</v>
      </c>
      <c r="Q444" s="738">
        <f t="shared" si="54"/>
        <v>315556.90869012452</v>
      </c>
      <c r="R444" s="677">
        <f t="shared" si="55"/>
        <v>0</v>
      </c>
      <c r="S444" s="739">
        <f t="shared" si="56"/>
        <v>-315556.90869012452</v>
      </c>
      <c r="T444" s="738">
        <v>72.400000000000006</v>
      </c>
      <c r="U444" s="677">
        <f t="shared" si="57"/>
        <v>-104256.00000000001</v>
      </c>
      <c r="V444" s="739">
        <f t="shared" si="58"/>
        <v>-211300.90869012452</v>
      </c>
      <c r="W444" s="740">
        <v>55.874535369068141</v>
      </c>
      <c r="X444" s="678">
        <f t="shared" si="59"/>
        <v>-80459.330931458127</v>
      </c>
      <c r="Y444" s="700">
        <f t="shared" si="60"/>
        <v>-235097.57775866639</v>
      </c>
      <c r="Z444" s="740">
        <v>88.925464630931856</v>
      </c>
      <c r="AA444" s="678">
        <f t="shared" si="61"/>
        <v>-128052.66906854187</v>
      </c>
      <c r="AB444" s="741">
        <f t="shared" si="62"/>
        <v>-187504.23962158264</v>
      </c>
      <c r="AC444" s="714"/>
    </row>
    <row r="445" spans="1:29" ht="15" customHeight="1" x14ac:dyDescent="0.25">
      <c r="A445" s="713"/>
      <c r="B445" s="714" t="s">
        <v>725</v>
      </c>
      <c r="C445" s="676" t="s">
        <v>40</v>
      </c>
      <c r="D445" s="676" t="s">
        <v>571</v>
      </c>
      <c r="E445" s="680">
        <v>45108</v>
      </c>
      <c r="F445" s="676">
        <v>744</v>
      </c>
      <c r="G445" s="676" t="s">
        <v>58</v>
      </c>
      <c r="H445" s="676" t="s">
        <v>3</v>
      </c>
      <c r="I445" s="676" t="s">
        <v>44</v>
      </c>
      <c r="J445" s="676" t="s">
        <v>84</v>
      </c>
      <c r="K445" s="676">
        <v>204</v>
      </c>
      <c r="L445" s="690" t="s">
        <v>54</v>
      </c>
      <c r="M445" s="691">
        <v>2</v>
      </c>
      <c r="N445" s="690">
        <v>0</v>
      </c>
      <c r="O445" s="691">
        <v>219.13674214591981</v>
      </c>
      <c r="P445" s="690">
        <v>0</v>
      </c>
      <c r="Q445" s="738">
        <f t="shared" si="54"/>
        <v>326075.4723131287</v>
      </c>
      <c r="R445" s="677">
        <f t="shared" si="55"/>
        <v>0</v>
      </c>
      <c r="S445" s="739">
        <f t="shared" si="56"/>
        <v>-326075.4723131287</v>
      </c>
      <c r="T445" s="738">
        <v>77.150000000000006</v>
      </c>
      <c r="U445" s="677">
        <f t="shared" si="57"/>
        <v>-114799.20000000001</v>
      </c>
      <c r="V445" s="739">
        <f t="shared" si="58"/>
        <v>-211276.27231312869</v>
      </c>
      <c r="W445" s="740">
        <v>59.54033706800562</v>
      </c>
      <c r="X445" s="678">
        <f t="shared" si="59"/>
        <v>-88596.021557192362</v>
      </c>
      <c r="Y445" s="700">
        <f t="shared" si="60"/>
        <v>-237479.45075593633</v>
      </c>
      <c r="Z445" s="740">
        <v>94.759662931994384</v>
      </c>
      <c r="AA445" s="678">
        <f t="shared" si="61"/>
        <v>-141002.37844280765</v>
      </c>
      <c r="AB445" s="741">
        <f t="shared" si="62"/>
        <v>-185073.09387032106</v>
      </c>
      <c r="AC445" s="714"/>
    </row>
    <row r="446" spans="1:29" ht="15" customHeight="1" x14ac:dyDescent="0.25">
      <c r="A446" s="713"/>
      <c r="B446" s="714" t="s">
        <v>725</v>
      </c>
      <c r="C446" s="676" t="s">
        <v>40</v>
      </c>
      <c r="D446" s="676" t="s">
        <v>571</v>
      </c>
      <c r="E446" s="680">
        <v>45139</v>
      </c>
      <c r="F446" s="676">
        <v>744</v>
      </c>
      <c r="G446" s="676" t="s">
        <v>58</v>
      </c>
      <c r="H446" s="676" t="s">
        <v>3</v>
      </c>
      <c r="I446" s="676" t="s">
        <v>44</v>
      </c>
      <c r="J446" s="676" t="s">
        <v>84</v>
      </c>
      <c r="K446" s="676">
        <v>204</v>
      </c>
      <c r="L446" s="690" t="s">
        <v>54</v>
      </c>
      <c r="M446" s="691">
        <v>2</v>
      </c>
      <c r="N446" s="690">
        <v>0</v>
      </c>
      <c r="O446" s="691">
        <v>219.13674214591981</v>
      </c>
      <c r="P446" s="690">
        <v>0</v>
      </c>
      <c r="Q446" s="738">
        <f t="shared" si="54"/>
        <v>326075.4723131287</v>
      </c>
      <c r="R446" s="677">
        <f t="shared" si="55"/>
        <v>0</v>
      </c>
      <c r="S446" s="739">
        <f t="shared" si="56"/>
        <v>-326075.4723131287</v>
      </c>
      <c r="T446" s="738">
        <v>77.150000000000006</v>
      </c>
      <c r="U446" s="677">
        <f t="shared" si="57"/>
        <v>-114799.20000000001</v>
      </c>
      <c r="V446" s="739">
        <f t="shared" si="58"/>
        <v>-211276.27231312869</v>
      </c>
      <c r="W446" s="740">
        <v>59.54033706800562</v>
      </c>
      <c r="X446" s="678">
        <f t="shared" si="59"/>
        <v>-88596.021557192362</v>
      </c>
      <c r="Y446" s="700">
        <f t="shared" si="60"/>
        <v>-237479.45075593633</v>
      </c>
      <c r="Z446" s="740">
        <v>94.759662931994384</v>
      </c>
      <c r="AA446" s="678">
        <f t="shared" si="61"/>
        <v>-141002.37844280765</v>
      </c>
      <c r="AB446" s="741">
        <f t="shared" si="62"/>
        <v>-185073.09387032106</v>
      </c>
      <c r="AC446" s="714"/>
    </row>
    <row r="447" spans="1:29" ht="15" customHeight="1" x14ac:dyDescent="0.25">
      <c r="A447" s="713"/>
      <c r="B447" s="714" t="s">
        <v>725</v>
      </c>
      <c r="C447" s="676" t="s">
        <v>40</v>
      </c>
      <c r="D447" s="676" t="s">
        <v>571</v>
      </c>
      <c r="E447" s="680">
        <v>45170</v>
      </c>
      <c r="F447" s="676">
        <v>720</v>
      </c>
      <c r="G447" s="676" t="s">
        <v>58</v>
      </c>
      <c r="H447" s="676" t="s">
        <v>3</v>
      </c>
      <c r="I447" s="676" t="s">
        <v>44</v>
      </c>
      <c r="J447" s="676" t="s">
        <v>84</v>
      </c>
      <c r="K447" s="676">
        <v>204</v>
      </c>
      <c r="L447" s="690" t="s">
        <v>54</v>
      </c>
      <c r="M447" s="691">
        <v>2</v>
      </c>
      <c r="N447" s="690">
        <v>0</v>
      </c>
      <c r="O447" s="691">
        <v>219.13674214591981</v>
      </c>
      <c r="P447" s="690">
        <v>0</v>
      </c>
      <c r="Q447" s="738">
        <f t="shared" si="54"/>
        <v>315556.90869012452</v>
      </c>
      <c r="R447" s="677">
        <f t="shared" si="55"/>
        <v>0</v>
      </c>
      <c r="S447" s="739">
        <f t="shared" si="56"/>
        <v>-315556.90869012452</v>
      </c>
      <c r="T447" s="738">
        <v>77.150000000000006</v>
      </c>
      <c r="U447" s="677">
        <f t="shared" si="57"/>
        <v>-111096.00000000001</v>
      </c>
      <c r="V447" s="739">
        <f t="shared" si="58"/>
        <v>-204460.90869012452</v>
      </c>
      <c r="W447" s="740">
        <v>59.54033706800562</v>
      </c>
      <c r="X447" s="678">
        <f t="shared" si="59"/>
        <v>-85738.085377928088</v>
      </c>
      <c r="Y447" s="700">
        <f t="shared" si="60"/>
        <v>-229818.82331219641</v>
      </c>
      <c r="Z447" s="740">
        <v>94.759662931994384</v>
      </c>
      <c r="AA447" s="678">
        <f t="shared" si="61"/>
        <v>-136453.91462207193</v>
      </c>
      <c r="AB447" s="741">
        <f t="shared" si="62"/>
        <v>-179102.99406805259</v>
      </c>
      <c r="AC447" s="714"/>
    </row>
    <row r="448" spans="1:29" ht="15" customHeight="1" x14ac:dyDescent="0.25">
      <c r="A448" s="713"/>
      <c r="B448" s="714" t="s">
        <v>725</v>
      </c>
      <c r="C448" s="676" t="s">
        <v>40</v>
      </c>
      <c r="D448" s="676" t="s">
        <v>571</v>
      </c>
      <c r="E448" s="680">
        <v>45200</v>
      </c>
      <c r="F448" s="676">
        <v>744</v>
      </c>
      <c r="G448" s="676" t="s">
        <v>58</v>
      </c>
      <c r="H448" s="676" t="s">
        <v>3</v>
      </c>
      <c r="I448" s="676" t="s">
        <v>44</v>
      </c>
      <c r="J448" s="676" t="s">
        <v>84</v>
      </c>
      <c r="K448" s="676">
        <v>204</v>
      </c>
      <c r="L448" s="690" t="s">
        <v>54</v>
      </c>
      <c r="M448" s="691">
        <v>2</v>
      </c>
      <c r="N448" s="690">
        <v>0</v>
      </c>
      <c r="O448" s="691">
        <v>219.13674214591981</v>
      </c>
      <c r="P448" s="690">
        <v>0</v>
      </c>
      <c r="Q448" s="738">
        <f t="shared" si="54"/>
        <v>326075.4723131287</v>
      </c>
      <c r="R448" s="677">
        <f t="shared" si="55"/>
        <v>0</v>
      </c>
      <c r="S448" s="739">
        <f t="shared" si="56"/>
        <v>-326075.4723131287</v>
      </c>
      <c r="T448" s="738">
        <v>80.45</v>
      </c>
      <c r="U448" s="677">
        <f t="shared" si="57"/>
        <v>-119709.6</v>
      </c>
      <c r="V448" s="739">
        <f t="shared" si="58"/>
        <v>-206365.8723131287</v>
      </c>
      <c r="W448" s="740">
        <v>62.087104564109552</v>
      </c>
      <c r="X448" s="678">
        <f t="shared" si="59"/>
        <v>-92385.61159139502</v>
      </c>
      <c r="Y448" s="700">
        <f t="shared" si="60"/>
        <v>-233689.86072173368</v>
      </c>
      <c r="Z448" s="740">
        <v>98.812895435890439</v>
      </c>
      <c r="AA448" s="678">
        <f t="shared" si="61"/>
        <v>-147033.58840860496</v>
      </c>
      <c r="AB448" s="741">
        <f t="shared" si="62"/>
        <v>-179041.88390452374</v>
      </c>
      <c r="AC448" s="714"/>
    </row>
    <row r="449" spans="1:29" ht="15" customHeight="1" x14ac:dyDescent="0.25">
      <c r="A449" s="713"/>
      <c r="B449" s="714" t="s">
        <v>725</v>
      </c>
      <c r="C449" s="676" t="s">
        <v>40</v>
      </c>
      <c r="D449" s="676" t="s">
        <v>571</v>
      </c>
      <c r="E449" s="680">
        <v>45231</v>
      </c>
      <c r="F449" s="676">
        <v>720</v>
      </c>
      <c r="G449" s="676" t="s">
        <v>58</v>
      </c>
      <c r="H449" s="676" t="s">
        <v>3</v>
      </c>
      <c r="I449" s="676" t="s">
        <v>44</v>
      </c>
      <c r="J449" s="676" t="s">
        <v>84</v>
      </c>
      <c r="K449" s="676">
        <v>204</v>
      </c>
      <c r="L449" s="690" t="s">
        <v>54</v>
      </c>
      <c r="M449" s="691">
        <v>2</v>
      </c>
      <c r="N449" s="690">
        <v>0</v>
      </c>
      <c r="O449" s="691">
        <v>219.13674214591981</v>
      </c>
      <c r="P449" s="690">
        <v>0</v>
      </c>
      <c r="Q449" s="738">
        <f t="shared" si="54"/>
        <v>315556.90869012452</v>
      </c>
      <c r="R449" s="677">
        <f t="shared" si="55"/>
        <v>0</v>
      </c>
      <c r="S449" s="739">
        <f t="shared" si="56"/>
        <v>-315556.90869012452</v>
      </c>
      <c r="T449" s="738">
        <v>80.45</v>
      </c>
      <c r="U449" s="677">
        <f t="shared" si="57"/>
        <v>-115848</v>
      </c>
      <c r="V449" s="739">
        <f t="shared" si="58"/>
        <v>-199708.90869012452</v>
      </c>
      <c r="W449" s="740">
        <v>62.087104564109552</v>
      </c>
      <c r="X449" s="678">
        <f t="shared" si="59"/>
        <v>-89405.430572317753</v>
      </c>
      <c r="Y449" s="700">
        <f t="shared" si="60"/>
        <v>-226151.47811780678</v>
      </c>
      <c r="Z449" s="740">
        <v>98.812895435890439</v>
      </c>
      <c r="AA449" s="678">
        <f t="shared" si="61"/>
        <v>-142290.56942768223</v>
      </c>
      <c r="AB449" s="741">
        <f t="shared" si="62"/>
        <v>-173266.33926244228</v>
      </c>
      <c r="AC449" s="714"/>
    </row>
    <row r="450" spans="1:29" ht="15" customHeight="1" x14ac:dyDescent="0.25">
      <c r="A450" s="713"/>
      <c r="B450" s="729" t="s">
        <v>725</v>
      </c>
      <c r="C450" s="545" t="s">
        <v>40</v>
      </c>
      <c r="D450" s="545" t="s">
        <v>571</v>
      </c>
      <c r="E450" s="681">
        <v>45261</v>
      </c>
      <c r="F450" s="545">
        <v>744</v>
      </c>
      <c r="G450" s="545" t="s">
        <v>58</v>
      </c>
      <c r="H450" s="545" t="s">
        <v>3</v>
      </c>
      <c r="I450" s="545" t="s">
        <v>44</v>
      </c>
      <c r="J450" s="545" t="s">
        <v>84</v>
      </c>
      <c r="K450" s="545">
        <v>204</v>
      </c>
      <c r="L450" s="725" t="s">
        <v>54</v>
      </c>
      <c r="M450" s="695">
        <v>2</v>
      </c>
      <c r="N450" s="725">
        <v>0</v>
      </c>
      <c r="O450" s="695">
        <v>219.13674214591981</v>
      </c>
      <c r="P450" s="725">
        <v>0</v>
      </c>
      <c r="Q450" s="742">
        <f t="shared" si="54"/>
        <v>326075.4723131287</v>
      </c>
      <c r="R450" s="603">
        <f t="shared" si="55"/>
        <v>0</v>
      </c>
      <c r="S450" s="743">
        <f t="shared" si="56"/>
        <v>-326075.4723131287</v>
      </c>
      <c r="T450" s="742">
        <v>80.45</v>
      </c>
      <c r="U450" s="603">
        <f t="shared" si="57"/>
        <v>-119709.6</v>
      </c>
      <c r="V450" s="743">
        <f t="shared" si="58"/>
        <v>-206365.8723131287</v>
      </c>
      <c r="W450" s="744">
        <v>62.087104564109552</v>
      </c>
      <c r="X450" s="604">
        <f t="shared" si="59"/>
        <v>-92385.61159139502</v>
      </c>
      <c r="Y450" s="701">
        <f t="shared" si="60"/>
        <v>-233689.86072173368</v>
      </c>
      <c r="Z450" s="744">
        <v>98.812895435890439</v>
      </c>
      <c r="AA450" s="604">
        <f t="shared" si="61"/>
        <v>-147033.58840860496</v>
      </c>
      <c r="AB450" s="745">
        <f t="shared" si="62"/>
        <v>-179041.88390452374</v>
      </c>
      <c r="AC450" s="714"/>
    </row>
    <row r="451" spans="1:29" ht="15" customHeight="1" x14ac:dyDescent="0.25">
      <c r="A451" s="713"/>
      <c r="B451" s="731" t="s">
        <v>727</v>
      </c>
      <c r="C451" s="547" t="s">
        <v>40</v>
      </c>
      <c r="D451" s="547" t="s">
        <v>348</v>
      </c>
      <c r="E451" s="683">
        <v>44896</v>
      </c>
      <c r="F451" s="547">
        <v>744</v>
      </c>
      <c r="G451" s="547" t="s">
        <v>58</v>
      </c>
      <c r="H451" s="547" t="s">
        <v>3</v>
      </c>
      <c r="I451" s="547" t="s">
        <v>44</v>
      </c>
      <c r="J451" s="547" t="s">
        <v>84</v>
      </c>
      <c r="K451" s="547">
        <v>225</v>
      </c>
      <c r="L451" s="727" t="s">
        <v>54</v>
      </c>
      <c r="M451" s="697">
        <v>30</v>
      </c>
      <c r="N451" s="727">
        <v>0</v>
      </c>
      <c r="O451" s="697">
        <v>225</v>
      </c>
      <c r="P451" s="727">
        <v>0</v>
      </c>
      <c r="Q451" s="750">
        <f t="shared" ref="Q451:Q514" si="63">(O451*(M451*F451))</f>
        <v>5022000</v>
      </c>
      <c r="R451" s="608">
        <f t="shared" ref="R451:R514" si="64">(P451*(N451*F451))</f>
        <v>0</v>
      </c>
      <c r="S451" s="751">
        <f t="shared" ref="S451:S514" si="65">R451-Q451</f>
        <v>-5022000</v>
      </c>
      <c r="T451" s="750">
        <v>55.7</v>
      </c>
      <c r="U451" s="608">
        <f t="shared" ref="U451:U514" si="66">(((F451*N451)*T451)-(T451*(M451*F451)))</f>
        <v>-1243224</v>
      </c>
      <c r="V451" s="751">
        <f t="shared" ref="V451:V514" si="67">S451-U451</f>
        <v>-3778776</v>
      </c>
      <c r="W451" s="752">
        <v>55.7</v>
      </c>
      <c r="X451" s="609">
        <f t="shared" ref="X451:X514" si="68">(((F451*N451)*W451)-(W451*(M451*F451)))</f>
        <v>-1243224</v>
      </c>
      <c r="Y451" s="703">
        <f t="shared" ref="Y451:Y514" si="69">S451-X451</f>
        <v>-3778776</v>
      </c>
      <c r="Z451" s="752">
        <v>78.400653594793155</v>
      </c>
      <c r="AA451" s="609">
        <f t="shared" ref="AA451:AA514" si="70">(((F451*N451)*Z451)-(Z451*(M451*F451)))</f>
        <v>-1749902.5882357832</v>
      </c>
      <c r="AB451" s="753">
        <f t="shared" ref="AB451:AB514" si="71">S451-AA451</f>
        <v>-3272097.4117642166</v>
      </c>
      <c r="AC451" s="714"/>
    </row>
    <row r="452" spans="1:29" ht="15" customHeight="1" x14ac:dyDescent="0.25">
      <c r="A452" s="713"/>
      <c r="B452" s="731" t="s">
        <v>729</v>
      </c>
      <c r="C452" s="547" t="s">
        <v>40</v>
      </c>
      <c r="D452" s="547" t="s">
        <v>348</v>
      </c>
      <c r="E452" s="683">
        <v>44866</v>
      </c>
      <c r="F452" s="547">
        <v>720</v>
      </c>
      <c r="G452" s="547" t="s">
        <v>59</v>
      </c>
      <c r="H452" s="547" t="s">
        <v>3</v>
      </c>
      <c r="I452" s="547" t="s">
        <v>44</v>
      </c>
      <c r="J452" s="547" t="s">
        <v>85</v>
      </c>
      <c r="K452" s="547">
        <v>250</v>
      </c>
      <c r="L452" s="727" t="s">
        <v>54</v>
      </c>
      <c r="M452" s="697">
        <v>0</v>
      </c>
      <c r="N452" s="727">
        <v>15.5</v>
      </c>
      <c r="O452" s="697">
        <v>0</v>
      </c>
      <c r="P452" s="727">
        <v>250</v>
      </c>
      <c r="Q452" s="750">
        <f t="shared" si="63"/>
        <v>0</v>
      </c>
      <c r="R452" s="608">
        <f t="shared" si="64"/>
        <v>2790000</v>
      </c>
      <c r="S452" s="751">
        <f t="shared" si="65"/>
        <v>2790000</v>
      </c>
      <c r="T452" s="750">
        <v>55.7</v>
      </c>
      <c r="U452" s="608">
        <f t="shared" si="66"/>
        <v>621612</v>
      </c>
      <c r="V452" s="751">
        <f t="shared" si="67"/>
        <v>2168388</v>
      </c>
      <c r="W452" s="752">
        <v>55.7</v>
      </c>
      <c r="X452" s="609">
        <f t="shared" si="68"/>
        <v>621612</v>
      </c>
      <c r="Y452" s="703">
        <f t="shared" si="69"/>
        <v>2168388</v>
      </c>
      <c r="Z452" s="752">
        <v>55.7</v>
      </c>
      <c r="AA452" s="609">
        <f t="shared" si="70"/>
        <v>621612</v>
      </c>
      <c r="AB452" s="753">
        <f t="shared" si="71"/>
        <v>2168388</v>
      </c>
      <c r="AC452" s="714"/>
    </row>
    <row r="453" spans="1:29" ht="15" customHeight="1" x14ac:dyDescent="0.25">
      <c r="A453" s="713"/>
      <c r="B453" s="731" t="s">
        <v>731</v>
      </c>
      <c r="C453" s="547" t="s">
        <v>40</v>
      </c>
      <c r="D453" s="547" t="s">
        <v>348</v>
      </c>
      <c r="E453" s="683">
        <v>44835</v>
      </c>
      <c r="F453" s="547">
        <v>744</v>
      </c>
      <c r="G453" s="547" t="s">
        <v>59</v>
      </c>
      <c r="H453" s="547" t="s">
        <v>3</v>
      </c>
      <c r="I453" s="547" t="s">
        <v>44</v>
      </c>
      <c r="J453" s="547" t="s">
        <v>85</v>
      </c>
      <c r="K453" s="547">
        <v>250</v>
      </c>
      <c r="L453" s="727" t="s">
        <v>54</v>
      </c>
      <c r="M453" s="697">
        <v>0</v>
      </c>
      <c r="N453" s="727">
        <v>15</v>
      </c>
      <c r="O453" s="697">
        <v>0</v>
      </c>
      <c r="P453" s="727">
        <v>250</v>
      </c>
      <c r="Q453" s="750">
        <f t="shared" si="63"/>
        <v>0</v>
      </c>
      <c r="R453" s="608">
        <f t="shared" si="64"/>
        <v>2790000</v>
      </c>
      <c r="S453" s="751">
        <f t="shared" si="65"/>
        <v>2790000</v>
      </c>
      <c r="T453" s="750">
        <v>55.7</v>
      </c>
      <c r="U453" s="608">
        <f t="shared" si="66"/>
        <v>621612</v>
      </c>
      <c r="V453" s="751">
        <f t="shared" si="67"/>
        <v>2168388</v>
      </c>
      <c r="W453" s="752">
        <v>55.7</v>
      </c>
      <c r="X453" s="609">
        <f t="shared" si="68"/>
        <v>621612</v>
      </c>
      <c r="Y453" s="703">
        <f t="shared" si="69"/>
        <v>2168388</v>
      </c>
      <c r="Z453" s="752">
        <v>55.7</v>
      </c>
      <c r="AA453" s="609">
        <f t="shared" si="70"/>
        <v>621612</v>
      </c>
      <c r="AB453" s="753">
        <f t="shared" si="71"/>
        <v>2168388</v>
      </c>
      <c r="AC453" s="714"/>
    </row>
    <row r="454" spans="1:29" ht="15" customHeight="1" x14ac:dyDescent="0.25">
      <c r="A454" s="713"/>
      <c r="B454" s="731" t="s">
        <v>733</v>
      </c>
      <c r="C454" s="547" t="s">
        <v>40</v>
      </c>
      <c r="D454" s="547" t="s">
        <v>478</v>
      </c>
      <c r="E454" s="683">
        <v>44896</v>
      </c>
      <c r="F454" s="547">
        <v>744</v>
      </c>
      <c r="G454" s="547" t="s">
        <v>58</v>
      </c>
      <c r="H454" s="547" t="s">
        <v>3</v>
      </c>
      <c r="I454" s="547" t="s">
        <v>44</v>
      </c>
      <c r="J454" s="547" t="s">
        <v>84</v>
      </c>
      <c r="K454" s="547">
        <v>218</v>
      </c>
      <c r="L454" s="727" t="s">
        <v>54</v>
      </c>
      <c r="M454" s="697">
        <v>10</v>
      </c>
      <c r="N454" s="727">
        <v>0</v>
      </c>
      <c r="O454" s="697">
        <v>218</v>
      </c>
      <c r="P454" s="727">
        <v>0</v>
      </c>
      <c r="Q454" s="750">
        <f t="shared" si="63"/>
        <v>1621920</v>
      </c>
      <c r="R454" s="608">
        <f t="shared" si="64"/>
        <v>0</v>
      </c>
      <c r="S454" s="751">
        <f t="shared" si="65"/>
        <v>-1621920</v>
      </c>
      <c r="T454" s="750">
        <v>55.7</v>
      </c>
      <c r="U454" s="608">
        <f t="shared" si="66"/>
        <v>-414408</v>
      </c>
      <c r="V454" s="751">
        <f t="shared" si="67"/>
        <v>-1207512</v>
      </c>
      <c r="W454" s="752">
        <v>55.7</v>
      </c>
      <c r="X454" s="609">
        <f t="shared" si="68"/>
        <v>-414408</v>
      </c>
      <c r="Y454" s="703">
        <f t="shared" si="69"/>
        <v>-1207512</v>
      </c>
      <c r="Z454" s="752">
        <v>78.400653594793155</v>
      </c>
      <c r="AA454" s="609">
        <f t="shared" si="70"/>
        <v>-583300.86274526105</v>
      </c>
      <c r="AB454" s="753">
        <f t="shared" si="71"/>
        <v>-1038619.1372547389</v>
      </c>
      <c r="AC454" s="714"/>
    </row>
    <row r="455" spans="1:29" ht="15" customHeight="1" x14ac:dyDescent="0.25">
      <c r="A455" s="713"/>
      <c r="B455" s="730" t="s">
        <v>735</v>
      </c>
      <c r="C455" s="546" t="s">
        <v>40</v>
      </c>
      <c r="D455" s="546" t="s">
        <v>478</v>
      </c>
      <c r="E455" s="682">
        <v>44835</v>
      </c>
      <c r="F455" s="546">
        <v>744</v>
      </c>
      <c r="G455" s="546" t="s">
        <v>59</v>
      </c>
      <c r="H455" s="546" t="s">
        <v>3</v>
      </c>
      <c r="I455" s="546" t="s">
        <v>44</v>
      </c>
      <c r="J455" s="546" t="s">
        <v>85</v>
      </c>
      <c r="K455" s="546">
        <v>240</v>
      </c>
      <c r="L455" s="726" t="s">
        <v>54</v>
      </c>
      <c r="M455" s="696">
        <v>0</v>
      </c>
      <c r="N455" s="726">
        <v>5</v>
      </c>
      <c r="O455" s="696">
        <v>0</v>
      </c>
      <c r="P455" s="726">
        <v>240</v>
      </c>
      <c r="Q455" s="746">
        <f t="shared" si="63"/>
        <v>0</v>
      </c>
      <c r="R455" s="606">
        <f t="shared" si="64"/>
        <v>892800</v>
      </c>
      <c r="S455" s="747">
        <f t="shared" si="65"/>
        <v>892800</v>
      </c>
      <c r="T455" s="746">
        <v>55.7</v>
      </c>
      <c r="U455" s="606">
        <f t="shared" si="66"/>
        <v>207204</v>
      </c>
      <c r="V455" s="747">
        <f t="shared" si="67"/>
        <v>685596</v>
      </c>
      <c r="W455" s="748">
        <v>55.7</v>
      </c>
      <c r="X455" s="607">
        <f t="shared" si="68"/>
        <v>207204</v>
      </c>
      <c r="Y455" s="702">
        <f t="shared" si="69"/>
        <v>685596</v>
      </c>
      <c r="Z455" s="748">
        <v>55.7</v>
      </c>
      <c r="AA455" s="607">
        <f t="shared" si="70"/>
        <v>207204</v>
      </c>
      <c r="AB455" s="749">
        <f t="shared" si="71"/>
        <v>685596</v>
      </c>
      <c r="AC455" s="714"/>
    </row>
    <row r="456" spans="1:29" ht="15" customHeight="1" x14ac:dyDescent="0.25">
      <c r="A456" s="713"/>
      <c r="B456" s="729" t="s">
        <v>735</v>
      </c>
      <c r="C456" s="545" t="s">
        <v>40</v>
      </c>
      <c r="D456" s="545" t="s">
        <v>478</v>
      </c>
      <c r="E456" s="681">
        <v>44866</v>
      </c>
      <c r="F456" s="545">
        <v>720</v>
      </c>
      <c r="G456" s="545" t="s">
        <v>59</v>
      </c>
      <c r="H456" s="545" t="s">
        <v>3</v>
      </c>
      <c r="I456" s="545" t="s">
        <v>44</v>
      </c>
      <c r="J456" s="545" t="s">
        <v>85</v>
      </c>
      <c r="K456" s="545">
        <v>240</v>
      </c>
      <c r="L456" s="725" t="s">
        <v>54</v>
      </c>
      <c r="M456" s="695">
        <v>0</v>
      </c>
      <c r="N456" s="725">
        <v>5</v>
      </c>
      <c r="O456" s="695">
        <v>0</v>
      </c>
      <c r="P456" s="725">
        <v>240</v>
      </c>
      <c r="Q456" s="742">
        <f t="shared" si="63"/>
        <v>0</v>
      </c>
      <c r="R456" s="603">
        <f t="shared" si="64"/>
        <v>864000</v>
      </c>
      <c r="S456" s="743">
        <f t="shared" si="65"/>
        <v>864000</v>
      </c>
      <c r="T456" s="742">
        <v>55.7</v>
      </c>
      <c r="U456" s="603">
        <f t="shared" si="66"/>
        <v>200520</v>
      </c>
      <c r="V456" s="743">
        <f t="shared" si="67"/>
        <v>663480</v>
      </c>
      <c r="W456" s="744">
        <v>55.7</v>
      </c>
      <c r="X456" s="604">
        <f t="shared" si="68"/>
        <v>200520</v>
      </c>
      <c r="Y456" s="701">
        <f t="shared" si="69"/>
        <v>663480</v>
      </c>
      <c r="Z456" s="744">
        <v>55.7</v>
      </c>
      <c r="AA456" s="604">
        <f t="shared" si="70"/>
        <v>200520</v>
      </c>
      <c r="AB456" s="745">
        <f t="shared" si="71"/>
        <v>663480</v>
      </c>
      <c r="AC456" s="714"/>
    </row>
    <row r="457" spans="1:29" ht="15" customHeight="1" x14ac:dyDescent="0.25">
      <c r="A457" s="713"/>
      <c r="B457" s="731" t="s">
        <v>737</v>
      </c>
      <c r="C457" s="547" t="s">
        <v>40</v>
      </c>
      <c r="D457" s="547" t="s">
        <v>476</v>
      </c>
      <c r="E457" s="683">
        <v>44562</v>
      </c>
      <c r="F457" s="547">
        <v>744</v>
      </c>
      <c r="G457" s="547" t="s">
        <v>58</v>
      </c>
      <c r="H457" s="547" t="s">
        <v>3</v>
      </c>
      <c r="I457" s="547" t="s">
        <v>44</v>
      </c>
      <c r="J457" s="547" t="s">
        <v>84</v>
      </c>
      <c r="K457" s="547">
        <v>178.5</v>
      </c>
      <c r="L457" s="727" t="s">
        <v>54</v>
      </c>
      <c r="M457" s="697">
        <v>1</v>
      </c>
      <c r="N457" s="727">
        <v>0</v>
      </c>
      <c r="O457" s="697">
        <v>178.5</v>
      </c>
      <c r="P457" s="727">
        <v>0</v>
      </c>
      <c r="Q457" s="750">
        <f t="shared" si="63"/>
        <v>132804</v>
      </c>
      <c r="R457" s="608">
        <f t="shared" si="64"/>
        <v>0</v>
      </c>
      <c r="S457" s="751">
        <f t="shared" si="65"/>
        <v>-132804</v>
      </c>
      <c r="T457" s="750">
        <v>62.91</v>
      </c>
      <c r="U457" s="608">
        <f t="shared" si="66"/>
        <v>-46805.04</v>
      </c>
      <c r="V457" s="751">
        <f t="shared" si="67"/>
        <v>-85998.959999999992</v>
      </c>
      <c r="W457" s="752">
        <v>62.91</v>
      </c>
      <c r="X457" s="609">
        <f t="shared" si="68"/>
        <v>-46805.04</v>
      </c>
      <c r="Y457" s="703">
        <f t="shared" si="69"/>
        <v>-85998.959999999992</v>
      </c>
      <c r="Z457" s="752">
        <v>62.91</v>
      </c>
      <c r="AA457" s="609">
        <f t="shared" si="70"/>
        <v>-46805.04</v>
      </c>
      <c r="AB457" s="753">
        <f t="shared" si="71"/>
        <v>-85998.959999999992</v>
      </c>
      <c r="AC457" s="714"/>
    </row>
    <row r="458" spans="1:29" ht="15" customHeight="1" x14ac:dyDescent="0.25">
      <c r="A458" s="713"/>
      <c r="B458" s="730" t="s">
        <v>738</v>
      </c>
      <c r="C458" s="546" t="s">
        <v>40</v>
      </c>
      <c r="D458" s="546" t="s">
        <v>354</v>
      </c>
      <c r="E458" s="682">
        <v>44562</v>
      </c>
      <c r="F458" s="546">
        <v>744</v>
      </c>
      <c r="G458" s="546" t="s">
        <v>58</v>
      </c>
      <c r="H458" s="546" t="s">
        <v>3</v>
      </c>
      <c r="I458" s="546" t="s">
        <v>44</v>
      </c>
      <c r="J458" s="546" t="s">
        <v>84</v>
      </c>
      <c r="K458" s="546">
        <v>195</v>
      </c>
      <c r="L458" s="726" t="s">
        <v>54</v>
      </c>
      <c r="M458" s="696">
        <v>1</v>
      </c>
      <c r="N458" s="726">
        <v>0</v>
      </c>
      <c r="O458" s="696">
        <v>195</v>
      </c>
      <c r="P458" s="726">
        <v>0</v>
      </c>
      <c r="Q458" s="746">
        <f t="shared" si="63"/>
        <v>145080</v>
      </c>
      <c r="R458" s="606">
        <f t="shared" si="64"/>
        <v>0</v>
      </c>
      <c r="S458" s="747">
        <f t="shared" si="65"/>
        <v>-145080</v>
      </c>
      <c r="T458" s="746">
        <v>62.91</v>
      </c>
      <c r="U458" s="606">
        <f t="shared" si="66"/>
        <v>-46805.04</v>
      </c>
      <c r="V458" s="747">
        <f t="shared" si="67"/>
        <v>-98274.959999999992</v>
      </c>
      <c r="W458" s="748">
        <v>62.91</v>
      </c>
      <c r="X458" s="607">
        <f t="shared" si="68"/>
        <v>-46805.04</v>
      </c>
      <c r="Y458" s="702">
        <f t="shared" si="69"/>
        <v>-98274.959999999992</v>
      </c>
      <c r="Z458" s="748">
        <v>62.91</v>
      </c>
      <c r="AA458" s="607">
        <f t="shared" si="70"/>
        <v>-46805.04</v>
      </c>
      <c r="AB458" s="749">
        <f t="shared" si="71"/>
        <v>-98274.959999999992</v>
      </c>
      <c r="AC458" s="714"/>
    </row>
    <row r="459" spans="1:29" ht="15" customHeight="1" x14ac:dyDescent="0.25">
      <c r="A459" s="713"/>
      <c r="B459" s="714" t="s">
        <v>738</v>
      </c>
      <c r="C459" s="676" t="s">
        <v>40</v>
      </c>
      <c r="D459" s="676" t="s">
        <v>354</v>
      </c>
      <c r="E459" s="680">
        <v>44593</v>
      </c>
      <c r="F459" s="676">
        <v>672</v>
      </c>
      <c r="G459" s="676" t="s">
        <v>58</v>
      </c>
      <c r="H459" s="676" t="s">
        <v>3</v>
      </c>
      <c r="I459" s="676" t="s">
        <v>44</v>
      </c>
      <c r="J459" s="676" t="s">
        <v>84</v>
      </c>
      <c r="K459" s="676">
        <v>195</v>
      </c>
      <c r="L459" s="690" t="s">
        <v>54</v>
      </c>
      <c r="M459" s="691">
        <v>1</v>
      </c>
      <c r="N459" s="690">
        <v>0</v>
      </c>
      <c r="O459" s="691">
        <v>195</v>
      </c>
      <c r="P459" s="690">
        <v>0</v>
      </c>
      <c r="Q459" s="738">
        <f t="shared" si="63"/>
        <v>131040</v>
      </c>
      <c r="R459" s="677">
        <f t="shared" si="64"/>
        <v>0</v>
      </c>
      <c r="S459" s="739">
        <f t="shared" si="65"/>
        <v>-131040</v>
      </c>
      <c r="T459" s="738">
        <v>55.7</v>
      </c>
      <c r="U459" s="677">
        <f t="shared" si="66"/>
        <v>-37430.400000000001</v>
      </c>
      <c r="V459" s="739">
        <f t="shared" si="67"/>
        <v>-93609.600000000006</v>
      </c>
      <c r="W459" s="740">
        <v>55.7</v>
      </c>
      <c r="X459" s="678">
        <f t="shared" si="68"/>
        <v>-37430.400000000001</v>
      </c>
      <c r="Y459" s="700">
        <f t="shared" si="69"/>
        <v>-93609.600000000006</v>
      </c>
      <c r="Z459" s="740">
        <v>55.7</v>
      </c>
      <c r="AA459" s="678">
        <f t="shared" si="70"/>
        <v>-37430.400000000001</v>
      </c>
      <c r="AB459" s="741">
        <f t="shared" si="71"/>
        <v>-93609.600000000006</v>
      </c>
      <c r="AC459" s="714"/>
    </row>
    <row r="460" spans="1:29" ht="15" customHeight="1" x14ac:dyDescent="0.25">
      <c r="A460" s="713"/>
      <c r="B460" s="729" t="s">
        <v>738</v>
      </c>
      <c r="C460" s="545" t="s">
        <v>40</v>
      </c>
      <c r="D460" s="545" t="s">
        <v>354</v>
      </c>
      <c r="E460" s="681">
        <v>44621</v>
      </c>
      <c r="F460" s="545">
        <v>744</v>
      </c>
      <c r="G460" s="545" t="s">
        <v>58</v>
      </c>
      <c r="H460" s="545" t="s">
        <v>3</v>
      </c>
      <c r="I460" s="545" t="s">
        <v>44</v>
      </c>
      <c r="J460" s="545" t="s">
        <v>84</v>
      </c>
      <c r="K460" s="545">
        <v>195</v>
      </c>
      <c r="L460" s="725" t="s">
        <v>54</v>
      </c>
      <c r="M460" s="695">
        <v>1</v>
      </c>
      <c r="N460" s="725">
        <v>0</v>
      </c>
      <c r="O460" s="695">
        <v>195</v>
      </c>
      <c r="P460" s="725">
        <v>0</v>
      </c>
      <c r="Q460" s="742">
        <f t="shared" si="63"/>
        <v>145080</v>
      </c>
      <c r="R460" s="603">
        <f t="shared" si="64"/>
        <v>0</v>
      </c>
      <c r="S460" s="743">
        <f t="shared" si="65"/>
        <v>-145080</v>
      </c>
      <c r="T460" s="742">
        <v>55.7</v>
      </c>
      <c r="U460" s="603">
        <f t="shared" si="66"/>
        <v>-41440.800000000003</v>
      </c>
      <c r="V460" s="743">
        <f t="shared" si="67"/>
        <v>-103639.2</v>
      </c>
      <c r="W460" s="744">
        <v>55.7</v>
      </c>
      <c r="X460" s="604">
        <f t="shared" si="68"/>
        <v>-41440.800000000003</v>
      </c>
      <c r="Y460" s="701">
        <f t="shared" si="69"/>
        <v>-103639.2</v>
      </c>
      <c r="Z460" s="744">
        <v>55.7</v>
      </c>
      <c r="AA460" s="604">
        <f t="shared" si="70"/>
        <v>-41440.800000000003</v>
      </c>
      <c r="AB460" s="745">
        <f t="shared" si="71"/>
        <v>-103639.2</v>
      </c>
      <c r="AC460" s="714"/>
    </row>
    <row r="461" spans="1:29" ht="15" customHeight="1" x14ac:dyDescent="0.25">
      <c r="A461" s="713"/>
      <c r="B461" s="730" t="s">
        <v>740</v>
      </c>
      <c r="C461" s="546" t="s">
        <v>40</v>
      </c>
      <c r="D461" s="546" t="s">
        <v>502</v>
      </c>
      <c r="E461" s="682">
        <v>44562</v>
      </c>
      <c r="F461" s="546">
        <v>744</v>
      </c>
      <c r="G461" s="546" t="s">
        <v>58</v>
      </c>
      <c r="H461" s="546" t="s">
        <v>3</v>
      </c>
      <c r="I461" s="546" t="s">
        <v>44</v>
      </c>
      <c r="J461" s="546" t="s">
        <v>84</v>
      </c>
      <c r="K461" s="546">
        <v>194.5</v>
      </c>
      <c r="L461" s="726" t="s">
        <v>54</v>
      </c>
      <c r="M461" s="696">
        <v>3</v>
      </c>
      <c r="N461" s="726">
        <v>0</v>
      </c>
      <c r="O461" s="696">
        <v>194.5</v>
      </c>
      <c r="P461" s="726">
        <v>0</v>
      </c>
      <c r="Q461" s="746">
        <f t="shared" si="63"/>
        <v>434124</v>
      </c>
      <c r="R461" s="606">
        <f t="shared" si="64"/>
        <v>0</v>
      </c>
      <c r="S461" s="747">
        <f t="shared" si="65"/>
        <v>-434124</v>
      </c>
      <c r="T461" s="746">
        <v>62.91</v>
      </c>
      <c r="U461" s="606">
        <f t="shared" si="66"/>
        <v>-140415.12</v>
      </c>
      <c r="V461" s="747">
        <f t="shared" si="67"/>
        <v>-293708.88</v>
      </c>
      <c r="W461" s="748">
        <v>62.91</v>
      </c>
      <c r="X461" s="607">
        <f t="shared" si="68"/>
        <v>-140415.12</v>
      </c>
      <c r="Y461" s="702">
        <f t="shared" si="69"/>
        <v>-293708.88</v>
      </c>
      <c r="Z461" s="748">
        <v>62.91</v>
      </c>
      <c r="AA461" s="607">
        <f t="shared" si="70"/>
        <v>-140415.12</v>
      </c>
      <c r="AB461" s="749">
        <f t="shared" si="71"/>
        <v>-293708.88</v>
      </c>
      <c r="AC461" s="714"/>
    </row>
    <row r="462" spans="1:29" ht="15" customHeight="1" x14ac:dyDescent="0.25">
      <c r="A462" s="713"/>
      <c r="B462" s="714" t="s">
        <v>740</v>
      </c>
      <c r="C462" s="676" t="s">
        <v>40</v>
      </c>
      <c r="D462" s="676" t="s">
        <v>502</v>
      </c>
      <c r="E462" s="680">
        <v>44593</v>
      </c>
      <c r="F462" s="676">
        <v>672</v>
      </c>
      <c r="G462" s="676" t="s">
        <v>58</v>
      </c>
      <c r="H462" s="676" t="s">
        <v>3</v>
      </c>
      <c r="I462" s="676" t="s">
        <v>44</v>
      </c>
      <c r="J462" s="676" t="s">
        <v>84</v>
      </c>
      <c r="K462" s="676">
        <v>194.5</v>
      </c>
      <c r="L462" s="690" t="s">
        <v>54</v>
      </c>
      <c r="M462" s="691">
        <v>3</v>
      </c>
      <c r="N462" s="690">
        <v>0</v>
      </c>
      <c r="O462" s="691">
        <v>194.5</v>
      </c>
      <c r="P462" s="690">
        <v>0</v>
      </c>
      <c r="Q462" s="738">
        <f t="shared" si="63"/>
        <v>392112</v>
      </c>
      <c r="R462" s="677">
        <f t="shared" si="64"/>
        <v>0</v>
      </c>
      <c r="S462" s="739">
        <f t="shared" si="65"/>
        <v>-392112</v>
      </c>
      <c r="T462" s="738">
        <v>55.7</v>
      </c>
      <c r="U462" s="677">
        <f t="shared" si="66"/>
        <v>-112291.20000000001</v>
      </c>
      <c r="V462" s="739">
        <f t="shared" si="67"/>
        <v>-279820.79999999999</v>
      </c>
      <c r="W462" s="740">
        <v>55.7</v>
      </c>
      <c r="X462" s="678">
        <f t="shared" si="68"/>
        <v>-112291.20000000001</v>
      </c>
      <c r="Y462" s="700">
        <f t="shared" si="69"/>
        <v>-279820.79999999999</v>
      </c>
      <c r="Z462" s="740">
        <v>55.7</v>
      </c>
      <c r="AA462" s="678">
        <f t="shared" si="70"/>
        <v>-112291.20000000001</v>
      </c>
      <c r="AB462" s="741">
        <f t="shared" si="71"/>
        <v>-279820.79999999999</v>
      </c>
      <c r="AC462" s="714"/>
    </row>
    <row r="463" spans="1:29" ht="15" customHeight="1" x14ac:dyDescent="0.25">
      <c r="A463" s="713"/>
      <c r="B463" s="729" t="s">
        <v>740</v>
      </c>
      <c r="C463" s="545" t="s">
        <v>40</v>
      </c>
      <c r="D463" s="545" t="s">
        <v>502</v>
      </c>
      <c r="E463" s="681">
        <v>44621</v>
      </c>
      <c r="F463" s="545">
        <v>744</v>
      </c>
      <c r="G463" s="545" t="s">
        <v>58</v>
      </c>
      <c r="H463" s="545" t="s">
        <v>3</v>
      </c>
      <c r="I463" s="545" t="s">
        <v>44</v>
      </c>
      <c r="J463" s="545" t="s">
        <v>84</v>
      </c>
      <c r="K463" s="545">
        <v>194.5</v>
      </c>
      <c r="L463" s="725" t="s">
        <v>54</v>
      </c>
      <c r="M463" s="695">
        <v>3</v>
      </c>
      <c r="N463" s="725">
        <v>0</v>
      </c>
      <c r="O463" s="695">
        <v>194.5</v>
      </c>
      <c r="P463" s="725">
        <v>0</v>
      </c>
      <c r="Q463" s="742">
        <f t="shared" si="63"/>
        <v>434124</v>
      </c>
      <c r="R463" s="603">
        <f t="shared" si="64"/>
        <v>0</v>
      </c>
      <c r="S463" s="743">
        <f t="shared" si="65"/>
        <v>-434124</v>
      </c>
      <c r="T463" s="742">
        <v>55.7</v>
      </c>
      <c r="U463" s="603">
        <f t="shared" si="66"/>
        <v>-124322.40000000001</v>
      </c>
      <c r="V463" s="743">
        <f t="shared" si="67"/>
        <v>-309801.59999999998</v>
      </c>
      <c r="W463" s="744">
        <v>55.7</v>
      </c>
      <c r="X463" s="604">
        <f t="shared" si="68"/>
        <v>-124322.40000000001</v>
      </c>
      <c r="Y463" s="701">
        <f t="shared" si="69"/>
        <v>-309801.59999999998</v>
      </c>
      <c r="Z463" s="744">
        <v>55.7</v>
      </c>
      <c r="AA463" s="604">
        <f t="shared" si="70"/>
        <v>-124322.40000000001</v>
      </c>
      <c r="AB463" s="745">
        <f t="shared" si="71"/>
        <v>-309801.59999999998</v>
      </c>
      <c r="AC463" s="714"/>
    </row>
    <row r="464" spans="1:29" ht="15" customHeight="1" x14ac:dyDescent="0.25">
      <c r="A464" s="713"/>
      <c r="B464" s="730" t="s">
        <v>742</v>
      </c>
      <c r="C464" s="546" t="s">
        <v>40</v>
      </c>
      <c r="D464" s="546" t="s">
        <v>406</v>
      </c>
      <c r="E464" s="682">
        <v>44562</v>
      </c>
      <c r="F464" s="546">
        <v>744</v>
      </c>
      <c r="G464" s="546" t="s">
        <v>58</v>
      </c>
      <c r="H464" s="546" t="s">
        <v>3</v>
      </c>
      <c r="I464" s="546" t="s">
        <v>44</v>
      </c>
      <c r="J464" s="546" t="s">
        <v>84</v>
      </c>
      <c r="K464" s="546">
        <v>193.5</v>
      </c>
      <c r="L464" s="726" t="s">
        <v>54</v>
      </c>
      <c r="M464" s="696">
        <v>1</v>
      </c>
      <c r="N464" s="726">
        <v>0</v>
      </c>
      <c r="O464" s="696">
        <v>193.5</v>
      </c>
      <c r="P464" s="726">
        <v>0</v>
      </c>
      <c r="Q464" s="746">
        <f t="shared" si="63"/>
        <v>143964</v>
      </c>
      <c r="R464" s="606">
        <f t="shared" si="64"/>
        <v>0</v>
      </c>
      <c r="S464" s="747">
        <f t="shared" si="65"/>
        <v>-143964</v>
      </c>
      <c r="T464" s="746">
        <v>62.91</v>
      </c>
      <c r="U464" s="606">
        <f t="shared" si="66"/>
        <v>-46805.04</v>
      </c>
      <c r="V464" s="747">
        <f t="shared" si="67"/>
        <v>-97158.959999999992</v>
      </c>
      <c r="W464" s="748">
        <v>62.91</v>
      </c>
      <c r="X464" s="607">
        <f t="shared" si="68"/>
        <v>-46805.04</v>
      </c>
      <c r="Y464" s="702">
        <f t="shared" si="69"/>
        <v>-97158.959999999992</v>
      </c>
      <c r="Z464" s="748">
        <v>62.91</v>
      </c>
      <c r="AA464" s="607">
        <f t="shared" si="70"/>
        <v>-46805.04</v>
      </c>
      <c r="AB464" s="749">
        <f t="shared" si="71"/>
        <v>-97158.959999999992</v>
      </c>
      <c r="AC464" s="714"/>
    </row>
    <row r="465" spans="1:29" ht="15" customHeight="1" x14ac:dyDescent="0.25">
      <c r="A465" s="713"/>
      <c r="B465" s="714" t="s">
        <v>742</v>
      </c>
      <c r="C465" s="676" t="s">
        <v>40</v>
      </c>
      <c r="D465" s="676" t="s">
        <v>406</v>
      </c>
      <c r="E465" s="680">
        <v>44593</v>
      </c>
      <c r="F465" s="676">
        <v>672</v>
      </c>
      <c r="G465" s="676" t="s">
        <v>58</v>
      </c>
      <c r="H465" s="676" t="s">
        <v>3</v>
      </c>
      <c r="I465" s="676" t="s">
        <v>44</v>
      </c>
      <c r="J465" s="676" t="s">
        <v>84</v>
      </c>
      <c r="K465" s="676">
        <v>193.5</v>
      </c>
      <c r="L465" s="690" t="s">
        <v>54</v>
      </c>
      <c r="M465" s="691">
        <v>1</v>
      </c>
      <c r="N465" s="690">
        <v>0</v>
      </c>
      <c r="O465" s="691">
        <v>193.5</v>
      </c>
      <c r="P465" s="690">
        <v>0</v>
      </c>
      <c r="Q465" s="738">
        <f t="shared" si="63"/>
        <v>130032</v>
      </c>
      <c r="R465" s="677">
        <f t="shared" si="64"/>
        <v>0</v>
      </c>
      <c r="S465" s="739">
        <f t="shared" si="65"/>
        <v>-130032</v>
      </c>
      <c r="T465" s="738">
        <v>55.7</v>
      </c>
      <c r="U465" s="677">
        <f t="shared" si="66"/>
        <v>-37430.400000000001</v>
      </c>
      <c r="V465" s="739">
        <f t="shared" si="67"/>
        <v>-92601.600000000006</v>
      </c>
      <c r="W465" s="740">
        <v>55.7</v>
      </c>
      <c r="X465" s="678">
        <f t="shared" si="68"/>
        <v>-37430.400000000001</v>
      </c>
      <c r="Y465" s="700">
        <f t="shared" si="69"/>
        <v>-92601.600000000006</v>
      </c>
      <c r="Z465" s="740">
        <v>55.7</v>
      </c>
      <c r="AA465" s="678">
        <f t="shared" si="70"/>
        <v>-37430.400000000001</v>
      </c>
      <c r="AB465" s="741">
        <f t="shared" si="71"/>
        <v>-92601.600000000006</v>
      </c>
      <c r="AC465" s="714"/>
    </row>
    <row r="466" spans="1:29" ht="15" customHeight="1" x14ac:dyDescent="0.25">
      <c r="A466" s="713"/>
      <c r="B466" s="729" t="s">
        <v>742</v>
      </c>
      <c r="C466" s="545" t="s">
        <v>40</v>
      </c>
      <c r="D466" s="545" t="s">
        <v>406</v>
      </c>
      <c r="E466" s="681">
        <v>44621</v>
      </c>
      <c r="F466" s="545">
        <v>744</v>
      </c>
      <c r="G466" s="545" t="s">
        <v>58</v>
      </c>
      <c r="H466" s="545" t="s">
        <v>3</v>
      </c>
      <c r="I466" s="545" t="s">
        <v>44</v>
      </c>
      <c r="J466" s="545" t="s">
        <v>84</v>
      </c>
      <c r="K466" s="545">
        <v>193.5</v>
      </c>
      <c r="L466" s="725" t="s">
        <v>54</v>
      </c>
      <c r="M466" s="695">
        <v>1</v>
      </c>
      <c r="N466" s="725">
        <v>0</v>
      </c>
      <c r="O466" s="695">
        <v>193.5</v>
      </c>
      <c r="P466" s="725">
        <v>0</v>
      </c>
      <c r="Q466" s="742">
        <f t="shared" si="63"/>
        <v>143964</v>
      </c>
      <c r="R466" s="603">
        <f t="shared" si="64"/>
        <v>0</v>
      </c>
      <c r="S466" s="743">
        <f t="shared" si="65"/>
        <v>-143964</v>
      </c>
      <c r="T466" s="742">
        <v>55.7</v>
      </c>
      <c r="U466" s="603">
        <f t="shared" si="66"/>
        <v>-41440.800000000003</v>
      </c>
      <c r="V466" s="743">
        <f t="shared" si="67"/>
        <v>-102523.2</v>
      </c>
      <c r="W466" s="744">
        <v>55.7</v>
      </c>
      <c r="X466" s="604">
        <f t="shared" si="68"/>
        <v>-41440.800000000003</v>
      </c>
      <c r="Y466" s="701">
        <f t="shared" si="69"/>
        <v>-102523.2</v>
      </c>
      <c r="Z466" s="744">
        <v>55.7</v>
      </c>
      <c r="AA466" s="604">
        <f t="shared" si="70"/>
        <v>-41440.800000000003</v>
      </c>
      <c r="AB466" s="745">
        <f t="shared" si="71"/>
        <v>-102523.2</v>
      </c>
      <c r="AC466" s="714"/>
    </row>
    <row r="467" spans="1:29" ht="15" customHeight="1" x14ac:dyDescent="0.25">
      <c r="A467" s="713"/>
      <c r="B467" s="730" t="s">
        <v>744</v>
      </c>
      <c r="C467" s="546" t="s">
        <v>40</v>
      </c>
      <c r="D467" s="546" t="s">
        <v>585</v>
      </c>
      <c r="E467" s="682">
        <v>44743</v>
      </c>
      <c r="F467" s="546">
        <v>744</v>
      </c>
      <c r="G467" s="546" t="s">
        <v>59</v>
      </c>
      <c r="H467" s="546" t="s">
        <v>3</v>
      </c>
      <c r="I467" s="546" t="s">
        <v>44</v>
      </c>
      <c r="J467" s="546" t="s">
        <v>85</v>
      </c>
      <c r="K467" s="546">
        <v>267</v>
      </c>
      <c r="L467" s="726" t="s">
        <v>54</v>
      </c>
      <c r="M467" s="696">
        <v>0</v>
      </c>
      <c r="N467" s="726">
        <v>3</v>
      </c>
      <c r="O467" s="696">
        <v>0</v>
      </c>
      <c r="P467" s="726">
        <v>267</v>
      </c>
      <c r="Q467" s="746">
        <f t="shared" si="63"/>
        <v>0</v>
      </c>
      <c r="R467" s="606">
        <f t="shared" si="64"/>
        <v>595944</v>
      </c>
      <c r="S467" s="747">
        <f t="shared" si="65"/>
        <v>595944</v>
      </c>
      <c r="T467" s="746">
        <v>66.319999999999993</v>
      </c>
      <c r="U467" s="606">
        <f t="shared" si="66"/>
        <v>148026.23999999999</v>
      </c>
      <c r="V467" s="747">
        <f t="shared" si="67"/>
        <v>447917.76</v>
      </c>
      <c r="W467" s="748">
        <v>66.319999999999993</v>
      </c>
      <c r="X467" s="607">
        <f t="shared" si="68"/>
        <v>148026.23999999999</v>
      </c>
      <c r="Y467" s="702">
        <f t="shared" si="69"/>
        <v>447917.76</v>
      </c>
      <c r="Z467" s="748">
        <v>66.319999999999993</v>
      </c>
      <c r="AA467" s="607">
        <f t="shared" si="70"/>
        <v>148026.23999999999</v>
      </c>
      <c r="AB467" s="749">
        <f t="shared" si="71"/>
        <v>447917.76</v>
      </c>
      <c r="AC467" s="714"/>
    </row>
    <row r="468" spans="1:29" ht="15" customHeight="1" x14ac:dyDescent="0.25">
      <c r="A468" s="713"/>
      <c r="B468" s="714" t="s">
        <v>744</v>
      </c>
      <c r="C468" s="676" t="s">
        <v>40</v>
      </c>
      <c r="D468" s="676" t="s">
        <v>585</v>
      </c>
      <c r="E468" s="680">
        <v>44774</v>
      </c>
      <c r="F468" s="676">
        <v>744</v>
      </c>
      <c r="G468" s="676" t="s">
        <v>59</v>
      </c>
      <c r="H468" s="676" t="s">
        <v>3</v>
      </c>
      <c r="I468" s="676" t="s">
        <v>44</v>
      </c>
      <c r="J468" s="676" t="s">
        <v>85</v>
      </c>
      <c r="K468" s="676">
        <v>267</v>
      </c>
      <c r="L468" s="690" t="s">
        <v>54</v>
      </c>
      <c r="M468" s="691">
        <v>0</v>
      </c>
      <c r="N468" s="690">
        <v>3</v>
      </c>
      <c r="O468" s="691">
        <v>0</v>
      </c>
      <c r="P468" s="690">
        <v>267</v>
      </c>
      <c r="Q468" s="738">
        <f t="shared" si="63"/>
        <v>0</v>
      </c>
      <c r="R468" s="677">
        <f t="shared" si="64"/>
        <v>595944</v>
      </c>
      <c r="S468" s="739">
        <f t="shared" si="65"/>
        <v>595944</v>
      </c>
      <c r="T468" s="738">
        <v>76.900000000000006</v>
      </c>
      <c r="U468" s="677">
        <f t="shared" si="66"/>
        <v>171640.80000000002</v>
      </c>
      <c r="V468" s="739">
        <f t="shared" si="67"/>
        <v>424303.19999999995</v>
      </c>
      <c r="W468" s="740">
        <v>76.900000000000006</v>
      </c>
      <c r="X468" s="678">
        <f t="shared" si="68"/>
        <v>171640.80000000002</v>
      </c>
      <c r="Y468" s="700">
        <f t="shared" si="69"/>
        <v>424303.19999999995</v>
      </c>
      <c r="Z468" s="740">
        <v>76.900000000000006</v>
      </c>
      <c r="AA468" s="678">
        <f t="shared" si="70"/>
        <v>171640.80000000002</v>
      </c>
      <c r="AB468" s="741">
        <f t="shared" si="71"/>
        <v>424303.19999999995</v>
      </c>
      <c r="AC468" s="714"/>
    </row>
    <row r="469" spans="1:29" ht="15" customHeight="1" x14ac:dyDescent="0.25">
      <c r="A469" s="713"/>
      <c r="B469" s="714" t="s">
        <v>744</v>
      </c>
      <c r="C469" s="676" t="s">
        <v>40</v>
      </c>
      <c r="D469" s="676" t="s">
        <v>585</v>
      </c>
      <c r="E469" s="680">
        <v>44805</v>
      </c>
      <c r="F469" s="676">
        <v>720</v>
      </c>
      <c r="G469" s="676" t="s">
        <v>59</v>
      </c>
      <c r="H469" s="676" t="s">
        <v>3</v>
      </c>
      <c r="I469" s="676" t="s">
        <v>44</v>
      </c>
      <c r="J469" s="676" t="s">
        <v>85</v>
      </c>
      <c r="K469" s="676">
        <v>267</v>
      </c>
      <c r="L469" s="690" t="s">
        <v>54</v>
      </c>
      <c r="M469" s="691">
        <v>0</v>
      </c>
      <c r="N469" s="690">
        <v>3</v>
      </c>
      <c r="O469" s="691">
        <v>0</v>
      </c>
      <c r="P469" s="690">
        <v>267</v>
      </c>
      <c r="Q469" s="738">
        <f t="shared" si="63"/>
        <v>0</v>
      </c>
      <c r="R469" s="677">
        <f t="shared" si="64"/>
        <v>576720</v>
      </c>
      <c r="S469" s="739">
        <f t="shared" si="65"/>
        <v>576720</v>
      </c>
      <c r="T469" s="738">
        <v>56.08</v>
      </c>
      <c r="U469" s="677">
        <f t="shared" si="66"/>
        <v>121132.8</v>
      </c>
      <c r="V469" s="739">
        <f t="shared" si="67"/>
        <v>455587.2</v>
      </c>
      <c r="W469" s="740">
        <v>56.08</v>
      </c>
      <c r="X469" s="678">
        <f t="shared" si="68"/>
        <v>121132.8</v>
      </c>
      <c r="Y469" s="700">
        <f t="shared" si="69"/>
        <v>455587.2</v>
      </c>
      <c r="Z469" s="740">
        <v>56.08</v>
      </c>
      <c r="AA469" s="678">
        <f t="shared" si="70"/>
        <v>121132.8</v>
      </c>
      <c r="AB469" s="741">
        <f t="shared" si="71"/>
        <v>455587.2</v>
      </c>
      <c r="AC469" s="714"/>
    </row>
    <row r="470" spans="1:29" ht="15" customHeight="1" x14ac:dyDescent="0.25">
      <c r="A470" s="713"/>
      <c r="B470" s="714" t="s">
        <v>744</v>
      </c>
      <c r="C470" s="676" t="s">
        <v>40</v>
      </c>
      <c r="D470" s="676" t="s">
        <v>585</v>
      </c>
      <c r="E470" s="680">
        <v>44835</v>
      </c>
      <c r="F470" s="676">
        <v>744</v>
      </c>
      <c r="G470" s="676" t="s">
        <v>59</v>
      </c>
      <c r="H470" s="676" t="s">
        <v>3</v>
      </c>
      <c r="I470" s="676" t="s">
        <v>44</v>
      </c>
      <c r="J470" s="676" t="s">
        <v>85</v>
      </c>
      <c r="K470" s="676">
        <v>267</v>
      </c>
      <c r="L470" s="690" t="s">
        <v>54</v>
      </c>
      <c r="M470" s="691">
        <v>0</v>
      </c>
      <c r="N470" s="690">
        <v>3</v>
      </c>
      <c r="O470" s="691">
        <v>0</v>
      </c>
      <c r="P470" s="690">
        <v>267</v>
      </c>
      <c r="Q470" s="738">
        <f t="shared" si="63"/>
        <v>0</v>
      </c>
      <c r="R470" s="677">
        <f t="shared" si="64"/>
        <v>595944</v>
      </c>
      <c r="S470" s="739">
        <f t="shared" si="65"/>
        <v>595944</v>
      </c>
      <c r="T470" s="738">
        <v>55.7</v>
      </c>
      <c r="U470" s="677">
        <f t="shared" si="66"/>
        <v>124322.40000000001</v>
      </c>
      <c r="V470" s="739">
        <f t="shared" si="67"/>
        <v>471621.6</v>
      </c>
      <c r="W470" s="740">
        <v>55.7</v>
      </c>
      <c r="X470" s="678">
        <f t="shared" si="68"/>
        <v>124322.40000000001</v>
      </c>
      <c r="Y470" s="700">
        <f t="shared" si="69"/>
        <v>471621.6</v>
      </c>
      <c r="Z470" s="740">
        <v>55.7</v>
      </c>
      <c r="AA470" s="678">
        <f t="shared" si="70"/>
        <v>124322.40000000001</v>
      </c>
      <c r="AB470" s="741">
        <f t="shared" si="71"/>
        <v>471621.6</v>
      </c>
      <c r="AC470" s="714"/>
    </row>
    <row r="471" spans="1:29" ht="15" customHeight="1" x14ac:dyDescent="0.25">
      <c r="A471" s="713"/>
      <c r="B471" s="714" t="s">
        <v>744</v>
      </c>
      <c r="C471" s="676" t="s">
        <v>40</v>
      </c>
      <c r="D471" s="676" t="s">
        <v>585</v>
      </c>
      <c r="E471" s="680">
        <v>44866</v>
      </c>
      <c r="F471" s="676">
        <v>720</v>
      </c>
      <c r="G471" s="676" t="s">
        <v>59</v>
      </c>
      <c r="H471" s="676" t="s">
        <v>3</v>
      </c>
      <c r="I471" s="676" t="s">
        <v>44</v>
      </c>
      <c r="J471" s="676" t="s">
        <v>85</v>
      </c>
      <c r="K471" s="676">
        <v>267</v>
      </c>
      <c r="L471" s="690" t="s">
        <v>54</v>
      </c>
      <c r="M471" s="691">
        <v>0</v>
      </c>
      <c r="N471" s="690">
        <v>3</v>
      </c>
      <c r="O471" s="691">
        <v>0</v>
      </c>
      <c r="P471" s="690">
        <v>267</v>
      </c>
      <c r="Q471" s="738">
        <f t="shared" si="63"/>
        <v>0</v>
      </c>
      <c r="R471" s="677">
        <f t="shared" si="64"/>
        <v>576720</v>
      </c>
      <c r="S471" s="739">
        <f t="shared" si="65"/>
        <v>576720</v>
      </c>
      <c r="T471" s="738">
        <v>55.7</v>
      </c>
      <c r="U471" s="677">
        <f t="shared" si="66"/>
        <v>120312</v>
      </c>
      <c r="V471" s="739">
        <f t="shared" si="67"/>
        <v>456408</v>
      </c>
      <c r="W471" s="740">
        <v>55.7</v>
      </c>
      <c r="X471" s="678">
        <f t="shared" si="68"/>
        <v>120312</v>
      </c>
      <c r="Y471" s="700">
        <f t="shared" si="69"/>
        <v>456408</v>
      </c>
      <c r="Z471" s="740">
        <v>55.7</v>
      </c>
      <c r="AA471" s="678">
        <f t="shared" si="70"/>
        <v>120312</v>
      </c>
      <c r="AB471" s="741">
        <f t="shared" si="71"/>
        <v>456408</v>
      </c>
      <c r="AC471" s="714"/>
    </row>
    <row r="472" spans="1:29" ht="15" customHeight="1" x14ac:dyDescent="0.25">
      <c r="A472" s="713"/>
      <c r="B472" s="729" t="s">
        <v>744</v>
      </c>
      <c r="C472" s="545" t="s">
        <v>40</v>
      </c>
      <c r="D472" s="545" t="s">
        <v>585</v>
      </c>
      <c r="E472" s="681">
        <v>44896</v>
      </c>
      <c r="F472" s="545">
        <v>744</v>
      </c>
      <c r="G472" s="545" t="s">
        <v>59</v>
      </c>
      <c r="H472" s="545" t="s">
        <v>3</v>
      </c>
      <c r="I472" s="545" t="s">
        <v>44</v>
      </c>
      <c r="J472" s="545" t="s">
        <v>85</v>
      </c>
      <c r="K472" s="545">
        <v>267</v>
      </c>
      <c r="L472" s="725" t="s">
        <v>54</v>
      </c>
      <c r="M472" s="695">
        <v>0</v>
      </c>
      <c r="N472" s="725">
        <v>3</v>
      </c>
      <c r="O472" s="695">
        <v>0</v>
      </c>
      <c r="P472" s="725">
        <v>267</v>
      </c>
      <c r="Q472" s="742">
        <f t="shared" si="63"/>
        <v>0</v>
      </c>
      <c r="R472" s="603">
        <f t="shared" si="64"/>
        <v>595944</v>
      </c>
      <c r="S472" s="743">
        <f t="shared" si="65"/>
        <v>595944</v>
      </c>
      <c r="T472" s="742">
        <v>55.7</v>
      </c>
      <c r="U472" s="603">
        <f t="shared" si="66"/>
        <v>124322.40000000001</v>
      </c>
      <c r="V472" s="743">
        <f t="shared" si="67"/>
        <v>471621.6</v>
      </c>
      <c r="W472" s="744">
        <v>55.7</v>
      </c>
      <c r="X472" s="604">
        <f t="shared" si="68"/>
        <v>124322.40000000001</v>
      </c>
      <c r="Y472" s="701">
        <f t="shared" si="69"/>
        <v>471621.6</v>
      </c>
      <c r="Z472" s="744">
        <v>78.400653594793155</v>
      </c>
      <c r="AA472" s="604">
        <f t="shared" si="70"/>
        <v>174990.25882357833</v>
      </c>
      <c r="AB472" s="745">
        <f t="shared" si="71"/>
        <v>420953.74117642164</v>
      </c>
      <c r="AC472" s="714"/>
    </row>
    <row r="473" spans="1:29" ht="15" customHeight="1" x14ac:dyDescent="0.25">
      <c r="A473" s="713"/>
      <c r="B473" s="730" t="s">
        <v>746</v>
      </c>
      <c r="C473" s="546" t="s">
        <v>40</v>
      </c>
      <c r="D473" s="546" t="s">
        <v>477</v>
      </c>
      <c r="E473" s="682">
        <v>44835</v>
      </c>
      <c r="F473" s="546">
        <v>744</v>
      </c>
      <c r="G473" s="546" t="s">
        <v>59</v>
      </c>
      <c r="H473" s="546" t="s">
        <v>3</v>
      </c>
      <c r="I473" s="546" t="s">
        <v>44</v>
      </c>
      <c r="J473" s="546" t="s">
        <v>85</v>
      </c>
      <c r="K473" s="546">
        <v>250</v>
      </c>
      <c r="L473" s="726" t="s">
        <v>54</v>
      </c>
      <c r="M473" s="696">
        <v>0</v>
      </c>
      <c r="N473" s="726">
        <v>2.5</v>
      </c>
      <c r="O473" s="696">
        <v>0</v>
      </c>
      <c r="P473" s="726">
        <v>250</v>
      </c>
      <c r="Q473" s="746">
        <f t="shared" si="63"/>
        <v>0</v>
      </c>
      <c r="R473" s="606">
        <f t="shared" si="64"/>
        <v>465000</v>
      </c>
      <c r="S473" s="747">
        <f t="shared" si="65"/>
        <v>465000</v>
      </c>
      <c r="T473" s="746">
        <v>55.7</v>
      </c>
      <c r="U473" s="606">
        <f t="shared" si="66"/>
        <v>103602</v>
      </c>
      <c r="V473" s="747">
        <f t="shared" si="67"/>
        <v>361398</v>
      </c>
      <c r="W473" s="748">
        <v>55.7</v>
      </c>
      <c r="X473" s="607">
        <f t="shared" si="68"/>
        <v>103602</v>
      </c>
      <c r="Y473" s="702">
        <f t="shared" si="69"/>
        <v>361398</v>
      </c>
      <c r="Z473" s="748">
        <v>55.7</v>
      </c>
      <c r="AA473" s="607">
        <f t="shared" si="70"/>
        <v>103602</v>
      </c>
      <c r="AB473" s="749">
        <f t="shared" si="71"/>
        <v>361398</v>
      </c>
      <c r="AC473" s="714"/>
    </row>
    <row r="474" spans="1:29" ht="15" customHeight="1" x14ac:dyDescent="0.25">
      <c r="A474" s="713"/>
      <c r="B474" s="729" t="s">
        <v>746</v>
      </c>
      <c r="C474" s="545" t="s">
        <v>40</v>
      </c>
      <c r="D474" s="545" t="s">
        <v>477</v>
      </c>
      <c r="E474" s="681">
        <v>44866</v>
      </c>
      <c r="F474" s="545">
        <v>720</v>
      </c>
      <c r="G474" s="545" t="s">
        <v>59</v>
      </c>
      <c r="H474" s="545" t="s">
        <v>3</v>
      </c>
      <c r="I474" s="545" t="s">
        <v>44</v>
      </c>
      <c r="J474" s="545" t="s">
        <v>85</v>
      </c>
      <c r="K474" s="545">
        <v>250</v>
      </c>
      <c r="L474" s="725" t="s">
        <v>54</v>
      </c>
      <c r="M474" s="695">
        <v>0</v>
      </c>
      <c r="N474" s="725">
        <v>2.5</v>
      </c>
      <c r="O474" s="695">
        <v>0</v>
      </c>
      <c r="P474" s="725">
        <v>250</v>
      </c>
      <c r="Q474" s="742">
        <f t="shared" si="63"/>
        <v>0</v>
      </c>
      <c r="R474" s="603">
        <f t="shared" si="64"/>
        <v>450000</v>
      </c>
      <c r="S474" s="743">
        <f t="shared" si="65"/>
        <v>450000</v>
      </c>
      <c r="T474" s="742">
        <v>55.7</v>
      </c>
      <c r="U474" s="603">
        <f t="shared" si="66"/>
        <v>100260</v>
      </c>
      <c r="V474" s="743">
        <f t="shared" si="67"/>
        <v>349740</v>
      </c>
      <c r="W474" s="744">
        <v>55.7</v>
      </c>
      <c r="X474" s="604">
        <f t="shared" si="68"/>
        <v>100260</v>
      </c>
      <c r="Y474" s="701">
        <f t="shared" si="69"/>
        <v>349740</v>
      </c>
      <c r="Z474" s="744">
        <v>55.7</v>
      </c>
      <c r="AA474" s="604">
        <f t="shared" si="70"/>
        <v>100260</v>
      </c>
      <c r="AB474" s="745">
        <f t="shared" si="71"/>
        <v>349740</v>
      </c>
      <c r="AC474" s="714"/>
    </row>
    <row r="475" spans="1:29" ht="15" customHeight="1" x14ac:dyDescent="0.25">
      <c r="A475" s="713"/>
      <c r="B475" s="731" t="s">
        <v>748</v>
      </c>
      <c r="C475" s="547" t="s">
        <v>40</v>
      </c>
      <c r="D475" s="547" t="s">
        <v>477</v>
      </c>
      <c r="E475" s="683">
        <v>44896</v>
      </c>
      <c r="F475" s="547">
        <v>744</v>
      </c>
      <c r="G475" s="547" t="s">
        <v>58</v>
      </c>
      <c r="H475" s="547" t="s">
        <v>3</v>
      </c>
      <c r="I475" s="547" t="s">
        <v>44</v>
      </c>
      <c r="J475" s="547" t="s">
        <v>84</v>
      </c>
      <c r="K475" s="547">
        <v>225</v>
      </c>
      <c r="L475" s="727" t="s">
        <v>54</v>
      </c>
      <c r="M475" s="697">
        <v>5</v>
      </c>
      <c r="N475" s="727">
        <v>0</v>
      </c>
      <c r="O475" s="697">
        <v>225</v>
      </c>
      <c r="P475" s="727">
        <v>0</v>
      </c>
      <c r="Q475" s="750">
        <f t="shared" si="63"/>
        <v>837000</v>
      </c>
      <c r="R475" s="608">
        <f t="shared" si="64"/>
        <v>0</v>
      </c>
      <c r="S475" s="751">
        <f t="shared" si="65"/>
        <v>-837000</v>
      </c>
      <c r="T475" s="750">
        <v>55.7</v>
      </c>
      <c r="U475" s="608">
        <f t="shared" si="66"/>
        <v>-207204</v>
      </c>
      <c r="V475" s="751">
        <f t="shared" si="67"/>
        <v>-629796</v>
      </c>
      <c r="W475" s="752">
        <v>55.7</v>
      </c>
      <c r="X475" s="609">
        <f t="shared" si="68"/>
        <v>-207204</v>
      </c>
      <c r="Y475" s="703">
        <f t="shared" si="69"/>
        <v>-629796</v>
      </c>
      <c r="Z475" s="752">
        <v>78.400653594793155</v>
      </c>
      <c r="AA475" s="609">
        <f t="shared" si="70"/>
        <v>-291650.43137263053</v>
      </c>
      <c r="AB475" s="753">
        <f t="shared" si="71"/>
        <v>-545349.56862736947</v>
      </c>
      <c r="AC475" s="714"/>
    </row>
    <row r="476" spans="1:29" ht="15" customHeight="1" x14ac:dyDescent="0.25">
      <c r="A476" s="713"/>
      <c r="B476" s="730" t="s">
        <v>750</v>
      </c>
      <c r="C476" s="546" t="s">
        <v>40</v>
      </c>
      <c r="D476" s="546" t="s">
        <v>507</v>
      </c>
      <c r="E476" s="682">
        <v>44562</v>
      </c>
      <c r="F476" s="546">
        <v>744</v>
      </c>
      <c r="G476" s="546" t="s">
        <v>58</v>
      </c>
      <c r="H476" s="546" t="s">
        <v>3</v>
      </c>
      <c r="I476" s="546" t="s">
        <v>44</v>
      </c>
      <c r="J476" s="546" t="s">
        <v>84</v>
      </c>
      <c r="K476" s="546">
        <v>201</v>
      </c>
      <c r="L476" s="726" t="s">
        <v>54</v>
      </c>
      <c r="M476" s="696">
        <v>3</v>
      </c>
      <c r="N476" s="726">
        <v>0</v>
      </c>
      <c r="O476" s="696">
        <v>201</v>
      </c>
      <c r="P476" s="726">
        <v>0</v>
      </c>
      <c r="Q476" s="746">
        <f t="shared" si="63"/>
        <v>448632</v>
      </c>
      <c r="R476" s="606">
        <f t="shared" si="64"/>
        <v>0</v>
      </c>
      <c r="S476" s="747">
        <f t="shared" si="65"/>
        <v>-448632</v>
      </c>
      <c r="T476" s="746">
        <v>62.91</v>
      </c>
      <c r="U476" s="606">
        <f t="shared" si="66"/>
        <v>-140415.12</v>
      </c>
      <c r="V476" s="747">
        <f t="shared" si="67"/>
        <v>-308216.88</v>
      </c>
      <c r="W476" s="748">
        <v>62.91</v>
      </c>
      <c r="X476" s="607">
        <f t="shared" si="68"/>
        <v>-140415.12</v>
      </c>
      <c r="Y476" s="702">
        <f t="shared" si="69"/>
        <v>-308216.88</v>
      </c>
      <c r="Z476" s="748">
        <v>62.91</v>
      </c>
      <c r="AA476" s="607">
        <f t="shared" si="70"/>
        <v>-140415.12</v>
      </c>
      <c r="AB476" s="749">
        <f t="shared" si="71"/>
        <v>-308216.88</v>
      </c>
      <c r="AC476" s="714"/>
    </row>
    <row r="477" spans="1:29" ht="15" customHeight="1" x14ac:dyDescent="0.25">
      <c r="A477" s="713"/>
      <c r="B477" s="714" t="s">
        <v>750</v>
      </c>
      <c r="C477" s="676" t="s">
        <v>40</v>
      </c>
      <c r="D477" s="676" t="s">
        <v>507</v>
      </c>
      <c r="E477" s="680">
        <v>44593</v>
      </c>
      <c r="F477" s="676">
        <v>672</v>
      </c>
      <c r="G477" s="676" t="s">
        <v>58</v>
      </c>
      <c r="H477" s="676" t="s">
        <v>3</v>
      </c>
      <c r="I477" s="676" t="s">
        <v>44</v>
      </c>
      <c r="J477" s="676" t="s">
        <v>84</v>
      </c>
      <c r="K477" s="676">
        <v>201</v>
      </c>
      <c r="L477" s="690" t="s">
        <v>54</v>
      </c>
      <c r="M477" s="691">
        <v>3</v>
      </c>
      <c r="N477" s="690">
        <v>0</v>
      </c>
      <c r="O477" s="691">
        <v>201</v>
      </c>
      <c r="P477" s="690">
        <v>0</v>
      </c>
      <c r="Q477" s="738">
        <f t="shared" si="63"/>
        <v>405216</v>
      </c>
      <c r="R477" s="677">
        <f t="shared" si="64"/>
        <v>0</v>
      </c>
      <c r="S477" s="739">
        <f t="shared" si="65"/>
        <v>-405216</v>
      </c>
      <c r="T477" s="738">
        <v>55.7</v>
      </c>
      <c r="U477" s="677">
        <f t="shared" si="66"/>
        <v>-112291.20000000001</v>
      </c>
      <c r="V477" s="739">
        <f t="shared" si="67"/>
        <v>-292924.79999999999</v>
      </c>
      <c r="W477" s="740">
        <v>55.7</v>
      </c>
      <c r="X477" s="678">
        <f t="shared" si="68"/>
        <v>-112291.20000000001</v>
      </c>
      <c r="Y477" s="700">
        <f t="shared" si="69"/>
        <v>-292924.79999999999</v>
      </c>
      <c r="Z477" s="740">
        <v>55.7</v>
      </c>
      <c r="AA477" s="678">
        <f t="shared" si="70"/>
        <v>-112291.20000000001</v>
      </c>
      <c r="AB477" s="741">
        <f t="shared" si="71"/>
        <v>-292924.79999999999</v>
      </c>
      <c r="AC477" s="714"/>
    </row>
    <row r="478" spans="1:29" ht="15" customHeight="1" x14ac:dyDescent="0.25">
      <c r="A478" s="713"/>
      <c r="B478" s="729" t="s">
        <v>750</v>
      </c>
      <c r="C478" s="545" t="s">
        <v>40</v>
      </c>
      <c r="D478" s="545" t="s">
        <v>507</v>
      </c>
      <c r="E478" s="681">
        <v>44621</v>
      </c>
      <c r="F478" s="545">
        <v>744</v>
      </c>
      <c r="G478" s="545" t="s">
        <v>58</v>
      </c>
      <c r="H478" s="545" t="s">
        <v>3</v>
      </c>
      <c r="I478" s="545" t="s">
        <v>44</v>
      </c>
      <c r="J478" s="545" t="s">
        <v>84</v>
      </c>
      <c r="K478" s="545">
        <v>201</v>
      </c>
      <c r="L478" s="725" t="s">
        <v>54</v>
      </c>
      <c r="M478" s="695">
        <v>3</v>
      </c>
      <c r="N478" s="725">
        <v>0</v>
      </c>
      <c r="O478" s="695">
        <v>201</v>
      </c>
      <c r="P478" s="725">
        <v>0</v>
      </c>
      <c r="Q478" s="742">
        <f t="shared" si="63"/>
        <v>448632</v>
      </c>
      <c r="R478" s="603">
        <f t="shared" si="64"/>
        <v>0</v>
      </c>
      <c r="S478" s="743">
        <f t="shared" si="65"/>
        <v>-448632</v>
      </c>
      <c r="T478" s="742">
        <v>55.7</v>
      </c>
      <c r="U478" s="603">
        <f t="shared" si="66"/>
        <v>-124322.40000000001</v>
      </c>
      <c r="V478" s="743">
        <f t="shared" si="67"/>
        <v>-324309.59999999998</v>
      </c>
      <c r="W478" s="744">
        <v>55.7</v>
      </c>
      <c r="X478" s="604">
        <f t="shared" si="68"/>
        <v>-124322.40000000001</v>
      </c>
      <c r="Y478" s="701">
        <f t="shared" si="69"/>
        <v>-324309.59999999998</v>
      </c>
      <c r="Z478" s="744">
        <v>55.7</v>
      </c>
      <c r="AA478" s="604">
        <f t="shared" si="70"/>
        <v>-124322.40000000001</v>
      </c>
      <c r="AB478" s="745">
        <f t="shared" si="71"/>
        <v>-324309.59999999998</v>
      </c>
      <c r="AC478" s="714"/>
    </row>
    <row r="479" spans="1:29" ht="15" customHeight="1" x14ac:dyDescent="0.25">
      <c r="A479" s="713"/>
      <c r="B479" s="730" t="s">
        <v>752</v>
      </c>
      <c r="C479" s="546" t="s">
        <v>40</v>
      </c>
      <c r="D479" s="546" t="s">
        <v>1689</v>
      </c>
      <c r="E479" s="682">
        <v>44743</v>
      </c>
      <c r="F479" s="546">
        <v>744</v>
      </c>
      <c r="G479" s="546" t="s">
        <v>59</v>
      </c>
      <c r="H479" s="546" t="s">
        <v>3</v>
      </c>
      <c r="I479" s="546" t="s">
        <v>44</v>
      </c>
      <c r="J479" s="546" t="s">
        <v>85</v>
      </c>
      <c r="K479" s="546">
        <v>290</v>
      </c>
      <c r="L479" s="726" t="s">
        <v>54</v>
      </c>
      <c r="M479" s="696">
        <v>0</v>
      </c>
      <c r="N479" s="726">
        <v>7</v>
      </c>
      <c r="O479" s="696">
        <v>0</v>
      </c>
      <c r="P479" s="726">
        <v>290</v>
      </c>
      <c r="Q479" s="746">
        <f t="shared" si="63"/>
        <v>0</v>
      </c>
      <c r="R479" s="606">
        <f t="shared" si="64"/>
        <v>1510320</v>
      </c>
      <c r="S479" s="747">
        <f t="shared" si="65"/>
        <v>1510320</v>
      </c>
      <c r="T479" s="746">
        <v>66.319999999999993</v>
      </c>
      <c r="U479" s="606">
        <f t="shared" si="66"/>
        <v>345394.55999999994</v>
      </c>
      <c r="V479" s="747">
        <f t="shared" si="67"/>
        <v>1164925.4399999999</v>
      </c>
      <c r="W479" s="748">
        <v>66.319999999999993</v>
      </c>
      <c r="X479" s="607">
        <f t="shared" si="68"/>
        <v>345394.55999999994</v>
      </c>
      <c r="Y479" s="702">
        <f t="shared" si="69"/>
        <v>1164925.4399999999</v>
      </c>
      <c r="Z479" s="748">
        <v>66.319999999999993</v>
      </c>
      <c r="AA479" s="607">
        <f t="shared" si="70"/>
        <v>345394.55999999994</v>
      </c>
      <c r="AB479" s="749">
        <f t="shared" si="71"/>
        <v>1164925.4399999999</v>
      </c>
      <c r="AC479" s="714"/>
    </row>
    <row r="480" spans="1:29" ht="15" customHeight="1" x14ac:dyDescent="0.25">
      <c r="A480" s="713"/>
      <c r="B480" s="714" t="s">
        <v>752</v>
      </c>
      <c r="C480" s="676" t="s">
        <v>40</v>
      </c>
      <c r="D480" s="676" t="s">
        <v>1689</v>
      </c>
      <c r="E480" s="680">
        <v>44774</v>
      </c>
      <c r="F480" s="676">
        <v>744</v>
      </c>
      <c r="G480" s="676" t="s">
        <v>59</v>
      </c>
      <c r="H480" s="676" t="s">
        <v>3</v>
      </c>
      <c r="I480" s="676" t="s">
        <v>44</v>
      </c>
      <c r="J480" s="676" t="s">
        <v>85</v>
      </c>
      <c r="K480" s="676">
        <v>290</v>
      </c>
      <c r="L480" s="690" t="s">
        <v>54</v>
      </c>
      <c r="M480" s="691">
        <v>0</v>
      </c>
      <c r="N480" s="690">
        <v>7</v>
      </c>
      <c r="O480" s="691">
        <v>0</v>
      </c>
      <c r="P480" s="690">
        <v>290</v>
      </c>
      <c r="Q480" s="738">
        <f t="shared" si="63"/>
        <v>0</v>
      </c>
      <c r="R480" s="677">
        <f t="shared" si="64"/>
        <v>1510320</v>
      </c>
      <c r="S480" s="739">
        <f t="shared" si="65"/>
        <v>1510320</v>
      </c>
      <c r="T480" s="738">
        <v>76.900000000000006</v>
      </c>
      <c r="U480" s="677">
        <f t="shared" si="66"/>
        <v>400495.2</v>
      </c>
      <c r="V480" s="739">
        <f t="shared" si="67"/>
        <v>1109824.8</v>
      </c>
      <c r="W480" s="740">
        <v>76.900000000000006</v>
      </c>
      <c r="X480" s="678">
        <f t="shared" si="68"/>
        <v>400495.2</v>
      </c>
      <c r="Y480" s="700">
        <f t="shared" si="69"/>
        <v>1109824.8</v>
      </c>
      <c r="Z480" s="740">
        <v>76.900000000000006</v>
      </c>
      <c r="AA480" s="678">
        <f t="shared" si="70"/>
        <v>400495.2</v>
      </c>
      <c r="AB480" s="741">
        <f t="shared" si="71"/>
        <v>1109824.8</v>
      </c>
      <c r="AC480" s="714"/>
    </row>
    <row r="481" spans="1:29" ht="15" customHeight="1" x14ac:dyDescent="0.25">
      <c r="A481" s="713"/>
      <c r="B481" s="729" t="s">
        <v>752</v>
      </c>
      <c r="C481" s="545" t="s">
        <v>40</v>
      </c>
      <c r="D481" s="545" t="s">
        <v>1689</v>
      </c>
      <c r="E481" s="681">
        <v>44805</v>
      </c>
      <c r="F481" s="545">
        <v>720</v>
      </c>
      <c r="G481" s="545" t="s">
        <v>59</v>
      </c>
      <c r="H481" s="545" t="s">
        <v>3</v>
      </c>
      <c r="I481" s="545" t="s">
        <v>44</v>
      </c>
      <c r="J481" s="545" t="s">
        <v>85</v>
      </c>
      <c r="K481" s="545">
        <v>290</v>
      </c>
      <c r="L481" s="725" t="s">
        <v>54</v>
      </c>
      <c r="M481" s="695">
        <v>0</v>
      </c>
      <c r="N481" s="725">
        <v>7</v>
      </c>
      <c r="O481" s="695">
        <v>0</v>
      </c>
      <c r="P481" s="725">
        <v>290</v>
      </c>
      <c r="Q481" s="742">
        <f t="shared" si="63"/>
        <v>0</v>
      </c>
      <c r="R481" s="603">
        <f t="shared" si="64"/>
        <v>1461600</v>
      </c>
      <c r="S481" s="743">
        <f t="shared" si="65"/>
        <v>1461600</v>
      </c>
      <c r="T481" s="742">
        <v>56.08</v>
      </c>
      <c r="U481" s="603">
        <f t="shared" si="66"/>
        <v>282643.20000000001</v>
      </c>
      <c r="V481" s="743">
        <f t="shared" si="67"/>
        <v>1178956.8</v>
      </c>
      <c r="W481" s="744">
        <v>56.08</v>
      </c>
      <c r="X481" s="604">
        <f t="shared" si="68"/>
        <v>282643.20000000001</v>
      </c>
      <c r="Y481" s="701">
        <f t="shared" si="69"/>
        <v>1178956.8</v>
      </c>
      <c r="Z481" s="744">
        <v>56.08</v>
      </c>
      <c r="AA481" s="604">
        <f t="shared" si="70"/>
        <v>282643.20000000001</v>
      </c>
      <c r="AB481" s="745">
        <f t="shared" si="71"/>
        <v>1178956.8</v>
      </c>
      <c r="AC481" s="714"/>
    </row>
    <row r="482" spans="1:29" ht="15" customHeight="1" x14ac:dyDescent="0.25">
      <c r="A482" s="713"/>
      <c r="B482" s="730" t="s">
        <v>754</v>
      </c>
      <c r="C482" s="546" t="s">
        <v>40</v>
      </c>
      <c r="D482" s="546" t="s">
        <v>503</v>
      </c>
      <c r="E482" s="682">
        <v>44652</v>
      </c>
      <c r="F482" s="546">
        <v>720</v>
      </c>
      <c r="G482" s="546" t="s">
        <v>58</v>
      </c>
      <c r="H482" s="546" t="s">
        <v>3</v>
      </c>
      <c r="I482" s="546" t="s">
        <v>44</v>
      </c>
      <c r="J482" s="546" t="s">
        <v>84</v>
      </c>
      <c r="K482" s="546">
        <v>187</v>
      </c>
      <c r="L482" s="726" t="s">
        <v>54</v>
      </c>
      <c r="M482" s="696">
        <v>4</v>
      </c>
      <c r="N482" s="726">
        <v>0</v>
      </c>
      <c r="O482" s="696">
        <v>187</v>
      </c>
      <c r="P482" s="726">
        <v>0</v>
      </c>
      <c r="Q482" s="746">
        <f t="shared" si="63"/>
        <v>538560</v>
      </c>
      <c r="R482" s="606">
        <f t="shared" si="64"/>
        <v>0</v>
      </c>
      <c r="S482" s="747">
        <f t="shared" si="65"/>
        <v>-538560</v>
      </c>
      <c r="T482" s="746">
        <v>55.7</v>
      </c>
      <c r="U482" s="606">
        <f t="shared" si="66"/>
        <v>-160416</v>
      </c>
      <c r="V482" s="747">
        <f t="shared" si="67"/>
        <v>-378144</v>
      </c>
      <c r="W482" s="748">
        <v>55.7</v>
      </c>
      <c r="X482" s="607">
        <f t="shared" si="68"/>
        <v>-160416</v>
      </c>
      <c r="Y482" s="702">
        <f t="shared" si="69"/>
        <v>-378144</v>
      </c>
      <c r="Z482" s="748">
        <v>55.7</v>
      </c>
      <c r="AA482" s="607">
        <f t="shared" si="70"/>
        <v>-160416</v>
      </c>
      <c r="AB482" s="749">
        <f t="shared" si="71"/>
        <v>-378144</v>
      </c>
      <c r="AC482" s="714"/>
    </row>
    <row r="483" spans="1:29" ht="15" customHeight="1" x14ac:dyDescent="0.25">
      <c r="A483" s="713"/>
      <c r="B483" s="714" t="s">
        <v>754</v>
      </c>
      <c r="C483" s="676" t="s">
        <v>40</v>
      </c>
      <c r="D483" s="676" t="s">
        <v>503</v>
      </c>
      <c r="E483" s="680">
        <v>44682</v>
      </c>
      <c r="F483" s="676">
        <v>744</v>
      </c>
      <c r="G483" s="676" t="s">
        <v>58</v>
      </c>
      <c r="H483" s="676" t="s">
        <v>3</v>
      </c>
      <c r="I483" s="676" t="s">
        <v>44</v>
      </c>
      <c r="J483" s="676" t="s">
        <v>84</v>
      </c>
      <c r="K483" s="676">
        <v>187</v>
      </c>
      <c r="L483" s="690" t="s">
        <v>54</v>
      </c>
      <c r="M483" s="691">
        <v>4</v>
      </c>
      <c r="N483" s="690">
        <v>0</v>
      </c>
      <c r="O483" s="691">
        <v>187</v>
      </c>
      <c r="P483" s="690">
        <v>0</v>
      </c>
      <c r="Q483" s="738">
        <f t="shared" si="63"/>
        <v>556512</v>
      </c>
      <c r="R483" s="677">
        <f t="shared" si="64"/>
        <v>0</v>
      </c>
      <c r="S483" s="739">
        <f t="shared" si="65"/>
        <v>-556512</v>
      </c>
      <c r="T483" s="738">
        <v>55.7</v>
      </c>
      <c r="U483" s="677">
        <f t="shared" si="66"/>
        <v>-165763.20000000001</v>
      </c>
      <c r="V483" s="739">
        <f t="shared" si="67"/>
        <v>-390748.8</v>
      </c>
      <c r="W483" s="740">
        <v>55.7</v>
      </c>
      <c r="X483" s="678">
        <f t="shared" si="68"/>
        <v>-165763.20000000001</v>
      </c>
      <c r="Y483" s="700">
        <f t="shared" si="69"/>
        <v>-390748.8</v>
      </c>
      <c r="Z483" s="740">
        <v>55.7</v>
      </c>
      <c r="AA483" s="678">
        <f t="shared" si="70"/>
        <v>-165763.20000000001</v>
      </c>
      <c r="AB483" s="741">
        <f t="shared" si="71"/>
        <v>-390748.8</v>
      </c>
      <c r="AC483" s="714"/>
    </row>
    <row r="484" spans="1:29" ht="15" customHeight="1" x14ac:dyDescent="0.25">
      <c r="A484" s="713"/>
      <c r="B484" s="729" t="s">
        <v>754</v>
      </c>
      <c r="C484" s="545" t="s">
        <v>40</v>
      </c>
      <c r="D484" s="545" t="s">
        <v>503</v>
      </c>
      <c r="E484" s="681">
        <v>44713</v>
      </c>
      <c r="F484" s="545">
        <v>720</v>
      </c>
      <c r="G484" s="545" t="s">
        <v>58</v>
      </c>
      <c r="H484" s="545" t="s">
        <v>3</v>
      </c>
      <c r="I484" s="545" t="s">
        <v>44</v>
      </c>
      <c r="J484" s="545" t="s">
        <v>84</v>
      </c>
      <c r="K484" s="545">
        <v>187</v>
      </c>
      <c r="L484" s="725" t="s">
        <v>54</v>
      </c>
      <c r="M484" s="695">
        <v>4</v>
      </c>
      <c r="N484" s="725">
        <v>0</v>
      </c>
      <c r="O484" s="695">
        <v>187</v>
      </c>
      <c r="P484" s="725">
        <v>0</v>
      </c>
      <c r="Q484" s="742">
        <f t="shared" si="63"/>
        <v>538560</v>
      </c>
      <c r="R484" s="603">
        <f t="shared" si="64"/>
        <v>0</v>
      </c>
      <c r="S484" s="743">
        <f t="shared" si="65"/>
        <v>-538560</v>
      </c>
      <c r="T484" s="742">
        <v>55.71</v>
      </c>
      <c r="U484" s="603">
        <f t="shared" si="66"/>
        <v>-160444.79999999999</v>
      </c>
      <c r="V484" s="743">
        <f t="shared" si="67"/>
        <v>-378115.2</v>
      </c>
      <c r="W484" s="744">
        <v>55.71</v>
      </c>
      <c r="X484" s="604">
        <f t="shared" si="68"/>
        <v>-160444.79999999999</v>
      </c>
      <c r="Y484" s="701">
        <f t="shared" si="69"/>
        <v>-378115.2</v>
      </c>
      <c r="Z484" s="744">
        <v>55.71</v>
      </c>
      <c r="AA484" s="604">
        <f t="shared" si="70"/>
        <v>-160444.79999999999</v>
      </c>
      <c r="AB484" s="745">
        <f t="shared" si="71"/>
        <v>-378115.2</v>
      </c>
      <c r="AC484" s="714"/>
    </row>
    <row r="485" spans="1:29" ht="15" customHeight="1" x14ac:dyDescent="0.25">
      <c r="A485" s="713"/>
      <c r="B485" s="730" t="s">
        <v>756</v>
      </c>
      <c r="C485" s="546" t="s">
        <v>40</v>
      </c>
      <c r="D485" s="546" t="s">
        <v>590</v>
      </c>
      <c r="E485" s="682">
        <v>44652</v>
      </c>
      <c r="F485" s="546">
        <v>720</v>
      </c>
      <c r="G485" s="546" t="s">
        <v>58</v>
      </c>
      <c r="H485" s="546" t="s">
        <v>3</v>
      </c>
      <c r="I485" s="546" t="s">
        <v>44</v>
      </c>
      <c r="J485" s="546" t="s">
        <v>84</v>
      </c>
      <c r="K485" s="546">
        <v>187</v>
      </c>
      <c r="L485" s="726" t="s">
        <v>54</v>
      </c>
      <c r="M485" s="696">
        <v>1</v>
      </c>
      <c r="N485" s="726">
        <v>0</v>
      </c>
      <c r="O485" s="696">
        <v>187</v>
      </c>
      <c r="P485" s="726">
        <v>0</v>
      </c>
      <c r="Q485" s="746">
        <f t="shared" si="63"/>
        <v>134640</v>
      </c>
      <c r="R485" s="606">
        <f t="shared" si="64"/>
        <v>0</v>
      </c>
      <c r="S485" s="747">
        <f t="shared" si="65"/>
        <v>-134640</v>
      </c>
      <c r="T485" s="746">
        <v>55.7</v>
      </c>
      <c r="U485" s="606">
        <f t="shared" si="66"/>
        <v>-40104</v>
      </c>
      <c r="V485" s="747">
        <f t="shared" si="67"/>
        <v>-94536</v>
      </c>
      <c r="W485" s="748">
        <v>55.7</v>
      </c>
      <c r="X485" s="607">
        <f t="shared" si="68"/>
        <v>-40104</v>
      </c>
      <c r="Y485" s="702">
        <f t="shared" si="69"/>
        <v>-94536</v>
      </c>
      <c r="Z485" s="748">
        <v>55.7</v>
      </c>
      <c r="AA485" s="607">
        <f t="shared" si="70"/>
        <v>-40104</v>
      </c>
      <c r="AB485" s="749">
        <f t="shared" si="71"/>
        <v>-94536</v>
      </c>
      <c r="AC485" s="714"/>
    </row>
    <row r="486" spans="1:29" ht="15" customHeight="1" x14ac:dyDescent="0.25">
      <c r="A486" s="713"/>
      <c r="B486" s="714" t="s">
        <v>756</v>
      </c>
      <c r="C486" s="676" t="s">
        <v>40</v>
      </c>
      <c r="D486" s="676" t="s">
        <v>590</v>
      </c>
      <c r="E486" s="680">
        <v>44682</v>
      </c>
      <c r="F486" s="676">
        <v>744</v>
      </c>
      <c r="G486" s="676" t="s">
        <v>58</v>
      </c>
      <c r="H486" s="676" t="s">
        <v>3</v>
      </c>
      <c r="I486" s="676" t="s">
        <v>44</v>
      </c>
      <c r="J486" s="676" t="s">
        <v>84</v>
      </c>
      <c r="K486" s="676">
        <v>187</v>
      </c>
      <c r="L486" s="690" t="s">
        <v>54</v>
      </c>
      <c r="M486" s="691">
        <v>1</v>
      </c>
      <c r="N486" s="690">
        <v>0</v>
      </c>
      <c r="O486" s="691">
        <v>187</v>
      </c>
      <c r="P486" s="690">
        <v>0</v>
      </c>
      <c r="Q486" s="738">
        <f t="shared" si="63"/>
        <v>139128</v>
      </c>
      <c r="R486" s="677">
        <f t="shared" si="64"/>
        <v>0</v>
      </c>
      <c r="S486" s="739">
        <f t="shared" si="65"/>
        <v>-139128</v>
      </c>
      <c r="T486" s="738">
        <v>55.7</v>
      </c>
      <c r="U486" s="677">
        <f t="shared" si="66"/>
        <v>-41440.800000000003</v>
      </c>
      <c r="V486" s="739">
        <f t="shared" si="67"/>
        <v>-97687.2</v>
      </c>
      <c r="W486" s="740">
        <v>55.7</v>
      </c>
      <c r="X486" s="678">
        <f t="shared" si="68"/>
        <v>-41440.800000000003</v>
      </c>
      <c r="Y486" s="700">
        <f t="shared" si="69"/>
        <v>-97687.2</v>
      </c>
      <c r="Z486" s="740">
        <v>55.7</v>
      </c>
      <c r="AA486" s="678">
        <f t="shared" si="70"/>
        <v>-41440.800000000003</v>
      </c>
      <c r="AB486" s="741">
        <f t="shared" si="71"/>
        <v>-97687.2</v>
      </c>
      <c r="AC486" s="714"/>
    </row>
    <row r="487" spans="1:29" ht="15" customHeight="1" x14ac:dyDescent="0.25">
      <c r="A487" s="713"/>
      <c r="B487" s="729" t="s">
        <v>756</v>
      </c>
      <c r="C487" s="545" t="s">
        <v>40</v>
      </c>
      <c r="D487" s="545" t="s">
        <v>590</v>
      </c>
      <c r="E487" s="681">
        <v>44713</v>
      </c>
      <c r="F487" s="545">
        <v>720</v>
      </c>
      <c r="G487" s="545" t="s">
        <v>58</v>
      </c>
      <c r="H487" s="545" t="s">
        <v>3</v>
      </c>
      <c r="I487" s="545" t="s">
        <v>44</v>
      </c>
      <c r="J487" s="545" t="s">
        <v>84</v>
      </c>
      <c r="K487" s="545">
        <v>187</v>
      </c>
      <c r="L487" s="725" t="s">
        <v>54</v>
      </c>
      <c r="M487" s="695">
        <v>1</v>
      </c>
      <c r="N487" s="725">
        <v>0</v>
      </c>
      <c r="O487" s="695">
        <v>187</v>
      </c>
      <c r="P487" s="725">
        <v>0</v>
      </c>
      <c r="Q487" s="742">
        <f t="shared" si="63"/>
        <v>134640</v>
      </c>
      <c r="R487" s="603">
        <f t="shared" si="64"/>
        <v>0</v>
      </c>
      <c r="S487" s="743">
        <f t="shared" si="65"/>
        <v>-134640</v>
      </c>
      <c r="T487" s="742">
        <v>55.71</v>
      </c>
      <c r="U487" s="603">
        <f t="shared" si="66"/>
        <v>-40111.199999999997</v>
      </c>
      <c r="V487" s="743">
        <f t="shared" si="67"/>
        <v>-94528.8</v>
      </c>
      <c r="W487" s="744">
        <v>55.71</v>
      </c>
      <c r="X487" s="604">
        <f t="shared" si="68"/>
        <v>-40111.199999999997</v>
      </c>
      <c r="Y487" s="701">
        <f t="shared" si="69"/>
        <v>-94528.8</v>
      </c>
      <c r="Z487" s="744">
        <v>55.71</v>
      </c>
      <c r="AA487" s="604">
        <f t="shared" si="70"/>
        <v>-40111.199999999997</v>
      </c>
      <c r="AB487" s="745">
        <f t="shared" si="71"/>
        <v>-94528.8</v>
      </c>
      <c r="AC487" s="714"/>
    </row>
    <row r="488" spans="1:29" ht="15" customHeight="1" x14ac:dyDescent="0.25">
      <c r="A488" s="713"/>
      <c r="B488" s="730" t="s">
        <v>758</v>
      </c>
      <c r="C488" s="546" t="s">
        <v>40</v>
      </c>
      <c r="D488" s="546" t="s">
        <v>356</v>
      </c>
      <c r="E488" s="682">
        <v>44743</v>
      </c>
      <c r="F488" s="546">
        <v>744</v>
      </c>
      <c r="G488" s="546" t="s">
        <v>59</v>
      </c>
      <c r="H488" s="546" t="s">
        <v>3</v>
      </c>
      <c r="I488" s="546" t="s">
        <v>44</v>
      </c>
      <c r="J488" s="546" t="s">
        <v>85</v>
      </c>
      <c r="K488" s="546">
        <v>278</v>
      </c>
      <c r="L488" s="726" t="s">
        <v>54</v>
      </c>
      <c r="M488" s="696">
        <v>0</v>
      </c>
      <c r="N488" s="726">
        <v>3</v>
      </c>
      <c r="O488" s="696">
        <v>0</v>
      </c>
      <c r="P488" s="726">
        <v>278</v>
      </c>
      <c r="Q488" s="746">
        <f t="shared" si="63"/>
        <v>0</v>
      </c>
      <c r="R488" s="606">
        <f t="shared" si="64"/>
        <v>620496</v>
      </c>
      <c r="S488" s="747">
        <f t="shared" si="65"/>
        <v>620496</v>
      </c>
      <c r="T488" s="746">
        <v>66.319999999999993</v>
      </c>
      <c r="U488" s="606">
        <f t="shared" si="66"/>
        <v>148026.23999999999</v>
      </c>
      <c r="V488" s="747">
        <f t="shared" si="67"/>
        <v>472469.76000000001</v>
      </c>
      <c r="W488" s="748">
        <v>66.319999999999993</v>
      </c>
      <c r="X488" s="607">
        <f t="shared" si="68"/>
        <v>148026.23999999999</v>
      </c>
      <c r="Y488" s="702">
        <f t="shared" si="69"/>
        <v>472469.76000000001</v>
      </c>
      <c r="Z488" s="748">
        <v>66.319999999999993</v>
      </c>
      <c r="AA488" s="607">
        <f t="shared" si="70"/>
        <v>148026.23999999999</v>
      </c>
      <c r="AB488" s="749">
        <f t="shared" si="71"/>
        <v>472469.76000000001</v>
      </c>
      <c r="AC488" s="714"/>
    </row>
    <row r="489" spans="1:29" ht="15" customHeight="1" x14ac:dyDescent="0.25">
      <c r="A489" s="713"/>
      <c r="B489" s="714" t="s">
        <v>758</v>
      </c>
      <c r="C489" s="676" t="s">
        <v>40</v>
      </c>
      <c r="D489" s="676" t="s">
        <v>356</v>
      </c>
      <c r="E489" s="680">
        <v>44774</v>
      </c>
      <c r="F489" s="676">
        <v>744</v>
      </c>
      <c r="G489" s="676" t="s">
        <v>59</v>
      </c>
      <c r="H489" s="676" t="s">
        <v>3</v>
      </c>
      <c r="I489" s="676" t="s">
        <v>44</v>
      </c>
      <c r="J489" s="676" t="s">
        <v>85</v>
      </c>
      <c r="K489" s="676">
        <v>278</v>
      </c>
      <c r="L489" s="690" t="s">
        <v>54</v>
      </c>
      <c r="M489" s="691">
        <v>0</v>
      </c>
      <c r="N489" s="690">
        <v>3</v>
      </c>
      <c r="O489" s="691">
        <v>0</v>
      </c>
      <c r="P489" s="690">
        <v>278</v>
      </c>
      <c r="Q489" s="738">
        <f t="shared" si="63"/>
        <v>0</v>
      </c>
      <c r="R489" s="677">
        <f t="shared" si="64"/>
        <v>620496</v>
      </c>
      <c r="S489" s="739">
        <f t="shared" si="65"/>
        <v>620496</v>
      </c>
      <c r="T489" s="738">
        <v>76.900000000000006</v>
      </c>
      <c r="U489" s="677">
        <f t="shared" si="66"/>
        <v>171640.80000000002</v>
      </c>
      <c r="V489" s="739">
        <f t="shared" si="67"/>
        <v>448855.19999999995</v>
      </c>
      <c r="W489" s="740">
        <v>76.900000000000006</v>
      </c>
      <c r="X489" s="678">
        <f t="shared" si="68"/>
        <v>171640.80000000002</v>
      </c>
      <c r="Y489" s="700">
        <f t="shared" si="69"/>
        <v>448855.19999999995</v>
      </c>
      <c r="Z489" s="740">
        <v>76.900000000000006</v>
      </c>
      <c r="AA489" s="678">
        <f t="shared" si="70"/>
        <v>171640.80000000002</v>
      </c>
      <c r="AB489" s="741">
        <f t="shared" si="71"/>
        <v>448855.19999999995</v>
      </c>
      <c r="AC489" s="714"/>
    </row>
    <row r="490" spans="1:29" ht="15" customHeight="1" x14ac:dyDescent="0.25">
      <c r="A490" s="713"/>
      <c r="B490" s="714" t="s">
        <v>758</v>
      </c>
      <c r="C490" s="676" t="s">
        <v>40</v>
      </c>
      <c r="D490" s="676" t="s">
        <v>356</v>
      </c>
      <c r="E490" s="680">
        <v>44805</v>
      </c>
      <c r="F490" s="676">
        <v>720</v>
      </c>
      <c r="G490" s="676" t="s">
        <v>59</v>
      </c>
      <c r="H490" s="676" t="s">
        <v>3</v>
      </c>
      <c r="I490" s="676" t="s">
        <v>44</v>
      </c>
      <c r="J490" s="676" t="s">
        <v>85</v>
      </c>
      <c r="K490" s="676">
        <v>278</v>
      </c>
      <c r="L490" s="690" t="s">
        <v>54</v>
      </c>
      <c r="M490" s="691">
        <v>0</v>
      </c>
      <c r="N490" s="690">
        <v>3</v>
      </c>
      <c r="O490" s="691">
        <v>0</v>
      </c>
      <c r="P490" s="690">
        <v>278</v>
      </c>
      <c r="Q490" s="738">
        <f t="shared" si="63"/>
        <v>0</v>
      </c>
      <c r="R490" s="677">
        <f t="shared" si="64"/>
        <v>600480</v>
      </c>
      <c r="S490" s="739">
        <f t="shared" si="65"/>
        <v>600480</v>
      </c>
      <c r="T490" s="738">
        <v>56.08</v>
      </c>
      <c r="U490" s="677">
        <f t="shared" si="66"/>
        <v>121132.8</v>
      </c>
      <c r="V490" s="739">
        <f t="shared" si="67"/>
        <v>479347.20000000001</v>
      </c>
      <c r="W490" s="740">
        <v>56.08</v>
      </c>
      <c r="X490" s="678">
        <f t="shared" si="68"/>
        <v>121132.8</v>
      </c>
      <c r="Y490" s="700">
        <f t="shared" si="69"/>
        <v>479347.20000000001</v>
      </c>
      <c r="Z490" s="740">
        <v>56.08</v>
      </c>
      <c r="AA490" s="678">
        <f t="shared" si="70"/>
        <v>121132.8</v>
      </c>
      <c r="AB490" s="741">
        <f t="shared" si="71"/>
        <v>479347.20000000001</v>
      </c>
      <c r="AC490" s="714"/>
    </row>
    <row r="491" spans="1:29" ht="15" customHeight="1" x14ac:dyDescent="0.25">
      <c r="A491" s="713"/>
      <c r="B491" s="714" t="s">
        <v>758</v>
      </c>
      <c r="C491" s="676" t="s">
        <v>40</v>
      </c>
      <c r="D491" s="676" t="s">
        <v>356</v>
      </c>
      <c r="E491" s="680">
        <v>44835</v>
      </c>
      <c r="F491" s="676">
        <v>744</v>
      </c>
      <c r="G491" s="676" t="s">
        <v>59</v>
      </c>
      <c r="H491" s="676" t="s">
        <v>3</v>
      </c>
      <c r="I491" s="676" t="s">
        <v>44</v>
      </c>
      <c r="J491" s="676" t="s">
        <v>85</v>
      </c>
      <c r="K491" s="676">
        <v>278</v>
      </c>
      <c r="L491" s="690" t="s">
        <v>54</v>
      </c>
      <c r="M491" s="691">
        <v>0</v>
      </c>
      <c r="N491" s="690">
        <v>3</v>
      </c>
      <c r="O491" s="691">
        <v>0</v>
      </c>
      <c r="P491" s="690">
        <v>278</v>
      </c>
      <c r="Q491" s="738">
        <f t="shared" si="63"/>
        <v>0</v>
      </c>
      <c r="R491" s="677">
        <f t="shared" si="64"/>
        <v>620496</v>
      </c>
      <c r="S491" s="739">
        <f t="shared" si="65"/>
        <v>620496</v>
      </c>
      <c r="T491" s="738">
        <v>55.7</v>
      </c>
      <c r="U491" s="677">
        <f t="shared" si="66"/>
        <v>124322.40000000001</v>
      </c>
      <c r="V491" s="739">
        <f t="shared" si="67"/>
        <v>496173.6</v>
      </c>
      <c r="W491" s="740">
        <v>55.7</v>
      </c>
      <c r="X491" s="678">
        <f t="shared" si="68"/>
        <v>124322.40000000001</v>
      </c>
      <c r="Y491" s="700">
        <f t="shared" si="69"/>
        <v>496173.6</v>
      </c>
      <c r="Z491" s="740">
        <v>55.7</v>
      </c>
      <c r="AA491" s="678">
        <f t="shared" si="70"/>
        <v>124322.40000000001</v>
      </c>
      <c r="AB491" s="741">
        <f t="shared" si="71"/>
        <v>496173.6</v>
      </c>
      <c r="AC491" s="714"/>
    </row>
    <row r="492" spans="1:29" ht="15" customHeight="1" x14ac:dyDescent="0.25">
      <c r="A492" s="713"/>
      <c r="B492" s="714" t="s">
        <v>758</v>
      </c>
      <c r="C492" s="676" t="s">
        <v>40</v>
      </c>
      <c r="D492" s="676" t="s">
        <v>356</v>
      </c>
      <c r="E492" s="680">
        <v>44866</v>
      </c>
      <c r="F492" s="676">
        <v>720</v>
      </c>
      <c r="G492" s="676" t="s">
        <v>59</v>
      </c>
      <c r="H492" s="676" t="s">
        <v>3</v>
      </c>
      <c r="I492" s="676" t="s">
        <v>44</v>
      </c>
      <c r="J492" s="676" t="s">
        <v>85</v>
      </c>
      <c r="K492" s="676">
        <v>278</v>
      </c>
      <c r="L492" s="690" t="s">
        <v>54</v>
      </c>
      <c r="M492" s="691">
        <v>0</v>
      </c>
      <c r="N492" s="690">
        <v>3</v>
      </c>
      <c r="O492" s="691">
        <v>0</v>
      </c>
      <c r="P492" s="690">
        <v>278</v>
      </c>
      <c r="Q492" s="738">
        <f t="shared" si="63"/>
        <v>0</v>
      </c>
      <c r="R492" s="677">
        <f t="shared" si="64"/>
        <v>600480</v>
      </c>
      <c r="S492" s="739">
        <f t="shared" si="65"/>
        <v>600480</v>
      </c>
      <c r="T492" s="738">
        <v>55.7</v>
      </c>
      <c r="U492" s="677">
        <f t="shared" si="66"/>
        <v>120312</v>
      </c>
      <c r="V492" s="739">
        <f t="shared" si="67"/>
        <v>480168</v>
      </c>
      <c r="W492" s="740">
        <v>55.7</v>
      </c>
      <c r="X492" s="678">
        <f t="shared" si="68"/>
        <v>120312</v>
      </c>
      <c r="Y492" s="700">
        <f t="shared" si="69"/>
        <v>480168</v>
      </c>
      <c r="Z492" s="740">
        <v>55.7</v>
      </c>
      <c r="AA492" s="678">
        <f t="shared" si="70"/>
        <v>120312</v>
      </c>
      <c r="AB492" s="741">
        <f t="shared" si="71"/>
        <v>480168</v>
      </c>
      <c r="AC492" s="714"/>
    </row>
    <row r="493" spans="1:29" ht="15" customHeight="1" x14ac:dyDescent="0.25">
      <c r="A493" s="713"/>
      <c r="B493" s="729" t="s">
        <v>758</v>
      </c>
      <c r="C493" s="545" t="s">
        <v>40</v>
      </c>
      <c r="D493" s="545" t="s">
        <v>356</v>
      </c>
      <c r="E493" s="681">
        <v>44896</v>
      </c>
      <c r="F493" s="545">
        <v>744</v>
      </c>
      <c r="G493" s="545" t="s">
        <v>59</v>
      </c>
      <c r="H493" s="545" t="s">
        <v>3</v>
      </c>
      <c r="I493" s="545" t="s">
        <v>44</v>
      </c>
      <c r="J493" s="545" t="s">
        <v>85</v>
      </c>
      <c r="K493" s="545">
        <v>278</v>
      </c>
      <c r="L493" s="725" t="s">
        <v>54</v>
      </c>
      <c r="M493" s="695">
        <v>0</v>
      </c>
      <c r="N493" s="725">
        <v>3</v>
      </c>
      <c r="O493" s="695">
        <v>0</v>
      </c>
      <c r="P493" s="725">
        <v>278</v>
      </c>
      <c r="Q493" s="742">
        <f t="shared" si="63"/>
        <v>0</v>
      </c>
      <c r="R493" s="603">
        <f t="shared" si="64"/>
        <v>620496</v>
      </c>
      <c r="S493" s="743">
        <f t="shared" si="65"/>
        <v>620496</v>
      </c>
      <c r="T493" s="742">
        <v>55.7</v>
      </c>
      <c r="U493" s="603">
        <f t="shared" si="66"/>
        <v>124322.40000000001</v>
      </c>
      <c r="V493" s="743">
        <f t="shared" si="67"/>
        <v>496173.6</v>
      </c>
      <c r="W493" s="744">
        <v>55.7</v>
      </c>
      <c r="X493" s="604">
        <f t="shared" si="68"/>
        <v>124322.40000000001</v>
      </c>
      <c r="Y493" s="701">
        <f t="shared" si="69"/>
        <v>496173.6</v>
      </c>
      <c r="Z493" s="744">
        <v>78.400653594793155</v>
      </c>
      <c r="AA493" s="604">
        <f t="shared" si="70"/>
        <v>174990.25882357833</v>
      </c>
      <c r="AB493" s="745">
        <f t="shared" si="71"/>
        <v>445505.74117642164</v>
      </c>
      <c r="AC493" s="714"/>
    </row>
    <row r="494" spans="1:29" ht="15" customHeight="1" x14ac:dyDescent="0.25">
      <c r="A494" s="713"/>
      <c r="B494" s="731" t="s">
        <v>760</v>
      </c>
      <c r="C494" s="547" t="s">
        <v>40</v>
      </c>
      <c r="D494" s="547" t="s">
        <v>503</v>
      </c>
      <c r="E494" s="683">
        <v>44562</v>
      </c>
      <c r="F494" s="547">
        <v>744</v>
      </c>
      <c r="G494" s="547" t="s">
        <v>58</v>
      </c>
      <c r="H494" s="547" t="s">
        <v>3</v>
      </c>
      <c r="I494" s="547" t="s">
        <v>44</v>
      </c>
      <c r="J494" s="547" t="s">
        <v>84</v>
      </c>
      <c r="K494" s="547">
        <v>182</v>
      </c>
      <c r="L494" s="727" t="s">
        <v>54</v>
      </c>
      <c r="M494" s="697">
        <v>3</v>
      </c>
      <c r="N494" s="727">
        <v>0</v>
      </c>
      <c r="O494" s="697">
        <v>182</v>
      </c>
      <c r="P494" s="727">
        <v>0</v>
      </c>
      <c r="Q494" s="750">
        <f t="shared" si="63"/>
        <v>406224</v>
      </c>
      <c r="R494" s="608">
        <f t="shared" si="64"/>
        <v>0</v>
      </c>
      <c r="S494" s="751">
        <f t="shared" si="65"/>
        <v>-406224</v>
      </c>
      <c r="T494" s="750">
        <v>62.91</v>
      </c>
      <c r="U494" s="608">
        <f t="shared" si="66"/>
        <v>-140415.12</v>
      </c>
      <c r="V494" s="751">
        <f t="shared" si="67"/>
        <v>-265808.88</v>
      </c>
      <c r="W494" s="752">
        <v>62.91</v>
      </c>
      <c r="X494" s="609">
        <f t="shared" si="68"/>
        <v>-140415.12</v>
      </c>
      <c r="Y494" s="703">
        <f t="shared" si="69"/>
        <v>-265808.88</v>
      </c>
      <c r="Z494" s="752">
        <v>62.91</v>
      </c>
      <c r="AA494" s="609">
        <f t="shared" si="70"/>
        <v>-140415.12</v>
      </c>
      <c r="AB494" s="753">
        <f t="shared" si="71"/>
        <v>-265808.88</v>
      </c>
      <c r="AC494" s="714"/>
    </row>
    <row r="495" spans="1:29" ht="15" customHeight="1" x14ac:dyDescent="0.25">
      <c r="A495" s="713"/>
      <c r="B495" s="730" t="s">
        <v>761</v>
      </c>
      <c r="C495" s="546" t="s">
        <v>40</v>
      </c>
      <c r="D495" s="546" t="s">
        <v>506</v>
      </c>
      <c r="E495" s="682">
        <v>44562</v>
      </c>
      <c r="F495" s="546">
        <v>744</v>
      </c>
      <c r="G495" s="546" t="s">
        <v>58</v>
      </c>
      <c r="H495" s="546" t="s">
        <v>3</v>
      </c>
      <c r="I495" s="546" t="s">
        <v>44</v>
      </c>
      <c r="J495" s="546" t="s">
        <v>84</v>
      </c>
      <c r="K495" s="546">
        <v>202</v>
      </c>
      <c r="L495" s="726" t="s">
        <v>54</v>
      </c>
      <c r="M495" s="696">
        <v>5</v>
      </c>
      <c r="N495" s="726">
        <v>0</v>
      </c>
      <c r="O495" s="696">
        <v>202</v>
      </c>
      <c r="P495" s="726">
        <v>0</v>
      </c>
      <c r="Q495" s="746">
        <f t="shared" si="63"/>
        <v>751440</v>
      </c>
      <c r="R495" s="606">
        <f t="shared" si="64"/>
        <v>0</v>
      </c>
      <c r="S495" s="747">
        <f t="shared" si="65"/>
        <v>-751440</v>
      </c>
      <c r="T495" s="746">
        <v>62.91</v>
      </c>
      <c r="U495" s="606">
        <f t="shared" si="66"/>
        <v>-234025.19999999998</v>
      </c>
      <c r="V495" s="747">
        <f t="shared" si="67"/>
        <v>-517414.80000000005</v>
      </c>
      <c r="W495" s="748">
        <v>62.91</v>
      </c>
      <c r="X495" s="607">
        <f t="shared" si="68"/>
        <v>-234025.19999999998</v>
      </c>
      <c r="Y495" s="702">
        <f t="shared" si="69"/>
        <v>-517414.80000000005</v>
      </c>
      <c r="Z495" s="748">
        <v>62.91</v>
      </c>
      <c r="AA495" s="607">
        <f t="shared" si="70"/>
        <v>-234025.19999999998</v>
      </c>
      <c r="AB495" s="749">
        <f t="shared" si="71"/>
        <v>-517414.80000000005</v>
      </c>
      <c r="AC495" s="714"/>
    </row>
    <row r="496" spans="1:29" ht="15" customHeight="1" x14ac:dyDescent="0.25">
      <c r="A496" s="713"/>
      <c r="B496" s="714" t="s">
        <v>761</v>
      </c>
      <c r="C496" s="676" t="s">
        <v>40</v>
      </c>
      <c r="D496" s="676" t="s">
        <v>506</v>
      </c>
      <c r="E496" s="680">
        <v>44593</v>
      </c>
      <c r="F496" s="676">
        <v>672</v>
      </c>
      <c r="G496" s="676" t="s">
        <v>58</v>
      </c>
      <c r="H496" s="676" t="s">
        <v>3</v>
      </c>
      <c r="I496" s="676" t="s">
        <v>44</v>
      </c>
      <c r="J496" s="676" t="s">
        <v>84</v>
      </c>
      <c r="K496" s="676">
        <v>202</v>
      </c>
      <c r="L496" s="690" t="s">
        <v>54</v>
      </c>
      <c r="M496" s="691">
        <v>5</v>
      </c>
      <c r="N496" s="690">
        <v>0</v>
      </c>
      <c r="O496" s="691">
        <v>202</v>
      </c>
      <c r="P496" s="690">
        <v>0</v>
      </c>
      <c r="Q496" s="738">
        <f t="shared" si="63"/>
        <v>678720</v>
      </c>
      <c r="R496" s="677">
        <f t="shared" si="64"/>
        <v>0</v>
      </c>
      <c r="S496" s="739">
        <f t="shared" si="65"/>
        <v>-678720</v>
      </c>
      <c r="T496" s="738">
        <v>55.7</v>
      </c>
      <c r="U496" s="677">
        <f t="shared" si="66"/>
        <v>-187152</v>
      </c>
      <c r="V496" s="739">
        <f t="shared" si="67"/>
        <v>-491568</v>
      </c>
      <c r="W496" s="740">
        <v>55.7</v>
      </c>
      <c r="X496" s="678">
        <f t="shared" si="68"/>
        <v>-187152</v>
      </c>
      <c r="Y496" s="700">
        <f t="shared" si="69"/>
        <v>-491568</v>
      </c>
      <c r="Z496" s="740">
        <v>55.7</v>
      </c>
      <c r="AA496" s="678">
        <f t="shared" si="70"/>
        <v>-187152</v>
      </c>
      <c r="AB496" s="741">
        <f t="shared" si="71"/>
        <v>-491568</v>
      </c>
      <c r="AC496" s="714"/>
    </row>
    <row r="497" spans="1:29" ht="15" customHeight="1" x14ac:dyDescent="0.25">
      <c r="A497" s="713"/>
      <c r="B497" s="729" t="s">
        <v>761</v>
      </c>
      <c r="C497" s="545" t="s">
        <v>40</v>
      </c>
      <c r="D497" s="545" t="s">
        <v>506</v>
      </c>
      <c r="E497" s="681">
        <v>44621</v>
      </c>
      <c r="F497" s="545">
        <v>744</v>
      </c>
      <c r="G497" s="545" t="s">
        <v>58</v>
      </c>
      <c r="H497" s="545" t="s">
        <v>3</v>
      </c>
      <c r="I497" s="545" t="s">
        <v>44</v>
      </c>
      <c r="J497" s="545" t="s">
        <v>84</v>
      </c>
      <c r="K497" s="545">
        <v>202</v>
      </c>
      <c r="L497" s="725" t="s">
        <v>54</v>
      </c>
      <c r="M497" s="695">
        <v>5</v>
      </c>
      <c r="N497" s="725">
        <v>0</v>
      </c>
      <c r="O497" s="695">
        <v>202</v>
      </c>
      <c r="P497" s="725">
        <v>0</v>
      </c>
      <c r="Q497" s="742">
        <f t="shared" si="63"/>
        <v>751440</v>
      </c>
      <c r="R497" s="603">
        <f t="shared" si="64"/>
        <v>0</v>
      </c>
      <c r="S497" s="743">
        <f t="shared" si="65"/>
        <v>-751440</v>
      </c>
      <c r="T497" s="742">
        <v>55.7</v>
      </c>
      <c r="U497" s="603">
        <f t="shared" si="66"/>
        <v>-207204</v>
      </c>
      <c r="V497" s="743">
        <f t="shared" si="67"/>
        <v>-544236</v>
      </c>
      <c r="W497" s="744">
        <v>55.7</v>
      </c>
      <c r="X497" s="604">
        <f t="shared" si="68"/>
        <v>-207204</v>
      </c>
      <c r="Y497" s="701">
        <f t="shared" si="69"/>
        <v>-544236</v>
      </c>
      <c r="Z497" s="744">
        <v>55.7</v>
      </c>
      <c r="AA497" s="604">
        <f t="shared" si="70"/>
        <v>-207204</v>
      </c>
      <c r="AB497" s="745">
        <f t="shared" si="71"/>
        <v>-544236</v>
      </c>
      <c r="AC497" s="714"/>
    </row>
    <row r="498" spans="1:29" ht="15" customHeight="1" x14ac:dyDescent="0.25">
      <c r="A498" s="713"/>
      <c r="B498" s="730" t="s">
        <v>763</v>
      </c>
      <c r="C498" s="546" t="s">
        <v>40</v>
      </c>
      <c r="D498" s="546" t="s">
        <v>354</v>
      </c>
      <c r="E498" s="682">
        <v>44743</v>
      </c>
      <c r="F498" s="546">
        <v>744</v>
      </c>
      <c r="G498" s="546" t="s">
        <v>58</v>
      </c>
      <c r="H498" s="546" t="s">
        <v>3</v>
      </c>
      <c r="I498" s="546" t="s">
        <v>44</v>
      </c>
      <c r="J498" s="546" t="s">
        <v>83</v>
      </c>
      <c r="K498" s="546">
        <v>300</v>
      </c>
      <c r="L498" s="726" t="s">
        <v>54</v>
      </c>
      <c r="M498" s="696">
        <v>4</v>
      </c>
      <c r="N498" s="726">
        <v>0</v>
      </c>
      <c r="O498" s="696">
        <v>300</v>
      </c>
      <c r="P498" s="726">
        <v>0</v>
      </c>
      <c r="Q498" s="746">
        <f t="shared" si="63"/>
        <v>892800</v>
      </c>
      <c r="R498" s="606">
        <f t="shared" si="64"/>
        <v>0</v>
      </c>
      <c r="S498" s="747">
        <f t="shared" si="65"/>
        <v>-892800</v>
      </c>
      <c r="T498" s="746">
        <v>66.319999999999993</v>
      </c>
      <c r="U498" s="606">
        <f t="shared" si="66"/>
        <v>-197368.31999999998</v>
      </c>
      <c r="V498" s="747">
        <f t="shared" si="67"/>
        <v>-695431.68000000005</v>
      </c>
      <c r="W498" s="748">
        <v>66.319999999999993</v>
      </c>
      <c r="X498" s="607">
        <f t="shared" si="68"/>
        <v>-197368.31999999998</v>
      </c>
      <c r="Y498" s="702">
        <f t="shared" si="69"/>
        <v>-695431.68000000005</v>
      </c>
      <c r="Z498" s="748">
        <v>66.319999999999993</v>
      </c>
      <c r="AA498" s="607">
        <f t="shared" si="70"/>
        <v>-197368.31999999998</v>
      </c>
      <c r="AB498" s="749">
        <f t="shared" si="71"/>
        <v>-695431.68000000005</v>
      </c>
      <c r="AC498" s="714"/>
    </row>
    <row r="499" spans="1:29" ht="15" customHeight="1" x14ac:dyDescent="0.25">
      <c r="A499" s="713"/>
      <c r="B499" s="714" t="s">
        <v>763</v>
      </c>
      <c r="C499" s="676" t="s">
        <v>40</v>
      </c>
      <c r="D499" s="676" t="s">
        <v>354</v>
      </c>
      <c r="E499" s="680">
        <v>44774</v>
      </c>
      <c r="F499" s="676">
        <v>744</v>
      </c>
      <c r="G499" s="676" t="s">
        <v>58</v>
      </c>
      <c r="H499" s="676" t="s">
        <v>3</v>
      </c>
      <c r="I499" s="676" t="s">
        <v>44</v>
      </c>
      <c r="J499" s="676" t="s">
        <v>83</v>
      </c>
      <c r="K499" s="676">
        <v>300</v>
      </c>
      <c r="L499" s="690" t="s">
        <v>54</v>
      </c>
      <c r="M499" s="691">
        <v>4</v>
      </c>
      <c r="N499" s="690">
        <v>0</v>
      </c>
      <c r="O499" s="691">
        <v>300</v>
      </c>
      <c r="P499" s="690">
        <v>0</v>
      </c>
      <c r="Q499" s="738">
        <f t="shared" si="63"/>
        <v>892800</v>
      </c>
      <c r="R499" s="677">
        <f t="shared" si="64"/>
        <v>0</v>
      </c>
      <c r="S499" s="739">
        <f t="shared" si="65"/>
        <v>-892800</v>
      </c>
      <c r="T499" s="738">
        <v>76.900000000000006</v>
      </c>
      <c r="U499" s="677">
        <f t="shared" si="66"/>
        <v>-228854.40000000002</v>
      </c>
      <c r="V499" s="739">
        <f t="shared" si="67"/>
        <v>-663945.6</v>
      </c>
      <c r="W499" s="740">
        <v>76.900000000000006</v>
      </c>
      <c r="X499" s="678">
        <f t="shared" si="68"/>
        <v>-228854.40000000002</v>
      </c>
      <c r="Y499" s="700">
        <f t="shared" si="69"/>
        <v>-663945.6</v>
      </c>
      <c r="Z499" s="740">
        <v>76.900000000000006</v>
      </c>
      <c r="AA499" s="678">
        <f t="shared" si="70"/>
        <v>-228854.40000000002</v>
      </c>
      <c r="AB499" s="741">
        <f t="shared" si="71"/>
        <v>-663945.6</v>
      </c>
      <c r="AC499" s="714"/>
    </row>
    <row r="500" spans="1:29" ht="15" customHeight="1" x14ac:dyDescent="0.25">
      <c r="A500" s="713"/>
      <c r="B500" s="729" t="s">
        <v>763</v>
      </c>
      <c r="C500" s="545" t="s">
        <v>40</v>
      </c>
      <c r="D500" s="545" t="s">
        <v>354</v>
      </c>
      <c r="E500" s="681">
        <v>44805</v>
      </c>
      <c r="F500" s="545">
        <v>720</v>
      </c>
      <c r="G500" s="545" t="s">
        <v>58</v>
      </c>
      <c r="H500" s="545" t="s">
        <v>3</v>
      </c>
      <c r="I500" s="545" t="s">
        <v>44</v>
      </c>
      <c r="J500" s="545" t="s">
        <v>83</v>
      </c>
      <c r="K500" s="545">
        <v>300</v>
      </c>
      <c r="L500" s="725" t="s">
        <v>54</v>
      </c>
      <c r="M500" s="695">
        <v>4</v>
      </c>
      <c r="N500" s="725">
        <v>0</v>
      </c>
      <c r="O500" s="695">
        <v>300</v>
      </c>
      <c r="P500" s="725">
        <v>0</v>
      </c>
      <c r="Q500" s="742">
        <f t="shared" si="63"/>
        <v>864000</v>
      </c>
      <c r="R500" s="603">
        <f t="shared" si="64"/>
        <v>0</v>
      </c>
      <c r="S500" s="743">
        <f t="shared" si="65"/>
        <v>-864000</v>
      </c>
      <c r="T500" s="742">
        <v>56.08</v>
      </c>
      <c r="U500" s="603">
        <f t="shared" si="66"/>
        <v>-161510.39999999999</v>
      </c>
      <c r="V500" s="743">
        <f t="shared" si="67"/>
        <v>-702489.59999999998</v>
      </c>
      <c r="W500" s="744">
        <v>56.08</v>
      </c>
      <c r="X500" s="604">
        <f t="shared" si="68"/>
        <v>-161510.39999999999</v>
      </c>
      <c r="Y500" s="701">
        <f t="shared" si="69"/>
        <v>-702489.59999999998</v>
      </c>
      <c r="Z500" s="744">
        <v>56.08</v>
      </c>
      <c r="AA500" s="604">
        <f t="shared" si="70"/>
        <v>-161510.39999999999</v>
      </c>
      <c r="AB500" s="745">
        <f t="shared" si="71"/>
        <v>-702489.59999999998</v>
      </c>
      <c r="AC500" s="714"/>
    </row>
    <row r="501" spans="1:29" ht="15" customHeight="1" x14ac:dyDescent="0.25">
      <c r="A501" s="713"/>
      <c r="B501" s="730" t="s">
        <v>765</v>
      </c>
      <c r="C501" s="546" t="s">
        <v>40</v>
      </c>
      <c r="D501" s="546" t="s">
        <v>354</v>
      </c>
      <c r="E501" s="682">
        <v>44835</v>
      </c>
      <c r="F501" s="546">
        <v>744</v>
      </c>
      <c r="G501" s="546" t="s">
        <v>59</v>
      </c>
      <c r="H501" s="546" t="s">
        <v>3</v>
      </c>
      <c r="I501" s="546" t="s">
        <v>44</v>
      </c>
      <c r="J501" s="546" t="s">
        <v>83</v>
      </c>
      <c r="K501" s="546">
        <v>270</v>
      </c>
      <c r="L501" s="726" t="s">
        <v>54</v>
      </c>
      <c r="M501" s="696">
        <v>0</v>
      </c>
      <c r="N501" s="726">
        <v>4</v>
      </c>
      <c r="O501" s="696">
        <v>0</v>
      </c>
      <c r="P501" s="726">
        <v>270</v>
      </c>
      <c r="Q501" s="746">
        <f t="shared" si="63"/>
        <v>0</v>
      </c>
      <c r="R501" s="606">
        <f t="shared" si="64"/>
        <v>803520</v>
      </c>
      <c r="S501" s="747">
        <f t="shared" si="65"/>
        <v>803520</v>
      </c>
      <c r="T501" s="746">
        <v>55.7</v>
      </c>
      <c r="U501" s="606">
        <f t="shared" si="66"/>
        <v>165763.20000000001</v>
      </c>
      <c r="V501" s="747">
        <f t="shared" si="67"/>
        <v>637756.80000000005</v>
      </c>
      <c r="W501" s="748">
        <v>55.7</v>
      </c>
      <c r="X501" s="607">
        <f t="shared" si="68"/>
        <v>165763.20000000001</v>
      </c>
      <c r="Y501" s="702">
        <f t="shared" si="69"/>
        <v>637756.80000000005</v>
      </c>
      <c r="Z501" s="748">
        <v>55.7</v>
      </c>
      <c r="AA501" s="607">
        <f t="shared" si="70"/>
        <v>165763.20000000001</v>
      </c>
      <c r="AB501" s="749">
        <f t="shared" si="71"/>
        <v>637756.80000000005</v>
      </c>
      <c r="AC501" s="714"/>
    </row>
    <row r="502" spans="1:29" ht="15" customHeight="1" x14ac:dyDescent="0.25">
      <c r="A502" s="713"/>
      <c r="B502" s="714" t="s">
        <v>765</v>
      </c>
      <c r="C502" s="676" t="s">
        <v>40</v>
      </c>
      <c r="D502" s="676" t="s">
        <v>354</v>
      </c>
      <c r="E502" s="680">
        <v>44866</v>
      </c>
      <c r="F502" s="676">
        <v>720</v>
      </c>
      <c r="G502" s="676" t="s">
        <v>59</v>
      </c>
      <c r="H502" s="676" t="s">
        <v>3</v>
      </c>
      <c r="I502" s="676" t="s">
        <v>44</v>
      </c>
      <c r="J502" s="676" t="s">
        <v>83</v>
      </c>
      <c r="K502" s="676">
        <v>270</v>
      </c>
      <c r="L502" s="690" t="s">
        <v>54</v>
      </c>
      <c r="M502" s="691">
        <v>0</v>
      </c>
      <c r="N502" s="690">
        <v>4</v>
      </c>
      <c r="O502" s="691">
        <v>0</v>
      </c>
      <c r="P502" s="690">
        <v>270</v>
      </c>
      <c r="Q502" s="738">
        <f t="shared" si="63"/>
        <v>0</v>
      </c>
      <c r="R502" s="677">
        <f t="shared" si="64"/>
        <v>777600</v>
      </c>
      <c r="S502" s="739">
        <f t="shared" si="65"/>
        <v>777600</v>
      </c>
      <c r="T502" s="738">
        <v>55.7</v>
      </c>
      <c r="U502" s="677">
        <f t="shared" si="66"/>
        <v>160416</v>
      </c>
      <c r="V502" s="739">
        <f t="shared" si="67"/>
        <v>617184</v>
      </c>
      <c r="W502" s="740">
        <v>55.7</v>
      </c>
      <c r="X502" s="678">
        <f t="shared" si="68"/>
        <v>160416</v>
      </c>
      <c r="Y502" s="700">
        <f t="shared" si="69"/>
        <v>617184</v>
      </c>
      <c r="Z502" s="740">
        <v>55.7</v>
      </c>
      <c r="AA502" s="678">
        <f t="shared" si="70"/>
        <v>160416</v>
      </c>
      <c r="AB502" s="741">
        <f t="shared" si="71"/>
        <v>617184</v>
      </c>
      <c r="AC502" s="714"/>
    </row>
    <row r="503" spans="1:29" ht="15" customHeight="1" x14ac:dyDescent="0.25">
      <c r="A503" s="713"/>
      <c r="B503" s="729" t="s">
        <v>765</v>
      </c>
      <c r="C503" s="545" t="s">
        <v>40</v>
      </c>
      <c r="D503" s="545" t="s">
        <v>354</v>
      </c>
      <c r="E503" s="681">
        <v>44896</v>
      </c>
      <c r="F503" s="545">
        <v>744</v>
      </c>
      <c r="G503" s="545" t="s">
        <v>59</v>
      </c>
      <c r="H503" s="545" t="s">
        <v>3</v>
      </c>
      <c r="I503" s="545" t="s">
        <v>44</v>
      </c>
      <c r="J503" s="545" t="s">
        <v>83</v>
      </c>
      <c r="K503" s="545">
        <v>270</v>
      </c>
      <c r="L503" s="725" t="s">
        <v>54</v>
      </c>
      <c r="M503" s="695">
        <v>0</v>
      </c>
      <c r="N503" s="725">
        <v>4</v>
      </c>
      <c r="O503" s="695">
        <v>0</v>
      </c>
      <c r="P503" s="725">
        <v>270</v>
      </c>
      <c r="Q503" s="742">
        <f t="shared" si="63"/>
        <v>0</v>
      </c>
      <c r="R503" s="603">
        <f t="shared" si="64"/>
        <v>803520</v>
      </c>
      <c r="S503" s="743">
        <f t="shared" si="65"/>
        <v>803520</v>
      </c>
      <c r="T503" s="742">
        <v>55.7</v>
      </c>
      <c r="U503" s="603">
        <f t="shared" si="66"/>
        <v>165763.20000000001</v>
      </c>
      <c r="V503" s="743">
        <f t="shared" si="67"/>
        <v>637756.80000000005</v>
      </c>
      <c r="W503" s="744">
        <v>55.7</v>
      </c>
      <c r="X503" s="604">
        <f t="shared" si="68"/>
        <v>165763.20000000001</v>
      </c>
      <c r="Y503" s="701">
        <f t="shared" si="69"/>
        <v>637756.80000000005</v>
      </c>
      <c r="Z503" s="744">
        <v>78.400653594793155</v>
      </c>
      <c r="AA503" s="604">
        <f t="shared" si="70"/>
        <v>233320.34509810444</v>
      </c>
      <c r="AB503" s="745">
        <f t="shared" si="71"/>
        <v>570199.65490189556</v>
      </c>
      <c r="AC503" s="714"/>
    </row>
    <row r="504" spans="1:29" ht="15" customHeight="1" x14ac:dyDescent="0.25">
      <c r="A504" s="713"/>
      <c r="B504" s="730" t="s">
        <v>767</v>
      </c>
      <c r="C504" s="546" t="s">
        <v>40</v>
      </c>
      <c r="D504" s="546" t="s">
        <v>504</v>
      </c>
      <c r="E504" s="682">
        <v>44562</v>
      </c>
      <c r="F504" s="546">
        <v>744</v>
      </c>
      <c r="G504" s="546" t="s">
        <v>58</v>
      </c>
      <c r="H504" s="546" t="s">
        <v>3</v>
      </c>
      <c r="I504" s="546" t="s">
        <v>44</v>
      </c>
      <c r="J504" s="546" t="s">
        <v>83</v>
      </c>
      <c r="K504" s="546">
        <v>230</v>
      </c>
      <c r="L504" s="726" t="s">
        <v>54</v>
      </c>
      <c r="M504" s="696">
        <v>10</v>
      </c>
      <c r="N504" s="726">
        <v>0</v>
      </c>
      <c r="O504" s="696">
        <v>230</v>
      </c>
      <c r="P504" s="726">
        <v>0</v>
      </c>
      <c r="Q504" s="746">
        <f t="shared" si="63"/>
        <v>1711200</v>
      </c>
      <c r="R504" s="606">
        <f t="shared" si="64"/>
        <v>0</v>
      </c>
      <c r="S504" s="747">
        <f t="shared" si="65"/>
        <v>-1711200</v>
      </c>
      <c r="T504" s="746">
        <v>62.91</v>
      </c>
      <c r="U504" s="606">
        <f t="shared" si="66"/>
        <v>-468050.39999999997</v>
      </c>
      <c r="V504" s="747">
        <f t="shared" si="67"/>
        <v>-1243149.6000000001</v>
      </c>
      <c r="W504" s="748">
        <v>62.91</v>
      </c>
      <c r="X504" s="607">
        <f t="shared" si="68"/>
        <v>-468050.39999999997</v>
      </c>
      <c r="Y504" s="702">
        <f t="shared" si="69"/>
        <v>-1243149.6000000001</v>
      </c>
      <c r="Z504" s="748">
        <v>62.91</v>
      </c>
      <c r="AA504" s="607">
        <f t="shared" si="70"/>
        <v>-468050.39999999997</v>
      </c>
      <c r="AB504" s="749">
        <f t="shared" si="71"/>
        <v>-1243149.6000000001</v>
      </c>
      <c r="AC504" s="714"/>
    </row>
    <row r="505" spans="1:29" ht="15" customHeight="1" x14ac:dyDescent="0.25">
      <c r="A505" s="713"/>
      <c r="B505" s="714" t="s">
        <v>767</v>
      </c>
      <c r="C505" s="676" t="s">
        <v>40</v>
      </c>
      <c r="D505" s="676" t="s">
        <v>504</v>
      </c>
      <c r="E505" s="680">
        <v>44593</v>
      </c>
      <c r="F505" s="676">
        <v>672</v>
      </c>
      <c r="G505" s="676" t="s">
        <v>58</v>
      </c>
      <c r="H505" s="676" t="s">
        <v>3</v>
      </c>
      <c r="I505" s="676" t="s">
        <v>44</v>
      </c>
      <c r="J505" s="676" t="s">
        <v>83</v>
      </c>
      <c r="K505" s="676">
        <v>230</v>
      </c>
      <c r="L505" s="690" t="s">
        <v>54</v>
      </c>
      <c r="M505" s="691">
        <v>10</v>
      </c>
      <c r="N505" s="690">
        <v>0</v>
      </c>
      <c r="O505" s="691">
        <v>230</v>
      </c>
      <c r="P505" s="690">
        <v>0</v>
      </c>
      <c r="Q505" s="738">
        <f t="shared" si="63"/>
        <v>1545600</v>
      </c>
      <c r="R505" s="677">
        <f t="shared" si="64"/>
        <v>0</v>
      </c>
      <c r="S505" s="739">
        <f t="shared" si="65"/>
        <v>-1545600</v>
      </c>
      <c r="T505" s="738">
        <v>55.7</v>
      </c>
      <c r="U505" s="677">
        <f t="shared" si="66"/>
        <v>-374304</v>
      </c>
      <c r="V505" s="739">
        <f t="shared" si="67"/>
        <v>-1171296</v>
      </c>
      <c r="W505" s="740">
        <v>55.7</v>
      </c>
      <c r="X505" s="678">
        <f t="shared" si="68"/>
        <v>-374304</v>
      </c>
      <c r="Y505" s="700">
        <f t="shared" si="69"/>
        <v>-1171296</v>
      </c>
      <c r="Z505" s="740">
        <v>55.7</v>
      </c>
      <c r="AA505" s="678">
        <f t="shared" si="70"/>
        <v>-374304</v>
      </c>
      <c r="AB505" s="741">
        <f t="shared" si="71"/>
        <v>-1171296</v>
      </c>
      <c r="AC505" s="714"/>
    </row>
    <row r="506" spans="1:29" ht="15" customHeight="1" x14ac:dyDescent="0.25">
      <c r="A506" s="713"/>
      <c r="B506" s="729" t="s">
        <v>767</v>
      </c>
      <c r="C506" s="545" t="s">
        <v>40</v>
      </c>
      <c r="D506" s="545" t="s">
        <v>504</v>
      </c>
      <c r="E506" s="681">
        <v>44621</v>
      </c>
      <c r="F506" s="545">
        <v>744</v>
      </c>
      <c r="G506" s="545" t="s">
        <v>58</v>
      </c>
      <c r="H506" s="545" t="s">
        <v>3</v>
      </c>
      <c r="I506" s="545" t="s">
        <v>44</v>
      </c>
      <c r="J506" s="545" t="s">
        <v>83</v>
      </c>
      <c r="K506" s="545">
        <v>230</v>
      </c>
      <c r="L506" s="725" t="s">
        <v>54</v>
      </c>
      <c r="M506" s="695">
        <v>10</v>
      </c>
      <c r="N506" s="725">
        <v>0</v>
      </c>
      <c r="O506" s="695">
        <v>230</v>
      </c>
      <c r="P506" s="725">
        <v>0</v>
      </c>
      <c r="Q506" s="742">
        <f t="shared" si="63"/>
        <v>1711200</v>
      </c>
      <c r="R506" s="603">
        <f t="shared" si="64"/>
        <v>0</v>
      </c>
      <c r="S506" s="743">
        <f t="shared" si="65"/>
        <v>-1711200</v>
      </c>
      <c r="T506" s="742">
        <v>55.7</v>
      </c>
      <c r="U506" s="603">
        <f t="shared" si="66"/>
        <v>-414408</v>
      </c>
      <c r="V506" s="743">
        <f t="shared" si="67"/>
        <v>-1296792</v>
      </c>
      <c r="W506" s="744">
        <v>55.7</v>
      </c>
      <c r="X506" s="604">
        <f t="shared" si="68"/>
        <v>-414408</v>
      </c>
      <c r="Y506" s="701">
        <f t="shared" si="69"/>
        <v>-1296792</v>
      </c>
      <c r="Z506" s="744">
        <v>55.7</v>
      </c>
      <c r="AA506" s="604">
        <f t="shared" si="70"/>
        <v>-414408</v>
      </c>
      <c r="AB506" s="745">
        <f t="shared" si="71"/>
        <v>-1296792</v>
      </c>
      <c r="AC506" s="714"/>
    </row>
    <row r="507" spans="1:29" ht="15" customHeight="1" x14ac:dyDescent="0.25">
      <c r="A507" s="713"/>
      <c r="B507" s="730" t="s">
        <v>769</v>
      </c>
      <c r="C507" s="546" t="s">
        <v>40</v>
      </c>
      <c r="D507" s="546" t="s">
        <v>504</v>
      </c>
      <c r="E507" s="682">
        <v>44743</v>
      </c>
      <c r="F507" s="546">
        <v>744</v>
      </c>
      <c r="G507" s="546" t="s">
        <v>59</v>
      </c>
      <c r="H507" s="546" t="s">
        <v>3</v>
      </c>
      <c r="I507" s="546" t="s">
        <v>44</v>
      </c>
      <c r="J507" s="546" t="s">
        <v>83</v>
      </c>
      <c r="K507" s="546">
        <v>290</v>
      </c>
      <c r="L507" s="726" t="s">
        <v>54</v>
      </c>
      <c r="M507" s="696">
        <v>0</v>
      </c>
      <c r="N507" s="726">
        <v>5</v>
      </c>
      <c r="O507" s="696">
        <v>0</v>
      </c>
      <c r="P507" s="726">
        <v>290</v>
      </c>
      <c r="Q507" s="746">
        <f t="shared" si="63"/>
        <v>0</v>
      </c>
      <c r="R507" s="606">
        <f t="shared" si="64"/>
        <v>1078800</v>
      </c>
      <c r="S507" s="747">
        <f t="shared" si="65"/>
        <v>1078800</v>
      </c>
      <c r="T507" s="746">
        <v>66.319999999999993</v>
      </c>
      <c r="U507" s="606">
        <f t="shared" si="66"/>
        <v>246710.39999999997</v>
      </c>
      <c r="V507" s="747">
        <f t="shared" si="67"/>
        <v>832089.60000000009</v>
      </c>
      <c r="W507" s="748">
        <v>66.319999999999993</v>
      </c>
      <c r="X507" s="607">
        <f t="shared" si="68"/>
        <v>246710.39999999997</v>
      </c>
      <c r="Y507" s="702">
        <f t="shared" si="69"/>
        <v>832089.60000000009</v>
      </c>
      <c r="Z507" s="748">
        <v>66.319999999999993</v>
      </c>
      <c r="AA507" s="607">
        <f t="shared" si="70"/>
        <v>246710.39999999997</v>
      </c>
      <c r="AB507" s="749">
        <f t="shared" si="71"/>
        <v>832089.60000000009</v>
      </c>
      <c r="AC507" s="714"/>
    </row>
    <row r="508" spans="1:29" ht="15" customHeight="1" x14ac:dyDescent="0.25">
      <c r="A508" s="713"/>
      <c r="B508" s="714" t="s">
        <v>769</v>
      </c>
      <c r="C508" s="676" t="s">
        <v>40</v>
      </c>
      <c r="D508" s="676" t="s">
        <v>504</v>
      </c>
      <c r="E508" s="680">
        <v>44774</v>
      </c>
      <c r="F508" s="676">
        <v>744</v>
      </c>
      <c r="G508" s="676" t="s">
        <v>59</v>
      </c>
      <c r="H508" s="676" t="s">
        <v>3</v>
      </c>
      <c r="I508" s="676" t="s">
        <v>44</v>
      </c>
      <c r="J508" s="676" t="s">
        <v>83</v>
      </c>
      <c r="K508" s="676">
        <v>290</v>
      </c>
      <c r="L508" s="690" t="s">
        <v>54</v>
      </c>
      <c r="M508" s="691">
        <v>0</v>
      </c>
      <c r="N508" s="690">
        <v>5</v>
      </c>
      <c r="O508" s="691">
        <v>0</v>
      </c>
      <c r="P508" s="690">
        <v>290</v>
      </c>
      <c r="Q508" s="738">
        <f t="shared" si="63"/>
        <v>0</v>
      </c>
      <c r="R508" s="677">
        <f t="shared" si="64"/>
        <v>1078800</v>
      </c>
      <c r="S508" s="739">
        <f t="shared" si="65"/>
        <v>1078800</v>
      </c>
      <c r="T508" s="738">
        <v>76.900000000000006</v>
      </c>
      <c r="U508" s="677">
        <f t="shared" si="66"/>
        <v>286068</v>
      </c>
      <c r="V508" s="739">
        <f t="shared" si="67"/>
        <v>792732</v>
      </c>
      <c r="W508" s="740">
        <v>76.900000000000006</v>
      </c>
      <c r="X508" s="678">
        <f t="shared" si="68"/>
        <v>286068</v>
      </c>
      <c r="Y508" s="700">
        <f t="shared" si="69"/>
        <v>792732</v>
      </c>
      <c r="Z508" s="740">
        <v>76.900000000000006</v>
      </c>
      <c r="AA508" s="678">
        <f t="shared" si="70"/>
        <v>286068</v>
      </c>
      <c r="AB508" s="741">
        <f t="shared" si="71"/>
        <v>792732</v>
      </c>
      <c r="AC508" s="714"/>
    </row>
    <row r="509" spans="1:29" ht="15" customHeight="1" x14ac:dyDescent="0.25">
      <c r="A509" s="713"/>
      <c r="B509" s="714" t="s">
        <v>769</v>
      </c>
      <c r="C509" s="676" t="s">
        <v>40</v>
      </c>
      <c r="D509" s="676" t="s">
        <v>504</v>
      </c>
      <c r="E509" s="680">
        <v>44805</v>
      </c>
      <c r="F509" s="676">
        <v>720</v>
      </c>
      <c r="G509" s="676" t="s">
        <v>59</v>
      </c>
      <c r="H509" s="676" t="s">
        <v>3</v>
      </c>
      <c r="I509" s="676" t="s">
        <v>44</v>
      </c>
      <c r="J509" s="676" t="s">
        <v>83</v>
      </c>
      <c r="K509" s="676">
        <v>290</v>
      </c>
      <c r="L509" s="690" t="s">
        <v>54</v>
      </c>
      <c r="M509" s="691">
        <v>0</v>
      </c>
      <c r="N509" s="690">
        <v>5</v>
      </c>
      <c r="O509" s="691">
        <v>0</v>
      </c>
      <c r="P509" s="690">
        <v>290</v>
      </c>
      <c r="Q509" s="738">
        <f t="shared" si="63"/>
        <v>0</v>
      </c>
      <c r="R509" s="677">
        <f t="shared" si="64"/>
        <v>1044000</v>
      </c>
      <c r="S509" s="739">
        <f t="shared" si="65"/>
        <v>1044000</v>
      </c>
      <c r="T509" s="738">
        <v>56.08</v>
      </c>
      <c r="U509" s="677">
        <f t="shared" si="66"/>
        <v>201888</v>
      </c>
      <c r="V509" s="739">
        <f t="shared" si="67"/>
        <v>842112</v>
      </c>
      <c r="W509" s="740">
        <v>56.08</v>
      </c>
      <c r="X509" s="678">
        <f t="shared" si="68"/>
        <v>201888</v>
      </c>
      <c r="Y509" s="700">
        <f t="shared" si="69"/>
        <v>842112</v>
      </c>
      <c r="Z509" s="740">
        <v>56.08</v>
      </c>
      <c r="AA509" s="678">
        <f t="shared" si="70"/>
        <v>201888</v>
      </c>
      <c r="AB509" s="741">
        <f t="shared" si="71"/>
        <v>842112</v>
      </c>
      <c r="AC509" s="714"/>
    </row>
    <row r="510" spans="1:29" ht="15" customHeight="1" x14ac:dyDescent="0.25">
      <c r="A510" s="713"/>
      <c r="B510" s="714" t="s">
        <v>769</v>
      </c>
      <c r="C510" s="676" t="s">
        <v>40</v>
      </c>
      <c r="D510" s="676" t="s">
        <v>504</v>
      </c>
      <c r="E510" s="680">
        <v>44835</v>
      </c>
      <c r="F510" s="676">
        <v>744</v>
      </c>
      <c r="G510" s="676" t="s">
        <v>59</v>
      </c>
      <c r="H510" s="676" t="s">
        <v>3</v>
      </c>
      <c r="I510" s="676" t="s">
        <v>44</v>
      </c>
      <c r="J510" s="676" t="s">
        <v>83</v>
      </c>
      <c r="K510" s="676">
        <v>290</v>
      </c>
      <c r="L510" s="690" t="s">
        <v>54</v>
      </c>
      <c r="M510" s="691">
        <v>0</v>
      </c>
      <c r="N510" s="690">
        <v>5</v>
      </c>
      <c r="O510" s="691">
        <v>0</v>
      </c>
      <c r="P510" s="690">
        <v>290</v>
      </c>
      <c r="Q510" s="738">
        <f t="shared" si="63"/>
        <v>0</v>
      </c>
      <c r="R510" s="677">
        <f t="shared" si="64"/>
        <v>1078800</v>
      </c>
      <c r="S510" s="739">
        <f t="shared" si="65"/>
        <v>1078800</v>
      </c>
      <c r="T510" s="738">
        <v>55.7</v>
      </c>
      <c r="U510" s="677">
        <f t="shared" si="66"/>
        <v>207204</v>
      </c>
      <c r="V510" s="739">
        <f t="shared" si="67"/>
        <v>871596</v>
      </c>
      <c r="W510" s="740">
        <v>55.7</v>
      </c>
      <c r="X510" s="678">
        <f t="shared" si="68"/>
        <v>207204</v>
      </c>
      <c r="Y510" s="700">
        <f t="shared" si="69"/>
        <v>871596</v>
      </c>
      <c r="Z510" s="740">
        <v>55.7</v>
      </c>
      <c r="AA510" s="678">
        <f t="shared" si="70"/>
        <v>207204</v>
      </c>
      <c r="AB510" s="741">
        <f t="shared" si="71"/>
        <v>871596</v>
      </c>
      <c r="AC510" s="714"/>
    </row>
    <row r="511" spans="1:29" ht="15" customHeight="1" x14ac:dyDescent="0.25">
      <c r="A511" s="713"/>
      <c r="B511" s="714" t="s">
        <v>769</v>
      </c>
      <c r="C511" s="676" t="s">
        <v>40</v>
      </c>
      <c r="D511" s="676" t="s">
        <v>504</v>
      </c>
      <c r="E511" s="680">
        <v>44866</v>
      </c>
      <c r="F511" s="676">
        <v>720</v>
      </c>
      <c r="G511" s="676" t="s">
        <v>59</v>
      </c>
      <c r="H511" s="676" t="s">
        <v>3</v>
      </c>
      <c r="I511" s="676" t="s">
        <v>44</v>
      </c>
      <c r="J511" s="676" t="s">
        <v>83</v>
      </c>
      <c r="K511" s="676">
        <v>290</v>
      </c>
      <c r="L511" s="690" t="s">
        <v>54</v>
      </c>
      <c r="M511" s="691">
        <v>0</v>
      </c>
      <c r="N511" s="690">
        <v>5</v>
      </c>
      <c r="O511" s="691">
        <v>0</v>
      </c>
      <c r="P511" s="690">
        <v>290</v>
      </c>
      <c r="Q511" s="738">
        <f t="shared" si="63"/>
        <v>0</v>
      </c>
      <c r="R511" s="677">
        <f t="shared" si="64"/>
        <v>1044000</v>
      </c>
      <c r="S511" s="739">
        <f t="shared" si="65"/>
        <v>1044000</v>
      </c>
      <c r="T511" s="738">
        <v>55.7</v>
      </c>
      <c r="U511" s="677">
        <f t="shared" si="66"/>
        <v>200520</v>
      </c>
      <c r="V511" s="739">
        <f t="shared" si="67"/>
        <v>843480</v>
      </c>
      <c r="W511" s="740">
        <v>55.7</v>
      </c>
      <c r="X511" s="678">
        <f t="shared" si="68"/>
        <v>200520</v>
      </c>
      <c r="Y511" s="700">
        <f t="shared" si="69"/>
        <v>843480</v>
      </c>
      <c r="Z511" s="740">
        <v>55.7</v>
      </c>
      <c r="AA511" s="678">
        <f t="shared" si="70"/>
        <v>200520</v>
      </c>
      <c r="AB511" s="741">
        <f t="shared" si="71"/>
        <v>843480</v>
      </c>
      <c r="AC511" s="714"/>
    </row>
    <row r="512" spans="1:29" ht="15" customHeight="1" x14ac:dyDescent="0.25">
      <c r="A512" s="713"/>
      <c r="B512" s="729" t="s">
        <v>769</v>
      </c>
      <c r="C512" s="545" t="s">
        <v>40</v>
      </c>
      <c r="D512" s="545" t="s">
        <v>504</v>
      </c>
      <c r="E512" s="681">
        <v>44896</v>
      </c>
      <c r="F512" s="545">
        <v>744</v>
      </c>
      <c r="G512" s="545" t="s">
        <v>59</v>
      </c>
      <c r="H512" s="545" t="s">
        <v>3</v>
      </c>
      <c r="I512" s="545" t="s">
        <v>44</v>
      </c>
      <c r="J512" s="545" t="s">
        <v>83</v>
      </c>
      <c r="K512" s="545">
        <v>290</v>
      </c>
      <c r="L512" s="725" t="s">
        <v>54</v>
      </c>
      <c r="M512" s="695">
        <v>0</v>
      </c>
      <c r="N512" s="725">
        <v>5</v>
      </c>
      <c r="O512" s="695">
        <v>0</v>
      </c>
      <c r="P512" s="725">
        <v>290</v>
      </c>
      <c r="Q512" s="742">
        <f t="shared" si="63"/>
        <v>0</v>
      </c>
      <c r="R512" s="603">
        <f t="shared" si="64"/>
        <v>1078800</v>
      </c>
      <c r="S512" s="743">
        <f t="shared" si="65"/>
        <v>1078800</v>
      </c>
      <c r="T512" s="742">
        <v>55.7</v>
      </c>
      <c r="U512" s="603">
        <f t="shared" si="66"/>
        <v>207204</v>
      </c>
      <c r="V512" s="743">
        <f t="shared" si="67"/>
        <v>871596</v>
      </c>
      <c r="W512" s="744">
        <v>55.7</v>
      </c>
      <c r="X512" s="604">
        <f t="shared" si="68"/>
        <v>207204</v>
      </c>
      <c r="Y512" s="701">
        <f t="shared" si="69"/>
        <v>871596</v>
      </c>
      <c r="Z512" s="744">
        <v>78.400653594793155</v>
      </c>
      <c r="AA512" s="604">
        <f t="shared" si="70"/>
        <v>291650.43137263053</v>
      </c>
      <c r="AB512" s="745">
        <f t="shared" si="71"/>
        <v>787149.56862736947</v>
      </c>
      <c r="AC512" s="714"/>
    </row>
    <row r="513" spans="1:29" ht="15" customHeight="1" x14ac:dyDescent="0.25">
      <c r="A513" s="713"/>
      <c r="B513" s="730" t="s">
        <v>771</v>
      </c>
      <c r="C513" s="546" t="s">
        <v>40</v>
      </c>
      <c r="D513" s="546" t="s">
        <v>509</v>
      </c>
      <c r="E513" s="682">
        <v>44562</v>
      </c>
      <c r="F513" s="546">
        <v>744</v>
      </c>
      <c r="G513" s="546" t="s">
        <v>59</v>
      </c>
      <c r="H513" s="546" t="s">
        <v>3</v>
      </c>
      <c r="I513" s="546" t="s">
        <v>44</v>
      </c>
      <c r="J513" s="546" t="s">
        <v>85</v>
      </c>
      <c r="K513" s="546">
        <v>232</v>
      </c>
      <c r="L513" s="726" t="s">
        <v>54</v>
      </c>
      <c r="M513" s="696">
        <v>0</v>
      </c>
      <c r="N513" s="726">
        <v>2</v>
      </c>
      <c r="O513" s="696">
        <v>0</v>
      </c>
      <c r="P513" s="726">
        <v>232</v>
      </c>
      <c r="Q513" s="746">
        <f t="shared" si="63"/>
        <v>0</v>
      </c>
      <c r="R513" s="606">
        <f t="shared" si="64"/>
        <v>345216</v>
      </c>
      <c r="S513" s="747">
        <f t="shared" si="65"/>
        <v>345216</v>
      </c>
      <c r="T513" s="746">
        <v>62.91</v>
      </c>
      <c r="U513" s="606">
        <f t="shared" si="66"/>
        <v>93610.08</v>
      </c>
      <c r="V513" s="747">
        <f t="shared" si="67"/>
        <v>251605.91999999998</v>
      </c>
      <c r="W513" s="748">
        <v>62.91</v>
      </c>
      <c r="X513" s="607">
        <f t="shared" si="68"/>
        <v>93610.08</v>
      </c>
      <c r="Y513" s="702">
        <f t="shared" si="69"/>
        <v>251605.91999999998</v>
      </c>
      <c r="Z513" s="748">
        <v>62.91</v>
      </c>
      <c r="AA513" s="607">
        <f t="shared" si="70"/>
        <v>93610.08</v>
      </c>
      <c r="AB513" s="749">
        <f t="shared" si="71"/>
        <v>251605.91999999998</v>
      </c>
      <c r="AC513" s="714"/>
    </row>
    <row r="514" spans="1:29" ht="15" customHeight="1" x14ac:dyDescent="0.25">
      <c r="A514" s="713"/>
      <c r="B514" s="714" t="s">
        <v>771</v>
      </c>
      <c r="C514" s="676" t="s">
        <v>40</v>
      </c>
      <c r="D514" s="676" t="s">
        <v>509</v>
      </c>
      <c r="E514" s="680">
        <v>44593</v>
      </c>
      <c r="F514" s="676">
        <v>672</v>
      </c>
      <c r="G514" s="676" t="s">
        <v>59</v>
      </c>
      <c r="H514" s="676" t="s">
        <v>3</v>
      </c>
      <c r="I514" s="676" t="s">
        <v>44</v>
      </c>
      <c r="J514" s="676" t="s">
        <v>85</v>
      </c>
      <c r="K514" s="676">
        <v>232</v>
      </c>
      <c r="L514" s="690" t="s">
        <v>54</v>
      </c>
      <c r="M514" s="691">
        <v>0</v>
      </c>
      <c r="N514" s="690">
        <v>2</v>
      </c>
      <c r="O514" s="691">
        <v>0</v>
      </c>
      <c r="P514" s="690">
        <v>232</v>
      </c>
      <c r="Q514" s="738">
        <f t="shared" si="63"/>
        <v>0</v>
      </c>
      <c r="R514" s="677">
        <f t="shared" si="64"/>
        <v>311808</v>
      </c>
      <c r="S514" s="739">
        <f t="shared" si="65"/>
        <v>311808</v>
      </c>
      <c r="T514" s="738">
        <v>55.7</v>
      </c>
      <c r="U514" s="677">
        <f t="shared" si="66"/>
        <v>74860.800000000003</v>
      </c>
      <c r="V514" s="739">
        <f t="shared" si="67"/>
        <v>236947.20000000001</v>
      </c>
      <c r="W514" s="740">
        <v>55.7</v>
      </c>
      <c r="X514" s="678">
        <f t="shared" si="68"/>
        <v>74860.800000000003</v>
      </c>
      <c r="Y514" s="700">
        <f t="shared" si="69"/>
        <v>236947.20000000001</v>
      </c>
      <c r="Z514" s="740">
        <v>55.7</v>
      </c>
      <c r="AA514" s="678">
        <f t="shared" si="70"/>
        <v>74860.800000000003</v>
      </c>
      <c r="AB514" s="741">
        <f t="shared" si="71"/>
        <v>236947.20000000001</v>
      </c>
      <c r="AC514" s="714"/>
    </row>
    <row r="515" spans="1:29" ht="15" customHeight="1" x14ac:dyDescent="0.25">
      <c r="A515" s="713"/>
      <c r="B515" s="714" t="s">
        <v>771</v>
      </c>
      <c r="C515" s="676" t="s">
        <v>40</v>
      </c>
      <c r="D515" s="676" t="s">
        <v>509</v>
      </c>
      <c r="E515" s="680">
        <v>44621</v>
      </c>
      <c r="F515" s="676">
        <v>744</v>
      </c>
      <c r="G515" s="676" t="s">
        <v>59</v>
      </c>
      <c r="H515" s="676" t="s">
        <v>3</v>
      </c>
      <c r="I515" s="676" t="s">
        <v>44</v>
      </c>
      <c r="J515" s="676" t="s">
        <v>85</v>
      </c>
      <c r="K515" s="676">
        <v>232</v>
      </c>
      <c r="L515" s="690" t="s">
        <v>54</v>
      </c>
      <c r="M515" s="691">
        <v>0</v>
      </c>
      <c r="N515" s="690">
        <v>2</v>
      </c>
      <c r="O515" s="691">
        <v>0</v>
      </c>
      <c r="P515" s="690">
        <v>232</v>
      </c>
      <c r="Q515" s="738">
        <f t="shared" ref="Q515:Q578" si="72">(O515*(M515*F515))</f>
        <v>0</v>
      </c>
      <c r="R515" s="677">
        <f t="shared" ref="R515:R578" si="73">(P515*(N515*F515))</f>
        <v>345216</v>
      </c>
      <c r="S515" s="739">
        <f t="shared" ref="S515:S578" si="74">R515-Q515</f>
        <v>345216</v>
      </c>
      <c r="T515" s="738">
        <v>55.7</v>
      </c>
      <c r="U515" s="677">
        <f t="shared" ref="U515:U578" si="75">(((F515*N515)*T515)-(T515*(M515*F515)))</f>
        <v>82881.600000000006</v>
      </c>
      <c r="V515" s="739">
        <f t="shared" ref="V515:V578" si="76">S515-U515</f>
        <v>262334.40000000002</v>
      </c>
      <c r="W515" s="740">
        <v>55.7</v>
      </c>
      <c r="X515" s="678">
        <f t="shared" ref="X515:X578" si="77">(((F515*N515)*W515)-(W515*(M515*F515)))</f>
        <v>82881.600000000006</v>
      </c>
      <c r="Y515" s="700">
        <f t="shared" ref="Y515:Y578" si="78">S515-X515</f>
        <v>262334.40000000002</v>
      </c>
      <c r="Z515" s="740">
        <v>55.7</v>
      </c>
      <c r="AA515" s="678">
        <f t="shared" ref="AA515:AA578" si="79">(((F515*N515)*Z515)-(Z515*(M515*F515)))</f>
        <v>82881.600000000006</v>
      </c>
      <c r="AB515" s="741">
        <f t="shared" ref="AB515:AB578" si="80">S515-AA515</f>
        <v>262334.40000000002</v>
      </c>
      <c r="AC515" s="714"/>
    </row>
    <row r="516" spans="1:29" ht="15" customHeight="1" x14ac:dyDescent="0.25">
      <c r="A516" s="713"/>
      <c r="B516" s="714" t="s">
        <v>771</v>
      </c>
      <c r="C516" s="676" t="s">
        <v>40</v>
      </c>
      <c r="D516" s="676" t="s">
        <v>509</v>
      </c>
      <c r="E516" s="680">
        <v>44652</v>
      </c>
      <c r="F516" s="676">
        <v>720</v>
      </c>
      <c r="G516" s="676" t="s">
        <v>59</v>
      </c>
      <c r="H516" s="676" t="s">
        <v>3</v>
      </c>
      <c r="I516" s="676" t="s">
        <v>44</v>
      </c>
      <c r="J516" s="676" t="s">
        <v>85</v>
      </c>
      <c r="K516" s="676">
        <v>232</v>
      </c>
      <c r="L516" s="690" t="s">
        <v>54</v>
      </c>
      <c r="M516" s="691">
        <v>0</v>
      </c>
      <c r="N516" s="690">
        <v>2</v>
      </c>
      <c r="O516" s="691">
        <v>0</v>
      </c>
      <c r="P516" s="690">
        <v>232</v>
      </c>
      <c r="Q516" s="738">
        <f t="shared" si="72"/>
        <v>0</v>
      </c>
      <c r="R516" s="677">
        <f t="shared" si="73"/>
        <v>334080</v>
      </c>
      <c r="S516" s="739">
        <f t="shared" si="74"/>
        <v>334080</v>
      </c>
      <c r="T516" s="738">
        <v>55.7</v>
      </c>
      <c r="U516" s="677">
        <f t="shared" si="75"/>
        <v>80208</v>
      </c>
      <c r="V516" s="739">
        <f t="shared" si="76"/>
        <v>253872</v>
      </c>
      <c r="W516" s="740">
        <v>55.7</v>
      </c>
      <c r="X516" s="678">
        <f t="shared" si="77"/>
        <v>80208</v>
      </c>
      <c r="Y516" s="700">
        <f t="shared" si="78"/>
        <v>253872</v>
      </c>
      <c r="Z516" s="740">
        <v>55.7</v>
      </c>
      <c r="AA516" s="678">
        <f t="shared" si="79"/>
        <v>80208</v>
      </c>
      <c r="AB516" s="741">
        <f t="shared" si="80"/>
        <v>253872</v>
      </c>
      <c r="AC516" s="714"/>
    </row>
    <row r="517" spans="1:29" ht="15" customHeight="1" x14ac:dyDescent="0.25">
      <c r="A517" s="713"/>
      <c r="B517" s="714" t="s">
        <v>771</v>
      </c>
      <c r="C517" s="676" t="s">
        <v>40</v>
      </c>
      <c r="D517" s="676" t="s">
        <v>509</v>
      </c>
      <c r="E517" s="680">
        <v>44682</v>
      </c>
      <c r="F517" s="676">
        <v>744</v>
      </c>
      <c r="G517" s="676" t="s">
        <v>59</v>
      </c>
      <c r="H517" s="676" t="s">
        <v>3</v>
      </c>
      <c r="I517" s="676" t="s">
        <v>44</v>
      </c>
      <c r="J517" s="676" t="s">
        <v>85</v>
      </c>
      <c r="K517" s="676">
        <v>232</v>
      </c>
      <c r="L517" s="690" t="s">
        <v>54</v>
      </c>
      <c r="M517" s="691">
        <v>0</v>
      </c>
      <c r="N517" s="690">
        <v>2</v>
      </c>
      <c r="O517" s="691">
        <v>0</v>
      </c>
      <c r="P517" s="690">
        <v>232</v>
      </c>
      <c r="Q517" s="738">
        <f t="shared" si="72"/>
        <v>0</v>
      </c>
      <c r="R517" s="677">
        <f t="shared" si="73"/>
        <v>345216</v>
      </c>
      <c r="S517" s="739">
        <f t="shared" si="74"/>
        <v>345216</v>
      </c>
      <c r="T517" s="738">
        <v>55.7</v>
      </c>
      <c r="U517" s="677">
        <f t="shared" si="75"/>
        <v>82881.600000000006</v>
      </c>
      <c r="V517" s="739">
        <f t="shared" si="76"/>
        <v>262334.40000000002</v>
      </c>
      <c r="W517" s="740">
        <v>55.7</v>
      </c>
      <c r="X517" s="678">
        <f t="shared" si="77"/>
        <v>82881.600000000006</v>
      </c>
      <c r="Y517" s="700">
        <f t="shared" si="78"/>
        <v>262334.40000000002</v>
      </c>
      <c r="Z517" s="740">
        <v>55.7</v>
      </c>
      <c r="AA517" s="678">
        <f t="shared" si="79"/>
        <v>82881.600000000006</v>
      </c>
      <c r="AB517" s="741">
        <f t="shared" si="80"/>
        <v>262334.40000000002</v>
      </c>
      <c r="AC517" s="714"/>
    </row>
    <row r="518" spans="1:29" ht="15" customHeight="1" x14ac:dyDescent="0.25">
      <c r="A518" s="713"/>
      <c r="B518" s="714" t="s">
        <v>771</v>
      </c>
      <c r="C518" s="676" t="s">
        <v>40</v>
      </c>
      <c r="D518" s="676" t="s">
        <v>509</v>
      </c>
      <c r="E518" s="680">
        <v>44713</v>
      </c>
      <c r="F518" s="676">
        <v>720</v>
      </c>
      <c r="G518" s="676" t="s">
        <v>59</v>
      </c>
      <c r="H518" s="676" t="s">
        <v>3</v>
      </c>
      <c r="I518" s="676" t="s">
        <v>44</v>
      </c>
      <c r="J518" s="676" t="s">
        <v>85</v>
      </c>
      <c r="K518" s="676">
        <v>232</v>
      </c>
      <c r="L518" s="690" t="s">
        <v>54</v>
      </c>
      <c r="M518" s="691">
        <v>0</v>
      </c>
      <c r="N518" s="690">
        <v>2</v>
      </c>
      <c r="O518" s="691">
        <v>0</v>
      </c>
      <c r="P518" s="690">
        <v>232</v>
      </c>
      <c r="Q518" s="738">
        <f t="shared" si="72"/>
        <v>0</v>
      </c>
      <c r="R518" s="677">
        <f t="shared" si="73"/>
        <v>334080</v>
      </c>
      <c r="S518" s="739">
        <f t="shared" si="74"/>
        <v>334080</v>
      </c>
      <c r="T518" s="738">
        <v>55.71</v>
      </c>
      <c r="U518" s="677">
        <f t="shared" si="75"/>
        <v>80222.399999999994</v>
      </c>
      <c r="V518" s="739">
        <f t="shared" si="76"/>
        <v>253857.6</v>
      </c>
      <c r="W518" s="740">
        <v>55.71</v>
      </c>
      <c r="X518" s="678">
        <f t="shared" si="77"/>
        <v>80222.399999999994</v>
      </c>
      <c r="Y518" s="700">
        <f t="shared" si="78"/>
        <v>253857.6</v>
      </c>
      <c r="Z518" s="740">
        <v>55.71</v>
      </c>
      <c r="AA518" s="678">
        <f t="shared" si="79"/>
        <v>80222.399999999994</v>
      </c>
      <c r="AB518" s="741">
        <f t="shared" si="80"/>
        <v>253857.6</v>
      </c>
      <c r="AC518" s="714"/>
    </row>
    <row r="519" spans="1:29" ht="15" customHeight="1" x14ac:dyDescent="0.25">
      <c r="A519" s="713"/>
      <c r="B519" s="714" t="s">
        <v>771</v>
      </c>
      <c r="C519" s="676" t="s">
        <v>40</v>
      </c>
      <c r="D519" s="676" t="s">
        <v>509</v>
      </c>
      <c r="E519" s="680">
        <v>44743</v>
      </c>
      <c r="F519" s="676">
        <v>744</v>
      </c>
      <c r="G519" s="676" t="s">
        <v>59</v>
      </c>
      <c r="H519" s="676" t="s">
        <v>3</v>
      </c>
      <c r="I519" s="676" t="s">
        <v>44</v>
      </c>
      <c r="J519" s="676" t="s">
        <v>85</v>
      </c>
      <c r="K519" s="676">
        <v>232</v>
      </c>
      <c r="L519" s="690" t="s">
        <v>54</v>
      </c>
      <c r="M519" s="691">
        <v>0</v>
      </c>
      <c r="N519" s="690">
        <v>2</v>
      </c>
      <c r="O519" s="691">
        <v>0</v>
      </c>
      <c r="P519" s="690">
        <v>232</v>
      </c>
      <c r="Q519" s="738">
        <f t="shared" si="72"/>
        <v>0</v>
      </c>
      <c r="R519" s="677">
        <f t="shared" si="73"/>
        <v>345216</v>
      </c>
      <c r="S519" s="739">
        <f t="shared" si="74"/>
        <v>345216</v>
      </c>
      <c r="T519" s="738">
        <v>66.319999999999993</v>
      </c>
      <c r="U519" s="677">
        <f t="shared" si="75"/>
        <v>98684.159999999989</v>
      </c>
      <c r="V519" s="739">
        <f t="shared" si="76"/>
        <v>246531.84000000003</v>
      </c>
      <c r="W519" s="740">
        <v>66.319999999999993</v>
      </c>
      <c r="X519" s="678">
        <f t="shared" si="77"/>
        <v>98684.159999999989</v>
      </c>
      <c r="Y519" s="700">
        <f t="shared" si="78"/>
        <v>246531.84000000003</v>
      </c>
      <c r="Z519" s="740">
        <v>66.319999999999993</v>
      </c>
      <c r="AA519" s="678">
        <f t="shared" si="79"/>
        <v>98684.159999999989</v>
      </c>
      <c r="AB519" s="741">
        <f t="shared" si="80"/>
        <v>246531.84000000003</v>
      </c>
      <c r="AC519" s="714"/>
    </row>
    <row r="520" spans="1:29" ht="15" customHeight="1" x14ac:dyDescent="0.25">
      <c r="A520" s="713"/>
      <c r="B520" s="714" t="s">
        <v>771</v>
      </c>
      <c r="C520" s="676" t="s">
        <v>40</v>
      </c>
      <c r="D520" s="676" t="s">
        <v>509</v>
      </c>
      <c r="E520" s="680">
        <v>44774</v>
      </c>
      <c r="F520" s="676">
        <v>744</v>
      </c>
      <c r="G520" s="676" t="s">
        <v>59</v>
      </c>
      <c r="H520" s="676" t="s">
        <v>3</v>
      </c>
      <c r="I520" s="676" t="s">
        <v>44</v>
      </c>
      <c r="J520" s="676" t="s">
        <v>85</v>
      </c>
      <c r="K520" s="676">
        <v>232</v>
      </c>
      <c r="L520" s="690" t="s">
        <v>54</v>
      </c>
      <c r="M520" s="691">
        <v>0</v>
      </c>
      <c r="N520" s="690">
        <v>2</v>
      </c>
      <c r="O520" s="691">
        <v>0</v>
      </c>
      <c r="P520" s="690">
        <v>232</v>
      </c>
      <c r="Q520" s="738">
        <f t="shared" si="72"/>
        <v>0</v>
      </c>
      <c r="R520" s="677">
        <f t="shared" si="73"/>
        <v>345216</v>
      </c>
      <c r="S520" s="739">
        <f t="shared" si="74"/>
        <v>345216</v>
      </c>
      <c r="T520" s="738">
        <v>76.900000000000006</v>
      </c>
      <c r="U520" s="677">
        <f t="shared" si="75"/>
        <v>114427.20000000001</v>
      </c>
      <c r="V520" s="739">
        <f t="shared" si="76"/>
        <v>230788.8</v>
      </c>
      <c r="W520" s="740">
        <v>76.900000000000006</v>
      </c>
      <c r="X520" s="678">
        <f t="shared" si="77"/>
        <v>114427.20000000001</v>
      </c>
      <c r="Y520" s="700">
        <f t="shared" si="78"/>
        <v>230788.8</v>
      </c>
      <c r="Z520" s="740">
        <v>76.900000000000006</v>
      </c>
      <c r="AA520" s="678">
        <f t="shared" si="79"/>
        <v>114427.20000000001</v>
      </c>
      <c r="AB520" s="741">
        <f t="shared" si="80"/>
        <v>230788.8</v>
      </c>
      <c r="AC520" s="714"/>
    </row>
    <row r="521" spans="1:29" ht="15" customHeight="1" x14ac:dyDescent="0.25">
      <c r="A521" s="713"/>
      <c r="B521" s="714" t="s">
        <v>771</v>
      </c>
      <c r="C521" s="676" t="s">
        <v>40</v>
      </c>
      <c r="D521" s="676" t="s">
        <v>509</v>
      </c>
      <c r="E521" s="680">
        <v>44805</v>
      </c>
      <c r="F521" s="676">
        <v>720</v>
      </c>
      <c r="G521" s="676" t="s">
        <v>59</v>
      </c>
      <c r="H521" s="676" t="s">
        <v>3</v>
      </c>
      <c r="I521" s="676" t="s">
        <v>44</v>
      </c>
      <c r="J521" s="676" t="s">
        <v>85</v>
      </c>
      <c r="K521" s="676">
        <v>232</v>
      </c>
      <c r="L521" s="690" t="s">
        <v>54</v>
      </c>
      <c r="M521" s="691">
        <v>0</v>
      </c>
      <c r="N521" s="690">
        <v>2</v>
      </c>
      <c r="O521" s="691">
        <v>0</v>
      </c>
      <c r="P521" s="690">
        <v>232</v>
      </c>
      <c r="Q521" s="738">
        <f t="shared" si="72"/>
        <v>0</v>
      </c>
      <c r="R521" s="677">
        <f t="shared" si="73"/>
        <v>334080</v>
      </c>
      <c r="S521" s="739">
        <f t="shared" si="74"/>
        <v>334080</v>
      </c>
      <c r="T521" s="738">
        <v>56.08</v>
      </c>
      <c r="U521" s="677">
        <f t="shared" si="75"/>
        <v>80755.199999999997</v>
      </c>
      <c r="V521" s="739">
        <f t="shared" si="76"/>
        <v>253324.79999999999</v>
      </c>
      <c r="W521" s="740">
        <v>56.08</v>
      </c>
      <c r="X521" s="678">
        <f t="shared" si="77"/>
        <v>80755.199999999997</v>
      </c>
      <c r="Y521" s="700">
        <f t="shared" si="78"/>
        <v>253324.79999999999</v>
      </c>
      <c r="Z521" s="740">
        <v>56.08</v>
      </c>
      <c r="AA521" s="678">
        <f t="shared" si="79"/>
        <v>80755.199999999997</v>
      </c>
      <c r="AB521" s="741">
        <f t="shared" si="80"/>
        <v>253324.79999999999</v>
      </c>
      <c r="AC521" s="714"/>
    </row>
    <row r="522" spans="1:29" ht="15" customHeight="1" x14ac:dyDescent="0.25">
      <c r="A522" s="713"/>
      <c r="B522" s="714" t="s">
        <v>771</v>
      </c>
      <c r="C522" s="676" t="s">
        <v>40</v>
      </c>
      <c r="D522" s="676" t="s">
        <v>509</v>
      </c>
      <c r="E522" s="680">
        <v>44835</v>
      </c>
      <c r="F522" s="676">
        <v>744</v>
      </c>
      <c r="G522" s="676" t="s">
        <v>59</v>
      </c>
      <c r="H522" s="676" t="s">
        <v>3</v>
      </c>
      <c r="I522" s="676" t="s">
        <v>44</v>
      </c>
      <c r="J522" s="676" t="s">
        <v>85</v>
      </c>
      <c r="K522" s="676">
        <v>232</v>
      </c>
      <c r="L522" s="690" t="s">
        <v>54</v>
      </c>
      <c r="M522" s="691">
        <v>0</v>
      </c>
      <c r="N522" s="690">
        <v>2</v>
      </c>
      <c r="O522" s="691">
        <v>0</v>
      </c>
      <c r="P522" s="690">
        <v>232</v>
      </c>
      <c r="Q522" s="738">
        <f t="shared" si="72"/>
        <v>0</v>
      </c>
      <c r="R522" s="677">
        <f t="shared" si="73"/>
        <v>345216</v>
      </c>
      <c r="S522" s="739">
        <f t="shared" si="74"/>
        <v>345216</v>
      </c>
      <c r="T522" s="738">
        <v>55.7</v>
      </c>
      <c r="U522" s="677">
        <f t="shared" si="75"/>
        <v>82881.600000000006</v>
      </c>
      <c r="V522" s="739">
        <f t="shared" si="76"/>
        <v>262334.40000000002</v>
      </c>
      <c r="W522" s="740">
        <v>55.7</v>
      </c>
      <c r="X522" s="678">
        <f t="shared" si="77"/>
        <v>82881.600000000006</v>
      </c>
      <c r="Y522" s="700">
        <f t="shared" si="78"/>
        <v>262334.40000000002</v>
      </c>
      <c r="Z522" s="740">
        <v>55.7</v>
      </c>
      <c r="AA522" s="678">
        <f t="shared" si="79"/>
        <v>82881.600000000006</v>
      </c>
      <c r="AB522" s="741">
        <f t="shared" si="80"/>
        <v>262334.40000000002</v>
      </c>
      <c r="AC522" s="714"/>
    </row>
    <row r="523" spans="1:29" ht="15" customHeight="1" x14ac:dyDescent="0.25">
      <c r="A523" s="713"/>
      <c r="B523" s="714" t="s">
        <v>771</v>
      </c>
      <c r="C523" s="676" t="s">
        <v>40</v>
      </c>
      <c r="D523" s="676" t="s">
        <v>509</v>
      </c>
      <c r="E523" s="680">
        <v>44866</v>
      </c>
      <c r="F523" s="676">
        <v>720</v>
      </c>
      <c r="G523" s="676" t="s">
        <v>59</v>
      </c>
      <c r="H523" s="676" t="s">
        <v>3</v>
      </c>
      <c r="I523" s="676" t="s">
        <v>44</v>
      </c>
      <c r="J523" s="676" t="s">
        <v>85</v>
      </c>
      <c r="K523" s="676">
        <v>232</v>
      </c>
      <c r="L523" s="690" t="s">
        <v>54</v>
      </c>
      <c r="M523" s="691">
        <v>0</v>
      </c>
      <c r="N523" s="690">
        <v>2</v>
      </c>
      <c r="O523" s="691">
        <v>0</v>
      </c>
      <c r="P523" s="690">
        <v>232</v>
      </c>
      <c r="Q523" s="738">
        <f t="shared" si="72"/>
        <v>0</v>
      </c>
      <c r="R523" s="677">
        <f t="shared" si="73"/>
        <v>334080</v>
      </c>
      <c r="S523" s="739">
        <f t="shared" si="74"/>
        <v>334080</v>
      </c>
      <c r="T523" s="738">
        <v>55.7</v>
      </c>
      <c r="U523" s="677">
        <f t="shared" si="75"/>
        <v>80208</v>
      </c>
      <c r="V523" s="739">
        <f t="shared" si="76"/>
        <v>253872</v>
      </c>
      <c r="W523" s="740">
        <v>55.7</v>
      </c>
      <c r="X523" s="678">
        <f t="shared" si="77"/>
        <v>80208</v>
      </c>
      <c r="Y523" s="700">
        <f t="shared" si="78"/>
        <v>253872</v>
      </c>
      <c r="Z523" s="740">
        <v>55.7</v>
      </c>
      <c r="AA523" s="678">
        <f t="shared" si="79"/>
        <v>80208</v>
      </c>
      <c r="AB523" s="741">
        <f t="shared" si="80"/>
        <v>253872</v>
      </c>
      <c r="AC523" s="714"/>
    </row>
    <row r="524" spans="1:29" ht="15" customHeight="1" x14ac:dyDescent="0.25">
      <c r="A524" s="713"/>
      <c r="B524" s="729" t="s">
        <v>771</v>
      </c>
      <c r="C524" s="545" t="s">
        <v>40</v>
      </c>
      <c r="D524" s="545" t="s">
        <v>509</v>
      </c>
      <c r="E524" s="681">
        <v>44896</v>
      </c>
      <c r="F524" s="545">
        <v>744</v>
      </c>
      <c r="G524" s="545" t="s">
        <v>59</v>
      </c>
      <c r="H524" s="545" t="s">
        <v>3</v>
      </c>
      <c r="I524" s="545" t="s">
        <v>44</v>
      </c>
      <c r="J524" s="545" t="s">
        <v>85</v>
      </c>
      <c r="K524" s="545">
        <v>232</v>
      </c>
      <c r="L524" s="725" t="s">
        <v>54</v>
      </c>
      <c r="M524" s="695">
        <v>0</v>
      </c>
      <c r="N524" s="725">
        <v>2</v>
      </c>
      <c r="O524" s="695">
        <v>0</v>
      </c>
      <c r="P524" s="725">
        <v>232</v>
      </c>
      <c r="Q524" s="742">
        <f t="shared" si="72"/>
        <v>0</v>
      </c>
      <c r="R524" s="603">
        <f t="shared" si="73"/>
        <v>345216</v>
      </c>
      <c r="S524" s="743">
        <f t="shared" si="74"/>
        <v>345216</v>
      </c>
      <c r="T524" s="742">
        <v>55.7</v>
      </c>
      <c r="U524" s="603">
        <f t="shared" si="75"/>
        <v>82881.600000000006</v>
      </c>
      <c r="V524" s="743">
        <f t="shared" si="76"/>
        <v>262334.40000000002</v>
      </c>
      <c r="W524" s="744">
        <v>55.7</v>
      </c>
      <c r="X524" s="604">
        <f t="shared" si="77"/>
        <v>82881.600000000006</v>
      </c>
      <c r="Y524" s="701">
        <f t="shared" si="78"/>
        <v>262334.40000000002</v>
      </c>
      <c r="Z524" s="744">
        <v>78.400653594793155</v>
      </c>
      <c r="AA524" s="604">
        <f t="shared" si="79"/>
        <v>116660.17254905222</v>
      </c>
      <c r="AB524" s="745">
        <f t="shared" si="80"/>
        <v>228555.82745094778</v>
      </c>
      <c r="AC524" s="714"/>
    </row>
    <row r="525" spans="1:29" ht="15" customHeight="1" x14ac:dyDescent="0.25">
      <c r="A525" s="713"/>
      <c r="B525" s="730" t="s">
        <v>773</v>
      </c>
      <c r="C525" s="546" t="s">
        <v>40</v>
      </c>
      <c r="D525" s="546" t="s">
        <v>510</v>
      </c>
      <c r="E525" s="682">
        <v>44743</v>
      </c>
      <c r="F525" s="546">
        <v>744</v>
      </c>
      <c r="G525" s="546" t="s">
        <v>59</v>
      </c>
      <c r="H525" s="546" t="s">
        <v>3</v>
      </c>
      <c r="I525" s="546" t="s">
        <v>44</v>
      </c>
      <c r="J525" s="546" t="s">
        <v>85</v>
      </c>
      <c r="K525" s="546">
        <v>282</v>
      </c>
      <c r="L525" s="726" t="s">
        <v>54</v>
      </c>
      <c r="M525" s="696">
        <v>0</v>
      </c>
      <c r="N525" s="726">
        <v>2</v>
      </c>
      <c r="O525" s="696">
        <v>0</v>
      </c>
      <c r="P525" s="726">
        <v>282</v>
      </c>
      <c r="Q525" s="746">
        <f t="shared" si="72"/>
        <v>0</v>
      </c>
      <c r="R525" s="606">
        <f t="shared" si="73"/>
        <v>419616</v>
      </c>
      <c r="S525" s="747">
        <f t="shared" si="74"/>
        <v>419616</v>
      </c>
      <c r="T525" s="746">
        <v>66.319999999999993</v>
      </c>
      <c r="U525" s="606">
        <f t="shared" si="75"/>
        <v>98684.159999999989</v>
      </c>
      <c r="V525" s="747">
        <f t="shared" si="76"/>
        <v>320931.84000000003</v>
      </c>
      <c r="W525" s="748">
        <v>66.319999999999993</v>
      </c>
      <c r="X525" s="607">
        <f t="shared" si="77"/>
        <v>98684.159999999989</v>
      </c>
      <c r="Y525" s="702">
        <f t="shared" si="78"/>
        <v>320931.84000000003</v>
      </c>
      <c r="Z525" s="748">
        <v>66.319999999999993</v>
      </c>
      <c r="AA525" s="607">
        <f t="shared" si="79"/>
        <v>98684.159999999989</v>
      </c>
      <c r="AB525" s="749">
        <f t="shared" si="80"/>
        <v>320931.84000000003</v>
      </c>
      <c r="AC525" s="714"/>
    </row>
    <row r="526" spans="1:29" ht="15" customHeight="1" x14ac:dyDescent="0.25">
      <c r="A526" s="713"/>
      <c r="B526" s="714" t="s">
        <v>773</v>
      </c>
      <c r="C526" s="676" t="s">
        <v>40</v>
      </c>
      <c r="D526" s="676" t="s">
        <v>510</v>
      </c>
      <c r="E526" s="680">
        <v>44774</v>
      </c>
      <c r="F526" s="676">
        <v>744</v>
      </c>
      <c r="G526" s="676" t="s">
        <v>59</v>
      </c>
      <c r="H526" s="676" t="s">
        <v>3</v>
      </c>
      <c r="I526" s="676" t="s">
        <v>44</v>
      </c>
      <c r="J526" s="676" t="s">
        <v>85</v>
      </c>
      <c r="K526" s="676">
        <v>282</v>
      </c>
      <c r="L526" s="690" t="s">
        <v>54</v>
      </c>
      <c r="M526" s="691">
        <v>0</v>
      </c>
      <c r="N526" s="690">
        <v>2</v>
      </c>
      <c r="O526" s="691">
        <v>0</v>
      </c>
      <c r="P526" s="690">
        <v>282</v>
      </c>
      <c r="Q526" s="738">
        <f t="shared" si="72"/>
        <v>0</v>
      </c>
      <c r="R526" s="677">
        <f t="shared" si="73"/>
        <v>419616</v>
      </c>
      <c r="S526" s="739">
        <f t="shared" si="74"/>
        <v>419616</v>
      </c>
      <c r="T526" s="738">
        <v>76.900000000000006</v>
      </c>
      <c r="U526" s="677">
        <f t="shared" si="75"/>
        <v>114427.20000000001</v>
      </c>
      <c r="V526" s="739">
        <f t="shared" si="76"/>
        <v>305188.8</v>
      </c>
      <c r="W526" s="740">
        <v>76.900000000000006</v>
      </c>
      <c r="X526" s="678">
        <f t="shared" si="77"/>
        <v>114427.20000000001</v>
      </c>
      <c r="Y526" s="700">
        <f t="shared" si="78"/>
        <v>305188.8</v>
      </c>
      <c r="Z526" s="740">
        <v>76.900000000000006</v>
      </c>
      <c r="AA526" s="678">
        <f t="shared" si="79"/>
        <v>114427.20000000001</v>
      </c>
      <c r="AB526" s="741">
        <f t="shared" si="80"/>
        <v>305188.8</v>
      </c>
      <c r="AC526" s="714"/>
    </row>
    <row r="527" spans="1:29" ht="15" customHeight="1" x14ac:dyDescent="0.25">
      <c r="A527" s="713"/>
      <c r="B527" s="714" t="s">
        <v>773</v>
      </c>
      <c r="C527" s="676" t="s">
        <v>40</v>
      </c>
      <c r="D527" s="676" t="s">
        <v>510</v>
      </c>
      <c r="E527" s="680">
        <v>44805</v>
      </c>
      <c r="F527" s="676">
        <v>720</v>
      </c>
      <c r="G527" s="676" t="s">
        <v>59</v>
      </c>
      <c r="H527" s="676" t="s">
        <v>3</v>
      </c>
      <c r="I527" s="676" t="s">
        <v>44</v>
      </c>
      <c r="J527" s="676" t="s">
        <v>85</v>
      </c>
      <c r="K527" s="676">
        <v>282</v>
      </c>
      <c r="L527" s="690" t="s">
        <v>54</v>
      </c>
      <c r="M527" s="691">
        <v>0</v>
      </c>
      <c r="N527" s="690">
        <v>2</v>
      </c>
      <c r="O527" s="691">
        <v>0</v>
      </c>
      <c r="P527" s="690">
        <v>282</v>
      </c>
      <c r="Q527" s="738">
        <f t="shared" si="72"/>
        <v>0</v>
      </c>
      <c r="R527" s="677">
        <f t="shared" si="73"/>
        <v>406080</v>
      </c>
      <c r="S527" s="739">
        <f t="shared" si="74"/>
        <v>406080</v>
      </c>
      <c r="T527" s="738">
        <v>56.08</v>
      </c>
      <c r="U527" s="677">
        <f t="shared" si="75"/>
        <v>80755.199999999997</v>
      </c>
      <c r="V527" s="739">
        <f t="shared" si="76"/>
        <v>325324.79999999999</v>
      </c>
      <c r="W527" s="740">
        <v>56.08</v>
      </c>
      <c r="X527" s="678">
        <f t="shared" si="77"/>
        <v>80755.199999999997</v>
      </c>
      <c r="Y527" s="700">
        <f t="shared" si="78"/>
        <v>325324.79999999999</v>
      </c>
      <c r="Z527" s="740">
        <v>56.08</v>
      </c>
      <c r="AA527" s="678">
        <f t="shared" si="79"/>
        <v>80755.199999999997</v>
      </c>
      <c r="AB527" s="741">
        <f t="shared" si="80"/>
        <v>325324.79999999999</v>
      </c>
      <c r="AC527" s="714"/>
    </row>
    <row r="528" spans="1:29" ht="15" customHeight="1" x14ac:dyDescent="0.25">
      <c r="A528" s="713"/>
      <c r="B528" s="714" t="s">
        <v>773</v>
      </c>
      <c r="C528" s="676" t="s">
        <v>40</v>
      </c>
      <c r="D528" s="676" t="s">
        <v>510</v>
      </c>
      <c r="E528" s="680">
        <v>44835</v>
      </c>
      <c r="F528" s="676">
        <v>744</v>
      </c>
      <c r="G528" s="676" t="s">
        <v>59</v>
      </c>
      <c r="H528" s="676" t="s">
        <v>3</v>
      </c>
      <c r="I528" s="676" t="s">
        <v>44</v>
      </c>
      <c r="J528" s="676" t="s">
        <v>85</v>
      </c>
      <c r="K528" s="676">
        <v>282</v>
      </c>
      <c r="L528" s="690" t="s">
        <v>54</v>
      </c>
      <c r="M528" s="691">
        <v>0</v>
      </c>
      <c r="N528" s="690">
        <v>2</v>
      </c>
      <c r="O528" s="691">
        <v>0</v>
      </c>
      <c r="P528" s="690">
        <v>282</v>
      </c>
      <c r="Q528" s="738">
        <f t="shared" si="72"/>
        <v>0</v>
      </c>
      <c r="R528" s="677">
        <f t="shared" si="73"/>
        <v>419616</v>
      </c>
      <c r="S528" s="739">
        <f t="shared" si="74"/>
        <v>419616</v>
      </c>
      <c r="T528" s="738">
        <v>55.7</v>
      </c>
      <c r="U528" s="677">
        <f t="shared" si="75"/>
        <v>82881.600000000006</v>
      </c>
      <c r="V528" s="739">
        <f t="shared" si="76"/>
        <v>336734.4</v>
      </c>
      <c r="W528" s="740">
        <v>55.7</v>
      </c>
      <c r="X528" s="678">
        <f t="shared" si="77"/>
        <v>82881.600000000006</v>
      </c>
      <c r="Y528" s="700">
        <f t="shared" si="78"/>
        <v>336734.4</v>
      </c>
      <c r="Z528" s="740">
        <v>55.7</v>
      </c>
      <c r="AA528" s="678">
        <f t="shared" si="79"/>
        <v>82881.600000000006</v>
      </c>
      <c r="AB528" s="741">
        <f t="shared" si="80"/>
        <v>336734.4</v>
      </c>
      <c r="AC528" s="714"/>
    </row>
    <row r="529" spans="1:29" ht="15" customHeight="1" x14ac:dyDescent="0.25">
      <c r="A529" s="713"/>
      <c r="B529" s="714" t="s">
        <v>773</v>
      </c>
      <c r="C529" s="676" t="s">
        <v>40</v>
      </c>
      <c r="D529" s="676" t="s">
        <v>510</v>
      </c>
      <c r="E529" s="680">
        <v>44866</v>
      </c>
      <c r="F529" s="676">
        <v>720</v>
      </c>
      <c r="G529" s="676" t="s">
        <v>59</v>
      </c>
      <c r="H529" s="676" t="s">
        <v>3</v>
      </c>
      <c r="I529" s="676" t="s">
        <v>44</v>
      </c>
      <c r="J529" s="676" t="s">
        <v>85</v>
      </c>
      <c r="K529" s="676">
        <v>282</v>
      </c>
      <c r="L529" s="690" t="s">
        <v>54</v>
      </c>
      <c r="M529" s="691">
        <v>0</v>
      </c>
      <c r="N529" s="690">
        <v>2</v>
      </c>
      <c r="O529" s="691">
        <v>0</v>
      </c>
      <c r="P529" s="690">
        <v>282</v>
      </c>
      <c r="Q529" s="738">
        <f t="shared" si="72"/>
        <v>0</v>
      </c>
      <c r="R529" s="677">
        <f t="shared" si="73"/>
        <v>406080</v>
      </c>
      <c r="S529" s="739">
        <f t="shared" si="74"/>
        <v>406080</v>
      </c>
      <c r="T529" s="738">
        <v>55.7</v>
      </c>
      <c r="U529" s="677">
        <f t="shared" si="75"/>
        <v>80208</v>
      </c>
      <c r="V529" s="739">
        <f t="shared" si="76"/>
        <v>325872</v>
      </c>
      <c r="W529" s="740">
        <v>55.7</v>
      </c>
      <c r="X529" s="678">
        <f t="shared" si="77"/>
        <v>80208</v>
      </c>
      <c r="Y529" s="700">
        <f t="shared" si="78"/>
        <v>325872</v>
      </c>
      <c r="Z529" s="740">
        <v>55.7</v>
      </c>
      <c r="AA529" s="678">
        <f t="shared" si="79"/>
        <v>80208</v>
      </c>
      <c r="AB529" s="741">
        <f t="shared" si="80"/>
        <v>325872</v>
      </c>
      <c r="AC529" s="714"/>
    </row>
    <row r="530" spans="1:29" ht="15" customHeight="1" x14ac:dyDescent="0.25">
      <c r="A530" s="713"/>
      <c r="B530" s="729" t="s">
        <v>773</v>
      </c>
      <c r="C530" s="545" t="s">
        <v>40</v>
      </c>
      <c r="D530" s="545" t="s">
        <v>510</v>
      </c>
      <c r="E530" s="681">
        <v>44896</v>
      </c>
      <c r="F530" s="545">
        <v>744</v>
      </c>
      <c r="G530" s="545" t="s">
        <v>59</v>
      </c>
      <c r="H530" s="545" t="s">
        <v>3</v>
      </c>
      <c r="I530" s="545" t="s">
        <v>44</v>
      </c>
      <c r="J530" s="545" t="s">
        <v>85</v>
      </c>
      <c r="K530" s="545">
        <v>282</v>
      </c>
      <c r="L530" s="725" t="s">
        <v>54</v>
      </c>
      <c r="M530" s="695">
        <v>0</v>
      </c>
      <c r="N530" s="725">
        <v>2</v>
      </c>
      <c r="O530" s="695">
        <v>0</v>
      </c>
      <c r="P530" s="725">
        <v>282</v>
      </c>
      <c r="Q530" s="742">
        <f t="shared" si="72"/>
        <v>0</v>
      </c>
      <c r="R530" s="603">
        <f t="shared" si="73"/>
        <v>419616</v>
      </c>
      <c r="S530" s="743">
        <f t="shared" si="74"/>
        <v>419616</v>
      </c>
      <c r="T530" s="742">
        <v>55.7</v>
      </c>
      <c r="U530" s="603">
        <f t="shared" si="75"/>
        <v>82881.600000000006</v>
      </c>
      <c r="V530" s="743">
        <f t="shared" si="76"/>
        <v>336734.4</v>
      </c>
      <c r="W530" s="744">
        <v>55.7</v>
      </c>
      <c r="X530" s="604">
        <f t="shared" si="77"/>
        <v>82881.600000000006</v>
      </c>
      <c r="Y530" s="701">
        <f t="shared" si="78"/>
        <v>336734.4</v>
      </c>
      <c r="Z530" s="744">
        <v>78.400653594793155</v>
      </c>
      <c r="AA530" s="604">
        <f t="shared" si="79"/>
        <v>116660.17254905222</v>
      </c>
      <c r="AB530" s="745">
        <f t="shared" si="80"/>
        <v>302955.82745094778</v>
      </c>
      <c r="AC530" s="714"/>
    </row>
    <row r="531" spans="1:29" ht="15" customHeight="1" x14ac:dyDescent="0.25">
      <c r="A531" s="713"/>
      <c r="B531" s="731" t="s">
        <v>775</v>
      </c>
      <c r="C531" s="547" t="s">
        <v>40</v>
      </c>
      <c r="D531" s="547" t="s">
        <v>467</v>
      </c>
      <c r="E531" s="683">
        <v>44562</v>
      </c>
      <c r="F531" s="547">
        <v>744</v>
      </c>
      <c r="G531" s="547" t="s">
        <v>58</v>
      </c>
      <c r="H531" s="547" t="s">
        <v>3</v>
      </c>
      <c r="I531" s="547" t="s">
        <v>44</v>
      </c>
      <c r="J531" s="547" t="s">
        <v>84</v>
      </c>
      <c r="K531" s="547">
        <v>184</v>
      </c>
      <c r="L531" s="727" t="s">
        <v>54</v>
      </c>
      <c r="M531" s="697">
        <v>2</v>
      </c>
      <c r="N531" s="727">
        <v>0</v>
      </c>
      <c r="O531" s="697">
        <v>184</v>
      </c>
      <c r="P531" s="727">
        <v>0</v>
      </c>
      <c r="Q531" s="750">
        <f t="shared" si="72"/>
        <v>273792</v>
      </c>
      <c r="R531" s="608">
        <f t="shared" si="73"/>
        <v>0</v>
      </c>
      <c r="S531" s="751">
        <f t="shared" si="74"/>
        <v>-273792</v>
      </c>
      <c r="T531" s="750">
        <v>62.91</v>
      </c>
      <c r="U531" s="608">
        <f t="shared" si="75"/>
        <v>-93610.08</v>
      </c>
      <c r="V531" s="751">
        <f t="shared" si="76"/>
        <v>-180181.91999999998</v>
      </c>
      <c r="W531" s="752">
        <v>62.91</v>
      </c>
      <c r="X531" s="609">
        <f t="shared" si="77"/>
        <v>-93610.08</v>
      </c>
      <c r="Y531" s="703">
        <f t="shared" si="78"/>
        <v>-180181.91999999998</v>
      </c>
      <c r="Z531" s="752">
        <v>62.91</v>
      </c>
      <c r="AA531" s="609">
        <f t="shared" si="79"/>
        <v>-93610.08</v>
      </c>
      <c r="AB531" s="753">
        <f t="shared" si="80"/>
        <v>-180181.91999999998</v>
      </c>
      <c r="AC531" s="714"/>
    </row>
    <row r="532" spans="1:29" ht="15" customHeight="1" x14ac:dyDescent="0.25">
      <c r="A532" s="713"/>
      <c r="B532" s="731" t="s">
        <v>777</v>
      </c>
      <c r="C532" s="547" t="s">
        <v>40</v>
      </c>
      <c r="D532" s="547" t="s">
        <v>466</v>
      </c>
      <c r="E532" s="683">
        <v>44562</v>
      </c>
      <c r="F532" s="547">
        <v>744</v>
      </c>
      <c r="G532" s="547" t="s">
        <v>58</v>
      </c>
      <c r="H532" s="547" t="s">
        <v>3</v>
      </c>
      <c r="I532" s="547" t="s">
        <v>44</v>
      </c>
      <c r="J532" s="547" t="s">
        <v>84</v>
      </c>
      <c r="K532" s="547">
        <v>185</v>
      </c>
      <c r="L532" s="727" t="s">
        <v>54</v>
      </c>
      <c r="M532" s="697">
        <v>2</v>
      </c>
      <c r="N532" s="727">
        <v>0</v>
      </c>
      <c r="O532" s="697">
        <v>185</v>
      </c>
      <c r="P532" s="727">
        <v>0</v>
      </c>
      <c r="Q532" s="750">
        <f t="shared" si="72"/>
        <v>275280</v>
      </c>
      <c r="R532" s="608">
        <f t="shared" si="73"/>
        <v>0</v>
      </c>
      <c r="S532" s="751">
        <f t="shared" si="74"/>
        <v>-275280</v>
      </c>
      <c r="T532" s="750">
        <v>62.91</v>
      </c>
      <c r="U532" s="608">
        <f t="shared" si="75"/>
        <v>-93610.08</v>
      </c>
      <c r="V532" s="751">
        <f t="shared" si="76"/>
        <v>-181669.91999999998</v>
      </c>
      <c r="W532" s="752">
        <v>62.91</v>
      </c>
      <c r="X532" s="609">
        <f t="shared" si="77"/>
        <v>-93610.08</v>
      </c>
      <c r="Y532" s="703">
        <f t="shared" si="78"/>
        <v>-181669.91999999998</v>
      </c>
      <c r="Z532" s="752">
        <v>62.91</v>
      </c>
      <c r="AA532" s="609">
        <f t="shared" si="79"/>
        <v>-93610.08</v>
      </c>
      <c r="AB532" s="753">
        <f t="shared" si="80"/>
        <v>-181669.91999999998</v>
      </c>
      <c r="AC532" s="714"/>
    </row>
    <row r="533" spans="1:29" ht="15" customHeight="1" x14ac:dyDescent="0.25">
      <c r="A533" s="713"/>
      <c r="B533" s="731" t="s">
        <v>779</v>
      </c>
      <c r="C533" s="547" t="s">
        <v>40</v>
      </c>
      <c r="D533" s="547" t="s">
        <v>473</v>
      </c>
      <c r="E533" s="683">
        <v>44593</v>
      </c>
      <c r="F533" s="547">
        <v>672</v>
      </c>
      <c r="G533" s="547" t="s">
        <v>58</v>
      </c>
      <c r="H533" s="547" t="s">
        <v>3</v>
      </c>
      <c r="I533" s="547" t="s">
        <v>44</v>
      </c>
      <c r="J533" s="547" t="s">
        <v>84</v>
      </c>
      <c r="K533" s="547">
        <v>228</v>
      </c>
      <c r="L533" s="727" t="s">
        <v>54</v>
      </c>
      <c r="M533" s="697">
        <v>4</v>
      </c>
      <c r="N533" s="727">
        <v>0</v>
      </c>
      <c r="O533" s="697">
        <v>228</v>
      </c>
      <c r="P533" s="727">
        <v>0</v>
      </c>
      <c r="Q533" s="750">
        <f t="shared" si="72"/>
        <v>612864</v>
      </c>
      <c r="R533" s="608">
        <f t="shared" si="73"/>
        <v>0</v>
      </c>
      <c r="S533" s="751">
        <f t="shared" si="74"/>
        <v>-612864</v>
      </c>
      <c r="T533" s="750">
        <v>55.7</v>
      </c>
      <c r="U533" s="608">
        <f t="shared" si="75"/>
        <v>-149721.60000000001</v>
      </c>
      <c r="V533" s="751">
        <f t="shared" si="76"/>
        <v>-463142.40000000002</v>
      </c>
      <c r="W533" s="752">
        <v>55.7</v>
      </c>
      <c r="X533" s="609">
        <f t="shared" si="77"/>
        <v>-149721.60000000001</v>
      </c>
      <c r="Y533" s="703">
        <f t="shared" si="78"/>
        <v>-463142.40000000002</v>
      </c>
      <c r="Z533" s="752">
        <v>55.7</v>
      </c>
      <c r="AA533" s="609">
        <f t="shared" si="79"/>
        <v>-149721.60000000001</v>
      </c>
      <c r="AB533" s="753">
        <f t="shared" si="80"/>
        <v>-463142.40000000002</v>
      </c>
      <c r="AC533" s="714"/>
    </row>
    <row r="534" spans="1:29" ht="15" customHeight="1" x14ac:dyDescent="0.25">
      <c r="A534" s="713"/>
      <c r="B534" s="731" t="s">
        <v>781</v>
      </c>
      <c r="C534" s="547" t="s">
        <v>40</v>
      </c>
      <c r="D534" s="547" t="s">
        <v>473</v>
      </c>
      <c r="E534" s="683">
        <v>44621</v>
      </c>
      <c r="F534" s="547">
        <v>744</v>
      </c>
      <c r="G534" s="547" t="s">
        <v>58</v>
      </c>
      <c r="H534" s="547" t="s">
        <v>3</v>
      </c>
      <c r="I534" s="547" t="s">
        <v>44</v>
      </c>
      <c r="J534" s="547" t="s">
        <v>84</v>
      </c>
      <c r="K534" s="547">
        <v>220</v>
      </c>
      <c r="L534" s="727" t="s">
        <v>54</v>
      </c>
      <c r="M534" s="697">
        <v>4</v>
      </c>
      <c r="N534" s="727">
        <v>0</v>
      </c>
      <c r="O534" s="697">
        <v>220</v>
      </c>
      <c r="P534" s="727">
        <v>0</v>
      </c>
      <c r="Q534" s="750">
        <f t="shared" si="72"/>
        <v>654720</v>
      </c>
      <c r="R534" s="608">
        <f t="shared" si="73"/>
        <v>0</v>
      </c>
      <c r="S534" s="751">
        <f t="shared" si="74"/>
        <v>-654720</v>
      </c>
      <c r="T534" s="750">
        <v>55.7</v>
      </c>
      <c r="U534" s="608">
        <f t="shared" si="75"/>
        <v>-165763.20000000001</v>
      </c>
      <c r="V534" s="751">
        <f t="shared" si="76"/>
        <v>-488956.8</v>
      </c>
      <c r="W534" s="752">
        <v>55.7</v>
      </c>
      <c r="X534" s="609">
        <f t="shared" si="77"/>
        <v>-165763.20000000001</v>
      </c>
      <c r="Y534" s="703">
        <f t="shared" si="78"/>
        <v>-488956.8</v>
      </c>
      <c r="Z534" s="752">
        <v>55.7</v>
      </c>
      <c r="AA534" s="609">
        <f t="shared" si="79"/>
        <v>-165763.20000000001</v>
      </c>
      <c r="AB534" s="753">
        <f t="shared" si="80"/>
        <v>-488956.8</v>
      </c>
      <c r="AC534" s="714"/>
    </row>
    <row r="535" spans="1:29" ht="15" customHeight="1" x14ac:dyDescent="0.25">
      <c r="A535" s="713"/>
      <c r="B535" s="730" t="s">
        <v>783</v>
      </c>
      <c r="C535" s="546" t="s">
        <v>40</v>
      </c>
      <c r="D535" s="546" t="s">
        <v>509</v>
      </c>
      <c r="E535" s="682">
        <v>44562</v>
      </c>
      <c r="F535" s="546">
        <v>744</v>
      </c>
      <c r="G535" s="546" t="s">
        <v>59</v>
      </c>
      <c r="H535" s="546" t="s">
        <v>3</v>
      </c>
      <c r="I535" s="546" t="s">
        <v>44</v>
      </c>
      <c r="J535" s="546" t="s">
        <v>85</v>
      </c>
      <c r="K535" s="546">
        <v>227</v>
      </c>
      <c r="L535" s="726" t="s">
        <v>54</v>
      </c>
      <c r="M535" s="696">
        <v>0</v>
      </c>
      <c r="N535" s="726">
        <v>2</v>
      </c>
      <c r="O535" s="696">
        <v>0</v>
      </c>
      <c r="P535" s="726">
        <v>227</v>
      </c>
      <c r="Q535" s="746">
        <f t="shared" si="72"/>
        <v>0</v>
      </c>
      <c r="R535" s="606">
        <f t="shared" si="73"/>
        <v>337776</v>
      </c>
      <c r="S535" s="747">
        <f t="shared" si="74"/>
        <v>337776</v>
      </c>
      <c r="T535" s="746">
        <v>62.91</v>
      </c>
      <c r="U535" s="606">
        <f t="shared" si="75"/>
        <v>93610.08</v>
      </c>
      <c r="V535" s="747">
        <f t="shared" si="76"/>
        <v>244165.91999999998</v>
      </c>
      <c r="W535" s="748">
        <v>62.91</v>
      </c>
      <c r="X535" s="607">
        <f t="shared" si="77"/>
        <v>93610.08</v>
      </c>
      <c r="Y535" s="702">
        <f t="shared" si="78"/>
        <v>244165.91999999998</v>
      </c>
      <c r="Z535" s="748">
        <v>62.91</v>
      </c>
      <c r="AA535" s="607">
        <f t="shared" si="79"/>
        <v>93610.08</v>
      </c>
      <c r="AB535" s="749">
        <f t="shared" si="80"/>
        <v>244165.91999999998</v>
      </c>
      <c r="AC535" s="714"/>
    </row>
    <row r="536" spans="1:29" ht="15" customHeight="1" x14ac:dyDescent="0.25">
      <c r="A536" s="713"/>
      <c r="B536" s="714" t="s">
        <v>783</v>
      </c>
      <c r="C536" s="676" t="s">
        <v>40</v>
      </c>
      <c r="D536" s="676" t="s">
        <v>509</v>
      </c>
      <c r="E536" s="680">
        <v>44593</v>
      </c>
      <c r="F536" s="676">
        <v>672</v>
      </c>
      <c r="G536" s="676" t="s">
        <v>59</v>
      </c>
      <c r="H536" s="676" t="s">
        <v>3</v>
      </c>
      <c r="I536" s="676" t="s">
        <v>44</v>
      </c>
      <c r="J536" s="676" t="s">
        <v>85</v>
      </c>
      <c r="K536" s="676">
        <v>227</v>
      </c>
      <c r="L536" s="690" t="s">
        <v>54</v>
      </c>
      <c r="M536" s="691">
        <v>0</v>
      </c>
      <c r="N536" s="690">
        <v>2</v>
      </c>
      <c r="O536" s="691">
        <v>0</v>
      </c>
      <c r="P536" s="690">
        <v>227</v>
      </c>
      <c r="Q536" s="738">
        <f t="shared" si="72"/>
        <v>0</v>
      </c>
      <c r="R536" s="677">
        <f t="shared" si="73"/>
        <v>305088</v>
      </c>
      <c r="S536" s="739">
        <f t="shared" si="74"/>
        <v>305088</v>
      </c>
      <c r="T536" s="738">
        <v>55.7</v>
      </c>
      <c r="U536" s="677">
        <f t="shared" si="75"/>
        <v>74860.800000000003</v>
      </c>
      <c r="V536" s="739">
        <f t="shared" si="76"/>
        <v>230227.20000000001</v>
      </c>
      <c r="W536" s="740">
        <v>55.7</v>
      </c>
      <c r="X536" s="678">
        <f t="shared" si="77"/>
        <v>74860.800000000003</v>
      </c>
      <c r="Y536" s="700">
        <f t="shared" si="78"/>
        <v>230227.20000000001</v>
      </c>
      <c r="Z536" s="740">
        <v>55.7</v>
      </c>
      <c r="AA536" s="678">
        <f t="shared" si="79"/>
        <v>74860.800000000003</v>
      </c>
      <c r="AB536" s="741">
        <f t="shared" si="80"/>
        <v>230227.20000000001</v>
      </c>
      <c r="AC536" s="714"/>
    </row>
    <row r="537" spans="1:29" ht="15" customHeight="1" x14ac:dyDescent="0.25">
      <c r="A537" s="713"/>
      <c r="B537" s="714" t="s">
        <v>783</v>
      </c>
      <c r="C537" s="676" t="s">
        <v>40</v>
      </c>
      <c r="D537" s="676" t="s">
        <v>509</v>
      </c>
      <c r="E537" s="680">
        <v>44621</v>
      </c>
      <c r="F537" s="676">
        <v>744</v>
      </c>
      <c r="G537" s="676" t="s">
        <v>59</v>
      </c>
      <c r="H537" s="676" t="s">
        <v>3</v>
      </c>
      <c r="I537" s="676" t="s">
        <v>44</v>
      </c>
      <c r="J537" s="676" t="s">
        <v>85</v>
      </c>
      <c r="K537" s="676">
        <v>227</v>
      </c>
      <c r="L537" s="690" t="s">
        <v>54</v>
      </c>
      <c r="M537" s="691">
        <v>0</v>
      </c>
      <c r="N537" s="690">
        <v>2</v>
      </c>
      <c r="O537" s="691">
        <v>0</v>
      </c>
      <c r="P537" s="690">
        <v>227</v>
      </c>
      <c r="Q537" s="738">
        <f t="shared" si="72"/>
        <v>0</v>
      </c>
      <c r="R537" s="677">
        <f t="shared" si="73"/>
        <v>337776</v>
      </c>
      <c r="S537" s="739">
        <f t="shared" si="74"/>
        <v>337776</v>
      </c>
      <c r="T537" s="738">
        <v>55.7</v>
      </c>
      <c r="U537" s="677">
        <f t="shared" si="75"/>
        <v>82881.600000000006</v>
      </c>
      <c r="V537" s="739">
        <f t="shared" si="76"/>
        <v>254894.4</v>
      </c>
      <c r="W537" s="740">
        <v>55.7</v>
      </c>
      <c r="X537" s="678">
        <f t="shared" si="77"/>
        <v>82881.600000000006</v>
      </c>
      <c r="Y537" s="700">
        <f t="shared" si="78"/>
        <v>254894.4</v>
      </c>
      <c r="Z537" s="740">
        <v>55.7</v>
      </c>
      <c r="AA537" s="678">
        <f t="shared" si="79"/>
        <v>82881.600000000006</v>
      </c>
      <c r="AB537" s="741">
        <f t="shared" si="80"/>
        <v>254894.4</v>
      </c>
      <c r="AC537" s="714"/>
    </row>
    <row r="538" spans="1:29" ht="15" customHeight="1" x14ac:dyDescent="0.25">
      <c r="A538" s="713"/>
      <c r="B538" s="714" t="s">
        <v>783</v>
      </c>
      <c r="C538" s="676" t="s">
        <v>40</v>
      </c>
      <c r="D538" s="676" t="s">
        <v>509</v>
      </c>
      <c r="E538" s="680">
        <v>44652</v>
      </c>
      <c r="F538" s="676">
        <v>720</v>
      </c>
      <c r="G538" s="676" t="s">
        <v>59</v>
      </c>
      <c r="H538" s="676" t="s">
        <v>3</v>
      </c>
      <c r="I538" s="676" t="s">
        <v>44</v>
      </c>
      <c r="J538" s="676" t="s">
        <v>85</v>
      </c>
      <c r="K538" s="676">
        <v>227</v>
      </c>
      <c r="L538" s="690" t="s">
        <v>54</v>
      </c>
      <c r="M538" s="691">
        <v>0</v>
      </c>
      <c r="N538" s="690">
        <v>2</v>
      </c>
      <c r="O538" s="691">
        <v>0</v>
      </c>
      <c r="P538" s="690">
        <v>227</v>
      </c>
      <c r="Q538" s="738">
        <f t="shared" si="72"/>
        <v>0</v>
      </c>
      <c r="R538" s="677">
        <f t="shared" si="73"/>
        <v>326880</v>
      </c>
      <c r="S538" s="739">
        <f t="shared" si="74"/>
        <v>326880</v>
      </c>
      <c r="T538" s="738">
        <v>55.7</v>
      </c>
      <c r="U538" s="677">
        <f t="shared" si="75"/>
        <v>80208</v>
      </c>
      <c r="V538" s="739">
        <f t="shared" si="76"/>
        <v>246672</v>
      </c>
      <c r="W538" s="740">
        <v>55.7</v>
      </c>
      <c r="X538" s="678">
        <f t="shared" si="77"/>
        <v>80208</v>
      </c>
      <c r="Y538" s="700">
        <f t="shared" si="78"/>
        <v>246672</v>
      </c>
      <c r="Z538" s="740">
        <v>55.7</v>
      </c>
      <c r="AA538" s="678">
        <f t="shared" si="79"/>
        <v>80208</v>
      </c>
      <c r="AB538" s="741">
        <f t="shared" si="80"/>
        <v>246672</v>
      </c>
      <c r="AC538" s="714"/>
    </row>
    <row r="539" spans="1:29" ht="15" customHeight="1" x14ac:dyDescent="0.25">
      <c r="A539" s="713"/>
      <c r="B539" s="714" t="s">
        <v>783</v>
      </c>
      <c r="C539" s="676" t="s">
        <v>40</v>
      </c>
      <c r="D539" s="676" t="s">
        <v>509</v>
      </c>
      <c r="E539" s="680">
        <v>44682</v>
      </c>
      <c r="F539" s="676">
        <v>744</v>
      </c>
      <c r="G539" s="676" t="s">
        <v>59</v>
      </c>
      <c r="H539" s="676" t="s">
        <v>3</v>
      </c>
      <c r="I539" s="676" t="s">
        <v>44</v>
      </c>
      <c r="J539" s="676" t="s">
        <v>85</v>
      </c>
      <c r="K539" s="676">
        <v>227</v>
      </c>
      <c r="L539" s="690" t="s">
        <v>54</v>
      </c>
      <c r="M539" s="691">
        <v>0</v>
      </c>
      <c r="N539" s="690">
        <v>2</v>
      </c>
      <c r="O539" s="691">
        <v>0</v>
      </c>
      <c r="P539" s="690">
        <v>227</v>
      </c>
      <c r="Q539" s="738">
        <f t="shared" si="72"/>
        <v>0</v>
      </c>
      <c r="R539" s="677">
        <f t="shared" si="73"/>
        <v>337776</v>
      </c>
      <c r="S539" s="739">
        <f t="shared" si="74"/>
        <v>337776</v>
      </c>
      <c r="T539" s="738">
        <v>55.7</v>
      </c>
      <c r="U539" s="677">
        <f t="shared" si="75"/>
        <v>82881.600000000006</v>
      </c>
      <c r="V539" s="739">
        <f t="shared" si="76"/>
        <v>254894.4</v>
      </c>
      <c r="W539" s="740">
        <v>55.7</v>
      </c>
      <c r="X539" s="678">
        <f t="shared" si="77"/>
        <v>82881.600000000006</v>
      </c>
      <c r="Y539" s="700">
        <f t="shared" si="78"/>
        <v>254894.4</v>
      </c>
      <c r="Z539" s="740">
        <v>55.7</v>
      </c>
      <c r="AA539" s="678">
        <f t="shared" si="79"/>
        <v>82881.600000000006</v>
      </c>
      <c r="AB539" s="741">
        <f t="shared" si="80"/>
        <v>254894.4</v>
      </c>
      <c r="AC539" s="714"/>
    </row>
    <row r="540" spans="1:29" ht="15" customHeight="1" x14ac:dyDescent="0.25">
      <c r="A540" s="713"/>
      <c r="B540" s="714" t="s">
        <v>783</v>
      </c>
      <c r="C540" s="676" t="s">
        <v>40</v>
      </c>
      <c r="D540" s="676" t="s">
        <v>509</v>
      </c>
      <c r="E540" s="680">
        <v>44713</v>
      </c>
      <c r="F540" s="676">
        <v>720</v>
      </c>
      <c r="G540" s="676" t="s">
        <v>59</v>
      </c>
      <c r="H540" s="676" t="s">
        <v>3</v>
      </c>
      <c r="I540" s="676" t="s">
        <v>44</v>
      </c>
      <c r="J540" s="676" t="s">
        <v>85</v>
      </c>
      <c r="K540" s="676">
        <v>227</v>
      </c>
      <c r="L540" s="690" t="s">
        <v>54</v>
      </c>
      <c r="M540" s="691">
        <v>0</v>
      </c>
      <c r="N540" s="690">
        <v>2</v>
      </c>
      <c r="O540" s="691">
        <v>0</v>
      </c>
      <c r="P540" s="690">
        <v>227</v>
      </c>
      <c r="Q540" s="738">
        <f t="shared" si="72"/>
        <v>0</v>
      </c>
      <c r="R540" s="677">
        <f t="shared" si="73"/>
        <v>326880</v>
      </c>
      <c r="S540" s="739">
        <f t="shared" si="74"/>
        <v>326880</v>
      </c>
      <c r="T540" s="738">
        <v>55.71</v>
      </c>
      <c r="U540" s="677">
        <f t="shared" si="75"/>
        <v>80222.399999999994</v>
      </c>
      <c r="V540" s="739">
        <f t="shared" si="76"/>
        <v>246657.6</v>
      </c>
      <c r="W540" s="740">
        <v>55.71</v>
      </c>
      <c r="X540" s="678">
        <f t="shared" si="77"/>
        <v>80222.399999999994</v>
      </c>
      <c r="Y540" s="700">
        <f t="shared" si="78"/>
        <v>246657.6</v>
      </c>
      <c r="Z540" s="740">
        <v>55.71</v>
      </c>
      <c r="AA540" s="678">
        <f t="shared" si="79"/>
        <v>80222.399999999994</v>
      </c>
      <c r="AB540" s="741">
        <f t="shared" si="80"/>
        <v>246657.6</v>
      </c>
      <c r="AC540" s="714"/>
    </row>
    <row r="541" spans="1:29" ht="15" customHeight="1" x14ac:dyDescent="0.25">
      <c r="A541" s="713"/>
      <c r="B541" s="714" t="s">
        <v>783</v>
      </c>
      <c r="C541" s="676" t="s">
        <v>40</v>
      </c>
      <c r="D541" s="676" t="s">
        <v>509</v>
      </c>
      <c r="E541" s="680">
        <v>44743</v>
      </c>
      <c r="F541" s="676">
        <v>744</v>
      </c>
      <c r="G541" s="676" t="s">
        <v>59</v>
      </c>
      <c r="H541" s="676" t="s">
        <v>3</v>
      </c>
      <c r="I541" s="676" t="s">
        <v>44</v>
      </c>
      <c r="J541" s="676" t="s">
        <v>85</v>
      </c>
      <c r="K541" s="676">
        <v>227</v>
      </c>
      <c r="L541" s="690" t="s">
        <v>54</v>
      </c>
      <c r="M541" s="691">
        <v>0</v>
      </c>
      <c r="N541" s="690">
        <v>2</v>
      </c>
      <c r="O541" s="691">
        <v>0</v>
      </c>
      <c r="P541" s="690">
        <v>227</v>
      </c>
      <c r="Q541" s="738">
        <f t="shared" si="72"/>
        <v>0</v>
      </c>
      <c r="R541" s="677">
        <f t="shared" si="73"/>
        <v>337776</v>
      </c>
      <c r="S541" s="739">
        <f t="shared" si="74"/>
        <v>337776</v>
      </c>
      <c r="T541" s="738">
        <v>66.319999999999993</v>
      </c>
      <c r="U541" s="677">
        <f t="shared" si="75"/>
        <v>98684.159999999989</v>
      </c>
      <c r="V541" s="739">
        <f t="shared" si="76"/>
        <v>239091.84000000003</v>
      </c>
      <c r="W541" s="740">
        <v>66.319999999999993</v>
      </c>
      <c r="X541" s="678">
        <f t="shared" si="77"/>
        <v>98684.159999999989</v>
      </c>
      <c r="Y541" s="700">
        <f t="shared" si="78"/>
        <v>239091.84000000003</v>
      </c>
      <c r="Z541" s="740">
        <v>66.319999999999993</v>
      </c>
      <c r="AA541" s="678">
        <f t="shared" si="79"/>
        <v>98684.159999999989</v>
      </c>
      <c r="AB541" s="741">
        <f t="shared" si="80"/>
        <v>239091.84000000003</v>
      </c>
      <c r="AC541" s="714"/>
    </row>
    <row r="542" spans="1:29" ht="15" customHeight="1" x14ac:dyDescent="0.25">
      <c r="A542" s="713"/>
      <c r="B542" s="714" t="s">
        <v>783</v>
      </c>
      <c r="C542" s="676" t="s">
        <v>40</v>
      </c>
      <c r="D542" s="676" t="s">
        <v>509</v>
      </c>
      <c r="E542" s="680">
        <v>44774</v>
      </c>
      <c r="F542" s="676">
        <v>744</v>
      </c>
      <c r="G542" s="676" t="s">
        <v>59</v>
      </c>
      <c r="H542" s="676" t="s">
        <v>3</v>
      </c>
      <c r="I542" s="676" t="s">
        <v>44</v>
      </c>
      <c r="J542" s="676" t="s">
        <v>85</v>
      </c>
      <c r="K542" s="676">
        <v>227</v>
      </c>
      <c r="L542" s="690" t="s">
        <v>54</v>
      </c>
      <c r="M542" s="691">
        <v>0</v>
      </c>
      <c r="N542" s="690">
        <v>2</v>
      </c>
      <c r="O542" s="691">
        <v>0</v>
      </c>
      <c r="P542" s="690">
        <v>227</v>
      </c>
      <c r="Q542" s="738">
        <f t="shared" si="72"/>
        <v>0</v>
      </c>
      <c r="R542" s="677">
        <f t="shared" si="73"/>
        <v>337776</v>
      </c>
      <c r="S542" s="739">
        <f t="shared" si="74"/>
        <v>337776</v>
      </c>
      <c r="T542" s="738">
        <v>76.900000000000006</v>
      </c>
      <c r="U542" s="677">
        <f t="shared" si="75"/>
        <v>114427.20000000001</v>
      </c>
      <c r="V542" s="739">
        <f t="shared" si="76"/>
        <v>223348.8</v>
      </c>
      <c r="W542" s="740">
        <v>76.900000000000006</v>
      </c>
      <c r="X542" s="678">
        <f t="shared" si="77"/>
        <v>114427.20000000001</v>
      </c>
      <c r="Y542" s="700">
        <f t="shared" si="78"/>
        <v>223348.8</v>
      </c>
      <c r="Z542" s="740">
        <v>76.900000000000006</v>
      </c>
      <c r="AA542" s="678">
        <f t="shared" si="79"/>
        <v>114427.20000000001</v>
      </c>
      <c r="AB542" s="741">
        <f t="shared" si="80"/>
        <v>223348.8</v>
      </c>
      <c r="AC542" s="714"/>
    </row>
    <row r="543" spans="1:29" ht="15" customHeight="1" x14ac:dyDescent="0.25">
      <c r="A543" s="713"/>
      <c r="B543" s="714" t="s">
        <v>783</v>
      </c>
      <c r="C543" s="676" t="s">
        <v>40</v>
      </c>
      <c r="D543" s="676" t="s">
        <v>509</v>
      </c>
      <c r="E543" s="680">
        <v>44805</v>
      </c>
      <c r="F543" s="676">
        <v>720</v>
      </c>
      <c r="G543" s="676" t="s">
        <v>59</v>
      </c>
      <c r="H543" s="676" t="s">
        <v>3</v>
      </c>
      <c r="I543" s="676" t="s">
        <v>44</v>
      </c>
      <c r="J543" s="676" t="s">
        <v>85</v>
      </c>
      <c r="K543" s="676">
        <v>227</v>
      </c>
      <c r="L543" s="690" t="s">
        <v>54</v>
      </c>
      <c r="M543" s="691">
        <v>0</v>
      </c>
      <c r="N543" s="690">
        <v>2</v>
      </c>
      <c r="O543" s="691">
        <v>0</v>
      </c>
      <c r="P543" s="690">
        <v>227</v>
      </c>
      <c r="Q543" s="738">
        <f t="shared" si="72"/>
        <v>0</v>
      </c>
      <c r="R543" s="677">
        <f t="shared" si="73"/>
        <v>326880</v>
      </c>
      <c r="S543" s="739">
        <f t="shared" si="74"/>
        <v>326880</v>
      </c>
      <c r="T543" s="738">
        <v>56.08</v>
      </c>
      <c r="U543" s="677">
        <f t="shared" si="75"/>
        <v>80755.199999999997</v>
      </c>
      <c r="V543" s="739">
        <f t="shared" si="76"/>
        <v>246124.79999999999</v>
      </c>
      <c r="W543" s="740">
        <v>56.08</v>
      </c>
      <c r="X543" s="678">
        <f t="shared" si="77"/>
        <v>80755.199999999997</v>
      </c>
      <c r="Y543" s="700">
        <f t="shared" si="78"/>
        <v>246124.79999999999</v>
      </c>
      <c r="Z543" s="740">
        <v>56.08</v>
      </c>
      <c r="AA543" s="678">
        <f t="shared" si="79"/>
        <v>80755.199999999997</v>
      </c>
      <c r="AB543" s="741">
        <f t="shared" si="80"/>
        <v>246124.79999999999</v>
      </c>
      <c r="AC543" s="714"/>
    </row>
    <row r="544" spans="1:29" ht="15" customHeight="1" x14ac:dyDescent="0.25">
      <c r="A544" s="713"/>
      <c r="B544" s="714" t="s">
        <v>783</v>
      </c>
      <c r="C544" s="676" t="s">
        <v>40</v>
      </c>
      <c r="D544" s="676" t="s">
        <v>509</v>
      </c>
      <c r="E544" s="680">
        <v>44835</v>
      </c>
      <c r="F544" s="676">
        <v>744</v>
      </c>
      <c r="G544" s="676" t="s">
        <v>59</v>
      </c>
      <c r="H544" s="676" t="s">
        <v>3</v>
      </c>
      <c r="I544" s="676" t="s">
        <v>44</v>
      </c>
      <c r="J544" s="676" t="s">
        <v>85</v>
      </c>
      <c r="K544" s="676">
        <v>227</v>
      </c>
      <c r="L544" s="690" t="s">
        <v>54</v>
      </c>
      <c r="M544" s="691">
        <v>0</v>
      </c>
      <c r="N544" s="690">
        <v>2</v>
      </c>
      <c r="O544" s="691">
        <v>0</v>
      </c>
      <c r="P544" s="690">
        <v>227</v>
      </c>
      <c r="Q544" s="738">
        <f t="shared" si="72"/>
        <v>0</v>
      </c>
      <c r="R544" s="677">
        <f t="shared" si="73"/>
        <v>337776</v>
      </c>
      <c r="S544" s="739">
        <f t="shared" si="74"/>
        <v>337776</v>
      </c>
      <c r="T544" s="738">
        <v>55.7</v>
      </c>
      <c r="U544" s="677">
        <f t="shared" si="75"/>
        <v>82881.600000000006</v>
      </c>
      <c r="V544" s="739">
        <f t="shared" si="76"/>
        <v>254894.4</v>
      </c>
      <c r="W544" s="740">
        <v>55.7</v>
      </c>
      <c r="X544" s="678">
        <f t="shared" si="77"/>
        <v>82881.600000000006</v>
      </c>
      <c r="Y544" s="700">
        <f t="shared" si="78"/>
        <v>254894.4</v>
      </c>
      <c r="Z544" s="740">
        <v>55.7</v>
      </c>
      <c r="AA544" s="678">
        <f t="shared" si="79"/>
        <v>82881.600000000006</v>
      </c>
      <c r="AB544" s="741">
        <f t="shared" si="80"/>
        <v>254894.4</v>
      </c>
      <c r="AC544" s="714"/>
    </row>
    <row r="545" spans="1:29" ht="15" customHeight="1" x14ac:dyDescent="0.25">
      <c r="A545" s="713"/>
      <c r="B545" s="714" t="s">
        <v>783</v>
      </c>
      <c r="C545" s="676" t="s">
        <v>40</v>
      </c>
      <c r="D545" s="676" t="s">
        <v>509</v>
      </c>
      <c r="E545" s="680">
        <v>44866</v>
      </c>
      <c r="F545" s="676">
        <v>720</v>
      </c>
      <c r="G545" s="676" t="s">
        <v>59</v>
      </c>
      <c r="H545" s="676" t="s">
        <v>3</v>
      </c>
      <c r="I545" s="676" t="s">
        <v>44</v>
      </c>
      <c r="J545" s="676" t="s">
        <v>85</v>
      </c>
      <c r="K545" s="676">
        <v>227</v>
      </c>
      <c r="L545" s="690" t="s">
        <v>54</v>
      </c>
      <c r="M545" s="691">
        <v>0</v>
      </c>
      <c r="N545" s="690">
        <v>2</v>
      </c>
      <c r="O545" s="691">
        <v>0</v>
      </c>
      <c r="P545" s="690">
        <v>227</v>
      </c>
      <c r="Q545" s="738">
        <f t="shared" si="72"/>
        <v>0</v>
      </c>
      <c r="R545" s="677">
        <f t="shared" si="73"/>
        <v>326880</v>
      </c>
      <c r="S545" s="739">
        <f t="shared" si="74"/>
        <v>326880</v>
      </c>
      <c r="T545" s="738">
        <v>55.7</v>
      </c>
      <c r="U545" s="677">
        <f t="shared" si="75"/>
        <v>80208</v>
      </c>
      <c r="V545" s="739">
        <f t="shared" si="76"/>
        <v>246672</v>
      </c>
      <c r="W545" s="740">
        <v>55.7</v>
      </c>
      <c r="X545" s="678">
        <f t="shared" si="77"/>
        <v>80208</v>
      </c>
      <c r="Y545" s="700">
        <f t="shared" si="78"/>
        <v>246672</v>
      </c>
      <c r="Z545" s="740">
        <v>55.7</v>
      </c>
      <c r="AA545" s="678">
        <f t="shared" si="79"/>
        <v>80208</v>
      </c>
      <c r="AB545" s="741">
        <f t="shared" si="80"/>
        <v>246672</v>
      </c>
      <c r="AC545" s="714"/>
    </row>
    <row r="546" spans="1:29" ht="15" customHeight="1" x14ac:dyDescent="0.25">
      <c r="A546" s="713"/>
      <c r="B546" s="729" t="s">
        <v>783</v>
      </c>
      <c r="C546" s="545" t="s">
        <v>40</v>
      </c>
      <c r="D546" s="545" t="s">
        <v>509</v>
      </c>
      <c r="E546" s="681">
        <v>44896</v>
      </c>
      <c r="F546" s="545">
        <v>744</v>
      </c>
      <c r="G546" s="545" t="s">
        <v>59</v>
      </c>
      <c r="H546" s="545" t="s">
        <v>3</v>
      </c>
      <c r="I546" s="545" t="s">
        <v>44</v>
      </c>
      <c r="J546" s="545" t="s">
        <v>85</v>
      </c>
      <c r="K546" s="545">
        <v>227</v>
      </c>
      <c r="L546" s="725" t="s">
        <v>54</v>
      </c>
      <c r="M546" s="695">
        <v>0</v>
      </c>
      <c r="N546" s="725">
        <v>2</v>
      </c>
      <c r="O546" s="695">
        <v>0</v>
      </c>
      <c r="P546" s="725">
        <v>227</v>
      </c>
      <c r="Q546" s="742">
        <f t="shared" si="72"/>
        <v>0</v>
      </c>
      <c r="R546" s="603">
        <f t="shared" si="73"/>
        <v>337776</v>
      </c>
      <c r="S546" s="743">
        <f t="shared" si="74"/>
        <v>337776</v>
      </c>
      <c r="T546" s="742">
        <v>55.7</v>
      </c>
      <c r="U546" s="603">
        <f t="shared" si="75"/>
        <v>82881.600000000006</v>
      </c>
      <c r="V546" s="743">
        <f t="shared" si="76"/>
        <v>254894.4</v>
      </c>
      <c r="W546" s="744">
        <v>55.7</v>
      </c>
      <c r="X546" s="604">
        <f t="shared" si="77"/>
        <v>82881.600000000006</v>
      </c>
      <c r="Y546" s="701">
        <f t="shared" si="78"/>
        <v>254894.4</v>
      </c>
      <c r="Z546" s="744">
        <v>78.400653594793155</v>
      </c>
      <c r="AA546" s="604">
        <f t="shared" si="79"/>
        <v>116660.17254905222</v>
      </c>
      <c r="AB546" s="745">
        <f t="shared" si="80"/>
        <v>221115.82745094778</v>
      </c>
      <c r="AC546" s="714"/>
    </row>
    <row r="547" spans="1:29" ht="15" customHeight="1" x14ac:dyDescent="0.25">
      <c r="A547" s="713"/>
      <c r="B547" s="731" t="s">
        <v>785</v>
      </c>
      <c r="C547" s="547" t="s">
        <v>40</v>
      </c>
      <c r="D547" s="547" t="s">
        <v>472</v>
      </c>
      <c r="E547" s="683">
        <v>44593</v>
      </c>
      <c r="F547" s="547">
        <v>672</v>
      </c>
      <c r="G547" s="547" t="s">
        <v>58</v>
      </c>
      <c r="H547" s="547" t="s">
        <v>3</v>
      </c>
      <c r="I547" s="547" t="s">
        <v>44</v>
      </c>
      <c r="J547" s="547" t="s">
        <v>84</v>
      </c>
      <c r="K547" s="547">
        <v>199</v>
      </c>
      <c r="L547" s="727" t="s">
        <v>54</v>
      </c>
      <c r="M547" s="697">
        <v>2</v>
      </c>
      <c r="N547" s="727">
        <v>0</v>
      </c>
      <c r="O547" s="697">
        <v>199</v>
      </c>
      <c r="P547" s="727">
        <v>0</v>
      </c>
      <c r="Q547" s="750">
        <f t="shared" si="72"/>
        <v>267456</v>
      </c>
      <c r="R547" s="608">
        <f t="shared" si="73"/>
        <v>0</v>
      </c>
      <c r="S547" s="751">
        <f t="shared" si="74"/>
        <v>-267456</v>
      </c>
      <c r="T547" s="750">
        <v>55.7</v>
      </c>
      <c r="U547" s="608">
        <f t="shared" si="75"/>
        <v>-74860.800000000003</v>
      </c>
      <c r="V547" s="751">
        <f t="shared" si="76"/>
        <v>-192595.20000000001</v>
      </c>
      <c r="W547" s="752">
        <v>55.7</v>
      </c>
      <c r="X547" s="609">
        <f t="shared" si="77"/>
        <v>-74860.800000000003</v>
      </c>
      <c r="Y547" s="703">
        <f t="shared" si="78"/>
        <v>-192595.20000000001</v>
      </c>
      <c r="Z547" s="752">
        <v>55.7</v>
      </c>
      <c r="AA547" s="609">
        <f t="shared" si="79"/>
        <v>-74860.800000000003</v>
      </c>
      <c r="AB547" s="753">
        <f t="shared" si="80"/>
        <v>-192595.20000000001</v>
      </c>
      <c r="AC547" s="714"/>
    </row>
    <row r="548" spans="1:29" ht="15" customHeight="1" x14ac:dyDescent="0.25">
      <c r="A548" s="713"/>
      <c r="B548" s="730" t="s">
        <v>787</v>
      </c>
      <c r="C548" s="546" t="s">
        <v>40</v>
      </c>
      <c r="D548" s="546" t="s">
        <v>619</v>
      </c>
      <c r="E548" s="682">
        <v>44743</v>
      </c>
      <c r="F548" s="546">
        <v>744</v>
      </c>
      <c r="G548" s="546" t="s">
        <v>59</v>
      </c>
      <c r="H548" s="546" t="s">
        <v>3</v>
      </c>
      <c r="I548" s="546" t="s">
        <v>44</v>
      </c>
      <c r="J548" s="546" t="s">
        <v>85</v>
      </c>
      <c r="K548" s="546">
        <v>265</v>
      </c>
      <c r="L548" s="726" t="s">
        <v>54</v>
      </c>
      <c r="M548" s="696">
        <v>0</v>
      </c>
      <c r="N548" s="726">
        <v>9</v>
      </c>
      <c r="O548" s="696">
        <v>0</v>
      </c>
      <c r="P548" s="726">
        <v>265</v>
      </c>
      <c r="Q548" s="746">
        <f t="shared" si="72"/>
        <v>0</v>
      </c>
      <c r="R548" s="606">
        <f t="shared" si="73"/>
        <v>1774440</v>
      </c>
      <c r="S548" s="747">
        <f t="shared" si="74"/>
        <v>1774440</v>
      </c>
      <c r="T548" s="746">
        <v>66.319999999999993</v>
      </c>
      <c r="U548" s="606">
        <f t="shared" si="75"/>
        <v>444078.72</v>
      </c>
      <c r="V548" s="747">
        <f t="shared" si="76"/>
        <v>1330361.28</v>
      </c>
      <c r="W548" s="748">
        <v>66.319999999999993</v>
      </c>
      <c r="X548" s="607">
        <f t="shared" si="77"/>
        <v>444078.72</v>
      </c>
      <c r="Y548" s="702">
        <f t="shared" si="78"/>
        <v>1330361.28</v>
      </c>
      <c r="Z548" s="748">
        <v>66.319999999999993</v>
      </c>
      <c r="AA548" s="607">
        <f t="shared" si="79"/>
        <v>444078.72</v>
      </c>
      <c r="AB548" s="749">
        <f t="shared" si="80"/>
        <v>1330361.28</v>
      </c>
      <c r="AC548" s="714"/>
    </row>
    <row r="549" spans="1:29" ht="15" customHeight="1" x14ac:dyDescent="0.25">
      <c r="A549" s="713"/>
      <c r="B549" s="714" t="s">
        <v>787</v>
      </c>
      <c r="C549" s="676" t="s">
        <v>40</v>
      </c>
      <c r="D549" s="676" t="s">
        <v>619</v>
      </c>
      <c r="E549" s="680">
        <v>44774</v>
      </c>
      <c r="F549" s="676">
        <v>744</v>
      </c>
      <c r="G549" s="676" t="s">
        <v>59</v>
      </c>
      <c r="H549" s="676" t="s">
        <v>3</v>
      </c>
      <c r="I549" s="676" t="s">
        <v>44</v>
      </c>
      <c r="J549" s="676" t="s">
        <v>85</v>
      </c>
      <c r="K549" s="676">
        <v>265</v>
      </c>
      <c r="L549" s="690" t="s">
        <v>54</v>
      </c>
      <c r="M549" s="691">
        <v>0</v>
      </c>
      <c r="N549" s="690">
        <v>9</v>
      </c>
      <c r="O549" s="691">
        <v>0</v>
      </c>
      <c r="P549" s="690">
        <v>265</v>
      </c>
      <c r="Q549" s="738">
        <f t="shared" si="72"/>
        <v>0</v>
      </c>
      <c r="R549" s="677">
        <f t="shared" si="73"/>
        <v>1774440</v>
      </c>
      <c r="S549" s="739">
        <f t="shared" si="74"/>
        <v>1774440</v>
      </c>
      <c r="T549" s="738">
        <v>76.900000000000006</v>
      </c>
      <c r="U549" s="677">
        <f t="shared" si="75"/>
        <v>514922.4</v>
      </c>
      <c r="V549" s="739">
        <f t="shared" si="76"/>
        <v>1259517.6000000001</v>
      </c>
      <c r="W549" s="740">
        <v>76.900000000000006</v>
      </c>
      <c r="X549" s="678">
        <f t="shared" si="77"/>
        <v>514922.4</v>
      </c>
      <c r="Y549" s="700">
        <f t="shared" si="78"/>
        <v>1259517.6000000001</v>
      </c>
      <c r="Z549" s="740">
        <v>76.900000000000006</v>
      </c>
      <c r="AA549" s="678">
        <f t="shared" si="79"/>
        <v>514922.4</v>
      </c>
      <c r="AB549" s="741">
        <f t="shared" si="80"/>
        <v>1259517.6000000001</v>
      </c>
      <c r="AC549" s="714"/>
    </row>
    <row r="550" spans="1:29" ht="15" customHeight="1" x14ac:dyDescent="0.25">
      <c r="A550" s="713"/>
      <c r="B550" s="714" t="s">
        <v>787</v>
      </c>
      <c r="C550" s="676" t="s">
        <v>40</v>
      </c>
      <c r="D550" s="676" t="s">
        <v>619</v>
      </c>
      <c r="E550" s="680">
        <v>44805</v>
      </c>
      <c r="F550" s="676">
        <v>720</v>
      </c>
      <c r="G550" s="676" t="s">
        <v>59</v>
      </c>
      <c r="H550" s="676" t="s">
        <v>3</v>
      </c>
      <c r="I550" s="676" t="s">
        <v>44</v>
      </c>
      <c r="J550" s="676" t="s">
        <v>85</v>
      </c>
      <c r="K550" s="676">
        <v>265</v>
      </c>
      <c r="L550" s="690" t="s">
        <v>54</v>
      </c>
      <c r="M550" s="691">
        <v>0</v>
      </c>
      <c r="N550" s="690">
        <v>9</v>
      </c>
      <c r="O550" s="691">
        <v>0</v>
      </c>
      <c r="P550" s="690">
        <v>265</v>
      </c>
      <c r="Q550" s="738">
        <f t="shared" si="72"/>
        <v>0</v>
      </c>
      <c r="R550" s="677">
        <f t="shared" si="73"/>
        <v>1717200</v>
      </c>
      <c r="S550" s="739">
        <f t="shared" si="74"/>
        <v>1717200</v>
      </c>
      <c r="T550" s="738">
        <v>56.08</v>
      </c>
      <c r="U550" s="677">
        <f t="shared" si="75"/>
        <v>363398.39999999997</v>
      </c>
      <c r="V550" s="739">
        <f t="shared" si="76"/>
        <v>1353801.6</v>
      </c>
      <c r="W550" s="740">
        <v>56.08</v>
      </c>
      <c r="X550" s="678">
        <f t="shared" si="77"/>
        <v>363398.39999999997</v>
      </c>
      <c r="Y550" s="700">
        <f t="shared" si="78"/>
        <v>1353801.6</v>
      </c>
      <c r="Z550" s="740">
        <v>56.08</v>
      </c>
      <c r="AA550" s="678">
        <f t="shared" si="79"/>
        <v>363398.39999999997</v>
      </c>
      <c r="AB550" s="741">
        <f t="shared" si="80"/>
        <v>1353801.6</v>
      </c>
      <c r="AC550" s="714"/>
    </row>
    <row r="551" spans="1:29" ht="15" customHeight="1" x14ac:dyDescent="0.25">
      <c r="A551" s="713"/>
      <c r="B551" s="714" t="s">
        <v>787</v>
      </c>
      <c r="C551" s="676" t="s">
        <v>40</v>
      </c>
      <c r="D551" s="676" t="s">
        <v>619</v>
      </c>
      <c r="E551" s="680">
        <v>44835</v>
      </c>
      <c r="F551" s="676">
        <v>744</v>
      </c>
      <c r="G551" s="676" t="s">
        <v>59</v>
      </c>
      <c r="H551" s="676" t="s">
        <v>3</v>
      </c>
      <c r="I551" s="676" t="s">
        <v>44</v>
      </c>
      <c r="J551" s="676" t="s">
        <v>85</v>
      </c>
      <c r="K551" s="676">
        <v>265</v>
      </c>
      <c r="L551" s="690" t="s">
        <v>54</v>
      </c>
      <c r="M551" s="691">
        <v>0</v>
      </c>
      <c r="N551" s="690">
        <v>9</v>
      </c>
      <c r="O551" s="691">
        <v>0</v>
      </c>
      <c r="P551" s="690">
        <v>265</v>
      </c>
      <c r="Q551" s="738">
        <f t="shared" si="72"/>
        <v>0</v>
      </c>
      <c r="R551" s="677">
        <f t="shared" si="73"/>
        <v>1774440</v>
      </c>
      <c r="S551" s="739">
        <f t="shared" si="74"/>
        <v>1774440</v>
      </c>
      <c r="T551" s="738">
        <v>55.7</v>
      </c>
      <c r="U551" s="677">
        <f t="shared" si="75"/>
        <v>372967.2</v>
      </c>
      <c r="V551" s="739">
        <f t="shared" si="76"/>
        <v>1401472.8</v>
      </c>
      <c r="W551" s="740">
        <v>55.7</v>
      </c>
      <c r="X551" s="678">
        <f t="shared" si="77"/>
        <v>372967.2</v>
      </c>
      <c r="Y551" s="700">
        <f t="shared" si="78"/>
        <v>1401472.8</v>
      </c>
      <c r="Z551" s="740">
        <v>55.7</v>
      </c>
      <c r="AA551" s="678">
        <f t="shared" si="79"/>
        <v>372967.2</v>
      </c>
      <c r="AB551" s="741">
        <f t="shared" si="80"/>
        <v>1401472.8</v>
      </c>
      <c r="AC551" s="714"/>
    </row>
    <row r="552" spans="1:29" ht="15" customHeight="1" x14ac:dyDescent="0.25">
      <c r="A552" s="713"/>
      <c r="B552" s="714" t="s">
        <v>787</v>
      </c>
      <c r="C552" s="676" t="s">
        <v>40</v>
      </c>
      <c r="D552" s="676" t="s">
        <v>619</v>
      </c>
      <c r="E552" s="680">
        <v>44866</v>
      </c>
      <c r="F552" s="676">
        <v>720</v>
      </c>
      <c r="G552" s="676" t="s">
        <v>59</v>
      </c>
      <c r="H552" s="676" t="s">
        <v>3</v>
      </c>
      <c r="I552" s="676" t="s">
        <v>44</v>
      </c>
      <c r="J552" s="676" t="s">
        <v>85</v>
      </c>
      <c r="K552" s="676">
        <v>265</v>
      </c>
      <c r="L552" s="690" t="s">
        <v>54</v>
      </c>
      <c r="M552" s="691">
        <v>0</v>
      </c>
      <c r="N552" s="690">
        <v>9</v>
      </c>
      <c r="O552" s="691">
        <v>0</v>
      </c>
      <c r="P552" s="690">
        <v>265</v>
      </c>
      <c r="Q552" s="738">
        <f t="shared" si="72"/>
        <v>0</v>
      </c>
      <c r="R552" s="677">
        <f t="shared" si="73"/>
        <v>1717200</v>
      </c>
      <c r="S552" s="739">
        <f t="shared" si="74"/>
        <v>1717200</v>
      </c>
      <c r="T552" s="738">
        <v>55.7</v>
      </c>
      <c r="U552" s="677">
        <f t="shared" si="75"/>
        <v>360936</v>
      </c>
      <c r="V552" s="739">
        <f t="shared" si="76"/>
        <v>1356264</v>
      </c>
      <c r="W552" s="740">
        <v>55.7</v>
      </c>
      <c r="X552" s="678">
        <f t="shared" si="77"/>
        <v>360936</v>
      </c>
      <c r="Y552" s="700">
        <f t="shared" si="78"/>
        <v>1356264</v>
      </c>
      <c r="Z552" s="740">
        <v>55.7</v>
      </c>
      <c r="AA552" s="678">
        <f t="shared" si="79"/>
        <v>360936</v>
      </c>
      <c r="AB552" s="741">
        <f t="shared" si="80"/>
        <v>1356264</v>
      </c>
      <c r="AC552" s="714"/>
    </row>
    <row r="553" spans="1:29" ht="15" customHeight="1" x14ac:dyDescent="0.25">
      <c r="A553" s="713"/>
      <c r="B553" s="729" t="s">
        <v>787</v>
      </c>
      <c r="C553" s="545" t="s">
        <v>40</v>
      </c>
      <c r="D553" s="545" t="s">
        <v>619</v>
      </c>
      <c r="E553" s="681">
        <v>44896</v>
      </c>
      <c r="F553" s="545">
        <v>744</v>
      </c>
      <c r="G553" s="545" t="s">
        <v>59</v>
      </c>
      <c r="H553" s="545" t="s">
        <v>3</v>
      </c>
      <c r="I553" s="545" t="s">
        <v>44</v>
      </c>
      <c r="J553" s="545" t="s">
        <v>85</v>
      </c>
      <c r="K553" s="545">
        <v>265</v>
      </c>
      <c r="L553" s="725" t="s">
        <v>54</v>
      </c>
      <c r="M553" s="695">
        <v>0</v>
      </c>
      <c r="N553" s="725">
        <v>9</v>
      </c>
      <c r="O553" s="695">
        <v>0</v>
      </c>
      <c r="P553" s="725">
        <v>265</v>
      </c>
      <c r="Q553" s="742">
        <f t="shared" si="72"/>
        <v>0</v>
      </c>
      <c r="R553" s="603">
        <f t="shared" si="73"/>
        <v>1774440</v>
      </c>
      <c r="S553" s="743">
        <f t="shared" si="74"/>
        <v>1774440</v>
      </c>
      <c r="T553" s="742">
        <v>55.7</v>
      </c>
      <c r="U553" s="603">
        <f t="shared" si="75"/>
        <v>372967.2</v>
      </c>
      <c r="V553" s="743">
        <f t="shared" si="76"/>
        <v>1401472.8</v>
      </c>
      <c r="W553" s="744">
        <v>55.7</v>
      </c>
      <c r="X553" s="604">
        <f t="shared" si="77"/>
        <v>372967.2</v>
      </c>
      <c r="Y553" s="701">
        <f t="shared" si="78"/>
        <v>1401472.8</v>
      </c>
      <c r="Z553" s="744">
        <v>78.400653594793155</v>
      </c>
      <c r="AA553" s="604">
        <f t="shared" si="79"/>
        <v>524970.77647073497</v>
      </c>
      <c r="AB553" s="745">
        <f t="shared" si="80"/>
        <v>1249469.223529265</v>
      </c>
      <c r="AC553" s="714"/>
    </row>
    <row r="554" spans="1:29" ht="15" customHeight="1" x14ac:dyDescent="0.25">
      <c r="A554" s="713"/>
      <c r="B554" s="731" t="s">
        <v>789</v>
      </c>
      <c r="C554" s="547" t="s">
        <v>40</v>
      </c>
      <c r="D554" s="547" t="s">
        <v>531</v>
      </c>
      <c r="E554" s="683">
        <v>44593</v>
      </c>
      <c r="F554" s="547">
        <v>672</v>
      </c>
      <c r="G554" s="547" t="s">
        <v>58</v>
      </c>
      <c r="H554" s="547" t="s">
        <v>3</v>
      </c>
      <c r="I554" s="547" t="s">
        <v>44</v>
      </c>
      <c r="J554" s="547" t="s">
        <v>84</v>
      </c>
      <c r="K554" s="547">
        <v>197</v>
      </c>
      <c r="L554" s="727" t="s">
        <v>54</v>
      </c>
      <c r="M554" s="697">
        <v>1</v>
      </c>
      <c r="N554" s="727">
        <v>0</v>
      </c>
      <c r="O554" s="697">
        <v>197</v>
      </c>
      <c r="P554" s="727">
        <v>0</v>
      </c>
      <c r="Q554" s="750">
        <f t="shared" si="72"/>
        <v>132384</v>
      </c>
      <c r="R554" s="608">
        <f t="shared" si="73"/>
        <v>0</v>
      </c>
      <c r="S554" s="751">
        <f t="shared" si="74"/>
        <v>-132384</v>
      </c>
      <c r="T554" s="750">
        <v>55.7</v>
      </c>
      <c r="U554" s="608">
        <f t="shared" si="75"/>
        <v>-37430.400000000001</v>
      </c>
      <c r="V554" s="751">
        <f t="shared" si="76"/>
        <v>-94953.600000000006</v>
      </c>
      <c r="W554" s="752">
        <v>55.7</v>
      </c>
      <c r="X554" s="609">
        <f t="shared" si="77"/>
        <v>-37430.400000000001</v>
      </c>
      <c r="Y554" s="703">
        <f t="shared" si="78"/>
        <v>-94953.600000000006</v>
      </c>
      <c r="Z554" s="752">
        <v>55.7</v>
      </c>
      <c r="AA554" s="609">
        <f t="shared" si="79"/>
        <v>-37430.400000000001</v>
      </c>
      <c r="AB554" s="753">
        <f t="shared" si="80"/>
        <v>-94953.600000000006</v>
      </c>
      <c r="AC554" s="714"/>
    </row>
    <row r="555" spans="1:29" ht="15" customHeight="1" x14ac:dyDescent="0.25">
      <c r="A555" s="713"/>
      <c r="B555" s="730" t="s">
        <v>791</v>
      </c>
      <c r="C555" s="546" t="s">
        <v>40</v>
      </c>
      <c r="D555" s="546" t="s">
        <v>620</v>
      </c>
      <c r="E555" s="682">
        <v>44652</v>
      </c>
      <c r="F555" s="546">
        <v>720</v>
      </c>
      <c r="G555" s="546" t="s">
        <v>59</v>
      </c>
      <c r="H555" s="546" t="s">
        <v>3</v>
      </c>
      <c r="I555" s="546" t="s">
        <v>44</v>
      </c>
      <c r="J555" s="546" t="s">
        <v>85</v>
      </c>
      <c r="K555" s="546">
        <v>178</v>
      </c>
      <c r="L555" s="726" t="s">
        <v>54</v>
      </c>
      <c r="M555" s="696">
        <v>0</v>
      </c>
      <c r="N555" s="726">
        <v>6</v>
      </c>
      <c r="O555" s="696">
        <v>0</v>
      </c>
      <c r="P555" s="726">
        <v>178</v>
      </c>
      <c r="Q555" s="746">
        <f t="shared" si="72"/>
        <v>0</v>
      </c>
      <c r="R555" s="606">
        <f t="shared" si="73"/>
        <v>768960</v>
      </c>
      <c r="S555" s="747">
        <f t="shared" si="74"/>
        <v>768960</v>
      </c>
      <c r="T555" s="746">
        <v>55.7</v>
      </c>
      <c r="U555" s="606">
        <f t="shared" si="75"/>
        <v>240624</v>
      </c>
      <c r="V555" s="747">
        <f t="shared" si="76"/>
        <v>528336</v>
      </c>
      <c r="W555" s="748">
        <v>55.7</v>
      </c>
      <c r="X555" s="607">
        <f t="shared" si="77"/>
        <v>240624</v>
      </c>
      <c r="Y555" s="702">
        <f t="shared" si="78"/>
        <v>528336</v>
      </c>
      <c r="Z555" s="748">
        <v>55.7</v>
      </c>
      <c r="AA555" s="607">
        <f t="shared" si="79"/>
        <v>240624</v>
      </c>
      <c r="AB555" s="749">
        <f t="shared" si="80"/>
        <v>528336</v>
      </c>
      <c r="AC555" s="714"/>
    </row>
    <row r="556" spans="1:29" ht="15" customHeight="1" x14ac:dyDescent="0.25">
      <c r="A556" s="713"/>
      <c r="B556" s="714" t="s">
        <v>791</v>
      </c>
      <c r="C556" s="676" t="s">
        <v>40</v>
      </c>
      <c r="D556" s="676" t="s">
        <v>620</v>
      </c>
      <c r="E556" s="680">
        <v>44682</v>
      </c>
      <c r="F556" s="676">
        <v>744</v>
      </c>
      <c r="G556" s="676" t="s">
        <v>59</v>
      </c>
      <c r="H556" s="676" t="s">
        <v>3</v>
      </c>
      <c r="I556" s="676" t="s">
        <v>44</v>
      </c>
      <c r="J556" s="676" t="s">
        <v>85</v>
      </c>
      <c r="K556" s="676">
        <v>178</v>
      </c>
      <c r="L556" s="690" t="s">
        <v>54</v>
      </c>
      <c r="M556" s="691">
        <v>0</v>
      </c>
      <c r="N556" s="690">
        <v>6</v>
      </c>
      <c r="O556" s="691">
        <v>0</v>
      </c>
      <c r="P556" s="690">
        <v>178</v>
      </c>
      <c r="Q556" s="738">
        <f t="shared" si="72"/>
        <v>0</v>
      </c>
      <c r="R556" s="677">
        <f t="shared" si="73"/>
        <v>794592</v>
      </c>
      <c r="S556" s="739">
        <f t="shared" si="74"/>
        <v>794592</v>
      </c>
      <c r="T556" s="738">
        <v>55.7</v>
      </c>
      <c r="U556" s="677">
        <f t="shared" si="75"/>
        <v>248644.80000000002</v>
      </c>
      <c r="V556" s="739">
        <f t="shared" si="76"/>
        <v>545947.19999999995</v>
      </c>
      <c r="W556" s="740">
        <v>55.7</v>
      </c>
      <c r="X556" s="678">
        <f t="shared" si="77"/>
        <v>248644.80000000002</v>
      </c>
      <c r="Y556" s="700">
        <f t="shared" si="78"/>
        <v>545947.19999999995</v>
      </c>
      <c r="Z556" s="740">
        <v>55.7</v>
      </c>
      <c r="AA556" s="678">
        <f t="shared" si="79"/>
        <v>248644.80000000002</v>
      </c>
      <c r="AB556" s="741">
        <f t="shared" si="80"/>
        <v>545947.19999999995</v>
      </c>
      <c r="AC556" s="714"/>
    </row>
    <row r="557" spans="1:29" ht="15" customHeight="1" x14ac:dyDescent="0.25">
      <c r="A557" s="713"/>
      <c r="B557" s="729" t="s">
        <v>791</v>
      </c>
      <c r="C557" s="545" t="s">
        <v>40</v>
      </c>
      <c r="D557" s="545" t="s">
        <v>620</v>
      </c>
      <c r="E557" s="681">
        <v>44713</v>
      </c>
      <c r="F557" s="545">
        <v>720</v>
      </c>
      <c r="G557" s="545" t="s">
        <v>59</v>
      </c>
      <c r="H557" s="545" t="s">
        <v>3</v>
      </c>
      <c r="I557" s="545" t="s">
        <v>44</v>
      </c>
      <c r="J557" s="545" t="s">
        <v>85</v>
      </c>
      <c r="K557" s="545">
        <v>178</v>
      </c>
      <c r="L557" s="725" t="s">
        <v>54</v>
      </c>
      <c r="M557" s="695">
        <v>0</v>
      </c>
      <c r="N557" s="725">
        <v>6</v>
      </c>
      <c r="O557" s="695">
        <v>0</v>
      </c>
      <c r="P557" s="725">
        <v>178</v>
      </c>
      <c r="Q557" s="742">
        <f t="shared" si="72"/>
        <v>0</v>
      </c>
      <c r="R557" s="603">
        <f t="shared" si="73"/>
        <v>768960</v>
      </c>
      <c r="S557" s="743">
        <f t="shared" si="74"/>
        <v>768960</v>
      </c>
      <c r="T557" s="742">
        <v>55.71</v>
      </c>
      <c r="U557" s="603">
        <f t="shared" si="75"/>
        <v>240667.2</v>
      </c>
      <c r="V557" s="743">
        <f t="shared" si="76"/>
        <v>528292.80000000005</v>
      </c>
      <c r="W557" s="744">
        <v>55.71</v>
      </c>
      <c r="X557" s="604">
        <f t="shared" si="77"/>
        <v>240667.2</v>
      </c>
      <c r="Y557" s="701">
        <f t="shared" si="78"/>
        <v>528292.80000000005</v>
      </c>
      <c r="Z557" s="744">
        <v>55.71</v>
      </c>
      <c r="AA557" s="604">
        <f t="shared" si="79"/>
        <v>240667.2</v>
      </c>
      <c r="AB557" s="745">
        <f t="shared" si="80"/>
        <v>528292.80000000005</v>
      </c>
      <c r="AC557" s="714"/>
    </row>
    <row r="558" spans="1:29" ht="15" customHeight="1" x14ac:dyDescent="0.25">
      <c r="A558" s="713"/>
      <c r="B558" s="731" t="s">
        <v>793</v>
      </c>
      <c r="C558" s="547" t="s">
        <v>40</v>
      </c>
      <c r="D558" s="547" t="s">
        <v>475</v>
      </c>
      <c r="E558" s="683">
        <v>44896</v>
      </c>
      <c r="F558" s="547">
        <v>744</v>
      </c>
      <c r="G558" s="547" t="s">
        <v>58</v>
      </c>
      <c r="H558" s="547" t="s">
        <v>3</v>
      </c>
      <c r="I558" s="547" t="s">
        <v>44</v>
      </c>
      <c r="J558" s="547" t="s">
        <v>84</v>
      </c>
      <c r="K558" s="547">
        <v>237</v>
      </c>
      <c r="L558" s="727" t="s">
        <v>54</v>
      </c>
      <c r="M558" s="697">
        <v>10</v>
      </c>
      <c r="N558" s="727">
        <v>0</v>
      </c>
      <c r="O558" s="697">
        <v>237</v>
      </c>
      <c r="P558" s="727">
        <v>0</v>
      </c>
      <c r="Q558" s="750">
        <f t="shared" si="72"/>
        <v>1763280</v>
      </c>
      <c r="R558" s="608">
        <f t="shared" si="73"/>
        <v>0</v>
      </c>
      <c r="S558" s="751">
        <f t="shared" si="74"/>
        <v>-1763280</v>
      </c>
      <c r="T558" s="750">
        <v>55.7</v>
      </c>
      <c r="U558" s="608">
        <f t="shared" si="75"/>
        <v>-414408</v>
      </c>
      <c r="V558" s="751">
        <f t="shared" si="76"/>
        <v>-1348872</v>
      </c>
      <c r="W558" s="752">
        <v>55.7</v>
      </c>
      <c r="X558" s="609">
        <f t="shared" si="77"/>
        <v>-414408</v>
      </c>
      <c r="Y558" s="703">
        <f t="shared" si="78"/>
        <v>-1348872</v>
      </c>
      <c r="Z558" s="752">
        <v>78.400653594793155</v>
      </c>
      <c r="AA558" s="609">
        <f t="shared" si="79"/>
        <v>-583300.86274526105</v>
      </c>
      <c r="AB558" s="753">
        <f t="shared" si="80"/>
        <v>-1179979.1372547389</v>
      </c>
      <c r="AC558" s="714"/>
    </row>
    <row r="559" spans="1:29" ht="15" customHeight="1" x14ac:dyDescent="0.25">
      <c r="A559" s="713"/>
      <c r="B559" s="731" t="s">
        <v>795</v>
      </c>
      <c r="C559" s="547" t="s">
        <v>40</v>
      </c>
      <c r="D559" s="547" t="s">
        <v>475</v>
      </c>
      <c r="E559" s="683">
        <v>44866</v>
      </c>
      <c r="F559" s="547">
        <v>720</v>
      </c>
      <c r="G559" s="547" t="s">
        <v>59</v>
      </c>
      <c r="H559" s="547" t="s">
        <v>3</v>
      </c>
      <c r="I559" s="547" t="s">
        <v>44</v>
      </c>
      <c r="J559" s="547" t="s">
        <v>85</v>
      </c>
      <c r="K559" s="547">
        <v>262</v>
      </c>
      <c r="L559" s="727" t="s">
        <v>54</v>
      </c>
      <c r="M559" s="697">
        <v>0</v>
      </c>
      <c r="N559" s="727">
        <v>5</v>
      </c>
      <c r="O559" s="697">
        <v>0</v>
      </c>
      <c r="P559" s="727">
        <v>262</v>
      </c>
      <c r="Q559" s="750">
        <f t="shared" si="72"/>
        <v>0</v>
      </c>
      <c r="R559" s="608">
        <f t="shared" si="73"/>
        <v>943200</v>
      </c>
      <c r="S559" s="751">
        <f t="shared" si="74"/>
        <v>943200</v>
      </c>
      <c r="T559" s="750">
        <v>55.7</v>
      </c>
      <c r="U559" s="608">
        <f t="shared" si="75"/>
        <v>200520</v>
      </c>
      <c r="V559" s="751">
        <f t="shared" si="76"/>
        <v>742680</v>
      </c>
      <c r="W559" s="752">
        <v>55.7</v>
      </c>
      <c r="X559" s="609">
        <f t="shared" si="77"/>
        <v>200520</v>
      </c>
      <c r="Y559" s="703">
        <f t="shared" si="78"/>
        <v>742680</v>
      </c>
      <c r="Z559" s="752">
        <v>55.7</v>
      </c>
      <c r="AA559" s="609">
        <f t="shared" si="79"/>
        <v>200520</v>
      </c>
      <c r="AB559" s="753">
        <f t="shared" si="80"/>
        <v>742680</v>
      </c>
      <c r="AC559" s="714"/>
    </row>
    <row r="560" spans="1:29" ht="15" customHeight="1" x14ac:dyDescent="0.25">
      <c r="A560" s="713"/>
      <c r="B560" s="731" t="s">
        <v>797</v>
      </c>
      <c r="C560" s="547" t="s">
        <v>40</v>
      </c>
      <c r="D560" s="547" t="s">
        <v>475</v>
      </c>
      <c r="E560" s="683">
        <v>44835</v>
      </c>
      <c r="F560" s="547">
        <v>744</v>
      </c>
      <c r="G560" s="547" t="s">
        <v>59</v>
      </c>
      <c r="H560" s="547" t="s">
        <v>3</v>
      </c>
      <c r="I560" s="547" t="s">
        <v>44</v>
      </c>
      <c r="J560" s="547" t="s">
        <v>85</v>
      </c>
      <c r="K560" s="547">
        <v>262</v>
      </c>
      <c r="L560" s="727" t="s">
        <v>54</v>
      </c>
      <c r="M560" s="697">
        <v>0</v>
      </c>
      <c r="N560" s="727">
        <v>5.1612900000000002</v>
      </c>
      <c r="O560" s="697">
        <v>0</v>
      </c>
      <c r="P560" s="727">
        <v>262</v>
      </c>
      <c r="Q560" s="750">
        <f t="shared" si="72"/>
        <v>0</v>
      </c>
      <c r="R560" s="608">
        <f t="shared" si="73"/>
        <v>1006079.93712</v>
      </c>
      <c r="S560" s="751">
        <f t="shared" si="74"/>
        <v>1006079.93712</v>
      </c>
      <c r="T560" s="750">
        <v>55.7</v>
      </c>
      <c r="U560" s="608">
        <f t="shared" si="75"/>
        <v>213887.98663200001</v>
      </c>
      <c r="V560" s="751">
        <f t="shared" si="76"/>
        <v>792191.95048799994</v>
      </c>
      <c r="W560" s="752">
        <v>55.7</v>
      </c>
      <c r="X560" s="609">
        <f t="shared" si="77"/>
        <v>213887.98663200001</v>
      </c>
      <c r="Y560" s="703">
        <f t="shared" si="78"/>
        <v>792191.95048799994</v>
      </c>
      <c r="Z560" s="752">
        <v>55.7</v>
      </c>
      <c r="AA560" s="609">
        <f t="shared" si="79"/>
        <v>213887.98663200001</v>
      </c>
      <c r="AB560" s="753">
        <f t="shared" si="80"/>
        <v>792191.95048799994</v>
      </c>
      <c r="AC560" s="714"/>
    </row>
    <row r="561" spans="1:29" ht="15" customHeight="1" x14ac:dyDescent="0.25">
      <c r="A561" s="713"/>
      <c r="B561" s="730" t="s">
        <v>799</v>
      </c>
      <c r="C561" s="546" t="s">
        <v>40</v>
      </c>
      <c r="D561" s="546" t="s">
        <v>1689</v>
      </c>
      <c r="E561" s="682">
        <v>44562</v>
      </c>
      <c r="F561" s="546">
        <v>744</v>
      </c>
      <c r="G561" s="546" t="s">
        <v>59</v>
      </c>
      <c r="H561" s="546" t="s">
        <v>3</v>
      </c>
      <c r="I561" s="546" t="s">
        <v>44</v>
      </c>
      <c r="J561" s="546" t="s">
        <v>85</v>
      </c>
      <c r="K561" s="546">
        <v>225</v>
      </c>
      <c r="L561" s="726" t="s">
        <v>54</v>
      </c>
      <c r="M561" s="696">
        <v>0</v>
      </c>
      <c r="N561" s="726">
        <v>5</v>
      </c>
      <c r="O561" s="696">
        <v>0</v>
      </c>
      <c r="P561" s="726">
        <v>225</v>
      </c>
      <c r="Q561" s="746">
        <f t="shared" si="72"/>
        <v>0</v>
      </c>
      <c r="R561" s="606">
        <f t="shared" si="73"/>
        <v>837000</v>
      </c>
      <c r="S561" s="747">
        <f t="shared" si="74"/>
        <v>837000</v>
      </c>
      <c r="T561" s="746">
        <v>62.91</v>
      </c>
      <c r="U561" s="606">
        <f t="shared" si="75"/>
        <v>234025.19999999998</v>
      </c>
      <c r="V561" s="747">
        <f t="shared" si="76"/>
        <v>602974.80000000005</v>
      </c>
      <c r="W561" s="748">
        <v>62.91</v>
      </c>
      <c r="X561" s="607">
        <f t="shared" si="77"/>
        <v>234025.19999999998</v>
      </c>
      <c r="Y561" s="702">
        <f t="shared" si="78"/>
        <v>602974.80000000005</v>
      </c>
      <c r="Z561" s="748">
        <v>62.91</v>
      </c>
      <c r="AA561" s="607">
        <f t="shared" si="79"/>
        <v>234025.19999999998</v>
      </c>
      <c r="AB561" s="749">
        <f t="shared" si="80"/>
        <v>602974.80000000005</v>
      </c>
      <c r="AC561" s="714"/>
    </row>
    <row r="562" spans="1:29" ht="15" customHeight="1" x14ac:dyDescent="0.25">
      <c r="A562" s="713"/>
      <c r="B562" s="714" t="s">
        <v>799</v>
      </c>
      <c r="C562" s="676" t="s">
        <v>40</v>
      </c>
      <c r="D562" s="676" t="s">
        <v>1689</v>
      </c>
      <c r="E562" s="680">
        <v>44593</v>
      </c>
      <c r="F562" s="676">
        <v>672</v>
      </c>
      <c r="G562" s="676" t="s">
        <v>59</v>
      </c>
      <c r="H562" s="676" t="s">
        <v>3</v>
      </c>
      <c r="I562" s="676" t="s">
        <v>44</v>
      </c>
      <c r="J562" s="676" t="s">
        <v>85</v>
      </c>
      <c r="K562" s="676">
        <v>225</v>
      </c>
      <c r="L562" s="690" t="s">
        <v>54</v>
      </c>
      <c r="M562" s="691">
        <v>0</v>
      </c>
      <c r="N562" s="690">
        <v>5</v>
      </c>
      <c r="O562" s="691">
        <v>0</v>
      </c>
      <c r="P562" s="690">
        <v>225</v>
      </c>
      <c r="Q562" s="738">
        <f t="shared" si="72"/>
        <v>0</v>
      </c>
      <c r="R562" s="677">
        <f t="shared" si="73"/>
        <v>756000</v>
      </c>
      <c r="S562" s="739">
        <f t="shared" si="74"/>
        <v>756000</v>
      </c>
      <c r="T562" s="738">
        <v>55.7</v>
      </c>
      <c r="U562" s="677">
        <f t="shared" si="75"/>
        <v>187152</v>
      </c>
      <c r="V562" s="739">
        <f t="shared" si="76"/>
        <v>568848</v>
      </c>
      <c r="W562" s="740">
        <v>55.7</v>
      </c>
      <c r="X562" s="678">
        <f t="shared" si="77"/>
        <v>187152</v>
      </c>
      <c r="Y562" s="700">
        <f t="shared" si="78"/>
        <v>568848</v>
      </c>
      <c r="Z562" s="740">
        <v>55.7</v>
      </c>
      <c r="AA562" s="678">
        <f t="shared" si="79"/>
        <v>187152</v>
      </c>
      <c r="AB562" s="741">
        <f t="shared" si="80"/>
        <v>568848</v>
      </c>
      <c r="AC562" s="714"/>
    </row>
    <row r="563" spans="1:29" ht="15" customHeight="1" x14ac:dyDescent="0.25">
      <c r="A563" s="713"/>
      <c r="B563" s="714" t="s">
        <v>799</v>
      </c>
      <c r="C563" s="676" t="s">
        <v>40</v>
      </c>
      <c r="D563" s="676" t="s">
        <v>1689</v>
      </c>
      <c r="E563" s="680">
        <v>44621</v>
      </c>
      <c r="F563" s="676">
        <v>744</v>
      </c>
      <c r="G563" s="676" t="s">
        <v>59</v>
      </c>
      <c r="H563" s="676" t="s">
        <v>3</v>
      </c>
      <c r="I563" s="676" t="s">
        <v>44</v>
      </c>
      <c r="J563" s="676" t="s">
        <v>85</v>
      </c>
      <c r="K563" s="676">
        <v>225</v>
      </c>
      <c r="L563" s="690" t="s">
        <v>54</v>
      </c>
      <c r="M563" s="691">
        <v>0</v>
      </c>
      <c r="N563" s="690">
        <v>5</v>
      </c>
      <c r="O563" s="691">
        <v>0</v>
      </c>
      <c r="P563" s="690">
        <v>225</v>
      </c>
      <c r="Q563" s="738">
        <f t="shared" si="72"/>
        <v>0</v>
      </c>
      <c r="R563" s="677">
        <f t="shared" si="73"/>
        <v>837000</v>
      </c>
      <c r="S563" s="739">
        <f t="shared" si="74"/>
        <v>837000</v>
      </c>
      <c r="T563" s="738">
        <v>55.7</v>
      </c>
      <c r="U563" s="677">
        <f t="shared" si="75"/>
        <v>207204</v>
      </c>
      <c r="V563" s="739">
        <f t="shared" si="76"/>
        <v>629796</v>
      </c>
      <c r="W563" s="740">
        <v>55.7</v>
      </c>
      <c r="X563" s="678">
        <f t="shared" si="77"/>
        <v>207204</v>
      </c>
      <c r="Y563" s="700">
        <f t="shared" si="78"/>
        <v>629796</v>
      </c>
      <c r="Z563" s="740">
        <v>55.7</v>
      </c>
      <c r="AA563" s="678">
        <f t="shared" si="79"/>
        <v>207204</v>
      </c>
      <c r="AB563" s="741">
        <f t="shared" si="80"/>
        <v>629796</v>
      </c>
      <c r="AC563" s="714"/>
    </row>
    <row r="564" spans="1:29" ht="15" customHeight="1" x14ac:dyDescent="0.25">
      <c r="A564" s="713"/>
      <c r="B564" s="714" t="s">
        <v>799</v>
      </c>
      <c r="C564" s="676" t="s">
        <v>40</v>
      </c>
      <c r="D564" s="676" t="s">
        <v>1689</v>
      </c>
      <c r="E564" s="680">
        <v>44652</v>
      </c>
      <c r="F564" s="676">
        <v>720</v>
      </c>
      <c r="G564" s="676" t="s">
        <v>59</v>
      </c>
      <c r="H564" s="676" t="s">
        <v>3</v>
      </c>
      <c r="I564" s="676" t="s">
        <v>44</v>
      </c>
      <c r="J564" s="676" t="s">
        <v>85</v>
      </c>
      <c r="K564" s="676">
        <v>225</v>
      </c>
      <c r="L564" s="690" t="s">
        <v>54</v>
      </c>
      <c r="M564" s="691">
        <v>0</v>
      </c>
      <c r="N564" s="690">
        <v>5</v>
      </c>
      <c r="O564" s="691">
        <v>0</v>
      </c>
      <c r="P564" s="690">
        <v>225</v>
      </c>
      <c r="Q564" s="738">
        <f t="shared" si="72"/>
        <v>0</v>
      </c>
      <c r="R564" s="677">
        <f t="shared" si="73"/>
        <v>810000</v>
      </c>
      <c r="S564" s="739">
        <f t="shared" si="74"/>
        <v>810000</v>
      </c>
      <c r="T564" s="738">
        <v>55.7</v>
      </c>
      <c r="U564" s="677">
        <f t="shared" si="75"/>
        <v>200520</v>
      </c>
      <c r="V564" s="739">
        <f t="shared" si="76"/>
        <v>609480</v>
      </c>
      <c r="W564" s="740">
        <v>55.7</v>
      </c>
      <c r="X564" s="678">
        <f t="shared" si="77"/>
        <v>200520</v>
      </c>
      <c r="Y564" s="700">
        <f t="shared" si="78"/>
        <v>609480</v>
      </c>
      <c r="Z564" s="740">
        <v>55.7</v>
      </c>
      <c r="AA564" s="678">
        <f t="shared" si="79"/>
        <v>200520</v>
      </c>
      <c r="AB564" s="741">
        <f t="shared" si="80"/>
        <v>609480</v>
      </c>
      <c r="AC564" s="714"/>
    </row>
    <row r="565" spans="1:29" ht="15" customHeight="1" x14ac:dyDescent="0.25">
      <c r="A565" s="713"/>
      <c r="B565" s="714" t="s">
        <v>799</v>
      </c>
      <c r="C565" s="676" t="s">
        <v>40</v>
      </c>
      <c r="D565" s="676" t="s">
        <v>1689</v>
      </c>
      <c r="E565" s="680">
        <v>44682</v>
      </c>
      <c r="F565" s="676">
        <v>744</v>
      </c>
      <c r="G565" s="676" t="s">
        <v>59</v>
      </c>
      <c r="H565" s="676" t="s">
        <v>3</v>
      </c>
      <c r="I565" s="676" t="s">
        <v>44</v>
      </c>
      <c r="J565" s="676" t="s">
        <v>85</v>
      </c>
      <c r="K565" s="676">
        <v>225</v>
      </c>
      <c r="L565" s="690" t="s">
        <v>54</v>
      </c>
      <c r="M565" s="691">
        <v>0</v>
      </c>
      <c r="N565" s="690">
        <v>5</v>
      </c>
      <c r="O565" s="691">
        <v>0</v>
      </c>
      <c r="P565" s="690">
        <v>225</v>
      </c>
      <c r="Q565" s="738">
        <f t="shared" si="72"/>
        <v>0</v>
      </c>
      <c r="R565" s="677">
        <f t="shared" si="73"/>
        <v>837000</v>
      </c>
      <c r="S565" s="739">
        <f t="shared" si="74"/>
        <v>837000</v>
      </c>
      <c r="T565" s="738">
        <v>55.7</v>
      </c>
      <c r="U565" s="677">
        <f t="shared" si="75"/>
        <v>207204</v>
      </c>
      <c r="V565" s="739">
        <f t="shared" si="76"/>
        <v>629796</v>
      </c>
      <c r="W565" s="740">
        <v>55.7</v>
      </c>
      <c r="X565" s="678">
        <f t="shared" si="77"/>
        <v>207204</v>
      </c>
      <c r="Y565" s="700">
        <f t="shared" si="78"/>
        <v>629796</v>
      </c>
      <c r="Z565" s="740">
        <v>55.7</v>
      </c>
      <c r="AA565" s="678">
        <f t="shared" si="79"/>
        <v>207204</v>
      </c>
      <c r="AB565" s="741">
        <f t="shared" si="80"/>
        <v>629796</v>
      </c>
      <c r="AC565" s="714"/>
    </row>
    <row r="566" spans="1:29" ht="15" customHeight="1" x14ac:dyDescent="0.25">
      <c r="A566" s="713"/>
      <c r="B566" s="714" t="s">
        <v>799</v>
      </c>
      <c r="C566" s="676" t="s">
        <v>40</v>
      </c>
      <c r="D566" s="676" t="s">
        <v>1689</v>
      </c>
      <c r="E566" s="680">
        <v>44713</v>
      </c>
      <c r="F566" s="676">
        <v>720</v>
      </c>
      <c r="G566" s="676" t="s">
        <v>59</v>
      </c>
      <c r="H566" s="676" t="s">
        <v>3</v>
      </c>
      <c r="I566" s="676" t="s">
        <v>44</v>
      </c>
      <c r="J566" s="676" t="s">
        <v>85</v>
      </c>
      <c r="K566" s="676">
        <v>225</v>
      </c>
      <c r="L566" s="690" t="s">
        <v>54</v>
      </c>
      <c r="M566" s="691">
        <v>0</v>
      </c>
      <c r="N566" s="690">
        <v>5</v>
      </c>
      <c r="O566" s="691">
        <v>0</v>
      </c>
      <c r="P566" s="690">
        <v>225</v>
      </c>
      <c r="Q566" s="738">
        <f t="shared" si="72"/>
        <v>0</v>
      </c>
      <c r="R566" s="677">
        <f t="shared" si="73"/>
        <v>810000</v>
      </c>
      <c r="S566" s="739">
        <f t="shared" si="74"/>
        <v>810000</v>
      </c>
      <c r="T566" s="738">
        <v>55.71</v>
      </c>
      <c r="U566" s="677">
        <f t="shared" si="75"/>
        <v>200556</v>
      </c>
      <c r="V566" s="739">
        <f t="shared" si="76"/>
        <v>609444</v>
      </c>
      <c r="W566" s="740">
        <v>55.71</v>
      </c>
      <c r="X566" s="678">
        <f t="shared" si="77"/>
        <v>200556</v>
      </c>
      <c r="Y566" s="700">
        <f t="shared" si="78"/>
        <v>609444</v>
      </c>
      <c r="Z566" s="740">
        <v>55.71</v>
      </c>
      <c r="AA566" s="678">
        <f t="shared" si="79"/>
        <v>200556</v>
      </c>
      <c r="AB566" s="741">
        <f t="shared" si="80"/>
        <v>609444</v>
      </c>
      <c r="AC566" s="714"/>
    </row>
    <row r="567" spans="1:29" ht="15" customHeight="1" x14ac:dyDescent="0.25">
      <c r="A567" s="713"/>
      <c r="B567" s="714" t="s">
        <v>799</v>
      </c>
      <c r="C567" s="676" t="s">
        <v>40</v>
      </c>
      <c r="D567" s="676" t="s">
        <v>1689</v>
      </c>
      <c r="E567" s="680">
        <v>44743</v>
      </c>
      <c r="F567" s="676">
        <v>744</v>
      </c>
      <c r="G567" s="676" t="s">
        <v>59</v>
      </c>
      <c r="H567" s="676" t="s">
        <v>3</v>
      </c>
      <c r="I567" s="676" t="s">
        <v>44</v>
      </c>
      <c r="J567" s="676" t="s">
        <v>85</v>
      </c>
      <c r="K567" s="676">
        <v>225</v>
      </c>
      <c r="L567" s="690" t="s">
        <v>54</v>
      </c>
      <c r="M567" s="691">
        <v>0</v>
      </c>
      <c r="N567" s="690">
        <v>5</v>
      </c>
      <c r="O567" s="691">
        <v>0</v>
      </c>
      <c r="P567" s="690">
        <v>225</v>
      </c>
      <c r="Q567" s="738">
        <f t="shared" si="72"/>
        <v>0</v>
      </c>
      <c r="R567" s="677">
        <f t="shared" si="73"/>
        <v>837000</v>
      </c>
      <c r="S567" s="739">
        <f t="shared" si="74"/>
        <v>837000</v>
      </c>
      <c r="T567" s="738">
        <v>66.319999999999993</v>
      </c>
      <c r="U567" s="677">
        <f t="shared" si="75"/>
        <v>246710.39999999997</v>
      </c>
      <c r="V567" s="739">
        <f t="shared" si="76"/>
        <v>590289.60000000009</v>
      </c>
      <c r="W567" s="740">
        <v>66.319999999999993</v>
      </c>
      <c r="X567" s="678">
        <f t="shared" si="77"/>
        <v>246710.39999999997</v>
      </c>
      <c r="Y567" s="700">
        <f t="shared" si="78"/>
        <v>590289.60000000009</v>
      </c>
      <c r="Z567" s="740">
        <v>66.319999999999993</v>
      </c>
      <c r="AA567" s="678">
        <f t="shared" si="79"/>
        <v>246710.39999999997</v>
      </c>
      <c r="AB567" s="741">
        <f t="shared" si="80"/>
        <v>590289.60000000009</v>
      </c>
      <c r="AC567" s="714"/>
    </row>
    <row r="568" spans="1:29" ht="15" customHeight="1" x14ac:dyDescent="0.25">
      <c r="A568" s="713"/>
      <c r="B568" s="714" t="s">
        <v>799</v>
      </c>
      <c r="C568" s="676" t="s">
        <v>40</v>
      </c>
      <c r="D568" s="676" t="s">
        <v>1689</v>
      </c>
      <c r="E568" s="680">
        <v>44774</v>
      </c>
      <c r="F568" s="676">
        <v>744</v>
      </c>
      <c r="G568" s="676" t="s">
        <v>59</v>
      </c>
      <c r="H568" s="676" t="s">
        <v>3</v>
      </c>
      <c r="I568" s="676" t="s">
        <v>44</v>
      </c>
      <c r="J568" s="676" t="s">
        <v>85</v>
      </c>
      <c r="K568" s="676">
        <v>225</v>
      </c>
      <c r="L568" s="690" t="s">
        <v>54</v>
      </c>
      <c r="M568" s="691">
        <v>0</v>
      </c>
      <c r="N568" s="690">
        <v>5</v>
      </c>
      <c r="O568" s="691">
        <v>0</v>
      </c>
      <c r="P568" s="690">
        <v>225</v>
      </c>
      <c r="Q568" s="738">
        <f t="shared" si="72"/>
        <v>0</v>
      </c>
      <c r="R568" s="677">
        <f t="shared" si="73"/>
        <v>837000</v>
      </c>
      <c r="S568" s="739">
        <f t="shared" si="74"/>
        <v>837000</v>
      </c>
      <c r="T568" s="738">
        <v>76.900000000000006</v>
      </c>
      <c r="U568" s="677">
        <f t="shared" si="75"/>
        <v>286068</v>
      </c>
      <c r="V568" s="739">
        <f t="shared" si="76"/>
        <v>550932</v>
      </c>
      <c r="W568" s="740">
        <v>76.900000000000006</v>
      </c>
      <c r="X568" s="678">
        <f t="shared" si="77"/>
        <v>286068</v>
      </c>
      <c r="Y568" s="700">
        <f t="shared" si="78"/>
        <v>550932</v>
      </c>
      <c r="Z568" s="740">
        <v>76.900000000000006</v>
      </c>
      <c r="AA568" s="678">
        <f t="shared" si="79"/>
        <v>286068</v>
      </c>
      <c r="AB568" s="741">
        <f t="shared" si="80"/>
        <v>550932</v>
      </c>
      <c r="AC568" s="714"/>
    </row>
    <row r="569" spans="1:29" ht="15" customHeight="1" x14ac:dyDescent="0.25">
      <c r="A569" s="713"/>
      <c r="B569" s="714" t="s">
        <v>799</v>
      </c>
      <c r="C569" s="676" t="s">
        <v>40</v>
      </c>
      <c r="D569" s="676" t="s">
        <v>1689</v>
      </c>
      <c r="E569" s="680">
        <v>44805</v>
      </c>
      <c r="F569" s="676">
        <v>720</v>
      </c>
      <c r="G569" s="676" t="s">
        <v>59</v>
      </c>
      <c r="H569" s="676" t="s">
        <v>3</v>
      </c>
      <c r="I569" s="676" t="s">
        <v>44</v>
      </c>
      <c r="J569" s="676" t="s">
        <v>85</v>
      </c>
      <c r="K569" s="676">
        <v>225</v>
      </c>
      <c r="L569" s="690" t="s">
        <v>54</v>
      </c>
      <c r="M569" s="691">
        <v>0</v>
      </c>
      <c r="N569" s="690">
        <v>5</v>
      </c>
      <c r="O569" s="691">
        <v>0</v>
      </c>
      <c r="P569" s="690">
        <v>225</v>
      </c>
      <c r="Q569" s="738">
        <f t="shared" si="72"/>
        <v>0</v>
      </c>
      <c r="R569" s="677">
        <f t="shared" si="73"/>
        <v>810000</v>
      </c>
      <c r="S569" s="739">
        <f t="shared" si="74"/>
        <v>810000</v>
      </c>
      <c r="T569" s="738">
        <v>56.08</v>
      </c>
      <c r="U569" s="677">
        <f t="shared" si="75"/>
        <v>201888</v>
      </c>
      <c r="V569" s="739">
        <f t="shared" si="76"/>
        <v>608112</v>
      </c>
      <c r="W569" s="740">
        <v>56.08</v>
      </c>
      <c r="X569" s="678">
        <f t="shared" si="77"/>
        <v>201888</v>
      </c>
      <c r="Y569" s="700">
        <f t="shared" si="78"/>
        <v>608112</v>
      </c>
      <c r="Z569" s="740">
        <v>56.08</v>
      </c>
      <c r="AA569" s="678">
        <f t="shared" si="79"/>
        <v>201888</v>
      </c>
      <c r="AB569" s="741">
        <f t="shared" si="80"/>
        <v>608112</v>
      </c>
      <c r="AC569" s="714"/>
    </row>
    <row r="570" spans="1:29" ht="15" customHeight="1" x14ac:dyDescent="0.25">
      <c r="A570" s="713"/>
      <c r="B570" s="714" t="s">
        <v>799</v>
      </c>
      <c r="C570" s="676" t="s">
        <v>40</v>
      </c>
      <c r="D570" s="676" t="s">
        <v>1689</v>
      </c>
      <c r="E570" s="680">
        <v>44835</v>
      </c>
      <c r="F570" s="676">
        <v>744</v>
      </c>
      <c r="G570" s="676" t="s">
        <v>59</v>
      </c>
      <c r="H570" s="676" t="s">
        <v>3</v>
      </c>
      <c r="I570" s="676" t="s">
        <v>44</v>
      </c>
      <c r="J570" s="676" t="s">
        <v>85</v>
      </c>
      <c r="K570" s="676">
        <v>225</v>
      </c>
      <c r="L570" s="690" t="s">
        <v>54</v>
      </c>
      <c r="M570" s="691">
        <v>0</v>
      </c>
      <c r="N570" s="690">
        <v>5</v>
      </c>
      <c r="O570" s="691">
        <v>0</v>
      </c>
      <c r="P570" s="690">
        <v>225</v>
      </c>
      <c r="Q570" s="738">
        <f t="shared" si="72"/>
        <v>0</v>
      </c>
      <c r="R570" s="677">
        <f t="shared" si="73"/>
        <v>837000</v>
      </c>
      <c r="S570" s="739">
        <f t="shared" si="74"/>
        <v>837000</v>
      </c>
      <c r="T570" s="738">
        <v>55.7</v>
      </c>
      <c r="U570" s="677">
        <f t="shared" si="75"/>
        <v>207204</v>
      </c>
      <c r="V570" s="739">
        <f t="shared" si="76"/>
        <v>629796</v>
      </c>
      <c r="W570" s="740">
        <v>55.7</v>
      </c>
      <c r="X570" s="678">
        <f t="shared" si="77"/>
        <v>207204</v>
      </c>
      <c r="Y570" s="700">
        <f t="shared" si="78"/>
        <v>629796</v>
      </c>
      <c r="Z570" s="740">
        <v>55.7</v>
      </c>
      <c r="AA570" s="678">
        <f t="shared" si="79"/>
        <v>207204</v>
      </c>
      <c r="AB570" s="741">
        <f t="shared" si="80"/>
        <v>629796</v>
      </c>
      <c r="AC570" s="714"/>
    </row>
    <row r="571" spans="1:29" ht="15" customHeight="1" x14ac:dyDescent="0.25">
      <c r="A571" s="713"/>
      <c r="B571" s="714" t="s">
        <v>799</v>
      </c>
      <c r="C571" s="676" t="s">
        <v>40</v>
      </c>
      <c r="D571" s="676" t="s">
        <v>1689</v>
      </c>
      <c r="E571" s="680">
        <v>44866</v>
      </c>
      <c r="F571" s="676">
        <v>720</v>
      </c>
      <c r="G571" s="676" t="s">
        <v>59</v>
      </c>
      <c r="H571" s="676" t="s">
        <v>3</v>
      </c>
      <c r="I571" s="676" t="s">
        <v>44</v>
      </c>
      <c r="J571" s="676" t="s">
        <v>85</v>
      </c>
      <c r="K571" s="676">
        <v>225</v>
      </c>
      <c r="L571" s="690" t="s">
        <v>54</v>
      </c>
      <c r="M571" s="691">
        <v>0</v>
      </c>
      <c r="N571" s="690">
        <v>5</v>
      </c>
      <c r="O571" s="691">
        <v>0</v>
      </c>
      <c r="P571" s="690">
        <v>225</v>
      </c>
      <c r="Q571" s="738">
        <f t="shared" si="72"/>
        <v>0</v>
      </c>
      <c r="R571" s="677">
        <f t="shared" si="73"/>
        <v>810000</v>
      </c>
      <c r="S571" s="739">
        <f t="shared" si="74"/>
        <v>810000</v>
      </c>
      <c r="T571" s="738">
        <v>55.7</v>
      </c>
      <c r="U571" s="677">
        <f t="shared" si="75"/>
        <v>200520</v>
      </c>
      <c r="V571" s="739">
        <f t="shared" si="76"/>
        <v>609480</v>
      </c>
      <c r="W571" s="740">
        <v>55.7</v>
      </c>
      <c r="X571" s="678">
        <f t="shared" si="77"/>
        <v>200520</v>
      </c>
      <c r="Y571" s="700">
        <f t="shared" si="78"/>
        <v>609480</v>
      </c>
      <c r="Z571" s="740">
        <v>55.7</v>
      </c>
      <c r="AA571" s="678">
        <f t="shared" si="79"/>
        <v>200520</v>
      </c>
      <c r="AB571" s="741">
        <f t="shared" si="80"/>
        <v>609480</v>
      </c>
      <c r="AC571" s="714"/>
    </row>
    <row r="572" spans="1:29" ht="15" customHeight="1" x14ac:dyDescent="0.25">
      <c r="A572" s="713"/>
      <c r="B572" s="729" t="s">
        <v>799</v>
      </c>
      <c r="C572" s="545" t="s">
        <v>40</v>
      </c>
      <c r="D572" s="545" t="s">
        <v>1689</v>
      </c>
      <c r="E572" s="681">
        <v>44896</v>
      </c>
      <c r="F572" s="545">
        <v>744</v>
      </c>
      <c r="G572" s="545" t="s">
        <v>59</v>
      </c>
      <c r="H572" s="545" t="s">
        <v>3</v>
      </c>
      <c r="I572" s="545" t="s">
        <v>44</v>
      </c>
      <c r="J572" s="545" t="s">
        <v>85</v>
      </c>
      <c r="K572" s="545">
        <v>225</v>
      </c>
      <c r="L572" s="725" t="s">
        <v>54</v>
      </c>
      <c r="M572" s="695">
        <v>0</v>
      </c>
      <c r="N572" s="725">
        <v>5</v>
      </c>
      <c r="O572" s="695">
        <v>0</v>
      </c>
      <c r="P572" s="725">
        <v>225</v>
      </c>
      <c r="Q572" s="742">
        <f t="shared" si="72"/>
        <v>0</v>
      </c>
      <c r="R572" s="603">
        <f t="shared" si="73"/>
        <v>837000</v>
      </c>
      <c r="S572" s="743">
        <f t="shared" si="74"/>
        <v>837000</v>
      </c>
      <c r="T572" s="742">
        <v>55.7</v>
      </c>
      <c r="U572" s="603">
        <f t="shared" si="75"/>
        <v>207204</v>
      </c>
      <c r="V572" s="743">
        <f t="shared" si="76"/>
        <v>629796</v>
      </c>
      <c r="W572" s="744">
        <v>55.7</v>
      </c>
      <c r="X572" s="604">
        <f t="shared" si="77"/>
        <v>207204</v>
      </c>
      <c r="Y572" s="701">
        <f t="shared" si="78"/>
        <v>629796</v>
      </c>
      <c r="Z572" s="744">
        <v>78.400653594793155</v>
      </c>
      <c r="AA572" s="604">
        <f t="shared" si="79"/>
        <v>291650.43137263053</v>
      </c>
      <c r="AB572" s="745">
        <f t="shared" si="80"/>
        <v>545349.56862736947</v>
      </c>
      <c r="AC572" s="714"/>
    </row>
    <row r="573" spans="1:29" ht="15" customHeight="1" x14ac:dyDescent="0.25">
      <c r="A573" s="713"/>
      <c r="B573" s="730" t="s">
        <v>801</v>
      </c>
      <c r="C573" s="546" t="s">
        <v>40</v>
      </c>
      <c r="D573" s="546" t="s">
        <v>621</v>
      </c>
      <c r="E573" s="682">
        <v>44743</v>
      </c>
      <c r="F573" s="546">
        <v>744</v>
      </c>
      <c r="G573" s="546" t="s">
        <v>59</v>
      </c>
      <c r="H573" s="546" t="s">
        <v>3</v>
      </c>
      <c r="I573" s="546" t="s">
        <v>44</v>
      </c>
      <c r="J573" s="546" t="s">
        <v>85</v>
      </c>
      <c r="K573" s="546">
        <v>266</v>
      </c>
      <c r="L573" s="726" t="s">
        <v>54</v>
      </c>
      <c r="M573" s="696">
        <v>0</v>
      </c>
      <c r="N573" s="726">
        <v>1</v>
      </c>
      <c r="O573" s="696">
        <v>0</v>
      </c>
      <c r="P573" s="726">
        <v>266</v>
      </c>
      <c r="Q573" s="746">
        <f t="shared" si="72"/>
        <v>0</v>
      </c>
      <c r="R573" s="606">
        <f t="shared" si="73"/>
        <v>197904</v>
      </c>
      <c r="S573" s="747">
        <f t="shared" si="74"/>
        <v>197904</v>
      </c>
      <c r="T573" s="746">
        <v>66.319999999999993</v>
      </c>
      <c r="U573" s="606">
        <f t="shared" si="75"/>
        <v>49342.079999999994</v>
      </c>
      <c r="V573" s="747">
        <f t="shared" si="76"/>
        <v>148561.92000000001</v>
      </c>
      <c r="W573" s="748">
        <v>66.319999999999993</v>
      </c>
      <c r="X573" s="607">
        <f t="shared" si="77"/>
        <v>49342.079999999994</v>
      </c>
      <c r="Y573" s="702">
        <f t="shared" si="78"/>
        <v>148561.92000000001</v>
      </c>
      <c r="Z573" s="748">
        <v>66.319999999999993</v>
      </c>
      <c r="AA573" s="607">
        <f t="shared" si="79"/>
        <v>49342.079999999994</v>
      </c>
      <c r="AB573" s="749">
        <f t="shared" si="80"/>
        <v>148561.92000000001</v>
      </c>
      <c r="AC573" s="714"/>
    </row>
    <row r="574" spans="1:29" ht="15" customHeight="1" x14ac:dyDescent="0.25">
      <c r="A574" s="713"/>
      <c r="B574" s="714" t="s">
        <v>801</v>
      </c>
      <c r="C574" s="676" t="s">
        <v>40</v>
      </c>
      <c r="D574" s="676" t="s">
        <v>621</v>
      </c>
      <c r="E574" s="680">
        <v>44774</v>
      </c>
      <c r="F574" s="676">
        <v>744</v>
      </c>
      <c r="G574" s="676" t="s">
        <v>59</v>
      </c>
      <c r="H574" s="676" t="s">
        <v>3</v>
      </c>
      <c r="I574" s="676" t="s">
        <v>44</v>
      </c>
      <c r="J574" s="676" t="s">
        <v>85</v>
      </c>
      <c r="K574" s="676">
        <v>266</v>
      </c>
      <c r="L574" s="690" t="s">
        <v>54</v>
      </c>
      <c r="M574" s="691">
        <v>0</v>
      </c>
      <c r="N574" s="690">
        <v>1</v>
      </c>
      <c r="O574" s="691">
        <v>0</v>
      </c>
      <c r="P574" s="690">
        <v>266</v>
      </c>
      <c r="Q574" s="738">
        <f t="shared" si="72"/>
        <v>0</v>
      </c>
      <c r="R574" s="677">
        <f t="shared" si="73"/>
        <v>197904</v>
      </c>
      <c r="S574" s="739">
        <f t="shared" si="74"/>
        <v>197904</v>
      </c>
      <c r="T574" s="738">
        <v>76.900000000000006</v>
      </c>
      <c r="U574" s="677">
        <f t="shared" si="75"/>
        <v>57213.600000000006</v>
      </c>
      <c r="V574" s="739">
        <f t="shared" si="76"/>
        <v>140690.4</v>
      </c>
      <c r="W574" s="740">
        <v>76.900000000000006</v>
      </c>
      <c r="X574" s="678">
        <f t="shared" si="77"/>
        <v>57213.600000000006</v>
      </c>
      <c r="Y574" s="700">
        <f t="shared" si="78"/>
        <v>140690.4</v>
      </c>
      <c r="Z574" s="740">
        <v>76.900000000000006</v>
      </c>
      <c r="AA574" s="678">
        <f t="shared" si="79"/>
        <v>57213.600000000006</v>
      </c>
      <c r="AB574" s="741">
        <f t="shared" si="80"/>
        <v>140690.4</v>
      </c>
      <c r="AC574" s="714"/>
    </row>
    <row r="575" spans="1:29" ht="15" customHeight="1" x14ac:dyDescent="0.25">
      <c r="A575" s="713"/>
      <c r="B575" s="714" t="s">
        <v>801</v>
      </c>
      <c r="C575" s="676" t="s">
        <v>40</v>
      </c>
      <c r="D575" s="676" t="s">
        <v>621</v>
      </c>
      <c r="E575" s="680">
        <v>44805</v>
      </c>
      <c r="F575" s="676">
        <v>720</v>
      </c>
      <c r="G575" s="676" t="s">
        <v>59</v>
      </c>
      <c r="H575" s="676" t="s">
        <v>3</v>
      </c>
      <c r="I575" s="676" t="s">
        <v>44</v>
      </c>
      <c r="J575" s="676" t="s">
        <v>85</v>
      </c>
      <c r="K575" s="676">
        <v>266</v>
      </c>
      <c r="L575" s="690" t="s">
        <v>54</v>
      </c>
      <c r="M575" s="691">
        <v>0</v>
      </c>
      <c r="N575" s="690">
        <v>1</v>
      </c>
      <c r="O575" s="691">
        <v>0</v>
      </c>
      <c r="P575" s="690">
        <v>266</v>
      </c>
      <c r="Q575" s="738">
        <f t="shared" si="72"/>
        <v>0</v>
      </c>
      <c r="R575" s="677">
        <f t="shared" si="73"/>
        <v>191520</v>
      </c>
      <c r="S575" s="739">
        <f t="shared" si="74"/>
        <v>191520</v>
      </c>
      <c r="T575" s="738">
        <v>56.08</v>
      </c>
      <c r="U575" s="677">
        <f t="shared" si="75"/>
        <v>40377.599999999999</v>
      </c>
      <c r="V575" s="739">
        <f t="shared" si="76"/>
        <v>151142.39999999999</v>
      </c>
      <c r="W575" s="740">
        <v>56.08</v>
      </c>
      <c r="X575" s="678">
        <f t="shared" si="77"/>
        <v>40377.599999999999</v>
      </c>
      <c r="Y575" s="700">
        <f t="shared" si="78"/>
        <v>151142.39999999999</v>
      </c>
      <c r="Z575" s="740">
        <v>56.08</v>
      </c>
      <c r="AA575" s="678">
        <f t="shared" si="79"/>
        <v>40377.599999999999</v>
      </c>
      <c r="AB575" s="741">
        <f t="shared" si="80"/>
        <v>151142.39999999999</v>
      </c>
      <c r="AC575" s="714"/>
    </row>
    <row r="576" spans="1:29" ht="15" customHeight="1" x14ac:dyDescent="0.25">
      <c r="A576" s="713"/>
      <c r="B576" s="714" t="s">
        <v>801</v>
      </c>
      <c r="C576" s="676" t="s">
        <v>40</v>
      </c>
      <c r="D576" s="676" t="s">
        <v>621</v>
      </c>
      <c r="E576" s="680">
        <v>44835</v>
      </c>
      <c r="F576" s="676">
        <v>744</v>
      </c>
      <c r="G576" s="676" t="s">
        <v>59</v>
      </c>
      <c r="H576" s="676" t="s">
        <v>3</v>
      </c>
      <c r="I576" s="676" t="s">
        <v>44</v>
      </c>
      <c r="J576" s="676" t="s">
        <v>85</v>
      </c>
      <c r="K576" s="676">
        <v>266</v>
      </c>
      <c r="L576" s="690" t="s">
        <v>54</v>
      </c>
      <c r="M576" s="691">
        <v>0</v>
      </c>
      <c r="N576" s="690">
        <v>1</v>
      </c>
      <c r="O576" s="691">
        <v>0</v>
      </c>
      <c r="P576" s="690">
        <v>266</v>
      </c>
      <c r="Q576" s="738">
        <f t="shared" si="72"/>
        <v>0</v>
      </c>
      <c r="R576" s="677">
        <f t="shared" si="73"/>
        <v>197904</v>
      </c>
      <c r="S576" s="739">
        <f t="shared" si="74"/>
        <v>197904</v>
      </c>
      <c r="T576" s="738">
        <v>55.7</v>
      </c>
      <c r="U576" s="677">
        <f t="shared" si="75"/>
        <v>41440.800000000003</v>
      </c>
      <c r="V576" s="739">
        <f t="shared" si="76"/>
        <v>156463.20000000001</v>
      </c>
      <c r="W576" s="740">
        <v>55.7</v>
      </c>
      <c r="X576" s="678">
        <f t="shared" si="77"/>
        <v>41440.800000000003</v>
      </c>
      <c r="Y576" s="700">
        <f t="shared" si="78"/>
        <v>156463.20000000001</v>
      </c>
      <c r="Z576" s="740">
        <v>55.7</v>
      </c>
      <c r="AA576" s="678">
        <f t="shared" si="79"/>
        <v>41440.800000000003</v>
      </c>
      <c r="AB576" s="741">
        <f t="shared" si="80"/>
        <v>156463.20000000001</v>
      </c>
      <c r="AC576" s="714"/>
    </row>
    <row r="577" spans="1:29" ht="15" customHeight="1" x14ac:dyDescent="0.25">
      <c r="A577" s="713"/>
      <c r="B577" s="714" t="s">
        <v>801</v>
      </c>
      <c r="C577" s="676" t="s">
        <v>40</v>
      </c>
      <c r="D577" s="676" t="s">
        <v>621</v>
      </c>
      <c r="E577" s="680">
        <v>44866</v>
      </c>
      <c r="F577" s="676">
        <v>720</v>
      </c>
      <c r="G577" s="676" t="s">
        <v>59</v>
      </c>
      <c r="H577" s="676" t="s">
        <v>3</v>
      </c>
      <c r="I577" s="676" t="s">
        <v>44</v>
      </c>
      <c r="J577" s="676" t="s">
        <v>85</v>
      </c>
      <c r="K577" s="676">
        <v>266</v>
      </c>
      <c r="L577" s="690" t="s">
        <v>54</v>
      </c>
      <c r="M577" s="691">
        <v>0</v>
      </c>
      <c r="N577" s="690">
        <v>1</v>
      </c>
      <c r="O577" s="691">
        <v>0</v>
      </c>
      <c r="P577" s="690">
        <v>266</v>
      </c>
      <c r="Q577" s="738">
        <f t="shared" si="72"/>
        <v>0</v>
      </c>
      <c r="R577" s="677">
        <f t="shared" si="73"/>
        <v>191520</v>
      </c>
      <c r="S577" s="739">
        <f t="shared" si="74"/>
        <v>191520</v>
      </c>
      <c r="T577" s="738">
        <v>55.7</v>
      </c>
      <c r="U577" s="677">
        <f t="shared" si="75"/>
        <v>40104</v>
      </c>
      <c r="V577" s="739">
        <f t="shared" si="76"/>
        <v>151416</v>
      </c>
      <c r="W577" s="740">
        <v>55.7</v>
      </c>
      <c r="X577" s="678">
        <f t="shared" si="77"/>
        <v>40104</v>
      </c>
      <c r="Y577" s="700">
        <f t="shared" si="78"/>
        <v>151416</v>
      </c>
      <c r="Z577" s="740">
        <v>55.7</v>
      </c>
      <c r="AA577" s="678">
        <f t="shared" si="79"/>
        <v>40104</v>
      </c>
      <c r="AB577" s="741">
        <f t="shared" si="80"/>
        <v>151416</v>
      </c>
      <c r="AC577" s="714"/>
    </row>
    <row r="578" spans="1:29" ht="15" customHeight="1" x14ac:dyDescent="0.25">
      <c r="A578" s="713"/>
      <c r="B578" s="729" t="s">
        <v>801</v>
      </c>
      <c r="C578" s="545" t="s">
        <v>40</v>
      </c>
      <c r="D578" s="545" t="s">
        <v>621</v>
      </c>
      <c r="E578" s="681">
        <v>44896</v>
      </c>
      <c r="F578" s="545">
        <v>744</v>
      </c>
      <c r="G578" s="545" t="s">
        <v>59</v>
      </c>
      <c r="H578" s="545" t="s">
        <v>3</v>
      </c>
      <c r="I578" s="545" t="s">
        <v>44</v>
      </c>
      <c r="J578" s="545" t="s">
        <v>85</v>
      </c>
      <c r="K578" s="545">
        <v>266</v>
      </c>
      <c r="L578" s="725" t="s">
        <v>54</v>
      </c>
      <c r="M578" s="695">
        <v>0</v>
      </c>
      <c r="N578" s="725">
        <v>1</v>
      </c>
      <c r="O578" s="695">
        <v>0</v>
      </c>
      <c r="P578" s="725">
        <v>266</v>
      </c>
      <c r="Q578" s="742">
        <f t="shared" si="72"/>
        <v>0</v>
      </c>
      <c r="R578" s="603">
        <f t="shared" si="73"/>
        <v>197904</v>
      </c>
      <c r="S578" s="743">
        <f t="shared" si="74"/>
        <v>197904</v>
      </c>
      <c r="T578" s="742">
        <v>55.7</v>
      </c>
      <c r="U578" s="603">
        <f t="shared" si="75"/>
        <v>41440.800000000003</v>
      </c>
      <c r="V578" s="743">
        <f t="shared" si="76"/>
        <v>156463.20000000001</v>
      </c>
      <c r="W578" s="744">
        <v>55.7</v>
      </c>
      <c r="X578" s="604">
        <f t="shared" si="77"/>
        <v>41440.800000000003</v>
      </c>
      <c r="Y578" s="701">
        <f t="shared" si="78"/>
        <v>156463.20000000001</v>
      </c>
      <c r="Z578" s="744">
        <v>78.400653594793155</v>
      </c>
      <c r="AA578" s="604">
        <f t="shared" si="79"/>
        <v>58330.086274526111</v>
      </c>
      <c r="AB578" s="745">
        <f t="shared" si="80"/>
        <v>139573.91372547389</v>
      </c>
      <c r="AC578" s="714"/>
    </row>
    <row r="579" spans="1:29" ht="15" customHeight="1" x14ac:dyDescent="0.25">
      <c r="A579" s="713"/>
      <c r="B579" s="731" t="s">
        <v>803</v>
      </c>
      <c r="C579" s="547" t="s">
        <v>40</v>
      </c>
      <c r="D579" s="547" t="s">
        <v>621</v>
      </c>
      <c r="E579" s="683">
        <v>44621</v>
      </c>
      <c r="F579" s="547">
        <v>744</v>
      </c>
      <c r="G579" s="547" t="s">
        <v>58</v>
      </c>
      <c r="H579" s="547" t="s">
        <v>3</v>
      </c>
      <c r="I579" s="547" t="s">
        <v>44</v>
      </c>
      <c r="J579" s="547" t="s">
        <v>84</v>
      </c>
      <c r="K579" s="547">
        <v>190</v>
      </c>
      <c r="L579" s="727" t="s">
        <v>54</v>
      </c>
      <c r="M579" s="697">
        <v>4</v>
      </c>
      <c r="N579" s="727">
        <v>0</v>
      </c>
      <c r="O579" s="697">
        <v>190</v>
      </c>
      <c r="P579" s="727">
        <v>0</v>
      </c>
      <c r="Q579" s="750">
        <f t="shared" ref="Q579:Q642" si="81">(O579*(M579*F579))</f>
        <v>565440</v>
      </c>
      <c r="R579" s="608">
        <f t="shared" ref="R579:R642" si="82">(P579*(N579*F579))</f>
        <v>0</v>
      </c>
      <c r="S579" s="751">
        <f t="shared" ref="S579:S642" si="83">R579-Q579</f>
        <v>-565440</v>
      </c>
      <c r="T579" s="750">
        <v>55.7</v>
      </c>
      <c r="U579" s="608">
        <f t="shared" ref="U579:U642" si="84">(((F579*N579)*T579)-(T579*(M579*F579)))</f>
        <v>-165763.20000000001</v>
      </c>
      <c r="V579" s="751">
        <f t="shared" ref="V579:V642" si="85">S579-U579</f>
        <v>-399676.8</v>
      </c>
      <c r="W579" s="752">
        <v>55.7</v>
      </c>
      <c r="X579" s="609">
        <f t="shared" ref="X579:X642" si="86">(((F579*N579)*W579)-(W579*(M579*F579)))</f>
        <v>-165763.20000000001</v>
      </c>
      <c r="Y579" s="703">
        <f t="shared" ref="Y579:Y642" si="87">S579-X579</f>
        <v>-399676.8</v>
      </c>
      <c r="Z579" s="752">
        <v>55.7</v>
      </c>
      <c r="AA579" s="609">
        <f t="shared" ref="AA579:AA642" si="88">(((F579*N579)*Z579)-(Z579*(M579*F579)))</f>
        <v>-165763.20000000001</v>
      </c>
      <c r="AB579" s="753">
        <f t="shared" ref="AB579:AB642" si="89">S579-AA579</f>
        <v>-399676.8</v>
      </c>
      <c r="AC579" s="714"/>
    </row>
    <row r="580" spans="1:29" ht="15" customHeight="1" x14ac:dyDescent="0.25">
      <c r="A580" s="713"/>
      <c r="B580" s="731" t="s">
        <v>805</v>
      </c>
      <c r="C580" s="547" t="s">
        <v>40</v>
      </c>
      <c r="D580" s="547" t="s">
        <v>348</v>
      </c>
      <c r="E580" s="683">
        <v>44593</v>
      </c>
      <c r="F580" s="547">
        <v>672</v>
      </c>
      <c r="G580" s="547" t="s">
        <v>58</v>
      </c>
      <c r="H580" s="547" t="s">
        <v>3</v>
      </c>
      <c r="I580" s="547" t="s">
        <v>44</v>
      </c>
      <c r="J580" s="547" t="s">
        <v>84</v>
      </c>
      <c r="K580" s="547">
        <v>194.5</v>
      </c>
      <c r="L580" s="727" t="s">
        <v>54</v>
      </c>
      <c r="M580" s="697">
        <v>1</v>
      </c>
      <c r="N580" s="727">
        <v>0</v>
      </c>
      <c r="O580" s="697">
        <v>194.5</v>
      </c>
      <c r="P580" s="727">
        <v>0</v>
      </c>
      <c r="Q580" s="750">
        <f t="shared" si="81"/>
        <v>130704</v>
      </c>
      <c r="R580" s="608">
        <f t="shared" si="82"/>
        <v>0</v>
      </c>
      <c r="S580" s="751">
        <f t="shared" si="83"/>
        <v>-130704</v>
      </c>
      <c r="T580" s="750">
        <v>55.7</v>
      </c>
      <c r="U580" s="608">
        <f t="shared" si="84"/>
        <v>-37430.400000000001</v>
      </c>
      <c r="V580" s="751">
        <f t="shared" si="85"/>
        <v>-93273.600000000006</v>
      </c>
      <c r="W580" s="752">
        <v>55.7</v>
      </c>
      <c r="X580" s="609">
        <f t="shared" si="86"/>
        <v>-37430.400000000001</v>
      </c>
      <c r="Y580" s="703">
        <f t="shared" si="87"/>
        <v>-93273.600000000006</v>
      </c>
      <c r="Z580" s="752">
        <v>55.7</v>
      </c>
      <c r="AA580" s="609">
        <f t="shared" si="88"/>
        <v>-37430.400000000001</v>
      </c>
      <c r="AB580" s="753">
        <f t="shared" si="89"/>
        <v>-93273.600000000006</v>
      </c>
      <c r="AC580" s="714"/>
    </row>
    <row r="581" spans="1:29" ht="15" customHeight="1" x14ac:dyDescent="0.25">
      <c r="A581" s="713"/>
      <c r="B581" s="730" t="s">
        <v>807</v>
      </c>
      <c r="C581" s="546" t="s">
        <v>40</v>
      </c>
      <c r="D581" s="546" t="s">
        <v>410</v>
      </c>
      <c r="E581" s="682">
        <v>44743</v>
      </c>
      <c r="F581" s="546">
        <v>744</v>
      </c>
      <c r="G581" s="546" t="s">
        <v>59</v>
      </c>
      <c r="H581" s="546" t="s">
        <v>3</v>
      </c>
      <c r="I581" s="546" t="s">
        <v>44</v>
      </c>
      <c r="J581" s="546" t="s">
        <v>85</v>
      </c>
      <c r="K581" s="546">
        <v>267</v>
      </c>
      <c r="L581" s="726" t="s">
        <v>54</v>
      </c>
      <c r="M581" s="696">
        <v>0</v>
      </c>
      <c r="N581" s="726">
        <v>1</v>
      </c>
      <c r="O581" s="696">
        <v>0</v>
      </c>
      <c r="P581" s="726">
        <v>267</v>
      </c>
      <c r="Q581" s="746">
        <f t="shared" si="81"/>
        <v>0</v>
      </c>
      <c r="R581" s="606">
        <f t="shared" si="82"/>
        <v>198648</v>
      </c>
      <c r="S581" s="747">
        <f t="shared" si="83"/>
        <v>198648</v>
      </c>
      <c r="T581" s="746">
        <v>66.319999999999993</v>
      </c>
      <c r="U581" s="606">
        <f t="shared" si="84"/>
        <v>49342.079999999994</v>
      </c>
      <c r="V581" s="747">
        <f t="shared" si="85"/>
        <v>149305.92000000001</v>
      </c>
      <c r="W581" s="748">
        <v>66.319999999999993</v>
      </c>
      <c r="X581" s="607">
        <f t="shared" si="86"/>
        <v>49342.079999999994</v>
      </c>
      <c r="Y581" s="702">
        <f t="shared" si="87"/>
        <v>149305.92000000001</v>
      </c>
      <c r="Z581" s="748">
        <v>66.319999999999993</v>
      </c>
      <c r="AA581" s="607">
        <f t="shared" si="88"/>
        <v>49342.079999999994</v>
      </c>
      <c r="AB581" s="749">
        <f t="shared" si="89"/>
        <v>149305.92000000001</v>
      </c>
      <c r="AC581" s="714"/>
    </row>
    <row r="582" spans="1:29" ht="15" customHeight="1" x14ac:dyDescent="0.25">
      <c r="A582" s="713"/>
      <c r="B582" s="714" t="s">
        <v>807</v>
      </c>
      <c r="C582" s="676" t="s">
        <v>40</v>
      </c>
      <c r="D582" s="676" t="s">
        <v>410</v>
      </c>
      <c r="E582" s="680">
        <v>44774</v>
      </c>
      <c r="F582" s="676">
        <v>744</v>
      </c>
      <c r="G582" s="676" t="s">
        <v>59</v>
      </c>
      <c r="H582" s="676" t="s">
        <v>3</v>
      </c>
      <c r="I582" s="676" t="s">
        <v>44</v>
      </c>
      <c r="J582" s="676" t="s">
        <v>85</v>
      </c>
      <c r="K582" s="676">
        <v>267</v>
      </c>
      <c r="L582" s="690" t="s">
        <v>54</v>
      </c>
      <c r="M582" s="691">
        <v>0</v>
      </c>
      <c r="N582" s="690">
        <v>1</v>
      </c>
      <c r="O582" s="691">
        <v>0</v>
      </c>
      <c r="P582" s="690">
        <v>267</v>
      </c>
      <c r="Q582" s="738">
        <f t="shared" si="81"/>
        <v>0</v>
      </c>
      <c r="R582" s="677">
        <f t="shared" si="82"/>
        <v>198648</v>
      </c>
      <c r="S582" s="739">
        <f t="shared" si="83"/>
        <v>198648</v>
      </c>
      <c r="T582" s="738">
        <v>76.900000000000006</v>
      </c>
      <c r="U582" s="677">
        <f t="shared" si="84"/>
        <v>57213.600000000006</v>
      </c>
      <c r="V582" s="739">
        <f t="shared" si="85"/>
        <v>141434.4</v>
      </c>
      <c r="W582" s="740">
        <v>76.900000000000006</v>
      </c>
      <c r="X582" s="678">
        <f t="shared" si="86"/>
        <v>57213.600000000006</v>
      </c>
      <c r="Y582" s="700">
        <f t="shared" si="87"/>
        <v>141434.4</v>
      </c>
      <c r="Z582" s="740">
        <v>76.900000000000006</v>
      </c>
      <c r="AA582" s="678">
        <f t="shared" si="88"/>
        <v>57213.600000000006</v>
      </c>
      <c r="AB582" s="741">
        <f t="shared" si="89"/>
        <v>141434.4</v>
      </c>
      <c r="AC582" s="714"/>
    </row>
    <row r="583" spans="1:29" ht="15" customHeight="1" x14ac:dyDescent="0.25">
      <c r="A583" s="713"/>
      <c r="B583" s="714" t="s">
        <v>807</v>
      </c>
      <c r="C583" s="676" t="s">
        <v>40</v>
      </c>
      <c r="D583" s="676" t="s">
        <v>410</v>
      </c>
      <c r="E583" s="680">
        <v>44805</v>
      </c>
      <c r="F583" s="676">
        <v>720</v>
      </c>
      <c r="G583" s="676" t="s">
        <v>59</v>
      </c>
      <c r="H583" s="676" t="s">
        <v>3</v>
      </c>
      <c r="I583" s="676" t="s">
        <v>44</v>
      </c>
      <c r="J583" s="676" t="s">
        <v>85</v>
      </c>
      <c r="K583" s="676">
        <v>267</v>
      </c>
      <c r="L583" s="690" t="s">
        <v>54</v>
      </c>
      <c r="M583" s="691">
        <v>0</v>
      </c>
      <c r="N583" s="690">
        <v>1</v>
      </c>
      <c r="O583" s="691">
        <v>0</v>
      </c>
      <c r="P583" s="690">
        <v>267</v>
      </c>
      <c r="Q583" s="738">
        <f t="shared" si="81"/>
        <v>0</v>
      </c>
      <c r="R583" s="677">
        <f t="shared" si="82"/>
        <v>192240</v>
      </c>
      <c r="S583" s="739">
        <f t="shared" si="83"/>
        <v>192240</v>
      </c>
      <c r="T583" s="738">
        <v>56.08</v>
      </c>
      <c r="U583" s="677">
        <f t="shared" si="84"/>
        <v>40377.599999999999</v>
      </c>
      <c r="V583" s="739">
        <f t="shared" si="85"/>
        <v>151862.39999999999</v>
      </c>
      <c r="W583" s="740">
        <v>56.08</v>
      </c>
      <c r="X583" s="678">
        <f t="shared" si="86"/>
        <v>40377.599999999999</v>
      </c>
      <c r="Y583" s="700">
        <f t="shared" si="87"/>
        <v>151862.39999999999</v>
      </c>
      <c r="Z583" s="740">
        <v>56.08</v>
      </c>
      <c r="AA583" s="678">
        <f t="shared" si="88"/>
        <v>40377.599999999999</v>
      </c>
      <c r="AB583" s="741">
        <f t="shared" si="89"/>
        <v>151862.39999999999</v>
      </c>
      <c r="AC583" s="714"/>
    </row>
    <row r="584" spans="1:29" ht="15" customHeight="1" x14ac:dyDescent="0.25">
      <c r="A584" s="713"/>
      <c r="B584" s="714" t="s">
        <v>807</v>
      </c>
      <c r="C584" s="676" t="s">
        <v>40</v>
      </c>
      <c r="D584" s="676" t="s">
        <v>410</v>
      </c>
      <c r="E584" s="680">
        <v>44835</v>
      </c>
      <c r="F584" s="676">
        <v>744</v>
      </c>
      <c r="G584" s="676" t="s">
        <v>59</v>
      </c>
      <c r="H584" s="676" t="s">
        <v>3</v>
      </c>
      <c r="I584" s="676" t="s">
        <v>44</v>
      </c>
      <c r="J584" s="676" t="s">
        <v>85</v>
      </c>
      <c r="K584" s="676">
        <v>267</v>
      </c>
      <c r="L584" s="690" t="s">
        <v>54</v>
      </c>
      <c r="M584" s="691">
        <v>0</v>
      </c>
      <c r="N584" s="690">
        <v>1</v>
      </c>
      <c r="O584" s="691">
        <v>0</v>
      </c>
      <c r="P584" s="690">
        <v>267</v>
      </c>
      <c r="Q584" s="738">
        <f t="shared" si="81"/>
        <v>0</v>
      </c>
      <c r="R584" s="677">
        <f t="shared" si="82"/>
        <v>198648</v>
      </c>
      <c r="S584" s="739">
        <f t="shared" si="83"/>
        <v>198648</v>
      </c>
      <c r="T584" s="738">
        <v>55.7</v>
      </c>
      <c r="U584" s="677">
        <f t="shared" si="84"/>
        <v>41440.800000000003</v>
      </c>
      <c r="V584" s="739">
        <f t="shared" si="85"/>
        <v>157207.20000000001</v>
      </c>
      <c r="W584" s="740">
        <v>55.7</v>
      </c>
      <c r="X584" s="678">
        <f t="shared" si="86"/>
        <v>41440.800000000003</v>
      </c>
      <c r="Y584" s="700">
        <f t="shared" si="87"/>
        <v>157207.20000000001</v>
      </c>
      <c r="Z584" s="740">
        <v>55.7</v>
      </c>
      <c r="AA584" s="678">
        <f t="shared" si="88"/>
        <v>41440.800000000003</v>
      </c>
      <c r="AB584" s="741">
        <f t="shared" si="89"/>
        <v>157207.20000000001</v>
      </c>
      <c r="AC584" s="714"/>
    </row>
    <row r="585" spans="1:29" ht="15" customHeight="1" x14ac:dyDescent="0.25">
      <c r="A585" s="713"/>
      <c r="B585" s="714" t="s">
        <v>807</v>
      </c>
      <c r="C585" s="676" t="s">
        <v>40</v>
      </c>
      <c r="D585" s="676" t="s">
        <v>410</v>
      </c>
      <c r="E585" s="680">
        <v>44866</v>
      </c>
      <c r="F585" s="676">
        <v>720</v>
      </c>
      <c r="G585" s="676" t="s">
        <v>59</v>
      </c>
      <c r="H585" s="676" t="s">
        <v>3</v>
      </c>
      <c r="I585" s="676" t="s">
        <v>44</v>
      </c>
      <c r="J585" s="676" t="s">
        <v>85</v>
      </c>
      <c r="K585" s="676">
        <v>267</v>
      </c>
      <c r="L585" s="690" t="s">
        <v>54</v>
      </c>
      <c r="M585" s="691">
        <v>0</v>
      </c>
      <c r="N585" s="690">
        <v>1</v>
      </c>
      <c r="O585" s="691">
        <v>0</v>
      </c>
      <c r="P585" s="690">
        <v>267</v>
      </c>
      <c r="Q585" s="738">
        <f t="shared" si="81"/>
        <v>0</v>
      </c>
      <c r="R585" s="677">
        <f t="shared" si="82"/>
        <v>192240</v>
      </c>
      <c r="S585" s="739">
        <f t="shared" si="83"/>
        <v>192240</v>
      </c>
      <c r="T585" s="738">
        <v>55.7</v>
      </c>
      <c r="U585" s="677">
        <f t="shared" si="84"/>
        <v>40104</v>
      </c>
      <c r="V585" s="739">
        <f t="shared" si="85"/>
        <v>152136</v>
      </c>
      <c r="W585" s="740">
        <v>55.7</v>
      </c>
      <c r="X585" s="678">
        <f t="shared" si="86"/>
        <v>40104</v>
      </c>
      <c r="Y585" s="700">
        <f t="shared" si="87"/>
        <v>152136</v>
      </c>
      <c r="Z585" s="740">
        <v>55.7</v>
      </c>
      <c r="AA585" s="678">
        <f t="shared" si="88"/>
        <v>40104</v>
      </c>
      <c r="AB585" s="741">
        <f t="shared" si="89"/>
        <v>152136</v>
      </c>
      <c r="AC585" s="714"/>
    </row>
    <row r="586" spans="1:29" ht="15" customHeight="1" x14ac:dyDescent="0.25">
      <c r="A586" s="713"/>
      <c r="B586" s="729" t="s">
        <v>807</v>
      </c>
      <c r="C586" s="545" t="s">
        <v>40</v>
      </c>
      <c r="D586" s="545" t="s">
        <v>410</v>
      </c>
      <c r="E586" s="681">
        <v>44896</v>
      </c>
      <c r="F586" s="545">
        <v>744</v>
      </c>
      <c r="G586" s="545" t="s">
        <v>59</v>
      </c>
      <c r="H586" s="545" t="s">
        <v>3</v>
      </c>
      <c r="I586" s="545" t="s">
        <v>44</v>
      </c>
      <c r="J586" s="545" t="s">
        <v>85</v>
      </c>
      <c r="K586" s="545">
        <v>267</v>
      </c>
      <c r="L586" s="725" t="s">
        <v>54</v>
      </c>
      <c r="M586" s="695">
        <v>0</v>
      </c>
      <c r="N586" s="725">
        <v>1</v>
      </c>
      <c r="O586" s="695">
        <v>0</v>
      </c>
      <c r="P586" s="725">
        <v>267</v>
      </c>
      <c r="Q586" s="742">
        <f t="shared" si="81"/>
        <v>0</v>
      </c>
      <c r="R586" s="603">
        <f t="shared" si="82"/>
        <v>198648</v>
      </c>
      <c r="S586" s="743">
        <f t="shared" si="83"/>
        <v>198648</v>
      </c>
      <c r="T586" s="742">
        <v>55.7</v>
      </c>
      <c r="U586" s="603">
        <f t="shared" si="84"/>
        <v>41440.800000000003</v>
      </c>
      <c r="V586" s="743">
        <f t="shared" si="85"/>
        <v>157207.20000000001</v>
      </c>
      <c r="W586" s="744">
        <v>55.7</v>
      </c>
      <c r="X586" s="604">
        <f t="shared" si="86"/>
        <v>41440.800000000003</v>
      </c>
      <c r="Y586" s="701">
        <f t="shared" si="87"/>
        <v>157207.20000000001</v>
      </c>
      <c r="Z586" s="744">
        <v>78.400653594793155</v>
      </c>
      <c r="AA586" s="604">
        <f t="shared" si="88"/>
        <v>58330.086274526111</v>
      </c>
      <c r="AB586" s="745">
        <f t="shared" si="89"/>
        <v>140317.91372547389</v>
      </c>
      <c r="AC586" s="714"/>
    </row>
    <row r="587" spans="1:29" ht="15" customHeight="1" x14ac:dyDescent="0.25">
      <c r="A587" s="713"/>
      <c r="B587" s="730" t="s">
        <v>809</v>
      </c>
      <c r="C587" s="546" t="s">
        <v>40</v>
      </c>
      <c r="D587" s="546" t="s">
        <v>346</v>
      </c>
      <c r="E587" s="682">
        <v>44562</v>
      </c>
      <c r="F587" s="546">
        <v>744</v>
      </c>
      <c r="G587" s="546" t="s">
        <v>58</v>
      </c>
      <c r="H587" s="546" t="s">
        <v>3</v>
      </c>
      <c r="I587" s="546" t="s">
        <v>44</v>
      </c>
      <c r="J587" s="546" t="s">
        <v>84</v>
      </c>
      <c r="K587" s="546">
        <v>183</v>
      </c>
      <c r="L587" s="726" t="s">
        <v>54</v>
      </c>
      <c r="M587" s="696">
        <v>6</v>
      </c>
      <c r="N587" s="726">
        <v>0</v>
      </c>
      <c r="O587" s="696">
        <v>183</v>
      </c>
      <c r="P587" s="726">
        <v>0</v>
      </c>
      <c r="Q587" s="746">
        <f t="shared" si="81"/>
        <v>816912</v>
      </c>
      <c r="R587" s="606">
        <f t="shared" si="82"/>
        <v>0</v>
      </c>
      <c r="S587" s="747">
        <f t="shared" si="83"/>
        <v>-816912</v>
      </c>
      <c r="T587" s="746">
        <v>62.91</v>
      </c>
      <c r="U587" s="606">
        <f t="shared" si="84"/>
        <v>-280830.24</v>
      </c>
      <c r="V587" s="747">
        <f t="shared" si="85"/>
        <v>-536081.76</v>
      </c>
      <c r="W587" s="748">
        <v>62.91</v>
      </c>
      <c r="X587" s="607">
        <f t="shared" si="86"/>
        <v>-280830.24</v>
      </c>
      <c r="Y587" s="702">
        <f t="shared" si="87"/>
        <v>-536081.76</v>
      </c>
      <c r="Z587" s="748">
        <v>62.91</v>
      </c>
      <c r="AA587" s="607">
        <f t="shared" si="88"/>
        <v>-280830.24</v>
      </c>
      <c r="AB587" s="749">
        <f t="shared" si="89"/>
        <v>-536081.76</v>
      </c>
      <c r="AC587" s="714"/>
    </row>
    <row r="588" spans="1:29" ht="15" customHeight="1" x14ac:dyDescent="0.25">
      <c r="A588" s="713"/>
      <c r="B588" s="714" t="s">
        <v>809</v>
      </c>
      <c r="C588" s="676" t="s">
        <v>40</v>
      </c>
      <c r="D588" s="676" t="s">
        <v>346</v>
      </c>
      <c r="E588" s="680">
        <v>44593</v>
      </c>
      <c r="F588" s="676">
        <v>672</v>
      </c>
      <c r="G588" s="676" t="s">
        <v>58</v>
      </c>
      <c r="H588" s="676" t="s">
        <v>3</v>
      </c>
      <c r="I588" s="676" t="s">
        <v>44</v>
      </c>
      <c r="J588" s="676" t="s">
        <v>84</v>
      </c>
      <c r="K588" s="676">
        <v>183</v>
      </c>
      <c r="L588" s="690" t="s">
        <v>54</v>
      </c>
      <c r="M588" s="691">
        <v>6</v>
      </c>
      <c r="N588" s="690">
        <v>0</v>
      </c>
      <c r="O588" s="691">
        <v>183</v>
      </c>
      <c r="P588" s="690">
        <v>0</v>
      </c>
      <c r="Q588" s="738">
        <f t="shared" si="81"/>
        <v>737856</v>
      </c>
      <c r="R588" s="677">
        <f t="shared" si="82"/>
        <v>0</v>
      </c>
      <c r="S588" s="739">
        <f t="shared" si="83"/>
        <v>-737856</v>
      </c>
      <c r="T588" s="738">
        <v>55.7</v>
      </c>
      <c r="U588" s="677">
        <f t="shared" si="84"/>
        <v>-224582.40000000002</v>
      </c>
      <c r="V588" s="739">
        <f t="shared" si="85"/>
        <v>-513273.59999999998</v>
      </c>
      <c r="W588" s="740">
        <v>55.7</v>
      </c>
      <c r="X588" s="678">
        <f t="shared" si="86"/>
        <v>-224582.40000000002</v>
      </c>
      <c r="Y588" s="700">
        <f t="shared" si="87"/>
        <v>-513273.59999999998</v>
      </c>
      <c r="Z588" s="740">
        <v>55.7</v>
      </c>
      <c r="AA588" s="678">
        <f t="shared" si="88"/>
        <v>-224582.40000000002</v>
      </c>
      <c r="AB588" s="741">
        <f t="shared" si="89"/>
        <v>-513273.59999999998</v>
      </c>
      <c r="AC588" s="714"/>
    </row>
    <row r="589" spans="1:29" ht="15" customHeight="1" x14ac:dyDescent="0.25">
      <c r="A589" s="713"/>
      <c r="B589" s="729" t="s">
        <v>809</v>
      </c>
      <c r="C589" s="545" t="s">
        <v>40</v>
      </c>
      <c r="D589" s="545" t="s">
        <v>346</v>
      </c>
      <c r="E589" s="681">
        <v>44621</v>
      </c>
      <c r="F589" s="545">
        <v>744</v>
      </c>
      <c r="G589" s="545" t="s">
        <v>58</v>
      </c>
      <c r="H589" s="545" t="s">
        <v>3</v>
      </c>
      <c r="I589" s="545" t="s">
        <v>44</v>
      </c>
      <c r="J589" s="545" t="s">
        <v>84</v>
      </c>
      <c r="K589" s="545">
        <v>183</v>
      </c>
      <c r="L589" s="725" t="s">
        <v>54</v>
      </c>
      <c r="M589" s="695">
        <v>6</v>
      </c>
      <c r="N589" s="725">
        <v>0</v>
      </c>
      <c r="O589" s="695">
        <v>183</v>
      </c>
      <c r="P589" s="725">
        <v>0</v>
      </c>
      <c r="Q589" s="742">
        <f t="shared" si="81"/>
        <v>816912</v>
      </c>
      <c r="R589" s="603">
        <f t="shared" si="82"/>
        <v>0</v>
      </c>
      <c r="S589" s="743">
        <f t="shared" si="83"/>
        <v>-816912</v>
      </c>
      <c r="T589" s="742">
        <v>55.7</v>
      </c>
      <c r="U589" s="603">
        <f t="shared" si="84"/>
        <v>-248644.80000000002</v>
      </c>
      <c r="V589" s="743">
        <f t="shared" si="85"/>
        <v>-568267.19999999995</v>
      </c>
      <c r="W589" s="744">
        <v>55.7</v>
      </c>
      <c r="X589" s="604">
        <f t="shared" si="86"/>
        <v>-248644.80000000002</v>
      </c>
      <c r="Y589" s="701">
        <f t="shared" si="87"/>
        <v>-568267.19999999995</v>
      </c>
      <c r="Z589" s="744">
        <v>55.7</v>
      </c>
      <c r="AA589" s="604">
        <f t="shared" si="88"/>
        <v>-248644.80000000002</v>
      </c>
      <c r="AB589" s="745">
        <f t="shared" si="89"/>
        <v>-568267.19999999995</v>
      </c>
      <c r="AC589" s="714"/>
    </row>
    <row r="590" spans="1:29" ht="15" customHeight="1" x14ac:dyDescent="0.25">
      <c r="A590" s="713"/>
      <c r="B590" s="730" t="s">
        <v>810</v>
      </c>
      <c r="C590" s="546" t="s">
        <v>40</v>
      </c>
      <c r="D590" s="546" t="s">
        <v>346</v>
      </c>
      <c r="E590" s="682">
        <v>44562</v>
      </c>
      <c r="F590" s="546">
        <v>744</v>
      </c>
      <c r="G590" s="546" t="s">
        <v>59</v>
      </c>
      <c r="H590" s="546" t="s">
        <v>3</v>
      </c>
      <c r="I590" s="546" t="s">
        <v>44</v>
      </c>
      <c r="J590" s="546" t="s">
        <v>85</v>
      </c>
      <c r="K590" s="546">
        <v>183</v>
      </c>
      <c r="L590" s="726" t="s">
        <v>54</v>
      </c>
      <c r="M590" s="696">
        <v>0</v>
      </c>
      <c r="N590" s="726">
        <v>6</v>
      </c>
      <c r="O590" s="696">
        <v>0</v>
      </c>
      <c r="P590" s="726">
        <v>183</v>
      </c>
      <c r="Q590" s="746">
        <f t="shared" si="81"/>
        <v>0</v>
      </c>
      <c r="R590" s="606">
        <f t="shared" si="82"/>
        <v>816912</v>
      </c>
      <c r="S590" s="747">
        <f t="shared" si="83"/>
        <v>816912</v>
      </c>
      <c r="T590" s="746">
        <v>62.91</v>
      </c>
      <c r="U590" s="606">
        <f t="shared" si="84"/>
        <v>280830.24</v>
      </c>
      <c r="V590" s="747">
        <f t="shared" si="85"/>
        <v>536081.76</v>
      </c>
      <c r="W590" s="748">
        <v>62.91</v>
      </c>
      <c r="X590" s="607">
        <f t="shared" si="86"/>
        <v>280830.24</v>
      </c>
      <c r="Y590" s="702">
        <f t="shared" si="87"/>
        <v>536081.76</v>
      </c>
      <c r="Z590" s="748">
        <v>62.91</v>
      </c>
      <c r="AA590" s="607">
        <f t="shared" si="88"/>
        <v>280830.24</v>
      </c>
      <c r="AB590" s="749">
        <f t="shared" si="89"/>
        <v>536081.76</v>
      </c>
      <c r="AC590" s="714"/>
    </row>
    <row r="591" spans="1:29" ht="15" customHeight="1" x14ac:dyDescent="0.25">
      <c r="A591" s="713"/>
      <c r="B591" s="714" t="s">
        <v>810</v>
      </c>
      <c r="C591" s="676" t="s">
        <v>40</v>
      </c>
      <c r="D591" s="676" t="s">
        <v>346</v>
      </c>
      <c r="E591" s="680">
        <v>44593</v>
      </c>
      <c r="F591" s="676">
        <v>672</v>
      </c>
      <c r="G591" s="676" t="s">
        <v>59</v>
      </c>
      <c r="H591" s="676" t="s">
        <v>3</v>
      </c>
      <c r="I591" s="676" t="s">
        <v>44</v>
      </c>
      <c r="J591" s="676" t="s">
        <v>85</v>
      </c>
      <c r="K591" s="676">
        <v>183</v>
      </c>
      <c r="L591" s="690" t="s">
        <v>54</v>
      </c>
      <c r="M591" s="691">
        <v>0</v>
      </c>
      <c r="N591" s="690">
        <v>6</v>
      </c>
      <c r="O591" s="691">
        <v>0</v>
      </c>
      <c r="P591" s="690">
        <v>183</v>
      </c>
      <c r="Q591" s="738">
        <f t="shared" si="81"/>
        <v>0</v>
      </c>
      <c r="R591" s="677">
        <f t="shared" si="82"/>
        <v>737856</v>
      </c>
      <c r="S591" s="739">
        <f t="shared" si="83"/>
        <v>737856</v>
      </c>
      <c r="T591" s="738">
        <v>55.7</v>
      </c>
      <c r="U591" s="677">
        <f t="shared" si="84"/>
        <v>224582.40000000002</v>
      </c>
      <c r="V591" s="739">
        <f t="shared" si="85"/>
        <v>513273.59999999998</v>
      </c>
      <c r="W591" s="740">
        <v>55.7</v>
      </c>
      <c r="X591" s="678">
        <f t="shared" si="86"/>
        <v>224582.40000000002</v>
      </c>
      <c r="Y591" s="700">
        <f t="shared" si="87"/>
        <v>513273.59999999998</v>
      </c>
      <c r="Z591" s="740">
        <v>55.7</v>
      </c>
      <c r="AA591" s="678">
        <f t="shared" si="88"/>
        <v>224582.40000000002</v>
      </c>
      <c r="AB591" s="741">
        <f t="shared" si="89"/>
        <v>513273.59999999998</v>
      </c>
      <c r="AC591" s="714"/>
    </row>
    <row r="592" spans="1:29" ht="15" customHeight="1" x14ac:dyDescent="0.25">
      <c r="A592" s="713"/>
      <c r="B592" s="729" t="s">
        <v>810</v>
      </c>
      <c r="C592" s="545" t="s">
        <v>40</v>
      </c>
      <c r="D592" s="545" t="s">
        <v>346</v>
      </c>
      <c r="E592" s="681">
        <v>44621</v>
      </c>
      <c r="F592" s="545">
        <v>744</v>
      </c>
      <c r="G592" s="545" t="s">
        <v>59</v>
      </c>
      <c r="H592" s="545" t="s">
        <v>3</v>
      </c>
      <c r="I592" s="545" t="s">
        <v>44</v>
      </c>
      <c r="J592" s="545" t="s">
        <v>85</v>
      </c>
      <c r="K592" s="545">
        <v>183</v>
      </c>
      <c r="L592" s="725" t="s">
        <v>54</v>
      </c>
      <c r="M592" s="695">
        <v>0</v>
      </c>
      <c r="N592" s="725">
        <v>6</v>
      </c>
      <c r="O592" s="695">
        <v>0</v>
      </c>
      <c r="P592" s="725">
        <v>183</v>
      </c>
      <c r="Q592" s="742">
        <f t="shared" si="81"/>
        <v>0</v>
      </c>
      <c r="R592" s="603">
        <f t="shared" si="82"/>
        <v>816912</v>
      </c>
      <c r="S592" s="743">
        <f t="shared" si="83"/>
        <v>816912</v>
      </c>
      <c r="T592" s="742">
        <v>55.7</v>
      </c>
      <c r="U592" s="603">
        <f t="shared" si="84"/>
        <v>248644.80000000002</v>
      </c>
      <c r="V592" s="743">
        <f t="shared" si="85"/>
        <v>568267.19999999995</v>
      </c>
      <c r="W592" s="744">
        <v>55.7</v>
      </c>
      <c r="X592" s="604">
        <f t="shared" si="86"/>
        <v>248644.80000000002</v>
      </c>
      <c r="Y592" s="701">
        <f t="shared" si="87"/>
        <v>568267.19999999995</v>
      </c>
      <c r="Z592" s="744">
        <v>55.7</v>
      </c>
      <c r="AA592" s="604">
        <f t="shared" si="88"/>
        <v>248644.80000000002</v>
      </c>
      <c r="AB592" s="745">
        <f t="shared" si="89"/>
        <v>568267.19999999995</v>
      </c>
      <c r="AC592" s="714"/>
    </row>
    <row r="593" spans="1:29" ht="15" customHeight="1" x14ac:dyDescent="0.25">
      <c r="A593" s="713"/>
      <c r="B593" s="730" t="s">
        <v>811</v>
      </c>
      <c r="C593" s="546" t="s">
        <v>40</v>
      </c>
      <c r="D593" s="546" t="s">
        <v>620</v>
      </c>
      <c r="E593" s="682">
        <v>44562</v>
      </c>
      <c r="F593" s="546">
        <v>744</v>
      </c>
      <c r="G593" s="546" t="s">
        <v>59</v>
      </c>
      <c r="H593" s="546" t="s">
        <v>3</v>
      </c>
      <c r="I593" s="546" t="s">
        <v>44</v>
      </c>
      <c r="J593" s="546" t="s">
        <v>85</v>
      </c>
      <c r="K593" s="546">
        <v>234</v>
      </c>
      <c r="L593" s="726" t="s">
        <v>54</v>
      </c>
      <c r="M593" s="696">
        <v>0</v>
      </c>
      <c r="N593" s="726">
        <v>2.25</v>
      </c>
      <c r="O593" s="696">
        <v>0</v>
      </c>
      <c r="P593" s="726">
        <v>234</v>
      </c>
      <c r="Q593" s="746">
        <f t="shared" si="81"/>
        <v>0</v>
      </c>
      <c r="R593" s="606">
        <f t="shared" si="82"/>
        <v>391716</v>
      </c>
      <c r="S593" s="747">
        <f t="shared" si="83"/>
        <v>391716</v>
      </c>
      <c r="T593" s="746">
        <v>62.91</v>
      </c>
      <c r="U593" s="606">
        <f t="shared" si="84"/>
        <v>105311.34</v>
      </c>
      <c r="V593" s="747">
        <f t="shared" si="85"/>
        <v>286404.66000000003</v>
      </c>
      <c r="W593" s="748">
        <v>62.91</v>
      </c>
      <c r="X593" s="607">
        <f t="shared" si="86"/>
        <v>105311.34</v>
      </c>
      <c r="Y593" s="702">
        <f t="shared" si="87"/>
        <v>286404.66000000003</v>
      </c>
      <c r="Z593" s="748">
        <v>62.91</v>
      </c>
      <c r="AA593" s="607">
        <f t="shared" si="88"/>
        <v>105311.34</v>
      </c>
      <c r="AB593" s="749">
        <f t="shared" si="89"/>
        <v>286404.66000000003</v>
      </c>
      <c r="AC593" s="714"/>
    </row>
    <row r="594" spans="1:29" ht="15" customHeight="1" x14ac:dyDescent="0.25">
      <c r="A594" s="713"/>
      <c r="B594" s="714" t="s">
        <v>811</v>
      </c>
      <c r="C594" s="676" t="s">
        <v>40</v>
      </c>
      <c r="D594" s="676" t="s">
        <v>620</v>
      </c>
      <c r="E594" s="680">
        <v>44593</v>
      </c>
      <c r="F594" s="676">
        <v>672</v>
      </c>
      <c r="G594" s="676" t="s">
        <v>59</v>
      </c>
      <c r="H594" s="676" t="s">
        <v>3</v>
      </c>
      <c r="I594" s="676" t="s">
        <v>44</v>
      </c>
      <c r="J594" s="676" t="s">
        <v>85</v>
      </c>
      <c r="K594" s="676">
        <v>234</v>
      </c>
      <c r="L594" s="690" t="s">
        <v>54</v>
      </c>
      <c r="M594" s="691">
        <v>0</v>
      </c>
      <c r="N594" s="690">
        <v>2.25</v>
      </c>
      <c r="O594" s="691">
        <v>0</v>
      </c>
      <c r="P594" s="690">
        <v>234</v>
      </c>
      <c r="Q594" s="738">
        <f t="shared" si="81"/>
        <v>0</v>
      </c>
      <c r="R594" s="677">
        <f t="shared" si="82"/>
        <v>353808</v>
      </c>
      <c r="S594" s="739">
        <f t="shared" si="83"/>
        <v>353808</v>
      </c>
      <c r="T594" s="738">
        <v>55.7</v>
      </c>
      <c r="U594" s="677">
        <f t="shared" si="84"/>
        <v>84218.400000000009</v>
      </c>
      <c r="V594" s="739">
        <f t="shared" si="85"/>
        <v>269589.59999999998</v>
      </c>
      <c r="W594" s="740">
        <v>55.7</v>
      </c>
      <c r="X594" s="678">
        <f t="shared" si="86"/>
        <v>84218.400000000009</v>
      </c>
      <c r="Y594" s="700">
        <f t="shared" si="87"/>
        <v>269589.59999999998</v>
      </c>
      <c r="Z594" s="740">
        <v>55.7</v>
      </c>
      <c r="AA594" s="678">
        <f t="shared" si="88"/>
        <v>84218.400000000009</v>
      </c>
      <c r="AB594" s="741">
        <f t="shared" si="89"/>
        <v>269589.59999999998</v>
      </c>
      <c r="AC594" s="714"/>
    </row>
    <row r="595" spans="1:29" ht="15" customHeight="1" x14ac:dyDescent="0.25">
      <c r="A595" s="713"/>
      <c r="B595" s="714" t="s">
        <v>811</v>
      </c>
      <c r="C595" s="676" t="s">
        <v>40</v>
      </c>
      <c r="D595" s="676" t="s">
        <v>620</v>
      </c>
      <c r="E595" s="680">
        <v>44621</v>
      </c>
      <c r="F595" s="676">
        <v>744</v>
      </c>
      <c r="G595" s="676" t="s">
        <v>59</v>
      </c>
      <c r="H595" s="676" t="s">
        <v>3</v>
      </c>
      <c r="I595" s="676" t="s">
        <v>44</v>
      </c>
      <c r="J595" s="676" t="s">
        <v>85</v>
      </c>
      <c r="K595" s="676">
        <v>234</v>
      </c>
      <c r="L595" s="690" t="s">
        <v>54</v>
      </c>
      <c r="M595" s="691">
        <v>0</v>
      </c>
      <c r="N595" s="690">
        <v>2.25</v>
      </c>
      <c r="O595" s="691">
        <v>0</v>
      </c>
      <c r="P595" s="690">
        <v>234</v>
      </c>
      <c r="Q595" s="738">
        <f t="shared" si="81"/>
        <v>0</v>
      </c>
      <c r="R595" s="677">
        <f t="shared" si="82"/>
        <v>391716</v>
      </c>
      <c r="S595" s="739">
        <f t="shared" si="83"/>
        <v>391716</v>
      </c>
      <c r="T595" s="738">
        <v>55.7</v>
      </c>
      <c r="U595" s="677">
        <f t="shared" si="84"/>
        <v>93241.8</v>
      </c>
      <c r="V595" s="739">
        <f t="shared" si="85"/>
        <v>298474.2</v>
      </c>
      <c r="W595" s="740">
        <v>55.7</v>
      </c>
      <c r="X595" s="678">
        <f t="shared" si="86"/>
        <v>93241.8</v>
      </c>
      <c r="Y595" s="700">
        <f t="shared" si="87"/>
        <v>298474.2</v>
      </c>
      <c r="Z595" s="740">
        <v>55.7</v>
      </c>
      <c r="AA595" s="678">
        <f t="shared" si="88"/>
        <v>93241.8</v>
      </c>
      <c r="AB595" s="741">
        <f t="shared" si="89"/>
        <v>298474.2</v>
      </c>
      <c r="AC595" s="714"/>
    </row>
    <row r="596" spans="1:29" ht="15" customHeight="1" x14ac:dyDescent="0.25">
      <c r="A596" s="713"/>
      <c r="B596" s="714" t="s">
        <v>811</v>
      </c>
      <c r="C596" s="676" t="s">
        <v>40</v>
      </c>
      <c r="D596" s="676" t="s">
        <v>620</v>
      </c>
      <c r="E596" s="680">
        <v>44652</v>
      </c>
      <c r="F596" s="676">
        <v>720</v>
      </c>
      <c r="G596" s="676" t="s">
        <v>59</v>
      </c>
      <c r="H596" s="676" t="s">
        <v>3</v>
      </c>
      <c r="I596" s="676" t="s">
        <v>44</v>
      </c>
      <c r="J596" s="676" t="s">
        <v>85</v>
      </c>
      <c r="K596" s="676">
        <v>234</v>
      </c>
      <c r="L596" s="690" t="s">
        <v>54</v>
      </c>
      <c r="M596" s="691">
        <v>0</v>
      </c>
      <c r="N596" s="690">
        <v>2.25</v>
      </c>
      <c r="O596" s="691">
        <v>0</v>
      </c>
      <c r="P596" s="690">
        <v>234</v>
      </c>
      <c r="Q596" s="738">
        <f t="shared" si="81"/>
        <v>0</v>
      </c>
      <c r="R596" s="677">
        <f t="shared" si="82"/>
        <v>379080</v>
      </c>
      <c r="S596" s="739">
        <f t="shared" si="83"/>
        <v>379080</v>
      </c>
      <c r="T596" s="738">
        <v>55.7</v>
      </c>
      <c r="U596" s="677">
        <f t="shared" si="84"/>
        <v>90234</v>
      </c>
      <c r="V596" s="739">
        <f t="shared" si="85"/>
        <v>288846</v>
      </c>
      <c r="W596" s="740">
        <v>55.7</v>
      </c>
      <c r="X596" s="678">
        <f t="shared" si="86"/>
        <v>90234</v>
      </c>
      <c r="Y596" s="700">
        <f t="shared" si="87"/>
        <v>288846</v>
      </c>
      <c r="Z596" s="740">
        <v>55.7</v>
      </c>
      <c r="AA596" s="678">
        <f t="shared" si="88"/>
        <v>90234</v>
      </c>
      <c r="AB596" s="741">
        <f t="shared" si="89"/>
        <v>288846</v>
      </c>
      <c r="AC596" s="714"/>
    </row>
    <row r="597" spans="1:29" ht="15" customHeight="1" x14ac:dyDescent="0.25">
      <c r="A597" s="713"/>
      <c r="B597" s="714" t="s">
        <v>811</v>
      </c>
      <c r="C597" s="676" t="s">
        <v>40</v>
      </c>
      <c r="D597" s="676" t="s">
        <v>620</v>
      </c>
      <c r="E597" s="680">
        <v>44682</v>
      </c>
      <c r="F597" s="676">
        <v>744</v>
      </c>
      <c r="G597" s="676" t="s">
        <v>59</v>
      </c>
      <c r="H597" s="676" t="s">
        <v>3</v>
      </c>
      <c r="I597" s="676" t="s">
        <v>44</v>
      </c>
      <c r="J597" s="676" t="s">
        <v>85</v>
      </c>
      <c r="K597" s="676">
        <v>234</v>
      </c>
      <c r="L597" s="690" t="s">
        <v>54</v>
      </c>
      <c r="M597" s="691">
        <v>0</v>
      </c>
      <c r="N597" s="690">
        <v>2.25</v>
      </c>
      <c r="O597" s="691">
        <v>0</v>
      </c>
      <c r="P597" s="690">
        <v>234</v>
      </c>
      <c r="Q597" s="738">
        <f t="shared" si="81"/>
        <v>0</v>
      </c>
      <c r="R597" s="677">
        <f t="shared" si="82"/>
        <v>391716</v>
      </c>
      <c r="S597" s="739">
        <f t="shared" si="83"/>
        <v>391716</v>
      </c>
      <c r="T597" s="738">
        <v>55.7</v>
      </c>
      <c r="U597" s="677">
        <f t="shared" si="84"/>
        <v>93241.8</v>
      </c>
      <c r="V597" s="739">
        <f t="shared" si="85"/>
        <v>298474.2</v>
      </c>
      <c r="W597" s="740">
        <v>55.7</v>
      </c>
      <c r="X597" s="678">
        <f t="shared" si="86"/>
        <v>93241.8</v>
      </c>
      <c r="Y597" s="700">
        <f t="shared" si="87"/>
        <v>298474.2</v>
      </c>
      <c r="Z597" s="740">
        <v>55.7</v>
      </c>
      <c r="AA597" s="678">
        <f t="shared" si="88"/>
        <v>93241.8</v>
      </c>
      <c r="AB597" s="741">
        <f t="shared" si="89"/>
        <v>298474.2</v>
      </c>
      <c r="AC597" s="714"/>
    </row>
    <row r="598" spans="1:29" ht="15" customHeight="1" x14ac:dyDescent="0.25">
      <c r="A598" s="713"/>
      <c r="B598" s="714" t="s">
        <v>811</v>
      </c>
      <c r="C598" s="676" t="s">
        <v>40</v>
      </c>
      <c r="D598" s="676" t="s">
        <v>620</v>
      </c>
      <c r="E598" s="680">
        <v>44713</v>
      </c>
      <c r="F598" s="676">
        <v>720</v>
      </c>
      <c r="G598" s="676" t="s">
        <v>59</v>
      </c>
      <c r="H598" s="676" t="s">
        <v>3</v>
      </c>
      <c r="I598" s="676" t="s">
        <v>44</v>
      </c>
      <c r="J598" s="676" t="s">
        <v>85</v>
      </c>
      <c r="K598" s="676">
        <v>234</v>
      </c>
      <c r="L598" s="690" t="s">
        <v>54</v>
      </c>
      <c r="M598" s="691">
        <v>0</v>
      </c>
      <c r="N598" s="690">
        <v>2.25</v>
      </c>
      <c r="O598" s="691">
        <v>0</v>
      </c>
      <c r="P598" s="690">
        <v>234</v>
      </c>
      <c r="Q598" s="738">
        <f t="shared" si="81"/>
        <v>0</v>
      </c>
      <c r="R598" s="677">
        <f t="shared" si="82"/>
        <v>379080</v>
      </c>
      <c r="S598" s="739">
        <f t="shared" si="83"/>
        <v>379080</v>
      </c>
      <c r="T598" s="738">
        <v>55.71</v>
      </c>
      <c r="U598" s="677">
        <f t="shared" si="84"/>
        <v>90250.2</v>
      </c>
      <c r="V598" s="739">
        <f t="shared" si="85"/>
        <v>288829.8</v>
      </c>
      <c r="W598" s="740">
        <v>55.71</v>
      </c>
      <c r="X598" s="678">
        <f t="shared" si="86"/>
        <v>90250.2</v>
      </c>
      <c r="Y598" s="700">
        <f t="shared" si="87"/>
        <v>288829.8</v>
      </c>
      <c r="Z598" s="740">
        <v>55.71</v>
      </c>
      <c r="AA598" s="678">
        <f t="shared" si="88"/>
        <v>90250.2</v>
      </c>
      <c r="AB598" s="741">
        <f t="shared" si="89"/>
        <v>288829.8</v>
      </c>
      <c r="AC598" s="714"/>
    </row>
    <row r="599" spans="1:29" ht="15" customHeight="1" x14ac:dyDescent="0.25">
      <c r="A599" s="713"/>
      <c r="B599" s="714" t="s">
        <v>811</v>
      </c>
      <c r="C599" s="676" t="s">
        <v>40</v>
      </c>
      <c r="D599" s="676" t="s">
        <v>620</v>
      </c>
      <c r="E599" s="680">
        <v>44743</v>
      </c>
      <c r="F599" s="676">
        <v>744</v>
      </c>
      <c r="G599" s="676" t="s">
        <v>59</v>
      </c>
      <c r="H599" s="676" t="s">
        <v>3</v>
      </c>
      <c r="I599" s="676" t="s">
        <v>44</v>
      </c>
      <c r="J599" s="676" t="s">
        <v>85</v>
      </c>
      <c r="K599" s="676">
        <v>234</v>
      </c>
      <c r="L599" s="690" t="s">
        <v>54</v>
      </c>
      <c r="M599" s="691">
        <v>0</v>
      </c>
      <c r="N599" s="690">
        <v>2.25</v>
      </c>
      <c r="O599" s="691">
        <v>0</v>
      </c>
      <c r="P599" s="690">
        <v>234</v>
      </c>
      <c r="Q599" s="738">
        <f t="shared" si="81"/>
        <v>0</v>
      </c>
      <c r="R599" s="677">
        <f t="shared" si="82"/>
        <v>391716</v>
      </c>
      <c r="S599" s="739">
        <f t="shared" si="83"/>
        <v>391716</v>
      </c>
      <c r="T599" s="738">
        <v>66.319999999999993</v>
      </c>
      <c r="U599" s="677">
        <f t="shared" si="84"/>
        <v>111019.68</v>
      </c>
      <c r="V599" s="739">
        <f t="shared" si="85"/>
        <v>280696.32000000001</v>
      </c>
      <c r="W599" s="740">
        <v>66.319999999999993</v>
      </c>
      <c r="X599" s="678">
        <f t="shared" si="86"/>
        <v>111019.68</v>
      </c>
      <c r="Y599" s="700">
        <f t="shared" si="87"/>
        <v>280696.32000000001</v>
      </c>
      <c r="Z599" s="740">
        <v>66.319999999999993</v>
      </c>
      <c r="AA599" s="678">
        <f t="shared" si="88"/>
        <v>111019.68</v>
      </c>
      <c r="AB599" s="741">
        <f t="shared" si="89"/>
        <v>280696.32000000001</v>
      </c>
      <c r="AC599" s="714"/>
    </row>
    <row r="600" spans="1:29" ht="15" customHeight="1" x14ac:dyDescent="0.25">
      <c r="A600" s="713"/>
      <c r="B600" s="714" t="s">
        <v>811</v>
      </c>
      <c r="C600" s="676" t="s">
        <v>40</v>
      </c>
      <c r="D600" s="676" t="s">
        <v>620</v>
      </c>
      <c r="E600" s="680">
        <v>44774</v>
      </c>
      <c r="F600" s="676">
        <v>744</v>
      </c>
      <c r="G600" s="676" t="s">
        <v>59</v>
      </c>
      <c r="H600" s="676" t="s">
        <v>3</v>
      </c>
      <c r="I600" s="676" t="s">
        <v>44</v>
      </c>
      <c r="J600" s="676" t="s">
        <v>85</v>
      </c>
      <c r="K600" s="676">
        <v>234</v>
      </c>
      <c r="L600" s="690" t="s">
        <v>54</v>
      </c>
      <c r="M600" s="691">
        <v>0</v>
      </c>
      <c r="N600" s="690">
        <v>2.25</v>
      </c>
      <c r="O600" s="691">
        <v>0</v>
      </c>
      <c r="P600" s="690">
        <v>234</v>
      </c>
      <c r="Q600" s="738">
        <f t="shared" si="81"/>
        <v>0</v>
      </c>
      <c r="R600" s="677">
        <f t="shared" si="82"/>
        <v>391716</v>
      </c>
      <c r="S600" s="739">
        <f t="shared" si="83"/>
        <v>391716</v>
      </c>
      <c r="T600" s="738">
        <v>76.900000000000006</v>
      </c>
      <c r="U600" s="677">
        <f t="shared" si="84"/>
        <v>128730.6</v>
      </c>
      <c r="V600" s="739">
        <f t="shared" si="85"/>
        <v>262985.40000000002</v>
      </c>
      <c r="W600" s="740">
        <v>76.900000000000006</v>
      </c>
      <c r="X600" s="678">
        <f t="shared" si="86"/>
        <v>128730.6</v>
      </c>
      <c r="Y600" s="700">
        <f t="shared" si="87"/>
        <v>262985.40000000002</v>
      </c>
      <c r="Z600" s="740">
        <v>76.900000000000006</v>
      </c>
      <c r="AA600" s="678">
        <f t="shared" si="88"/>
        <v>128730.6</v>
      </c>
      <c r="AB600" s="741">
        <f t="shared" si="89"/>
        <v>262985.40000000002</v>
      </c>
      <c r="AC600" s="714"/>
    </row>
    <row r="601" spans="1:29" ht="15" customHeight="1" x14ac:dyDescent="0.25">
      <c r="A601" s="713"/>
      <c r="B601" s="714" t="s">
        <v>811</v>
      </c>
      <c r="C601" s="676" t="s">
        <v>40</v>
      </c>
      <c r="D601" s="676" t="s">
        <v>620</v>
      </c>
      <c r="E601" s="680">
        <v>44805</v>
      </c>
      <c r="F601" s="676">
        <v>720</v>
      </c>
      <c r="G601" s="676" t="s">
        <v>59</v>
      </c>
      <c r="H601" s="676" t="s">
        <v>3</v>
      </c>
      <c r="I601" s="676" t="s">
        <v>44</v>
      </c>
      <c r="J601" s="676" t="s">
        <v>85</v>
      </c>
      <c r="K601" s="676">
        <v>234</v>
      </c>
      <c r="L601" s="690" t="s">
        <v>54</v>
      </c>
      <c r="M601" s="691">
        <v>0</v>
      </c>
      <c r="N601" s="690">
        <v>2.25</v>
      </c>
      <c r="O601" s="691">
        <v>0</v>
      </c>
      <c r="P601" s="690">
        <v>234</v>
      </c>
      <c r="Q601" s="738">
        <f t="shared" si="81"/>
        <v>0</v>
      </c>
      <c r="R601" s="677">
        <f t="shared" si="82"/>
        <v>379080</v>
      </c>
      <c r="S601" s="739">
        <f t="shared" si="83"/>
        <v>379080</v>
      </c>
      <c r="T601" s="738">
        <v>56.08</v>
      </c>
      <c r="U601" s="677">
        <f t="shared" si="84"/>
        <v>90849.599999999991</v>
      </c>
      <c r="V601" s="739">
        <f t="shared" si="85"/>
        <v>288230.40000000002</v>
      </c>
      <c r="W601" s="740">
        <v>56.08</v>
      </c>
      <c r="X601" s="678">
        <f t="shared" si="86"/>
        <v>90849.599999999991</v>
      </c>
      <c r="Y601" s="700">
        <f t="shared" si="87"/>
        <v>288230.40000000002</v>
      </c>
      <c r="Z601" s="740">
        <v>56.08</v>
      </c>
      <c r="AA601" s="678">
        <f t="shared" si="88"/>
        <v>90849.599999999991</v>
      </c>
      <c r="AB601" s="741">
        <f t="shared" si="89"/>
        <v>288230.40000000002</v>
      </c>
      <c r="AC601" s="714"/>
    </row>
    <row r="602" spans="1:29" ht="15" customHeight="1" x14ac:dyDescent="0.25">
      <c r="A602" s="713"/>
      <c r="B602" s="714" t="s">
        <v>811</v>
      </c>
      <c r="C602" s="676" t="s">
        <v>40</v>
      </c>
      <c r="D602" s="676" t="s">
        <v>620</v>
      </c>
      <c r="E602" s="680">
        <v>44835</v>
      </c>
      <c r="F602" s="676">
        <v>744</v>
      </c>
      <c r="G602" s="676" t="s">
        <v>59</v>
      </c>
      <c r="H602" s="676" t="s">
        <v>3</v>
      </c>
      <c r="I602" s="676" t="s">
        <v>44</v>
      </c>
      <c r="J602" s="676" t="s">
        <v>85</v>
      </c>
      <c r="K602" s="676">
        <v>234</v>
      </c>
      <c r="L602" s="690" t="s">
        <v>54</v>
      </c>
      <c r="M602" s="691">
        <v>0</v>
      </c>
      <c r="N602" s="690">
        <v>2.25</v>
      </c>
      <c r="O602" s="691">
        <v>0</v>
      </c>
      <c r="P602" s="690">
        <v>234</v>
      </c>
      <c r="Q602" s="738">
        <f t="shared" si="81"/>
        <v>0</v>
      </c>
      <c r="R602" s="677">
        <f t="shared" si="82"/>
        <v>391716</v>
      </c>
      <c r="S602" s="739">
        <f t="shared" si="83"/>
        <v>391716</v>
      </c>
      <c r="T602" s="738">
        <v>55.7</v>
      </c>
      <c r="U602" s="677">
        <f t="shared" si="84"/>
        <v>93241.8</v>
      </c>
      <c r="V602" s="739">
        <f t="shared" si="85"/>
        <v>298474.2</v>
      </c>
      <c r="W602" s="740">
        <v>55.7</v>
      </c>
      <c r="X602" s="678">
        <f t="shared" si="86"/>
        <v>93241.8</v>
      </c>
      <c r="Y602" s="700">
        <f t="shared" si="87"/>
        <v>298474.2</v>
      </c>
      <c r="Z602" s="740">
        <v>55.7</v>
      </c>
      <c r="AA602" s="678">
        <f t="shared" si="88"/>
        <v>93241.8</v>
      </c>
      <c r="AB602" s="741">
        <f t="shared" si="89"/>
        <v>298474.2</v>
      </c>
      <c r="AC602" s="714"/>
    </row>
    <row r="603" spans="1:29" ht="15" customHeight="1" x14ac:dyDescent="0.25">
      <c r="A603" s="713"/>
      <c r="B603" s="714" t="s">
        <v>811</v>
      </c>
      <c r="C603" s="676" t="s">
        <v>40</v>
      </c>
      <c r="D603" s="676" t="s">
        <v>620</v>
      </c>
      <c r="E603" s="680">
        <v>44866</v>
      </c>
      <c r="F603" s="676">
        <v>720</v>
      </c>
      <c r="G603" s="676" t="s">
        <v>59</v>
      </c>
      <c r="H603" s="676" t="s">
        <v>3</v>
      </c>
      <c r="I603" s="676" t="s">
        <v>44</v>
      </c>
      <c r="J603" s="676" t="s">
        <v>85</v>
      </c>
      <c r="K603" s="676">
        <v>234</v>
      </c>
      <c r="L603" s="690" t="s">
        <v>54</v>
      </c>
      <c r="M603" s="691">
        <v>0</v>
      </c>
      <c r="N603" s="690">
        <v>2.25</v>
      </c>
      <c r="O603" s="691">
        <v>0</v>
      </c>
      <c r="P603" s="690">
        <v>234</v>
      </c>
      <c r="Q603" s="738">
        <f t="shared" si="81"/>
        <v>0</v>
      </c>
      <c r="R603" s="677">
        <f t="shared" si="82"/>
        <v>379080</v>
      </c>
      <c r="S603" s="739">
        <f t="shared" si="83"/>
        <v>379080</v>
      </c>
      <c r="T603" s="738">
        <v>55.7</v>
      </c>
      <c r="U603" s="677">
        <f t="shared" si="84"/>
        <v>90234</v>
      </c>
      <c r="V603" s="739">
        <f t="shared" si="85"/>
        <v>288846</v>
      </c>
      <c r="W603" s="740">
        <v>55.7</v>
      </c>
      <c r="X603" s="678">
        <f t="shared" si="86"/>
        <v>90234</v>
      </c>
      <c r="Y603" s="700">
        <f t="shared" si="87"/>
        <v>288846</v>
      </c>
      <c r="Z603" s="740">
        <v>55.7</v>
      </c>
      <c r="AA603" s="678">
        <f t="shared" si="88"/>
        <v>90234</v>
      </c>
      <c r="AB603" s="741">
        <f t="shared" si="89"/>
        <v>288846</v>
      </c>
      <c r="AC603" s="714"/>
    </row>
    <row r="604" spans="1:29" ht="15" customHeight="1" x14ac:dyDescent="0.25">
      <c r="A604" s="713"/>
      <c r="B604" s="729" t="s">
        <v>811</v>
      </c>
      <c r="C604" s="545" t="s">
        <v>40</v>
      </c>
      <c r="D604" s="545" t="s">
        <v>620</v>
      </c>
      <c r="E604" s="681">
        <v>44896</v>
      </c>
      <c r="F604" s="545">
        <v>744</v>
      </c>
      <c r="G604" s="545" t="s">
        <v>59</v>
      </c>
      <c r="H604" s="545" t="s">
        <v>3</v>
      </c>
      <c r="I604" s="545" t="s">
        <v>44</v>
      </c>
      <c r="J604" s="545" t="s">
        <v>85</v>
      </c>
      <c r="K604" s="545">
        <v>234</v>
      </c>
      <c r="L604" s="725" t="s">
        <v>54</v>
      </c>
      <c r="M604" s="695">
        <v>0</v>
      </c>
      <c r="N604" s="725">
        <v>2.25</v>
      </c>
      <c r="O604" s="695">
        <v>0</v>
      </c>
      <c r="P604" s="725">
        <v>234</v>
      </c>
      <c r="Q604" s="742">
        <f t="shared" si="81"/>
        <v>0</v>
      </c>
      <c r="R604" s="603">
        <f t="shared" si="82"/>
        <v>391716</v>
      </c>
      <c r="S604" s="743">
        <f t="shared" si="83"/>
        <v>391716</v>
      </c>
      <c r="T604" s="742">
        <v>55.7</v>
      </c>
      <c r="U604" s="603">
        <f t="shared" si="84"/>
        <v>93241.8</v>
      </c>
      <c r="V604" s="743">
        <f t="shared" si="85"/>
        <v>298474.2</v>
      </c>
      <c r="W604" s="744">
        <v>55.7</v>
      </c>
      <c r="X604" s="604">
        <f t="shared" si="86"/>
        <v>93241.8</v>
      </c>
      <c r="Y604" s="701">
        <f t="shared" si="87"/>
        <v>298474.2</v>
      </c>
      <c r="Z604" s="744">
        <v>78.400653594793155</v>
      </c>
      <c r="AA604" s="604">
        <f t="shared" si="88"/>
        <v>131242.69411768374</v>
      </c>
      <c r="AB604" s="745">
        <f t="shared" si="89"/>
        <v>260473.30588231626</v>
      </c>
      <c r="AC604" s="714"/>
    </row>
    <row r="605" spans="1:29" ht="15" customHeight="1" x14ac:dyDescent="0.25">
      <c r="A605" s="713"/>
      <c r="B605" s="730" t="s">
        <v>813</v>
      </c>
      <c r="C605" s="546" t="s">
        <v>40</v>
      </c>
      <c r="D605" s="546" t="s">
        <v>465</v>
      </c>
      <c r="E605" s="682">
        <v>44562</v>
      </c>
      <c r="F605" s="546">
        <v>744</v>
      </c>
      <c r="G605" s="546" t="s">
        <v>59</v>
      </c>
      <c r="H605" s="546" t="s">
        <v>3</v>
      </c>
      <c r="I605" s="546" t="s">
        <v>44</v>
      </c>
      <c r="J605" s="546" t="s">
        <v>85</v>
      </c>
      <c r="K605" s="546">
        <v>234</v>
      </c>
      <c r="L605" s="726" t="s">
        <v>54</v>
      </c>
      <c r="M605" s="696">
        <v>0</v>
      </c>
      <c r="N605" s="726">
        <v>5</v>
      </c>
      <c r="O605" s="696">
        <v>0</v>
      </c>
      <c r="P605" s="726">
        <v>234</v>
      </c>
      <c r="Q605" s="746">
        <f t="shared" si="81"/>
        <v>0</v>
      </c>
      <c r="R605" s="606">
        <f t="shared" si="82"/>
        <v>870480</v>
      </c>
      <c r="S605" s="747">
        <f t="shared" si="83"/>
        <v>870480</v>
      </c>
      <c r="T605" s="746">
        <v>62.91</v>
      </c>
      <c r="U605" s="606">
        <f t="shared" si="84"/>
        <v>234025.19999999998</v>
      </c>
      <c r="V605" s="747">
        <f t="shared" si="85"/>
        <v>636454.80000000005</v>
      </c>
      <c r="W605" s="748">
        <v>62.91</v>
      </c>
      <c r="X605" s="607">
        <f t="shared" si="86"/>
        <v>234025.19999999998</v>
      </c>
      <c r="Y605" s="702">
        <f t="shared" si="87"/>
        <v>636454.80000000005</v>
      </c>
      <c r="Z605" s="748">
        <v>62.91</v>
      </c>
      <c r="AA605" s="607">
        <f t="shared" si="88"/>
        <v>234025.19999999998</v>
      </c>
      <c r="AB605" s="749">
        <f t="shared" si="89"/>
        <v>636454.80000000005</v>
      </c>
      <c r="AC605" s="714"/>
    </row>
    <row r="606" spans="1:29" ht="15" customHeight="1" x14ac:dyDescent="0.25">
      <c r="A606" s="713"/>
      <c r="B606" s="714" t="s">
        <v>813</v>
      </c>
      <c r="C606" s="676" t="s">
        <v>40</v>
      </c>
      <c r="D606" s="676" t="s">
        <v>465</v>
      </c>
      <c r="E606" s="680">
        <v>44593</v>
      </c>
      <c r="F606" s="676">
        <v>672</v>
      </c>
      <c r="G606" s="676" t="s">
        <v>59</v>
      </c>
      <c r="H606" s="676" t="s">
        <v>3</v>
      </c>
      <c r="I606" s="676" t="s">
        <v>44</v>
      </c>
      <c r="J606" s="676" t="s">
        <v>85</v>
      </c>
      <c r="K606" s="676">
        <v>234</v>
      </c>
      <c r="L606" s="690" t="s">
        <v>54</v>
      </c>
      <c r="M606" s="691">
        <v>0</v>
      </c>
      <c r="N606" s="690">
        <v>5</v>
      </c>
      <c r="O606" s="691">
        <v>0</v>
      </c>
      <c r="P606" s="690">
        <v>234</v>
      </c>
      <c r="Q606" s="738">
        <f t="shared" si="81"/>
        <v>0</v>
      </c>
      <c r="R606" s="677">
        <f t="shared" si="82"/>
        <v>786240</v>
      </c>
      <c r="S606" s="739">
        <f t="shared" si="83"/>
        <v>786240</v>
      </c>
      <c r="T606" s="738">
        <v>55.7</v>
      </c>
      <c r="U606" s="677">
        <f t="shared" si="84"/>
        <v>187152</v>
      </c>
      <c r="V606" s="739">
        <f t="shared" si="85"/>
        <v>599088</v>
      </c>
      <c r="W606" s="740">
        <v>55.7</v>
      </c>
      <c r="X606" s="678">
        <f t="shared" si="86"/>
        <v>187152</v>
      </c>
      <c r="Y606" s="700">
        <f t="shared" si="87"/>
        <v>599088</v>
      </c>
      <c r="Z606" s="740">
        <v>55.7</v>
      </c>
      <c r="AA606" s="678">
        <f t="shared" si="88"/>
        <v>187152</v>
      </c>
      <c r="AB606" s="741">
        <f t="shared" si="89"/>
        <v>599088</v>
      </c>
      <c r="AC606" s="714"/>
    </row>
    <row r="607" spans="1:29" ht="15" customHeight="1" x14ac:dyDescent="0.25">
      <c r="A607" s="713"/>
      <c r="B607" s="714" t="s">
        <v>813</v>
      </c>
      <c r="C607" s="676" t="s">
        <v>40</v>
      </c>
      <c r="D607" s="676" t="s">
        <v>465</v>
      </c>
      <c r="E607" s="680">
        <v>44621</v>
      </c>
      <c r="F607" s="676">
        <v>744</v>
      </c>
      <c r="G607" s="676" t="s">
        <v>59</v>
      </c>
      <c r="H607" s="676" t="s">
        <v>3</v>
      </c>
      <c r="I607" s="676" t="s">
        <v>44</v>
      </c>
      <c r="J607" s="676" t="s">
        <v>85</v>
      </c>
      <c r="K607" s="676">
        <v>234</v>
      </c>
      <c r="L607" s="690" t="s">
        <v>54</v>
      </c>
      <c r="M607" s="691">
        <v>0</v>
      </c>
      <c r="N607" s="690">
        <v>5</v>
      </c>
      <c r="O607" s="691">
        <v>0</v>
      </c>
      <c r="P607" s="690">
        <v>234</v>
      </c>
      <c r="Q607" s="738">
        <f t="shared" si="81"/>
        <v>0</v>
      </c>
      <c r="R607" s="677">
        <f t="shared" si="82"/>
        <v>870480</v>
      </c>
      <c r="S607" s="739">
        <f t="shared" si="83"/>
        <v>870480</v>
      </c>
      <c r="T607" s="738">
        <v>55.7</v>
      </c>
      <c r="U607" s="677">
        <f t="shared" si="84"/>
        <v>207204</v>
      </c>
      <c r="V607" s="739">
        <f t="shared" si="85"/>
        <v>663276</v>
      </c>
      <c r="W607" s="740">
        <v>55.7</v>
      </c>
      <c r="X607" s="678">
        <f t="shared" si="86"/>
        <v>207204</v>
      </c>
      <c r="Y607" s="700">
        <f t="shared" si="87"/>
        <v>663276</v>
      </c>
      <c r="Z607" s="740">
        <v>55.7</v>
      </c>
      <c r="AA607" s="678">
        <f t="shared" si="88"/>
        <v>207204</v>
      </c>
      <c r="AB607" s="741">
        <f t="shared" si="89"/>
        <v>663276</v>
      </c>
      <c r="AC607" s="714"/>
    </row>
    <row r="608" spans="1:29" ht="15" customHeight="1" x14ac:dyDescent="0.25">
      <c r="A608" s="713"/>
      <c r="B608" s="714" t="s">
        <v>813</v>
      </c>
      <c r="C608" s="676" t="s">
        <v>40</v>
      </c>
      <c r="D608" s="676" t="s">
        <v>465</v>
      </c>
      <c r="E608" s="680">
        <v>44652</v>
      </c>
      <c r="F608" s="676">
        <v>720</v>
      </c>
      <c r="G608" s="676" t="s">
        <v>59</v>
      </c>
      <c r="H608" s="676" t="s">
        <v>3</v>
      </c>
      <c r="I608" s="676" t="s">
        <v>44</v>
      </c>
      <c r="J608" s="676" t="s">
        <v>85</v>
      </c>
      <c r="K608" s="676">
        <v>234</v>
      </c>
      <c r="L608" s="690" t="s">
        <v>54</v>
      </c>
      <c r="M608" s="691">
        <v>0</v>
      </c>
      <c r="N608" s="690">
        <v>5</v>
      </c>
      <c r="O608" s="691">
        <v>0</v>
      </c>
      <c r="P608" s="690">
        <v>234</v>
      </c>
      <c r="Q608" s="738">
        <f t="shared" si="81"/>
        <v>0</v>
      </c>
      <c r="R608" s="677">
        <f t="shared" si="82"/>
        <v>842400</v>
      </c>
      <c r="S608" s="739">
        <f t="shared" si="83"/>
        <v>842400</v>
      </c>
      <c r="T608" s="738">
        <v>55.7</v>
      </c>
      <c r="U608" s="677">
        <f t="shared" si="84"/>
        <v>200520</v>
      </c>
      <c r="V608" s="739">
        <f t="shared" si="85"/>
        <v>641880</v>
      </c>
      <c r="W608" s="740">
        <v>55.7</v>
      </c>
      <c r="X608" s="678">
        <f t="shared" si="86"/>
        <v>200520</v>
      </c>
      <c r="Y608" s="700">
        <f t="shared" si="87"/>
        <v>641880</v>
      </c>
      <c r="Z608" s="740">
        <v>55.7</v>
      </c>
      <c r="AA608" s="678">
        <f t="shared" si="88"/>
        <v>200520</v>
      </c>
      <c r="AB608" s="741">
        <f t="shared" si="89"/>
        <v>641880</v>
      </c>
      <c r="AC608" s="714"/>
    </row>
    <row r="609" spans="1:29" ht="15" customHeight="1" x14ac:dyDescent="0.25">
      <c r="A609" s="713"/>
      <c r="B609" s="714" t="s">
        <v>813</v>
      </c>
      <c r="C609" s="676" t="s">
        <v>40</v>
      </c>
      <c r="D609" s="676" t="s">
        <v>465</v>
      </c>
      <c r="E609" s="680">
        <v>44682</v>
      </c>
      <c r="F609" s="676">
        <v>744</v>
      </c>
      <c r="G609" s="676" t="s">
        <v>59</v>
      </c>
      <c r="H609" s="676" t="s">
        <v>3</v>
      </c>
      <c r="I609" s="676" t="s">
        <v>44</v>
      </c>
      <c r="J609" s="676" t="s">
        <v>85</v>
      </c>
      <c r="K609" s="676">
        <v>234</v>
      </c>
      <c r="L609" s="690" t="s">
        <v>54</v>
      </c>
      <c r="M609" s="691">
        <v>0</v>
      </c>
      <c r="N609" s="690">
        <v>5</v>
      </c>
      <c r="O609" s="691">
        <v>0</v>
      </c>
      <c r="P609" s="690">
        <v>234</v>
      </c>
      <c r="Q609" s="738">
        <f t="shared" si="81"/>
        <v>0</v>
      </c>
      <c r="R609" s="677">
        <f t="shared" si="82"/>
        <v>870480</v>
      </c>
      <c r="S609" s="739">
        <f t="shared" si="83"/>
        <v>870480</v>
      </c>
      <c r="T609" s="738">
        <v>55.7</v>
      </c>
      <c r="U609" s="677">
        <f t="shared" si="84"/>
        <v>207204</v>
      </c>
      <c r="V609" s="739">
        <f t="shared" si="85"/>
        <v>663276</v>
      </c>
      <c r="W609" s="740">
        <v>55.7</v>
      </c>
      <c r="X609" s="678">
        <f t="shared" si="86"/>
        <v>207204</v>
      </c>
      <c r="Y609" s="700">
        <f t="shared" si="87"/>
        <v>663276</v>
      </c>
      <c r="Z609" s="740">
        <v>55.7</v>
      </c>
      <c r="AA609" s="678">
        <f t="shared" si="88"/>
        <v>207204</v>
      </c>
      <c r="AB609" s="741">
        <f t="shared" si="89"/>
        <v>663276</v>
      </c>
      <c r="AC609" s="714"/>
    </row>
    <row r="610" spans="1:29" ht="15" customHeight="1" x14ac:dyDescent="0.25">
      <c r="A610" s="713"/>
      <c r="B610" s="714" t="s">
        <v>813</v>
      </c>
      <c r="C610" s="676" t="s">
        <v>40</v>
      </c>
      <c r="D610" s="676" t="s">
        <v>465</v>
      </c>
      <c r="E610" s="680">
        <v>44713</v>
      </c>
      <c r="F610" s="676">
        <v>720</v>
      </c>
      <c r="G610" s="676" t="s">
        <v>59</v>
      </c>
      <c r="H610" s="676" t="s">
        <v>3</v>
      </c>
      <c r="I610" s="676" t="s">
        <v>44</v>
      </c>
      <c r="J610" s="676" t="s">
        <v>85</v>
      </c>
      <c r="K610" s="676">
        <v>234</v>
      </c>
      <c r="L610" s="690" t="s">
        <v>54</v>
      </c>
      <c r="M610" s="691">
        <v>0</v>
      </c>
      <c r="N610" s="690">
        <v>5</v>
      </c>
      <c r="O610" s="691">
        <v>0</v>
      </c>
      <c r="P610" s="690">
        <v>234</v>
      </c>
      <c r="Q610" s="738">
        <f t="shared" si="81"/>
        <v>0</v>
      </c>
      <c r="R610" s="677">
        <f t="shared" si="82"/>
        <v>842400</v>
      </c>
      <c r="S610" s="739">
        <f t="shared" si="83"/>
        <v>842400</v>
      </c>
      <c r="T610" s="738">
        <v>55.71</v>
      </c>
      <c r="U610" s="677">
        <f t="shared" si="84"/>
        <v>200556</v>
      </c>
      <c r="V610" s="739">
        <f t="shared" si="85"/>
        <v>641844</v>
      </c>
      <c r="W610" s="740">
        <v>55.71</v>
      </c>
      <c r="X610" s="678">
        <f t="shared" si="86"/>
        <v>200556</v>
      </c>
      <c r="Y610" s="700">
        <f t="shared" si="87"/>
        <v>641844</v>
      </c>
      <c r="Z610" s="740">
        <v>55.71</v>
      </c>
      <c r="AA610" s="678">
        <f t="shared" si="88"/>
        <v>200556</v>
      </c>
      <c r="AB610" s="741">
        <f t="shared" si="89"/>
        <v>641844</v>
      </c>
      <c r="AC610" s="714"/>
    </row>
    <row r="611" spans="1:29" ht="15" customHeight="1" x14ac:dyDescent="0.25">
      <c r="A611" s="713"/>
      <c r="B611" s="714" t="s">
        <v>813</v>
      </c>
      <c r="C611" s="676" t="s">
        <v>40</v>
      </c>
      <c r="D611" s="676" t="s">
        <v>465</v>
      </c>
      <c r="E611" s="680">
        <v>44743</v>
      </c>
      <c r="F611" s="676">
        <v>744</v>
      </c>
      <c r="G611" s="676" t="s">
        <v>59</v>
      </c>
      <c r="H611" s="676" t="s">
        <v>3</v>
      </c>
      <c r="I611" s="676" t="s">
        <v>44</v>
      </c>
      <c r="J611" s="676" t="s">
        <v>85</v>
      </c>
      <c r="K611" s="676">
        <v>234</v>
      </c>
      <c r="L611" s="690" t="s">
        <v>54</v>
      </c>
      <c r="M611" s="691">
        <v>0</v>
      </c>
      <c r="N611" s="690">
        <v>5</v>
      </c>
      <c r="O611" s="691">
        <v>0</v>
      </c>
      <c r="P611" s="690">
        <v>234</v>
      </c>
      <c r="Q611" s="738">
        <f t="shared" si="81"/>
        <v>0</v>
      </c>
      <c r="R611" s="677">
        <f t="shared" si="82"/>
        <v>870480</v>
      </c>
      <c r="S611" s="739">
        <f t="shared" si="83"/>
        <v>870480</v>
      </c>
      <c r="T611" s="738">
        <v>66.319999999999993</v>
      </c>
      <c r="U611" s="677">
        <f t="shared" si="84"/>
        <v>246710.39999999997</v>
      </c>
      <c r="V611" s="739">
        <f t="shared" si="85"/>
        <v>623769.60000000009</v>
      </c>
      <c r="W611" s="740">
        <v>66.319999999999993</v>
      </c>
      <c r="X611" s="678">
        <f t="shared" si="86"/>
        <v>246710.39999999997</v>
      </c>
      <c r="Y611" s="700">
        <f t="shared" si="87"/>
        <v>623769.60000000009</v>
      </c>
      <c r="Z611" s="740">
        <v>66.319999999999993</v>
      </c>
      <c r="AA611" s="678">
        <f t="shared" si="88"/>
        <v>246710.39999999997</v>
      </c>
      <c r="AB611" s="741">
        <f t="shared" si="89"/>
        <v>623769.60000000009</v>
      </c>
      <c r="AC611" s="714"/>
    </row>
    <row r="612" spans="1:29" ht="15" customHeight="1" x14ac:dyDescent="0.25">
      <c r="A612" s="713"/>
      <c r="B612" s="714" t="s">
        <v>813</v>
      </c>
      <c r="C612" s="676" t="s">
        <v>40</v>
      </c>
      <c r="D612" s="676" t="s">
        <v>465</v>
      </c>
      <c r="E612" s="680">
        <v>44774</v>
      </c>
      <c r="F612" s="676">
        <v>744</v>
      </c>
      <c r="G612" s="676" t="s">
        <v>59</v>
      </c>
      <c r="H612" s="676" t="s">
        <v>3</v>
      </c>
      <c r="I612" s="676" t="s">
        <v>44</v>
      </c>
      <c r="J612" s="676" t="s">
        <v>85</v>
      </c>
      <c r="K612" s="676">
        <v>234</v>
      </c>
      <c r="L612" s="690" t="s">
        <v>54</v>
      </c>
      <c r="M612" s="691">
        <v>0</v>
      </c>
      <c r="N612" s="690">
        <v>5</v>
      </c>
      <c r="O612" s="691">
        <v>0</v>
      </c>
      <c r="P612" s="690">
        <v>234</v>
      </c>
      <c r="Q612" s="738">
        <f t="shared" si="81"/>
        <v>0</v>
      </c>
      <c r="R612" s="677">
        <f t="shared" si="82"/>
        <v>870480</v>
      </c>
      <c r="S612" s="739">
        <f t="shared" si="83"/>
        <v>870480</v>
      </c>
      <c r="T612" s="738">
        <v>76.900000000000006</v>
      </c>
      <c r="U612" s="677">
        <f t="shared" si="84"/>
        <v>286068</v>
      </c>
      <c r="V612" s="739">
        <f t="shared" si="85"/>
        <v>584412</v>
      </c>
      <c r="W612" s="740">
        <v>76.900000000000006</v>
      </c>
      <c r="X612" s="678">
        <f t="shared" si="86"/>
        <v>286068</v>
      </c>
      <c r="Y612" s="700">
        <f t="shared" si="87"/>
        <v>584412</v>
      </c>
      <c r="Z612" s="740">
        <v>76.900000000000006</v>
      </c>
      <c r="AA612" s="678">
        <f t="shared" si="88"/>
        <v>286068</v>
      </c>
      <c r="AB612" s="741">
        <f t="shared" si="89"/>
        <v>584412</v>
      </c>
      <c r="AC612" s="714"/>
    </row>
    <row r="613" spans="1:29" ht="15" customHeight="1" x14ac:dyDescent="0.25">
      <c r="A613" s="713"/>
      <c r="B613" s="714" t="s">
        <v>813</v>
      </c>
      <c r="C613" s="676" t="s">
        <v>40</v>
      </c>
      <c r="D613" s="676" t="s">
        <v>465</v>
      </c>
      <c r="E613" s="680">
        <v>44805</v>
      </c>
      <c r="F613" s="676">
        <v>720</v>
      </c>
      <c r="G613" s="676" t="s">
        <v>59</v>
      </c>
      <c r="H613" s="676" t="s">
        <v>3</v>
      </c>
      <c r="I613" s="676" t="s">
        <v>44</v>
      </c>
      <c r="J613" s="676" t="s">
        <v>85</v>
      </c>
      <c r="K613" s="676">
        <v>234</v>
      </c>
      <c r="L613" s="690" t="s">
        <v>54</v>
      </c>
      <c r="M613" s="691">
        <v>0</v>
      </c>
      <c r="N613" s="690">
        <v>5</v>
      </c>
      <c r="O613" s="691">
        <v>0</v>
      </c>
      <c r="P613" s="690">
        <v>234</v>
      </c>
      <c r="Q613" s="738">
        <f t="shared" si="81"/>
        <v>0</v>
      </c>
      <c r="R613" s="677">
        <f t="shared" si="82"/>
        <v>842400</v>
      </c>
      <c r="S613" s="739">
        <f t="shared" si="83"/>
        <v>842400</v>
      </c>
      <c r="T613" s="738">
        <v>56.08</v>
      </c>
      <c r="U613" s="677">
        <f t="shared" si="84"/>
        <v>201888</v>
      </c>
      <c r="V613" s="739">
        <f t="shared" si="85"/>
        <v>640512</v>
      </c>
      <c r="W613" s="740">
        <v>56.08</v>
      </c>
      <c r="X613" s="678">
        <f t="shared" si="86"/>
        <v>201888</v>
      </c>
      <c r="Y613" s="700">
        <f t="shared" si="87"/>
        <v>640512</v>
      </c>
      <c r="Z613" s="740">
        <v>56.08</v>
      </c>
      <c r="AA613" s="678">
        <f t="shared" si="88"/>
        <v>201888</v>
      </c>
      <c r="AB613" s="741">
        <f t="shared" si="89"/>
        <v>640512</v>
      </c>
      <c r="AC613" s="714"/>
    </row>
    <row r="614" spans="1:29" ht="15" customHeight="1" x14ac:dyDescent="0.25">
      <c r="A614" s="713"/>
      <c r="B614" s="714" t="s">
        <v>813</v>
      </c>
      <c r="C614" s="676" t="s">
        <v>40</v>
      </c>
      <c r="D614" s="676" t="s">
        <v>465</v>
      </c>
      <c r="E614" s="680">
        <v>44835</v>
      </c>
      <c r="F614" s="676">
        <v>744</v>
      </c>
      <c r="G614" s="676" t="s">
        <v>59</v>
      </c>
      <c r="H614" s="676" t="s">
        <v>3</v>
      </c>
      <c r="I614" s="676" t="s">
        <v>44</v>
      </c>
      <c r="J614" s="676" t="s">
        <v>85</v>
      </c>
      <c r="K614" s="676">
        <v>234</v>
      </c>
      <c r="L614" s="690" t="s">
        <v>54</v>
      </c>
      <c r="M614" s="691">
        <v>0</v>
      </c>
      <c r="N614" s="690">
        <v>5</v>
      </c>
      <c r="O614" s="691">
        <v>0</v>
      </c>
      <c r="P614" s="690">
        <v>234</v>
      </c>
      <c r="Q614" s="738">
        <f t="shared" si="81"/>
        <v>0</v>
      </c>
      <c r="R614" s="677">
        <f t="shared" si="82"/>
        <v>870480</v>
      </c>
      <c r="S614" s="739">
        <f t="shared" si="83"/>
        <v>870480</v>
      </c>
      <c r="T614" s="738">
        <v>55.7</v>
      </c>
      <c r="U614" s="677">
        <f t="shared" si="84"/>
        <v>207204</v>
      </c>
      <c r="V614" s="739">
        <f t="shared" si="85"/>
        <v>663276</v>
      </c>
      <c r="W614" s="740">
        <v>55.7</v>
      </c>
      <c r="X614" s="678">
        <f t="shared" si="86"/>
        <v>207204</v>
      </c>
      <c r="Y614" s="700">
        <f t="shared" si="87"/>
        <v>663276</v>
      </c>
      <c r="Z614" s="740">
        <v>55.7</v>
      </c>
      <c r="AA614" s="678">
        <f t="shared" si="88"/>
        <v>207204</v>
      </c>
      <c r="AB614" s="741">
        <f t="shared" si="89"/>
        <v>663276</v>
      </c>
      <c r="AC614" s="714"/>
    </row>
    <row r="615" spans="1:29" ht="15" customHeight="1" x14ac:dyDescent="0.25">
      <c r="A615" s="713"/>
      <c r="B615" s="714" t="s">
        <v>813</v>
      </c>
      <c r="C615" s="676" t="s">
        <v>40</v>
      </c>
      <c r="D615" s="676" t="s">
        <v>465</v>
      </c>
      <c r="E615" s="680">
        <v>44866</v>
      </c>
      <c r="F615" s="676">
        <v>720</v>
      </c>
      <c r="G615" s="676" t="s">
        <v>59</v>
      </c>
      <c r="H615" s="676" t="s">
        <v>3</v>
      </c>
      <c r="I615" s="676" t="s">
        <v>44</v>
      </c>
      <c r="J615" s="676" t="s">
        <v>85</v>
      </c>
      <c r="K615" s="676">
        <v>234</v>
      </c>
      <c r="L615" s="690" t="s">
        <v>54</v>
      </c>
      <c r="M615" s="691">
        <v>0</v>
      </c>
      <c r="N615" s="690">
        <v>5</v>
      </c>
      <c r="O615" s="691">
        <v>0</v>
      </c>
      <c r="P615" s="690">
        <v>234</v>
      </c>
      <c r="Q615" s="738">
        <f t="shared" si="81"/>
        <v>0</v>
      </c>
      <c r="R615" s="677">
        <f t="shared" si="82"/>
        <v>842400</v>
      </c>
      <c r="S615" s="739">
        <f t="shared" si="83"/>
        <v>842400</v>
      </c>
      <c r="T615" s="738">
        <v>55.7</v>
      </c>
      <c r="U615" s="677">
        <f t="shared" si="84"/>
        <v>200520</v>
      </c>
      <c r="V615" s="739">
        <f t="shared" si="85"/>
        <v>641880</v>
      </c>
      <c r="W615" s="740">
        <v>55.7</v>
      </c>
      <c r="X615" s="678">
        <f t="shared" si="86"/>
        <v>200520</v>
      </c>
      <c r="Y615" s="700">
        <f t="shared" si="87"/>
        <v>641880</v>
      </c>
      <c r="Z615" s="740">
        <v>55.7</v>
      </c>
      <c r="AA615" s="678">
        <f t="shared" si="88"/>
        <v>200520</v>
      </c>
      <c r="AB615" s="741">
        <f t="shared" si="89"/>
        <v>641880</v>
      </c>
      <c r="AC615" s="714"/>
    </row>
    <row r="616" spans="1:29" ht="15" customHeight="1" x14ac:dyDescent="0.25">
      <c r="A616" s="713"/>
      <c r="B616" s="729" t="s">
        <v>813</v>
      </c>
      <c r="C616" s="545" t="s">
        <v>40</v>
      </c>
      <c r="D616" s="545" t="s">
        <v>465</v>
      </c>
      <c r="E616" s="681">
        <v>44896</v>
      </c>
      <c r="F616" s="545">
        <v>744</v>
      </c>
      <c r="G616" s="545" t="s">
        <v>59</v>
      </c>
      <c r="H616" s="545" t="s">
        <v>3</v>
      </c>
      <c r="I616" s="545" t="s">
        <v>44</v>
      </c>
      <c r="J616" s="545" t="s">
        <v>85</v>
      </c>
      <c r="K616" s="545">
        <v>234</v>
      </c>
      <c r="L616" s="725" t="s">
        <v>54</v>
      </c>
      <c r="M616" s="695">
        <v>0</v>
      </c>
      <c r="N616" s="725">
        <v>5</v>
      </c>
      <c r="O616" s="695">
        <v>0</v>
      </c>
      <c r="P616" s="725">
        <v>234</v>
      </c>
      <c r="Q616" s="742">
        <f t="shared" si="81"/>
        <v>0</v>
      </c>
      <c r="R616" s="603">
        <f t="shared" si="82"/>
        <v>870480</v>
      </c>
      <c r="S616" s="743">
        <f t="shared" si="83"/>
        <v>870480</v>
      </c>
      <c r="T616" s="742">
        <v>55.7</v>
      </c>
      <c r="U616" s="603">
        <f t="shared" si="84"/>
        <v>207204</v>
      </c>
      <c r="V616" s="743">
        <f t="shared" si="85"/>
        <v>663276</v>
      </c>
      <c r="W616" s="744">
        <v>55.7</v>
      </c>
      <c r="X616" s="604">
        <f t="shared" si="86"/>
        <v>207204</v>
      </c>
      <c r="Y616" s="701">
        <f t="shared" si="87"/>
        <v>663276</v>
      </c>
      <c r="Z616" s="744">
        <v>78.400653594793155</v>
      </c>
      <c r="AA616" s="604">
        <f t="shared" si="88"/>
        <v>291650.43137263053</v>
      </c>
      <c r="AB616" s="745">
        <f t="shared" si="89"/>
        <v>578829.56862736947</v>
      </c>
      <c r="AC616" s="714"/>
    </row>
    <row r="617" spans="1:29" ht="15" customHeight="1" x14ac:dyDescent="0.25">
      <c r="A617" s="713"/>
      <c r="B617" s="730" t="s">
        <v>815</v>
      </c>
      <c r="C617" s="546" t="s">
        <v>40</v>
      </c>
      <c r="D617" s="546" t="s">
        <v>346</v>
      </c>
      <c r="E617" s="682">
        <v>44562</v>
      </c>
      <c r="F617" s="546">
        <v>744</v>
      </c>
      <c r="G617" s="546" t="s">
        <v>58</v>
      </c>
      <c r="H617" s="546" t="s">
        <v>3</v>
      </c>
      <c r="I617" s="546" t="s">
        <v>44</v>
      </c>
      <c r="J617" s="546" t="s">
        <v>84</v>
      </c>
      <c r="K617" s="546">
        <v>234</v>
      </c>
      <c r="L617" s="726" t="s">
        <v>54</v>
      </c>
      <c r="M617" s="696">
        <v>3</v>
      </c>
      <c r="N617" s="726">
        <v>0</v>
      </c>
      <c r="O617" s="696">
        <v>234</v>
      </c>
      <c r="P617" s="726">
        <v>0</v>
      </c>
      <c r="Q617" s="746">
        <f t="shared" si="81"/>
        <v>522288</v>
      </c>
      <c r="R617" s="606">
        <f t="shared" si="82"/>
        <v>0</v>
      </c>
      <c r="S617" s="747">
        <f t="shared" si="83"/>
        <v>-522288</v>
      </c>
      <c r="T617" s="746">
        <v>62.91</v>
      </c>
      <c r="U617" s="606">
        <f t="shared" si="84"/>
        <v>-140415.12</v>
      </c>
      <c r="V617" s="747">
        <f t="shared" si="85"/>
        <v>-381872.88</v>
      </c>
      <c r="W617" s="748">
        <v>62.91</v>
      </c>
      <c r="X617" s="607">
        <f t="shared" si="86"/>
        <v>-140415.12</v>
      </c>
      <c r="Y617" s="702">
        <f t="shared" si="87"/>
        <v>-381872.88</v>
      </c>
      <c r="Z617" s="748">
        <v>62.91</v>
      </c>
      <c r="AA617" s="607">
        <f t="shared" si="88"/>
        <v>-140415.12</v>
      </c>
      <c r="AB617" s="749">
        <f t="shared" si="89"/>
        <v>-381872.88</v>
      </c>
      <c r="AC617" s="714"/>
    </row>
    <row r="618" spans="1:29" ht="15" customHeight="1" x14ac:dyDescent="0.25">
      <c r="A618" s="713"/>
      <c r="B618" s="714" t="s">
        <v>815</v>
      </c>
      <c r="C618" s="676" t="s">
        <v>40</v>
      </c>
      <c r="D618" s="676" t="s">
        <v>346</v>
      </c>
      <c r="E618" s="680">
        <v>44593</v>
      </c>
      <c r="F618" s="676">
        <v>672</v>
      </c>
      <c r="G618" s="676" t="s">
        <v>58</v>
      </c>
      <c r="H618" s="676" t="s">
        <v>3</v>
      </c>
      <c r="I618" s="676" t="s">
        <v>44</v>
      </c>
      <c r="J618" s="676" t="s">
        <v>84</v>
      </c>
      <c r="K618" s="676">
        <v>234</v>
      </c>
      <c r="L618" s="690" t="s">
        <v>54</v>
      </c>
      <c r="M618" s="691">
        <v>3</v>
      </c>
      <c r="N618" s="690">
        <v>0</v>
      </c>
      <c r="O618" s="691">
        <v>234</v>
      </c>
      <c r="P618" s="690">
        <v>0</v>
      </c>
      <c r="Q618" s="738">
        <f t="shared" si="81"/>
        <v>471744</v>
      </c>
      <c r="R618" s="677">
        <f t="shared" si="82"/>
        <v>0</v>
      </c>
      <c r="S618" s="739">
        <f t="shared" si="83"/>
        <v>-471744</v>
      </c>
      <c r="T618" s="738">
        <v>55.7</v>
      </c>
      <c r="U618" s="677">
        <f t="shared" si="84"/>
        <v>-112291.20000000001</v>
      </c>
      <c r="V618" s="739">
        <f t="shared" si="85"/>
        <v>-359452.8</v>
      </c>
      <c r="W618" s="740">
        <v>55.7</v>
      </c>
      <c r="X618" s="678">
        <f t="shared" si="86"/>
        <v>-112291.20000000001</v>
      </c>
      <c r="Y618" s="700">
        <f t="shared" si="87"/>
        <v>-359452.8</v>
      </c>
      <c r="Z618" s="740">
        <v>55.7</v>
      </c>
      <c r="AA618" s="678">
        <f t="shared" si="88"/>
        <v>-112291.20000000001</v>
      </c>
      <c r="AB618" s="741">
        <f t="shared" si="89"/>
        <v>-359452.8</v>
      </c>
      <c r="AC618" s="714"/>
    </row>
    <row r="619" spans="1:29" ht="15" customHeight="1" x14ac:dyDescent="0.25">
      <c r="A619" s="713"/>
      <c r="B619" s="714" t="s">
        <v>815</v>
      </c>
      <c r="C619" s="676" t="s">
        <v>40</v>
      </c>
      <c r="D619" s="676" t="s">
        <v>346</v>
      </c>
      <c r="E619" s="680">
        <v>44621</v>
      </c>
      <c r="F619" s="676">
        <v>744</v>
      </c>
      <c r="G619" s="676" t="s">
        <v>58</v>
      </c>
      <c r="H619" s="676" t="s">
        <v>3</v>
      </c>
      <c r="I619" s="676" t="s">
        <v>44</v>
      </c>
      <c r="J619" s="676" t="s">
        <v>84</v>
      </c>
      <c r="K619" s="676">
        <v>234</v>
      </c>
      <c r="L619" s="690" t="s">
        <v>54</v>
      </c>
      <c r="M619" s="691">
        <v>3</v>
      </c>
      <c r="N619" s="690">
        <v>0</v>
      </c>
      <c r="O619" s="691">
        <v>234</v>
      </c>
      <c r="P619" s="690">
        <v>0</v>
      </c>
      <c r="Q619" s="738">
        <f t="shared" si="81"/>
        <v>522288</v>
      </c>
      <c r="R619" s="677">
        <f t="shared" si="82"/>
        <v>0</v>
      </c>
      <c r="S619" s="739">
        <f t="shared" si="83"/>
        <v>-522288</v>
      </c>
      <c r="T619" s="738">
        <v>55.7</v>
      </c>
      <c r="U619" s="677">
        <f t="shared" si="84"/>
        <v>-124322.40000000001</v>
      </c>
      <c r="V619" s="739">
        <f t="shared" si="85"/>
        <v>-397965.6</v>
      </c>
      <c r="W619" s="740">
        <v>55.7</v>
      </c>
      <c r="X619" s="678">
        <f t="shared" si="86"/>
        <v>-124322.40000000001</v>
      </c>
      <c r="Y619" s="700">
        <f t="shared" si="87"/>
        <v>-397965.6</v>
      </c>
      <c r="Z619" s="740">
        <v>55.7</v>
      </c>
      <c r="AA619" s="678">
        <f t="shared" si="88"/>
        <v>-124322.40000000001</v>
      </c>
      <c r="AB619" s="741">
        <f t="shared" si="89"/>
        <v>-397965.6</v>
      </c>
      <c r="AC619" s="714"/>
    </row>
    <row r="620" spans="1:29" ht="15" customHeight="1" x14ac:dyDescent="0.25">
      <c r="A620" s="713"/>
      <c r="B620" s="714" t="s">
        <v>815</v>
      </c>
      <c r="C620" s="676" t="s">
        <v>40</v>
      </c>
      <c r="D620" s="676" t="s">
        <v>346</v>
      </c>
      <c r="E620" s="680">
        <v>44652</v>
      </c>
      <c r="F620" s="676">
        <v>720</v>
      </c>
      <c r="G620" s="676" t="s">
        <v>58</v>
      </c>
      <c r="H620" s="676" t="s">
        <v>3</v>
      </c>
      <c r="I620" s="676" t="s">
        <v>44</v>
      </c>
      <c r="J620" s="676" t="s">
        <v>84</v>
      </c>
      <c r="K620" s="676">
        <v>234</v>
      </c>
      <c r="L620" s="690" t="s">
        <v>54</v>
      </c>
      <c r="M620" s="691">
        <v>3</v>
      </c>
      <c r="N620" s="690">
        <v>0</v>
      </c>
      <c r="O620" s="691">
        <v>234</v>
      </c>
      <c r="P620" s="690">
        <v>0</v>
      </c>
      <c r="Q620" s="738">
        <f t="shared" si="81"/>
        <v>505440</v>
      </c>
      <c r="R620" s="677">
        <f t="shared" si="82"/>
        <v>0</v>
      </c>
      <c r="S620" s="739">
        <f t="shared" si="83"/>
        <v>-505440</v>
      </c>
      <c r="T620" s="738">
        <v>55.7</v>
      </c>
      <c r="U620" s="677">
        <f t="shared" si="84"/>
        <v>-120312</v>
      </c>
      <c r="V620" s="739">
        <f t="shared" si="85"/>
        <v>-385128</v>
      </c>
      <c r="W620" s="740">
        <v>55.7</v>
      </c>
      <c r="X620" s="678">
        <f t="shared" si="86"/>
        <v>-120312</v>
      </c>
      <c r="Y620" s="700">
        <f t="shared" si="87"/>
        <v>-385128</v>
      </c>
      <c r="Z620" s="740">
        <v>55.7</v>
      </c>
      <c r="AA620" s="678">
        <f t="shared" si="88"/>
        <v>-120312</v>
      </c>
      <c r="AB620" s="741">
        <f t="shared" si="89"/>
        <v>-385128</v>
      </c>
      <c r="AC620" s="714"/>
    </row>
    <row r="621" spans="1:29" ht="15" customHeight="1" x14ac:dyDescent="0.25">
      <c r="A621" s="713"/>
      <c r="B621" s="714" t="s">
        <v>815</v>
      </c>
      <c r="C621" s="676" t="s">
        <v>40</v>
      </c>
      <c r="D621" s="676" t="s">
        <v>346</v>
      </c>
      <c r="E621" s="680">
        <v>44682</v>
      </c>
      <c r="F621" s="676">
        <v>744</v>
      </c>
      <c r="G621" s="676" t="s">
        <v>58</v>
      </c>
      <c r="H621" s="676" t="s">
        <v>3</v>
      </c>
      <c r="I621" s="676" t="s">
        <v>44</v>
      </c>
      <c r="J621" s="676" t="s">
        <v>84</v>
      </c>
      <c r="K621" s="676">
        <v>234</v>
      </c>
      <c r="L621" s="690" t="s">
        <v>54</v>
      </c>
      <c r="M621" s="691">
        <v>3</v>
      </c>
      <c r="N621" s="690">
        <v>0</v>
      </c>
      <c r="O621" s="691">
        <v>234</v>
      </c>
      <c r="P621" s="690">
        <v>0</v>
      </c>
      <c r="Q621" s="738">
        <f t="shared" si="81"/>
        <v>522288</v>
      </c>
      <c r="R621" s="677">
        <f t="shared" si="82"/>
        <v>0</v>
      </c>
      <c r="S621" s="739">
        <f t="shared" si="83"/>
        <v>-522288</v>
      </c>
      <c r="T621" s="738">
        <v>55.7</v>
      </c>
      <c r="U621" s="677">
        <f t="shared" si="84"/>
        <v>-124322.40000000001</v>
      </c>
      <c r="V621" s="739">
        <f t="shared" si="85"/>
        <v>-397965.6</v>
      </c>
      <c r="W621" s="740">
        <v>55.7</v>
      </c>
      <c r="X621" s="678">
        <f t="shared" si="86"/>
        <v>-124322.40000000001</v>
      </c>
      <c r="Y621" s="700">
        <f t="shared" si="87"/>
        <v>-397965.6</v>
      </c>
      <c r="Z621" s="740">
        <v>55.7</v>
      </c>
      <c r="AA621" s="678">
        <f t="shared" si="88"/>
        <v>-124322.40000000001</v>
      </c>
      <c r="AB621" s="741">
        <f t="shared" si="89"/>
        <v>-397965.6</v>
      </c>
      <c r="AC621" s="714"/>
    </row>
    <row r="622" spans="1:29" ht="15" customHeight="1" x14ac:dyDescent="0.25">
      <c r="A622" s="713"/>
      <c r="B622" s="714" t="s">
        <v>815</v>
      </c>
      <c r="C622" s="676" t="s">
        <v>40</v>
      </c>
      <c r="D622" s="676" t="s">
        <v>346</v>
      </c>
      <c r="E622" s="680">
        <v>44713</v>
      </c>
      <c r="F622" s="676">
        <v>720</v>
      </c>
      <c r="G622" s="676" t="s">
        <v>58</v>
      </c>
      <c r="H622" s="676" t="s">
        <v>3</v>
      </c>
      <c r="I622" s="676" t="s">
        <v>44</v>
      </c>
      <c r="J622" s="676" t="s">
        <v>84</v>
      </c>
      <c r="K622" s="676">
        <v>234</v>
      </c>
      <c r="L622" s="690" t="s">
        <v>54</v>
      </c>
      <c r="M622" s="691">
        <v>3</v>
      </c>
      <c r="N622" s="690">
        <v>0</v>
      </c>
      <c r="O622" s="691">
        <v>234</v>
      </c>
      <c r="P622" s="690">
        <v>0</v>
      </c>
      <c r="Q622" s="738">
        <f t="shared" si="81"/>
        <v>505440</v>
      </c>
      <c r="R622" s="677">
        <f t="shared" si="82"/>
        <v>0</v>
      </c>
      <c r="S622" s="739">
        <f t="shared" si="83"/>
        <v>-505440</v>
      </c>
      <c r="T622" s="738">
        <v>55.71</v>
      </c>
      <c r="U622" s="677">
        <f t="shared" si="84"/>
        <v>-120333.6</v>
      </c>
      <c r="V622" s="739">
        <f t="shared" si="85"/>
        <v>-385106.4</v>
      </c>
      <c r="W622" s="740">
        <v>55.71</v>
      </c>
      <c r="X622" s="678">
        <f t="shared" si="86"/>
        <v>-120333.6</v>
      </c>
      <c r="Y622" s="700">
        <f t="shared" si="87"/>
        <v>-385106.4</v>
      </c>
      <c r="Z622" s="740">
        <v>55.71</v>
      </c>
      <c r="AA622" s="678">
        <f t="shared" si="88"/>
        <v>-120333.6</v>
      </c>
      <c r="AB622" s="741">
        <f t="shared" si="89"/>
        <v>-385106.4</v>
      </c>
      <c r="AC622" s="714"/>
    </row>
    <row r="623" spans="1:29" ht="15" customHeight="1" x14ac:dyDescent="0.25">
      <c r="A623" s="713"/>
      <c r="B623" s="714" t="s">
        <v>815</v>
      </c>
      <c r="C623" s="676" t="s">
        <v>40</v>
      </c>
      <c r="D623" s="676" t="s">
        <v>346</v>
      </c>
      <c r="E623" s="680">
        <v>44743</v>
      </c>
      <c r="F623" s="676">
        <v>744</v>
      </c>
      <c r="G623" s="676" t="s">
        <v>58</v>
      </c>
      <c r="H623" s="676" t="s">
        <v>3</v>
      </c>
      <c r="I623" s="676" t="s">
        <v>44</v>
      </c>
      <c r="J623" s="676" t="s">
        <v>84</v>
      </c>
      <c r="K623" s="676">
        <v>234</v>
      </c>
      <c r="L623" s="690" t="s">
        <v>54</v>
      </c>
      <c r="M623" s="691">
        <v>3</v>
      </c>
      <c r="N623" s="690">
        <v>0</v>
      </c>
      <c r="O623" s="691">
        <v>234</v>
      </c>
      <c r="P623" s="690">
        <v>0</v>
      </c>
      <c r="Q623" s="738">
        <f t="shared" si="81"/>
        <v>522288</v>
      </c>
      <c r="R623" s="677">
        <f t="shared" si="82"/>
        <v>0</v>
      </c>
      <c r="S623" s="739">
        <f t="shared" si="83"/>
        <v>-522288</v>
      </c>
      <c r="T623" s="738">
        <v>66.319999999999993</v>
      </c>
      <c r="U623" s="677">
        <f t="shared" si="84"/>
        <v>-148026.23999999999</v>
      </c>
      <c r="V623" s="739">
        <f t="shared" si="85"/>
        <v>-374261.76000000001</v>
      </c>
      <c r="W623" s="740">
        <v>66.319999999999993</v>
      </c>
      <c r="X623" s="678">
        <f t="shared" si="86"/>
        <v>-148026.23999999999</v>
      </c>
      <c r="Y623" s="700">
        <f t="shared" si="87"/>
        <v>-374261.76000000001</v>
      </c>
      <c r="Z623" s="740">
        <v>66.319999999999993</v>
      </c>
      <c r="AA623" s="678">
        <f t="shared" si="88"/>
        <v>-148026.23999999999</v>
      </c>
      <c r="AB623" s="741">
        <f t="shared" si="89"/>
        <v>-374261.76000000001</v>
      </c>
      <c r="AC623" s="714"/>
    </row>
    <row r="624" spans="1:29" ht="15" customHeight="1" x14ac:dyDescent="0.25">
      <c r="A624" s="713"/>
      <c r="B624" s="714" t="s">
        <v>815</v>
      </c>
      <c r="C624" s="676" t="s">
        <v>40</v>
      </c>
      <c r="D624" s="676" t="s">
        <v>346</v>
      </c>
      <c r="E624" s="680">
        <v>44774</v>
      </c>
      <c r="F624" s="676">
        <v>744</v>
      </c>
      <c r="G624" s="676" t="s">
        <v>58</v>
      </c>
      <c r="H624" s="676" t="s">
        <v>3</v>
      </c>
      <c r="I624" s="676" t="s">
        <v>44</v>
      </c>
      <c r="J624" s="676" t="s">
        <v>84</v>
      </c>
      <c r="K624" s="676">
        <v>234</v>
      </c>
      <c r="L624" s="690" t="s">
        <v>54</v>
      </c>
      <c r="M624" s="691">
        <v>3</v>
      </c>
      <c r="N624" s="690">
        <v>0</v>
      </c>
      <c r="O624" s="691">
        <v>234</v>
      </c>
      <c r="P624" s="690">
        <v>0</v>
      </c>
      <c r="Q624" s="738">
        <f t="shared" si="81"/>
        <v>522288</v>
      </c>
      <c r="R624" s="677">
        <f t="shared" si="82"/>
        <v>0</v>
      </c>
      <c r="S624" s="739">
        <f t="shared" si="83"/>
        <v>-522288</v>
      </c>
      <c r="T624" s="738">
        <v>76.900000000000006</v>
      </c>
      <c r="U624" s="677">
        <f t="shared" si="84"/>
        <v>-171640.80000000002</v>
      </c>
      <c r="V624" s="739">
        <f t="shared" si="85"/>
        <v>-350647.19999999995</v>
      </c>
      <c r="W624" s="740">
        <v>76.900000000000006</v>
      </c>
      <c r="X624" s="678">
        <f t="shared" si="86"/>
        <v>-171640.80000000002</v>
      </c>
      <c r="Y624" s="700">
        <f t="shared" si="87"/>
        <v>-350647.19999999995</v>
      </c>
      <c r="Z624" s="740">
        <v>76.900000000000006</v>
      </c>
      <c r="AA624" s="678">
        <f t="shared" si="88"/>
        <v>-171640.80000000002</v>
      </c>
      <c r="AB624" s="741">
        <f t="shared" si="89"/>
        <v>-350647.19999999995</v>
      </c>
      <c r="AC624" s="714"/>
    </row>
    <row r="625" spans="1:29" ht="15" customHeight="1" x14ac:dyDescent="0.25">
      <c r="A625" s="713"/>
      <c r="B625" s="714" t="s">
        <v>815</v>
      </c>
      <c r="C625" s="676" t="s">
        <v>40</v>
      </c>
      <c r="D625" s="676" t="s">
        <v>346</v>
      </c>
      <c r="E625" s="680">
        <v>44805</v>
      </c>
      <c r="F625" s="676">
        <v>720</v>
      </c>
      <c r="G625" s="676" t="s">
        <v>58</v>
      </c>
      <c r="H625" s="676" t="s">
        <v>3</v>
      </c>
      <c r="I625" s="676" t="s">
        <v>44</v>
      </c>
      <c r="J625" s="676" t="s">
        <v>84</v>
      </c>
      <c r="K625" s="676">
        <v>234</v>
      </c>
      <c r="L625" s="690" t="s">
        <v>54</v>
      </c>
      <c r="M625" s="691">
        <v>3</v>
      </c>
      <c r="N625" s="690">
        <v>0</v>
      </c>
      <c r="O625" s="691">
        <v>234</v>
      </c>
      <c r="P625" s="690">
        <v>0</v>
      </c>
      <c r="Q625" s="738">
        <f t="shared" si="81"/>
        <v>505440</v>
      </c>
      <c r="R625" s="677">
        <f t="shared" si="82"/>
        <v>0</v>
      </c>
      <c r="S625" s="739">
        <f t="shared" si="83"/>
        <v>-505440</v>
      </c>
      <c r="T625" s="738">
        <v>56.08</v>
      </c>
      <c r="U625" s="677">
        <f t="shared" si="84"/>
        <v>-121132.8</v>
      </c>
      <c r="V625" s="739">
        <f t="shared" si="85"/>
        <v>-384307.20000000001</v>
      </c>
      <c r="W625" s="740">
        <v>56.08</v>
      </c>
      <c r="X625" s="678">
        <f t="shared" si="86"/>
        <v>-121132.8</v>
      </c>
      <c r="Y625" s="700">
        <f t="shared" si="87"/>
        <v>-384307.20000000001</v>
      </c>
      <c r="Z625" s="740">
        <v>56.08</v>
      </c>
      <c r="AA625" s="678">
        <f t="shared" si="88"/>
        <v>-121132.8</v>
      </c>
      <c r="AB625" s="741">
        <f t="shared" si="89"/>
        <v>-384307.20000000001</v>
      </c>
      <c r="AC625" s="714"/>
    </row>
    <row r="626" spans="1:29" ht="15" customHeight="1" x14ac:dyDescent="0.25">
      <c r="A626" s="713"/>
      <c r="B626" s="714" t="s">
        <v>815</v>
      </c>
      <c r="C626" s="676" t="s">
        <v>40</v>
      </c>
      <c r="D626" s="676" t="s">
        <v>346</v>
      </c>
      <c r="E626" s="680">
        <v>44835</v>
      </c>
      <c r="F626" s="676">
        <v>744</v>
      </c>
      <c r="G626" s="676" t="s">
        <v>58</v>
      </c>
      <c r="H626" s="676" t="s">
        <v>3</v>
      </c>
      <c r="I626" s="676" t="s">
        <v>44</v>
      </c>
      <c r="J626" s="676" t="s">
        <v>84</v>
      </c>
      <c r="K626" s="676">
        <v>234</v>
      </c>
      <c r="L626" s="690" t="s">
        <v>54</v>
      </c>
      <c r="M626" s="691">
        <v>3</v>
      </c>
      <c r="N626" s="690">
        <v>0</v>
      </c>
      <c r="O626" s="691">
        <v>234</v>
      </c>
      <c r="P626" s="690">
        <v>0</v>
      </c>
      <c r="Q626" s="738">
        <f t="shared" si="81"/>
        <v>522288</v>
      </c>
      <c r="R626" s="677">
        <f t="shared" si="82"/>
        <v>0</v>
      </c>
      <c r="S626" s="739">
        <f t="shared" si="83"/>
        <v>-522288</v>
      </c>
      <c r="T626" s="738">
        <v>55.7</v>
      </c>
      <c r="U626" s="677">
        <f t="shared" si="84"/>
        <v>-124322.40000000001</v>
      </c>
      <c r="V626" s="739">
        <f t="shared" si="85"/>
        <v>-397965.6</v>
      </c>
      <c r="W626" s="740">
        <v>55.7</v>
      </c>
      <c r="X626" s="678">
        <f t="shared" si="86"/>
        <v>-124322.40000000001</v>
      </c>
      <c r="Y626" s="700">
        <f t="shared" si="87"/>
        <v>-397965.6</v>
      </c>
      <c r="Z626" s="740">
        <v>55.7</v>
      </c>
      <c r="AA626" s="678">
        <f t="shared" si="88"/>
        <v>-124322.40000000001</v>
      </c>
      <c r="AB626" s="741">
        <f t="shared" si="89"/>
        <v>-397965.6</v>
      </c>
      <c r="AC626" s="714"/>
    </row>
    <row r="627" spans="1:29" ht="15" customHeight="1" x14ac:dyDescent="0.25">
      <c r="A627" s="713"/>
      <c r="B627" s="714" t="s">
        <v>815</v>
      </c>
      <c r="C627" s="676" t="s">
        <v>40</v>
      </c>
      <c r="D627" s="676" t="s">
        <v>346</v>
      </c>
      <c r="E627" s="680">
        <v>44866</v>
      </c>
      <c r="F627" s="676">
        <v>720</v>
      </c>
      <c r="G627" s="676" t="s">
        <v>58</v>
      </c>
      <c r="H627" s="676" t="s">
        <v>3</v>
      </c>
      <c r="I627" s="676" t="s">
        <v>44</v>
      </c>
      <c r="J627" s="676" t="s">
        <v>84</v>
      </c>
      <c r="K627" s="676">
        <v>234</v>
      </c>
      <c r="L627" s="690" t="s">
        <v>54</v>
      </c>
      <c r="M627" s="691">
        <v>3</v>
      </c>
      <c r="N627" s="690">
        <v>0</v>
      </c>
      <c r="O627" s="691">
        <v>234</v>
      </c>
      <c r="P627" s="690">
        <v>0</v>
      </c>
      <c r="Q627" s="738">
        <f t="shared" si="81"/>
        <v>505440</v>
      </c>
      <c r="R627" s="677">
        <f t="shared" si="82"/>
        <v>0</v>
      </c>
      <c r="S627" s="739">
        <f t="shared" si="83"/>
        <v>-505440</v>
      </c>
      <c r="T627" s="738">
        <v>55.7</v>
      </c>
      <c r="U627" s="677">
        <f t="shared" si="84"/>
        <v>-120312</v>
      </c>
      <c r="V627" s="739">
        <f t="shared" si="85"/>
        <v>-385128</v>
      </c>
      <c r="W627" s="740">
        <v>55.7</v>
      </c>
      <c r="X627" s="678">
        <f t="shared" si="86"/>
        <v>-120312</v>
      </c>
      <c r="Y627" s="700">
        <f t="shared" si="87"/>
        <v>-385128</v>
      </c>
      <c r="Z627" s="740">
        <v>55.7</v>
      </c>
      <c r="AA627" s="678">
        <f t="shared" si="88"/>
        <v>-120312</v>
      </c>
      <c r="AB627" s="741">
        <f t="shared" si="89"/>
        <v>-385128</v>
      </c>
      <c r="AC627" s="714"/>
    </row>
    <row r="628" spans="1:29" ht="15" customHeight="1" x14ac:dyDescent="0.25">
      <c r="A628" s="713"/>
      <c r="B628" s="729" t="s">
        <v>815</v>
      </c>
      <c r="C628" s="545" t="s">
        <v>40</v>
      </c>
      <c r="D628" s="545" t="s">
        <v>346</v>
      </c>
      <c r="E628" s="681">
        <v>44896</v>
      </c>
      <c r="F628" s="545">
        <v>744</v>
      </c>
      <c r="G628" s="545" t="s">
        <v>58</v>
      </c>
      <c r="H628" s="545" t="s">
        <v>3</v>
      </c>
      <c r="I628" s="545" t="s">
        <v>44</v>
      </c>
      <c r="J628" s="545" t="s">
        <v>84</v>
      </c>
      <c r="K628" s="545">
        <v>234</v>
      </c>
      <c r="L628" s="725" t="s">
        <v>54</v>
      </c>
      <c r="M628" s="695">
        <v>3</v>
      </c>
      <c r="N628" s="725">
        <v>0</v>
      </c>
      <c r="O628" s="695">
        <v>234</v>
      </c>
      <c r="P628" s="725">
        <v>0</v>
      </c>
      <c r="Q628" s="742">
        <f t="shared" si="81"/>
        <v>522288</v>
      </c>
      <c r="R628" s="603">
        <f t="shared" si="82"/>
        <v>0</v>
      </c>
      <c r="S628" s="743">
        <f t="shared" si="83"/>
        <v>-522288</v>
      </c>
      <c r="T628" s="742">
        <v>55.7</v>
      </c>
      <c r="U628" s="603">
        <f t="shared" si="84"/>
        <v>-124322.40000000001</v>
      </c>
      <c r="V628" s="743">
        <f t="shared" si="85"/>
        <v>-397965.6</v>
      </c>
      <c r="W628" s="744">
        <v>55.7</v>
      </c>
      <c r="X628" s="604">
        <f t="shared" si="86"/>
        <v>-124322.40000000001</v>
      </c>
      <c r="Y628" s="701">
        <f t="shared" si="87"/>
        <v>-397965.6</v>
      </c>
      <c r="Z628" s="744">
        <v>78.400653594793155</v>
      </c>
      <c r="AA628" s="604">
        <f t="shared" si="88"/>
        <v>-174990.25882357833</v>
      </c>
      <c r="AB628" s="745">
        <f t="shared" si="89"/>
        <v>-347297.74117642164</v>
      </c>
      <c r="AC628" s="714"/>
    </row>
    <row r="629" spans="1:29" ht="15" customHeight="1" x14ac:dyDescent="0.25">
      <c r="A629" s="713"/>
      <c r="B629" s="731" t="s">
        <v>816</v>
      </c>
      <c r="C629" s="547" t="s">
        <v>40</v>
      </c>
      <c r="D629" s="547" t="s">
        <v>502</v>
      </c>
      <c r="E629" s="683">
        <v>44562</v>
      </c>
      <c r="F629" s="547">
        <v>744</v>
      </c>
      <c r="G629" s="547" t="s">
        <v>58</v>
      </c>
      <c r="H629" s="547" t="s">
        <v>3</v>
      </c>
      <c r="I629" s="547" t="s">
        <v>44</v>
      </c>
      <c r="J629" s="547" t="s">
        <v>84</v>
      </c>
      <c r="K629" s="547">
        <v>161</v>
      </c>
      <c r="L629" s="727" t="s">
        <v>54</v>
      </c>
      <c r="M629" s="697">
        <v>4</v>
      </c>
      <c r="N629" s="727">
        <v>0</v>
      </c>
      <c r="O629" s="697">
        <v>161</v>
      </c>
      <c r="P629" s="727">
        <v>0</v>
      </c>
      <c r="Q629" s="750">
        <f t="shared" si="81"/>
        <v>479136</v>
      </c>
      <c r="R629" s="608">
        <f t="shared" si="82"/>
        <v>0</v>
      </c>
      <c r="S629" s="751">
        <f t="shared" si="83"/>
        <v>-479136</v>
      </c>
      <c r="T629" s="750">
        <v>62.91</v>
      </c>
      <c r="U629" s="608">
        <f t="shared" si="84"/>
        <v>-187220.16</v>
      </c>
      <c r="V629" s="751">
        <f t="shared" si="85"/>
        <v>-291915.83999999997</v>
      </c>
      <c r="W629" s="752">
        <v>62.91</v>
      </c>
      <c r="X629" s="609">
        <f t="shared" si="86"/>
        <v>-187220.16</v>
      </c>
      <c r="Y629" s="703">
        <f t="shared" si="87"/>
        <v>-291915.83999999997</v>
      </c>
      <c r="Z629" s="752">
        <v>62.91</v>
      </c>
      <c r="AA629" s="609">
        <f t="shared" si="88"/>
        <v>-187220.16</v>
      </c>
      <c r="AB629" s="753">
        <f t="shared" si="89"/>
        <v>-291915.83999999997</v>
      </c>
      <c r="AC629" s="714"/>
    </row>
    <row r="630" spans="1:29" ht="15" customHeight="1" x14ac:dyDescent="0.25">
      <c r="A630" s="713"/>
      <c r="B630" s="730" t="s">
        <v>818</v>
      </c>
      <c r="C630" s="546" t="s">
        <v>40</v>
      </c>
      <c r="D630" s="546" t="s">
        <v>508</v>
      </c>
      <c r="E630" s="682">
        <v>44652</v>
      </c>
      <c r="F630" s="546">
        <v>720</v>
      </c>
      <c r="G630" s="546" t="s">
        <v>58</v>
      </c>
      <c r="H630" s="546" t="s">
        <v>3</v>
      </c>
      <c r="I630" s="546" t="s">
        <v>44</v>
      </c>
      <c r="J630" s="546" t="s">
        <v>84</v>
      </c>
      <c r="K630" s="546">
        <v>175</v>
      </c>
      <c r="L630" s="726" t="s">
        <v>54</v>
      </c>
      <c r="M630" s="696">
        <v>1</v>
      </c>
      <c r="N630" s="726">
        <v>0</v>
      </c>
      <c r="O630" s="696">
        <v>175</v>
      </c>
      <c r="P630" s="726">
        <v>0</v>
      </c>
      <c r="Q630" s="746">
        <f t="shared" si="81"/>
        <v>126000</v>
      </c>
      <c r="R630" s="606">
        <f t="shared" si="82"/>
        <v>0</v>
      </c>
      <c r="S630" s="747">
        <f t="shared" si="83"/>
        <v>-126000</v>
      </c>
      <c r="T630" s="746">
        <v>55.7</v>
      </c>
      <c r="U630" s="606">
        <f t="shared" si="84"/>
        <v>-40104</v>
      </c>
      <c r="V630" s="747">
        <f t="shared" si="85"/>
        <v>-85896</v>
      </c>
      <c r="W630" s="748">
        <v>55.7</v>
      </c>
      <c r="X630" s="607">
        <f t="shared" si="86"/>
        <v>-40104</v>
      </c>
      <c r="Y630" s="702">
        <f t="shared" si="87"/>
        <v>-85896</v>
      </c>
      <c r="Z630" s="748">
        <v>55.7</v>
      </c>
      <c r="AA630" s="607">
        <f t="shared" si="88"/>
        <v>-40104</v>
      </c>
      <c r="AB630" s="749">
        <f t="shared" si="89"/>
        <v>-85896</v>
      </c>
      <c r="AC630" s="714"/>
    </row>
    <row r="631" spans="1:29" ht="15" customHeight="1" x14ac:dyDescent="0.25">
      <c r="A631" s="713"/>
      <c r="B631" s="714" t="s">
        <v>818</v>
      </c>
      <c r="C631" s="676" t="s">
        <v>40</v>
      </c>
      <c r="D631" s="676" t="s">
        <v>508</v>
      </c>
      <c r="E631" s="680">
        <v>44682</v>
      </c>
      <c r="F631" s="676">
        <v>744</v>
      </c>
      <c r="G631" s="676" t="s">
        <v>58</v>
      </c>
      <c r="H631" s="676" t="s">
        <v>3</v>
      </c>
      <c r="I631" s="676" t="s">
        <v>44</v>
      </c>
      <c r="J631" s="676" t="s">
        <v>84</v>
      </c>
      <c r="K631" s="676">
        <v>175</v>
      </c>
      <c r="L631" s="690" t="s">
        <v>54</v>
      </c>
      <c r="M631" s="691">
        <v>1</v>
      </c>
      <c r="N631" s="690">
        <v>0</v>
      </c>
      <c r="O631" s="691">
        <v>175</v>
      </c>
      <c r="P631" s="690">
        <v>0</v>
      </c>
      <c r="Q631" s="738">
        <f t="shared" si="81"/>
        <v>130200</v>
      </c>
      <c r="R631" s="677">
        <f t="shared" si="82"/>
        <v>0</v>
      </c>
      <c r="S631" s="739">
        <f t="shared" si="83"/>
        <v>-130200</v>
      </c>
      <c r="T631" s="738">
        <v>55.7</v>
      </c>
      <c r="U631" s="677">
        <f t="shared" si="84"/>
        <v>-41440.800000000003</v>
      </c>
      <c r="V631" s="739">
        <f t="shared" si="85"/>
        <v>-88759.2</v>
      </c>
      <c r="W631" s="740">
        <v>55.7</v>
      </c>
      <c r="X631" s="678">
        <f t="shared" si="86"/>
        <v>-41440.800000000003</v>
      </c>
      <c r="Y631" s="700">
        <f t="shared" si="87"/>
        <v>-88759.2</v>
      </c>
      <c r="Z631" s="740">
        <v>55.7</v>
      </c>
      <c r="AA631" s="678">
        <f t="shared" si="88"/>
        <v>-41440.800000000003</v>
      </c>
      <c r="AB631" s="741">
        <f t="shared" si="89"/>
        <v>-88759.2</v>
      </c>
      <c r="AC631" s="714"/>
    </row>
    <row r="632" spans="1:29" ht="15" customHeight="1" x14ac:dyDescent="0.25">
      <c r="A632" s="713"/>
      <c r="B632" s="729" t="s">
        <v>818</v>
      </c>
      <c r="C632" s="545" t="s">
        <v>40</v>
      </c>
      <c r="D632" s="545" t="s">
        <v>508</v>
      </c>
      <c r="E632" s="681">
        <v>44713</v>
      </c>
      <c r="F632" s="545">
        <v>720</v>
      </c>
      <c r="G632" s="545" t="s">
        <v>58</v>
      </c>
      <c r="H632" s="545" t="s">
        <v>3</v>
      </c>
      <c r="I632" s="545" t="s">
        <v>44</v>
      </c>
      <c r="J632" s="545" t="s">
        <v>84</v>
      </c>
      <c r="K632" s="545">
        <v>175</v>
      </c>
      <c r="L632" s="725" t="s">
        <v>54</v>
      </c>
      <c r="M632" s="695">
        <v>1</v>
      </c>
      <c r="N632" s="725">
        <v>0</v>
      </c>
      <c r="O632" s="695">
        <v>175</v>
      </c>
      <c r="P632" s="725">
        <v>0</v>
      </c>
      <c r="Q632" s="742">
        <f t="shared" si="81"/>
        <v>126000</v>
      </c>
      <c r="R632" s="603">
        <f t="shared" si="82"/>
        <v>0</v>
      </c>
      <c r="S632" s="743">
        <f t="shared" si="83"/>
        <v>-126000</v>
      </c>
      <c r="T632" s="742">
        <v>55.71</v>
      </c>
      <c r="U632" s="603">
        <f t="shared" si="84"/>
        <v>-40111.199999999997</v>
      </c>
      <c r="V632" s="743">
        <f t="shared" si="85"/>
        <v>-85888.8</v>
      </c>
      <c r="W632" s="744">
        <v>55.71</v>
      </c>
      <c r="X632" s="604">
        <f t="shared" si="86"/>
        <v>-40111.199999999997</v>
      </c>
      <c r="Y632" s="701">
        <f t="shared" si="87"/>
        <v>-85888.8</v>
      </c>
      <c r="Z632" s="744">
        <v>55.71</v>
      </c>
      <c r="AA632" s="604">
        <f t="shared" si="88"/>
        <v>-40111.199999999997</v>
      </c>
      <c r="AB632" s="745">
        <f t="shared" si="89"/>
        <v>-85888.8</v>
      </c>
      <c r="AC632" s="714"/>
    </row>
    <row r="633" spans="1:29" ht="15" customHeight="1" x14ac:dyDescent="0.25">
      <c r="A633" s="713"/>
      <c r="B633" s="730" t="s">
        <v>820</v>
      </c>
      <c r="C633" s="546" t="s">
        <v>40</v>
      </c>
      <c r="D633" s="546" t="s">
        <v>505</v>
      </c>
      <c r="E633" s="682">
        <v>44652</v>
      </c>
      <c r="F633" s="546">
        <v>720</v>
      </c>
      <c r="G633" s="546" t="s">
        <v>58</v>
      </c>
      <c r="H633" s="546" t="s">
        <v>3</v>
      </c>
      <c r="I633" s="546" t="s">
        <v>44</v>
      </c>
      <c r="J633" s="546" t="s">
        <v>84</v>
      </c>
      <c r="K633" s="546">
        <v>175</v>
      </c>
      <c r="L633" s="726" t="s">
        <v>54</v>
      </c>
      <c r="M633" s="696">
        <v>2</v>
      </c>
      <c r="N633" s="726">
        <v>0</v>
      </c>
      <c r="O633" s="696">
        <v>175</v>
      </c>
      <c r="P633" s="726">
        <v>0</v>
      </c>
      <c r="Q633" s="746">
        <f t="shared" si="81"/>
        <v>252000</v>
      </c>
      <c r="R633" s="606">
        <f t="shared" si="82"/>
        <v>0</v>
      </c>
      <c r="S633" s="747">
        <f t="shared" si="83"/>
        <v>-252000</v>
      </c>
      <c r="T633" s="746">
        <v>55.7</v>
      </c>
      <c r="U633" s="606">
        <f t="shared" si="84"/>
        <v>-80208</v>
      </c>
      <c r="V633" s="747">
        <f t="shared" si="85"/>
        <v>-171792</v>
      </c>
      <c r="W633" s="748">
        <v>55.7</v>
      </c>
      <c r="X633" s="607">
        <f t="shared" si="86"/>
        <v>-80208</v>
      </c>
      <c r="Y633" s="702">
        <f t="shared" si="87"/>
        <v>-171792</v>
      </c>
      <c r="Z633" s="748">
        <v>55.7</v>
      </c>
      <c r="AA633" s="607">
        <f t="shared" si="88"/>
        <v>-80208</v>
      </c>
      <c r="AB633" s="749">
        <f t="shared" si="89"/>
        <v>-171792</v>
      </c>
      <c r="AC633" s="714"/>
    </row>
    <row r="634" spans="1:29" ht="15" customHeight="1" x14ac:dyDescent="0.25">
      <c r="A634" s="713"/>
      <c r="B634" s="714" t="s">
        <v>820</v>
      </c>
      <c r="C634" s="676" t="s">
        <v>40</v>
      </c>
      <c r="D634" s="676" t="s">
        <v>505</v>
      </c>
      <c r="E634" s="680">
        <v>44682</v>
      </c>
      <c r="F634" s="676">
        <v>744</v>
      </c>
      <c r="G634" s="676" t="s">
        <v>58</v>
      </c>
      <c r="H634" s="676" t="s">
        <v>3</v>
      </c>
      <c r="I634" s="676" t="s">
        <v>44</v>
      </c>
      <c r="J634" s="676" t="s">
        <v>84</v>
      </c>
      <c r="K634" s="676">
        <v>175</v>
      </c>
      <c r="L634" s="690" t="s">
        <v>54</v>
      </c>
      <c r="M634" s="691">
        <v>2</v>
      </c>
      <c r="N634" s="690">
        <v>0</v>
      </c>
      <c r="O634" s="691">
        <v>175</v>
      </c>
      <c r="P634" s="690">
        <v>0</v>
      </c>
      <c r="Q634" s="738">
        <f t="shared" si="81"/>
        <v>260400</v>
      </c>
      <c r="R634" s="677">
        <f t="shared" si="82"/>
        <v>0</v>
      </c>
      <c r="S634" s="739">
        <f t="shared" si="83"/>
        <v>-260400</v>
      </c>
      <c r="T634" s="738">
        <v>55.7</v>
      </c>
      <c r="U634" s="677">
        <f t="shared" si="84"/>
        <v>-82881.600000000006</v>
      </c>
      <c r="V634" s="739">
        <f t="shared" si="85"/>
        <v>-177518.4</v>
      </c>
      <c r="W634" s="740">
        <v>55.7</v>
      </c>
      <c r="X634" s="678">
        <f t="shared" si="86"/>
        <v>-82881.600000000006</v>
      </c>
      <c r="Y634" s="700">
        <f t="shared" si="87"/>
        <v>-177518.4</v>
      </c>
      <c r="Z634" s="740">
        <v>55.7</v>
      </c>
      <c r="AA634" s="678">
        <f t="shared" si="88"/>
        <v>-82881.600000000006</v>
      </c>
      <c r="AB634" s="741">
        <f t="shared" si="89"/>
        <v>-177518.4</v>
      </c>
      <c r="AC634" s="714"/>
    </row>
    <row r="635" spans="1:29" ht="15" customHeight="1" x14ac:dyDescent="0.25">
      <c r="A635" s="713"/>
      <c r="B635" s="729" t="s">
        <v>820</v>
      </c>
      <c r="C635" s="545" t="s">
        <v>40</v>
      </c>
      <c r="D635" s="545" t="s">
        <v>505</v>
      </c>
      <c r="E635" s="681">
        <v>44713</v>
      </c>
      <c r="F635" s="545">
        <v>720</v>
      </c>
      <c r="G635" s="545" t="s">
        <v>58</v>
      </c>
      <c r="H635" s="545" t="s">
        <v>3</v>
      </c>
      <c r="I635" s="545" t="s">
        <v>44</v>
      </c>
      <c r="J635" s="545" t="s">
        <v>84</v>
      </c>
      <c r="K635" s="545">
        <v>175</v>
      </c>
      <c r="L635" s="725" t="s">
        <v>54</v>
      </c>
      <c r="M635" s="695">
        <v>2</v>
      </c>
      <c r="N635" s="725">
        <v>0</v>
      </c>
      <c r="O635" s="695">
        <v>175</v>
      </c>
      <c r="P635" s="725">
        <v>0</v>
      </c>
      <c r="Q635" s="742">
        <f t="shared" si="81"/>
        <v>252000</v>
      </c>
      <c r="R635" s="603">
        <f t="shared" si="82"/>
        <v>0</v>
      </c>
      <c r="S635" s="743">
        <f t="shared" si="83"/>
        <v>-252000</v>
      </c>
      <c r="T635" s="742">
        <v>55.71</v>
      </c>
      <c r="U635" s="603">
        <f t="shared" si="84"/>
        <v>-80222.399999999994</v>
      </c>
      <c r="V635" s="743">
        <f t="shared" si="85"/>
        <v>-171777.6</v>
      </c>
      <c r="W635" s="744">
        <v>55.71</v>
      </c>
      <c r="X635" s="604">
        <f t="shared" si="86"/>
        <v>-80222.399999999994</v>
      </c>
      <c r="Y635" s="701">
        <f t="shared" si="87"/>
        <v>-171777.6</v>
      </c>
      <c r="Z635" s="744">
        <v>55.71</v>
      </c>
      <c r="AA635" s="604">
        <f t="shared" si="88"/>
        <v>-80222.399999999994</v>
      </c>
      <c r="AB635" s="745">
        <f t="shared" si="89"/>
        <v>-171777.6</v>
      </c>
      <c r="AC635" s="714"/>
    </row>
    <row r="636" spans="1:29" ht="15" customHeight="1" x14ac:dyDescent="0.25">
      <c r="A636" s="713"/>
      <c r="B636" s="730" t="s">
        <v>822</v>
      </c>
      <c r="C636" s="546" t="s">
        <v>40</v>
      </c>
      <c r="D636" s="546" t="s">
        <v>404</v>
      </c>
      <c r="E636" s="682">
        <v>44927</v>
      </c>
      <c r="F636" s="546">
        <v>744</v>
      </c>
      <c r="G636" s="546" t="s">
        <v>58</v>
      </c>
      <c r="H636" s="546" t="s">
        <v>3</v>
      </c>
      <c r="I636" s="546" t="s">
        <v>11</v>
      </c>
      <c r="J636" s="546" t="s">
        <v>84</v>
      </c>
      <c r="K636" s="546">
        <v>190</v>
      </c>
      <c r="L636" s="726" t="s">
        <v>54</v>
      </c>
      <c r="M636" s="696">
        <v>1</v>
      </c>
      <c r="N636" s="726">
        <v>0</v>
      </c>
      <c r="O636" s="696">
        <v>202.17712386254072</v>
      </c>
      <c r="P636" s="726">
        <v>0</v>
      </c>
      <c r="Q636" s="746">
        <f t="shared" si="81"/>
        <v>150419.7801537303</v>
      </c>
      <c r="R636" s="606">
        <f t="shared" si="82"/>
        <v>0</v>
      </c>
      <c r="S636" s="747">
        <f t="shared" si="83"/>
        <v>-150419.7801537303</v>
      </c>
      <c r="T636" s="746">
        <v>68.72</v>
      </c>
      <c r="U636" s="606">
        <f t="shared" si="84"/>
        <v>-51127.68</v>
      </c>
      <c r="V636" s="747">
        <f t="shared" si="85"/>
        <v>-99292.100153730309</v>
      </c>
      <c r="W636" s="748">
        <v>55.7</v>
      </c>
      <c r="X636" s="607">
        <f t="shared" si="86"/>
        <v>-41440.800000000003</v>
      </c>
      <c r="Y636" s="702">
        <f t="shared" si="87"/>
        <v>-108978.9801537303</v>
      </c>
      <c r="Z636" s="748">
        <v>96.206580759134184</v>
      </c>
      <c r="AA636" s="607">
        <f t="shared" si="88"/>
        <v>-71577.69608479584</v>
      </c>
      <c r="AB636" s="749">
        <f t="shared" si="89"/>
        <v>-78842.084068934462</v>
      </c>
      <c r="AC636" s="714"/>
    </row>
    <row r="637" spans="1:29" ht="15" customHeight="1" x14ac:dyDescent="0.25">
      <c r="A637" s="713"/>
      <c r="B637" s="714" t="s">
        <v>822</v>
      </c>
      <c r="C637" s="676" t="s">
        <v>40</v>
      </c>
      <c r="D637" s="676" t="s">
        <v>404</v>
      </c>
      <c r="E637" s="680">
        <v>44958</v>
      </c>
      <c r="F637" s="676">
        <v>672</v>
      </c>
      <c r="G637" s="676" t="s">
        <v>58</v>
      </c>
      <c r="H637" s="676" t="s">
        <v>3</v>
      </c>
      <c r="I637" s="676" t="s">
        <v>11</v>
      </c>
      <c r="J637" s="676" t="s">
        <v>84</v>
      </c>
      <c r="K637" s="676">
        <v>190</v>
      </c>
      <c r="L637" s="690" t="s">
        <v>54</v>
      </c>
      <c r="M637" s="691">
        <v>1</v>
      </c>
      <c r="N637" s="690">
        <v>0</v>
      </c>
      <c r="O637" s="691">
        <v>202.17712386254072</v>
      </c>
      <c r="P637" s="690">
        <v>0</v>
      </c>
      <c r="Q637" s="738">
        <f t="shared" si="81"/>
        <v>135863.02723562738</v>
      </c>
      <c r="R637" s="677">
        <f t="shared" si="82"/>
        <v>0</v>
      </c>
      <c r="S637" s="739">
        <f t="shared" si="83"/>
        <v>-135863.02723562738</v>
      </c>
      <c r="T637" s="738">
        <v>69.25</v>
      </c>
      <c r="U637" s="677">
        <f t="shared" si="84"/>
        <v>-46536</v>
      </c>
      <c r="V637" s="739">
        <f t="shared" si="85"/>
        <v>-89327.027235627378</v>
      </c>
      <c r="W637" s="740">
        <v>55.7</v>
      </c>
      <c r="X637" s="678">
        <f t="shared" si="86"/>
        <v>-37430.400000000001</v>
      </c>
      <c r="Y637" s="700">
        <f t="shared" si="87"/>
        <v>-98432.627235627384</v>
      </c>
      <c r="Z637" s="740">
        <v>92.430648861364247</v>
      </c>
      <c r="AA637" s="678">
        <f t="shared" si="88"/>
        <v>-62113.396034836776</v>
      </c>
      <c r="AB637" s="741">
        <f t="shared" si="89"/>
        <v>-73749.631200790609</v>
      </c>
      <c r="AC637" s="714"/>
    </row>
    <row r="638" spans="1:29" ht="15" customHeight="1" x14ac:dyDescent="0.25">
      <c r="A638" s="713"/>
      <c r="B638" s="714" t="s">
        <v>822</v>
      </c>
      <c r="C638" s="676" t="s">
        <v>40</v>
      </c>
      <c r="D638" s="676" t="s">
        <v>404</v>
      </c>
      <c r="E638" s="680">
        <v>44986</v>
      </c>
      <c r="F638" s="676">
        <v>744</v>
      </c>
      <c r="G638" s="676" t="s">
        <v>58</v>
      </c>
      <c r="H638" s="676" t="s">
        <v>3</v>
      </c>
      <c r="I638" s="676" t="s">
        <v>11</v>
      </c>
      <c r="J638" s="676" t="s">
        <v>84</v>
      </c>
      <c r="K638" s="676">
        <v>190</v>
      </c>
      <c r="L638" s="690" t="s">
        <v>54</v>
      </c>
      <c r="M638" s="691">
        <v>1</v>
      </c>
      <c r="N638" s="690">
        <v>0</v>
      </c>
      <c r="O638" s="691">
        <v>202.17712386254072</v>
      </c>
      <c r="P638" s="690">
        <v>0</v>
      </c>
      <c r="Q638" s="738">
        <f t="shared" si="81"/>
        <v>150419.7801537303</v>
      </c>
      <c r="R638" s="677">
        <f t="shared" si="82"/>
        <v>0</v>
      </c>
      <c r="S638" s="739">
        <f t="shared" si="83"/>
        <v>-150419.7801537303</v>
      </c>
      <c r="T638" s="738">
        <v>69.3</v>
      </c>
      <c r="U638" s="677">
        <f t="shared" si="84"/>
        <v>-51559.199999999997</v>
      </c>
      <c r="V638" s="739">
        <f t="shared" si="85"/>
        <v>-98860.580153730305</v>
      </c>
      <c r="W638" s="740">
        <v>55.7</v>
      </c>
      <c r="X638" s="678">
        <f t="shared" si="86"/>
        <v>-41440.800000000003</v>
      </c>
      <c r="Y638" s="700">
        <f t="shared" si="87"/>
        <v>-108978.9801537303</v>
      </c>
      <c r="Z638" s="740">
        <v>89.053218420260009</v>
      </c>
      <c r="AA638" s="678">
        <f t="shared" si="88"/>
        <v>-66255.594504673441</v>
      </c>
      <c r="AB638" s="741">
        <f t="shared" si="89"/>
        <v>-84164.185649056861</v>
      </c>
      <c r="AC638" s="714"/>
    </row>
    <row r="639" spans="1:29" ht="15" customHeight="1" x14ac:dyDescent="0.25">
      <c r="A639" s="713"/>
      <c r="B639" s="714" t="s">
        <v>822</v>
      </c>
      <c r="C639" s="676" t="s">
        <v>40</v>
      </c>
      <c r="D639" s="676" t="s">
        <v>404</v>
      </c>
      <c r="E639" s="680">
        <v>45017</v>
      </c>
      <c r="F639" s="676">
        <v>720</v>
      </c>
      <c r="G639" s="676" t="s">
        <v>58</v>
      </c>
      <c r="H639" s="676" t="s">
        <v>3</v>
      </c>
      <c r="I639" s="676" t="s">
        <v>11</v>
      </c>
      <c r="J639" s="676" t="s">
        <v>84</v>
      </c>
      <c r="K639" s="676">
        <v>190</v>
      </c>
      <c r="L639" s="690" t="s">
        <v>54</v>
      </c>
      <c r="M639" s="691">
        <v>1</v>
      </c>
      <c r="N639" s="690">
        <v>0</v>
      </c>
      <c r="O639" s="691">
        <v>202.17712386254072</v>
      </c>
      <c r="P639" s="690">
        <v>0</v>
      </c>
      <c r="Q639" s="738">
        <f t="shared" si="81"/>
        <v>145567.52918102933</v>
      </c>
      <c r="R639" s="677">
        <f t="shared" si="82"/>
        <v>0</v>
      </c>
      <c r="S639" s="739">
        <f t="shared" si="83"/>
        <v>-145567.52918102933</v>
      </c>
      <c r="T639" s="738">
        <v>69.8</v>
      </c>
      <c r="U639" s="677">
        <f t="shared" si="84"/>
        <v>-50256</v>
      </c>
      <c r="V639" s="739">
        <f t="shared" si="85"/>
        <v>-95311.529181029327</v>
      </c>
      <c r="W639" s="740">
        <v>55.7</v>
      </c>
      <c r="X639" s="678">
        <f t="shared" si="86"/>
        <v>-40104</v>
      </c>
      <c r="Y639" s="700">
        <f t="shared" si="87"/>
        <v>-105463.52918102933</v>
      </c>
      <c r="Z639" s="740">
        <v>85.732008718771311</v>
      </c>
      <c r="AA639" s="678">
        <f t="shared" si="88"/>
        <v>-61727.046277515343</v>
      </c>
      <c r="AB639" s="741">
        <f t="shared" si="89"/>
        <v>-83840.482903513985</v>
      </c>
      <c r="AC639" s="714"/>
    </row>
    <row r="640" spans="1:29" ht="15" customHeight="1" x14ac:dyDescent="0.25">
      <c r="A640" s="713"/>
      <c r="B640" s="714" t="s">
        <v>822</v>
      </c>
      <c r="C640" s="676" t="s">
        <v>40</v>
      </c>
      <c r="D640" s="676" t="s">
        <v>404</v>
      </c>
      <c r="E640" s="680">
        <v>45047</v>
      </c>
      <c r="F640" s="676">
        <v>744</v>
      </c>
      <c r="G640" s="676" t="s">
        <v>58</v>
      </c>
      <c r="H640" s="676" t="s">
        <v>3</v>
      </c>
      <c r="I640" s="676" t="s">
        <v>11</v>
      </c>
      <c r="J640" s="676" t="s">
        <v>84</v>
      </c>
      <c r="K640" s="676">
        <v>190</v>
      </c>
      <c r="L640" s="690" t="s">
        <v>54</v>
      </c>
      <c r="M640" s="691">
        <v>1</v>
      </c>
      <c r="N640" s="690">
        <v>0</v>
      </c>
      <c r="O640" s="691">
        <v>202.17712386254072</v>
      </c>
      <c r="P640" s="690">
        <v>0</v>
      </c>
      <c r="Q640" s="738">
        <f t="shared" si="81"/>
        <v>150419.7801537303</v>
      </c>
      <c r="R640" s="677">
        <f t="shared" si="82"/>
        <v>0</v>
      </c>
      <c r="S640" s="739">
        <f t="shared" si="83"/>
        <v>-150419.7801537303</v>
      </c>
      <c r="T640" s="738">
        <v>70.2</v>
      </c>
      <c r="U640" s="677">
        <f t="shared" si="84"/>
        <v>-52228.800000000003</v>
      </c>
      <c r="V640" s="739">
        <f t="shared" si="85"/>
        <v>-98190.980153730299</v>
      </c>
      <c r="W640" s="740">
        <v>55.7</v>
      </c>
      <c r="X640" s="678">
        <f t="shared" si="86"/>
        <v>-41440.800000000003</v>
      </c>
      <c r="Y640" s="700">
        <f t="shared" si="87"/>
        <v>-108978.9801537303</v>
      </c>
      <c r="Z640" s="740">
        <v>86.223309628334476</v>
      </c>
      <c r="AA640" s="678">
        <f t="shared" si="88"/>
        <v>-64150.142363480853</v>
      </c>
      <c r="AB640" s="741">
        <f t="shared" si="89"/>
        <v>-86269.637790249457</v>
      </c>
      <c r="AC640" s="714"/>
    </row>
    <row r="641" spans="1:29" ht="15" customHeight="1" x14ac:dyDescent="0.25">
      <c r="A641" s="713"/>
      <c r="B641" s="714" t="s">
        <v>822</v>
      </c>
      <c r="C641" s="676" t="s">
        <v>40</v>
      </c>
      <c r="D641" s="676" t="s">
        <v>404</v>
      </c>
      <c r="E641" s="680">
        <v>45078</v>
      </c>
      <c r="F641" s="676">
        <v>720</v>
      </c>
      <c r="G641" s="676" t="s">
        <v>58</v>
      </c>
      <c r="H641" s="676" t="s">
        <v>3</v>
      </c>
      <c r="I641" s="676" t="s">
        <v>11</v>
      </c>
      <c r="J641" s="676" t="s">
        <v>84</v>
      </c>
      <c r="K641" s="676">
        <v>190</v>
      </c>
      <c r="L641" s="690" t="s">
        <v>54</v>
      </c>
      <c r="M641" s="691">
        <v>1</v>
      </c>
      <c r="N641" s="690">
        <v>0</v>
      </c>
      <c r="O641" s="691">
        <v>202.17712386254072</v>
      </c>
      <c r="P641" s="690">
        <v>0</v>
      </c>
      <c r="Q641" s="738">
        <f t="shared" si="81"/>
        <v>145567.52918102933</v>
      </c>
      <c r="R641" s="677">
        <f t="shared" si="82"/>
        <v>0</v>
      </c>
      <c r="S641" s="739">
        <f t="shared" si="83"/>
        <v>-145567.52918102933</v>
      </c>
      <c r="T641" s="738">
        <v>72.400000000000006</v>
      </c>
      <c r="U641" s="677">
        <f t="shared" si="84"/>
        <v>-52128.000000000007</v>
      </c>
      <c r="V641" s="739">
        <f t="shared" si="85"/>
        <v>-93439.529181029327</v>
      </c>
      <c r="W641" s="740">
        <v>55.874535369068141</v>
      </c>
      <c r="X641" s="678">
        <f t="shared" si="86"/>
        <v>-40229.665465729064</v>
      </c>
      <c r="Y641" s="700">
        <f t="shared" si="87"/>
        <v>-105337.86371530026</v>
      </c>
      <c r="Z641" s="740">
        <v>88.925464630931856</v>
      </c>
      <c r="AA641" s="678">
        <f t="shared" si="88"/>
        <v>-64026.334534270936</v>
      </c>
      <c r="AB641" s="741">
        <f t="shared" si="89"/>
        <v>-81541.194646758391</v>
      </c>
      <c r="AC641" s="714"/>
    </row>
    <row r="642" spans="1:29" ht="15" customHeight="1" x14ac:dyDescent="0.25">
      <c r="A642" s="713"/>
      <c r="B642" s="714" t="s">
        <v>822</v>
      </c>
      <c r="C642" s="676" t="s">
        <v>40</v>
      </c>
      <c r="D642" s="676" t="s">
        <v>404</v>
      </c>
      <c r="E642" s="680">
        <v>45108</v>
      </c>
      <c r="F642" s="676">
        <v>744</v>
      </c>
      <c r="G642" s="676" t="s">
        <v>58</v>
      </c>
      <c r="H642" s="676" t="s">
        <v>3</v>
      </c>
      <c r="I642" s="676" t="s">
        <v>11</v>
      </c>
      <c r="J642" s="676" t="s">
        <v>84</v>
      </c>
      <c r="K642" s="676">
        <v>190</v>
      </c>
      <c r="L642" s="690" t="s">
        <v>54</v>
      </c>
      <c r="M642" s="691">
        <v>1</v>
      </c>
      <c r="N642" s="690">
        <v>0</v>
      </c>
      <c r="O642" s="691">
        <v>202.17712386254072</v>
      </c>
      <c r="P642" s="690">
        <v>0</v>
      </c>
      <c r="Q642" s="738">
        <f t="shared" si="81"/>
        <v>150419.7801537303</v>
      </c>
      <c r="R642" s="677">
        <f t="shared" si="82"/>
        <v>0</v>
      </c>
      <c r="S642" s="739">
        <f t="shared" si="83"/>
        <v>-150419.7801537303</v>
      </c>
      <c r="T642" s="738">
        <v>77.150000000000006</v>
      </c>
      <c r="U642" s="677">
        <f t="shared" si="84"/>
        <v>-57399.600000000006</v>
      </c>
      <c r="V642" s="739">
        <f t="shared" si="85"/>
        <v>-93020.180153730296</v>
      </c>
      <c r="W642" s="740">
        <v>59.54033706800562</v>
      </c>
      <c r="X642" s="678">
        <f t="shared" si="86"/>
        <v>-44298.010778596181</v>
      </c>
      <c r="Y642" s="700">
        <f t="shared" si="87"/>
        <v>-106121.76937513411</v>
      </c>
      <c r="Z642" s="740">
        <v>94.759662931994384</v>
      </c>
      <c r="AA642" s="678">
        <f t="shared" si="88"/>
        <v>-70501.189221403823</v>
      </c>
      <c r="AB642" s="741">
        <f t="shared" si="89"/>
        <v>-79918.590932326479</v>
      </c>
      <c r="AC642" s="714"/>
    </row>
    <row r="643" spans="1:29" ht="15" customHeight="1" x14ac:dyDescent="0.25">
      <c r="A643" s="713"/>
      <c r="B643" s="714" t="s">
        <v>822</v>
      </c>
      <c r="C643" s="676" t="s">
        <v>40</v>
      </c>
      <c r="D643" s="676" t="s">
        <v>404</v>
      </c>
      <c r="E643" s="680">
        <v>45139</v>
      </c>
      <c r="F643" s="676">
        <v>744</v>
      </c>
      <c r="G643" s="676" t="s">
        <v>58</v>
      </c>
      <c r="H643" s="676" t="s">
        <v>3</v>
      </c>
      <c r="I643" s="676" t="s">
        <v>11</v>
      </c>
      <c r="J643" s="676" t="s">
        <v>84</v>
      </c>
      <c r="K643" s="676">
        <v>190</v>
      </c>
      <c r="L643" s="690" t="s">
        <v>54</v>
      </c>
      <c r="M643" s="691">
        <v>1</v>
      </c>
      <c r="N643" s="690">
        <v>0</v>
      </c>
      <c r="O643" s="691">
        <v>202.17712386254072</v>
      </c>
      <c r="P643" s="690">
        <v>0</v>
      </c>
      <c r="Q643" s="738">
        <f t="shared" ref="Q643:Q706" si="90">(O643*(M643*F643))</f>
        <v>150419.7801537303</v>
      </c>
      <c r="R643" s="677">
        <f t="shared" ref="R643:R706" si="91">(P643*(N643*F643))</f>
        <v>0</v>
      </c>
      <c r="S643" s="739">
        <f t="shared" ref="S643:S706" si="92">R643-Q643</f>
        <v>-150419.7801537303</v>
      </c>
      <c r="T643" s="738">
        <v>77.150000000000006</v>
      </c>
      <c r="U643" s="677">
        <f t="shared" ref="U643:U706" si="93">(((F643*N643)*T643)-(T643*(M643*F643)))</f>
        <v>-57399.600000000006</v>
      </c>
      <c r="V643" s="739">
        <f t="shared" ref="V643:V706" si="94">S643-U643</f>
        <v>-93020.180153730296</v>
      </c>
      <c r="W643" s="740">
        <v>59.54033706800562</v>
      </c>
      <c r="X643" s="678">
        <f t="shared" ref="X643:X706" si="95">(((F643*N643)*W643)-(W643*(M643*F643)))</f>
        <v>-44298.010778596181</v>
      </c>
      <c r="Y643" s="700">
        <f t="shared" ref="Y643:Y706" si="96">S643-X643</f>
        <v>-106121.76937513411</v>
      </c>
      <c r="Z643" s="740">
        <v>94.759662931994384</v>
      </c>
      <c r="AA643" s="678">
        <f t="shared" ref="AA643:AA706" si="97">(((F643*N643)*Z643)-(Z643*(M643*F643)))</f>
        <v>-70501.189221403823</v>
      </c>
      <c r="AB643" s="741">
        <f t="shared" ref="AB643:AB706" si="98">S643-AA643</f>
        <v>-79918.590932326479</v>
      </c>
      <c r="AC643" s="714"/>
    </row>
    <row r="644" spans="1:29" ht="15" customHeight="1" x14ac:dyDescent="0.25">
      <c r="A644" s="713"/>
      <c r="B644" s="714" t="s">
        <v>822</v>
      </c>
      <c r="C644" s="676" t="s">
        <v>40</v>
      </c>
      <c r="D644" s="676" t="s">
        <v>404</v>
      </c>
      <c r="E644" s="680">
        <v>45170</v>
      </c>
      <c r="F644" s="676">
        <v>720</v>
      </c>
      <c r="G644" s="676" t="s">
        <v>58</v>
      </c>
      <c r="H644" s="676" t="s">
        <v>3</v>
      </c>
      <c r="I644" s="676" t="s">
        <v>11</v>
      </c>
      <c r="J644" s="676" t="s">
        <v>84</v>
      </c>
      <c r="K644" s="676">
        <v>190</v>
      </c>
      <c r="L644" s="690" t="s">
        <v>54</v>
      </c>
      <c r="M644" s="691">
        <v>1</v>
      </c>
      <c r="N644" s="690">
        <v>0</v>
      </c>
      <c r="O644" s="691">
        <v>202.17712386254072</v>
      </c>
      <c r="P644" s="690">
        <v>0</v>
      </c>
      <c r="Q644" s="738">
        <f t="shared" si="90"/>
        <v>145567.52918102933</v>
      </c>
      <c r="R644" s="677">
        <f t="shared" si="91"/>
        <v>0</v>
      </c>
      <c r="S644" s="739">
        <f t="shared" si="92"/>
        <v>-145567.52918102933</v>
      </c>
      <c r="T644" s="738">
        <v>77.150000000000006</v>
      </c>
      <c r="U644" s="677">
        <f t="shared" si="93"/>
        <v>-55548.000000000007</v>
      </c>
      <c r="V644" s="739">
        <f t="shared" si="94"/>
        <v>-90019.529181029327</v>
      </c>
      <c r="W644" s="740">
        <v>59.54033706800562</v>
      </c>
      <c r="X644" s="678">
        <f t="shared" si="95"/>
        <v>-42869.042688964044</v>
      </c>
      <c r="Y644" s="700">
        <f t="shared" si="96"/>
        <v>-102698.48649206528</v>
      </c>
      <c r="Z644" s="740">
        <v>94.759662931994384</v>
      </c>
      <c r="AA644" s="678">
        <f t="shared" si="97"/>
        <v>-68226.957311035963</v>
      </c>
      <c r="AB644" s="741">
        <f t="shared" si="98"/>
        <v>-77340.571869993364</v>
      </c>
      <c r="AC644" s="714"/>
    </row>
    <row r="645" spans="1:29" ht="15" customHeight="1" x14ac:dyDescent="0.25">
      <c r="A645" s="713"/>
      <c r="B645" s="714" t="s">
        <v>822</v>
      </c>
      <c r="C645" s="676" t="s">
        <v>40</v>
      </c>
      <c r="D645" s="676" t="s">
        <v>404</v>
      </c>
      <c r="E645" s="680">
        <v>45200</v>
      </c>
      <c r="F645" s="676">
        <v>744</v>
      </c>
      <c r="G645" s="676" t="s">
        <v>58</v>
      </c>
      <c r="H645" s="676" t="s">
        <v>3</v>
      </c>
      <c r="I645" s="676" t="s">
        <v>11</v>
      </c>
      <c r="J645" s="676" t="s">
        <v>84</v>
      </c>
      <c r="K645" s="676">
        <v>190</v>
      </c>
      <c r="L645" s="690" t="s">
        <v>54</v>
      </c>
      <c r="M645" s="691">
        <v>1</v>
      </c>
      <c r="N645" s="690">
        <v>0</v>
      </c>
      <c r="O645" s="691">
        <v>202.17712386254072</v>
      </c>
      <c r="P645" s="690">
        <v>0</v>
      </c>
      <c r="Q645" s="738">
        <f t="shared" si="90"/>
        <v>150419.7801537303</v>
      </c>
      <c r="R645" s="677">
        <f t="shared" si="91"/>
        <v>0</v>
      </c>
      <c r="S645" s="739">
        <f t="shared" si="92"/>
        <v>-150419.7801537303</v>
      </c>
      <c r="T645" s="738">
        <v>80.45</v>
      </c>
      <c r="U645" s="677">
        <f t="shared" si="93"/>
        <v>-59854.8</v>
      </c>
      <c r="V645" s="739">
        <f t="shared" si="94"/>
        <v>-90564.980153730299</v>
      </c>
      <c r="W645" s="740">
        <v>62.087104564109552</v>
      </c>
      <c r="X645" s="678">
        <f t="shared" si="95"/>
        <v>-46192.80579569751</v>
      </c>
      <c r="Y645" s="700">
        <f t="shared" si="96"/>
        <v>-104226.97435803279</v>
      </c>
      <c r="Z645" s="740">
        <v>98.812895435890439</v>
      </c>
      <c r="AA645" s="678">
        <f t="shared" si="97"/>
        <v>-73516.794204302481</v>
      </c>
      <c r="AB645" s="741">
        <f t="shared" si="98"/>
        <v>-76902.985949427821</v>
      </c>
      <c r="AC645" s="714"/>
    </row>
    <row r="646" spans="1:29" ht="15" customHeight="1" x14ac:dyDescent="0.25">
      <c r="A646" s="713"/>
      <c r="B646" s="714" t="s">
        <v>822</v>
      </c>
      <c r="C646" s="676" t="s">
        <v>40</v>
      </c>
      <c r="D646" s="676" t="s">
        <v>404</v>
      </c>
      <c r="E646" s="680">
        <v>45231</v>
      </c>
      <c r="F646" s="676">
        <v>720</v>
      </c>
      <c r="G646" s="676" t="s">
        <v>58</v>
      </c>
      <c r="H646" s="676" t="s">
        <v>3</v>
      </c>
      <c r="I646" s="676" t="s">
        <v>11</v>
      </c>
      <c r="J646" s="676" t="s">
        <v>84</v>
      </c>
      <c r="K646" s="676">
        <v>190</v>
      </c>
      <c r="L646" s="690" t="s">
        <v>54</v>
      </c>
      <c r="M646" s="691">
        <v>1</v>
      </c>
      <c r="N646" s="690">
        <v>0</v>
      </c>
      <c r="O646" s="691">
        <v>202.17712386254072</v>
      </c>
      <c r="P646" s="690">
        <v>0</v>
      </c>
      <c r="Q646" s="738">
        <f t="shared" si="90"/>
        <v>145567.52918102933</v>
      </c>
      <c r="R646" s="677">
        <f t="shared" si="91"/>
        <v>0</v>
      </c>
      <c r="S646" s="739">
        <f t="shared" si="92"/>
        <v>-145567.52918102933</v>
      </c>
      <c r="T646" s="738">
        <v>80.45</v>
      </c>
      <c r="U646" s="677">
        <f t="shared" si="93"/>
        <v>-57924</v>
      </c>
      <c r="V646" s="739">
        <f t="shared" si="94"/>
        <v>-87643.529181029327</v>
      </c>
      <c r="W646" s="740">
        <v>62.087104564109552</v>
      </c>
      <c r="X646" s="678">
        <f t="shared" si="95"/>
        <v>-44702.715286158877</v>
      </c>
      <c r="Y646" s="700">
        <f t="shared" si="96"/>
        <v>-100864.81389487046</v>
      </c>
      <c r="Z646" s="740">
        <v>98.812895435890439</v>
      </c>
      <c r="AA646" s="678">
        <f t="shared" si="97"/>
        <v>-71145.284713841116</v>
      </c>
      <c r="AB646" s="741">
        <f t="shared" si="98"/>
        <v>-74422.244467188211</v>
      </c>
      <c r="AC646" s="714"/>
    </row>
    <row r="647" spans="1:29" ht="15" customHeight="1" x14ac:dyDescent="0.25">
      <c r="A647" s="713"/>
      <c r="B647" s="729" t="s">
        <v>822</v>
      </c>
      <c r="C647" s="545" t="s">
        <v>40</v>
      </c>
      <c r="D647" s="545" t="s">
        <v>404</v>
      </c>
      <c r="E647" s="681">
        <v>45261</v>
      </c>
      <c r="F647" s="545">
        <v>744</v>
      </c>
      <c r="G647" s="545" t="s">
        <v>58</v>
      </c>
      <c r="H647" s="545" t="s">
        <v>3</v>
      </c>
      <c r="I647" s="545" t="s">
        <v>11</v>
      </c>
      <c r="J647" s="545" t="s">
        <v>84</v>
      </c>
      <c r="K647" s="545">
        <v>190</v>
      </c>
      <c r="L647" s="725" t="s">
        <v>54</v>
      </c>
      <c r="M647" s="695">
        <v>1</v>
      </c>
      <c r="N647" s="725">
        <v>0</v>
      </c>
      <c r="O647" s="695">
        <v>202.17712386254072</v>
      </c>
      <c r="P647" s="725">
        <v>0</v>
      </c>
      <c r="Q647" s="742">
        <f t="shared" si="90"/>
        <v>150419.7801537303</v>
      </c>
      <c r="R647" s="603">
        <f t="shared" si="91"/>
        <v>0</v>
      </c>
      <c r="S647" s="743">
        <f t="shared" si="92"/>
        <v>-150419.7801537303</v>
      </c>
      <c r="T647" s="742">
        <v>80.45</v>
      </c>
      <c r="U647" s="603">
        <f t="shared" si="93"/>
        <v>-59854.8</v>
      </c>
      <c r="V647" s="743">
        <f t="shared" si="94"/>
        <v>-90564.980153730299</v>
      </c>
      <c r="W647" s="744">
        <v>62.087104564109552</v>
      </c>
      <c r="X647" s="604">
        <f t="shared" si="95"/>
        <v>-46192.80579569751</v>
      </c>
      <c r="Y647" s="701">
        <f t="shared" si="96"/>
        <v>-104226.97435803279</v>
      </c>
      <c r="Z647" s="744">
        <v>98.812895435890439</v>
      </c>
      <c r="AA647" s="604">
        <f t="shared" si="97"/>
        <v>-73516.794204302481</v>
      </c>
      <c r="AB647" s="745">
        <f t="shared" si="98"/>
        <v>-76902.985949427821</v>
      </c>
      <c r="AC647" s="714"/>
    </row>
    <row r="648" spans="1:29" ht="15" customHeight="1" x14ac:dyDescent="0.25">
      <c r="A648" s="713"/>
      <c r="B648" s="730" t="s">
        <v>824</v>
      </c>
      <c r="C648" s="546" t="s">
        <v>40</v>
      </c>
      <c r="D648" s="546" t="s">
        <v>404</v>
      </c>
      <c r="E648" s="682">
        <v>44927</v>
      </c>
      <c r="F648" s="546">
        <v>744</v>
      </c>
      <c r="G648" s="546" t="s">
        <v>58</v>
      </c>
      <c r="H648" s="546" t="s">
        <v>3</v>
      </c>
      <c r="I648" s="546" t="s">
        <v>13</v>
      </c>
      <c r="J648" s="546" t="s">
        <v>84</v>
      </c>
      <c r="K648" s="546">
        <v>202</v>
      </c>
      <c r="L648" s="726" t="s">
        <v>54</v>
      </c>
      <c r="M648" s="696">
        <v>0.7</v>
      </c>
      <c r="N648" s="726">
        <v>0</v>
      </c>
      <c r="O648" s="696">
        <v>214.94620536964857</v>
      </c>
      <c r="P648" s="726">
        <v>0</v>
      </c>
      <c r="Q648" s="746">
        <f t="shared" si="90"/>
        <v>111943.98375651297</v>
      </c>
      <c r="R648" s="606">
        <f t="shared" si="91"/>
        <v>0</v>
      </c>
      <c r="S648" s="747">
        <f t="shared" si="92"/>
        <v>-111943.98375651297</v>
      </c>
      <c r="T648" s="746">
        <v>68.72</v>
      </c>
      <c r="U648" s="606">
        <f t="shared" si="93"/>
        <v>-35789.375999999997</v>
      </c>
      <c r="V648" s="747">
        <f t="shared" si="94"/>
        <v>-76154.607756512967</v>
      </c>
      <c r="W648" s="748">
        <v>55.7</v>
      </c>
      <c r="X648" s="607">
        <f t="shared" si="95"/>
        <v>-29008.559999999998</v>
      </c>
      <c r="Y648" s="702">
        <f t="shared" si="96"/>
        <v>-82935.423756512973</v>
      </c>
      <c r="Z648" s="748">
        <v>96.206580759134184</v>
      </c>
      <c r="AA648" s="607">
        <f t="shared" si="97"/>
        <v>-50104.387259357078</v>
      </c>
      <c r="AB648" s="749">
        <f t="shared" si="98"/>
        <v>-61839.596497155893</v>
      </c>
      <c r="AC648" s="714"/>
    </row>
    <row r="649" spans="1:29" ht="15" customHeight="1" x14ac:dyDescent="0.25">
      <c r="A649" s="713"/>
      <c r="B649" s="714" t="s">
        <v>824</v>
      </c>
      <c r="C649" s="676" t="s">
        <v>40</v>
      </c>
      <c r="D649" s="676" t="s">
        <v>404</v>
      </c>
      <c r="E649" s="680">
        <v>44958</v>
      </c>
      <c r="F649" s="676">
        <v>672</v>
      </c>
      <c r="G649" s="676" t="s">
        <v>58</v>
      </c>
      <c r="H649" s="676" t="s">
        <v>3</v>
      </c>
      <c r="I649" s="676" t="s">
        <v>13</v>
      </c>
      <c r="J649" s="676" t="s">
        <v>84</v>
      </c>
      <c r="K649" s="676">
        <v>202</v>
      </c>
      <c r="L649" s="690" t="s">
        <v>54</v>
      </c>
      <c r="M649" s="691">
        <v>0.7</v>
      </c>
      <c r="N649" s="690">
        <v>0</v>
      </c>
      <c r="O649" s="691">
        <v>214.94620536964857</v>
      </c>
      <c r="P649" s="690">
        <v>0</v>
      </c>
      <c r="Q649" s="738">
        <f t="shared" si="90"/>
        <v>101110.69500588268</v>
      </c>
      <c r="R649" s="677">
        <f t="shared" si="91"/>
        <v>0</v>
      </c>
      <c r="S649" s="739">
        <f t="shared" si="92"/>
        <v>-101110.69500588268</v>
      </c>
      <c r="T649" s="738">
        <v>69.25</v>
      </c>
      <c r="U649" s="677">
        <f t="shared" si="93"/>
        <v>-32575.199999999997</v>
      </c>
      <c r="V649" s="739">
        <f t="shared" si="94"/>
        <v>-68535.49500588268</v>
      </c>
      <c r="W649" s="740">
        <v>55.7</v>
      </c>
      <c r="X649" s="678">
        <f t="shared" si="95"/>
        <v>-26201.279999999999</v>
      </c>
      <c r="Y649" s="700">
        <f t="shared" si="96"/>
        <v>-74909.415005882678</v>
      </c>
      <c r="Z649" s="740">
        <v>92.430648861364247</v>
      </c>
      <c r="AA649" s="678">
        <f t="shared" si="97"/>
        <v>-43479.377224385738</v>
      </c>
      <c r="AB649" s="741">
        <f t="shared" si="98"/>
        <v>-57631.317781496939</v>
      </c>
      <c r="AC649" s="714"/>
    </row>
    <row r="650" spans="1:29" ht="15" customHeight="1" x14ac:dyDescent="0.25">
      <c r="A650" s="713"/>
      <c r="B650" s="714" t="s">
        <v>824</v>
      </c>
      <c r="C650" s="676" t="s">
        <v>40</v>
      </c>
      <c r="D650" s="676" t="s">
        <v>404</v>
      </c>
      <c r="E650" s="680">
        <v>44986</v>
      </c>
      <c r="F650" s="676">
        <v>744</v>
      </c>
      <c r="G650" s="676" t="s">
        <v>58</v>
      </c>
      <c r="H650" s="676" t="s">
        <v>3</v>
      </c>
      <c r="I650" s="676" t="s">
        <v>13</v>
      </c>
      <c r="J650" s="676" t="s">
        <v>84</v>
      </c>
      <c r="K650" s="676">
        <v>202</v>
      </c>
      <c r="L650" s="690" t="s">
        <v>54</v>
      </c>
      <c r="M650" s="691">
        <v>0.7</v>
      </c>
      <c r="N650" s="690">
        <v>0</v>
      </c>
      <c r="O650" s="691">
        <v>214.94620536964857</v>
      </c>
      <c r="P650" s="690">
        <v>0</v>
      </c>
      <c r="Q650" s="738">
        <f t="shared" si="90"/>
        <v>111943.98375651297</v>
      </c>
      <c r="R650" s="677">
        <f t="shared" si="91"/>
        <v>0</v>
      </c>
      <c r="S650" s="739">
        <f t="shared" si="92"/>
        <v>-111943.98375651297</v>
      </c>
      <c r="T650" s="738">
        <v>69.3</v>
      </c>
      <c r="U650" s="677">
        <f t="shared" si="93"/>
        <v>-36091.439999999995</v>
      </c>
      <c r="V650" s="739">
        <f t="shared" si="94"/>
        <v>-75852.543756512983</v>
      </c>
      <c r="W650" s="740">
        <v>55.7</v>
      </c>
      <c r="X650" s="678">
        <f t="shared" si="95"/>
        <v>-29008.559999999998</v>
      </c>
      <c r="Y650" s="700">
        <f t="shared" si="96"/>
        <v>-82935.423756512973</v>
      </c>
      <c r="Z650" s="740">
        <v>89.053218420260009</v>
      </c>
      <c r="AA650" s="678">
        <f t="shared" si="97"/>
        <v>-46378.916153271406</v>
      </c>
      <c r="AB650" s="741">
        <f t="shared" si="98"/>
        <v>-65565.067603241565</v>
      </c>
      <c r="AC650" s="714"/>
    </row>
    <row r="651" spans="1:29" ht="15" customHeight="1" x14ac:dyDescent="0.25">
      <c r="A651" s="713"/>
      <c r="B651" s="714" t="s">
        <v>824</v>
      </c>
      <c r="C651" s="676" t="s">
        <v>40</v>
      </c>
      <c r="D651" s="676" t="s">
        <v>404</v>
      </c>
      <c r="E651" s="680">
        <v>45017</v>
      </c>
      <c r="F651" s="676">
        <v>720</v>
      </c>
      <c r="G651" s="676" t="s">
        <v>58</v>
      </c>
      <c r="H651" s="676" t="s">
        <v>3</v>
      </c>
      <c r="I651" s="676" t="s">
        <v>13</v>
      </c>
      <c r="J651" s="676" t="s">
        <v>84</v>
      </c>
      <c r="K651" s="676">
        <v>202</v>
      </c>
      <c r="L651" s="690" t="s">
        <v>54</v>
      </c>
      <c r="M651" s="691">
        <v>0.7</v>
      </c>
      <c r="N651" s="690">
        <v>0</v>
      </c>
      <c r="O651" s="691">
        <v>214.94620536964857</v>
      </c>
      <c r="P651" s="690">
        <v>0</v>
      </c>
      <c r="Q651" s="738">
        <f t="shared" si="90"/>
        <v>108332.88750630287</v>
      </c>
      <c r="R651" s="677">
        <f t="shared" si="91"/>
        <v>0</v>
      </c>
      <c r="S651" s="739">
        <f t="shared" si="92"/>
        <v>-108332.88750630287</v>
      </c>
      <c r="T651" s="738">
        <v>69.8</v>
      </c>
      <c r="U651" s="677">
        <f t="shared" si="93"/>
        <v>-35179.199999999997</v>
      </c>
      <c r="V651" s="739">
        <f t="shared" si="94"/>
        <v>-73153.687506302871</v>
      </c>
      <c r="W651" s="740">
        <v>55.7</v>
      </c>
      <c r="X651" s="678">
        <f t="shared" si="95"/>
        <v>-28072.799999999999</v>
      </c>
      <c r="Y651" s="700">
        <f t="shared" si="96"/>
        <v>-80260.087506302865</v>
      </c>
      <c r="Z651" s="740">
        <v>85.732008718771311</v>
      </c>
      <c r="AA651" s="678">
        <f t="shared" si="97"/>
        <v>-43208.932394260737</v>
      </c>
      <c r="AB651" s="741">
        <f t="shared" si="98"/>
        <v>-65123.955112042131</v>
      </c>
      <c r="AC651" s="714"/>
    </row>
    <row r="652" spans="1:29" ht="15" customHeight="1" x14ac:dyDescent="0.25">
      <c r="A652" s="713"/>
      <c r="B652" s="714" t="s">
        <v>824</v>
      </c>
      <c r="C652" s="676" t="s">
        <v>40</v>
      </c>
      <c r="D652" s="676" t="s">
        <v>404</v>
      </c>
      <c r="E652" s="680">
        <v>45047</v>
      </c>
      <c r="F652" s="676">
        <v>744</v>
      </c>
      <c r="G652" s="676" t="s">
        <v>58</v>
      </c>
      <c r="H652" s="676" t="s">
        <v>3</v>
      </c>
      <c r="I652" s="676" t="s">
        <v>13</v>
      </c>
      <c r="J652" s="676" t="s">
        <v>84</v>
      </c>
      <c r="K652" s="676">
        <v>202</v>
      </c>
      <c r="L652" s="690" t="s">
        <v>54</v>
      </c>
      <c r="M652" s="691">
        <v>0.7</v>
      </c>
      <c r="N652" s="690">
        <v>0</v>
      </c>
      <c r="O652" s="691">
        <v>214.94620536964857</v>
      </c>
      <c r="P652" s="690">
        <v>0</v>
      </c>
      <c r="Q652" s="738">
        <f t="shared" si="90"/>
        <v>111943.98375651297</v>
      </c>
      <c r="R652" s="677">
        <f t="shared" si="91"/>
        <v>0</v>
      </c>
      <c r="S652" s="739">
        <f t="shared" si="92"/>
        <v>-111943.98375651297</v>
      </c>
      <c r="T652" s="738">
        <v>70.2</v>
      </c>
      <c r="U652" s="677">
        <f t="shared" si="93"/>
        <v>-36560.159999999996</v>
      </c>
      <c r="V652" s="739">
        <f t="shared" si="94"/>
        <v>-75383.823756512982</v>
      </c>
      <c r="W652" s="740">
        <v>55.7</v>
      </c>
      <c r="X652" s="678">
        <f t="shared" si="95"/>
        <v>-29008.559999999998</v>
      </c>
      <c r="Y652" s="700">
        <f t="shared" si="96"/>
        <v>-82935.423756512973</v>
      </c>
      <c r="Z652" s="740">
        <v>86.223309628334476</v>
      </c>
      <c r="AA652" s="678">
        <f t="shared" si="97"/>
        <v>-44905.099654436592</v>
      </c>
      <c r="AB652" s="741">
        <f t="shared" si="98"/>
        <v>-67038.884102076379</v>
      </c>
      <c r="AC652" s="714"/>
    </row>
    <row r="653" spans="1:29" ht="15" customHeight="1" x14ac:dyDescent="0.25">
      <c r="A653" s="713"/>
      <c r="B653" s="714" t="s">
        <v>824</v>
      </c>
      <c r="C653" s="676" t="s">
        <v>40</v>
      </c>
      <c r="D653" s="676" t="s">
        <v>404</v>
      </c>
      <c r="E653" s="680">
        <v>45078</v>
      </c>
      <c r="F653" s="676">
        <v>720</v>
      </c>
      <c r="G653" s="676" t="s">
        <v>58</v>
      </c>
      <c r="H653" s="676" t="s">
        <v>3</v>
      </c>
      <c r="I653" s="676" t="s">
        <v>13</v>
      </c>
      <c r="J653" s="676" t="s">
        <v>84</v>
      </c>
      <c r="K653" s="676">
        <v>202</v>
      </c>
      <c r="L653" s="690" t="s">
        <v>54</v>
      </c>
      <c r="M653" s="691">
        <v>0.7</v>
      </c>
      <c r="N653" s="690">
        <v>0</v>
      </c>
      <c r="O653" s="691">
        <v>214.94620536964857</v>
      </c>
      <c r="P653" s="690">
        <v>0</v>
      </c>
      <c r="Q653" s="738">
        <f t="shared" si="90"/>
        <v>108332.88750630287</v>
      </c>
      <c r="R653" s="677">
        <f t="shared" si="91"/>
        <v>0</v>
      </c>
      <c r="S653" s="739">
        <f t="shared" si="92"/>
        <v>-108332.88750630287</v>
      </c>
      <c r="T653" s="738">
        <v>72.400000000000006</v>
      </c>
      <c r="U653" s="677">
        <f t="shared" si="93"/>
        <v>-36489.599999999999</v>
      </c>
      <c r="V653" s="739">
        <f t="shared" si="94"/>
        <v>-71843.287506302877</v>
      </c>
      <c r="W653" s="740">
        <v>55.874535369068141</v>
      </c>
      <c r="X653" s="678">
        <f t="shared" si="95"/>
        <v>-28160.765826010342</v>
      </c>
      <c r="Y653" s="700">
        <f t="shared" si="96"/>
        <v>-80172.121680292534</v>
      </c>
      <c r="Z653" s="740">
        <v>88.925464630931856</v>
      </c>
      <c r="AA653" s="678">
        <f t="shared" si="97"/>
        <v>-44818.434173989648</v>
      </c>
      <c r="AB653" s="741">
        <f t="shared" si="98"/>
        <v>-63514.45333231322</v>
      </c>
      <c r="AC653" s="714"/>
    </row>
    <row r="654" spans="1:29" ht="15" customHeight="1" x14ac:dyDescent="0.25">
      <c r="A654" s="713"/>
      <c r="B654" s="714" t="s">
        <v>824</v>
      </c>
      <c r="C654" s="676" t="s">
        <v>40</v>
      </c>
      <c r="D654" s="676" t="s">
        <v>404</v>
      </c>
      <c r="E654" s="680">
        <v>45108</v>
      </c>
      <c r="F654" s="676">
        <v>744</v>
      </c>
      <c r="G654" s="676" t="s">
        <v>58</v>
      </c>
      <c r="H654" s="676" t="s">
        <v>3</v>
      </c>
      <c r="I654" s="676" t="s">
        <v>13</v>
      </c>
      <c r="J654" s="676" t="s">
        <v>84</v>
      </c>
      <c r="K654" s="676">
        <v>202</v>
      </c>
      <c r="L654" s="690" t="s">
        <v>54</v>
      </c>
      <c r="M654" s="691">
        <v>0.7</v>
      </c>
      <c r="N654" s="690">
        <v>0</v>
      </c>
      <c r="O654" s="691">
        <v>214.94620536964857</v>
      </c>
      <c r="P654" s="690">
        <v>0</v>
      </c>
      <c r="Q654" s="738">
        <f t="shared" si="90"/>
        <v>111943.98375651297</v>
      </c>
      <c r="R654" s="677">
        <f t="shared" si="91"/>
        <v>0</v>
      </c>
      <c r="S654" s="739">
        <f t="shared" si="92"/>
        <v>-111943.98375651297</v>
      </c>
      <c r="T654" s="738">
        <v>77.150000000000006</v>
      </c>
      <c r="U654" s="677">
        <f t="shared" si="93"/>
        <v>-40179.72</v>
      </c>
      <c r="V654" s="739">
        <f t="shared" si="94"/>
        <v>-71764.26375651297</v>
      </c>
      <c r="W654" s="740">
        <v>59.54033706800562</v>
      </c>
      <c r="X654" s="678">
        <f t="shared" si="95"/>
        <v>-31008.607545017323</v>
      </c>
      <c r="Y654" s="700">
        <f t="shared" si="96"/>
        <v>-80935.376211495648</v>
      </c>
      <c r="Z654" s="740">
        <v>94.759662931994384</v>
      </c>
      <c r="AA654" s="678">
        <f t="shared" si="97"/>
        <v>-49350.832454982672</v>
      </c>
      <c r="AB654" s="741">
        <f t="shared" si="98"/>
        <v>-62593.151301530299</v>
      </c>
      <c r="AC654" s="714"/>
    </row>
    <row r="655" spans="1:29" ht="15" customHeight="1" x14ac:dyDescent="0.25">
      <c r="A655" s="713"/>
      <c r="B655" s="714" t="s">
        <v>824</v>
      </c>
      <c r="C655" s="676" t="s">
        <v>40</v>
      </c>
      <c r="D655" s="676" t="s">
        <v>404</v>
      </c>
      <c r="E655" s="680">
        <v>45139</v>
      </c>
      <c r="F655" s="676">
        <v>744</v>
      </c>
      <c r="G655" s="676" t="s">
        <v>58</v>
      </c>
      <c r="H655" s="676" t="s">
        <v>3</v>
      </c>
      <c r="I655" s="676" t="s">
        <v>13</v>
      </c>
      <c r="J655" s="676" t="s">
        <v>84</v>
      </c>
      <c r="K655" s="676">
        <v>202</v>
      </c>
      <c r="L655" s="690" t="s">
        <v>54</v>
      </c>
      <c r="M655" s="691">
        <v>0.7</v>
      </c>
      <c r="N655" s="690">
        <v>0</v>
      </c>
      <c r="O655" s="691">
        <v>214.94620536964857</v>
      </c>
      <c r="P655" s="690">
        <v>0</v>
      </c>
      <c r="Q655" s="738">
        <f t="shared" si="90"/>
        <v>111943.98375651297</v>
      </c>
      <c r="R655" s="677">
        <f t="shared" si="91"/>
        <v>0</v>
      </c>
      <c r="S655" s="739">
        <f t="shared" si="92"/>
        <v>-111943.98375651297</v>
      </c>
      <c r="T655" s="738">
        <v>77.150000000000006</v>
      </c>
      <c r="U655" s="677">
        <f t="shared" si="93"/>
        <v>-40179.72</v>
      </c>
      <c r="V655" s="739">
        <f t="shared" si="94"/>
        <v>-71764.26375651297</v>
      </c>
      <c r="W655" s="740">
        <v>59.54033706800562</v>
      </c>
      <c r="X655" s="678">
        <f t="shared" si="95"/>
        <v>-31008.607545017323</v>
      </c>
      <c r="Y655" s="700">
        <f t="shared" si="96"/>
        <v>-80935.376211495648</v>
      </c>
      <c r="Z655" s="740">
        <v>94.759662931994384</v>
      </c>
      <c r="AA655" s="678">
        <f t="shared" si="97"/>
        <v>-49350.832454982672</v>
      </c>
      <c r="AB655" s="741">
        <f t="shared" si="98"/>
        <v>-62593.151301530299</v>
      </c>
      <c r="AC655" s="714"/>
    </row>
    <row r="656" spans="1:29" ht="15" customHeight="1" x14ac:dyDescent="0.25">
      <c r="A656" s="713"/>
      <c r="B656" s="714" t="s">
        <v>824</v>
      </c>
      <c r="C656" s="676" t="s">
        <v>40</v>
      </c>
      <c r="D656" s="676" t="s">
        <v>404</v>
      </c>
      <c r="E656" s="680">
        <v>45170</v>
      </c>
      <c r="F656" s="676">
        <v>720</v>
      </c>
      <c r="G656" s="676" t="s">
        <v>58</v>
      </c>
      <c r="H656" s="676" t="s">
        <v>3</v>
      </c>
      <c r="I656" s="676" t="s">
        <v>13</v>
      </c>
      <c r="J656" s="676" t="s">
        <v>84</v>
      </c>
      <c r="K656" s="676">
        <v>202</v>
      </c>
      <c r="L656" s="690" t="s">
        <v>54</v>
      </c>
      <c r="M656" s="691">
        <v>0.7</v>
      </c>
      <c r="N656" s="690">
        <v>0</v>
      </c>
      <c r="O656" s="691">
        <v>214.94620536964857</v>
      </c>
      <c r="P656" s="690">
        <v>0</v>
      </c>
      <c r="Q656" s="738">
        <f t="shared" si="90"/>
        <v>108332.88750630287</v>
      </c>
      <c r="R656" s="677">
        <f t="shared" si="91"/>
        <v>0</v>
      </c>
      <c r="S656" s="739">
        <f t="shared" si="92"/>
        <v>-108332.88750630287</v>
      </c>
      <c r="T656" s="738">
        <v>77.150000000000006</v>
      </c>
      <c r="U656" s="677">
        <f t="shared" si="93"/>
        <v>-38883.599999999999</v>
      </c>
      <c r="V656" s="739">
        <f t="shared" si="94"/>
        <v>-69449.287506302877</v>
      </c>
      <c r="W656" s="740">
        <v>59.54033706800562</v>
      </c>
      <c r="X656" s="678">
        <f t="shared" si="95"/>
        <v>-30008.329882274829</v>
      </c>
      <c r="Y656" s="700">
        <f t="shared" si="96"/>
        <v>-78324.557624028035</v>
      </c>
      <c r="Z656" s="740">
        <v>94.759662931994384</v>
      </c>
      <c r="AA656" s="678">
        <f t="shared" si="97"/>
        <v>-47758.870117725164</v>
      </c>
      <c r="AB656" s="741">
        <f t="shared" si="98"/>
        <v>-60574.017388577704</v>
      </c>
      <c r="AC656" s="714"/>
    </row>
    <row r="657" spans="1:29" ht="15" customHeight="1" x14ac:dyDescent="0.25">
      <c r="A657" s="713"/>
      <c r="B657" s="714" t="s">
        <v>824</v>
      </c>
      <c r="C657" s="676" t="s">
        <v>40</v>
      </c>
      <c r="D657" s="676" t="s">
        <v>404</v>
      </c>
      <c r="E657" s="680">
        <v>45200</v>
      </c>
      <c r="F657" s="676">
        <v>744</v>
      </c>
      <c r="G657" s="676" t="s">
        <v>58</v>
      </c>
      <c r="H657" s="676" t="s">
        <v>3</v>
      </c>
      <c r="I657" s="676" t="s">
        <v>13</v>
      </c>
      <c r="J657" s="676" t="s">
        <v>84</v>
      </c>
      <c r="K657" s="676">
        <v>202</v>
      </c>
      <c r="L657" s="690" t="s">
        <v>54</v>
      </c>
      <c r="M657" s="691">
        <v>0.7</v>
      </c>
      <c r="N657" s="690">
        <v>0</v>
      </c>
      <c r="O657" s="691">
        <v>214.94620536964857</v>
      </c>
      <c r="P657" s="690">
        <v>0</v>
      </c>
      <c r="Q657" s="738">
        <f t="shared" si="90"/>
        <v>111943.98375651297</v>
      </c>
      <c r="R657" s="677">
        <f t="shared" si="91"/>
        <v>0</v>
      </c>
      <c r="S657" s="739">
        <f t="shared" si="92"/>
        <v>-111943.98375651297</v>
      </c>
      <c r="T657" s="738">
        <v>80.45</v>
      </c>
      <c r="U657" s="677">
        <f t="shared" si="93"/>
        <v>-41898.36</v>
      </c>
      <c r="V657" s="739">
        <f t="shared" si="94"/>
        <v>-70045.62375651297</v>
      </c>
      <c r="W657" s="740">
        <v>62.087104564109552</v>
      </c>
      <c r="X657" s="678">
        <f t="shared" si="95"/>
        <v>-32334.96405698825</v>
      </c>
      <c r="Y657" s="700">
        <f t="shared" si="96"/>
        <v>-79609.019699524724</v>
      </c>
      <c r="Z657" s="740">
        <v>98.812895435890439</v>
      </c>
      <c r="AA657" s="678">
        <f t="shared" si="97"/>
        <v>-51461.75594301174</v>
      </c>
      <c r="AB657" s="741">
        <f t="shared" si="98"/>
        <v>-60482.227813501231</v>
      </c>
      <c r="AC657" s="714"/>
    </row>
    <row r="658" spans="1:29" ht="15" customHeight="1" x14ac:dyDescent="0.25">
      <c r="A658" s="713"/>
      <c r="B658" s="714" t="s">
        <v>824</v>
      </c>
      <c r="C658" s="676" t="s">
        <v>40</v>
      </c>
      <c r="D658" s="676" t="s">
        <v>404</v>
      </c>
      <c r="E658" s="680">
        <v>45231</v>
      </c>
      <c r="F658" s="676">
        <v>720</v>
      </c>
      <c r="G658" s="676" t="s">
        <v>58</v>
      </c>
      <c r="H658" s="676" t="s">
        <v>3</v>
      </c>
      <c r="I658" s="676" t="s">
        <v>13</v>
      </c>
      <c r="J658" s="676" t="s">
        <v>84</v>
      </c>
      <c r="K658" s="676">
        <v>202</v>
      </c>
      <c r="L658" s="690" t="s">
        <v>54</v>
      </c>
      <c r="M658" s="691">
        <v>0.7</v>
      </c>
      <c r="N658" s="690">
        <v>0</v>
      </c>
      <c r="O658" s="691">
        <v>214.94620536964857</v>
      </c>
      <c r="P658" s="690">
        <v>0</v>
      </c>
      <c r="Q658" s="738">
        <f t="shared" si="90"/>
        <v>108332.88750630287</v>
      </c>
      <c r="R658" s="677">
        <f t="shared" si="91"/>
        <v>0</v>
      </c>
      <c r="S658" s="739">
        <f t="shared" si="92"/>
        <v>-108332.88750630287</v>
      </c>
      <c r="T658" s="738">
        <v>80.45</v>
      </c>
      <c r="U658" s="677">
        <f t="shared" si="93"/>
        <v>-40546.799999999996</v>
      </c>
      <c r="V658" s="739">
        <f t="shared" si="94"/>
        <v>-67786.087506302865</v>
      </c>
      <c r="W658" s="740">
        <v>62.087104564109552</v>
      </c>
      <c r="X658" s="678">
        <f t="shared" si="95"/>
        <v>-31291.900700311209</v>
      </c>
      <c r="Y658" s="700">
        <f t="shared" si="96"/>
        <v>-77040.986805991663</v>
      </c>
      <c r="Z658" s="740">
        <v>98.812895435890439</v>
      </c>
      <c r="AA658" s="678">
        <f t="shared" si="97"/>
        <v>-49801.699299688778</v>
      </c>
      <c r="AB658" s="741">
        <f t="shared" si="98"/>
        <v>-58531.18820661409</v>
      </c>
      <c r="AC658" s="714"/>
    </row>
    <row r="659" spans="1:29" ht="15" customHeight="1" x14ac:dyDescent="0.25">
      <c r="A659" s="713"/>
      <c r="B659" s="729" t="s">
        <v>824</v>
      </c>
      <c r="C659" s="545" t="s">
        <v>40</v>
      </c>
      <c r="D659" s="545" t="s">
        <v>404</v>
      </c>
      <c r="E659" s="681">
        <v>45261</v>
      </c>
      <c r="F659" s="545">
        <v>744</v>
      </c>
      <c r="G659" s="545" t="s">
        <v>58</v>
      </c>
      <c r="H659" s="545" t="s">
        <v>3</v>
      </c>
      <c r="I659" s="545" t="s">
        <v>13</v>
      </c>
      <c r="J659" s="545" t="s">
        <v>84</v>
      </c>
      <c r="K659" s="545">
        <v>202</v>
      </c>
      <c r="L659" s="725" t="s">
        <v>54</v>
      </c>
      <c r="M659" s="695">
        <v>0.7</v>
      </c>
      <c r="N659" s="725">
        <v>0</v>
      </c>
      <c r="O659" s="695">
        <v>214.94620536964857</v>
      </c>
      <c r="P659" s="725">
        <v>0</v>
      </c>
      <c r="Q659" s="742">
        <f t="shared" si="90"/>
        <v>111943.98375651297</v>
      </c>
      <c r="R659" s="603">
        <f t="shared" si="91"/>
        <v>0</v>
      </c>
      <c r="S659" s="743">
        <f t="shared" si="92"/>
        <v>-111943.98375651297</v>
      </c>
      <c r="T659" s="742">
        <v>80.45</v>
      </c>
      <c r="U659" s="603">
        <f t="shared" si="93"/>
        <v>-41898.36</v>
      </c>
      <c r="V659" s="743">
        <f t="shared" si="94"/>
        <v>-70045.62375651297</v>
      </c>
      <c r="W659" s="744">
        <v>62.087104564109552</v>
      </c>
      <c r="X659" s="604">
        <f t="shared" si="95"/>
        <v>-32334.96405698825</v>
      </c>
      <c r="Y659" s="701">
        <f t="shared" si="96"/>
        <v>-79609.019699524724</v>
      </c>
      <c r="Z659" s="744">
        <v>98.812895435890439</v>
      </c>
      <c r="AA659" s="604">
        <f t="shared" si="97"/>
        <v>-51461.75594301174</v>
      </c>
      <c r="AB659" s="745">
        <f t="shared" si="98"/>
        <v>-60482.227813501231</v>
      </c>
      <c r="AC659" s="714"/>
    </row>
    <row r="660" spans="1:29" ht="15" customHeight="1" x14ac:dyDescent="0.25">
      <c r="A660" s="713"/>
      <c r="B660" s="731" t="s">
        <v>826</v>
      </c>
      <c r="C660" s="547" t="s">
        <v>40</v>
      </c>
      <c r="D660" s="547" t="s">
        <v>349</v>
      </c>
      <c r="E660" s="683">
        <v>44621</v>
      </c>
      <c r="F660" s="547">
        <v>744</v>
      </c>
      <c r="G660" s="547" t="s">
        <v>59</v>
      </c>
      <c r="H660" s="547" t="s">
        <v>3</v>
      </c>
      <c r="I660" s="547" t="s">
        <v>44</v>
      </c>
      <c r="J660" s="547" t="s">
        <v>85</v>
      </c>
      <c r="K660" s="547">
        <v>165</v>
      </c>
      <c r="L660" s="727" t="s">
        <v>54</v>
      </c>
      <c r="M660" s="697">
        <v>0</v>
      </c>
      <c r="N660" s="727">
        <v>2.5</v>
      </c>
      <c r="O660" s="697">
        <v>0</v>
      </c>
      <c r="P660" s="727">
        <v>165</v>
      </c>
      <c r="Q660" s="750">
        <f t="shared" si="90"/>
        <v>0</v>
      </c>
      <c r="R660" s="608">
        <f t="shared" si="91"/>
        <v>306900</v>
      </c>
      <c r="S660" s="751">
        <f t="shared" si="92"/>
        <v>306900</v>
      </c>
      <c r="T660" s="750">
        <v>55.7</v>
      </c>
      <c r="U660" s="608">
        <f t="shared" si="93"/>
        <v>103602</v>
      </c>
      <c r="V660" s="751">
        <f t="shared" si="94"/>
        <v>203298</v>
      </c>
      <c r="W660" s="752">
        <v>55.7</v>
      </c>
      <c r="X660" s="609">
        <f t="shared" si="95"/>
        <v>103602</v>
      </c>
      <c r="Y660" s="703">
        <f t="shared" si="96"/>
        <v>203298</v>
      </c>
      <c r="Z660" s="752">
        <v>55.7</v>
      </c>
      <c r="AA660" s="609">
        <f t="shared" si="97"/>
        <v>103602</v>
      </c>
      <c r="AB660" s="753">
        <f t="shared" si="98"/>
        <v>203298</v>
      </c>
      <c r="AC660" s="714"/>
    </row>
    <row r="661" spans="1:29" ht="15" customHeight="1" x14ac:dyDescent="0.25">
      <c r="A661" s="713"/>
      <c r="B661" s="731" t="s">
        <v>827</v>
      </c>
      <c r="C661" s="547" t="s">
        <v>40</v>
      </c>
      <c r="D661" s="547" t="s">
        <v>349</v>
      </c>
      <c r="E661" s="683">
        <v>44593</v>
      </c>
      <c r="F661" s="547">
        <v>672</v>
      </c>
      <c r="G661" s="547" t="s">
        <v>59</v>
      </c>
      <c r="H661" s="547" t="s">
        <v>3</v>
      </c>
      <c r="I661" s="547" t="s">
        <v>44</v>
      </c>
      <c r="J661" s="547" t="s">
        <v>85</v>
      </c>
      <c r="K661" s="547">
        <v>170</v>
      </c>
      <c r="L661" s="727" t="s">
        <v>54</v>
      </c>
      <c r="M661" s="697">
        <v>0</v>
      </c>
      <c r="N661" s="727">
        <v>2.5</v>
      </c>
      <c r="O661" s="697">
        <v>0</v>
      </c>
      <c r="P661" s="727">
        <v>170</v>
      </c>
      <c r="Q661" s="750">
        <f t="shared" si="90"/>
        <v>0</v>
      </c>
      <c r="R661" s="608">
        <f t="shared" si="91"/>
        <v>285600</v>
      </c>
      <c r="S661" s="751">
        <f t="shared" si="92"/>
        <v>285600</v>
      </c>
      <c r="T661" s="750">
        <v>55.7</v>
      </c>
      <c r="U661" s="608">
        <f t="shared" si="93"/>
        <v>93576</v>
      </c>
      <c r="V661" s="751">
        <f t="shared" si="94"/>
        <v>192024</v>
      </c>
      <c r="W661" s="752">
        <v>55.7</v>
      </c>
      <c r="X661" s="609">
        <f t="shared" si="95"/>
        <v>93576</v>
      </c>
      <c r="Y661" s="703">
        <f t="shared" si="96"/>
        <v>192024</v>
      </c>
      <c r="Z661" s="752">
        <v>55.7</v>
      </c>
      <c r="AA661" s="609">
        <f t="shared" si="97"/>
        <v>93576</v>
      </c>
      <c r="AB661" s="753">
        <f t="shared" si="98"/>
        <v>192024</v>
      </c>
      <c r="AC661" s="714"/>
    </row>
    <row r="662" spans="1:29" ht="15" customHeight="1" x14ac:dyDescent="0.25">
      <c r="A662" s="713"/>
      <c r="B662" s="731" t="s">
        <v>828</v>
      </c>
      <c r="C662" s="547" t="s">
        <v>40</v>
      </c>
      <c r="D662" s="547" t="s">
        <v>508</v>
      </c>
      <c r="E662" s="683">
        <v>44562</v>
      </c>
      <c r="F662" s="547">
        <v>744</v>
      </c>
      <c r="G662" s="547" t="s">
        <v>59</v>
      </c>
      <c r="H662" s="547" t="s">
        <v>3</v>
      </c>
      <c r="I662" s="547" t="s">
        <v>44</v>
      </c>
      <c r="J662" s="547" t="s">
        <v>85</v>
      </c>
      <c r="K662" s="547">
        <v>125</v>
      </c>
      <c r="L662" s="727" t="s">
        <v>54</v>
      </c>
      <c r="M662" s="697">
        <v>0</v>
      </c>
      <c r="N662" s="727">
        <v>2.5</v>
      </c>
      <c r="O662" s="697">
        <v>0</v>
      </c>
      <c r="P662" s="727">
        <v>125</v>
      </c>
      <c r="Q662" s="750">
        <f t="shared" si="90"/>
        <v>0</v>
      </c>
      <c r="R662" s="608">
        <f t="shared" si="91"/>
        <v>232500</v>
      </c>
      <c r="S662" s="751">
        <f t="shared" si="92"/>
        <v>232500</v>
      </c>
      <c r="T662" s="750">
        <v>62.91</v>
      </c>
      <c r="U662" s="608">
        <f t="shared" si="93"/>
        <v>117012.59999999999</v>
      </c>
      <c r="V662" s="751">
        <f t="shared" si="94"/>
        <v>115487.40000000001</v>
      </c>
      <c r="W662" s="752">
        <v>62.91</v>
      </c>
      <c r="X662" s="609">
        <f t="shared" si="95"/>
        <v>117012.59999999999</v>
      </c>
      <c r="Y662" s="703">
        <f t="shared" si="96"/>
        <v>115487.40000000001</v>
      </c>
      <c r="Z662" s="752">
        <v>62.91</v>
      </c>
      <c r="AA662" s="609">
        <f t="shared" si="97"/>
        <v>117012.59999999999</v>
      </c>
      <c r="AB662" s="753">
        <f t="shared" si="98"/>
        <v>115487.40000000001</v>
      </c>
      <c r="AC662" s="714"/>
    </row>
    <row r="663" spans="1:29" ht="15" customHeight="1" x14ac:dyDescent="0.25">
      <c r="A663" s="713"/>
      <c r="B663" s="730" t="s">
        <v>829</v>
      </c>
      <c r="C663" s="546" t="s">
        <v>40</v>
      </c>
      <c r="D663" s="546" t="s">
        <v>353</v>
      </c>
      <c r="E663" s="682">
        <v>44652</v>
      </c>
      <c r="F663" s="546">
        <v>720</v>
      </c>
      <c r="G663" s="546" t="s">
        <v>59</v>
      </c>
      <c r="H663" s="546" t="s">
        <v>3</v>
      </c>
      <c r="I663" s="546" t="s">
        <v>44</v>
      </c>
      <c r="J663" s="546" t="s">
        <v>85</v>
      </c>
      <c r="K663" s="546">
        <v>167</v>
      </c>
      <c r="L663" s="726" t="s">
        <v>54</v>
      </c>
      <c r="M663" s="696">
        <v>0</v>
      </c>
      <c r="N663" s="726">
        <v>1</v>
      </c>
      <c r="O663" s="696">
        <v>0</v>
      </c>
      <c r="P663" s="726">
        <v>167</v>
      </c>
      <c r="Q663" s="746">
        <f t="shared" si="90"/>
        <v>0</v>
      </c>
      <c r="R663" s="606">
        <f t="shared" si="91"/>
        <v>120240</v>
      </c>
      <c r="S663" s="747">
        <f t="shared" si="92"/>
        <v>120240</v>
      </c>
      <c r="T663" s="746">
        <v>55.7</v>
      </c>
      <c r="U663" s="606">
        <f t="shared" si="93"/>
        <v>40104</v>
      </c>
      <c r="V663" s="747">
        <f t="shared" si="94"/>
        <v>80136</v>
      </c>
      <c r="W663" s="748">
        <v>55.7</v>
      </c>
      <c r="X663" s="607">
        <f t="shared" si="95"/>
        <v>40104</v>
      </c>
      <c r="Y663" s="702">
        <f t="shared" si="96"/>
        <v>80136</v>
      </c>
      <c r="Z663" s="748">
        <v>55.7</v>
      </c>
      <c r="AA663" s="607">
        <f t="shared" si="97"/>
        <v>40104</v>
      </c>
      <c r="AB663" s="749">
        <f t="shared" si="98"/>
        <v>80136</v>
      </c>
      <c r="AC663" s="714"/>
    </row>
    <row r="664" spans="1:29" ht="15" customHeight="1" x14ac:dyDescent="0.25">
      <c r="A664" s="713"/>
      <c r="B664" s="714" t="s">
        <v>829</v>
      </c>
      <c r="C664" s="676" t="s">
        <v>40</v>
      </c>
      <c r="D664" s="676" t="s">
        <v>353</v>
      </c>
      <c r="E664" s="680">
        <v>44682</v>
      </c>
      <c r="F664" s="676">
        <v>744</v>
      </c>
      <c r="G664" s="676" t="s">
        <v>59</v>
      </c>
      <c r="H664" s="676" t="s">
        <v>3</v>
      </c>
      <c r="I664" s="676" t="s">
        <v>44</v>
      </c>
      <c r="J664" s="676" t="s">
        <v>85</v>
      </c>
      <c r="K664" s="676">
        <v>167</v>
      </c>
      <c r="L664" s="690" t="s">
        <v>54</v>
      </c>
      <c r="M664" s="691">
        <v>0</v>
      </c>
      <c r="N664" s="690">
        <v>1</v>
      </c>
      <c r="O664" s="691">
        <v>0</v>
      </c>
      <c r="P664" s="690">
        <v>167</v>
      </c>
      <c r="Q664" s="738">
        <f t="shared" si="90"/>
        <v>0</v>
      </c>
      <c r="R664" s="677">
        <f t="shared" si="91"/>
        <v>124248</v>
      </c>
      <c r="S664" s="739">
        <f t="shared" si="92"/>
        <v>124248</v>
      </c>
      <c r="T664" s="738">
        <v>55.7</v>
      </c>
      <c r="U664" s="677">
        <f t="shared" si="93"/>
        <v>41440.800000000003</v>
      </c>
      <c r="V664" s="739">
        <f t="shared" si="94"/>
        <v>82807.199999999997</v>
      </c>
      <c r="W664" s="740">
        <v>55.7</v>
      </c>
      <c r="X664" s="678">
        <f t="shared" si="95"/>
        <v>41440.800000000003</v>
      </c>
      <c r="Y664" s="700">
        <f t="shared" si="96"/>
        <v>82807.199999999997</v>
      </c>
      <c r="Z664" s="740">
        <v>55.7</v>
      </c>
      <c r="AA664" s="678">
        <f t="shared" si="97"/>
        <v>41440.800000000003</v>
      </c>
      <c r="AB664" s="741">
        <f t="shared" si="98"/>
        <v>82807.199999999997</v>
      </c>
      <c r="AC664" s="714"/>
    </row>
    <row r="665" spans="1:29" ht="15" customHeight="1" x14ac:dyDescent="0.25">
      <c r="A665" s="713"/>
      <c r="B665" s="729" t="s">
        <v>829</v>
      </c>
      <c r="C665" s="545" t="s">
        <v>40</v>
      </c>
      <c r="D665" s="545" t="s">
        <v>353</v>
      </c>
      <c r="E665" s="681">
        <v>44713</v>
      </c>
      <c r="F665" s="545">
        <v>720</v>
      </c>
      <c r="G665" s="545" t="s">
        <v>59</v>
      </c>
      <c r="H665" s="545" t="s">
        <v>3</v>
      </c>
      <c r="I665" s="545" t="s">
        <v>44</v>
      </c>
      <c r="J665" s="545" t="s">
        <v>85</v>
      </c>
      <c r="K665" s="545">
        <v>167</v>
      </c>
      <c r="L665" s="725" t="s">
        <v>54</v>
      </c>
      <c r="M665" s="695">
        <v>0</v>
      </c>
      <c r="N665" s="725">
        <v>1</v>
      </c>
      <c r="O665" s="695">
        <v>0</v>
      </c>
      <c r="P665" s="725">
        <v>167</v>
      </c>
      <c r="Q665" s="742">
        <f t="shared" si="90"/>
        <v>0</v>
      </c>
      <c r="R665" s="603">
        <f t="shared" si="91"/>
        <v>120240</v>
      </c>
      <c r="S665" s="743">
        <f t="shared" si="92"/>
        <v>120240</v>
      </c>
      <c r="T665" s="742">
        <v>55.71</v>
      </c>
      <c r="U665" s="603">
        <f t="shared" si="93"/>
        <v>40111.199999999997</v>
      </c>
      <c r="V665" s="743">
        <f t="shared" si="94"/>
        <v>80128.800000000003</v>
      </c>
      <c r="W665" s="744">
        <v>55.71</v>
      </c>
      <c r="X665" s="604">
        <f t="shared" si="95"/>
        <v>40111.199999999997</v>
      </c>
      <c r="Y665" s="701">
        <f t="shared" si="96"/>
        <v>80128.800000000003</v>
      </c>
      <c r="Z665" s="744">
        <v>55.71</v>
      </c>
      <c r="AA665" s="604">
        <f t="shared" si="97"/>
        <v>40111.199999999997</v>
      </c>
      <c r="AB665" s="745">
        <f t="shared" si="98"/>
        <v>80128.800000000003</v>
      </c>
      <c r="AC665" s="714"/>
    </row>
    <row r="666" spans="1:29" ht="15" customHeight="1" x14ac:dyDescent="0.25">
      <c r="A666" s="713"/>
      <c r="B666" s="730" t="s">
        <v>830</v>
      </c>
      <c r="C666" s="546" t="s">
        <v>40</v>
      </c>
      <c r="D666" s="546" t="s">
        <v>469</v>
      </c>
      <c r="E666" s="682">
        <v>44652</v>
      </c>
      <c r="F666" s="546">
        <v>720</v>
      </c>
      <c r="G666" s="546" t="s">
        <v>59</v>
      </c>
      <c r="H666" s="546" t="s">
        <v>3</v>
      </c>
      <c r="I666" s="546" t="s">
        <v>44</v>
      </c>
      <c r="J666" s="546" t="s">
        <v>85</v>
      </c>
      <c r="K666" s="546">
        <v>167</v>
      </c>
      <c r="L666" s="726" t="s">
        <v>54</v>
      </c>
      <c r="M666" s="696">
        <v>0</v>
      </c>
      <c r="N666" s="726">
        <v>1</v>
      </c>
      <c r="O666" s="696">
        <v>0</v>
      </c>
      <c r="P666" s="726">
        <v>167</v>
      </c>
      <c r="Q666" s="746">
        <f t="shared" si="90"/>
        <v>0</v>
      </c>
      <c r="R666" s="606">
        <f t="shared" si="91"/>
        <v>120240</v>
      </c>
      <c r="S666" s="747">
        <f t="shared" si="92"/>
        <v>120240</v>
      </c>
      <c r="T666" s="746">
        <v>55.7</v>
      </c>
      <c r="U666" s="606">
        <f t="shared" si="93"/>
        <v>40104</v>
      </c>
      <c r="V666" s="747">
        <f t="shared" si="94"/>
        <v>80136</v>
      </c>
      <c r="W666" s="748">
        <v>55.7</v>
      </c>
      <c r="X666" s="607">
        <f t="shared" si="95"/>
        <v>40104</v>
      </c>
      <c r="Y666" s="702">
        <f t="shared" si="96"/>
        <v>80136</v>
      </c>
      <c r="Z666" s="748">
        <v>55.7</v>
      </c>
      <c r="AA666" s="607">
        <f t="shared" si="97"/>
        <v>40104</v>
      </c>
      <c r="AB666" s="749">
        <f t="shared" si="98"/>
        <v>80136</v>
      </c>
      <c r="AC666" s="714"/>
    </row>
    <row r="667" spans="1:29" ht="15" customHeight="1" x14ac:dyDescent="0.25">
      <c r="A667" s="713"/>
      <c r="B667" s="714" t="s">
        <v>830</v>
      </c>
      <c r="C667" s="676" t="s">
        <v>40</v>
      </c>
      <c r="D667" s="676" t="s">
        <v>469</v>
      </c>
      <c r="E667" s="680">
        <v>44682</v>
      </c>
      <c r="F667" s="676">
        <v>744</v>
      </c>
      <c r="G667" s="676" t="s">
        <v>59</v>
      </c>
      <c r="H667" s="676" t="s">
        <v>3</v>
      </c>
      <c r="I667" s="676" t="s">
        <v>44</v>
      </c>
      <c r="J667" s="676" t="s">
        <v>85</v>
      </c>
      <c r="K667" s="676">
        <v>167</v>
      </c>
      <c r="L667" s="690" t="s">
        <v>54</v>
      </c>
      <c r="M667" s="691">
        <v>0</v>
      </c>
      <c r="N667" s="690">
        <v>1</v>
      </c>
      <c r="O667" s="691">
        <v>0</v>
      </c>
      <c r="P667" s="690">
        <v>167</v>
      </c>
      <c r="Q667" s="738">
        <f t="shared" si="90"/>
        <v>0</v>
      </c>
      <c r="R667" s="677">
        <f t="shared" si="91"/>
        <v>124248</v>
      </c>
      <c r="S667" s="739">
        <f t="shared" si="92"/>
        <v>124248</v>
      </c>
      <c r="T667" s="738">
        <v>55.7</v>
      </c>
      <c r="U667" s="677">
        <f t="shared" si="93"/>
        <v>41440.800000000003</v>
      </c>
      <c r="V667" s="739">
        <f t="shared" si="94"/>
        <v>82807.199999999997</v>
      </c>
      <c r="W667" s="740">
        <v>55.7</v>
      </c>
      <c r="X667" s="678">
        <f t="shared" si="95"/>
        <v>41440.800000000003</v>
      </c>
      <c r="Y667" s="700">
        <f t="shared" si="96"/>
        <v>82807.199999999997</v>
      </c>
      <c r="Z667" s="740">
        <v>55.7</v>
      </c>
      <c r="AA667" s="678">
        <f t="shared" si="97"/>
        <v>41440.800000000003</v>
      </c>
      <c r="AB667" s="741">
        <f t="shared" si="98"/>
        <v>82807.199999999997</v>
      </c>
      <c r="AC667" s="714"/>
    </row>
    <row r="668" spans="1:29" ht="15" customHeight="1" x14ac:dyDescent="0.25">
      <c r="A668" s="713"/>
      <c r="B668" s="729" t="s">
        <v>830</v>
      </c>
      <c r="C668" s="545" t="s">
        <v>40</v>
      </c>
      <c r="D668" s="545" t="s">
        <v>469</v>
      </c>
      <c r="E668" s="681">
        <v>44713</v>
      </c>
      <c r="F668" s="545">
        <v>720</v>
      </c>
      <c r="G668" s="545" t="s">
        <v>59</v>
      </c>
      <c r="H668" s="545" t="s">
        <v>3</v>
      </c>
      <c r="I668" s="545" t="s">
        <v>44</v>
      </c>
      <c r="J668" s="545" t="s">
        <v>85</v>
      </c>
      <c r="K668" s="545">
        <v>167</v>
      </c>
      <c r="L668" s="725" t="s">
        <v>54</v>
      </c>
      <c r="M668" s="695">
        <v>0</v>
      </c>
      <c r="N668" s="725">
        <v>1</v>
      </c>
      <c r="O668" s="695">
        <v>0</v>
      </c>
      <c r="P668" s="725">
        <v>167</v>
      </c>
      <c r="Q668" s="742">
        <f t="shared" si="90"/>
        <v>0</v>
      </c>
      <c r="R668" s="603">
        <f t="shared" si="91"/>
        <v>120240</v>
      </c>
      <c r="S668" s="743">
        <f t="shared" si="92"/>
        <v>120240</v>
      </c>
      <c r="T668" s="742">
        <v>55.71</v>
      </c>
      <c r="U668" s="603">
        <f t="shared" si="93"/>
        <v>40111.199999999997</v>
      </c>
      <c r="V668" s="743">
        <f t="shared" si="94"/>
        <v>80128.800000000003</v>
      </c>
      <c r="W668" s="744">
        <v>55.71</v>
      </c>
      <c r="X668" s="604">
        <f t="shared" si="95"/>
        <v>40111.199999999997</v>
      </c>
      <c r="Y668" s="701">
        <f t="shared" si="96"/>
        <v>80128.800000000003</v>
      </c>
      <c r="Z668" s="744">
        <v>55.71</v>
      </c>
      <c r="AA668" s="604">
        <f t="shared" si="97"/>
        <v>40111.199999999997</v>
      </c>
      <c r="AB668" s="745">
        <f t="shared" si="98"/>
        <v>80128.800000000003</v>
      </c>
      <c r="AC668" s="714"/>
    </row>
    <row r="669" spans="1:29" ht="15" customHeight="1" x14ac:dyDescent="0.25">
      <c r="A669" s="713"/>
      <c r="B669" s="730" t="s">
        <v>831</v>
      </c>
      <c r="C669" s="546" t="s">
        <v>40</v>
      </c>
      <c r="D669" s="546" t="s">
        <v>410</v>
      </c>
      <c r="E669" s="682">
        <v>44652</v>
      </c>
      <c r="F669" s="546">
        <v>720</v>
      </c>
      <c r="G669" s="546" t="s">
        <v>59</v>
      </c>
      <c r="H669" s="546" t="s">
        <v>3</v>
      </c>
      <c r="I669" s="546" t="s">
        <v>44</v>
      </c>
      <c r="J669" s="546" t="s">
        <v>85</v>
      </c>
      <c r="K669" s="546">
        <v>165</v>
      </c>
      <c r="L669" s="726" t="s">
        <v>54</v>
      </c>
      <c r="M669" s="696">
        <v>0</v>
      </c>
      <c r="N669" s="726">
        <v>0.5</v>
      </c>
      <c r="O669" s="696">
        <v>0</v>
      </c>
      <c r="P669" s="726">
        <v>165</v>
      </c>
      <c r="Q669" s="746">
        <f t="shared" si="90"/>
        <v>0</v>
      </c>
      <c r="R669" s="606">
        <f t="shared" si="91"/>
        <v>59400</v>
      </c>
      <c r="S669" s="747">
        <f t="shared" si="92"/>
        <v>59400</v>
      </c>
      <c r="T669" s="746">
        <v>55.7</v>
      </c>
      <c r="U669" s="606">
        <f t="shared" si="93"/>
        <v>20052</v>
      </c>
      <c r="V669" s="747">
        <f t="shared" si="94"/>
        <v>39348</v>
      </c>
      <c r="W669" s="748">
        <v>55.7</v>
      </c>
      <c r="X669" s="607">
        <f t="shared" si="95"/>
        <v>20052</v>
      </c>
      <c r="Y669" s="702">
        <f t="shared" si="96"/>
        <v>39348</v>
      </c>
      <c r="Z669" s="748">
        <v>55.7</v>
      </c>
      <c r="AA669" s="607">
        <f t="shared" si="97"/>
        <v>20052</v>
      </c>
      <c r="AB669" s="749">
        <f t="shared" si="98"/>
        <v>39348</v>
      </c>
      <c r="AC669" s="714"/>
    </row>
    <row r="670" spans="1:29" ht="15" customHeight="1" x14ac:dyDescent="0.25">
      <c r="A670" s="713"/>
      <c r="B670" s="714" t="s">
        <v>831</v>
      </c>
      <c r="C670" s="676" t="s">
        <v>40</v>
      </c>
      <c r="D670" s="676" t="s">
        <v>410</v>
      </c>
      <c r="E670" s="680">
        <v>44682</v>
      </c>
      <c r="F670" s="676">
        <v>744</v>
      </c>
      <c r="G670" s="676" t="s">
        <v>59</v>
      </c>
      <c r="H670" s="676" t="s">
        <v>3</v>
      </c>
      <c r="I670" s="676" t="s">
        <v>44</v>
      </c>
      <c r="J670" s="676" t="s">
        <v>85</v>
      </c>
      <c r="K670" s="676">
        <v>165</v>
      </c>
      <c r="L670" s="690" t="s">
        <v>54</v>
      </c>
      <c r="M670" s="691">
        <v>0</v>
      </c>
      <c r="N670" s="690">
        <v>0.5</v>
      </c>
      <c r="O670" s="691">
        <v>0</v>
      </c>
      <c r="P670" s="690">
        <v>165</v>
      </c>
      <c r="Q670" s="738">
        <f t="shared" si="90"/>
        <v>0</v>
      </c>
      <c r="R670" s="677">
        <f t="shared" si="91"/>
        <v>61380</v>
      </c>
      <c r="S670" s="739">
        <f t="shared" si="92"/>
        <v>61380</v>
      </c>
      <c r="T670" s="738">
        <v>55.7</v>
      </c>
      <c r="U670" s="677">
        <f t="shared" si="93"/>
        <v>20720.400000000001</v>
      </c>
      <c r="V670" s="739">
        <f t="shared" si="94"/>
        <v>40659.599999999999</v>
      </c>
      <c r="W670" s="740">
        <v>55.7</v>
      </c>
      <c r="X670" s="678">
        <f t="shared" si="95"/>
        <v>20720.400000000001</v>
      </c>
      <c r="Y670" s="700">
        <f t="shared" si="96"/>
        <v>40659.599999999999</v>
      </c>
      <c r="Z670" s="740">
        <v>55.7</v>
      </c>
      <c r="AA670" s="678">
        <f t="shared" si="97"/>
        <v>20720.400000000001</v>
      </c>
      <c r="AB670" s="741">
        <f t="shared" si="98"/>
        <v>40659.599999999999</v>
      </c>
      <c r="AC670" s="714"/>
    </row>
    <row r="671" spans="1:29" ht="15" customHeight="1" x14ac:dyDescent="0.25">
      <c r="A671" s="713"/>
      <c r="B671" s="729" t="s">
        <v>831</v>
      </c>
      <c r="C671" s="545" t="s">
        <v>40</v>
      </c>
      <c r="D671" s="545" t="s">
        <v>410</v>
      </c>
      <c r="E671" s="681">
        <v>44713</v>
      </c>
      <c r="F671" s="545">
        <v>720</v>
      </c>
      <c r="G671" s="545" t="s">
        <v>59</v>
      </c>
      <c r="H671" s="545" t="s">
        <v>3</v>
      </c>
      <c r="I671" s="545" t="s">
        <v>44</v>
      </c>
      <c r="J671" s="545" t="s">
        <v>85</v>
      </c>
      <c r="K671" s="545">
        <v>165</v>
      </c>
      <c r="L671" s="725" t="s">
        <v>54</v>
      </c>
      <c r="M671" s="695">
        <v>0</v>
      </c>
      <c r="N671" s="725">
        <v>0.5</v>
      </c>
      <c r="O671" s="695">
        <v>0</v>
      </c>
      <c r="P671" s="725">
        <v>165</v>
      </c>
      <c r="Q671" s="742">
        <f t="shared" si="90"/>
        <v>0</v>
      </c>
      <c r="R671" s="603">
        <f t="shared" si="91"/>
        <v>59400</v>
      </c>
      <c r="S671" s="743">
        <f t="shared" si="92"/>
        <v>59400</v>
      </c>
      <c r="T671" s="742">
        <v>55.71</v>
      </c>
      <c r="U671" s="603">
        <f t="shared" si="93"/>
        <v>20055.599999999999</v>
      </c>
      <c r="V671" s="743">
        <f t="shared" si="94"/>
        <v>39344.400000000001</v>
      </c>
      <c r="W671" s="744">
        <v>55.71</v>
      </c>
      <c r="X671" s="604">
        <f t="shared" si="95"/>
        <v>20055.599999999999</v>
      </c>
      <c r="Y671" s="701">
        <f t="shared" si="96"/>
        <v>39344.400000000001</v>
      </c>
      <c r="Z671" s="744">
        <v>55.71</v>
      </c>
      <c r="AA671" s="604">
        <f t="shared" si="97"/>
        <v>20055.599999999999</v>
      </c>
      <c r="AB671" s="745">
        <f t="shared" si="98"/>
        <v>39344.400000000001</v>
      </c>
      <c r="AC671" s="714"/>
    </row>
    <row r="672" spans="1:29" ht="15" customHeight="1" x14ac:dyDescent="0.25">
      <c r="A672" s="713"/>
      <c r="B672" s="730" t="s">
        <v>832</v>
      </c>
      <c r="C672" s="546" t="s">
        <v>40</v>
      </c>
      <c r="D672" s="546" t="s">
        <v>639</v>
      </c>
      <c r="E672" s="682">
        <v>44743</v>
      </c>
      <c r="F672" s="546">
        <v>744</v>
      </c>
      <c r="G672" s="546" t="s">
        <v>59</v>
      </c>
      <c r="H672" s="546" t="s">
        <v>3</v>
      </c>
      <c r="I672" s="546" t="s">
        <v>44</v>
      </c>
      <c r="J672" s="546" t="s">
        <v>85</v>
      </c>
      <c r="K672" s="546">
        <v>257</v>
      </c>
      <c r="L672" s="726" t="s">
        <v>54</v>
      </c>
      <c r="M672" s="696">
        <v>0</v>
      </c>
      <c r="N672" s="726">
        <v>2</v>
      </c>
      <c r="O672" s="696">
        <v>0</v>
      </c>
      <c r="P672" s="726">
        <v>257</v>
      </c>
      <c r="Q672" s="746">
        <f t="shared" si="90"/>
        <v>0</v>
      </c>
      <c r="R672" s="606">
        <f t="shared" si="91"/>
        <v>382416</v>
      </c>
      <c r="S672" s="747">
        <f t="shared" si="92"/>
        <v>382416</v>
      </c>
      <c r="T672" s="746">
        <v>66.319999999999993</v>
      </c>
      <c r="U672" s="606">
        <f t="shared" si="93"/>
        <v>98684.159999999989</v>
      </c>
      <c r="V672" s="747">
        <f t="shared" si="94"/>
        <v>283731.84000000003</v>
      </c>
      <c r="W672" s="748">
        <v>66.319999999999993</v>
      </c>
      <c r="X672" s="607">
        <f t="shared" si="95"/>
        <v>98684.159999999989</v>
      </c>
      <c r="Y672" s="702">
        <f t="shared" si="96"/>
        <v>283731.84000000003</v>
      </c>
      <c r="Z672" s="748">
        <v>66.319999999999993</v>
      </c>
      <c r="AA672" s="607">
        <f t="shared" si="97"/>
        <v>98684.159999999989</v>
      </c>
      <c r="AB672" s="749">
        <f t="shared" si="98"/>
        <v>283731.84000000003</v>
      </c>
      <c r="AC672" s="714"/>
    </row>
    <row r="673" spans="1:29" ht="15" customHeight="1" x14ac:dyDescent="0.25">
      <c r="A673" s="713"/>
      <c r="B673" s="714" t="s">
        <v>832</v>
      </c>
      <c r="C673" s="676" t="s">
        <v>40</v>
      </c>
      <c r="D673" s="676" t="s">
        <v>639</v>
      </c>
      <c r="E673" s="680">
        <v>44774</v>
      </c>
      <c r="F673" s="676">
        <v>744</v>
      </c>
      <c r="G673" s="676" t="s">
        <v>59</v>
      </c>
      <c r="H673" s="676" t="s">
        <v>3</v>
      </c>
      <c r="I673" s="676" t="s">
        <v>44</v>
      </c>
      <c r="J673" s="676" t="s">
        <v>85</v>
      </c>
      <c r="K673" s="676">
        <v>257</v>
      </c>
      <c r="L673" s="690" t="s">
        <v>54</v>
      </c>
      <c r="M673" s="691">
        <v>0</v>
      </c>
      <c r="N673" s="690">
        <v>2</v>
      </c>
      <c r="O673" s="691">
        <v>0</v>
      </c>
      <c r="P673" s="690">
        <v>257</v>
      </c>
      <c r="Q673" s="738">
        <f t="shared" si="90"/>
        <v>0</v>
      </c>
      <c r="R673" s="677">
        <f t="shared" si="91"/>
        <v>382416</v>
      </c>
      <c r="S673" s="739">
        <f t="shared" si="92"/>
        <v>382416</v>
      </c>
      <c r="T673" s="738">
        <v>76.900000000000006</v>
      </c>
      <c r="U673" s="677">
        <f t="shared" si="93"/>
        <v>114427.20000000001</v>
      </c>
      <c r="V673" s="739">
        <f t="shared" si="94"/>
        <v>267988.8</v>
      </c>
      <c r="W673" s="740">
        <v>76.900000000000006</v>
      </c>
      <c r="X673" s="678">
        <f t="shared" si="95"/>
        <v>114427.20000000001</v>
      </c>
      <c r="Y673" s="700">
        <f t="shared" si="96"/>
        <v>267988.8</v>
      </c>
      <c r="Z673" s="740">
        <v>76.900000000000006</v>
      </c>
      <c r="AA673" s="678">
        <f t="shared" si="97"/>
        <v>114427.20000000001</v>
      </c>
      <c r="AB673" s="741">
        <f t="shared" si="98"/>
        <v>267988.8</v>
      </c>
      <c r="AC673" s="714"/>
    </row>
    <row r="674" spans="1:29" ht="15" customHeight="1" x14ac:dyDescent="0.25">
      <c r="A674" s="713"/>
      <c r="B674" s="714" t="s">
        <v>832</v>
      </c>
      <c r="C674" s="676" t="s">
        <v>40</v>
      </c>
      <c r="D674" s="676" t="s">
        <v>639</v>
      </c>
      <c r="E674" s="680">
        <v>44805</v>
      </c>
      <c r="F674" s="676">
        <v>720</v>
      </c>
      <c r="G674" s="676" t="s">
        <v>59</v>
      </c>
      <c r="H674" s="676" t="s">
        <v>3</v>
      </c>
      <c r="I674" s="676" t="s">
        <v>44</v>
      </c>
      <c r="J674" s="676" t="s">
        <v>85</v>
      </c>
      <c r="K674" s="676">
        <v>257</v>
      </c>
      <c r="L674" s="690" t="s">
        <v>54</v>
      </c>
      <c r="M674" s="691">
        <v>0</v>
      </c>
      <c r="N674" s="690">
        <v>2</v>
      </c>
      <c r="O674" s="691">
        <v>0</v>
      </c>
      <c r="P674" s="690">
        <v>257</v>
      </c>
      <c r="Q674" s="738">
        <f t="shared" si="90"/>
        <v>0</v>
      </c>
      <c r="R674" s="677">
        <f t="shared" si="91"/>
        <v>370080</v>
      </c>
      <c r="S674" s="739">
        <f t="shared" si="92"/>
        <v>370080</v>
      </c>
      <c r="T674" s="738">
        <v>56.08</v>
      </c>
      <c r="U674" s="677">
        <f t="shared" si="93"/>
        <v>80755.199999999997</v>
      </c>
      <c r="V674" s="739">
        <f t="shared" si="94"/>
        <v>289324.79999999999</v>
      </c>
      <c r="W674" s="740">
        <v>56.08</v>
      </c>
      <c r="X674" s="678">
        <f t="shared" si="95"/>
        <v>80755.199999999997</v>
      </c>
      <c r="Y674" s="700">
        <f t="shared" si="96"/>
        <v>289324.79999999999</v>
      </c>
      <c r="Z674" s="740">
        <v>56.08</v>
      </c>
      <c r="AA674" s="678">
        <f t="shared" si="97"/>
        <v>80755.199999999997</v>
      </c>
      <c r="AB674" s="741">
        <f t="shared" si="98"/>
        <v>289324.79999999999</v>
      </c>
      <c r="AC674" s="714"/>
    </row>
    <row r="675" spans="1:29" ht="15" customHeight="1" x14ac:dyDescent="0.25">
      <c r="A675" s="713"/>
      <c r="B675" s="714" t="s">
        <v>832</v>
      </c>
      <c r="C675" s="676" t="s">
        <v>40</v>
      </c>
      <c r="D675" s="676" t="s">
        <v>639</v>
      </c>
      <c r="E675" s="680">
        <v>44835</v>
      </c>
      <c r="F675" s="676">
        <v>744</v>
      </c>
      <c r="G675" s="676" t="s">
        <v>59</v>
      </c>
      <c r="H675" s="676" t="s">
        <v>3</v>
      </c>
      <c r="I675" s="676" t="s">
        <v>44</v>
      </c>
      <c r="J675" s="676" t="s">
        <v>85</v>
      </c>
      <c r="K675" s="676">
        <v>257</v>
      </c>
      <c r="L675" s="690" t="s">
        <v>54</v>
      </c>
      <c r="M675" s="691">
        <v>0</v>
      </c>
      <c r="N675" s="690">
        <v>2</v>
      </c>
      <c r="O675" s="691">
        <v>0</v>
      </c>
      <c r="P675" s="690">
        <v>257</v>
      </c>
      <c r="Q675" s="738">
        <f t="shared" si="90"/>
        <v>0</v>
      </c>
      <c r="R675" s="677">
        <f t="shared" si="91"/>
        <v>382416</v>
      </c>
      <c r="S675" s="739">
        <f t="shared" si="92"/>
        <v>382416</v>
      </c>
      <c r="T675" s="738">
        <v>55.7</v>
      </c>
      <c r="U675" s="677">
        <f t="shared" si="93"/>
        <v>82881.600000000006</v>
      </c>
      <c r="V675" s="739">
        <f t="shared" si="94"/>
        <v>299534.40000000002</v>
      </c>
      <c r="W675" s="740">
        <v>55.7</v>
      </c>
      <c r="X675" s="678">
        <f t="shared" si="95"/>
        <v>82881.600000000006</v>
      </c>
      <c r="Y675" s="700">
        <f t="shared" si="96"/>
        <v>299534.40000000002</v>
      </c>
      <c r="Z675" s="740">
        <v>55.7</v>
      </c>
      <c r="AA675" s="678">
        <f t="shared" si="97"/>
        <v>82881.600000000006</v>
      </c>
      <c r="AB675" s="741">
        <f t="shared" si="98"/>
        <v>299534.40000000002</v>
      </c>
      <c r="AC675" s="714"/>
    </row>
    <row r="676" spans="1:29" ht="15" customHeight="1" x14ac:dyDescent="0.25">
      <c r="A676" s="713"/>
      <c r="B676" s="714" t="s">
        <v>832</v>
      </c>
      <c r="C676" s="676" t="s">
        <v>40</v>
      </c>
      <c r="D676" s="676" t="s">
        <v>639</v>
      </c>
      <c r="E676" s="680">
        <v>44866</v>
      </c>
      <c r="F676" s="676">
        <v>720</v>
      </c>
      <c r="G676" s="676" t="s">
        <v>59</v>
      </c>
      <c r="H676" s="676" t="s">
        <v>3</v>
      </c>
      <c r="I676" s="676" t="s">
        <v>44</v>
      </c>
      <c r="J676" s="676" t="s">
        <v>85</v>
      </c>
      <c r="K676" s="676">
        <v>257</v>
      </c>
      <c r="L676" s="690" t="s">
        <v>54</v>
      </c>
      <c r="M676" s="691">
        <v>0</v>
      </c>
      <c r="N676" s="690">
        <v>2</v>
      </c>
      <c r="O676" s="691">
        <v>0</v>
      </c>
      <c r="P676" s="690">
        <v>257</v>
      </c>
      <c r="Q676" s="738">
        <f t="shared" si="90"/>
        <v>0</v>
      </c>
      <c r="R676" s="677">
        <f t="shared" si="91"/>
        <v>370080</v>
      </c>
      <c r="S676" s="739">
        <f t="shared" si="92"/>
        <v>370080</v>
      </c>
      <c r="T676" s="738">
        <v>55.7</v>
      </c>
      <c r="U676" s="677">
        <f t="shared" si="93"/>
        <v>80208</v>
      </c>
      <c r="V676" s="739">
        <f t="shared" si="94"/>
        <v>289872</v>
      </c>
      <c r="W676" s="740">
        <v>55.7</v>
      </c>
      <c r="X676" s="678">
        <f t="shared" si="95"/>
        <v>80208</v>
      </c>
      <c r="Y676" s="700">
        <f t="shared" si="96"/>
        <v>289872</v>
      </c>
      <c r="Z676" s="740">
        <v>55.7</v>
      </c>
      <c r="AA676" s="678">
        <f t="shared" si="97"/>
        <v>80208</v>
      </c>
      <c r="AB676" s="741">
        <f t="shared" si="98"/>
        <v>289872</v>
      </c>
      <c r="AC676" s="714"/>
    </row>
    <row r="677" spans="1:29" ht="15" customHeight="1" x14ac:dyDescent="0.25">
      <c r="A677" s="713"/>
      <c r="B677" s="729" t="s">
        <v>832</v>
      </c>
      <c r="C677" s="545" t="s">
        <v>40</v>
      </c>
      <c r="D677" s="545" t="s">
        <v>639</v>
      </c>
      <c r="E677" s="681">
        <v>44896</v>
      </c>
      <c r="F677" s="545">
        <v>744</v>
      </c>
      <c r="G677" s="545" t="s">
        <v>59</v>
      </c>
      <c r="H677" s="545" t="s">
        <v>3</v>
      </c>
      <c r="I677" s="545" t="s">
        <v>44</v>
      </c>
      <c r="J677" s="545" t="s">
        <v>85</v>
      </c>
      <c r="K677" s="545">
        <v>257</v>
      </c>
      <c r="L677" s="725" t="s">
        <v>54</v>
      </c>
      <c r="M677" s="695">
        <v>0</v>
      </c>
      <c r="N677" s="725">
        <v>2</v>
      </c>
      <c r="O677" s="695">
        <v>0</v>
      </c>
      <c r="P677" s="725">
        <v>257</v>
      </c>
      <c r="Q677" s="742">
        <f t="shared" si="90"/>
        <v>0</v>
      </c>
      <c r="R677" s="603">
        <f t="shared" si="91"/>
        <v>382416</v>
      </c>
      <c r="S677" s="743">
        <f t="shared" si="92"/>
        <v>382416</v>
      </c>
      <c r="T677" s="742">
        <v>55.7</v>
      </c>
      <c r="U677" s="603">
        <f t="shared" si="93"/>
        <v>82881.600000000006</v>
      </c>
      <c r="V677" s="743">
        <f t="shared" si="94"/>
        <v>299534.40000000002</v>
      </c>
      <c r="W677" s="744">
        <v>55.7</v>
      </c>
      <c r="X677" s="604">
        <f t="shared" si="95"/>
        <v>82881.600000000006</v>
      </c>
      <c r="Y677" s="701">
        <f t="shared" si="96"/>
        <v>299534.40000000002</v>
      </c>
      <c r="Z677" s="744">
        <v>78.400653594793155</v>
      </c>
      <c r="AA677" s="604">
        <f t="shared" si="97"/>
        <v>116660.17254905222</v>
      </c>
      <c r="AB677" s="745">
        <f t="shared" si="98"/>
        <v>265755.82745094778</v>
      </c>
      <c r="AC677" s="714"/>
    </row>
    <row r="678" spans="1:29" ht="15" customHeight="1" x14ac:dyDescent="0.25">
      <c r="A678" s="713"/>
      <c r="B678" s="730" t="s">
        <v>833</v>
      </c>
      <c r="C678" s="546" t="s">
        <v>40</v>
      </c>
      <c r="D678" s="546" t="s">
        <v>350</v>
      </c>
      <c r="E678" s="682">
        <v>44562</v>
      </c>
      <c r="F678" s="546">
        <v>744</v>
      </c>
      <c r="G678" s="546" t="s">
        <v>59</v>
      </c>
      <c r="H678" s="546" t="s">
        <v>3</v>
      </c>
      <c r="I678" s="546" t="s">
        <v>44</v>
      </c>
      <c r="J678" s="546" t="s">
        <v>85</v>
      </c>
      <c r="K678" s="546">
        <v>211</v>
      </c>
      <c r="L678" s="726" t="s">
        <v>54</v>
      </c>
      <c r="M678" s="696">
        <v>0</v>
      </c>
      <c r="N678" s="726">
        <v>0.5</v>
      </c>
      <c r="O678" s="696">
        <v>0</v>
      </c>
      <c r="P678" s="726">
        <v>211</v>
      </c>
      <c r="Q678" s="746">
        <f t="shared" si="90"/>
        <v>0</v>
      </c>
      <c r="R678" s="606">
        <f t="shared" si="91"/>
        <v>78492</v>
      </c>
      <c r="S678" s="747">
        <f t="shared" si="92"/>
        <v>78492</v>
      </c>
      <c r="T678" s="746">
        <v>62.91</v>
      </c>
      <c r="U678" s="606">
        <f t="shared" si="93"/>
        <v>23402.52</v>
      </c>
      <c r="V678" s="747">
        <f t="shared" si="94"/>
        <v>55089.479999999996</v>
      </c>
      <c r="W678" s="748">
        <v>62.91</v>
      </c>
      <c r="X678" s="607">
        <f t="shared" si="95"/>
        <v>23402.52</v>
      </c>
      <c r="Y678" s="702">
        <f t="shared" si="96"/>
        <v>55089.479999999996</v>
      </c>
      <c r="Z678" s="748">
        <v>62.91</v>
      </c>
      <c r="AA678" s="607">
        <f t="shared" si="97"/>
        <v>23402.52</v>
      </c>
      <c r="AB678" s="749">
        <f t="shared" si="98"/>
        <v>55089.479999999996</v>
      </c>
      <c r="AC678" s="714"/>
    </row>
    <row r="679" spans="1:29" ht="15" customHeight="1" x14ac:dyDescent="0.25">
      <c r="A679" s="713"/>
      <c r="B679" s="714" t="s">
        <v>833</v>
      </c>
      <c r="C679" s="676" t="s">
        <v>40</v>
      </c>
      <c r="D679" s="676" t="s">
        <v>350</v>
      </c>
      <c r="E679" s="680">
        <v>44593</v>
      </c>
      <c r="F679" s="676">
        <v>672</v>
      </c>
      <c r="G679" s="676" t="s">
        <v>59</v>
      </c>
      <c r="H679" s="676" t="s">
        <v>3</v>
      </c>
      <c r="I679" s="676" t="s">
        <v>44</v>
      </c>
      <c r="J679" s="676" t="s">
        <v>85</v>
      </c>
      <c r="K679" s="676">
        <v>211</v>
      </c>
      <c r="L679" s="690" t="s">
        <v>54</v>
      </c>
      <c r="M679" s="691">
        <v>0</v>
      </c>
      <c r="N679" s="690">
        <v>0.5</v>
      </c>
      <c r="O679" s="691">
        <v>0</v>
      </c>
      <c r="P679" s="690">
        <v>211</v>
      </c>
      <c r="Q679" s="738">
        <f t="shared" si="90"/>
        <v>0</v>
      </c>
      <c r="R679" s="677">
        <f t="shared" si="91"/>
        <v>70896</v>
      </c>
      <c r="S679" s="739">
        <f t="shared" si="92"/>
        <v>70896</v>
      </c>
      <c r="T679" s="738">
        <v>55.7</v>
      </c>
      <c r="U679" s="677">
        <f t="shared" si="93"/>
        <v>18715.2</v>
      </c>
      <c r="V679" s="739">
        <f t="shared" si="94"/>
        <v>52180.800000000003</v>
      </c>
      <c r="W679" s="740">
        <v>55.7</v>
      </c>
      <c r="X679" s="678">
        <f t="shared" si="95"/>
        <v>18715.2</v>
      </c>
      <c r="Y679" s="700">
        <f t="shared" si="96"/>
        <v>52180.800000000003</v>
      </c>
      <c r="Z679" s="740">
        <v>55.7</v>
      </c>
      <c r="AA679" s="678">
        <f t="shared" si="97"/>
        <v>18715.2</v>
      </c>
      <c r="AB679" s="741">
        <f t="shared" si="98"/>
        <v>52180.800000000003</v>
      </c>
      <c r="AC679" s="714"/>
    </row>
    <row r="680" spans="1:29" ht="15" customHeight="1" x14ac:dyDescent="0.25">
      <c r="A680" s="713"/>
      <c r="B680" s="714" t="s">
        <v>833</v>
      </c>
      <c r="C680" s="676" t="s">
        <v>40</v>
      </c>
      <c r="D680" s="676" t="s">
        <v>350</v>
      </c>
      <c r="E680" s="680">
        <v>44621</v>
      </c>
      <c r="F680" s="676">
        <v>744</v>
      </c>
      <c r="G680" s="676" t="s">
        <v>59</v>
      </c>
      <c r="H680" s="676" t="s">
        <v>3</v>
      </c>
      <c r="I680" s="676" t="s">
        <v>44</v>
      </c>
      <c r="J680" s="676" t="s">
        <v>85</v>
      </c>
      <c r="K680" s="676">
        <v>211</v>
      </c>
      <c r="L680" s="690" t="s">
        <v>54</v>
      </c>
      <c r="M680" s="691">
        <v>0</v>
      </c>
      <c r="N680" s="690">
        <v>0.5</v>
      </c>
      <c r="O680" s="691">
        <v>0</v>
      </c>
      <c r="P680" s="690">
        <v>211</v>
      </c>
      <c r="Q680" s="738">
        <f t="shared" si="90"/>
        <v>0</v>
      </c>
      <c r="R680" s="677">
        <f t="shared" si="91"/>
        <v>78492</v>
      </c>
      <c r="S680" s="739">
        <f t="shared" si="92"/>
        <v>78492</v>
      </c>
      <c r="T680" s="738">
        <v>55.7</v>
      </c>
      <c r="U680" s="677">
        <f t="shared" si="93"/>
        <v>20720.400000000001</v>
      </c>
      <c r="V680" s="739">
        <f t="shared" si="94"/>
        <v>57771.6</v>
      </c>
      <c r="W680" s="740">
        <v>55.7</v>
      </c>
      <c r="X680" s="678">
        <f t="shared" si="95"/>
        <v>20720.400000000001</v>
      </c>
      <c r="Y680" s="700">
        <f t="shared" si="96"/>
        <v>57771.6</v>
      </c>
      <c r="Z680" s="740">
        <v>55.7</v>
      </c>
      <c r="AA680" s="678">
        <f t="shared" si="97"/>
        <v>20720.400000000001</v>
      </c>
      <c r="AB680" s="741">
        <f t="shared" si="98"/>
        <v>57771.6</v>
      </c>
      <c r="AC680" s="714"/>
    </row>
    <row r="681" spans="1:29" ht="15" customHeight="1" x14ac:dyDescent="0.25">
      <c r="A681" s="713"/>
      <c r="B681" s="714" t="s">
        <v>833</v>
      </c>
      <c r="C681" s="676" t="s">
        <v>40</v>
      </c>
      <c r="D681" s="676" t="s">
        <v>350</v>
      </c>
      <c r="E681" s="680">
        <v>44652</v>
      </c>
      <c r="F681" s="676">
        <v>720</v>
      </c>
      <c r="G681" s="676" t="s">
        <v>59</v>
      </c>
      <c r="H681" s="676" t="s">
        <v>3</v>
      </c>
      <c r="I681" s="676" t="s">
        <v>44</v>
      </c>
      <c r="J681" s="676" t="s">
        <v>85</v>
      </c>
      <c r="K681" s="676">
        <v>211</v>
      </c>
      <c r="L681" s="690" t="s">
        <v>54</v>
      </c>
      <c r="M681" s="691">
        <v>0</v>
      </c>
      <c r="N681" s="690">
        <v>0.5</v>
      </c>
      <c r="O681" s="691">
        <v>0</v>
      </c>
      <c r="P681" s="690">
        <v>211</v>
      </c>
      <c r="Q681" s="738">
        <f t="shared" si="90"/>
        <v>0</v>
      </c>
      <c r="R681" s="677">
        <f t="shared" si="91"/>
        <v>75960</v>
      </c>
      <c r="S681" s="739">
        <f t="shared" si="92"/>
        <v>75960</v>
      </c>
      <c r="T681" s="738">
        <v>55.7</v>
      </c>
      <c r="U681" s="677">
        <f t="shared" si="93"/>
        <v>20052</v>
      </c>
      <c r="V681" s="739">
        <f t="shared" si="94"/>
        <v>55908</v>
      </c>
      <c r="W681" s="740">
        <v>55.7</v>
      </c>
      <c r="X681" s="678">
        <f t="shared" si="95"/>
        <v>20052</v>
      </c>
      <c r="Y681" s="700">
        <f t="shared" si="96"/>
        <v>55908</v>
      </c>
      <c r="Z681" s="740">
        <v>55.7</v>
      </c>
      <c r="AA681" s="678">
        <f t="shared" si="97"/>
        <v>20052</v>
      </c>
      <c r="AB681" s="741">
        <f t="shared" si="98"/>
        <v>55908</v>
      </c>
      <c r="AC681" s="714"/>
    </row>
    <row r="682" spans="1:29" ht="15" customHeight="1" x14ac:dyDescent="0.25">
      <c r="A682" s="713"/>
      <c r="B682" s="714" t="s">
        <v>833</v>
      </c>
      <c r="C682" s="676" t="s">
        <v>40</v>
      </c>
      <c r="D682" s="676" t="s">
        <v>350</v>
      </c>
      <c r="E682" s="680">
        <v>44682</v>
      </c>
      <c r="F682" s="676">
        <v>744</v>
      </c>
      <c r="G682" s="676" t="s">
        <v>59</v>
      </c>
      <c r="H682" s="676" t="s">
        <v>3</v>
      </c>
      <c r="I682" s="676" t="s">
        <v>44</v>
      </c>
      <c r="J682" s="676" t="s">
        <v>85</v>
      </c>
      <c r="K682" s="676">
        <v>211</v>
      </c>
      <c r="L682" s="690" t="s">
        <v>54</v>
      </c>
      <c r="M682" s="691">
        <v>0</v>
      </c>
      <c r="N682" s="690">
        <v>0.5</v>
      </c>
      <c r="O682" s="691">
        <v>0</v>
      </c>
      <c r="P682" s="690">
        <v>211</v>
      </c>
      <c r="Q682" s="738">
        <f t="shared" si="90"/>
        <v>0</v>
      </c>
      <c r="R682" s="677">
        <f t="shared" si="91"/>
        <v>78492</v>
      </c>
      <c r="S682" s="739">
        <f t="shared" si="92"/>
        <v>78492</v>
      </c>
      <c r="T682" s="738">
        <v>55.7</v>
      </c>
      <c r="U682" s="677">
        <f t="shared" si="93"/>
        <v>20720.400000000001</v>
      </c>
      <c r="V682" s="739">
        <f t="shared" si="94"/>
        <v>57771.6</v>
      </c>
      <c r="W682" s="740">
        <v>55.7</v>
      </c>
      <c r="X682" s="678">
        <f t="shared" si="95"/>
        <v>20720.400000000001</v>
      </c>
      <c r="Y682" s="700">
        <f t="shared" si="96"/>
        <v>57771.6</v>
      </c>
      <c r="Z682" s="740">
        <v>55.7</v>
      </c>
      <c r="AA682" s="678">
        <f t="shared" si="97"/>
        <v>20720.400000000001</v>
      </c>
      <c r="AB682" s="741">
        <f t="shared" si="98"/>
        <v>57771.6</v>
      </c>
      <c r="AC682" s="714"/>
    </row>
    <row r="683" spans="1:29" ht="15" customHeight="1" x14ac:dyDescent="0.25">
      <c r="A683" s="713"/>
      <c r="B683" s="714" t="s">
        <v>833</v>
      </c>
      <c r="C683" s="676" t="s">
        <v>40</v>
      </c>
      <c r="D683" s="676" t="s">
        <v>350</v>
      </c>
      <c r="E683" s="680">
        <v>44713</v>
      </c>
      <c r="F683" s="676">
        <v>720</v>
      </c>
      <c r="G683" s="676" t="s">
        <v>59</v>
      </c>
      <c r="H683" s="676" t="s">
        <v>3</v>
      </c>
      <c r="I683" s="676" t="s">
        <v>44</v>
      </c>
      <c r="J683" s="676" t="s">
        <v>85</v>
      </c>
      <c r="K683" s="676">
        <v>211</v>
      </c>
      <c r="L683" s="690" t="s">
        <v>54</v>
      </c>
      <c r="M683" s="691">
        <v>0</v>
      </c>
      <c r="N683" s="690">
        <v>0.5</v>
      </c>
      <c r="O683" s="691">
        <v>0</v>
      </c>
      <c r="P683" s="690">
        <v>211</v>
      </c>
      <c r="Q683" s="738">
        <f t="shared" si="90"/>
        <v>0</v>
      </c>
      <c r="R683" s="677">
        <f t="shared" si="91"/>
        <v>75960</v>
      </c>
      <c r="S683" s="739">
        <f t="shared" si="92"/>
        <v>75960</v>
      </c>
      <c r="T683" s="738">
        <v>55.71</v>
      </c>
      <c r="U683" s="677">
        <f t="shared" si="93"/>
        <v>20055.599999999999</v>
      </c>
      <c r="V683" s="739">
        <f t="shared" si="94"/>
        <v>55904.4</v>
      </c>
      <c r="W683" s="740">
        <v>55.71</v>
      </c>
      <c r="X683" s="678">
        <f t="shared" si="95"/>
        <v>20055.599999999999</v>
      </c>
      <c r="Y683" s="700">
        <f t="shared" si="96"/>
        <v>55904.4</v>
      </c>
      <c r="Z683" s="740">
        <v>55.71</v>
      </c>
      <c r="AA683" s="678">
        <f t="shared" si="97"/>
        <v>20055.599999999999</v>
      </c>
      <c r="AB683" s="741">
        <f t="shared" si="98"/>
        <v>55904.4</v>
      </c>
      <c r="AC683" s="714"/>
    </row>
    <row r="684" spans="1:29" ht="15" customHeight="1" x14ac:dyDescent="0.25">
      <c r="A684" s="713"/>
      <c r="B684" s="714" t="s">
        <v>833</v>
      </c>
      <c r="C684" s="676" t="s">
        <v>40</v>
      </c>
      <c r="D684" s="676" t="s">
        <v>350</v>
      </c>
      <c r="E684" s="680">
        <v>44743</v>
      </c>
      <c r="F684" s="676">
        <v>744</v>
      </c>
      <c r="G684" s="676" t="s">
        <v>59</v>
      </c>
      <c r="H684" s="676" t="s">
        <v>3</v>
      </c>
      <c r="I684" s="676" t="s">
        <v>44</v>
      </c>
      <c r="J684" s="676" t="s">
        <v>85</v>
      </c>
      <c r="K684" s="676">
        <v>211</v>
      </c>
      <c r="L684" s="690" t="s">
        <v>54</v>
      </c>
      <c r="M684" s="691">
        <v>0</v>
      </c>
      <c r="N684" s="690">
        <v>0.5</v>
      </c>
      <c r="O684" s="691">
        <v>0</v>
      </c>
      <c r="P684" s="690">
        <v>211</v>
      </c>
      <c r="Q684" s="738">
        <f t="shared" si="90"/>
        <v>0</v>
      </c>
      <c r="R684" s="677">
        <f t="shared" si="91"/>
        <v>78492</v>
      </c>
      <c r="S684" s="739">
        <f t="shared" si="92"/>
        <v>78492</v>
      </c>
      <c r="T684" s="738">
        <v>66.319999999999993</v>
      </c>
      <c r="U684" s="677">
        <f t="shared" si="93"/>
        <v>24671.039999999997</v>
      </c>
      <c r="V684" s="739">
        <f t="shared" si="94"/>
        <v>53820.960000000006</v>
      </c>
      <c r="W684" s="740">
        <v>66.319999999999993</v>
      </c>
      <c r="X684" s="678">
        <f t="shared" si="95"/>
        <v>24671.039999999997</v>
      </c>
      <c r="Y684" s="700">
        <f t="shared" si="96"/>
        <v>53820.960000000006</v>
      </c>
      <c r="Z684" s="740">
        <v>66.319999999999993</v>
      </c>
      <c r="AA684" s="678">
        <f t="shared" si="97"/>
        <v>24671.039999999997</v>
      </c>
      <c r="AB684" s="741">
        <f t="shared" si="98"/>
        <v>53820.960000000006</v>
      </c>
      <c r="AC684" s="714"/>
    </row>
    <row r="685" spans="1:29" ht="15" customHeight="1" x14ac:dyDescent="0.25">
      <c r="A685" s="713"/>
      <c r="B685" s="714" t="s">
        <v>833</v>
      </c>
      <c r="C685" s="676" t="s">
        <v>40</v>
      </c>
      <c r="D685" s="676" t="s">
        <v>350</v>
      </c>
      <c r="E685" s="680">
        <v>44774</v>
      </c>
      <c r="F685" s="676">
        <v>744</v>
      </c>
      <c r="G685" s="676" t="s">
        <v>59</v>
      </c>
      <c r="H685" s="676" t="s">
        <v>3</v>
      </c>
      <c r="I685" s="676" t="s">
        <v>44</v>
      </c>
      <c r="J685" s="676" t="s">
        <v>85</v>
      </c>
      <c r="K685" s="676">
        <v>211</v>
      </c>
      <c r="L685" s="690" t="s">
        <v>54</v>
      </c>
      <c r="M685" s="691">
        <v>0</v>
      </c>
      <c r="N685" s="690">
        <v>0.5</v>
      </c>
      <c r="O685" s="691">
        <v>0</v>
      </c>
      <c r="P685" s="690">
        <v>211</v>
      </c>
      <c r="Q685" s="738">
        <f t="shared" si="90"/>
        <v>0</v>
      </c>
      <c r="R685" s="677">
        <f t="shared" si="91"/>
        <v>78492</v>
      </c>
      <c r="S685" s="739">
        <f t="shared" si="92"/>
        <v>78492</v>
      </c>
      <c r="T685" s="738">
        <v>76.900000000000006</v>
      </c>
      <c r="U685" s="677">
        <f t="shared" si="93"/>
        <v>28606.800000000003</v>
      </c>
      <c r="V685" s="739">
        <f t="shared" si="94"/>
        <v>49885.2</v>
      </c>
      <c r="W685" s="740">
        <v>76.900000000000006</v>
      </c>
      <c r="X685" s="678">
        <f t="shared" si="95"/>
        <v>28606.800000000003</v>
      </c>
      <c r="Y685" s="700">
        <f t="shared" si="96"/>
        <v>49885.2</v>
      </c>
      <c r="Z685" s="740">
        <v>76.900000000000006</v>
      </c>
      <c r="AA685" s="678">
        <f t="shared" si="97"/>
        <v>28606.800000000003</v>
      </c>
      <c r="AB685" s="741">
        <f t="shared" si="98"/>
        <v>49885.2</v>
      </c>
      <c r="AC685" s="714"/>
    </row>
    <row r="686" spans="1:29" ht="15" customHeight="1" x14ac:dyDescent="0.25">
      <c r="A686" s="713"/>
      <c r="B686" s="714" t="s">
        <v>833</v>
      </c>
      <c r="C686" s="676" t="s">
        <v>40</v>
      </c>
      <c r="D686" s="676" t="s">
        <v>350</v>
      </c>
      <c r="E686" s="680">
        <v>44805</v>
      </c>
      <c r="F686" s="676">
        <v>720</v>
      </c>
      <c r="G686" s="676" t="s">
        <v>59</v>
      </c>
      <c r="H686" s="676" t="s">
        <v>3</v>
      </c>
      <c r="I686" s="676" t="s">
        <v>44</v>
      </c>
      <c r="J686" s="676" t="s">
        <v>85</v>
      </c>
      <c r="K686" s="676">
        <v>211</v>
      </c>
      <c r="L686" s="690" t="s">
        <v>54</v>
      </c>
      <c r="M686" s="691">
        <v>0</v>
      </c>
      <c r="N686" s="690">
        <v>0.5</v>
      </c>
      <c r="O686" s="691">
        <v>0</v>
      </c>
      <c r="P686" s="690">
        <v>211</v>
      </c>
      <c r="Q686" s="738">
        <f t="shared" si="90"/>
        <v>0</v>
      </c>
      <c r="R686" s="677">
        <f t="shared" si="91"/>
        <v>75960</v>
      </c>
      <c r="S686" s="739">
        <f t="shared" si="92"/>
        <v>75960</v>
      </c>
      <c r="T686" s="738">
        <v>56.08</v>
      </c>
      <c r="U686" s="677">
        <f t="shared" si="93"/>
        <v>20188.8</v>
      </c>
      <c r="V686" s="739">
        <f t="shared" si="94"/>
        <v>55771.199999999997</v>
      </c>
      <c r="W686" s="740">
        <v>56.08</v>
      </c>
      <c r="X686" s="678">
        <f t="shared" si="95"/>
        <v>20188.8</v>
      </c>
      <c r="Y686" s="700">
        <f t="shared" si="96"/>
        <v>55771.199999999997</v>
      </c>
      <c r="Z686" s="740">
        <v>56.08</v>
      </c>
      <c r="AA686" s="678">
        <f t="shared" si="97"/>
        <v>20188.8</v>
      </c>
      <c r="AB686" s="741">
        <f t="shared" si="98"/>
        <v>55771.199999999997</v>
      </c>
      <c r="AC686" s="714"/>
    </row>
    <row r="687" spans="1:29" ht="15" customHeight="1" x14ac:dyDescent="0.25">
      <c r="A687" s="713"/>
      <c r="B687" s="714" t="s">
        <v>833</v>
      </c>
      <c r="C687" s="676" t="s">
        <v>40</v>
      </c>
      <c r="D687" s="676" t="s">
        <v>350</v>
      </c>
      <c r="E687" s="680">
        <v>44835</v>
      </c>
      <c r="F687" s="676">
        <v>744</v>
      </c>
      <c r="G687" s="676" t="s">
        <v>59</v>
      </c>
      <c r="H687" s="676" t="s">
        <v>3</v>
      </c>
      <c r="I687" s="676" t="s">
        <v>44</v>
      </c>
      <c r="J687" s="676" t="s">
        <v>85</v>
      </c>
      <c r="K687" s="676">
        <v>211</v>
      </c>
      <c r="L687" s="690" t="s">
        <v>54</v>
      </c>
      <c r="M687" s="691">
        <v>0</v>
      </c>
      <c r="N687" s="690">
        <v>0.5</v>
      </c>
      <c r="O687" s="691">
        <v>0</v>
      </c>
      <c r="P687" s="690">
        <v>211</v>
      </c>
      <c r="Q687" s="738">
        <f t="shared" si="90"/>
        <v>0</v>
      </c>
      <c r="R687" s="677">
        <f t="shared" si="91"/>
        <v>78492</v>
      </c>
      <c r="S687" s="739">
        <f t="shared" si="92"/>
        <v>78492</v>
      </c>
      <c r="T687" s="738">
        <v>55.7</v>
      </c>
      <c r="U687" s="677">
        <f t="shared" si="93"/>
        <v>20720.400000000001</v>
      </c>
      <c r="V687" s="739">
        <f t="shared" si="94"/>
        <v>57771.6</v>
      </c>
      <c r="W687" s="740">
        <v>55.7</v>
      </c>
      <c r="X687" s="678">
        <f t="shared" si="95"/>
        <v>20720.400000000001</v>
      </c>
      <c r="Y687" s="700">
        <f t="shared" si="96"/>
        <v>57771.6</v>
      </c>
      <c r="Z687" s="740">
        <v>55.7</v>
      </c>
      <c r="AA687" s="678">
        <f t="shared" si="97"/>
        <v>20720.400000000001</v>
      </c>
      <c r="AB687" s="741">
        <f t="shared" si="98"/>
        <v>57771.6</v>
      </c>
      <c r="AC687" s="714"/>
    </row>
    <row r="688" spans="1:29" ht="15" customHeight="1" x14ac:dyDescent="0.25">
      <c r="A688" s="713"/>
      <c r="B688" s="714" t="s">
        <v>833</v>
      </c>
      <c r="C688" s="676" t="s">
        <v>40</v>
      </c>
      <c r="D688" s="676" t="s">
        <v>350</v>
      </c>
      <c r="E688" s="680">
        <v>44866</v>
      </c>
      <c r="F688" s="676">
        <v>720</v>
      </c>
      <c r="G688" s="676" t="s">
        <v>59</v>
      </c>
      <c r="H688" s="676" t="s">
        <v>3</v>
      </c>
      <c r="I688" s="676" t="s">
        <v>44</v>
      </c>
      <c r="J688" s="676" t="s">
        <v>85</v>
      </c>
      <c r="K688" s="676">
        <v>211</v>
      </c>
      <c r="L688" s="690" t="s">
        <v>54</v>
      </c>
      <c r="M688" s="691">
        <v>0</v>
      </c>
      <c r="N688" s="690">
        <v>0.5</v>
      </c>
      <c r="O688" s="691">
        <v>0</v>
      </c>
      <c r="P688" s="690">
        <v>211</v>
      </c>
      <c r="Q688" s="738">
        <f t="shared" si="90"/>
        <v>0</v>
      </c>
      <c r="R688" s="677">
        <f t="shared" si="91"/>
        <v>75960</v>
      </c>
      <c r="S688" s="739">
        <f t="shared" si="92"/>
        <v>75960</v>
      </c>
      <c r="T688" s="738">
        <v>55.7</v>
      </c>
      <c r="U688" s="677">
        <f t="shared" si="93"/>
        <v>20052</v>
      </c>
      <c r="V688" s="739">
        <f t="shared" si="94"/>
        <v>55908</v>
      </c>
      <c r="W688" s="740">
        <v>55.7</v>
      </c>
      <c r="X688" s="678">
        <f t="shared" si="95"/>
        <v>20052</v>
      </c>
      <c r="Y688" s="700">
        <f t="shared" si="96"/>
        <v>55908</v>
      </c>
      <c r="Z688" s="740">
        <v>55.7</v>
      </c>
      <c r="AA688" s="678">
        <f t="shared" si="97"/>
        <v>20052</v>
      </c>
      <c r="AB688" s="741">
        <f t="shared" si="98"/>
        <v>55908</v>
      </c>
      <c r="AC688" s="714"/>
    </row>
    <row r="689" spans="1:29" ht="15" customHeight="1" x14ac:dyDescent="0.25">
      <c r="A689" s="713"/>
      <c r="B689" s="729" t="s">
        <v>833</v>
      </c>
      <c r="C689" s="545" t="s">
        <v>40</v>
      </c>
      <c r="D689" s="545" t="s">
        <v>350</v>
      </c>
      <c r="E689" s="681">
        <v>44896</v>
      </c>
      <c r="F689" s="545">
        <v>744</v>
      </c>
      <c r="G689" s="545" t="s">
        <v>59</v>
      </c>
      <c r="H689" s="545" t="s">
        <v>3</v>
      </c>
      <c r="I689" s="545" t="s">
        <v>44</v>
      </c>
      <c r="J689" s="545" t="s">
        <v>85</v>
      </c>
      <c r="K689" s="545">
        <v>211</v>
      </c>
      <c r="L689" s="725" t="s">
        <v>54</v>
      </c>
      <c r="M689" s="695">
        <v>0</v>
      </c>
      <c r="N689" s="725">
        <v>0.5</v>
      </c>
      <c r="O689" s="695">
        <v>0</v>
      </c>
      <c r="P689" s="725">
        <v>211</v>
      </c>
      <c r="Q689" s="742">
        <f t="shared" si="90"/>
        <v>0</v>
      </c>
      <c r="R689" s="603">
        <f t="shared" si="91"/>
        <v>78492</v>
      </c>
      <c r="S689" s="743">
        <f t="shared" si="92"/>
        <v>78492</v>
      </c>
      <c r="T689" s="742">
        <v>55.7</v>
      </c>
      <c r="U689" s="603">
        <f t="shared" si="93"/>
        <v>20720.400000000001</v>
      </c>
      <c r="V689" s="743">
        <f t="shared" si="94"/>
        <v>57771.6</v>
      </c>
      <c r="W689" s="744">
        <v>55.7</v>
      </c>
      <c r="X689" s="604">
        <f t="shared" si="95"/>
        <v>20720.400000000001</v>
      </c>
      <c r="Y689" s="701">
        <f t="shared" si="96"/>
        <v>57771.6</v>
      </c>
      <c r="Z689" s="744">
        <v>78.400653594793155</v>
      </c>
      <c r="AA689" s="604">
        <f t="shared" si="97"/>
        <v>29165.043137263056</v>
      </c>
      <c r="AB689" s="745">
        <f t="shared" si="98"/>
        <v>49326.956862736944</v>
      </c>
      <c r="AC689" s="714"/>
    </row>
    <row r="690" spans="1:29" ht="15" customHeight="1" x14ac:dyDescent="0.25">
      <c r="A690" s="713"/>
      <c r="B690" s="730" t="s">
        <v>834</v>
      </c>
      <c r="C690" s="546" t="s">
        <v>40</v>
      </c>
      <c r="D690" s="546" t="s">
        <v>465</v>
      </c>
      <c r="E690" s="682">
        <v>44927</v>
      </c>
      <c r="F690" s="546">
        <v>744</v>
      </c>
      <c r="G690" s="546" t="s">
        <v>59</v>
      </c>
      <c r="H690" s="546" t="s">
        <v>3</v>
      </c>
      <c r="I690" s="546" t="s">
        <v>44</v>
      </c>
      <c r="J690" s="546" t="s">
        <v>85</v>
      </c>
      <c r="K690" s="546">
        <v>212</v>
      </c>
      <c r="L690" s="726" t="s">
        <v>54</v>
      </c>
      <c r="M690" s="696">
        <v>0</v>
      </c>
      <c r="N690" s="726">
        <v>1.2</v>
      </c>
      <c r="O690" s="696">
        <v>0</v>
      </c>
      <c r="P690" s="726">
        <v>225.58710662557175</v>
      </c>
      <c r="Q690" s="746">
        <f t="shared" si="90"/>
        <v>0</v>
      </c>
      <c r="R690" s="606">
        <f t="shared" si="91"/>
        <v>201404.16879531046</v>
      </c>
      <c r="S690" s="747">
        <f t="shared" si="92"/>
        <v>201404.16879531046</v>
      </c>
      <c r="T690" s="746">
        <v>68.72</v>
      </c>
      <c r="U690" s="606">
        <f t="shared" si="93"/>
        <v>61353.215999999993</v>
      </c>
      <c r="V690" s="747">
        <f t="shared" si="94"/>
        <v>140050.95279531047</v>
      </c>
      <c r="W690" s="748">
        <v>55.7</v>
      </c>
      <c r="X690" s="607">
        <f t="shared" si="95"/>
        <v>49728.959999999999</v>
      </c>
      <c r="Y690" s="702">
        <f t="shared" si="96"/>
        <v>151675.20879531046</v>
      </c>
      <c r="Z690" s="748">
        <v>96.206580759134184</v>
      </c>
      <c r="AA690" s="607">
        <f t="shared" si="97"/>
        <v>85893.23530175499</v>
      </c>
      <c r="AB690" s="749">
        <f t="shared" si="98"/>
        <v>115510.93349355547</v>
      </c>
      <c r="AC690" s="714"/>
    </row>
    <row r="691" spans="1:29" ht="15" customHeight="1" x14ac:dyDescent="0.25">
      <c r="A691" s="713"/>
      <c r="B691" s="714" t="s">
        <v>834</v>
      </c>
      <c r="C691" s="676" t="s">
        <v>40</v>
      </c>
      <c r="D691" s="676" t="s">
        <v>465</v>
      </c>
      <c r="E691" s="680">
        <v>44958</v>
      </c>
      <c r="F691" s="676">
        <v>672</v>
      </c>
      <c r="G691" s="676" t="s">
        <v>59</v>
      </c>
      <c r="H691" s="676" t="s">
        <v>3</v>
      </c>
      <c r="I691" s="676" t="s">
        <v>44</v>
      </c>
      <c r="J691" s="676" t="s">
        <v>85</v>
      </c>
      <c r="K691" s="676">
        <v>212</v>
      </c>
      <c r="L691" s="690" t="s">
        <v>54</v>
      </c>
      <c r="M691" s="691">
        <v>0</v>
      </c>
      <c r="N691" s="690">
        <v>1.2</v>
      </c>
      <c r="O691" s="691">
        <v>0</v>
      </c>
      <c r="P691" s="690">
        <v>225.58710662557175</v>
      </c>
      <c r="Q691" s="738">
        <f t="shared" si="90"/>
        <v>0</v>
      </c>
      <c r="R691" s="677">
        <f t="shared" si="91"/>
        <v>181913.44278286106</v>
      </c>
      <c r="S691" s="739">
        <f t="shared" si="92"/>
        <v>181913.44278286106</v>
      </c>
      <c r="T691" s="738">
        <v>69.25</v>
      </c>
      <c r="U691" s="677">
        <f t="shared" si="93"/>
        <v>55843.199999999997</v>
      </c>
      <c r="V691" s="739">
        <f t="shared" si="94"/>
        <v>126070.24278286107</v>
      </c>
      <c r="W691" s="740">
        <v>55.7</v>
      </c>
      <c r="X691" s="678">
        <f t="shared" si="95"/>
        <v>44916.480000000003</v>
      </c>
      <c r="Y691" s="700">
        <f t="shared" si="96"/>
        <v>136996.96278286105</v>
      </c>
      <c r="Z691" s="740">
        <v>92.430648861364247</v>
      </c>
      <c r="AA691" s="678">
        <f t="shared" si="97"/>
        <v>74536.075241804123</v>
      </c>
      <c r="AB691" s="741">
        <f t="shared" si="98"/>
        <v>107377.36754105694</v>
      </c>
      <c r="AC691" s="714"/>
    </row>
    <row r="692" spans="1:29" ht="15" customHeight="1" x14ac:dyDescent="0.25">
      <c r="A692" s="713"/>
      <c r="B692" s="714" t="s">
        <v>834</v>
      </c>
      <c r="C692" s="676" t="s">
        <v>40</v>
      </c>
      <c r="D692" s="676" t="s">
        <v>465</v>
      </c>
      <c r="E692" s="680">
        <v>44986</v>
      </c>
      <c r="F692" s="676">
        <v>744</v>
      </c>
      <c r="G692" s="676" t="s">
        <v>59</v>
      </c>
      <c r="H692" s="676" t="s">
        <v>3</v>
      </c>
      <c r="I692" s="676" t="s">
        <v>44</v>
      </c>
      <c r="J692" s="676" t="s">
        <v>85</v>
      </c>
      <c r="K692" s="676">
        <v>212</v>
      </c>
      <c r="L692" s="690" t="s">
        <v>54</v>
      </c>
      <c r="M692" s="691">
        <v>0</v>
      </c>
      <c r="N692" s="690">
        <v>1.2</v>
      </c>
      <c r="O692" s="691">
        <v>0</v>
      </c>
      <c r="P692" s="690">
        <v>225.58710662557175</v>
      </c>
      <c r="Q692" s="738">
        <f t="shared" si="90"/>
        <v>0</v>
      </c>
      <c r="R692" s="677">
        <f t="shared" si="91"/>
        <v>201404.16879531046</v>
      </c>
      <c r="S692" s="739">
        <f t="shared" si="92"/>
        <v>201404.16879531046</v>
      </c>
      <c r="T692" s="738">
        <v>69.3</v>
      </c>
      <c r="U692" s="677">
        <f t="shared" si="93"/>
        <v>61871.039999999994</v>
      </c>
      <c r="V692" s="739">
        <f t="shared" si="94"/>
        <v>139533.12879531045</v>
      </c>
      <c r="W692" s="740">
        <v>55.7</v>
      </c>
      <c r="X692" s="678">
        <f t="shared" si="95"/>
        <v>49728.959999999999</v>
      </c>
      <c r="Y692" s="700">
        <f t="shared" si="96"/>
        <v>151675.20879531046</v>
      </c>
      <c r="Z692" s="740">
        <v>89.053218420260009</v>
      </c>
      <c r="AA692" s="678">
        <f t="shared" si="97"/>
        <v>79506.713405608127</v>
      </c>
      <c r="AB692" s="741">
        <f t="shared" si="98"/>
        <v>121897.45538970233</v>
      </c>
      <c r="AC692" s="714"/>
    </row>
    <row r="693" spans="1:29" ht="15" customHeight="1" x14ac:dyDescent="0.25">
      <c r="A693" s="713"/>
      <c r="B693" s="714" t="s">
        <v>834</v>
      </c>
      <c r="C693" s="676" t="s">
        <v>40</v>
      </c>
      <c r="D693" s="676" t="s">
        <v>465</v>
      </c>
      <c r="E693" s="680">
        <v>45017</v>
      </c>
      <c r="F693" s="676">
        <v>720</v>
      </c>
      <c r="G693" s="676" t="s">
        <v>59</v>
      </c>
      <c r="H693" s="676" t="s">
        <v>3</v>
      </c>
      <c r="I693" s="676" t="s">
        <v>44</v>
      </c>
      <c r="J693" s="676" t="s">
        <v>85</v>
      </c>
      <c r="K693" s="676">
        <v>212</v>
      </c>
      <c r="L693" s="690" t="s">
        <v>54</v>
      </c>
      <c r="M693" s="691">
        <v>0</v>
      </c>
      <c r="N693" s="690">
        <v>1.2</v>
      </c>
      <c r="O693" s="691">
        <v>0</v>
      </c>
      <c r="P693" s="690">
        <v>225.58710662557175</v>
      </c>
      <c r="Q693" s="738">
        <f t="shared" si="90"/>
        <v>0</v>
      </c>
      <c r="R693" s="677">
        <f t="shared" si="91"/>
        <v>194907.260124494</v>
      </c>
      <c r="S693" s="739">
        <f t="shared" si="92"/>
        <v>194907.260124494</v>
      </c>
      <c r="T693" s="738">
        <v>69.8</v>
      </c>
      <c r="U693" s="677">
        <f t="shared" si="93"/>
        <v>60307.199999999997</v>
      </c>
      <c r="V693" s="739">
        <f t="shared" si="94"/>
        <v>134600.06012449402</v>
      </c>
      <c r="W693" s="740">
        <v>55.7</v>
      </c>
      <c r="X693" s="678">
        <f t="shared" si="95"/>
        <v>48124.800000000003</v>
      </c>
      <c r="Y693" s="700">
        <f t="shared" si="96"/>
        <v>146782.46012449398</v>
      </c>
      <c r="Z693" s="740">
        <v>85.732008718771311</v>
      </c>
      <c r="AA693" s="678">
        <f t="shared" si="97"/>
        <v>74072.455533018408</v>
      </c>
      <c r="AB693" s="741">
        <f t="shared" si="98"/>
        <v>120834.80459147559</v>
      </c>
      <c r="AC693" s="714"/>
    </row>
    <row r="694" spans="1:29" ht="15" customHeight="1" x14ac:dyDescent="0.25">
      <c r="A694" s="713"/>
      <c r="B694" s="714" t="s">
        <v>834</v>
      </c>
      <c r="C694" s="676" t="s">
        <v>40</v>
      </c>
      <c r="D694" s="676" t="s">
        <v>465</v>
      </c>
      <c r="E694" s="680">
        <v>45047</v>
      </c>
      <c r="F694" s="676">
        <v>744</v>
      </c>
      <c r="G694" s="676" t="s">
        <v>59</v>
      </c>
      <c r="H694" s="676" t="s">
        <v>3</v>
      </c>
      <c r="I694" s="676" t="s">
        <v>44</v>
      </c>
      <c r="J694" s="676" t="s">
        <v>85</v>
      </c>
      <c r="K694" s="676">
        <v>212</v>
      </c>
      <c r="L694" s="690" t="s">
        <v>54</v>
      </c>
      <c r="M694" s="691">
        <v>0</v>
      </c>
      <c r="N694" s="690">
        <v>1.2</v>
      </c>
      <c r="O694" s="691">
        <v>0</v>
      </c>
      <c r="P694" s="690">
        <v>225.58710662557175</v>
      </c>
      <c r="Q694" s="738">
        <f t="shared" si="90"/>
        <v>0</v>
      </c>
      <c r="R694" s="677">
        <f t="shared" si="91"/>
        <v>201404.16879531046</v>
      </c>
      <c r="S694" s="739">
        <f t="shared" si="92"/>
        <v>201404.16879531046</v>
      </c>
      <c r="T694" s="738">
        <v>70.2</v>
      </c>
      <c r="U694" s="677">
        <f t="shared" si="93"/>
        <v>62674.559999999998</v>
      </c>
      <c r="V694" s="739">
        <f t="shared" si="94"/>
        <v>138729.60879531046</v>
      </c>
      <c r="W694" s="740">
        <v>55.7</v>
      </c>
      <c r="X694" s="678">
        <f t="shared" si="95"/>
        <v>49728.959999999999</v>
      </c>
      <c r="Y694" s="700">
        <f t="shared" si="96"/>
        <v>151675.20879531046</v>
      </c>
      <c r="Z694" s="740">
        <v>86.223309628334476</v>
      </c>
      <c r="AA694" s="678">
        <f t="shared" si="97"/>
        <v>76980.170836177014</v>
      </c>
      <c r="AB694" s="741">
        <f t="shared" si="98"/>
        <v>124423.99795913344</v>
      </c>
      <c r="AC694" s="714"/>
    </row>
    <row r="695" spans="1:29" ht="15" customHeight="1" x14ac:dyDescent="0.25">
      <c r="A695" s="713"/>
      <c r="B695" s="714" t="s">
        <v>834</v>
      </c>
      <c r="C695" s="676" t="s">
        <v>40</v>
      </c>
      <c r="D695" s="676" t="s">
        <v>465</v>
      </c>
      <c r="E695" s="680">
        <v>45078</v>
      </c>
      <c r="F695" s="676">
        <v>720</v>
      </c>
      <c r="G695" s="676" t="s">
        <v>59</v>
      </c>
      <c r="H695" s="676" t="s">
        <v>3</v>
      </c>
      <c r="I695" s="676" t="s">
        <v>44</v>
      </c>
      <c r="J695" s="676" t="s">
        <v>85</v>
      </c>
      <c r="K695" s="676">
        <v>212</v>
      </c>
      <c r="L695" s="690" t="s">
        <v>54</v>
      </c>
      <c r="M695" s="691">
        <v>0</v>
      </c>
      <c r="N695" s="690">
        <v>1.2</v>
      </c>
      <c r="O695" s="691">
        <v>0</v>
      </c>
      <c r="P695" s="690">
        <v>225.58710662557175</v>
      </c>
      <c r="Q695" s="738">
        <f t="shared" si="90"/>
        <v>0</v>
      </c>
      <c r="R695" s="677">
        <f t="shared" si="91"/>
        <v>194907.260124494</v>
      </c>
      <c r="S695" s="739">
        <f t="shared" si="92"/>
        <v>194907.260124494</v>
      </c>
      <c r="T695" s="738">
        <v>72.400000000000006</v>
      </c>
      <c r="U695" s="677">
        <f t="shared" si="93"/>
        <v>62553.600000000006</v>
      </c>
      <c r="V695" s="739">
        <f t="shared" si="94"/>
        <v>132353.660124494</v>
      </c>
      <c r="W695" s="740">
        <v>55.874535369068141</v>
      </c>
      <c r="X695" s="678">
        <f t="shared" si="95"/>
        <v>48275.598558874874</v>
      </c>
      <c r="Y695" s="700">
        <f t="shared" si="96"/>
        <v>146631.66156561911</v>
      </c>
      <c r="Z695" s="740">
        <v>88.925464630931856</v>
      </c>
      <c r="AA695" s="678">
        <f t="shared" si="97"/>
        <v>76831.601441125124</v>
      </c>
      <c r="AB695" s="741">
        <f t="shared" si="98"/>
        <v>118075.65868336888</v>
      </c>
      <c r="AC695" s="714"/>
    </row>
    <row r="696" spans="1:29" ht="15" customHeight="1" x14ac:dyDescent="0.25">
      <c r="A696" s="713"/>
      <c r="B696" s="714" t="s">
        <v>834</v>
      </c>
      <c r="C696" s="676" t="s">
        <v>40</v>
      </c>
      <c r="D696" s="676" t="s">
        <v>465</v>
      </c>
      <c r="E696" s="680">
        <v>45108</v>
      </c>
      <c r="F696" s="676">
        <v>744</v>
      </c>
      <c r="G696" s="676" t="s">
        <v>59</v>
      </c>
      <c r="H696" s="676" t="s">
        <v>3</v>
      </c>
      <c r="I696" s="676" t="s">
        <v>44</v>
      </c>
      <c r="J696" s="676" t="s">
        <v>85</v>
      </c>
      <c r="K696" s="676">
        <v>212</v>
      </c>
      <c r="L696" s="690" t="s">
        <v>54</v>
      </c>
      <c r="M696" s="691">
        <v>0</v>
      </c>
      <c r="N696" s="690">
        <v>1.2</v>
      </c>
      <c r="O696" s="691">
        <v>0</v>
      </c>
      <c r="P696" s="690">
        <v>225.58710662557175</v>
      </c>
      <c r="Q696" s="738">
        <f t="shared" si="90"/>
        <v>0</v>
      </c>
      <c r="R696" s="677">
        <f t="shared" si="91"/>
        <v>201404.16879531046</v>
      </c>
      <c r="S696" s="739">
        <f t="shared" si="92"/>
        <v>201404.16879531046</v>
      </c>
      <c r="T696" s="738">
        <v>77.150000000000006</v>
      </c>
      <c r="U696" s="677">
        <f t="shared" si="93"/>
        <v>68879.520000000004</v>
      </c>
      <c r="V696" s="739">
        <f t="shared" si="94"/>
        <v>132524.64879531047</v>
      </c>
      <c r="W696" s="740">
        <v>59.54033706800562</v>
      </c>
      <c r="X696" s="678">
        <f t="shared" si="95"/>
        <v>53157.612934315417</v>
      </c>
      <c r="Y696" s="700">
        <f t="shared" si="96"/>
        <v>148246.55586099502</v>
      </c>
      <c r="Z696" s="740">
        <v>94.759662931994384</v>
      </c>
      <c r="AA696" s="678">
        <f t="shared" si="97"/>
        <v>84601.427065684577</v>
      </c>
      <c r="AB696" s="741">
        <f t="shared" si="98"/>
        <v>116802.74172962588</v>
      </c>
      <c r="AC696" s="714"/>
    </row>
    <row r="697" spans="1:29" ht="15" customHeight="1" x14ac:dyDescent="0.25">
      <c r="A697" s="713"/>
      <c r="B697" s="714" t="s">
        <v>834</v>
      </c>
      <c r="C697" s="676" t="s">
        <v>40</v>
      </c>
      <c r="D697" s="676" t="s">
        <v>465</v>
      </c>
      <c r="E697" s="680">
        <v>45139</v>
      </c>
      <c r="F697" s="676">
        <v>744</v>
      </c>
      <c r="G697" s="676" t="s">
        <v>59</v>
      </c>
      <c r="H697" s="676" t="s">
        <v>3</v>
      </c>
      <c r="I697" s="676" t="s">
        <v>44</v>
      </c>
      <c r="J697" s="676" t="s">
        <v>85</v>
      </c>
      <c r="K697" s="676">
        <v>212</v>
      </c>
      <c r="L697" s="690" t="s">
        <v>54</v>
      </c>
      <c r="M697" s="691">
        <v>0</v>
      </c>
      <c r="N697" s="690">
        <v>1.2</v>
      </c>
      <c r="O697" s="691">
        <v>0</v>
      </c>
      <c r="P697" s="690">
        <v>225.58710662557175</v>
      </c>
      <c r="Q697" s="738">
        <f t="shared" si="90"/>
        <v>0</v>
      </c>
      <c r="R697" s="677">
        <f t="shared" si="91"/>
        <v>201404.16879531046</v>
      </c>
      <c r="S697" s="739">
        <f t="shared" si="92"/>
        <v>201404.16879531046</v>
      </c>
      <c r="T697" s="738">
        <v>77.150000000000006</v>
      </c>
      <c r="U697" s="677">
        <f t="shared" si="93"/>
        <v>68879.520000000004</v>
      </c>
      <c r="V697" s="739">
        <f t="shared" si="94"/>
        <v>132524.64879531047</v>
      </c>
      <c r="W697" s="740">
        <v>59.54033706800562</v>
      </c>
      <c r="X697" s="678">
        <f t="shared" si="95"/>
        <v>53157.612934315417</v>
      </c>
      <c r="Y697" s="700">
        <f t="shared" si="96"/>
        <v>148246.55586099502</v>
      </c>
      <c r="Z697" s="740">
        <v>94.759662931994384</v>
      </c>
      <c r="AA697" s="678">
        <f t="shared" si="97"/>
        <v>84601.427065684577</v>
      </c>
      <c r="AB697" s="741">
        <f t="shared" si="98"/>
        <v>116802.74172962588</v>
      </c>
      <c r="AC697" s="714"/>
    </row>
    <row r="698" spans="1:29" ht="15" customHeight="1" x14ac:dyDescent="0.25">
      <c r="A698" s="713"/>
      <c r="B698" s="714" t="s">
        <v>834</v>
      </c>
      <c r="C698" s="676" t="s">
        <v>40</v>
      </c>
      <c r="D698" s="676" t="s">
        <v>465</v>
      </c>
      <c r="E698" s="680">
        <v>45170</v>
      </c>
      <c r="F698" s="676">
        <v>720</v>
      </c>
      <c r="G698" s="676" t="s">
        <v>59</v>
      </c>
      <c r="H698" s="676" t="s">
        <v>3</v>
      </c>
      <c r="I698" s="676" t="s">
        <v>44</v>
      </c>
      <c r="J698" s="676" t="s">
        <v>85</v>
      </c>
      <c r="K698" s="676">
        <v>212</v>
      </c>
      <c r="L698" s="690" t="s">
        <v>54</v>
      </c>
      <c r="M698" s="691">
        <v>0</v>
      </c>
      <c r="N698" s="690">
        <v>1.2</v>
      </c>
      <c r="O698" s="691">
        <v>0</v>
      </c>
      <c r="P698" s="690">
        <v>225.58710662557175</v>
      </c>
      <c r="Q698" s="738">
        <f t="shared" si="90"/>
        <v>0</v>
      </c>
      <c r="R698" s="677">
        <f t="shared" si="91"/>
        <v>194907.260124494</v>
      </c>
      <c r="S698" s="739">
        <f t="shared" si="92"/>
        <v>194907.260124494</v>
      </c>
      <c r="T698" s="738">
        <v>77.150000000000006</v>
      </c>
      <c r="U698" s="677">
        <f t="shared" si="93"/>
        <v>66657.600000000006</v>
      </c>
      <c r="V698" s="739">
        <f t="shared" si="94"/>
        <v>128249.660124494</v>
      </c>
      <c r="W698" s="740">
        <v>59.54033706800562</v>
      </c>
      <c r="X698" s="678">
        <f t="shared" si="95"/>
        <v>51442.851226756859</v>
      </c>
      <c r="Y698" s="700">
        <f t="shared" si="96"/>
        <v>143464.40889773716</v>
      </c>
      <c r="Z698" s="740">
        <v>94.759662931994384</v>
      </c>
      <c r="AA698" s="678">
        <f t="shared" si="97"/>
        <v>81872.348773243153</v>
      </c>
      <c r="AB698" s="741">
        <f t="shared" si="98"/>
        <v>113034.91135125085</v>
      </c>
      <c r="AC698" s="714"/>
    </row>
    <row r="699" spans="1:29" ht="15" customHeight="1" x14ac:dyDescent="0.25">
      <c r="A699" s="713"/>
      <c r="B699" s="714" t="s">
        <v>834</v>
      </c>
      <c r="C699" s="676" t="s">
        <v>40</v>
      </c>
      <c r="D699" s="676" t="s">
        <v>465</v>
      </c>
      <c r="E699" s="680">
        <v>45200</v>
      </c>
      <c r="F699" s="676">
        <v>744</v>
      </c>
      <c r="G699" s="676" t="s">
        <v>59</v>
      </c>
      <c r="H699" s="676" t="s">
        <v>3</v>
      </c>
      <c r="I699" s="676" t="s">
        <v>44</v>
      </c>
      <c r="J699" s="676" t="s">
        <v>85</v>
      </c>
      <c r="K699" s="676">
        <v>212</v>
      </c>
      <c r="L699" s="690" t="s">
        <v>54</v>
      </c>
      <c r="M699" s="691">
        <v>0</v>
      </c>
      <c r="N699" s="690">
        <v>1.2</v>
      </c>
      <c r="O699" s="691">
        <v>0</v>
      </c>
      <c r="P699" s="690">
        <v>225.58710662557175</v>
      </c>
      <c r="Q699" s="738">
        <f t="shared" si="90"/>
        <v>0</v>
      </c>
      <c r="R699" s="677">
        <f t="shared" si="91"/>
        <v>201404.16879531046</v>
      </c>
      <c r="S699" s="739">
        <f t="shared" si="92"/>
        <v>201404.16879531046</v>
      </c>
      <c r="T699" s="738">
        <v>80.45</v>
      </c>
      <c r="U699" s="677">
        <f t="shared" si="93"/>
        <v>71825.759999999995</v>
      </c>
      <c r="V699" s="739">
        <f t="shared" si="94"/>
        <v>129578.40879531046</v>
      </c>
      <c r="W699" s="740">
        <v>62.087104564109552</v>
      </c>
      <c r="X699" s="678">
        <f t="shared" si="95"/>
        <v>55431.366954837002</v>
      </c>
      <c r="Y699" s="700">
        <f t="shared" si="96"/>
        <v>145972.80184047346</v>
      </c>
      <c r="Z699" s="740">
        <v>98.812895435890439</v>
      </c>
      <c r="AA699" s="678">
        <f t="shared" si="97"/>
        <v>88220.153045162981</v>
      </c>
      <c r="AB699" s="741">
        <f t="shared" si="98"/>
        <v>113184.01575014748</v>
      </c>
      <c r="AC699" s="714"/>
    </row>
    <row r="700" spans="1:29" ht="15" customHeight="1" x14ac:dyDescent="0.25">
      <c r="A700" s="713"/>
      <c r="B700" s="714" t="s">
        <v>834</v>
      </c>
      <c r="C700" s="676" t="s">
        <v>40</v>
      </c>
      <c r="D700" s="676" t="s">
        <v>465</v>
      </c>
      <c r="E700" s="680">
        <v>45231</v>
      </c>
      <c r="F700" s="676">
        <v>720</v>
      </c>
      <c r="G700" s="676" t="s">
        <v>59</v>
      </c>
      <c r="H700" s="676" t="s">
        <v>3</v>
      </c>
      <c r="I700" s="676" t="s">
        <v>44</v>
      </c>
      <c r="J700" s="676" t="s">
        <v>85</v>
      </c>
      <c r="K700" s="676">
        <v>212</v>
      </c>
      <c r="L700" s="690" t="s">
        <v>54</v>
      </c>
      <c r="M700" s="691">
        <v>0</v>
      </c>
      <c r="N700" s="690">
        <v>1.2</v>
      </c>
      <c r="O700" s="691">
        <v>0</v>
      </c>
      <c r="P700" s="690">
        <v>225.58710662557175</v>
      </c>
      <c r="Q700" s="738">
        <f t="shared" si="90"/>
        <v>0</v>
      </c>
      <c r="R700" s="677">
        <f t="shared" si="91"/>
        <v>194907.260124494</v>
      </c>
      <c r="S700" s="739">
        <f t="shared" si="92"/>
        <v>194907.260124494</v>
      </c>
      <c r="T700" s="738">
        <v>80.45</v>
      </c>
      <c r="U700" s="677">
        <f t="shared" si="93"/>
        <v>69508.800000000003</v>
      </c>
      <c r="V700" s="739">
        <f t="shared" si="94"/>
        <v>125398.460124494</v>
      </c>
      <c r="W700" s="740">
        <v>62.087104564109552</v>
      </c>
      <c r="X700" s="678">
        <f t="shared" si="95"/>
        <v>53643.258343390655</v>
      </c>
      <c r="Y700" s="700">
        <f t="shared" si="96"/>
        <v>141264.00178110335</v>
      </c>
      <c r="Z700" s="740">
        <v>98.812895435890439</v>
      </c>
      <c r="AA700" s="678">
        <f t="shared" si="97"/>
        <v>85374.341656609336</v>
      </c>
      <c r="AB700" s="741">
        <f t="shared" si="98"/>
        <v>109532.91846788467</v>
      </c>
      <c r="AC700" s="714"/>
    </row>
    <row r="701" spans="1:29" ht="15" customHeight="1" x14ac:dyDescent="0.25">
      <c r="A701" s="713"/>
      <c r="B701" s="729" t="s">
        <v>834</v>
      </c>
      <c r="C701" s="545" t="s">
        <v>40</v>
      </c>
      <c r="D701" s="545" t="s">
        <v>465</v>
      </c>
      <c r="E701" s="681">
        <v>45261</v>
      </c>
      <c r="F701" s="545">
        <v>744</v>
      </c>
      <c r="G701" s="545" t="s">
        <v>59</v>
      </c>
      <c r="H701" s="545" t="s">
        <v>3</v>
      </c>
      <c r="I701" s="545" t="s">
        <v>44</v>
      </c>
      <c r="J701" s="545" t="s">
        <v>85</v>
      </c>
      <c r="K701" s="545">
        <v>212</v>
      </c>
      <c r="L701" s="725" t="s">
        <v>54</v>
      </c>
      <c r="M701" s="695">
        <v>0</v>
      </c>
      <c r="N701" s="725">
        <v>1.2</v>
      </c>
      <c r="O701" s="695">
        <v>0</v>
      </c>
      <c r="P701" s="725">
        <v>225.58710662557175</v>
      </c>
      <c r="Q701" s="742">
        <f t="shared" si="90"/>
        <v>0</v>
      </c>
      <c r="R701" s="603">
        <f t="shared" si="91"/>
        <v>201404.16879531046</v>
      </c>
      <c r="S701" s="743">
        <f t="shared" si="92"/>
        <v>201404.16879531046</v>
      </c>
      <c r="T701" s="742">
        <v>80.45</v>
      </c>
      <c r="U701" s="603">
        <f t="shared" si="93"/>
        <v>71825.759999999995</v>
      </c>
      <c r="V701" s="743">
        <f t="shared" si="94"/>
        <v>129578.40879531046</v>
      </c>
      <c r="W701" s="744">
        <v>62.087104564109552</v>
      </c>
      <c r="X701" s="604">
        <f t="shared" si="95"/>
        <v>55431.366954837002</v>
      </c>
      <c r="Y701" s="701">
        <f t="shared" si="96"/>
        <v>145972.80184047346</v>
      </c>
      <c r="Z701" s="744">
        <v>98.812895435890439</v>
      </c>
      <c r="AA701" s="604">
        <f t="shared" si="97"/>
        <v>88220.153045162981</v>
      </c>
      <c r="AB701" s="745">
        <f t="shared" si="98"/>
        <v>113184.01575014748</v>
      </c>
      <c r="AC701" s="714"/>
    </row>
    <row r="702" spans="1:29" ht="15" customHeight="1" x14ac:dyDescent="0.25">
      <c r="A702" s="713"/>
      <c r="B702" s="730" t="s">
        <v>835</v>
      </c>
      <c r="C702" s="546" t="s">
        <v>40</v>
      </c>
      <c r="D702" s="546" t="s">
        <v>404</v>
      </c>
      <c r="E702" s="682">
        <v>44927</v>
      </c>
      <c r="F702" s="546">
        <v>744</v>
      </c>
      <c r="G702" s="546" t="s">
        <v>58</v>
      </c>
      <c r="H702" s="546" t="s">
        <v>3</v>
      </c>
      <c r="I702" s="546" t="s">
        <v>44</v>
      </c>
      <c r="J702" s="546" t="s">
        <v>84</v>
      </c>
      <c r="K702" s="546">
        <v>210</v>
      </c>
      <c r="L702" s="726" t="s">
        <v>54</v>
      </c>
      <c r="M702" s="696">
        <v>3</v>
      </c>
      <c r="N702" s="726">
        <v>0</v>
      </c>
      <c r="O702" s="696">
        <v>223.45892637438712</v>
      </c>
      <c r="P702" s="726">
        <v>0</v>
      </c>
      <c r="Q702" s="746">
        <f t="shared" si="90"/>
        <v>498760.32366763207</v>
      </c>
      <c r="R702" s="606">
        <f t="shared" si="91"/>
        <v>0</v>
      </c>
      <c r="S702" s="747">
        <f t="shared" si="92"/>
        <v>-498760.32366763207</v>
      </c>
      <c r="T702" s="746">
        <v>68.72</v>
      </c>
      <c r="U702" s="606">
        <f t="shared" si="93"/>
        <v>-153383.04000000001</v>
      </c>
      <c r="V702" s="747">
        <f t="shared" si="94"/>
        <v>-345377.28366763203</v>
      </c>
      <c r="W702" s="748">
        <v>55.7</v>
      </c>
      <c r="X702" s="607">
        <f t="shared" si="95"/>
        <v>-124322.40000000001</v>
      </c>
      <c r="Y702" s="702">
        <f t="shared" si="96"/>
        <v>-374437.92366763204</v>
      </c>
      <c r="Z702" s="748">
        <v>96.206580759134184</v>
      </c>
      <c r="AA702" s="607">
        <f t="shared" si="97"/>
        <v>-214733.08825438749</v>
      </c>
      <c r="AB702" s="749">
        <f t="shared" si="98"/>
        <v>-284027.23541324458</v>
      </c>
      <c r="AC702" s="714"/>
    </row>
    <row r="703" spans="1:29" ht="15" customHeight="1" x14ac:dyDescent="0.25">
      <c r="A703" s="713"/>
      <c r="B703" s="714" t="s">
        <v>835</v>
      </c>
      <c r="C703" s="676" t="s">
        <v>40</v>
      </c>
      <c r="D703" s="676" t="s">
        <v>404</v>
      </c>
      <c r="E703" s="680">
        <v>44958</v>
      </c>
      <c r="F703" s="676">
        <v>672</v>
      </c>
      <c r="G703" s="676" t="s">
        <v>58</v>
      </c>
      <c r="H703" s="676" t="s">
        <v>3</v>
      </c>
      <c r="I703" s="676" t="s">
        <v>44</v>
      </c>
      <c r="J703" s="676" t="s">
        <v>84</v>
      </c>
      <c r="K703" s="676">
        <v>210</v>
      </c>
      <c r="L703" s="690" t="s">
        <v>54</v>
      </c>
      <c r="M703" s="691">
        <v>3</v>
      </c>
      <c r="N703" s="690">
        <v>0</v>
      </c>
      <c r="O703" s="691">
        <v>223.45892637438712</v>
      </c>
      <c r="P703" s="690">
        <v>0</v>
      </c>
      <c r="Q703" s="738">
        <f t="shared" si="90"/>
        <v>450493.19557076442</v>
      </c>
      <c r="R703" s="677">
        <f t="shared" si="91"/>
        <v>0</v>
      </c>
      <c r="S703" s="739">
        <f t="shared" si="92"/>
        <v>-450493.19557076442</v>
      </c>
      <c r="T703" s="738">
        <v>69.25</v>
      </c>
      <c r="U703" s="677">
        <f t="shared" si="93"/>
        <v>-139608</v>
      </c>
      <c r="V703" s="739">
        <f t="shared" si="94"/>
        <v>-310885.19557076442</v>
      </c>
      <c r="W703" s="740">
        <v>55.7</v>
      </c>
      <c r="X703" s="678">
        <f t="shared" si="95"/>
        <v>-112291.20000000001</v>
      </c>
      <c r="Y703" s="700">
        <f t="shared" si="96"/>
        <v>-338201.99557076441</v>
      </c>
      <c r="Z703" s="740">
        <v>92.430648861364247</v>
      </c>
      <c r="AA703" s="678">
        <f t="shared" si="97"/>
        <v>-186340.18810451034</v>
      </c>
      <c r="AB703" s="741">
        <f t="shared" si="98"/>
        <v>-264153.00746625406</v>
      </c>
      <c r="AC703" s="714"/>
    </row>
    <row r="704" spans="1:29" ht="15" customHeight="1" x14ac:dyDescent="0.25">
      <c r="A704" s="713"/>
      <c r="B704" s="714" t="s">
        <v>835</v>
      </c>
      <c r="C704" s="676" t="s">
        <v>40</v>
      </c>
      <c r="D704" s="676" t="s">
        <v>404</v>
      </c>
      <c r="E704" s="680">
        <v>44986</v>
      </c>
      <c r="F704" s="676">
        <v>744</v>
      </c>
      <c r="G704" s="676" t="s">
        <v>58</v>
      </c>
      <c r="H704" s="676" t="s">
        <v>3</v>
      </c>
      <c r="I704" s="676" t="s">
        <v>44</v>
      </c>
      <c r="J704" s="676" t="s">
        <v>84</v>
      </c>
      <c r="K704" s="676">
        <v>210</v>
      </c>
      <c r="L704" s="690" t="s">
        <v>54</v>
      </c>
      <c r="M704" s="691">
        <v>3</v>
      </c>
      <c r="N704" s="690">
        <v>0</v>
      </c>
      <c r="O704" s="691">
        <v>223.45892637438712</v>
      </c>
      <c r="P704" s="690">
        <v>0</v>
      </c>
      <c r="Q704" s="738">
        <f t="shared" si="90"/>
        <v>498760.32366763207</v>
      </c>
      <c r="R704" s="677">
        <f t="shared" si="91"/>
        <v>0</v>
      </c>
      <c r="S704" s="739">
        <f t="shared" si="92"/>
        <v>-498760.32366763207</v>
      </c>
      <c r="T704" s="738">
        <v>69.3</v>
      </c>
      <c r="U704" s="677">
        <f t="shared" si="93"/>
        <v>-154677.6</v>
      </c>
      <c r="V704" s="739">
        <f t="shared" si="94"/>
        <v>-344082.72366763209</v>
      </c>
      <c r="W704" s="740">
        <v>55.7</v>
      </c>
      <c r="X704" s="678">
        <f t="shared" si="95"/>
        <v>-124322.40000000001</v>
      </c>
      <c r="Y704" s="700">
        <f t="shared" si="96"/>
        <v>-374437.92366763204</v>
      </c>
      <c r="Z704" s="740">
        <v>89.053218420260009</v>
      </c>
      <c r="AA704" s="678">
        <f t="shared" si="97"/>
        <v>-198766.78351402035</v>
      </c>
      <c r="AB704" s="741">
        <f t="shared" si="98"/>
        <v>-299993.54015361168</v>
      </c>
      <c r="AC704" s="714"/>
    </row>
    <row r="705" spans="1:29" ht="15" customHeight="1" x14ac:dyDescent="0.25">
      <c r="A705" s="713"/>
      <c r="B705" s="714" t="s">
        <v>835</v>
      </c>
      <c r="C705" s="676" t="s">
        <v>40</v>
      </c>
      <c r="D705" s="676" t="s">
        <v>404</v>
      </c>
      <c r="E705" s="680">
        <v>45017</v>
      </c>
      <c r="F705" s="676">
        <v>720</v>
      </c>
      <c r="G705" s="676" t="s">
        <v>58</v>
      </c>
      <c r="H705" s="676" t="s">
        <v>3</v>
      </c>
      <c r="I705" s="676" t="s">
        <v>44</v>
      </c>
      <c r="J705" s="676" t="s">
        <v>84</v>
      </c>
      <c r="K705" s="676">
        <v>210</v>
      </c>
      <c r="L705" s="690" t="s">
        <v>54</v>
      </c>
      <c r="M705" s="691">
        <v>3</v>
      </c>
      <c r="N705" s="690">
        <v>0</v>
      </c>
      <c r="O705" s="691">
        <v>223.45892637438712</v>
      </c>
      <c r="P705" s="690">
        <v>0</v>
      </c>
      <c r="Q705" s="738">
        <f t="shared" si="90"/>
        <v>482671.2809686762</v>
      </c>
      <c r="R705" s="677">
        <f t="shared" si="91"/>
        <v>0</v>
      </c>
      <c r="S705" s="739">
        <f t="shared" si="92"/>
        <v>-482671.2809686762</v>
      </c>
      <c r="T705" s="738">
        <v>69.8</v>
      </c>
      <c r="U705" s="677">
        <f t="shared" si="93"/>
        <v>-150768</v>
      </c>
      <c r="V705" s="739">
        <f t="shared" si="94"/>
        <v>-331903.2809686762</v>
      </c>
      <c r="W705" s="740">
        <v>55.7</v>
      </c>
      <c r="X705" s="678">
        <f t="shared" si="95"/>
        <v>-120312</v>
      </c>
      <c r="Y705" s="700">
        <f t="shared" si="96"/>
        <v>-362359.2809686762</v>
      </c>
      <c r="Z705" s="740">
        <v>85.732008718771311</v>
      </c>
      <c r="AA705" s="678">
        <f t="shared" si="97"/>
        <v>-185181.13883254604</v>
      </c>
      <c r="AB705" s="741">
        <f t="shared" si="98"/>
        <v>-297490.14213613013</v>
      </c>
      <c r="AC705" s="714"/>
    </row>
    <row r="706" spans="1:29" ht="15" customHeight="1" x14ac:dyDescent="0.25">
      <c r="A706" s="713"/>
      <c r="B706" s="714" t="s">
        <v>835</v>
      </c>
      <c r="C706" s="676" t="s">
        <v>40</v>
      </c>
      <c r="D706" s="676" t="s">
        <v>404</v>
      </c>
      <c r="E706" s="680">
        <v>45047</v>
      </c>
      <c r="F706" s="676">
        <v>744</v>
      </c>
      <c r="G706" s="676" t="s">
        <v>58</v>
      </c>
      <c r="H706" s="676" t="s">
        <v>3</v>
      </c>
      <c r="I706" s="676" t="s">
        <v>44</v>
      </c>
      <c r="J706" s="676" t="s">
        <v>84</v>
      </c>
      <c r="K706" s="676">
        <v>210</v>
      </c>
      <c r="L706" s="690" t="s">
        <v>54</v>
      </c>
      <c r="M706" s="691">
        <v>3</v>
      </c>
      <c r="N706" s="690">
        <v>0</v>
      </c>
      <c r="O706" s="691">
        <v>223.45892637438712</v>
      </c>
      <c r="P706" s="690">
        <v>0</v>
      </c>
      <c r="Q706" s="738">
        <f t="shared" si="90"/>
        <v>498760.32366763207</v>
      </c>
      <c r="R706" s="677">
        <f t="shared" si="91"/>
        <v>0</v>
      </c>
      <c r="S706" s="739">
        <f t="shared" si="92"/>
        <v>-498760.32366763207</v>
      </c>
      <c r="T706" s="738">
        <v>70.2</v>
      </c>
      <c r="U706" s="677">
        <f t="shared" si="93"/>
        <v>-156686.39999999999</v>
      </c>
      <c r="V706" s="739">
        <f t="shared" si="94"/>
        <v>-342073.92366763204</v>
      </c>
      <c r="W706" s="740">
        <v>55.7</v>
      </c>
      <c r="X706" s="678">
        <f t="shared" si="95"/>
        <v>-124322.40000000001</v>
      </c>
      <c r="Y706" s="700">
        <f t="shared" si="96"/>
        <v>-374437.92366763204</v>
      </c>
      <c r="Z706" s="740">
        <v>86.223309628334476</v>
      </c>
      <c r="AA706" s="678">
        <f t="shared" si="97"/>
        <v>-192450.42709044256</v>
      </c>
      <c r="AB706" s="741">
        <f t="shared" si="98"/>
        <v>-306309.8965771895</v>
      </c>
      <c r="AC706" s="714"/>
    </row>
    <row r="707" spans="1:29" ht="15" customHeight="1" x14ac:dyDescent="0.25">
      <c r="A707" s="713"/>
      <c r="B707" s="714" t="s">
        <v>835</v>
      </c>
      <c r="C707" s="676" t="s">
        <v>40</v>
      </c>
      <c r="D707" s="676" t="s">
        <v>404</v>
      </c>
      <c r="E707" s="680">
        <v>45078</v>
      </c>
      <c r="F707" s="676">
        <v>720</v>
      </c>
      <c r="G707" s="676" t="s">
        <v>58</v>
      </c>
      <c r="H707" s="676" t="s">
        <v>3</v>
      </c>
      <c r="I707" s="676" t="s">
        <v>44</v>
      </c>
      <c r="J707" s="676" t="s">
        <v>84</v>
      </c>
      <c r="K707" s="676">
        <v>210</v>
      </c>
      <c r="L707" s="690" t="s">
        <v>54</v>
      </c>
      <c r="M707" s="691">
        <v>3</v>
      </c>
      <c r="N707" s="690">
        <v>0</v>
      </c>
      <c r="O707" s="691">
        <v>223.45892637438712</v>
      </c>
      <c r="P707" s="690">
        <v>0</v>
      </c>
      <c r="Q707" s="738">
        <f t="shared" ref="Q707:Q770" si="99">(O707*(M707*F707))</f>
        <v>482671.2809686762</v>
      </c>
      <c r="R707" s="677">
        <f t="shared" ref="R707:R770" si="100">(P707*(N707*F707))</f>
        <v>0</v>
      </c>
      <c r="S707" s="739">
        <f t="shared" ref="S707:S770" si="101">R707-Q707</f>
        <v>-482671.2809686762</v>
      </c>
      <c r="T707" s="738">
        <v>72.400000000000006</v>
      </c>
      <c r="U707" s="677">
        <f t="shared" ref="U707:U770" si="102">(((F707*N707)*T707)-(T707*(M707*F707)))</f>
        <v>-156384</v>
      </c>
      <c r="V707" s="739">
        <f t="shared" ref="V707:V770" si="103">S707-U707</f>
        <v>-326287.2809686762</v>
      </c>
      <c r="W707" s="740">
        <v>55.874535369068141</v>
      </c>
      <c r="X707" s="678">
        <f t="shared" ref="X707:X770" si="104">(((F707*N707)*W707)-(W707*(M707*F707)))</f>
        <v>-120688.99639718719</v>
      </c>
      <c r="Y707" s="700">
        <f t="shared" ref="Y707:Y770" si="105">S707-X707</f>
        <v>-361982.28457148903</v>
      </c>
      <c r="Z707" s="740">
        <v>88.925464630931856</v>
      </c>
      <c r="AA707" s="678">
        <f t="shared" ref="AA707:AA770" si="106">(((F707*N707)*Z707)-(Z707*(M707*F707)))</f>
        <v>-192079.00360281282</v>
      </c>
      <c r="AB707" s="741">
        <f t="shared" ref="AB707:AB770" si="107">S707-AA707</f>
        <v>-290592.27736586338</v>
      </c>
      <c r="AC707" s="714"/>
    </row>
    <row r="708" spans="1:29" ht="15" customHeight="1" x14ac:dyDescent="0.25">
      <c r="A708" s="713"/>
      <c r="B708" s="714" t="s">
        <v>835</v>
      </c>
      <c r="C708" s="676" t="s">
        <v>40</v>
      </c>
      <c r="D708" s="676" t="s">
        <v>404</v>
      </c>
      <c r="E708" s="680">
        <v>45108</v>
      </c>
      <c r="F708" s="676">
        <v>744</v>
      </c>
      <c r="G708" s="676" t="s">
        <v>58</v>
      </c>
      <c r="H708" s="676" t="s">
        <v>3</v>
      </c>
      <c r="I708" s="676" t="s">
        <v>44</v>
      </c>
      <c r="J708" s="676" t="s">
        <v>84</v>
      </c>
      <c r="K708" s="676">
        <v>210</v>
      </c>
      <c r="L708" s="690" t="s">
        <v>54</v>
      </c>
      <c r="M708" s="691">
        <v>3</v>
      </c>
      <c r="N708" s="690">
        <v>0</v>
      </c>
      <c r="O708" s="691">
        <v>223.45892637438712</v>
      </c>
      <c r="P708" s="690">
        <v>0</v>
      </c>
      <c r="Q708" s="738">
        <f t="shared" si="99"/>
        <v>498760.32366763207</v>
      </c>
      <c r="R708" s="677">
        <f t="shared" si="100"/>
        <v>0</v>
      </c>
      <c r="S708" s="739">
        <f t="shared" si="101"/>
        <v>-498760.32366763207</v>
      </c>
      <c r="T708" s="738">
        <v>77.150000000000006</v>
      </c>
      <c r="U708" s="677">
        <f t="shared" si="102"/>
        <v>-172198.80000000002</v>
      </c>
      <c r="V708" s="739">
        <f t="shared" si="103"/>
        <v>-326561.52366763202</v>
      </c>
      <c r="W708" s="740">
        <v>59.54033706800562</v>
      </c>
      <c r="X708" s="678">
        <f t="shared" si="104"/>
        <v>-132894.03233578854</v>
      </c>
      <c r="Y708" s="700">
        <f t="shared" si="105"/>
        <v>-365866.29133184353</v>
      </c>
      <c r="Z708" s="740">
        <v>94.759662931994384</v>
      </c>
      <c r="AA708" s="678">
        <f t="shared" si="106"/>
        <v>-211503.56766421147</v>
      </c>
      <c r="AB708" s="741">
        <f t="shared" si="107"/>
        <v>-287256.75600342057</v>
      </c>
      <c r="AC708" s="714"/>
    </row>
    <row r="709" spans="1:29" ht="15" customHeight="1" x14ac:dyDescent="0.25">
      <c r="A709" s="713"/>
      <c r="B709" s="714" t="s">
        <v>835</v>
      </c>
      <c r="C709" s="676" t="s">
        <v>40</v>
      </c>
      <c r="D709" s="676" t="s">
        <v>404</v>
      </c>
      <c r="E709" s="680">
        <v>45139</v>
      </c>
      <c r="F709" s="676">
        <v>744</v>
      </c>
      <c r="G709" s="676" t="s">
        <v>58</v>
      </c>
      <c r="H709" s="676" t="s">
        <v>3</v>
      </c>
      <c r="I709" s="676" t="s">
        <v>44</v>
      </c>
      <c r="J709" s="676" t="s">
        <v>84</v>
      </c>
      <c r="K709" s="676">
        <v>210</v>
      </c>
      <c r="L709" s="690" t="s">
        <v>54</v>
      </c>
      <c r="M709" s="691">
        <v>3</v>
      </c>
      <c r="N709" s="690">
        <v>0</v>
      </c>
      <c r="O709" s="691">
        <v>223.45892637438712</v>
      </c>
      <c r="P709" s="690">
        <v>0</v>
      </c>
      <c r="Q709" s="738">
        <f t="shared" si="99"/>
        <v>498760.32366763207</v>
      </c>
      <c r="R709" s="677">
        <f t="shared" si="100"/>
        <v>0</v>
      </c>
      <c r="S709" s="739">
        <f t="shared" si="101"/>
        <v>-498760.32366763207</v>
      </c>
      <c r="T709" s="738">
        <v>77.150000000000006</v>
      </c>
      <c r="U709" s="677">
        <f t="shared" si="102"/>
        <v>-172198.80000000002</v>
      </c>
      <c r="V709" s="739">
        <f t="shared" si="103"/>
        <v>-326561.52366763202</v>
      </c>
      <c r="W709" s="740">
        <v>59.54033706800562</v>
      </c>
      <c r="X709" s="678">
        <f t="shared" si="104"/>
        <v>-132894.03233578854</v>
      </c>
      <c r="Y709" s="700">
        <f t="shared" si="105"/>
        <v>-365866.29133184353</v>
      </c>
      <c r="Z709" s="740">
        <v>94.759662931994384</v>
      </c>
      <c r="AA709" s="678">
        <f t="shared" si="106"/>
        <v>-211503.56766421147</v>
      </c>
      <c r="AB709" s="741">
        <f t="shared" si="107"/>
        <v>-287256.75600342057</v>
      </c>
      <c r="AC709" s="714"/>
    </row>
    <row r="710" spans="1:29" ht="15" customHeight="1" x14ac:dyDescent="0.25">
      <c r="A710" s="713"/>
      <c r="B710" s="714" t="s">
        <v>835</v>
      </c>
      <c r="C710" s="676" t="s">
        <v>40</v>
      </c>
      <c r="D710" s="676" t="s">
        <v>404</v>
      </c>
      <c r="E710" s="680">
        <v>45170</v>
      </c>
      <c r="F710" s="676">
        <v>720</v>
      </c>
      <c r="G710" s="676" t="s">
        <v>58</v>
      </c>
      <c r="H710" s="676" t="s">
        <v>3</v>
      </c>
      <c r="I710" s="676" t="s">
        <v>44</v>
      </c>
      <c r="J710" s="676" t="s">
        <v>84</v>
      </c>
      <c r="K710" s="676">
        <v>210</v>
      </c>
      <c r="L710" s="690" t="s">
        <v>54</v>
      </c>
      <c r="M710" s="691">
        <v>3</v>
      </c>
      <c r="N710" s="690">
        <v>0</v>
      </c>
      <c r="O710" s="691">
        <v>223.45892637438712</v>
      </c>
      <c r="P710" s="690">
        <v>0</v>
      </c>
      <c r="Q710" s="738">
        <f t="shared" si="99"/>
        <v>482671.2809686762</v>
      </c>
      <c r="R710" s="677">
        <f t="shared" si="100"/>
        <v>0</v>
      </c>
      <c r="S710" s="739">
        <f t="shared" si="101"/>
        <v>-482671.2809686762</v>
      </c>
      <c r="T710" s="738">
        <v>77.150000000000006</v>
      </c>
      <c r="U710" s="677">
        <f t="shared" si="102"/>
        <v>-166644</v>
      </c>
      <c r="V710" s="739">
        <f t="shared" si="103"/>
        <v>-316027.2809686762</v>
      </c>
      <c r="W710" s="740">
        <v>59.54033706800562</v>
      </c>
      <c r="X710" s="678">
        <f t="shared" si="104"/>
        <v>-128607.12806689214</v>
      </c>
      <c r="Y710" s="700">
        <f t="shared" si="105"/>
        <v>-354064.15290178405</v>
      </c>
      <c r="Z710" s="740">
        <v>94.759662931994384</v>
      </c>
      <c r="AA710" s="678">
        <f t="shared" si="106"/>
        <v>-204680.87193310788</v>
      </c>
      <c r="AB710" s="741">
        <f t="shared" si="107"/>
        <v>-277990.40903556836</v>
      </c>
      <c r="AC710" s="714"/>
    </row>
    <row r="711" spans="1:29" ht="15" customHeight="1" x14ac:dyDescent="0.25">
      <c r="A711" s="713"/>
      <c r="B711" s="714" t="s">
        <v>835</v>
      </c>
      <c r="C711" s="676" t="s">
        <v>40</v>
      </c>
      <c r="D711" s="676" t="s">
        <v>404</v>
      </c>
      <c r="E711" s="680">
        <v>45200</v>
      </c>
      <c r="F711" s="676">
        <v>744</v>
      </c>
      <c r="G711" s="676" t="s">
        <v>58</v>
      </c>
      <c r="H711" s="676" t="s">
        <v>3</v>
      </c>
      <c r="I711" s="676" t="s">
        <v>44</v>
      </c>
      <c r="J711" s="676" t="s">
        <v>84</v>
      </c>
      <c r="K711" s="676">
        <v>210</v>
      </c>
      <c r="L711" s="690" t="s">
        <v>54</v>
      </c>
      <c r="M711" s="691">
        <v>3</v>
      </c>
      <c r="N711" s="690">
        <v>0</v>
      </c>
      <c r="O711" s="691">
        <v>223.45892637438712</v>
      </c>
      <c r="P711" s="690">
        <v>0</v>
      </c>
      <c r="Q711" s="738">
        <f t="shared" si="99"/>
        <v>498760.32366763207</v>
      </c>
      <c r="R711" s="677">
        <f t="shared" si="100"/>
        <v>0</v>
      </c>
      <c r="S711" s="739">
        <f t="shared" si="101"/>
        <v>-498760.32366763207</v>
      </c>
      <c r="T711" s="738">
        <v>80.45</v>
      </c>
      <c r="U711" s="677">
        <f t="shared" si="102"/>
        <v>-179564.4</v>
      </c>
      <c r="V711" s="739">
        <f t="shared" si="103"/>
        <v>-319195.92366763204</v>
      </c>
      <c r="W711" s="740">
        <v>62.087104564109552</v>
      </c>
      <c r="X711" s="678">
        <f t="shared" si="104"/>
        <v>-138578.41738709252</v>
      </c>
      <c r="Y711" s="700">
        <f t="shared" si="105"/>
        <v>-360181.90628053958</v>
      </c>
      <c r="Z711" s="740">
        <v>98.812895435890439</v>
      </c>
      <c r="AA711" s="678">
        <f t="shared" si="106"/>
        <v>-220550.38261290747</v>
      </c>
      <c r="AB711" s="741">
        <f t="shared" si="107"/>
        <v>-278209.94105472462</v>
      </c>
      <c r="AC711" s="714"/>
    </row>
    <row r="712" spans="1:29" ht="15" customHeight="1" x14ac:dyDescent="0.25">
      <c r="A712" s="713"/>
      <c r="B712" s="714" t="s">
        <v>835</v>
      </c>
      <c r="C712" s="676" t="s">
        <v>40</v>
      </c>
      <c r="D712" s="676" t="s">
        <v>404</v>
      </c>
      <c r="E712" s="680">
        <v>45231</v>
      </c>
      <c r="F712" s="676">
        <v>720</v>
      </c>
      <c r="G712" s="676" t="s">
        <v>58</v>
      </c>
      <c r="H712" s="676" t="s">
        <v>3</v>
      </c>
      <c r="I712" s="676" t="s">
        <v>44</v>
      </c>
      <c r="J712" s="676" t="s">
        <v>84</v>
      </c>
      <c r="K712" s="676">
        <v>210</v>
      </c>
      <c r="L712" s="690" t="s">
        <v>54</v>
      </c>
      <c r="M712" s="691">
        <v>3</v>
      </c>
      <c r="N712" s="690">
        <v>0</v>
      </c>
      <c r="O712" s="691">
        <v>223.45892637438712</v>
      </c>
      <c r="P712" s="690">
        <v>0</v>
      </c>
      <c r="Q712" s="738">
        <f t="shared" si="99"/>
        <v>482671.2809686762</v>
      </c>
      <c r="R712" s="677">
        <f t="shared" si="100"/>
        <v>0</v>
      </c>
      <c r="S712" s="739">
        <f t="shared" si="101"/>
        <v>-482671.2809686762</v>
      </c>
      <c r="T712" s="738">
        <v>80.45</v>
      </c>
      <c r="U712" s="677">
        <f t="shared" si="102"/>
        <v>-173772</v>
      </c>
      <c r="V712" s="739">
        <f t="shared" si="103"/>
        <v>-308899.2809686762</v>
      </c>
      <c r="W712" s="740">
        <v>62.087104564109552</v>
      </c>
      <c r="X712" s="678">
        <f t="shared" si="104"/>
        <v>-134108.14585847664</v>
      </c>
      <c r="Y712" s="700">
        <f t="shared" si="105"/>
        <v>-348563.13511019957</v>
      </c>
      <c r="Z712" s="740">
        <v>98.812895435890439</v>
      </c>
      <c r="AA712" s="678">
        <f t="shared" si="106"/>
        <v>-213435.85414152336</v>
      </c>
      <c r="AB712" s="741">
        <f t="shared" si="107"/>
        <v>-269235.42682715284</v>
      </c>
      <c r="AC712" s="714"/>
    </row>
    <row r="713" spans="1:29" ht="15" customHeight="1" x14ac:dyDescent="0.25">
      <c r="A713" s="713"/>
      <c r="B713" s="729" t="s">
        <v>835</v>
      </c>
      <c r="C713" s="545" t="s">
        <v>40</v>
      </c>
      <c r="D713" s="545" t="s">
        <v>404</v>
      </c>
      <c r="E713" s="681">
        <v>45261</v>
      </c>
      <c r="F713" s="545">
        <v>744</v>
      </c>
      <c r="G713" s="545" t="s">
        <v>58</v>
      </c>
      <c r="H713" s="545" t="s">
        <v>3</v>
      </c>
      <c r="I713" s="545" t="s">
        <v>44</v>
      </c>
      <c r="J713" s="545" t="s">
        <v>84</v>
      </c>
      <c r="K713" s="545">
        <v>210</v>
      </c>
      <c r="L713" s="725" t="s">
        <v>54</v>
      </c>
      <c r="M713" s="695">
        <v>3</v>
      </c>
      <c r="N713" s="725">
        <v>0</v>
      </c>
      <c r="O713" s="695">
        <v>223.45892637438712</v>
      </c>
      <c r="P713" s="725">
        <v>0</v>
      </c>
      <c r="Q713" s="742">
        <f t="shared" si="99"/>
        <v>498760.32366763207</v>
      </c>
      <c r="R713" s="603">
        <f t="shared" si="100"/>
        <v>0</v>
      </c>
      <c r="S713" s="743">
        <f t="shared" si="101"/>
        <v>-498760.32366763207</v>
      </c>
      <c r="T713" s="742">
        <v>80.45</v>
      </c>
      <c r="U713" s="603">
        <f t="shared" si="102"/>
        <v>-179564.4</v>
      </c>
      <c r="V713" s="743">
        <f t="shared" si="103"/>
        <v>-319195.92366763204</v>
      </c>
      <c r="W713" s="744">
        <v>62.087104564109552</v>
      </c>
      <c r="X713" s="604">
        <f t="shared" si="104"/>
        <v>-138578.41738709252</v>
      </c>
      <c r="Y713" s="701">
        <f t="shared" si="105"/>
        <v>-360181.90628053958</v>
      </c>
      <c r="Z713" s="744">
        <v>98.812895435890439</v>
      </c>
      <c r="AA713" s="604">
        <f t="shared" si="106"/>
        <v>-220550.38261290747</v>
      </c>
      <c r="AB713" s="745">
        <f t="shared" si="107"/>
        <v>-278209.94105472462</v>
      </c>
      <c r="AC713" s="714"/>
    </row>
    <row r="714" spans="1:29" ht="15" customHeight="1" x14ac:dyDescent="0.25">
      <c r="A714" s="713"/>
      <c r="B714" s="730" t="s">
        <v>836</v>
      </c>
      <c r="C714" s="546" t="s">
        <v>40</v>
      </c>
      <c r="D714" s="546" t="s">
        <v>346</v>
      </c>
      <c r="E714" s="682">
        <v>44927</v>
      </c>
      <c r="F714" s="546">
        <v>744</v>
      </c>
      <c r="G714" s="546" t="s">
        <v>59</v>
      </c>
      <c r="H714" s="546" t="s">
        <v>3</v>
      </c>
      <c r="I714" s="546" t="s">
        <v>44</v>
      </c>
      <c r="J714" s="546" t="s">
        <v>85</v>
      </c>
      <c r="K714" s="546">
        <v>210</v>
      </c>
      <c r="L714" s="726" t="s">
        <v>54</v>
      </c>
      <c r="M714" s="696">
        <v>0</v>
      </c>
      <c r="N714" s="726">
        <v>1.8</v>
      </c>
      <c r="O714" s="696">
        <v>0</v>
      </c>
      <c r="P714" s="726">
        <v>223.45892637438712</v>
      </c>
      <c r="Q714" s="746">
        <f t="shared" si="99"/>
        <v>0</v>
      </c>
      <c r="R714" s="606">
        <f t="shared" si="100"/>
        <v>299256.19420057925</v>
      </c>
      <c r="S714" s="747">
        <f t="shared" si="101"/>
        <v>299256.19420057925</v>
      </c>
      <c r="T714" s="746">
        <v>68.72</v>
      </c>
      <c r="U714" s="606">
        <f t="shared" si="102"/>
        <v>92029.824000000008</v>
      </c>
      <c r="V714" s="747">
        <f t="shared" si="103"/>
        <v>207226.37020057923</v>
      </c>
      <c r="W714" s="748">
        <v>55.7</v>
      </c>
      <c r="X714" s="607">
        <f t="shared" si="104"/>
        <v>74593.440000000002</v>
      </c>
      <c r="Y714" s="702">
        <f t="shared" si="105"/>
        <v>224662.75420057925</v>
      </c>
      <c r="Z714" s="748">
        <v>96.206580759134184</v>
      </c>
      <c r="AA714" s="607">
        <f t="shared" si="106"/>
        <v>128839.8529526325</v>
      </c>
      <c r="AB714" s="749">
        <f t="shared" si="107"/>
        <v>170416.34124794675</v>
      </c>
      <c r="AC714" s="714"/>
    </row>
    <row r="715" spans="1:29" ht="15" customHeight="1" x14ac:dyDescent="0.25">
      <c r="A715" s="713"/>
      <c r="B715" s="714" t="s">
        <v>836</v>
      </c>
      <c r="C715" s="676" t="s">
        <v>40</v>
      </c>
      <c r="D715" s="676" t="s">
        <v>346</v>
      </c>
      <c r="E715" s="680">
        <v>44958</v>
      </c>
      <c r="F715" s="676">
        <v>672</v>
      </c>
      <c r="G715" s="676" t="s">
        <v>59</v>
      </c>
      <c r="H715" s="676" t="s">
        <v>3</v>
      </c>
      <c r="I715" s="676" t="s">
        <v>44</v>
      </c>
      <c r="J715" s="676" t="s">
        <v>85</v>
      </c>
      <c r="K715" s="676">
        <v>210</v>
      </c>
      <c r="L715" s="690" t="s">
        <v>54</v>
      </c>
      <c r="M715" s="691">
        <v>0</v>
      </c>
      <c r="N715" s="690">
        <v>1.8</v>
      </c>
      <c r="O715" s="691">
        <v>0</v>
      </c>
      <c r="P715" s="690">
        <v>223.45892637438712</v>
      </c>
      <c r="Q715" s="738">
        <f t="shared" si="99"/>
        <v>0</v>
      </c>
      <c r="R715" s="677">
        <f t="shared" si="100"/>
        <v>270295.91734245868</v>
      </c>
      <c r="S715" s="739">
        <f t="shared" si="101"/>
        <v>270295.91734245868</v>
      </c>
      <c r="T715" s="738">
        <v>69.25</v>
      </c>
      <c r="U715" s="677">
        <f t="shared" si="102"/>
        <v>83764.800000000003</v>
      </c>
      <c r="V715" s="739">
        <f t="shared" si="103"/>
        <v>186531.11734245869</v>
      </c>
      <c r="W715" s="740">
        <v>55.7</v>
      </c>
      <c r="X715" s="678">
        <f t="shared" si="104"/>
        <v>67374.720000000016</v>
      </c>
      <c r="Y715" s="700">
        <f t="shared" si="105"/>
        <v>202921.19734245865</v>
      </c>
      <c r="Z715" s="740">
        <v>92.430648861364247</v>
      </c>
      <c r="AA715" s="678">
        <f t="shared" si="106"/>
        <v>111804.1128627062</v>
      </c>
      <c r="AB715" s="741">
        <f t="shared" si="107"/>
        <v>158491.80447975249</v>
      </c>
      <c r="AC715" s="714"/>
    </row>
    <row r="716" spans="1:29" ht="15" customHeight="1" x14ac:dyDescent="0.25">
      <c r="A716" s="713"/>
      <c r="B716" s="714" t="s">
        <v>836</v>
      </c>
      <c r="C716" s="676" t="s">
        <v>40</v>
      </c>
      <c r="D716" s="676" t="s">
        <v>346</v>
      </c>
      <c r="E716" s="680">
        <v>44986</v>
      </c>
      <c r="F716" s="676">
        <v>744</v>
      </c>
      <c r="G716" s="676" t="s">
        <v>59</v>
      </c>
      <c r="H716" s="676" t="s">
        <v>3</v>
      </c>
      <c r="I716" s="676" t="s">
        <v>44</v>
      </c>
      <c r="J716" s="676" t="s">
        <v>85</v>
      </c>
      <c r="K716" s="676">
        <v>210</v>
      </c>
      <c r="L716" s="690" t="s">
        <v>54</v>
      </c>
      <c r="M716" s="691">
        <v>0</v>
      </c>
      <c r="N716" s="690">
        <v>1.8</v>
      </c>
      <c r="O716" s="691">
        <v>0</v>
      </c>
      <c r="P716" s="690">
        <v>223.45892637438712</v>
      </c>
      <c r="Q716" s="738">
        <f t="shared" si="99"/>
        <v>0</v>
      </c>
      <c r="R716" s="677">
        <f t="shared" si="100"/>
        <v>299256.19420057925</v>
      </c>
      <c r="S716" s="739">
        <f t="shared" si="101"/>
        <v>299256.19420057925</v>
      </c>
      <c r="T716" s="738">
        <v>69.3</v>
      </c>
      <c r="U716" s="677">
        <f t="shared" si="102"/>
        <v>92806.56</v>
      </c>
      <c r="V716" s="739">
        <f t="shared" si="103"/>
        <v>206449.63420057925</v>
      </c>
      <c r="W716" s="740">
        <v>55.7</v>
      </c>
      <c r="X716" s="678">
        <f t="shared" si="104"/>
        <v>74593.440000000002</v>
      </c>
      <c r="Y716" s="700">
        <f t="shared" si="105"/>
        <v>224662.75420057925</v>
      </c>
      <c r="Z716" s="740">
        <v>89.053218420260009</v>
      </c>
      <c r="AA716" s="678">
        <f t="shared" si="106"/>
        <v>119260.07010841221</v>
      </c>
      <c r="AB716" s="741">
        <f t="shared" si="107"/>
        <v>179996.12409216704</v>
      </c>
      <c r="AC716" s="714"/>
    </row>
    <row r="717" spans="1:29" ht="15" customHeight="1" x14ac:dyDescent="0.25">
      <c r="A717" s="713"/>
      <c r="B717" s="714" t="s">
        <v>836</v>
      </c>
      <c r="C717" s="676" t="s">
        <v>40</v>
      </c>
      <c r="D717" s="676" t="s">
        <v>346</v>
      </c>
      <c r="E717" s="680">
        <v>45017</v>
      </c>
      <c r="F717" s="676">
        <v>720</v>
      </c>
      <c r="G717" s="676" t="s">
        <v>59</v>
      </c>
      <c r="H717" s="676" t="s">
        <v>3</v>
      </c>
      <c r="I717" s="676" t="s">
        <v>44</v>
      </c>
      <c r="J717" s="676" t="s">
        <v>85</v>
      </c>
      <c r="K717" s="676">
        <v>210</v>
      </c>
      <c r="L717" s="690" t="s">
        <v>54</v>
      </c>
      <c r="M717" s="691">
        <v>0</v>
      </c>
      <c r="N717" s="690">
        <v>1.8</v>
      </c>
      <c r="O717" s="691">
        <v>0</v>
      </c>
      <c r="P717" s="690">
        <v>223.45892637438712</v>
      </c>
      <c r="Q717" s="738">
        <f t="shared" si="99"/>
        <v>0</v>
      </c>
      <c r="R717" s="677">
        <f t="shared" si="100"/>
        <v>289602.76858120569</v>
      </c>
      <c r="S717" s="739">
        <f t="shared" si="101"/>
        <v>289602.76858120569</v>
      </c>
      <c r="T717" s="738">
        <v>69.8</v>
      </c>
      <c r="U717" s="677">
        <f t="shared" si="102"/>
        <v>90460.800000000003</v>
      </c>
      <c r="V717" s="739">
        <f t="shared" si="103"/>
        <v>199141.9685812057</v>
      </c>
      <c r="W717" s="740">
        <v>55.7</v>
      </c>
      <c r="X717" s="678">
        <f t="shared" si="104"/>
        <v>72187.199999999997</v>
      </c>
      <c r="Y717" s="700">
        <f t="shared" si="105"/>
        <v>217415.56858120568</v>
      </c>
      <c r="Z717" s="740">
        <v>85.732008718771311</v>
      </c>
      <c r="AA717" s="678">
        <f t="shared" si="106"/>
        <v>111108.68329952762</v>
      </c>
      <c r="AB717" s="741">
        <f t="shared" si="107"/>
        <v>178494.08528167807</v>
      </c>
      <c r="AC717" s="714"/>
    </row>
    <row r="718" spans="1:29" ht="15" customHeight="1" x14ac:dyDescent="0.25">
      <c r="A718" s="713"/>
      <c r="B718" s="714" t="s">
        <v>836</v>
      </c>
      <c r="C718" s="676" t="s">
        <v>40</v>
      </c>
      <c r="D718" s="676" t="s">
        <v>346</v>
      </c>
      <c r="E718" s="680">
        <v>45047</v>
      </c>
      <c r="F718" s="676">
        <v>744</v>
      </c>
      <c r="G718" s="676" t="s">
        <v>59</v>
      </c>
      <c r="H718" s="676" t="s">
        <v>3</v>
      </c>
      <c r="I718" s="676" t="s">
        <v>44</v>
      </c>
      <c r="J718" s="676" t="s">
        <v>85</v>
      </c>
      <c r="K718" s="676">
        <v>210</v>
      </c>
      <c r="L718" s="690" t="s">
        <v>54</v>
      </c>
      <c r="M718" s="691">
        <v>0</v>
      </c>
      <c r="N718" s="690">
        <v>1.8</v>
      </c>
      <c r="O718" s="691">
        <v>0</v>
      </c>
      <c r="P718" s="690">
        <v>223.45892637438712</v>
      </c>
      <c r="Q718" s="738">
        <f t="shared" si="99"/>
        <v>0</v>
      </c>
      <c r="R718" s="677">
        <f t="shared" si="100"/>
        <v>299256.19420057925</v>
      </c>
      <c r="S718" s="739">
        <f t="shared" si="101"/>
        <v>299256.19420057925</v>
      </c>
      <c r="T718" s="738">
        <v>70.2</v>
      </c>
      <c r="U718" s="677">
        <f t="shared" si="102"/>
        <v>94011.840000000011</v>
      </c>
      <c r="V718" s="739">
        <f t="shared" si="103"/>
        <v>205244.35420057923</v>
      </c>
      <c r="W718" s="740">
        <v>55.7</v>
      </c>
      <c r="X718" s="678">
        <f t="shared" si="104"/>
        <v>74593.440000000002</v>
      </c>
      <c r="Y718" s="700">
        <f t="shared" si="105"/>
        <v>224662.75420057925</v>
      </c>
      <c r="Z718" s="740">
        <v>86.223309628334476</v>
      </c>
      <c r="AA718" s="678">
        <f t="shared" si="106"/>
        <v>115470.25625426554</v>
      </c>
      <c r="AB718" s="741">
        <f t="shared" si="107"/>
        <v>183785.9379463137</v>
      </c>
      <c r="AC718" s="714"/>
    </row>
    <row r="719" spans="1:29" ht="15" customHeight="1" x14ac:dyDescent="0.25">
      <c r="A719" s="713"/>
      <c r="B719" s="714" t="s">
        <v>836</v>
      </c>
      <c r="C719" s="676" t="s">
        <v>40</v>
      </c>
      <c r="D719" s="676" t="s">
        <v>346</v>
      </c>
      <c r="E719" s="680">
        <v>45078</v>
      </c>
      <c r="F719" s="676">
        <v>720</v>
      </c>
      <c r="G719" s="676" t="s">
        <v>59</v>
      </c>
      <c r="H719" s="676" t="s">
        <v>3</v>
      </c>
      <c r="I719" s="676" t="s">
        <v>44</v>
      </c>
      <c r="J719" s="676" t="s">
        <v>85</v>
      </c>
      <c r="K719" s="676">
        <v>210</v>
      </c>
      <c r="L719" s="690" t="s">
        <v>54</v>
      </c>
      <c r="M719" s="691">
        <v>0</v>
      </c>
      <c r="N719" s="690">
        <v>1.8</v>
      </c>
      <c r="O719" s="691">
        <v>0</v>
      </c>
      <c r="P719" s="690">
        <v>223.45892637438712</v>
      </c>
      <c r="Q719" s="738">
        <f t="shared" si="99"/>
        <v>0</v>
      </c>
      <c r="R719" s="677">
        <f t="shared" si="100"/>
        <v>289602.76858120569</v>
      </c>
      <c r="S719" s="739">
        <f t="shared" si="101"/>
        <v>289602.76858120569</v>
      </c>
      <c r="T719" s="738">
        <v>72.400000000000006</v>
      </c>
      <c r="U719" s="677">
        <f t="shared" si="102"/>
        <v>93830.400000000009</v>
      </c>
      <c r="V719" s="739">
        <f t="shared" si="103"/>
        <v>195772.36858120566</v>
      </c>
      <c r="W719" s="740">
        <v>55.874535369068141</v>
      </c>
      <c r="X719" s="678">
        <f t="shared" si="104"/>
        <v>72413.397838312318</v>
      </c>
      <c r="Y719" s="700">
        <f t="shared" si="105"/>
        <v>217189.37074289337</v>
      </c>
      <c r="Z719" s="740">
        <v>88.925464630931856</v>
      </c>
      <c r="AA719" s="678">
        <f t="shared" si="106"/>
        <v>115247.40216168769</v>
      </c>
      <c r="AB719" s="741">
        <f t="shared" si="107"/>
        <v>174355.36641951802</v>
      </c>
      <c r="AC719" s="714"/>
    </row>
    <row r="720" spans="1:29" ht="15" customHeight="1" x14ac:dyDescent="0.25">
      <c r="A720" s="713"/>
      <c r="B720" s="714" t="s">
        <v>836</v>
      </c>
      <c r="C720" s="676" t="s">
        <v>40</v>
      </c>
      <c r="D720" s="676" t="s">
        <v>346</v>
      </c>
      <c r="E720" s="680">
        <v>45108</v>
      </c>
      <c r="F720" s="676">
        <v>744</v>
      </c>
      <c r="G720" s="676" t="s">
        <v>59</v>
      </c>
      <c r="H720" s="676" t="s">
        <v>3</v>
      </c>
      <c r="I720" s="676" t="s">
        <v>44</v>
      </c>
      <c r="J720" s="676" t="s">
        <v>85</v>
      </c>
      <c r="K720" s="676">
        <v>210</v>
      </c>
      <c r="L720" s="690" t="s">
        <v>54</v>
      </c>
      <c r="M720" s="691">
        <v>0</v>
      </c>
      <c r="N720" s="690">
        <v>1.8</v>
      </c>
      <c r="O720" s="691">
        <v>0</v>
      </c>
      <c r="P720" s="690">
        <v>223.45892637438712</v>
      </c>
      <c r="Q720" s="738">
        <f t="shared" si="99"/>
        <v>0</v>
      </c>
      <c r="R720" s="677">
        <f t="shared" si="100"/>
        <v>299256.19420057925</v>
      </c>
      <c r="S720" s="739">
        <f t="shared" si="101"/>
        <v>299256.19420057925</v>
      </c>
      <c r="T720" s="738">
        <v>77.150000000000006</v>
      </c>
      <c r="U720" s="677">
        <f t="shared" si="102"/>
        <v>103319.28000000001</v>
      </c>
      <c r="V720" s="739">
        <f t="shared" si="103"/>
        <v>195936.91420057922</v>
      </c>
      <c r="W720" s="740">
        <v>59.54033706800562</v>
      </c>
      <c r="X720" s="678">
        <f t="shared" si="104"/>
        <v>79736.419401473133</v>
      </c>
      <c r="Y720" s="700">
        <f t="shared" si="105"/>
        <v>219519.77479910612</v>
      </c>
      <c r="Z720" s="740">
        <v>94.759662931994384</v>
      </c>
      <c r="AA720" s="678">
        <f t="shared" si="106"/>
        <v>126902.14059852688</v>
      </c>
      <c r="AB720" s="741">
        <f t="shared" si="107"/>
        <v>172354.05360205239</v>
      </c>
      <c r="AC720" s="714"/>
    </row>
    <row r="721" spans="1:29" ht="15" customHeight="1" x14ac:dyDescent="0.25">
      <c r="A721" s="713"/>
      <c r="B721" s="714" t="s">
        <v>836</v>
      </c>
      <c r="C721" s="676" t="s">
        <v>40</v>
      </c>
      <c r="D721" s="676" t="s">
        <v>346</v>
      </c>
      <c r="E721" s="680">
        <v>45139</v>
      </c>
      <c r="F721" s="676">
        <v>744</v>
      </c>
      <c r="G721" s="676" t="s">
        <v>59</v>
      </c>
      <c r="H721" s="676" t="s">
        <v>3</v>
      </c>
      <c r="I721" s="676" t="s">
        <v>44</v>
      </c>
      <c r="J721" s="676" t="s">
        <v>85</v>
      </c>
      <c r="K721" s="676">
        <v>210</v>
      </c>
      <c r="L721" s="690" t="s">
        <v>54</v>
      </c>
      <c r="M721" s="691">
        <v>0</v>
      </c>
      <c r="N721" s="690">
        <v>1.8</v>
      </c>
      <c r="O721" s="691">
        <v>0</v>
      </c>
      <c r="P721" s="690">
        <v>223.45892637438712</v>
      </c>
      <c r="Q721" s="738">
        <f t="shared" si="99"/>
        <v>0</v>
      </c>
      <c r="R721" s="677">
        <f t="shared" si="100"/>
        <v>299256.19420057925</v>
      </c>
      <c r="S721" s="739">
        <f t="shared" si="101"/>
        <v>299256.19420057925</v>
      </c>
      <c r="T721" s="738">
        <v>77.150000000000006</v>
      </c>
      <c r="U721" s="677">
        <f t="shared" si="102"/>
        <v>103319.28000000001</v>
      </c>
      <c r="V721" s="739">
        <f t="shared" si="103"/>
        <v>195936.91420057922</v>
      </c>
      <c r="W721" s="740">
        <v>59.54033706800562</v>
      </c>
      <c r="X721" s="678">
        <f t="shared" si="104"/>
        <v>79736.419401473133</v>
      </c>
      <c r="Y721" s="700">
        <f t="shared" si="105"/>
        <v>219519.77479910612</v>
      </c>
      <c r="Z721" s="740">
        <v>94.759662931994384</v>
      </c>
      <c r="AA721" s="678">
        <f t="shared" si="106"/>
        <v>126902.14059852688</v>
      </c>
      <c r="AB721" s="741">
        <f t="shared" si="107"/>
        <v>172354.05360205239</v>
      </c>
      <c r="AC721" s="714"/>
    </row>
    <row r="722" spans="1:29" ht="15" customHeight="1" x14ac:dyDescent="0.25">
      <c r="A722" s="713"/>
      <c r="B722" s="714" t="s">
        <v>836</v>
      </c>
      <c r="C722" s="676" t="s">
        <v>40</v>
      </c>
      <c r="D722" s="676" t="s">
        <v>346</v>
      </c>
      <c r="E722" s="680">
        <v>45170</v>
      </c>
      <c r="F722" s="676">
        <v>720</v>
      </c>
      <c r="G722" s="676" t="s">
        <v>59</v>
      </c>
      <c r="H722" s="676" t="s">
        <v>3</v>
      </c>
      <c r="I722" s="676" t="s">
        <v>44</v>
      </c>
      <c r="J722" s="676" t="s">
        <v>85</v>
      </c>
      <c r="K722" s="676">
        <v>210</v>
      </c>
      <c r="L722" s="690" t="s">
        <v>54</v>
      </c>
      <c r="M722" s="691">
        <v>0</v>
      </c>
      <c r="N722" s="690">
        <v>1.8</v>
      </c>
      <c r="O722" s="691">
        <v>0</v>
      </c>
      <c r="P722" s="690">
        <v>223.45892637438712</v>
      </c>
      <c r="Q722" s="738">
        <f t="shared" si="99"/>
        <v>0</v>
      </c>
      <c r="R722" s="677">
        <f t="shared" si="100"/>
        <v>289602.76858120569</v>
      </c>
      <c r="S722" s="739">
        <f t="shared" si="101"/>
        <v>289602.76858120569</v>
      </c>
      <c r="T722" s="738">
        <v>77.150000000000006</v>
      </c>
      <c r="U722" s="677">
        <f t="shared" si="102"/>
        <v>99986.400000000009</v>
      </c>
      <c r="V722" s="739">
        <f t="shared" si="103"/>
        <v>189616.36858120566</v>
      </c>
      <c r="W722" s="740">
        <v>59.54033706800562</v>
      </c>
      <c r="X722" s="678">
        <f t="shared" si="104"/>
        <v>77164.276840135281</v>
      </c>
      <c r="Y722" s="700">
        <f t="shared" si="105"/>
        <v>212438.49174107041</v>
      </c>
      <c r="Z722" s="740">
        <v>94.759662931994384</v>
      </c>
      <c r="AA722" s="678">
        <f t="shared" si="106"/>
        <v>122808.52315986472</v>
      </c>
      <c r="AB722" s="741">
        <f t="shared" si="107"/>
        <v>166794.24542134098</v>
      </c>
      <c r="AC722" s="714"/>
    </row>
    <row r="723" spans="1:29" ht="15" customHeight="1" x14ac:dyDescent="0.25">
      <c r="A723" s="713"/>
      <c r="B723" s="714" t="s">
        <v>836</v>
      </c>
      <c r="C723" s="676" t="s">
        <v>40</v>
      </c>
      <c r="D723" s="676" t="s">
        <v>346</v>
      </c>
      <c r="E723" s="680">
        <v>45200</v>
      </c>
      <c r="F723" s="676">
        <v>744</v>
      </c>
      <c r="G723" s="676" t="s">
        <v>59</v>
      </c>
      <c r="H723" s="676" t="s">
        <v>3</v>
      </c>
      <c r="I723" s="676" t="s">
        <v>44</v>
      </c>
      <c r="J723" s="676" t="s">
        <v>85</v>
      </c>
      <c r="K723" s="676">
        <v>210</v>
      </c>
      <c r="L723" s="690" t="s">
        <v>54</v>
      </c>
      <c r="M723" s="691">
        <v>0</v>
      </c>
      <c r="N723" s="690">
        <v>1.8</v>
      </c>
      <c r="O723" s="691">
        <v>0</v>
      </c>
      <c r="P723" s="690">
        <v>223.45892637438712</v>
      </c>
      <c r="Q723" s="738">
        <f t="shared" si="99"/>
        <v>0</v>
      </c>
      <c r="R723" s="677">
        <f t="shared" si="100"/>
        <v>299256.19420057925</v>
      </c>
      <c r="S723" s="739">
        <f t="shared" si="101"/>
        <v>299256.19420057925</v>
      </c>
      <c r="T723" s="738">
        <v>80.45</v>
      </c>
      <c r="U723" s="677">
        <f t="shared" si="102"/>
        <v>107738.64000000001</v>
      </c>
      <c r="V723" s="739">
        <f t="shared" si="103"/>
        <v>191517.55420057924</v>
      </c>
      <c r="W723" s="740">
        <v>62.087104564109552</v>
      </c>
      <c r="X723" s="678">
        <f t="shared" si="104"/>
        <v>83147.050432255521</v>
      </c>
      <c r="Y723" s="700">
        <f t="shared" si="105"/>
        <v>216109.14376832373</v>
      </c>
      <c r="Z723" s="740">
        <v>98.812895435890439</v>
      </c>
      <c r="AA723" s="678">
        <f t="shared" si="106"/>
        <v>132330.22956774448</v>
      </c>
      <c r="AB723" s="741">
        <f t="shared" si="107"/>
        <v>166925.96463283477</v>
      </c>
      <c r="AC723" s="714"/>
    </row>
    <row r="724" spans="1:29" ht="15" customHeight="1" x14ac:dyDescent="0.25">
      <c r="A724" s="713"/>
      <c r="B724" s="714" t="s">
        <v>836</v>
      </c>
      <c r="C724" s="676" t="s">
        <v>40</v>
      </c>
      <c r="D724" s="676" t="s">
        <v>346</v>
      </c>
      <c r="E724" s="680">
        <v>45231</v>
      </c>
      <c r="F724" s="676">
        <v>720</v>
      </c>
      <c r="G724" s="676" t="s">
        <v>59</v>
      </c>
      <c r="H724" s="676" t="s">
        <v>3</v>
      </c>
      <c r="I724" s="676" t="s">
        <v>44</v>
      </c>
      <c r="J724" s="676" t="s">
        <v>85</v>
      </c>
      <c r="K724" s="676">
        <v>210</v>
      </c>
      <c r="L724" s="690" t="s">
        <v>54</v>
      </c>
      <c r="M724" s="691">
        <v>0</v>
      </c>
      <c r="N724" s="690">
        <v>1.8</v>
      </c>
      <c r="O724" s="691">
        <v>0</v>
      </c>
      <c r="P724" s="690">
        <v>223.45892637438712</v>
      </c>
      <c r="Q724" s="738">
        <f t="shared" si="99"/>
        <v>0</v>
      </c>
      <c r="R724" s="677">
        <f t="shared" si="100"/>
        <v>289602.76858120569</v>
      </c>
      <c r="S724" s="739">
        <f t="shared" si="101"/>
        <v>289602.76858120569</v>
      </c>
      <c r="T724" s="738">
        <v>80.45</v>
      </c>
      <c r="U724" s="677">
        <f t="shared" si="102"/>
        <v>104263.2</v>
      </c>
      <c r="V724" s="739">
        <f t="shared" si="103"/>
        <v>185339.56858120568</v>
      </c>
      <c r="W724" s="740">
        <v>62.087104564109552</v>
      </c>
      <c r="X724" s="678">
        <f t="shared" si="104"/>
        <v>80464.887515085982</v>
      </c>
      <c r="Y724" s="700">
        <f t="shared" si="105"/>
        <v>209137.88106611971</v>
      </c>
      <c r="Z724" s="740">
        <v>98.812895435890439</v>
      </c>
      <c r="AA724" s="678">
        <f t="shared" si="106"/>
        <v>128061.51248491401</v>
      </c>
      <c r="AB724" s="741">
        <f t="shared" si="107"/>
        <v>161541.25609629168</v>
      </c>
      <c r="AC724" s="714"/>
    </row>
    <row r="725" spans="1:29" ht="15" customHeight="1" x14ac:dyDescent="0.25">
      <c r="A725" s="713"/>
      <c r="B725" s="729" t="s">
        <v>836</v>
      </c>
      <c r="C725" s="545" t="s">
        <v>40</v>
      </c>
      <c r="D725" s="545" t="s">
        <v>346</v>
      </c>
      <c r="E725" s="681">
        <v>45261</v>
      </c>
      <c r="F725" s="545">
        <v>744</v>
      </c>
      <c r="G725" s="545" t="s">
        <v>59</v>
      </c>
      <c r="H725" s="545" t="s">
        <v>3</v>
      </c>
      <c r="I725" s="545" t="s">
        <v>44</v>
      </c>
      <c r="J725" s="545" t="s">
        <v>85</v>
      </c>
      <c r="K725" s="545">
        <v>210</v>
      </c>
      <c r="L725" s="725" t="s">
        <v>54</v>
      </c>
      <c r="M725" s="695">
        <v>0</v>
      </c>
      <c r="N725" s="725">
        <v>1.8</v>
      </c>
      <c r="O725" s="695">
        <v>0</v>
      </c>
      <c r="P725" s="725">
        <v>223.45892637438712</v>
      </c>
      <c r="Q725" s="742">
        <f t="shared" si="99"/>
        <v>0</v>
      </c>
      <c r="R725" s="603">
        <f t="shared" si="100"/>
        <v>299256.19420057925</v>
      </c>
      <c r="S725" s="743">
        <f t="shared" si="101"/>
        <v>299256.19420057925</v>
      </c>
      <c r="T725" s="742">
        <v>80.45</v>
      </c>
      <c r="U725" s="603">
        <f t="shared" si="102"/>
        <v>107738.64000000001</v>
      </c>
      <c r="V725" s="743">
        <f t="shared" si="103"/>
        <v>191517.55420057924</v>
      </c>
      <c r="W725" s="744">
        <v>62.087104564109552</v>
      </c>
      <c r="X725" s="604">
        <f t="shared" si="104"/>
        <v>83147.050432255521</v>
      </c>
      <c r="Y725" s="701">
        <f t="shared" si="105"/>
        <v>216109.14376832373</v>
      </c>
      <c r="Z725" s="744">
        <v>98.812895435890439</v>
      </c>
      <c r="AA725" s="604">
        <f t="shared" si="106"/>
        <v>132330.22956774448</v>
      </c>
      <c r="AB725" s="745">
        <f t="shared" si="107"/>
        <v>166925.96463283477</v>
      </c>
      <c r="AC725" s="714"/>
    </row>
    <row r="726" spans="1:29" x14ac:dyDescent="0.25">
      <c r="A726" s="713"/>
      <c r="B726" s="731" t="s">
        <v>851</v>
      </c>
      <c r="C726" s="547" t="s">
        <v>40</v>
      </c>
      <c r="D726" s="547" t="s">
        <v>475</v>
      </c>
      <c r="E726" s="683">
        <v>44621</v>
      </c>
      <c r="F726" s="547">
        <v>744</v>
      </c>
      <c r="G726" s="547" t="s">
        <v>59</v>
      </c>
      <c r="H726" s="547" t="s">
        <v>3</v>
      </c>
      <c r="I726" s="547" t="s">
        <v>44</v>
      </c>
      <c r="J726" s="547" t="s">
        <v>85</v>
      </c>
      <c r="K726" s="547">
        <v>130</v>
      </c>
      <c r="L726" s="727" t="s">
        <v>54</v>
      </c>
      <c r="M726" s="697">
        <v>0</v>
      </c>
      <c r="N726" s="727">
        <v>20</v>
      </c>
      <c r="O726" s="697">
        <v>0</v>
      </c>
      <c r="P726" s="727">
        <v>130</v>
      </c>
      <c r="Q726" s="750">
        <f t="shared" si="99"/>
        <v>0</v>
      </c>
      <c r="R726" s="608">
        <f t="shared" si="100"/>
        <v>1934400</v>
      </c>
      <c r="S726" s="751">
        <f t="shared" si="101"/>
        <v>1934400</v>
      </c>
      <c r="T726" s="750">
        <v>55.7</v>
      </c>
      <c r="U726" s="608">
        <f t="shared" si="102"/>
        <v>828816</v>
      </c>
      <c r="V726" s="751">
        <f t="shared" si="103"/>
        <v>1105584</v>
      </c>
      <c r="W726" s="752">
        <v>55.7</v>
      </c>
      <c r="X726" s="609">
        <f t="shared" si="104"/>
        <v>828816</v>
      </c>
      <c r="Y726" s="703">
        <f t="shared" si="105"/>
        <v>1105584</v>
      </c>
      <c r="Z726" s="752">
        <v>55.7</v>
      </c>
      <c r="AA726" s="609">
        <f t="shared" si="106"/>
        <v>828816</v>
      </c>
      <c r="AB726" s="753">
        <f t="shared" si="107"/>
        <v>1105584</v>
      </c>
      <c r="AC726" s="714"/>
    </row>
    <row r="727" spans="1:29" x14ac:dyDescent="0.25">
      <c r="A727" s="713"/>
      <c r="B727" s="731" t="s">
        <v>853</v>
      </c>
      <c r="C727" s="547" t="s">
        <v>40</v>
      </c>
      <c r="D727" s="547" t="s">
        <v>502</v>
      </c>
      <c r="E727" s="683">
        <v>44743</v>
      </c>
      <c r="F727" s="547">
        <v>744</v>
      </c>
      <c r="G727" s="547" t="s">
        <v>58</v>
      </c>
      <c r="H727" s="547" t="s">
        <v>3</v>
      </c>
      <c r="I727" s="547" t="s">
        <v>44</v>
      </c>
      <c r="J727" s="547" t="s">
        <v>84</v>
      </c>
      <c r="K727" s="547">
        <v>210</v>
      </c>
      <c r="L727" s="727" t="s">
        <v>54</v>
      </c>
      <c r="M727" s="697">
        <v>20</v>
      </c>
      <c r="N727" s="727">
        <v>0</v>
      </c>
      <c r="O727" s="697">
        <v>210</v>
      </c>
      <c r="P727" s="727">
        <v>0</v>
      </c>
      <c r="Q727" s="750">
        <f t="shared" si="99"/>
        <v>3124800</v>
      </c>
      <c r="R727" s="608">
        <f t="shared" si="100"/>
        <v>0</v>
      </c>
      <c r="S727" s="751">
        <f t="shared" si="101"/>
        <v>-3124800</v>
      </c>
      <c r="T727" s="750">
        <v>66.319999999999993</v>
      </c>
      <c r="U727" s="608">
        <f t="shared" si="102"/>
        <v>-986841.59999999986</v>
      </c>
      <c r="V727" s="751">
        <f t="shared" si="103"/>
        <v>-2137958.4000000004</v>
      </c>
      <c r="W727" s="752">
        <v>66.319999999999993</v>
      </c>
      <c r="X727" s="609">
        <f t="shared" si="104"/>
        <v>-986841.59999999986</v>
      </c>
      <c r="Y727" s="703">
        <f t="shared" si="105"/>
        <v>-2137958.4000000004</v>
      </c>
      <c r="Z727" s="752">
        <v>66.319999999999993</v>
      </c>
      <c r="AA727" s="609">
        <f t="shared" si="106"/>
        <v>-986841.59999999986</v>
      </c>
      <c r="AB727" s="753">
        <f t="shared" si="107"/>
        <v>-2137958.4000000004</v>
      </c>
      <c r="AC727" s="714"/>
    </row>
    <row r="728" spans="1:29" x14ac:dyDescent="0.25">
      <c r="A728" s="713"/>
      <c r="B728" s="731" t="s">
        <v>855</v>
      </c>
      <c r="C728" s="547" t="s">
        <v>40</v>
      </c>
      <c r="D728" s="547" t="s">
        <v>510</v>
      </c>
      <c r="E728" s="683">
        <v>44593</v>
      </c>
      <c r="F728" s="547">
        <v>672</v>
      </c>
      <c r="G728" s="547" t="s">
        <v>58</v>
      </c>
      <c r="H728" s="547" t="s">
        <v>3</v>
      </c>
      <c r="I728" s="547" t="s">
        <v>44</v>
      </c>
      <c r="J728" s="547" t="s">
        <v>84</v>
      </c>
      <c r="K728" s="547">
        <v>107</v>
      </c>
      <c r="L728" s="727" t="s">
        <v>54</v>
      </c>
      <c r="M728" s="697">
        <v>0.6</v>
      </c>
      <c r="N728" s="727">
        <v>0</v>
      </c>
      <c r="O728" s="697">
        <v>107</v>
      </c>
      <c r="P728" s="727">
        <v>0</v>
      </c>
      <c r="Q728" s="750">
        <f t="shared" si="99"/>
        <v>43142.400000000001</v>
      </c>
      <c r="R728" s="608">
        <f t="shared" si="100"/>
        <v>0</v>
      </c>
      <c r="S728" s="751">
        <f t="shared" si="101"/>
        <v>-43142.400000000001</v>
      </c>
      <c r="T728" s="750">
        <v>55.7</v>
      </c>
      <c r="U728" s="608">
        <f t="shared" si="102"/>
        <v>-22458.240000000002</v>
      </c>
      <c r="V728" s="751">
        <f t="shared" si="103"/>
        <v>-20684.16</v>
      </c>
      <c r="W728" s="752">
        <v>55.7</v>
      </c>
      <c r="X728" s="609">
        <f t="shared" si="104"/>
        <v>-22458.240000000002</v>
      </c>
      <c r="Y728" s="703">
        <f t="shared" si="105"/>
        <v>-20684.16</v>
      </c>
      <c r="Z728" s="752">
        <v>55.7</v>
      </c>
      <c r="AA728" s="609">
        <f t="shared" si="106"/>
        <v>-22458.240000000002</v>
      </c>
      <c r="AB728" s="753">
        <f t="shared" si="107"/>
        <v>-20684.16</v>
      </c>
      <c r="AC728" s="714"/>
    </row>
    <row r="729" spans="1:29" x14ac:dyDescent="0.25">
      <c r="A729" s="713"/>
      <c r="B729" s="731" t="s">
        <v>857</v>
      </c>
      <c r="C729" s="547" t="s">
        <v>40</v>
      </c>
      <c r="D729" s="547" t="s">
        <v>620</v>
      </c>
      <c r="E729" s="683">
        <v>44593</v>
      </c>
      <c r="F729" s="547">
        <v>672</v>
      </c>
      <c r="G729" s="547" t="s">
        <v>58</v>
      </c>
      <c r="H729" s="547" t="s">
        <v>3</v>
      </c>
      <c r="I729" s="547" t="s">
        <v>44</v>
      </c>
      <c r="J729" s="547" t="s">
        <v>84</v>
      </c>
      <c r="K729" s="547">
        <v>106</v>
      </c>
      <c r="L729" s="727" t="s">
        <v>54</v>
      </c>
      <c r="M729" s="697">
        <v>1</v>
      </c>
      <c r="N729" s="727">
        <v>0</v>
      </c>
      <c r="O729" s="697">
        <v>106</v>
      </c>
      <c r="P729" s="727">
        <v>0</v>
      </c>
      <c r="Q729" s="750">
        <f t="shared" si="99"/>
        <v>71232</v>
      </c>
      <c r="R729" s="608">
        <f t="shared" si="100"/>
        <v>0</v>
      </c>
      <c r="S729" s="751">
        <f t="shared" si="101"/>
        <v>-71232</v>
      </c>
      <c r="T729" s="750">
        <v>55.7</v>
      </c>
      <c r="U729" s="608">
        <f t="shared" si="102"/>
        <v>-37430.400000000001</v>
      </c>
      <c r="V729" s="751">
        <f t="shared" si="103"/>
        <v>-33801.599999999999</v>
      </c>
      <c r="W729" s="752">
        <v>55.7</v>
      </c>
      <c r="X729" s="609">
        <f t="shared" si="104"/>
        <v>-37430.400000000001</v>
      </c>
      <c r="Y729" s="703">
        <f t="shared" si="105"/>
        <v>-33801.599999999999</v>
      </c>
      <c r="Z729" s="752">
        <v>55.7</v>
      </c>
      <c r="AA729" s="609">
        <f t="shared" si="106"/>
        <v>-37430.400000000001</v>
      </c>
      <c r="AB729" s="753">
        <f t="shared" si="107"/>
        <v>-33801.599999999999</v>
      </c>
      <c r="AC729" s="714"/>
    </row>
    <row r="730" spans="1:29" x14ac:dyDescent="0.25">
      <c r="A730" s="713"/>
      <c r="B730" s="731" t="s">
        <v>859</v>
      </c>
      <c r="C730" s="547" t="s">
        <v>40</v>
      </c>
      <c r="D730" s="547" t="s">
        <v>467</v>
      </c>
      <c r="E730" s="683">
        <v>44562</v>
      </c>
      <c r="F730" s="547">
        <v>744</v>
      </c>
      <c r="G730" s="547" t="s">
        <v>58</v>
      </c>
      <c r="H730" s="547" t="s">
        <v>3</v>
      </c>
      <c r="I730" s="547" t="s">
        <v>44</v>
      </c>
      <c r="J730" s="547" t="s">
        <v>84</v>
      </c>
      <c r="K730" s="547">
        <v>71</v>
      </c>
      <c r="L730" s="727" t="s">
        <v>54</v>
      </c>
      <c r="M730" s="697">
        <v>1.6</v>
      </c>
      <c r="N730" s="727">
        <v>0</v>
      </c>
      <c r="O730" s="697">
        <v>71</v>
      </c>
      <c r="P730" s="727">
        <v>0</v>
      </c>
      <c r="Q730" s="750">
        <f t="shared" si="99"/>
        <v>84518.400000000009</v>
      </c>
      <c r="R730" s="608">
        <f t="shared" si="100"/>
        <v>0</v>
      </c>
      <c r="S730" s="751">
        <f t="shared" si="101"/>
        <v>-84518.400000000009</v>
      </c>
      <c r="T730" s="750">
        <v>62.91</v>
      </c>
      <c r="U730" s="608">
        <f t="shared" si="102"/>
        <v>-74888.063999999998</v>
      </c>
      <c r="V730" s="751">
        <f t="shared" si="103"/>
        <v>-9630.3360000000102</v>
      </c>
      <c r="W730" s="752">
        <v>62.91</v>
      </c>
      <c r="X730" s="609">
        <f t="shared" si="104"/>
        <v>-74888.063999999998</v>
      </c>
      <c r="Y730" s="703">
        <f t="shared" si="105"/>
        <v>-9630.3360000000102</v>
      </c>
      <c r="Z730" s="752">
        <v>62.91</v>
      </c>
      <c r="AA730" s="609">
        <f t="shared" si="106"/>
        <v>-74888.063999999998</v>
      </c>
      <c r="AB730" s="753">
        <f t="shared" si="107"/>
        <v>-9630.3360000000102</v>
      </c>
      <c r="AC730" s="714"/>
    </row>
    <row r="731" spans="1:29" x14ac:dyDescent="0.25">
      <c r="A731" s="713"/>
      <c r="B731" s="730" t="s">
        <v>861</v>
      </c>
      <c r="C731" s="546" t="s">
        <v>40</v>
      </c>
      <c r="D731" s="546" t="s">
        <v>350</v>
      </c>
      <c r="E731" s="682">
        <v>44652</v>
      </c>
      <c r="F731" s="546">
        <v>720</v>
      </c>
      <c r="G731" s="546" t="s">
        <v>58</v>
      </c>
      <c r="H731" s="546" t="s">
        <v>3</v>
      </c>
      <c r="I731" s="546" t="s">
        <v>44</v>
      </c>
      <c r="J731" s="546" t="s">
        <v>84</v>
      </c>
      <c r="K731" s="546">
        <v>139</v>
      </c>
      <c r="L731" s="726" t="s">
        <v>54</v>
      </c>
      <c r="M731" s="696">
        <v>1.6</v>
      </c>
      <c r="N731" s="726">
        <v>0</v>
      </c>
      <c r="O731" s="696">
        <v>139</v>
      </c>
      <c r="P731" s="726">
        <v>0</v>
      </c>
      <c r="Q731" s="746">
        <f t="shared" si="99"/>
        <v>160128</v>
      </c>
      <c r="R731" s="606">
        <f t="shared" si="100"/>
        <v>0</v>
      </c>
      <c r="S731" s="747">
        <f t="shared" si="101"/>
        <v>-160128</v>
      </c>
      <c r="T731" s="746">
        <v>55.7</v>
      </c>
      <c r="U731" s="606">
        <f t="shared" si="102"/>
        <v>-64166.400000000001</v>
      </c>
      <c r="V731" s="747">
        <f t="shared" si="103"/>
        <v>-95961.600000000006</v>
      </c>
      <c r="W731" s="748">
        <v>55.7</v>
      </c>
      <c r="X731" s="607">
        <f t="shared" si="104"/>
        <v>-64166.400000000001</v>
      </c>
      <c r="Y731" s="702">
        <f t="shared" si="105"/>
        <v>-95961.600000000006</v>
      </c>
      <c r="Z731" s="748">
        <v>55.7</v>
      </c>
      <c r="AA731" s="607">
        <f t="shared" si="106"/>
        <v>-64166.400000000001</v>
      </c>
      <c r="AB731" s="749">
        <f t="shared" si="107"/>
        <v>-95961.600000000006</v>
      </c>
      <c r="AC731" s="714"/>
    </row>
    <row r="732" spans="1:29" x14ac:dyDescent="0.25">
      <c r="A732" s="713"/>
      <c r="B732" s="714" t="s">
        <v>861</v>
      </c>
      <c r="C732" s="676" t="s">
        <v>40</v>
      </c>
      <c r="D732" s="676" t="s">
        <v>350</v>
      </c>
      <c r="E732" s="680">
        <v>44682</v>
      </c>
      <c r="F732" s="676">
        <v>744</v>
      </c>
      <c r="G732" s="676" t="s">
        <v>58</v>
      </c>
      <c r="H732" s="676" t="s">
        <v>3</v>
      </c>
      <c r="I732" s="676" t="s">
        <v>44</v>
      </c>
      <c r="J732" s="676" t="s">
        <v>84</v>
      </c>
      <c r="K732" s="676">
        <v>139</v>
      </c>
      <c r="L732" s="690" t="s">
        <v>54</v>
      </c>
      <c r="M732" s="691">
        <v>1.6</v>
      </c>
      <c r="N732" s="690">
        <v>0</v>
      </c>
      <c r="O732" s="691">
        <v>139</v>
      </c>
      <c r="P732" s="690">
        <v>0</v>
      </c>
      <c r="Q732" s="738">
        <f t="shared" si="99"/>
        <v>165465.60000000001</v>
      </c>
      <c r="R732" s="677">
        <f t="shared" si="100"/>
        <v>0</v>
      </c>
      <c r="S732" s="739">
        <f t="shared" si="101"/>
        <v>-165465.60000000001</v>
      </c>
      <c r="T732" s="738">
        <v>55.7</v>
      </c>
      <c r="U732" s="677">
        <f t="shared" si="102"/>
        <v>-66305.280000000013</v>
      </c>
      <c r="V732" s="739">
        <f t="shared" si="103"/>
        <v>-99160.319999999992</v>
      </c>
      <c r="W732" s="740">
        <v>55.7</v>
      </c>
      <c r="X732" s="678">
        <f t="shared" si="104"/>
        <v>-66305.280000000013</v>
      </c>
      <c r="Y732" s="700">
        <f t="shared" si="105"/>
        <v>-99160.319999999992</v>
      </c>
      <c r="Z732" s="740">
        <v>55.7</v>
      </c>
      <c r="AA732" s="678">
        <f t="shared" si="106"/>
        <v>-66305.280000000013</v>
      </c>
      <c r="AB732" s="741">
        <f t="shared" si="107"/>
        <v>-99160.319999999992</v>
      </c>
      <c r="AC732" s="714"/>
    </row>
    <row r="733" spans="1:29" x14ac:dyDescent="0.25">
      <c r="A733" s="713"/>
      <c r="B733" s="729" t="s">
        <v>861</v>
      </c>
      <c r="C733" s="545" t="s">
        <v>40</v>
      </c>
      <c r="D733" s="545" t="s">
        <v>350</v>
      </c>
      <c r="E733" s="681">
        <v>44713</v>
      </c>
      <c r="F733" s="545">
        <v>720</v>
      </c>
      <c r="G733" s="545" t="s">
        <v>58</v>
      </c>
      <c r="H733" s="545" t="s">
        <v>3</v>
      </c>
      <c r="I733" s="545" t="s">
        <v>44</v>
      </c>
      <c r="J733" s="545" t="s">
        <v>84</v>
      </c>
      <c r="K733" s="545">
        <v>139</v>
      </c>
      <c r="L733" s="725" t="s">
        <v>54</v>
      </c>
      <c r="M733" s="695">
        <v>1.6</v>
      </c>
      <c r="N733" s="725">
        <v>0</v>
      </c>
      <c r="O733" s="695">
        <v>139</v>
      </c>
      <c r="P733" s="725">
        <v>0</v>
      </c>
      <c r="Q733" s="742">
        <f t="shared" si="99"/>
        <v>160128</v>
      </c>
      <c r="R733" s="603">
        <f t="shared" si="100"/>
        <v>0</v>
      </c>
      <c r="S733" s="743">
        <f t="shared" si="101"/>
        <v>-160128</v>
      </c>
      <c r="T733" s="742">
        <v>55.71</v>
      </c>
      <c r="U733" s="603">
        <f t="shared" si="102"/>
        <v>-64177.919999999998</v>
      </c>
      <c r="V733" s="743">
        <f t="shared" si="103"/>
        <v>-95950.080000000002</v>
      </c>
      <c r="W733" s="744">
        <v>55.71</v>
      </c>
      <c r="X733" s="604">
        <f t="shared" si="104"/>
        <v>-64177.919999999998</v>
      </c>
      <c r="Y733" s="701">
        <f t="shared" si="105"/>
        <v>-95950.080000000002</v>
      </c>
      <c r="Z733" s="744">
        <v>55.71</v>
      </c>
      <c r="AA733" s="604">
        <f t="shared" si="106"/>
        <v>-64177.919999999998</v>
      </c>
      <c r="AB733" s="745">
        <f t="shared" si="107"/>
        <v>-95950.080000000002</v>
      </c>
      <c r="AC733" s="714"/>
    </row>
    <row r="734" spans="1:29" x14ac:dyDescent="0.25">
      <c r="A734" s="713"/>
      <c r="B734" s="730" t="s">
        <v>863</v>
      </c>
      <c r="C734" s="546" t="s">
        <v>40</v>
      </c>
      <c r="D734" s="546" t="s">
        <v>409</v>
      </c>
      <c r="E734" s="682">
        <v>44743</v>
      </c>
      <c r="F734" s="546">
        <v>744</v>
      </c>
      <c r="G734" s="546" t="s">
        <v>58</v>
      </c>
      <c r="H734" s="546" t="s">
        <v>3</v>
      </c>
      <c r="I734" s="546" t="s">
        <v>44</v>
      </c>
      <c r="J734" s="546" t="s">
        <v>84</v>
      </c>
      <c r="K734" s="546">
        <v>212</v>
      </c>
      <c r="L734" s="726" t="s">
        <v>54</v>
      </c>
      <c r="M734" s="696">
        <v>1.6</v>
      </c>
      <c r="N734" s="726">
        <v>0</v>
      </c>
      <c r="O734" s="696">
        <v>212</v>
      </c>
      <c r="P734" s="726">
        <v>0</v>
      </c>
      <c r="Q734" s="746">
        <f t="shared" si="99"/>
        <v>252364.80000000002</v>
      </c>
      <c r="R734" s="606">
        <f t="shared" si="100"/>
        <v>0</v>
      </c>
      <c r="S734" s="747">
        <f t="shared" si="101"/>
        <v>-252364.80000000002</v>
      </c>
      <c r="T734" s="746">
        <v>66.319999999999993</v>
      </c>
      <c r="U734" s="606">
        <f t="shared" si="102"/>
        <v>-78947.327999999994</v>
      </c>
      <c r="V734" s="747">
        <f t="shared" si="103"/>
        <v>-173417.47200000001</v>
      </c>
      <c r="W734" s="748">
        <v>66.319999999999993</v>
      </c>
      <c r="X734" s="607">
        <f t="shared" si="104"/>
        <v>-78947.327999999994</v>
      </c>
      <c r="Y734" s="702">
        <f t="shared" si="105"/>
        <v>-173417.47200000001</v>
      </c>
      <c r="Z734" s="748">
        <v>66.319999999999993</v>
      </c>
      <c r="AA734" s="607">
        <f t="shared" si="106"/>
        <v>-78947.327999999994</v>
      </c>
      <c r="AB734" s="749">
        <f t="shared" si="107"/>
        <v>-173417.47200000001</v>
      </c>
      <c r="AC734" s="714"/>
    </row>
    <row r="735" spans="1:29" x14ac:dyDescent="0.25">
      <c r="A735" s="713"/>
      <c r="B735" s="714" t="s">
        <v>863</v>
      </c>
      <c r="C735" s="676" t="s">
        <v>40</v>
      </c>
      <c r="D735" s="676" t="s">
        <v>409</v>
      </c>
      <c r="E735" s="680">
        <v>44774</v>
      </c>
      <c r="F735" s="676">
        <v>744</v>
      </c>
      <c r="G735" s="676" t="s">
        <v>58</v>
      </c>
      <c r="H735" s="676" t="s">
        <v>3</v>
      </c>
      <c r="I735" s="676" t="s">
        <v>44</v>
      </c>
      <c r="J735" s="676" t="s">
        <v>84</v>
      </c>
      <c r="K735" s="676">
        <v>212</v>
      </c>
      <c r="L735" s="690" t="s">
        <v>54</v>
      </c>
      <c r="M735" s="691">
        <v>1.6</v>
      </c>
      <c r="N735" s="690">
        <v>0</v>
      </c>
      <c r="O735" s="691">
        <v>212</v>
      </c>
      <c r="P735" s="690">
        <v>0</v>
      </c>
      <c r="Q735" s="738">
        <f t="shared" si="99"/>
        <v>252364.80000000002</v>
      </c>
      <c r="R735" s="677">
        <f t="shared" si="100"/>
        <v>0</v>
      </c>
      <c r="S735" s="739">
        <f t="shared" si="101"/>
        <v>-252364.80000000002</v>
      </c>
      <c r="T735" s="738">
        <v>76.900000000000006</v>
      </c>
      <c r="U735" s="677">
        <f t="shared" si="102"/>
        <v>-91541.760000000009</v>
      </c>
      <c r="V735" s="739">
        <f t="shared" si="103"/>
        <v>-160823.04000000001</v>
      </c>
      <c r="W735" s="740">
        <v>76.900000000000006</v>
      </c>
      <c r="X735" s="678">
        <f t="shared" si="104"/>
        <v>-91541.760000000009</v>
      </c>
      <c r="Y735" s="700">
        <f t="shared" si="105"/>
        <v>-160823.04000000001</v>
      </c>
      <c r="Z735" s="740">
        <v>76.900000000000006</v>
      </c>
      <c r="AA735" s="678">
        <f t="shared" si="106"/>
        <v>-91541.760000000009</v>
      </c>
      <c r="AB735" s="741">
        <f t="shared" si="107"/>
        <v>-160823.04000000001</v>
      </c>
      <c r="AC735" s="714"/>
    </row>
    <row r="736" spans="1:29" x14ac:dyDescent="0.25">
      <c r="A736" s="713"/>
      <c r="B736" s="714" t="s">
        <v>863</v>
      </c>
      <c r="C736" s="676" t="s">
        <v>40</v>
      </c>
      <c r="D736" s="676" t="s">
        <v>409</v>
      </c>
      <c r="E736" s="680">
        <v>44805</v>
      </c>
      <c r="F736" s="676">
        <v>720</v>
      </c>
      <c r="G736" s="676" t="s">
        <v>58</v>
      </c>
      <c r="H736" s="676" t="s">
        <v>3</v>
      </c>
      <c r="I736" s="676" t="s">
        <v>44</v>
      </c>
      <c r="J736" s="676" t="s">
        <v>84</v>
      </c>
      <c r="K736" s="676">
        <v>212</v>
      </c>
      <c r="L736" s="690" t="s">
        <v>54</v>
      </c>
      <c r="M736" s="691">
        <v>1.6</v>
      </c>
      <c r="N736" s="690">
        <v>0</v>
      </c>
      <c r="O736" s="691">
        <v>212</v>
      </c>
      <c r="P736" s="690">
        <v>0</v>
      </c>
      <c r="Q736" s="738">
        <f t="shared" si="99"/>
        <v>244224</v>
      </c>
      <c r="R736" s="677">
        <f t="shared" si="100"/>
        <v>0</v>
      </c>
      <c r="S736" s="739">
        <f t="shared" si="101"/>
        <v>-244224</v>
      </c>
      <c r="T736" s="738">
        <v>56.08</v>
      </c>
      <c r="U736" s="677">
        <f t="shared" si="102"/>
        <v>-64604.159999999996</v>
      </c>
      <c r="V736" s="739">
        <f t="shared" si="103"/>
        <v>-179619.84</v>
      </c>
      <c r="W736" s="740">
        <v>56.08</v>
      </c>
      <c r="X736" s="678">
        <f t="shared" si="104"/>
        <v>-64604.159999999996</v>
      </c>
      <c r="Y736" s="700">
        <f t="shared" si="105"/>
        <v>-179619.84</v>
      </c>
      <c r="Z736" s="740">
        <v>56.08</v>
      </c>
      <c r="AA736" s="678">
        <f t="shared" si="106"/>
        <v>-64604.159999999996</v>
      </c>
      <c r="AB736" s="741">
        <f t="shared" si="107"/>
        <v>-179619.84</v>
      </c>
      <c r="AC736" s="714"/>
    </row>
    <row r="737" spans="1:29" x14ac:dyDescent="0.25">
      <c r="A737" s="713"/>
      <c r="B737" s="714" t="s">
        <v>863</v>
      </c>
      <c r="C737" s="676" t="s">
        <v>40</v>
      </c>
      <c r="D737" s="676" t="s">
        <v>409</v>
      </c>
      <c r="E737" s="680">
        <v>44835</v>
      </c>
      <c r="F737" s="676">
        <v>744</v>
      </c>
      <c r="G737" s="676" t="s">
        <v>58</v>
      </c>
      <c r="H737" s="676" t="s">
        <v>3</v>
      </c>
      <c r="I737" s="676" t="s">
        <v>44</v>
      </c>
      <c r="J737" s="676" t="s">
        <v>84</v>
      </c>
      <c r="K737" s="676">
        <v>212</v>
      </c>
      <c r="L737" s="690" t="s">
        <v>54</v>
      </c>
      <c r="M737" s="691">
        <v>1.6</v>
      </c>
      <c r="N737" s="690">
        <v>0</v>
      </c>
      <c r="O737" s="691">
        <v>212</v>
      </c>
      <c r="P737" s="690">
        <v>0</v>
      </c>
      <c r="Q737" s="738">
        <f t="shared" si="99"/>
        <v>252364.80000000002</v>
      </c>
      <c r="R737" s="677">
        <f t="shared" si="100"/>
        <v>0</v>
      </c>
      <c r="S737" s="739">
        <f t="shared" si="101"/>
        <v>-252364.80000000002</v>
      </c>
      <c r="T737" s="738">
        <v>55.7</v>
      </c>
      <c r="U737" s="677">
        <f t="shared" si="102"/>
        <v>-66305.280000000013</v>
      </c>
      <c r="V737" s="739">
        <f t="shared" si="103"/>
        <v>-186059.52000000002</v>
      </c>
      <c r="W737" s="740">
        <v>55.7</v>
      </c>
      <c r="X737" s="678">
        <f t="shared" si="104"/>
        <v>-66305.280000000013</v>
      </c>
      <c r="Y737" s="700">
        <f t="shared" si="105"/>
        <v>-186059.52000000002</v>
      </c>
      <c r="Z737" s="740">
        <v>55.7</v>
      </c>
      <c r="AA737" s="678">
        <f t="shared" si="106"/>
        <v>-66305.280000000013</v>
      </c>
      <c r="AB737" s="741">
        <f t="shared" si="107"/>
        <v>-186059.52000000002</v>
      </c>
      <c r="AC737" s="714"/>
    </row>
    <row r="738" spans="1:29" x14ac:dyDescent="0.25">
      <c r="A738" s="713"/>
      <c r="B738" s="714" t="s">
        <v>863</v>
      </c>
      <c r="C738" s="676" t="s">
        <v>40</v>
      </c>
      <c r="D738" s="676" t="s">
        <v>409</v>
      </c>
      <c r="E738" s="680">
        <v>44866</v>
      </c>
      <c r="F738" s="676">
        <v>720</v>
      </c>
      <c r="G738" s="676" t="s">
        <v>58</v>
      </c>
      <c r="H738" s="676" t="s">
        <v>3</v>
      </c>
      <c r="I738" s="676" t="s">
        <v>44</v>
      </c>
      <c r="J738" s="676" t="s">
        <v>84</v>
      </c>
      <c r="K738" s="676">
        <v>212</v>
      </c>
      <c r="L738" s="690" t="s">
        <v>54</v>
      </c>
      <c r="M738" s="691">
        <v>1.6</v>
      </c>
      <c r="N738" s="690">
        <v>0</v>
      </c>
      <c r="O738" s="691">
        <v>212</v>
      </c>
      <c r="P738" s="690">
        <v>0</v>
      </c>
      <c r="Q738" s="738">
        <f t="shared" si="99"/>
        <v>244224</v>
      </c>
      <c r="R738" s="677">
        <f t="shared" si="100"/>
        <v>0</v>
      </c>
      <c r="S738" s="739">
        <f t="shared" si="101"/>
        <v>-244224</v>
      </c>
      <c r="T738" s="738">
        <v>55.7</v>
      </c>
      <c r="U738" s="677">
        <f t="shared" si="102"/>
        <v>-64166.400000000001</v>
      </c>
      <c r="V738" s="739">
        <f t="shared" si="103"/>
        <v>-180057.60000000001</v>
      </c>
      <c r="W738" s="740">
        <v>55.7</v>
      </c>
      <c r="X738" s="678">
        <f t="shared" si="104"/>
        <v>-64166.400000000001</v>
      </c>
      <c r="Y738" s="700">
        <f t="shared" si="105"/>
        <v>-180057.60000000001</v>
      </c>
      <c r="Z738" s="740">
        <v>55.7</v>
      </c>
      <c r="AA738" s="678">
        <f t="shared" si="106"/>
        <v>-64166.400000000001</v>
      </c>
      <c r="AB738" s="741">
        <f t="shared" si="107"/>
        <v>-180057.60000000001</v>
      </c>
      <c r="AC738" s="714"/>
    </row>
    <row r="739" spans="1:29" x14ac:dyDescent="0.25">
      <c r="A739" s="713"/>
      <c r="B739" s="729" t="s">
        <v>863</v>
      </c>
      <c r="C739" s="545" t="s">
        <v>40</v>
      </c>
      <c r="D739" s="545" t="s">
        <v>409</v>
      </c>
      <c r="E739" s="681">
        <v>44896</v>
      </c>
      <c r="F739" s="545">
        <v>744</v>
      </c>
      <c r="G739" s="545" t="s">
        <v>58</v>
      </c>
      <c r="H739" s="545" t="s">
        <v>3</v>
      </c>
      <c r="I739" s="545" t="s">
        <v>44</v>
      </c>
      <c r="J739" s="545" t="s">
        <v>84</v>
      </c>
      <c r="K739" s="545">
        <v>212</v>
      </c>
      <c r="L739" s="725" t="s">
        <v>54</v>
      </c>
      <c r="M739" s="695">
        <v>1.6</v>
      </c>
      <c r="N739" s="725">
        <v>0</v>
      </c>
      <c r="O739" s="695">
        <v>212</v>
      </c>
      <c r="P739" s="725">
        <v>0</v>
      </c>
      <c r="Q739" s="742">
        <f t="shared" si="99"/>
        <v>252364.80000000002</v>
      </c>
      <c r="R739" s="603">
        <f t="shared" si="100"/>
        <v>0</v>
      </c>
      <c r="S739" s="743">
        <f t="shared" si="101"/>
        <v>-252364.80000000002</v>
      </c>
      <c r="T739" s="742">
        <v>55.7</v>
      </c>
      <c r="U739" s="603">
        <f t="shared" si="102"/>
        <v>-66305.280000000013</v>
      </c>
      <c r="V739" s="743">
        <f t="shared" si="103"/>
        <v>-186059.52000000002</v>
      </c>
      <c r="W739" s="744">
        <v>55.7</v>
      </c>
      <c r="X739" s="604">
        <f t="shared" si="104"/>
        <v>-66305.280000000013</v>
      </c>
      <c r="Y739" s="701">
        <f t="shared" si="105"/>
        <v>-186059.52000000002</v>
      </c>
      <c r="Z739" s="744">
        <v>78.400653594793155</v>
      </c>
      <c r="AA739" s="604">
        <f t="shared" si="106"/>
        <v>-93328.138039241778</v>
      </c>
      <c r="AB739" s="745">
        <f t="shared" si="107"/>
        <v>-159036.66196075824</v>
      </c>
      <c r="AC739" s="714"/>
    </row>
    <row r="740" spans="1:29" x14ac:dyDescent="0.25">
      <c r="A740" s="713"/>
      <c r="B740" s="731" t="s">
        <v>864</v>
      </c>
      <c r="C740" s="547" t="s">
        <v>40</v>
      </c>
      <c r="D740" s="547" t="s">
        <v>346</v>
      </c>
      <c r="E740" s="683">
        <v>44621</v>
      </c>
      <c r="F740" s="547">
        <v>744</v>
      </c>
      <c r="G740" s="547" t="s">
        <v>58</v>
      </c>
      <c r="H740" s="547" t="s">
        <v>3</v>
      </c>
      <c r="I740" s="547" t="s">
        <v>44</v>
      </c>
      <c r="J740" s="547" t="s">
        <v>84</v>
      </c>
      <c r="K740" s="547">
        <v>130</v>
      </c>
      <c r="L740" s="727" t="s">
        <v>54</v>
      </c>
      <c r="M740" s="697">
        <v>1.6</v>
      </c>
      <c r="N740" s="727">
        <v>0</v>
      </c>
      <c r="O740" s="697">
        <v>130</v>
      </c>
      <c r="P740" s="727">
        <v>0</v>
      </c>
      <c r="Q740" s="750">
        <f t="shared" si="99"/>
        <v>154752</v>
      </c>
      <c r="R740" s="608">
        <f t="shared" si="100"/>
        <v>0</v>
      </c>
      <c r="S740" s="751">
        <f t="shared" si="101"/>
        <v>-154752</v>
      </c>
      <c r="T740" s="750">
        <v>55.7</v>
      </c>
      <c r="U740" s="608">
        <f t="shared" si="102"/>
        <v>-66305.280000000013</v>
      </c>
      <c r="V740" s="751">
        <f t="shared" si="103"/>
        <v>-88446.719999999987</v>
      </c>
      <c r="W740" s="752">
        <v>55.7</v>
      </c>
      <c r="X740" s="609">
        <f t="shared" si="104"/>
        <v>-66305.280000000013</v>
      </c>
      <c r="Y740" s="703">
        <f t="shared" si="105"/>
        <v>-88446.719999999987</v>
      </c>
      <c r="Z740" s="752">
        <v>55.7</v>
      </c>
      <c r="AA740" s="609">
        <f t="shared" si="106"/>
        <v>-66305.280000000013</v>
      </c>
      <c r="AB740" s="753">
        <f t="shared" si="107"/>
        <v>-88446.719999999987</v>
      </c>
      <c r="AC740" s="714"/>
    </row>
    <row r="741" spans="1:29" x14ac:dyDescent="0.25">
      <c r="A741" s="713"/>
      <c r="B741" s="731" t="s">
        <v>865</v>
      </c>
      <c r="C741" s="547" t="s">
        <v>40</v>
      </c>
      <c r="D741" s="547" t="s">
        <v>346</v>
      </c>
      <c r="E741" s="683">
        <v>44621</v>
      </c>
      <c r="F741" s="547">
        <v>744</v>
      </c>
      <c r="G741" s="547" t="s">
        <v>59</v>
      </c>
      <c r="H741" s="547" t="s">
        <v>3</v>
      </c>
      <c r="I741" s="547" t="s">
        <v>44</v>
      </c>
      <c r="J741" s="547" t="s">
        <v>85</v>
      </c>
      <c r="K741" s="547">
        <v>130</v>
      </c>
      <c r="L741" s="727" t="s">
        <v>54</v>
      </c>
      <c r="M741" s="697">
        <v>0</v>
      </c>
      <c r="N741" s="727">
        <v>1.6</v>
      </c>
      <c r="O741" s="697">
        <v>0</v>
      </c>
      <c r="P741" s="727">
        <v>130</v>
      </c>
      <c r="Q741" s="750">
        <f t="shared" si="99"/>
        <v>0</v>
      </c>
      <c r="R741" s="608">
        <f t="shared" si="100"/>
        <v>154752</v>
      </c>
      <c r="S741" s="751">
        <f t="shared" si="101"/>
        <v>154752</v>
      </c>
      <c r="T741" s="750">
        <v>55.7</v>
      </c>
      <c r="U741" s="608">
        <f t="shared" si="102"/>
        <v>66305.280000000013</v>
      </c>
      <c r="V741" s="751">
        <f t="shared" si="103"/>
        <v>88446.719999999987</v>
      </c>
      <c r="W741" s="752">
        <v>55.7</v>
      </c>
      <c r="X741" s="609">
        <f t="shared" si="104"/>
        <v>66305.280000000013</v>
      </c>
      <c r="Y741" s="703">
        <f t="shared" si="105"/>
        <v>88446.719999999987</v>
      </c>
      <c r="Z741" s="752">
        <v>55.7</v>
      </c>
      <c r="AA741" s="609">
        <f t="shared" si="106"/>
        <v>66305.280000000013</v>
      </c>
      <c r="AB741" s="753">
        <f t="shared" si="107"/>
        <v>88446.719999999987</v>
      </c>
      <c r="AC741" s="714"/>
    </row>
    <row r="742" spans="1:29" x14ac:dyDescent="0.25">
      <c r="A742" s="713"/>
      <c r="B742" s="731" t="s">
        <v>878</v>
      </c>
      <c r="C742" s="547" t="s">
        <v>40</v>
      </c>
      <c r="D742" s="547" t="s">
        <v>585</v>
      </c>
      <c r="E742" s="683">
        <v>44682</v>
      </c>
      <c r="F742" s="547">
        <v>744</v>
      </c>
      <c r="G742" s="547" t="s">
        <v>59</v>
      </c>
      <c r="H742" s="547" t="s">
        <v>3</v>
      </c>
      <c r="I742" s="547" t="s">
        <v>44</v>
      </c>
      <c r="J742" s="547" t="s">
        <v>85</v>
      </c>
      <c r="K742" s="547">
        <v>132</v>
      </c>
      <c r="L742" s="727" t="s">
        <v>54</v>
      </c>
      <c r="M742" s="697">
        <v>0</v>
      </c>
      <c r="N742" s="727">
        <v>5</v>
      </c>
      <c r="O742" s="697">
        <v>0</v>
      </c>
      <c r="P742" s="727">
        <v>132</v>
      </c>
      <c r="Q742" s="750">
        <f t="shared" si="99"/>
        <v>0</v>
      </c>
      <c r="R742" s="608">
        <f t="shared" si="100"/>
        <v>491040</v>
      </c>
      <c r="S742" s="751">
        <f t="shared" si="101"/>
        <v>491040</v>
      </c>
      <c r="T742" s="750">
        <v>55.7</v>
      </c>
      <c r="U742" s="608">
        <f t="shared" si="102"/>
        <v>207204</v>
      </c>
      <c r="V742" s="751">
        <f t="shared" si="103"/>
        <v>283836</v>
      </c>
      <c r="W742" s="752">
        <v>55.7</v>
      </c>
      <c r="X742" s="609">
        <f t="shared" si="104"/>
        <v>207204</v>
      </c>
      <c r="Y742" s="703">
        <f t="shared" si="105"/>
        <v>283836</v>
      </c>
      <c r="Z742" s="752">
        <v>55.7</v>
      </c>
      <c r="AA742" s="609">
        <f t="shared" si="106"/>
        <v>207204</v>
      </c>
      <c r="AB742" s="753">
        <f t="shared" si="107"/>
        <v>283836</v>
      </c>
      <c r="AC742" s="714"/>
    </row>
    <row r="743" spans="1:29" x14ac:dyDescent="0.25">
      <c r="A743" s="713"/>
      <c r="B743" s="731" t="s">
        <v>880</v>
      </c>
      <c r="C743" s="547" t="s">
        <v>40</v>
      </c>
      <c r="D743" s="547" t="s">
        <v>585</v>
      </c>
      <c r="E743" s="683">
        <v>44621</v>
      </c>
      <c r="F743" s="547">
        <v>744</v>
      </c>
      <c r="G743" s="547" t="s">
        <v>59</v>
      </c>
      <c r="H743" s="547" t="s">
        <v>3</v>
      </c>
      <c r="I743" s="547" t="s">
        <v>44</v>
      </c>
      <c r="J743" s="547" t="s">
        <v>85</v>
      </c>
      <c r="K743" s="547">
        <v>125</v>
      </c>
      <c r="L743" s="727" t="s">
        <v>54</v>
      </c>
      <c r="M743" s="697">
        <v>0</v>
      </c>
      <c r="N743" s="727">
        <v>5</v>
      </c>
      <c r="O743" s="697">
        <v>0</v>
      </c>
      <c r="P743" s="727">
        <v>125</v>
      </c>
      <c r="Q743" s="750">
        <f t="shared" si="99"/>
        <v>0</v>
      </c>
      <c r="R743" s="608">
        <f t="shared" si="100"/>
        <v>465000</v>
      </c>
      <c r="S743" s="751">
        <f t="shared" si="101"/>
        <v>465000</v>
      </c>
      <c r="T743" s="750">
        <v>55.7</v>
      </c>
      <c r="U743" s="608">
        <f t="shared" si="102"/>
        <v>207204</v>
      </c>
      <c r="V743" s="751">
        <f t="shared" si="103"/>
        <v>257796</v>
      </c>
      <c r="W743" s="752">
        <v>55.7</v>
      </c>
      <c r="X743" s="609">
        <f t="shared" si="104"/>
        <v>207204</v>
      </c>
      <c r="Y743" s="703">
        <f t="shared" si="105"/>
        <v>257796</v>
      </c>
      <c r="Z743" s="752">
        <v>55.7</v>
      </c>
      <c r="AA743" s="609">
        <f t="shared" si="106"/>
        <v>207204</v>
      </c>
      <c r="AB743" s="753">
        <f t="shared" si="107"/>
        <v>257796</v>
      </c>
      <c r="AC743" s="714"/>
    </row>
    <row r="744" spans="1:29" x14ac:dyDescent="0.25">
      <c r="A744" s="713"/>
      <c r="B744" s="731" t="s">
        <v>882</v>
      </c>
      <c r="C744" s="547" t="s">
        <v>40</v>
      </c>
      <c r="D744" s="547" t="s">
        <v>349</v>
      </c>
      <c r="E744" s="683">
        <v>44621</v>
      </c>
      <c r="F744" s="547">
        <v>744</v>
      </c>
      <c r="G744" s="547" t="s">
        <v>59</v>
      </c>
      <c r="H744" s="547" t="s">
        <v>3</v>
      </c>
      <c r="I744" s="547" t="s">
        <v>44</v>
      </c>
      <c r="J744" s="547" t="s">
        <v>85</v>
      </c>
      <c r="K744" s="547">
        <v>124</v>
      </c>
      <c r="L744" s="727" t="s">
        <v>54</v>
      </c>
      <c r="M744" s="697">
        <v>0</v>
      </c>
      <c r="N744" s="727">
        <v>20</v>
      </c>
      <c r="O744" s="697">
        <v>0</v>
      </c>
      <c r="P744" s="727">
        <v>124</v>
      </c>
      <c r="Q744" s="750">
        <f t="shared" si="99"/>
        <v>0</v>
      </c>
      <c r="R744" s="608">
        <f t="shared" si="100"/>
        <v>1845120</v>
      </c>
      <c r="S744" s="751">
        <f t="shared" si="101"/>
        <v>1845120</v>
      </c>
      <c r="T744" s="750">
        <v>55.7</v>
      </c>
      <c r="U744" s="608">
        <f t="shared" si="102"/>
        <v>828816</v>
      </c>
      <c r="V744" s="751">
        <f t="shared" si="103"/>
        <v>1016304</v>
      </c>
      <c r="W744" s="752">
        <v>55.7</v>
      </c>
      <c r="X744" s="609">
        <f t="shared" si="104"/>
        <v>828816</v>
      </c>
      <c r="Y744" s="703">
        <f t="shared" si="105"/>
        <v>1016304</v>
      </c>
      <c r="Z744" s="752">
        <v>55.7</v>
      </c>
      <c r="AA744" s="609">
        <f t="shared" si="106"/>
        <v>828816</v>
      </c>
      <c r="AB744" s="753">
        <f t="shared" si="107"/>
        <v>1016304</v>
      </c>
      <c r="AC744" s="714"/>
    </row>
    <row r="745" spans="1:29" x14ac:dyDescent="0.25">
      <c r="A745" s="713"/>
      <c r="B745" s="731" t="s">
        <v>884</v>
      </c>
      <c r="C745" s="547" t="s">
        <v>40</v>
      </c>
      <c r="D745" s="547" t="s">
        <v>349</v>
      </c>
      <c r="E745" s="683">
        <v>44743</v>
      </c>
      <c r="F745" s="547">
        <v>744</v>
      </c>
      <c r="G745" s="547" t="s">
        <v>58</v>
      </c>
      <c r="H745" s="547" t="s">
        <v>3</v>
      </c>
      <c r="I745" s="547" t="s">
        <v>44</v>
      </c>
      <c r="J745" s="547" t="s">
        <v>84</v>
      </c>
      <c r="K745" s="547">
        <v>210</v>
      </c>
      <c r="L745" s="727" t="s">
        <v>54</v>
      </c>
      <c r="M745" s="697">
        <v>20</v>
      </c>
      <c r="N745" s="727">
        <v>0</v>
      </c>
      <c r="O745" s="697">
        <v>210</v>
      </c>
      <c r="P745" s="727">
        <v>0</v>
      </c>
      <c r="Q745" s="750">
        <f t="shared" si="99"/>
        <v>3124800</v>
      </c>
      <c r="R745" s="608">
        <f t="shared" si="100"/>
        <v>0</v>
      </c>
      <c r="S745" s="751">
        <f t="shared" si="101"/>
        <v>-3124800</v>
      </c>
      <c r="T745" s="750">
        <v>66.319999999999993</v>
      </c>
      <c r="U745" s="608">
        <f t="shared" si="102"/>
        <v>-986841.59999999986</v>
      </c>
      <c r="V745" s="751">
        <f t="shared" si="103"/>
        <v>-2137958.4000000004</v>
      </c>
      <c r="W745" s="752">
        <v>66.319999999999993</v>
      </c>
      <c r="X745" s="609">
        <f t="shared" si="104"/>
        <v>-986841.59999999986</v>
      </c>
      <c r="Y745" s="703">
        <f t="shared" si="105"/>
        <v>-2137958.4000000004</v>
      </c>
      <c r="Z745" s="752">
        <v>66.319999999999993</v>
      </c>
      <c r="AA745" s="609">
        <f t="shared" si="106"/>
        <v>-986841.59999999986</v>
      </c>
      <c r="AB745" s="753">
        <f t="shared" si="107"/>
        <v>-2137958.4000000004</v>
      </c>
      <c r="AC745" s="714"/>
    </row>
    <row r="746" spans="1:29" x14ac:dyDescent="0.25">
      <c r="A746" s="713"/>
      <c r="B746" s="730" t="s">
        <v>886</v>
      </c>
      <c r="C746" s="546" t="s">
        <v>40</v>
      </c>
      <c r="D746" s="546" t="s">
        <v>410</v>
      </c>
      <c r="E746" s="682">
        <v>44652</v>
      </c>
      <c r="F746" s="546">
        <v>720</v>
      </c>
      <c r="G746" s="546" t="s">
        <v>58</v>
      </c>
      <c r="H746" s="546" t="s">
        <v>3</v>
      </c>
      <c r="I746" s="546" t="s">
        <v>44</v>
      </c>
      <c r="J746" s="546" t="s">
        <v>84</v>
      </c>
      <c r="K746" s="546">
        <v>139</v>
      </c>
      <c r="L746" s="726" t="s">
        <v>54</v>
      </c>
      <c r="M746" s="696">
        <v>2</v>
      </c>
      <c r="N746" s="726">
        <v>0</v>
      </c>
      <c r="O746" s="696">
        <v>139</v>
      </c>
      <c r="P746" s="726">
        <v>0</v>
      </c>
      <c r="Q746" s="746">
        <f t="shared" si="99"/>
        <v>200160</v>
      </c>
      <c r="R746" s="606">
        <f t="shared" si="100"/>
        <v>0</v>
      </c>
      <c r="S746" s="747">
        <f t="shared" si="101"/>
        <v>-200160</v>
      </c>
      <c r="T746" s="746">
        <v>55.7</v>
      </c>
      <c r="U746" s="606">
        <f t="shared" si="102"/>
        <v>-80208</v>
      </c>
      <c r="V746" s="747">
        <f t="shared" si="103"/>
        <v>-119952</v>
      </c>
      <c r="W746" s="748">
        <v>55.7</v>
      </c>
      <c r="X746" s="607">
        <f t="shared" si="104"/>
        <v>-80208</v>
      </c>
      <c r="Y746" s="702">
        <f t="shared" si="105"/>
        <v>-119952</v>
      </c>
      <c r="Z746" s="748">
        <v>55.7</v>
      </c>
      <c r="AA746" s="607">
        <f t="shared" si="106"/>
        <v>-80208</v>
      </c>
      <c r="AB746" s="749">
        <f t="shared" si="107"/>
        <v>-119952</v>
      </c>
      <c r="AC746" s="714"/>
    </row>
    <row r="747" spans="1:29" x14ac:dyDescent="0.25">
      <c r="A747" s="713"/>
      <c r="B747" s="714" t="s">
        <v>886</v>
      </c>
      <c r="C747" s="676" t="s">
        <v>40</v>
      </c>
      <c r="D747" s="676" t="s">
        <v>410</v>
      </c>
      <c r="E747" s="680">
        <v>44682</v>
      </c>
      <c r="F747" s="676">
        <v>744</v>
      </c>
      <c r="G747" s="676" t="s">
        <v>58</v>
      </c>
      <c r="H747" s="676" t="s">
        <v>3</v>
      </c>
      <c r="I747" s="676" t="s">
        <v>44</v>
      </c>
      <c r="J747" s="676" t="s">
        <v>84</v>
      </c>
      <c r="K747" s="676">
        <v>139</v>
      </c>
      <c r="L747" s="690" t="s">
        <v>54</v>
      </c>
      <c r="M747" s="691">
        <v>2</v>
      </c>
      <c r="N747" s="690">
        <v>0</v>
      </c>
      <c r="O747" s="691">
        <v>139</v>
      </c>
      <c r="P747" s="690">
        <v>0</v>
      </c>
      <c r="Q747" s="738">
        <f t="shared" si="99"/>
        <v>206832</v>
      </c>
      <c r="R747" s="677">
        <f t="shared" si="100"/>
        <v>0</v>
      </c>
      <c r="S747" s="739">
        <f t="shared" si="101"/>
        <v>-206832</v>
      </c>
      <c r="T747" s="738">
        <v>55.7</v>
      </c>
      <c r="U747" s="677">
        <f t="shared" si="102"/>
        <v>-82881.600000000006</v>
      </c>
      <c r="V747" s="739">
        <f t="shared" si="103"/>
        <v>-123950.39999999999</v>
      </c>
      <c r="W747" s="740">
        <v>55.7</v>
      </c>
      <c r="X747" s="678">
        <f t="shared" si="104"/>
        <v>-82881.600000000006</v>
      </c>
      <c r="Y747" s="700">
        <f t="shared" si="105"/>
        <v>-123950.39999999999</v>
      </c>
      <c r="Z747" s="740">
        <v>55.7</v>
      </c>
      <c r="AA747" s="678">
        <f t="shared" si="106"/>
        <v>-82881.600000000006</v>
      </c>
      <c r="AB747" s="741">
        <f t="shared" si="107"/>
        <v>-123950.39999999999</v>
      </c>
      <c r="AC747" s="714"/>
    </row>
    <row r="748" spans="1:29" x14ac:dyDescent="0.25">
      <c r="A748" s="713"/>
      <c r="B748" s="729" t="s">
        <v>886</v>
      </c>
      <c r="C748" s="545" t="s">
        <v>40</v>
      </c>
      <c r="D748" s="545" t="s">
        <v>410</v>
      </c>
      <c r="E748" s="681">
        <v>44713</v>
      </c>
      <c r="F748" s="545">
        <v>720</v>
      </c>
      <c r="G748" s="545" t="s">
        <v>58</v>
      </c>
      <c r="H748" s="545" t="s">
        <v>3</v>
      </c>
      <c r="I748" s="545" t="s">
        <v>44</v>
      </c>
      <c r="J748" s="545" t="s">
        <v>84</v>
      </c>
      <c r="K748" s="545">
        <v>139</v>
      </c>
      <c r="L748" s="725" t="s">
        <v>54</v>
      </c>
      <c r="M748" s="695">
        <v>2</v>
      </c>
      <c r="N748" s="725">
        <v>0</v>
      </c>
      <c r="O748" s="695">
        <v>139</v>
      </c>
      <c r="P748" s="725">
        <v>0</v>
      </c>
      <c r="Q748" s="742">
        <f t="shared" si="99"/>
        <v>200160</v>
      </c>
      <c r="R748" s="603">
        <f t="shared" si="100"/>
        <v>0</v>
      </c>
      <c r="S748" s="743">
        <f t="shared" si="101"/>
        <v>-200160</v>
      </c>
      <c r="T748" s="742">
        <v>55.71</v>
      </c>
      <c r="U748" s="603">
        <f t="shared" si="102"/>
        <v>-80222.399999999994</v>
      </c>
      <c r="V748" s="743">
        <f t="shared" si="103"/>
        <v>-119937.60000000001</v>
      </c>
      <c r="W748" s="744">
        <v>55.71</v>
      </c>
      <c r="X748" s="604">
        <f t="shared" si="104"/>
        <v>-80222.399999999994</v>
      </c>
      <c r="Y748" s="701">
        <f t="shared" si="105"/>
        <v>-119937.60000000001</v>
      </c>
      <c r="Z748" s="744">
        <v>55.71</v>
      </c>
      <c r="AA748" s="604">
        <f t="shared" si="106"/>
        <v>-80222.399999999994</v>
      </c>
      <c r="AB748" s="745">
        <f t="shared" si="107"/>
        <v>-119937.60000000001</v>
      </c>
      <c r="AC748" s="714"/>
    </row>
    <row r="749" spans="1:29" x14ac:dyDescent="0.25">
      <c r="A749" s="713"/>
      <c r="B749" s="730" t="s">
        <v>888</v>
      </c>
      <c r="C749" s="546" t="s">
        <v>40</v>
      </c>
      <c r="D749" s="546" t="s">
        <v>875</v>
      </c>
      <c r="E749" s="682">
        <v>44652</v>
      </c>
      <c r="F749" s="546">
        <v>720</v>
      </c>
      <c r="G749" s="546" t="s">
        <v>58</v>
      </c>
      <c r="H749" s="546" t="s">
        <v>3</v>
      </c>
      <c r="I749" s="546" t="s">
        <v>44</v>
      </c>
      <c r="J749" s="546" t="s">
        <v>84</v>
      </c>
      <c r="K749" s="546">
        <v>140</v>
      </c>
      <c r="L749" s="726" t="s">
        <v>54</v>
      </c>
      <c r="M749" s="696">
        <v>1</v>
      </c>
      <c r="N749" s="726">
        <v>0</v>
      </c>
      <c r="O749" s="696">
        <v>140</v>
      </c>
      <c r="P749" s="726">
        <v>0</v>
      </c>
      <c r="Q749" s="746">
        <f t="shared" si="99"/>
        <v>100800</v>
      </c>
      <c r="R749" s="606">
        <f t="shared" si="100"/>
        <v>0</v>
      </c>
      <c r="S749" s="747">
        <f t="shared" si="101"/>
        <v>-100800</v>
      </c>
      <c r="T749" s="746">
        <v>55.7</v>
      </c>
      <c r="U749" s="606">
        <f t="shared" si="102"/>
        <v>-40104</v>
      </c>
      <c r="V749" s="747">
        <f t="shared" si="103"/>
        <v>-60696</v>
      </c>
      <c r="W749" s="748">
        <v>55.7</v>
      </c>
      <c r="X749" s="607">
        <f t="shared" si="104"/>
        <v>-40104</v>
      </c>
      <c r="Y749" s="702">
        <f t="shared" si="105"/>
        <v>-60696</v>
      </c>
      <c r="Z749" s="748">
        <v>55.7</v>
      </c>
      <c r="AA749" s="607">
        <f t="shared" si="106"/>
        <v>-40104</v>
      </c>
      <c r="AB749" s="749">
        <f t="shared" si="107"/>
        <v>-60696</v>
      </c>
      <c r="AC749" s="714"/>
    </row>
    <row r="750" spans="1:29" x14ac:dyDescent="0.25">
      <c r="A750" s="713"/>
      <c r="B750" s="714" t="s">
        <v>888</v>
      </c>
      <c r="C750" s="676" t="s">
        <v>40</v>
      </c>
      <c r="D750" s="676" t="s">
        <v>875</v>
      </c>
      <c r="E750" s="680">
        <v>44682</v>
      </c>
      <c r="F750" s="676">
        <v>744</v>
      </c>
      <c r="G750" s="676" t="s">
        <v>58</v>
      </c>
      <c r="H750" s="676" t="s">
        <v>3</v>
      </c>
      <c r="I750" s="676" t="s">
        <v>44</v>
      </c>
      <c r="J750" s="676" t="s">
        <v>84</v>
      </c>
      <c r="K750" s="676">
        <v>140</v>
      </c>
      <c r="L750" s="690" t="s">
        <v>54</v>
      </c>
      <c r="M750" s="691">
        <v>1</v>
      </c>
      <c r="N750" s="690">
        <v>0</v>
      </c>
      <c r="O750" s="691">
        <v>140</v>
      </c>
      <c r="P750" s="690">
        <v>0</v>
      </c>
      <c r="Q750" s="738">
        <f t="shared" si="99"/>
        <v>104160</v>
      </c>
      <c r="R750" s="677">
        <f t="shared" si="100"/>
        <v>0</v>
      </c>
      <c r="S750" s="739">
        <f t="shared" si="101"/>
        <v>-104160</v>
      </c>
      <c r="T750" s="738">
        <v>55.7</v>
      </c>
      <c r="U750" s="677">
        <f t="shared" si="102"/>
        <v>-41440.800000000003</v>
      </c>
      <c r="V750" s="739">
        <f t="shared" si="103"/>
        <v>-62719.199999999997</v>
      </c>
      <c r="W750" s="740">
        <v>55.7</v>
      </c>
      <c r="X750" s="678">
        <f t="shared" si="104"/>
        <v>-41440.800000000003</v>
      </c>
      <c r="Y750" s="700">
        <f t="shared" si="105"/>
        <v>-62719.199999999997</v>
      </c>
      <c r="Z750" s="740">
        <v>55.7</v>
      </c>
      <c r="AA750" s="678">
        <f t="shared" si="106"/>
        <v>-41440.800000000003</v>
      </c>
      <c r="AB750" s="741">
        <f t="shared" si="107"/>
        <v>-62719.199999999997</v>
      </c>
      <c r="AC750" s="714"/>
    </row>
    <row r="751" spans="1:29" x14ac:dyDescent="0.25">
      <c r="A751" s="713"/>
      <c r="B751" s="729" t="s">
        <v>888</v>
      </c>
      <c r="C751" s="545" t="s">
        <v>40</v>
      </c>
      <c r="D751" s="545" t="s">
        <v>875</v>
      </c>
      <c r="E751" s="681">
        <v>44713</v>
      </c>
      <c r="F751" s="545">
        <v>720</v>
      </c>
      <c r="G751" s="545" t="s">
        <v>58</v>
      </c>
      <c r="H751" s="545" t="s">
        <v>3</v>
      </c>
      <c r="I751" s="545" t="s">
        <v>44</v>
      </c>
      <c r="J751" s="545" t="s">
        <v>84</v>
      </c>
      <c r="K751" s="545">
        <v>140</v>
      </c>
      <c r="L751" s="725" t="s">
        <v>54</v>
      </c>
      <c r="M751" s="695">
        <v>1</v>
      </c>
      <c r="N751" s="725">
        <v>0</v>
      </c>
      <c r="O751" s="695">
        <v>140</v>
      </c>
      <c r="P751" s="725">
        <v>0</v>
      </c>
      <c r="Q751" s="742">
        <f t="shared" si="99"/>
        <v>100800</v>
      </c>
      <c r="R751" s="603">
        <f t="shared" si="100"/>
        <v>0</v>
      </c>
      <c r="S751" s="743">
        <f t="shared" si="101"/>
        <v>-100800</v>
      </c>
      <c r="T751" s="742">
        <v>55.71</v>
      </c>
      <c r="U751" s="603">
        <f t="shared" si="102"/>
        <v>-40111.199999999997</v>
      </c>
      <c r="V751" s="743">
        <f t="shared" si="103"/>
        <v>-60688.800000000003</v>
      </c>
      <c r="W751" s="744">
        <v>55.71</v>
      </c>
      <c r="X751" s="604">
        <f t="shared" si="104"/>
        <v>-40111.199999999997</v>
      </c>
      <c r="Y751" s="701">
        <f t="shared" si="105"/>
        <v>-60688.800000000003</v>
      </c>
      <c r="Z751" s="744">
        <v>55.71</v>
      </c>
      <c r="AA751" s="604">
        <f t="shared" si="106"/>
        <v>-40111.199999999997</v>
      </c>
      <c r="AB751" s="745">
        <f t="shared" si="107"/>
        <v>-60688.800000000003</v>
      </c>
      <c r="AC751" s="714"/>
    </row>
    <row r="752" spans="1:29" x14ac:dyDescent="0.25">
      <c r="A752" s="713"/>
      <c r="B752" s="731" t="s">
        <v>890</v>
      </c>
      <c r="C752" s="547" t="s">
        <v>40</v>
      </c>
      <c r="D752" s="547" t="s">
        <v>585</v>
      </c>
      <c r="E752" s="683">
        <v>44652</v>
      </c>
      <c r="F752" s="547">
        <v>720</v>
      </c>
      <c r="G752" s="547" t="s">
        <v>59</v>
      </c>
      <c r="H752" s="547" t="s">
        <v>3</v>
      </c>
      <c r="I752" s="547" t="s">
        <v>44</v>
      </c>
      <c r="J752" s="547" t="s">
        <v>85</v>
      </c>
      <c r="K752" s="547">
        <v>120</v>
      </c>
      <c r="L752" s="727" t="s">
        <v>54</v>
      </c>
      <c r="M752" s="697">
        <v>0</v>
      </c>
      <c r="N752" s="727">
        <v>5</v>
      </c>
      <c r="O752" s="697">
        <v>0</v>
      </c>
      <c r="P752" s="727">
        <v>120</v>
      </c>
      <c r="Q752" s="750">
        <f t="shared" si="99"/>
        <v>0</v>
      </c>
      <c r="R752" s="608">
        <f t="shared" si="100"/>
        <v>432000</v>
      </c>
      <c r="S752" s="751">
        <f t="shared" si="101"/>
        <v>432000</v>
      </c>
      <c r="T752" s="750">
        <v>55.7</v>
      </c>
      <c r="U752" s="608">
        <f t="shared" si="102"/>
        <v>200520</v>
      </c>
      <c r="V752" s="751">
        <f t="shared" si="103"/>
        <v>231480</v>
      </c>
      <c r="W752" s="752">
        <v>55.7</v>
      </c>
      <c r="X752" s="609">
        <f t="shared" si="104"/>
        <v>200520</v>
      </c>
      <c r="Y752" s="703">
        <f t="shared" si="105"/>
        <v>231480</v>
      </c>
      <c r="Z752" s="752">
        <v>55.7</v>
      </c>
      <c r="AA752" s="609">
        <f t="shared" si="106"/>
        <v>200520</v>
      </c>
      <c r="AB752" s="753">
        <f t="shared" si="107"/>
        <v>231480</v>
      </c>
      <c r="AC752" s="714"/>
    </row>
    <row r="753" spans="1:29" x14ac:dyDescent="0.25">
      <c r="A753" s="713"/>
      <c r="B753" s="730" t="s">
        <v>892</v>
      </c>
      <c r="C753" s="546" t="s">
        <v>40</v>
      </c>
      <c r="D753" s="546" t="s">
        <v>876</v>
      </c>
      <c r="E753" s="682">
        <v>44652</v>
      </c>
      <c r="F753" s="546">
        <v>720</v>
      </c>
      <c r="G753" s="546" t="s">
        <v>58</v>
      </c>
      <c r="H753" s="546" t="s">
        <v>3</v>
      </c>
      <c r="I753" s="546" t="s">
        <v>44</v>
      </c>
      <c r="J753" s="546" t="s">
        <v>84</v>
      </c>
      <c r="K753" s="546">
        <v>140</v>
      </c>
      <c r="L753" s="726" t="s">
        <v>54</v>
      </c>
      <c r="M753" s="696">
        <v>2</v>
      </c>
      <c r="N753" s="726">
        <v>0</v>
      </c>
      <c r="O753" s="696">
        <v>140</v>
      </c>
      <c r="P753" s="726">
        <v>0</v>
      </c>
      <c r="Q753" s="746">
        <f t="shared" si="99"/>
        <v>201600</v>
      </c>
      <c r="R753" s="606">
        <f t="shared" si="100"/>
        <v>0</v>
      </c>
      <c r="S753" s="747">
        <f t="shared" si="101"/>
        <v>-201600</v>
      </c>
      <c r="T753" s="746">
        <v>55.7</v>
      </c>
      <c r="U753" s="606">
        <f t="shared" si="102"/>
        <v>-80208</v>
      </c>
      <c r="V753" s="747">
        <f t="shared" si="103"/>
        <v>-121392</v>
      </c>
      <c r="W753" s="748">
        <v>55.7</v>
      </c>
      <c r="X753" s="607">
        <f t="shared" si="104"/>
        <v>-80208</v>
      </c>
      <c r="Y753" s="702">
        <f t="shared" si="105"/>
        <v>-121392</v>
      </c>
      <c r="Z753" s="748">
        <v>55.7</v>
      </c>
      <c r="AA753" s="607">
        <f t="shared" si="106"/>
        <v>-80208</v>
      </c>
      <c r="AB753" s="749">
        <f t="shared" si="107"/>
        <v>-121392</v>
      </c>
      <c r="AC753" s="714"/>
    </row>
    <row r="754" spans="1:29" x14ac:dyDescent="0.25">
      <c r="A754" s="713"/>
      <c r="B754" s="714" t="s">
        <v>892</v>
      </c>
      <c r="C754" s="676" t="s">
        <v>40</v>
      </c>
      <c r="D754" s="676" t="s">
        <v>876</v>
      </c>
      <c r="E754" s="680">
        <v>44682</v>
      </c>
      <c r="F754" s="676">
        <v>744</v>
      </c>
      <c r="G754" s="676" t="s">
        <v>58</v>
      </c>
      <c r="H754" s="676" t="s">
        <v>3</v>
      </c>
      <c r="I754" s="676" t="s">
        <v>44</v>
      </c>
      <c r="J754" s="676" t="s">
        <v>84</v>
      </c>
      <c r="K754" s="676">
        <v>140</v>
      </c>
      <c r="L754" s="690" t="s">
        <v>54</v>
      </c>
      <c r="M754" s="691">
        <v>2</v>
      </c>
      <c r="N754" s="690">
        <v>0</v>
      </c>
      <c r="O754" s="691">
        <v>140</v>
      </c>
      <c r="P754" s="690">
        <v>0</v>
      </c>
      <c r="Q754" s="738">
        <f t="shared" si="99"/>
        <v>208320</v>
      </c>
      <c r="R754" s="677">
        <f t="shared" si="100"/>
        <v>0</v>
      </c>
      <c r="S754" s="739">
        <f t="shared" si="101"/>
        <v>-208320</v>
      </c>
      <c r="T754" s="738">
        <v>55.7</v>
      </c>
      <c r="U754" s="677">
        <f t="shared" si="102"/>
        <v>-82881.600000000006</v>
      </c>
      <c r="V754" s="739">
        <f t="shared" si="103"/>
        <v>-125438.39999999999</v>
      </c>
      <c r="W754" s="740">
        <v>55.7</v>
      </c>
      <c r="X754" s="678">
        <f t="shared" si="104"/>
        <v>-82881.600000000006</v>
      </c>
      <c r="Y754" s="700">
        <f t="shared" si="105"/>
        <v>-125438.39999999999</v>
      </c>
      <c r="Z754" s="740">
        <v>55.7</v>
      </c>
      <c r="AA754" s="678">
        <f t="shared" si="106"/>
        <v>-82881.600000000006</v>
      </c>
      <c r="AB754" s="741">
        <f t="shared" si="107"/>
        <v>-125438.39999999999</v>
      </c>
      <c r="AC754" s="714"/>
    </row>
    <row r="755" spans="1:29" x14ac:dyDescent="0.25">
      <c r="A755" s="713"/>
      <c r="B755" s="729" t="s">
        <v>892</v>
      </c>
      <c r="C755" s="545" t="s">
        <v>40</v>
      </c>
      <c r="D755" s="545" t="s">
        <v>876</v>
      </c>
      <c r="E755" s="681">
        <v>44713</v>
      </c>
      <c r="F755" s="545">
        <v>720</v>
      </c>
      <c r="G755" s="545" t="s">
        <v>58</v>
      </c>
      <c r="H755" s="545" t="s">
        <v>3</v>
      </c>
      <c r="I755" s="545" t="s">
        <v>44</v>
      </c>
      <c r="J755" s="545" t="s">
        <v>84</v>
      </c>
      <c r="K755" s="545">
        <v>140</v>
      </c>
      <c r="L755" s="725" t="s">
        <v>54</v>
      </c>
      <c r="M755" s="695">
        <v>2</v>
      </c>
      <c r="N755" s="725">
        <v>0</v>
      </c>
      <c r="O755" s="695">
        <v>140</v>
      </c>
      <c r="P755" s="725">
        <v>0</v>
      </c>
      <c r="Q755" s="742">
        <f t="shared" si="99"/>
        <v>201600</v>
      </c>
      <c r="R755" s="603">
        <f t="shared" si="100"/>
        <v>0</v>
      </c>
      <c r="S755" s="743">
        <f t="shared" si="101"/>
        <v>-201600</v>
      </c>
      <c r="T755" s="742">
        <v>55.71</v>
      </c>
      <c r="U755" s="603">
        <f t="shared" si="102"/>
        <v>-80222.399999999994</v>
      </c>
      <c r="V755" s="743">
        <f t="shared" si="103"/>
        <v>-121377.60000000001</v>
      </c>
      <c r="W755" s="744">
        <v>55.71</v>
      </c>
      <c r="X755" s="604">
        <f t="shared" si="104"/>
        <v>-80222.399999999994</v>
      </c>
      <c r="Y755" s="701">
        <f t="shared" si="105"/>
        <v>-121377.60000000001</v>
      </c>
      <c r="Z755" s="744">
        <v>55.71</v>
      </c>
      <c r="AA755" s="604">
        <f t="shared" si="106"/>
        <v>-80222.399999999994</v>
      </c>
      <c r="AB755" s="745">
        <f t="shared" si="107"/>
        <v>-121377.60000000001</v>
      </c>
      <c r="AC755" s="714"/>
    </row>
    <row r="756" spans="1:29" x14ac:dyDescent="0.25">
      <c r="A756" s="713"/>
      <c r="B756" s="731" t="s">
        <v>904</v>
      </c>
      <c r="C756" s="547" t="s">
        <v>40</v>
      </c>
      <c r="D756" s="547" t="s">
        <v>469</v>
      </c>
      <c r="E756" s="683">
        <v>44621</v>
      </c>
      <c r="F756" s="547">
        <v>744</v>
      </c>
      <c r="G756" s="547" t="s">
        <v>59</v>
      </c>
      <c r="H756" s="547" t="s">
        <v>3</v>
      </c>
      <c r="I756" s="547" t="s">
        <v>44</v>
      </c>
      <c r="J756" s="547" t="s">
        <v>85</v>
      </c>
      <c r="K756" s="547">
        <v>117</v>
      </c>
      <c r="L756" s="727" t="s">
        <v>54</v>
      </c>
      <c r="M756" s="697">
        <v>0</v>
      </c>
      <c r="N756" s="727">
        <v>2</v>
      </c>
      <c r="O756" s="697">
        <v>0</v>
      </c>
      <c r="P756" s="727">
        <v>117</v>
      </c>
      <c r="Q756" s="750">
        <f t="shared" si="99"/>
        <v>0</v>
      </c>
      <c r="R756" s="608">
        <f t="shared" si="100"/>
        <v>174096</v>
      </c>
      <c r="S756" s="751">
        <f t="shared" si="101"/>
        <v>174096</v>
      </c>
      <c r="T756" s="750">
        <v>55.7</v>
      </c>
      <c r="U756" s="608">
        <f t="shared" si="102"/>
        <v>82881.600000000006</v>
      </c>
      <c r="V756" s="751">
        <f t="shared" si="103"/>
        <v>91214.399999999994</v>
      </c>
      <c r="W756" s="752">
        <v>55.7</v>
      </c>
      <c r="X756" s="609">
        <f t="shared" si="104"/>
        <v>82881.600000000006</v>
      </c>
      <c r="Y756" s="703">
        <f t="shared" si="105"/>
        <v>91214.399999999994</v>
      </c>
      <c r="Z756" s="752">
        <v>55.7</v>
      </c>
      <c r="AA756" s="609">
        <f t="shared" si="106"/>
        <v>82881.600000000006</v>
      </c>
      <c r="AB756" s="753">
        <f t="shared" si="107"/>
        <v>91214.399999999994</v>
      </c>
      <c r="AC756" s="714"/>
    </row>
    <row r="757" spans="1:29" x14ac:dyDescent="0.25">
      <c r="A757" s="713"/>
      <c r="B757" s="731" t="s">
        <v>906</v>
      </c>
      <c r="C757" s="547" t="s">
        <v>40</v>
      </c>
      <c r="D757" s="547" t="s">
        <v>474</v>
      </c>
      <c r="E757" s="683">
        <v>44652</v>
      </c>
      <c r="F757" s="547">
        <v>720</v>
      </c>
      <c r="G757" s="547" t="s">
        <v>59</v>
      </c>
      <c r="H757" s="547" t="s">
        <v>3</v>
      </c>
      <c r="I757" s="547" t="s">
        <v>44</v>
      </c>
      <c r="J757" s="547" t="s">
        <v>85</v>
      </c>
      <c r="K757" s="547">
        <v>115.5</v>
      </c>
      <c r="L757" s="727" t="s">
        <v>54</v>
      </c>
      <c r="M757" s="697">
        <v>0</v>
      </c>
      <c r="N757" s="727">
        <v>3</v>
      </c>
      <c r="O757" s="697">
        <v>0</v>
      </c>
      <c r="P757" s="727">
        <v>115.5</v>
      </c>
      <c r="Q757" s="750">
        <f t="shared" si="99"/>
        <v>0</v>
      </c>
      <c r="R757" s="608">
        <f t="shared" si="100"/>
        <v>249480</v>
      </c>
      <c r="S757" s="751">
        <f t="shared" si="101"/>
        <v>249480</v>
      </c>
      <c r="T757" s="750">
        <v>55.7</v>
      </c>
      <c r="U757" s="608">
        <f t="shared" si="102"/>
        <v>120312</v>
      </c>
      <c r="V757" s="751">
        <f t="shared" si="103"/>
        <v>129168</v>
      </c>
      <c r="W757" s="752">
        <v>55.7</v>
      </c>
      <c r="X757" s="609">
        <f t="shared" si="104"/>
        <v>120312</v>
      </c>
      <c r="Y757" s="703">
        <f t="shared" si="105"/>
        <v>129168</v>
      </c>
      <c r="Z757" s="752">
        <v>55.7</v>
      </c>
      <c r="AA757" s="609">
        <f t="shared" si="106"/>
        <v>120312</v>
      </c>
      <c r="AB757" s="753">
        <f t="shared" si="107"/>
        <v>129168</v>
      </c>
      <c r="AC757" s="714"/>
    </row>
    <row r="758" spans="1:29" x14ac:dyDescent="0.25">
      <c r="A758" s="713"/>
      <c r="B758" s="731" t="s">
        <v>908</v>
      </c>
      <c r="C758" s="547" t="s">
        <v>40</v>
      </c>
      <c r="D758" s="547" t="s">
        <v>902</v>
      </c>
      <c r="E758" s="683">
        <v>44562</v>
      </c>
      <c r="F758" s="547">
        <v>744</v>
      </c>
      <c r="G758" s="547" t="s">
        <v>59</v>
      </c>
      <c r="H758" s="547" t="s">
        <v>3</v>
      </c>
      <c r="I758" s="547" t="s">
        <v>44</v>
      </c>
      <c r="J758" s="547" t="s">
        <v>85</v>
      </c>
      <c r="K758" s="547">
        <v>68.2</v>
      </c>
      <c r="L758" s="727" t="s">
        <v>54</v>
      </c>
      <c r="M758" s="697">
        <v>0</v>
      </c>
      <c r="N758" s="727">
        <v>1.6</v>
      </c>
      <c r="O758" s="697">
        <v>0</v>
      </c>
      <c r="P758" s="727">
        <v>68.2</v>
      </c>
      <c r="Q758" s="750">
        <f t="shared" si="99"/>
        <v>0</v>
      </c>
      <c r="R758" s="608">
        <f t="shared" si="100"/>
        <v>81185.280000000013</v>
      </c>
      <c r="S758" s="751">
        <f t="shared" si="101"/>
        <v>81185.280000000013</v>
      </c>
      <c r="T758" s="750">
        <v>62.91</v>
      </c>
      <c r="U758" s="608">
        <f t="shared" si="102"/>
        <v>74888.063999999998</v>
      </c>
      <c r="V758" s="751">
        <f t="shared" si="103"/>
        <v>6297.2160000000149</v>
      </c>
      <c r="W758" s="752">
        <v>62.91</v>
      </c>
      <c r="X758" s="609">
        <f t="shared" si="104"/>
        <v>74888.063999999998</v>
      </c>
      <c r="Y758" s="703">
        <f t="shared" si="105"/>
        <v>6297.2160000000149</v>
      </c>
      <c r="Z758" s="752">
        <v>62.91</v>
      </c>
      <c r="AA758" s="609">
        <f t="shared" si="106"/>
        <v>74888.063999999998</v>
      </c>
      <c r="AB758" s="753">
        <f t="shared" si="107"/>
        <v>6297.2160000000149</v>
      </c>
      <c r="AC758" s="714"/>
    </row>
    <row r="759" spans="1:29" x14ac:dyDescent="0.25">
      <c r="A759" s="713"/>
      <c r="B759" s="730" t="s">
        <v>910</v>
      </c>
      <c r="C759" s="546" t="s">
        <v>40</v>
      </c>
      <c r="D759" s="546" t="s">
        <v>475</v>
      </c>
      <c r="E759" s="682">
        <v>44652</v>
      </c>
      <c r="F759" s="546">
        <v>720</v>
      </c>
      <c r="G759" s="546" t="s">
        <v>58</v>
      </c>
      <c r="H759" s="546" t="s">
        <v>3</v>
      </c>
      <c r="I759" s="546" t="s">
        <v>44</v>
      </c>
      <c r="J759" s="546" t="s">
        <v>84</v>
      </c>
      <c r="K759" s="546">
        <v>140</v>
      </c>
      <c r="L759" s="726" t="s">
        <v>54</v>
      </c>
      <c r="M759" s="696">
        <v>5</v>
      </c>
      <c r="N759" s="726">
        <v>0</v>
      </c>
      <c r="O759" s="696">
        <v>140</v>
      </c>
      <c r="P759" s="726">
        <v>0</v>
      </c>
      <c r="Q759" s="746">
        <f t="shared" si="99"/>
        <v>504000</v>
      </c>
      <c r="R759" s="606">
        <f t="shared" si="100"/>
        <v>0</v>
      </c>
      <c r="S759" s="747">
        <f t="shared" si="101"/>
        <v>-504000</v>
      </c>
      <c r="T759" s="746">
        <v>55.7</v>
      </c>
      <c r="U759" s="606">
        <f t="shared" si="102"/>
        <v>-200520</v>
      </c>
      <c r="V759" s="747">
        <f t="shared" si="103"/>
        <v>-303480</v>
      </c>
      <c r="W759" s="748">
        <v>55.7</v>
      </c>
      <c r="X759" s="607">
        <f t="shared" si="104"/>
        <v>-200520</v>
      </c>
      <c r="Y759" s="702">
        <f t="shared" si="105"/>
        <v>-303480</v>
      </c>
      <c r="Z759" s="748">
        <v>55.7</v>
      </c>
      <c r="AA759" s="607">
        <f t="shared" si="106"/>
        <v>-200520</v>
      </c>
      <c r="AB759" s="749">
        <f t="shared" si="107"/>
        <v>-303480</v>
      </c>
      <c r="AC759" s="714"/>
    </row>
    <row r="760" spans="1:29" x14ac:dyDescent="0.25">
      <c r="A760" s="713"/>
      <c r="B760" s="714" t="s">
        <v>910</v>
      </c>
      <c r="C760" s="676" t="s">
        <v>40</v>
      </c>
      <c r="D760" s="676" t="s">
        <v>475</v>
      </c>
      <c r="E760" s="680">
        <v>44682</v>
      </c>
      <c r="F760" s="676">
        <v>744</v>
      </c>
      <c r="G760" s="676" t="s">
        <v>58</v>
      </c>
      <c r="H760" s="676" t="s">
        <v>3</v>
      </c>
      <c r="I760" s="676" t="s">
        <v>44</v>
      </c>
      <c r="J760" s="676" t="s">
        <v>84</v>
      </c>
      <c r="K760" s="676">
        <v>140</v>
      </c>
      <c r="L760" s="690" t="s">
        <v>54</v>
      </c>
      <c r="M760" s="691">
        <v>5</v>
      </c>
      <c r="N760" s="690">
        <v>0</v>
      </c>
      <c r="O760" s="691">
        <v>140</v>
      </c>
      <c r="P760" s="690">
        <v>0</v>
      </c>
      <c r="Q760" s="738">
        <f t="shared" si="99"/>
        <v>520800</v>
      </c>
      <c r="R760" s="677">
        <f t="shared" si="100"/>
        <v>0</v>
      </c>
      <c r="S760" s="739">
        <f t="shared" si="101"/>
        <v>-520800</v>
      </c>
      <c r="T760" s="738">
        <v>55.7</v>
      </c>
      <c r="U760" s="677">
        <f t="shared" si="102"/>
        <v>-207204</v>
      </c>
      <c r="V760" s="739">
        <f t="shared" si="103"/>
        <v>-313596</v>
      </c>
      <c r="W760" s="740">
        <v>55.7</v>
      </c>
      <c r="X760" s="678">
        <f t="shared" si="104"/>
        <v>-207204</v>
      </c>
      <c r="Y760" s="700">
        <f t="shared" si="105"/>
        <v>-313596</v>
      </c>
      <c r="Z760" s="740">
        <v>55.7</v>
      </c>
      <c r="AA760" s="678">
        <f t="shared" si="106"/>
        <v>-207204</v>
      </c>
      <c r="AB760" s="741">
        <f t="shared" si="107"/>
        <v>-313596</v>
      </c>
      <c r="AC760" s="714"/>
    </row>
    <row r="761" spans="1:29" x14ac:dyDescent="0.25">
      <c r="A761" s="713"/>
      <c r="B761" s="729" t="s">
        <v>910</v>
      </c>
      <c r="C761" s="545" t="s">
        <v>40</v>
      </c>
      <c r="D761" s="545" t="s">
        <v>475</v>
      </c>
      <c r="E761" s="681">
        <v>44713</v>
      </c>
      <c r="F761" s="545">
        <v>720</v>
      </c>
      <c r="G761" s="545" t="s">
        <v>58</v>
      </c>
      <c r="H761" s="545" t="s">
        <v>3</v>
      </c>
      <c r="I761" s="545" t="s">
        <v>44</v>
      </c>
      <c r="J761" s="545" t="s">
        <v>84</v>
      </c>
      <c r="K761" s="545">
        <v>140</v>
      </c>
      <c r="L761" s="725" t="s">
        <v>54</v>
      </c>
      <c r="M761" s="695">
        <v>5</v>
      </c>
      <c r="N761" s="725">
        <v>0</v>
      </c>
      <c r="O761" s="695">
        <v>140</v>
      </c>
      <c r="P761" s="725">
        <v>0</v>
      </c>
      <c r="Q761" s="742">
        <f t="shared" si="99"/>
        <v>504000</v>
      </c>
      <c r="R761" s="603">
        <f t="shared" si="100"/>
        <v>0</v>
      </c>
      <c r="S761" s="743">
        <f t="shared" si="101"/>
        <v>-504000</v>
      </c>
      <c r="T761" s="742">
        <v>55.71</v>
      </c>
      <c r="U761" s="603">
        <f t="shared" si="102"/>
        <v>-200556</v>
      </c>
      <c r="V761" s="743">
        <f t="shared" si="103"/>
        <v>-303444</v>
      </c>
      <c r="W761" s="744">
        <v>55.71</v>
      </c>
      <c r="X761" s="604">
        <f t="shared" si="104"/>
        <v>-200556</v>
      </c>
      <c r="Y761" s="701">
        <f t="shared" si="105"/>
        <v>-303444</v>
      </c>
      <c r="Z761" s="744">
        <v>55.71</v>
      </c>
      <c r="AA761" s="604">
        <f t="shared" si="106"/>
        <v>-200556</v>
      </c>
      <c r="AB761" s="745">
        <f t="shared" si="107"/>
        <v>-303444</v>
      </c>
      <c r="AC761" s="714"/>
    </row>
    <row r="762" spans="1:29" x14ac:dyDescent="0.25">
      <c r="A762" s="713"/>
      <c r="B762" s="731" t="s">
        <v>912</v>
      </c>
      <c r="C762" s="547" t="s">
        <v>40</v>
      </c>
      <c r="D762" s="547" t="s">
        <v>585</v>
      </c>
      <c r="E762" s="683">
        <v>44652</v>
      </c>
      <c r="F762" s="547">
        <v>720</v>
      </c>
      <c r="G762" s="547" t="s">
        <v>59</v>
      </c>
      <c r="H762" s="547" t="s">
        <v>3</v>
      </c>
      <c r="I762" s="547" t="s">
        <v>44</v>
      </c>
      <c r="J762" s="547" t="s">
        <v>85</v>
      </c>
      <c r="K762" s="547">
        <v>120</v>
      </c>
      <c r="L762" s="727" t="s">
        <v>54</v>
      </c>
      <c r="M762" s="697">
        <v>0</v>
      </c>
      <c r="N762" s="727">
        <v>5</v>
      </c>
      <c r="O762" s="697">
        <v>0</v>
      </c>
      <c r="P762" s="727">
        <v>120</v>
      </c>
      <c r="Q762" s="750">
        <f t="shared" si="99"/>
        <v>0</v>
      </c>
      <c r="R762" s="608">
        <f t="shared" si="100"/>
        <v>432000</v>
      </c>
      <c r="S762" s="751">
        <f t="shared" si="101"/>
        <v>432000</v>
      </c>
      <c r="T762" s="750">
        <v>55.7</v>
      </c>
      <c r="U762" s="608">
        <f t="shared" si="102"/>
        <v>200520</v>
      </c>
      <c r="V762" s="751">
        <f t="shared" si="103"/>
        <v>231480</v>
      </c>
      <c r="W762" s="752">
        <v>55.7</v>
      </c>
      <c r="X762" s="609">
        <f t="shared" si="104"/>
        <v>200520</v>
      </c>
      <c r="Y762" s="703">
        <f t="shared" si="105"/>
        <v>231480</v>
      </c>
      <c r="Z762" s="752">
        <v>55.7</v>
      </c>
      <c r="AA762" s="609">
        <f t="shared" si="106"/>
        <v>200520</v>
      </c>
      <c r="AB762" s="753">
        <f t="shared" si="107"/>
        <v>231480</v>
      </c>
      <c r="AC762" s="714"/>
    </row>
    <row r="763" spans="1:29" x14ac:dyDescent="0.25">
      <c r="A763" s="713"/>
      <c r="B763" s="731" t="s">
        <v>914</v>
      </c>
      <c r="C763" s="547" t="s">
        <v>40</v>
      </c>
      <c r="D763" s="547" t="s">
        <v>585</v>
      </c>
      <c r="E763" s="683">
        <v>44682</v>
      </c>
      <c r="F763" s="547">
        <v>744</v>
      </c>
      <c r="G763" s="547" t="s">
        <v>59</v>
      </c>
      <c r="H763" s="547" t="s">
        <v>3</v>
      </c>
      <c r="I763" s="547" t="s">
        <v>44</v>
      </c>
      <c r="J763" s="547" t="s">
        <v>85</v>
      </c>
      <c r="K763" s="547">
        <v>132</v>
      </c>
      <c r="L763" s="727" t="s">
        <v>54</v>
      </c>
      <c r="M763" s="697">
        <v>0</v>
      </c>
      <c r="N763" s="727">
        <v>5</v>
      </c>
      <c r="O763" s="697">
        <v>0</v>
      </c>
      <c r="P763" s="727">
        <v>132</v>
      </c>
      <c r="Q763" s="750">
        <f t="shared" si="99"/>
        <v>0</v>
      </c>
      <c r="R763" s="608">
        <f t="shared" si="100"/>
        <v>491040</v>
      </c>
      <c r="S763" s="751">
        <f t="shared" si="101"/>
        <v>491040</v>
      </c>
      <c r="T763" s="750">
        <v>55.7</v>
      </c>
      <c r="U763" s="608">
        <f t="shared" si="102"/>
        <v>207204</v>
      </c>
      <c r="V763" s="751">
        <f t="shared" si="103"/>
        <v>283836</v>
      </c>
      <c r="W763" s="752">
        <v>55.7</v>
      </c>
      <c r="X763" s="609">
        <f t="shared" si="104"/>
        <v>207204</v>
      </c>
      <c r="Y763" s="703">
        <f t="shared" si="105"/>
        <v>283836</v>
      </c>
      <c r="Z763" s="752">
        <v>55.7</v>
      </c>
      <c r="AA763" s="609">
        <f t="shared" si="106"/>
        <v>207204</v>
      </c>
      <c r="AB763" s="753">
        <f t="shared" si="107"/>
        <v>283836</v>
      </c>
      <c r="AC763" s="714"/>
    </row>
    <row r="764" spans="1:29" x14ac:dyDescent="0.25">
      <c r="A764" s="713"/>
      <c r="B764" s="731" t="s">
        <v>916</v>
      </c>
      <c r="C764" s="547" t="s">
        <v>40</v>
      </c>
      <c r="D764" s="547" t="s">
        <v>466</v>
      </c>
      <c r="E764" s="683">
        <v>44593</v>
      </c>
      <c r="F764" s="547">
        <v>672</v>
      </c>
      <c r="G764" s="547" t="s">
        <v>58</v>
      </c>
      <c r="H764" s="547" t="s">
        <v>3</v>
      </c>
      <c r="I764" s="547" t="s">
        <v>44</v>
      </c>
      <c r="J764" s="547" t="s">
        <v>84</v>
      </c>
      <c r="K764" s="547">
        <v>94</v>
      </c>
      <c r="L764" s="727" t="s">
        <v>54</v>
      </c>
      <c r="M764" s="697">
        <v>1.3</v>
      </c>
      <c r="N764" s="727">
        <v>0</v>
      </c>
      <c r="O764" s="697">
        <v>94</v>
      </c>
      <c r="P764" s="727">
        <v>0</v>
      </c>
      <c r="Q764" s="750">
        <f t="shared" si="99"/>
        <v>82118.400000000009</v>
      </c>
      <c r="R764" s="608">
        <f t="shared" si="100"/>
        <v>0</v>
      </c>
      <c r="S764" s="751">
        <f t="shared" si="101"/>
        <v>-82118.400000000009</v>
      </c>
      <c r="T764" s="750">
        <v>55.7</v>
      </c>
      <c r="U764" s="608">
        <f t="shared" si="102"/>
        <v>-48659.520000000004</v>
      </c>
      <c r="V764" s="751">
        <f t="shared" si="103"/>
        <v>-33458.880000000005</v>
      </c>
      <c r="W764" s="752">
        <v>55.7</v>
      </c>
      <c r="X764" s="609">
        <f t="shared" si="104"/>
        <v>-48659.520000000004</v>
      </c>
      <c r="Y764" s="703">
        <f t="shared" si="105"/>
        <v>-33458.880000000005</v>
      </c>
      <c r="Z764" s="752">
        <v>55.7</v>
      </c>
      <c r="AA764" s="609">
        <f t="shared" si="106"/>
        <v>-48659.520000000004</v>
      </c>
      <c r="AB764" s="753">
        <f t="shared" si="107"/>
        <v>-33458.880000000005</v>
      </c>
      <c r="AC764" s="714"/>
    </row>
    <row r="765" spans="1:29" x14ac:dyDescent="0.25">
      <c r="A765" s="713"/>
      <c r="B765" s="731" t="s">
        <v>918</v>
      </c>
      <c r="C765" s="547" t="s">
        <v>40</v>
      </c>
      <c r="D765" s="547" t="s">
        <v>502</v>
      </c>
      <c r="E765" s="683">
        <v>44743</v>
      </c>
      <c r="F765" s="547">
        <v>744</v>
      </c>
      <c r="G765" s="547" t="s">
        <v>58</v>
      </c>
      <c r="H765" s="547" t="s">
        <v>3</v>
      </c>
      <c r="I765" s="547" t="s">
        <v>44</v>
      </c>
      <c r="J765" s="547" t="s">
        <v>84</v>
      </c>
      <c r="K765" s="547">
        <v>205</v>
      </c>
      <c r="L765" s="727" t="s">
        <v>54</v>
      </c>
      <c r="M765" s="697">
        <v>5</v>
      </c>
      <c r="N765" s="727">
        <v>0</v>
      </c>
      <c r="O765" s="697">
        <v>205</v>
      </c>
      <c r="P765" s="727">
        <v>0</v>
      </c>
      <c r="Q765" s="750">
        <f t="shared" si="99"/>
        <v>762600</v>
      </c>
      <c r="R765" s="608">
        <f t="shared" si="100"/>
        <v>0</v>
      </c>
      <c r="S765" s="751">
        <f t="shared" si="101"/>
        <v>-762600</v>
      </c>
      <c r="T765" s="750">
        <v>66.319999999999993</v>
      </c>
      <c r="U765" s="608">
        <f t="shared" si="102"/>
        <v>-246710.39999999997</v>
      </c>
      <c r="V765" s="751">
        <f t="shared" si="103"/>
        <v>-515889.60000000003</v>
      </c>
      <c r="W765" s="752">
        <v>66.319999999999993</v>
      </c>
      <c r="X765" s="609">
        <f t="shared" si="104"/>
        <v>-246710.39999999997</v>
      </c>
      <c r="Y765" s="703">
        <f t="shared" si="105"/>
        <v>-515889.60000000003</v>
      </c>
      <c r="Z765" s="752">
        <v>66.319999999999993</v>
      </c>
      <c r="AA765" s="609">
        <f t="shared" si="106"/>
        <v>-246710.39999999997</v>
      </c>
      <c r="AB765" s="753">
        <f t="shared" si="107"/>
        <v>-515889.60000000003</v>
      </c>
      <c r="AC765" s="714"/>
    </row>
    <row r="766" spans="1:29" x14ac:dyDescent="0.25">
      <c r="A766" s="713"/>
      <c r="B766" s="731" t="s">
        <v>920</v>
      </c>
      <c r="C766" s="547" t="s">
        <v>40</v>
      </c>
      <c r="D766" s="547" t="s">
        <v>466</v>
      </c>
      <c r="E766" s="683">
        <v>44593</v>
      </c>
      <c r="F766" s="547">
        <v>672</v>
      </c>
      <c r="G766" s="547" t="s">
        <v>58</v>
      </c>
      <c r="H766" s="547" t="s">
        <v>3</v>
      </c>
      <c r="I766" s="547" t="s">
        <v>44</v>
      </c>
      <c r="J766" s="547" t="s">
        <v>84</v>
      </c>
      <c r="K766" s="547">
        <v>95</v>
      </c>
      <c r="L766" s="727" t="s">
        <v>54</v>
      </c>
      <c r="M766" s="697">
        <v>1</v>
      </c>
      <c r="N766" s="727">
        <v>0</v>
      </c>
      <c r="O766" s="697">
        <v>95</v>
      </c>
      <c r="P766" s="727">
        <v>0</v>
      </c>
      <c r="Q766" s="750">
        <f t="shared" si="99"/>
        <v>63840</v>
      </c>
      <c r="R766" s="608">
        <f t="shared" si="100"/>
        <v>0</v>
      </c>
      <c r="S766" s="751">
        <f t="shared" si="101"/>
        <v>-63840</v>
      </c>
      <c r="T766" s="750">
        <v>55.7</v>
      </c>
      <c r="U766" s="608">
        <f t="shared" si="102"/>
        <v>-37430.400000000001</v>
      </c>
      <c r="V766" s="751">
        <f t="shared" si="103"/>
        <v>-26409.599999999999</v>
      </c>
      <c r="W766" s="752">
        <v>55.7</v>
      </c>
      <c r="X766" s="609">
        <f t="shared" si="104"/>
        <v>-37430.400000000001</v>
      </c>
      <c r="Y766" s="703">
        <f t="shared" si="105"/>
        <v>-26409.599999999999</v>
      </c>
      <c r="Z766" s="752">
        <v>55.7</v>
      </c>
      <c r="AA766" s="609">
        <f t="shared" si="106"/>
        <v>-37430.400000000001</v>
      </c>
      <c r="AB766" s="753">
        <f t="shared" si="107"/>
        <v>-26409.599999999999</v>
      </c>
      <c r="AC766" s="714"/>
    </row>
    <row r="767" spans="1:29" x14ac:dyDescent="0.25">
      <c r="A767" s="713"/>
      <c r="B767" s="731" t="s">
        <v>927</v>
      </c>
      <c r="C767" s="547" t="s">
        <v>40</v>
      </c>
      <c r="D767" s="547" t="s">
        <v>411</v>
      </c>
      <c r="E767" s="683">
        <v>44562</v>
      </c>
      <c r="F767" s="547">
        <v>744</v>
      </c>
      <c r="G767" s="547" t="s">
        <v>59</v>
      </c>
      <c r="H767" s="547" t="s">
        <v>3</v>
      </c>
      <c r="I767" s="547" t="s">
        <v>44</v>
      </c>
      <c r="J767" s="547" t="s">
        <v>85</v>
      </c>
      <c r="K767" s="547">
        <v>68</v>
      </c>
      <c r="L767" s="727" t="s">
        <v>54</v>
      </c>
      <c r="M767" s="697">
        <v>0</v>
      </c>
      <c r="N767" s="727">
        <v>1</v>
      </c>
      <c r="O767" s="697">
        <v>0</v>
      </c>
      <c r="P767" s="727">
        <v>68</v>
      </c>
      <c r="Q767" s="750">
        <f t="shared" si="99"/>
        <v>0</v>
      </c>
      <c r="R767" s="608">
        <f t="shared" si="100"/>
        <v>50592</v>
      </c>
      <c r="S767" s="751">
        <f t="shared" si="101"/>
        <v>50592</v>
      </c>
      <c r="T767" s="750">
        <v>62.91</v>
      </c>
      <c r="U767" s="608">
        <f t="shared" si="102"/>
        <v>46805.04</v>
      </c>
      <c r="V767" s="751">
        <f t="shared" si="103"/>
        <v>3786.9599999999991</v>
      </c>
      <c r="W767" s="752">
        <v>62.91</v>
      </c>
      <c r="X767" s="609">
        <f t="shared" si="104"/>
        <v>46805.04</v>
      </c>
      <c r="Y767" s="703">
        <f t="shared" si="105"/>
        <v>3786.9599999999991</v>
      </c>
      <c r="Z767" s="752">
        <v>62.91</v>
      </c>
      <c r="AA767" s="609">
        <f t="shared" si="106"/>
        <v>46805.04</v>
      </c>
      <c r="AB767" s="753">
        <f t="shared" si="107"/>
        <v>3786.9599999999991</v>
      </c>
      <c r="AC767" s="714"/>
    </row>
    <row r="768" spans="1:29" x14ac:dyDescent="0.25">
      <c r="A768" s="713"/>
      <c r="B768" s="731" t="s">
        <v>929</v>
      </c>
      <c r="C768" s="547" t="s">
        <v>40</v>
      </c>
      <c r="D768" s="547" t="s">
        <v>475</v>
      </c>
      <c r="E768" s="683">
        <v>44621</v>
      </c>
      <c r="F768" s="547">
        <v>744</v>
      </c>
      <c r="G768" s="547" t="s">
        <v>59</v>
      </c>
      <c r="H768" s="547" t="s">
        <v>3</v>
      </c>
      <c r="I768" s="547" t="s">
        <v>44</v>
      </c>
      <c r="J768" s="547" t="s">
        <v>85</v>
      </c>
      <c r="K768" s="547">
        <v>122</v>
      </c>
      <c r="L768" s="727" t="s">
        <v>54</v>
      </c>
      <c r="M768" s="697">
        <v>0</v>
      </c>
      <c r="N768" s="727">
        <v>2</v>
      </c>
      <c r="O768" s="697">
        <v>0</v>
      </c>
      <c r="P768" s="727">
        <v>122</v>
      </c>
      <c r="Q768" s="750">
        <f t="shared" si="99"/>
        <v>0</v>
      </c>
      <c r="R768" s="608">
        <f t="shared" si="100"/>
        <v>181536</v>
      </c>
      <c r="S768" s="751">
        <f t="shared" si="101"/>
        <v>181536</v>
      </c>
      <c r="T768" s="750">
        <v>55.7</v>
      </c>
      <c r="U768" s="608">
        <f t="shared" si="102"/>
        <v>82881.600000000006</v>
      </c>
      <c r="V768" s="751">
        <f t="shared" si="103"/>
        <v>98654.399999999994</v>
      </c>
      <c r="W768" s="752">
        <v>55.7</v>
      </c>
      <c r="X768" s="609">
        <f t="shared" si="104"/>
        <v>82881.600000000006</v>
      </c>
      <c r="Y768" s="703">
        <f t="shared" si="105"/>
        <v>98654.399999999994</v>
      </c>
      <c r="Z768" s="752">
        <v>55.7</v>
      </c>
      <c r="AA768" s="609">
        <f t="shared" si="106"/>
        <v>82881.600000000006</v>
      </c>
      <c r="AB768" s="753">
        <f t="shared" si="107"/>
        <v>98654.399999999994</v>
      </c>
      <c r="AC768" s="714"/>
    </row>
    <row r="769" spans="1:29" x14ac:dyDescent="0.25">
      <c r="A769" s="713"/>
      <c r="B769" s="731" t="s">
        <v>931</v>
      </c>
      <c r="C769" s="547" t="s">
        <v>40</v>
      </c>
      <c r="D769" s="547" t="s">
        <v>475</v>
      </c>
      <c r="E769" s="683">
        <v>44621</v>
      </c>
      <c r="F769" s="547">
        <v>744</v>
      </c>
      <c r="G769" s="547" t="s">
        <v>59</v>
      </c>
      <c r="H769" s="547" t="s">
        <v>3</v>
      </c>
      <c r="I769" s="547" t="s">
        <v>44</v>
      </c>
      <c r="J769" s="547" t="s">
        <v>85</v>
      </c>
      <c r="K769" s="547">
        <v>122</v>
      </c>
      <c r="L769" s="727" t="s">
        <v>54</v>
      </c>
      <c r="M769" s="697">
        <v>0</v>
      </c>
      <c r="N769" s="727">
        <v>2</v>
      </c>
      <c r="O769" s="697">
        <v>0</v>
      </c>
      <c r="P769" s="727">
        <v>122</v>
      </c>
      <c r="Q769" s="750">
        <f t="shared" si="99"/>
        <v>0</v>
      </c>
      <c r="R769" s="608">
        <f t="shared" si="100"/>
        <v>181536</v>
      </c>
      <c r="S769" s="751">
        <f t="shared" si="101"/>
        <v>181536</v>
      </c>
      <c r="T769" s="750">
        <v>55.7</v>
      </c>
      <c r="U769" s="608">
        <f t="shared" si="102"/>
        <v>82881.600000000006</v>
      </c>
      <c r="V769" s="751">
        <f t="shared" si="103"/>
        <v>98654.399999999994</v>
      </c>
      <c r="W769" s="752">
        <v>55.7</v>
      </c>
      <c r="X769" s="609">
        <f t="shared" si="104"/>
        <v>82881.600000000006</v>
      </c>
      <c r="Y769" s="703">
        <f t="shared" si="105"/>
        <v>98654.399999999994</v>
      </c>
      <c r="Z769" s="752">
        <v>55.7</v>
      </c>
      <c r="AA769" s="609">
        <f t="shared" si="106"/>
        <v>82881.600000000006</v>
      </c>
      <c r="AB769" s="753">
        <f t="shared" si="107"/>
        <v>98654.399999999994</v>
      </c>
      <c r="AC769" s="714"/>
    </row>
    <row r="770" spans="1:29" x14ac:dyDescent="0.25">
      <c r="A770" s="713"/>
      <c r="B770" s="731" t="s">
        <v>933</v>
      </c>
      <c r="C770" s="547" t="s">
        <v>40</v>
      </c>
      <c r="D770" s="547" t="s">
        <v>876</v>
      </c>
      <c r="E770" s="683">
        <v>44621</v>
      </c>
      <c r="F770" s="547">
        <v>744</v>
      </c>
      <c r="G770" s="547" t="s">
        <v>59</v>
      </c>
      <c r="H770" s="547" t="s">
        <v>3</v>
      </c>
      <c r="I770" s="547" t="s">
        <v>44</v>
      </c>
      <c r="J770" s="547" t="s">
        <v>85</v>
      </c>
      <c r="K770" s="547">
        <v>121</v>
      </c>
      <c r="L770" s="727" t="s">
        <v>54</v>
      </c>
      <c r="M770" s="697">
        <v>0</v>
      </c>
      <c r="N770" s="727">
        <v>2</v>
      </c>
      <c r="O770" s="697">
        <v>0</v>
      </c>
      <c r="P770" s="727">
        <v>121</v>
      </c>
      <c r="Q770" s="750">
        <f t="shared" si="99"/>
        <v>0</v>
      </c>
      <c r="R770" s="608">
        <f t="shared" si="100"/>
        <v>180048</v>
      </c>
      <c r="S770" s="751">
        <f t="shared" si="101"/>
        <v>180048</v>
      </c>
      <c r="T770" s="750">
        <v>55.7</v>
      </c>
      <c r="U770" s="608">
        <f t="shared" si="102"/>
        <v>82881.600000000006</v>
      </c>
      <c r="V770" s="751">
        <f t="shared" si="103"/>
        <v>97166.399999999994</v>
      </c>
      <c r="W770" s="752">
        <v>55.7</v>
      </c>
      <c r="X770" s="609">
        <f t="shared" si="104"/>
        <v>82881.600000000006</v>
      </c>
      <c r="Y770" s="703">
        <f t="shared" si="105"/>
        <v>97166.399999999994</v>
      </c>
      <c r="Z770" s="752">
        <v>55.7</v>
      </c>
      <c r="AA770" s="609">
        <f t="shared" si="106"/>
        <v>82881.600000000006</v>
      </c>
      <c r="AB770" s="753">
        <f t="shared" si="107"/>
        <v>97166.399999999994</v>
      </c>
      <c r="AC770" s="714"/>
    </row>
    <row r="771" spans="1:29" x14ac:dyDescent="0.25">
      <c r="A771" s="713"/>
      <c r="B771" s="731" t="s">
        <v>935</v>
      </c>
      <c r="C771" s="547" t="s">
        <v>40</v>
      </c>
      <c r="D771" s="547" t="s">
        <v>466</v>
      </c>
      <c r="E771" s="683">
        <v>44621</v>
      </c>
      <c r="F771" s="547">
        <v>744</v>
      </c>
      <c r="G771" s="547" t="s">
        <v>59</v>
      </c>
      <c r="H771" s="547" t="s">
        <v>3</v>
      </c>
      <c r="I771" s="547" t="s">
        <v>44</v>
      </c>
      <c r="J771" s="547" t="s">
        <v>85</v>
      </c>
      <c r="K771" s="547">
        <v>120</v>
      </c>
      <c r="L771" s="727" t="s">
        <v>54</v>
      </c>
      <c r="M771" s="697">
        <v>0</v>
      </c>
      <c r="N771" s="727">
        <v>3</v>
      </c>
      <c r="O771" s="697">
        <v>0</v>
      </c>
      <c r="P771" s="727">
        <v>120</v>
      </c>
      <c r="Q771" s="750">
        <f t="shared" ref="Q771:Q834" si="108">(O771*(M771*F771))</f>
        <v>0</v>
      </c>
      <c r="R771" s="608">
        <f t="shared" ref="R771:R834" si="109">(P771*(N771*F771))</f>
        <v>267840</v>
      </c>
      <c r="S771" s="751">
        <f t="shared" ref="S771:S834" si="110">R771-Q771</f>
        <v>267840</v>
      </c>
      <c r="T771" s="750">
        <v>55.7</v>
      </c>
      <c r="U771" s="608">
        <f t="shared" ref="U771:U834" si="111">(((F771*N771)*T771)-(T771*(M771*F771)))</f>
        <v>124322.40000000001</v>
      </c>
      <c r="V771" s="751">
        <f t="shared" ref="V771:V834" si="112">S771-U771</f>
        <v>143517.59999999998</v>
      </c>
      <c r="W771" s="752">
        <v>55.7</v>
      </c>
      <c r="X771" s="609">
        <f t="shared" ref="X771:X834" si="113">(((F771*N771)*W771)-(W771*(M771*F771)))</f>
        <v>124322.40000000001</v>
      </c>
      <c r="Y771" s="703">
        <f t="shared" ref="Y771:Y834" si="114">S771-X771</f>
        <v>143517.59999999998</v>
      </c>
      <c r="Z771" s="752">
        <v>55.7</v>
      </c>
      <c r="AA771" s="609">
        <f t="shared" ref="AA771:AA834" si="115">(((F771*N771)*Z771)-(Z771*(M771*F771)))</f>
        <v>124322.40000000001</v>
      </c>
      <c r="AB771" s="753">
        <f t="shared" ref="AB771:AB834" si="116">S771-AA771</f>
        <v>143517.59999999998</v>
      </c>
      <c r="AC771" s="714"/>
    </row>
    <row r="772" spans="1:29" x14ac:dyDescent="0.25">
      <c r="A772" s="713"/>
      <c r="B772" s="731" t="s">
        <v>947</v>
      </c>
      <c r="C772" s="547" t="s">
        <v>40</v>
      </c>
      <c r="D772" s="547" t="s">
        <v>876</v>
      </c>
      <c r="E772" s="683">
        <v>44682</v>
      </c>
      <c r="F772" s="547">
        <v>744</v>
      </c>
      <c r="G772" s="547" t="s">
        <v>59</v>
      </c>
      <c r="H772" s="547" t="s">
        <v>3</v>
      </c>
      <c r="I772" s="547" t="s">
        <v>44</v>
      </c>
      <c r="J772" s="547" t="s">
        <v>85</v>
      </c>
      <c r="K772" s="547">
        <v>130</v>
      </c>
      <c r="L772" s="727" t="s">
        <v>54</v>
      </c>
      <c r="M772" s="697">
        <v>0</v>
      </c>
      <c r="N772" s="727">
        <v>1</v>
      </c>
      <c r="O772" s="697">
        <v>0</v>
      </c>
      <c r="P772" s="727">
        <v>130</v>
      </c>
      <c r="Q772" s="750">
        <f t="shared" si="108"/>
        <v>0</v>
      </c>
      <c r="R772" s="608">
        <f t="shared" si="109"/>
        <v>96720</v>
      </c>
      <c r="S772" s="751">
        <f t="shared" si="110"/>
        <v>96720</v>
      </c>
      <c r="T772" s="750">
        <v>55.7</v>
      </c>
      <c r="U772" s="608">
        <f t="shared" si="111"/>
        <v>41440.800000000003</v>
      </c>
      <c r="V772" s="751">
        <f t="shared" si="112"/>
        <v>55279.199999999997</v>
      </c>
      <c r="W772" s="752">
        <v>55.7</v>
      </c>
      <c r="X772" s="609">
        <f t="shared" si="113"/>
        <v>41440.800000000003</v>
      </c>
      <c r="Y772" s="703">
        <f t="shared" si="114"/>
        <v>55279.199999999997</v>
      </c>
      <c r="Z772" s="752">
        <v>55.7</v>
      </c>
      <c r="AA772" s="609">
        <f t="shared" si="115"/>
        <v>41440.800000000003</v>
      </c>
      <c r="AB772" s="753">
        <f t="shared" si="116"/>
        <v>55279.199999999997</v>
      </c>
      <c r="AC772" s="714"/>
    </row>
    <row r="773" spans="1:29" x14ac:dyDescent="0.25">
      <c r="A773" s="713"/>
      <c r="B773" s="730" t="s">
        <v>949</v>
      </c>
      <c r="C773" s="546" t="s">
        <v>40</v>
      </c>
      <c r="D773" s="546" t="s">
        <v>944</v>
      </c>
      <c r="E773" s="682">
        <v>44652</v>
      </c>
      <c r="F773" s="546">
        <v>720</v>
      </c>
      <c r="G773" s="546" t="s">
        <v>58</v>
      </c>
      <c r="H773" s="546" t="s">
        <v>3</v>
      </c>
      <c r="I773" s="546" t="s">
        <v>44</v>
      </c>
      <c r="J773" s="546" t="s">
        <v>84</v>
      </c>
      <c r="K773" s="546">
        <v>139</v>
      </c>
      <c r="L773" s="726" t="s">
        <v>54</v>
      </c>
      <c r="M773" s="696">
        <v>3</v>
      </c>
      <c r="N773" s="726">
        <v>0</v>
      </c>
      <c r="O773" s="696">
        <v>139</v>
      </c>
      <c r="P773" s="726">
        <v>0</v>
      </c>
      <c r="Q773" s="746">
        <f t="shared" si="108"/>
        <v>300240</v>
      </c>
      <c r="R773" s="606">
        <f t="shared" si="109"/>
        <v>0</v>
      </c>
      <c r="S773" s="747">
        <f t="shared" si="110"/>
        <v>-300240</v>
      </c>
      <c r="T773" s="746">
        <v>55.7</v>
      </c>
      <c r="U773" s="606">
        <f t="shared" si="111"/>
        <v>-120312</v>
      </c>
      <c r="V773" s="747">
        <f t="shared" si="112"/>
        <v>-179928</v>
      </c>
      <c r="W773" s="748">
        <v>55.7</v>
      </c>
      <c r="X773" s="607">
        <f t="shared" si="113"/>
        <v>-120312</v>
      </c>
      <c r="Y773" s="702">
        <f t="shared" si="114"/>
        <v>-179928</v>
      </c>
      <c r="Z773" s="748">
        <v>55.7</v>
      </c>
      <c r="AA773" s="607">
        <f t="shared" si="115"/>
        <v>-120312</v>
      </c>
      <c r="AB773" s="749">
        <f t="shared" si="116"/>
        <v>-179928</v>
      </c>
      <c r="AC773" s="714"/>
    </row>
    <row r="774" spans="1:29" x14ac:dyDescent="0.25">
      <c r="A774" s="713"/>
      <c r="B774" s="714" t="s">
        <v>949</v>
      </c>
      <c r="C774" s="676" t="s">
        <v>40</v>
      </c>
      <c r="D774" s="676" t="s">
        <v>944</v>
      </c>
      <c r="E774" s="680">
        <v>44682</v>
      </c>
      <c r="F774" s="676">
        <v>744</v>
      </c>
      <c r="G774" s="676" t="s">
        <v>58</v>
      </c>
      <c r="H774" s="676" t="s">
        <v>3</v>
      </c>
      <c r="I774" s="676" t="s">
        <v>44</v>
      </c>
      <c r="J774" s="676" t="s">
        <v>84</v>
      </c>
      <c r="K774" s="676">
        <v>139</v>
      </c>
      <c r="L774" s="690" t="s">
        <v>54</v>
      </c>
      <c r="M774" s="691">
        <v>3</v>
      </c>
      <c r="N774" s="690">
        <v>0</v>
      </c>
      <c r="O774" s="691">
        <v>139</v>
      </c>
      <c r="P774" s="690">
        <v>0</v>
      </c>
      <c r="Q774" s="738">
        <f t="shared" si="108"/>
        <v>310248</v>
      </c>
      <c r="R774" s="677">
        <f t="shared" si="109"/>
        <v>0</v>
      </c>
      <c r="S774" s="739">
        <f t="shared" si="110"/>
        <v>-310248</v>
      </c>
      <c r="T774" s="738">
        <v>55.7</v>
      </c>
      <c r="U774" s="677">
        <f t="shared" si="111"/>
        <v>-124322.40000000001</v>
      </c>
      <c r="V774" s="739">
        <f t="shared" si="112"/>
        <v>-185925.59999999998</v>
      </c>
      <c r="W774" s="740">
        <v>55.7</v>
      </c>
      <c r="X774" s="678">
        <f t="shared" si="113"/>
        <v>-124322.40000000001</v>
      </c>
      <c r="Y774" s="700">
        <f t="shared" si="114"/>
        <v>-185925.59999999998</v>
      </c>
      <c r="Z774" s="740">
        <v>55.7</v>
      </c>
      <c r="AA774" s="678">
        <f t="shared" si="115"/>
        <v>-124322.40000000001</v>
      </c>
      <c r="AB774" s="741">
        <f t="shared" si="116"/>
        <v>-185925.59999999998</v>
      </c>
      <c r="AC774" s="714"/>
    </row>
    <row r="775" spans="1:29" x14ac:dyDescent="0.25">
      <c r="A775" s="713"/>
      <c r="B775" s="729" t="s">
        <v>949</v>
      </c>
      <c r="C775" s="545" t="s">
        <v>40</v>
      </c>
      <c r="D775" s="545" t="s">
        <v>944</v>
      </c>
      <c r="E775" s="681">
        <v>44713</v>
      </c>
      <c r="F775" s="545">
        <v>720</v>
      </c>
      <c r="G775" s="545" t="s">
        <v>58</v>
      </c>
      <c r="H775" s="545" t="s">
        <v>3</v>
      </c>
      <c r="I775" s="545" t="s">
        <v>44</v>
      </c>
      <c r="J775" s="545" t="s">
        <v>84</v>
      </c>
      <c r="K775" s="545">
        <v>139</v>
      </c>
      <c r="L775" s="725" t="s">
        <v>54</v>
      </c>
      <c r="M775" s="695">
        <v>3</v>
      </c>
      <c r="N775" s="725">
        <v>0</v>
      </c>
      <c r="O775" s="695">
        <v>139</v>
      </c>
      <c r="P775" s="725">
        <v>0</v>
      </c>
      <c r="Q775" s="742">
        <f t="shared" si="108"/>
        <v>300240</v>
      </c>
      <c r="R775" s="603">
        <f t="shared" si="109"/>
        <v>0</v>
      </c>
      <c r="S775" s="743">
        <f t="shared" si="110"/>
        <v>-300240</v>
      </c>
      <c r="T775" s="742">
        <v>55.71</v>
      </c>
      <c r="U775" s="603">
        <f t="shared" si="111"/>
        <v>-120333.6</v>
      </c>
      <c r="V775" s="743">
        <f t="shared" si="112"/>
        <v>-179906.4</v>
      </c>
      <c r="W775" s="744">
        <v>55.71</v>
      </c>
      <c r="X775" s="604">
        <f t="shared" si="113"/>
        <v>-120333.6</v>
      </c>
      <c r="Y775" s="701">
        <f t="shared" si="114"/>
        <v>-179906.4</v>
      </c>
      <c r="Z775" s="744">
        <v>55.71</v>
      </c>
      <c r="AA775" s="604">
        <f t="shared" si="115"/>
        <v>-120333.6</v>
      </c>
      <c r="AB775" s="745">
        <f t="shared" si="116"/>
        <v>-179906.4</v>
      </c>
      <c r="AC775" s="714"/>
    </row>
    <row r="776" spans="1:29" x14ac:dyDescent="0.25">
      <c r="A776" s="713"/>
      <c r="B776" s="730" t="s">
        <v>951</v>
      </c>
      <c r="C776" s="546" t="s">
        <v>40</v>
      </c>
      <c r="D776" s="546" t="s">
        <v>945</v>
      </c>
      <c r="E776" s="682">
        <v>44652</v>
      </c>
      <c r="F776" s="546">
        <v>720</v>
      </c>
      <c r="G776" s="546" t="s">
        <v>58</v>
      </c>
      <c r="H776" s="546" t="s">
        <v>3</v>
      </c>
      <c r="I776" s="546" t="s">
        <v>44</v>
      </c>
      <c r="J776" s="546" t="s">
        <v>84</v>
      </c>
      <c r="K776" s="546">
        <v>138.5</v>
      </c>
      <c r="L776" s="726" t="s">
        <v>54</v>
      </c>
      <c r="M776" s="696">
        <v>0.1</v>
      </c>
      <c r="N776" s="726">
        <v>0</v>
      </c>
      <c r="O776" s="696">
        <v>138.5</v>
      </c>
      <c r="P776" s="726">
        <v>0</v>
      </c>
      <c r="Q776" s="746">
        <f t="shared" si="108"/>
        <v>9972</v>
      </c>
      <c r="R776" s="606">
        <f t="shared" si="109"/>
        <v>0</v>
      </c>
      <c r="S776" s="747">
        <f t="shared" si="110"/>
        <v>-9972</v>
      </c>
      <c r="T776" s="746">
        <v>55.7</v>
      </c>
      <c r="U776" s="606">
        <f t="shared" si="111"/>
        <v>-4010.4</v>
      </c>
      <c r="V776" s="747">
        <f t="shared" si="112"/>
        <v>-5961.6</v>
      </c>
      <c r="W776" s="748">
        <v>55.7</v>
      </c>
      <c r="X776" s="607">
        <f t="shared" si="113"/>
        <v>-4010.4</v>
      </c>
      <c r="Y776" s="702">
        <f t="shared" si="114"/>
        <v>-5961.6</v>
      </c>
      <c r="Z776" s="748">
        <v>55.7</v>
      </c>
      <c r="AA776" s="607">
        <f t="shared" si="115"/>
        <v>-4010.4</v>
      </c>
      <c r="AB776" s="749">
        <f t="shared" si="116"/>
        <v>-5961.6</v>
      </c>
      <c r="AC776" s="714"/>
    </row>
    <row r="777" spans="1:29" x14ac:dyDescent="0.25">
      <c r="A777" s="713"/>
      <c r="B777" s="714" t="s">
        <v>951</v>
      </c>
      <c r="C777" s="676" t="s">
        <v>40</v>
      </c>
      <c r="D777" s="676" t="s">
        <v>945</v>
      </c>
      <c r="E777" s="680">
        <v>44682</v>
      </c>
      <c r="F777" s="676">
        <v>744</v>
      </c>
      <c r="G777" s="676" t="s">
        <v>58</v>
      </c>
      <c r="H777" s="676" t="s">
        <v>3</v>
      </c>
      <c r="I777" s="676" t="s">
        <v>44</v>
      </c>
      <c r="J777" s="676" t="s">
        <v>84</v>
      </c>
      <c r="K777" s="676">
        <v>138.5</v>
      </c>
      <c r="L777" s="690" t="s">
        <v>54</v>
      </c>
      <c r="M777" s="691">
        <v>0.1</v>
      </c>
      <c r="N777" s="690">
        <v>0</v>
      </c>
      <c r="O777" s="691">
        <v>138.5</v>
      </c>
      <c r="P777" s="690">
        <v>0</v>
      </c>
      <c r="Q777" s="738">
        <f t="shared" si="108"/>
        <v>10304.400000000001</v>
      </c>
      <c r="R777" s="677">
        <f t="shared" si="109"/>
        <v>0</v>
      </c>
      <c r="S777" s="739">
        <f t="shared" si="110"/>
        <v>-10304.400000000001</v>
      </c>
      <c r="T777" s="738">
        <v>55.7</v>
      </c>
      <c r="U777" s="677">
        <f t="shared" si="111"/>
        <v>-4144.0800000000008</v>
      </c>
      <c r="V777" s="739">
        <f t="shared" si="112"/>
        <v>-6160.3200000000006</v>
      </c>
      <c r="W777" s="740">
        <v>55.7</v>
      </c>
      <c r="X777" s="678">
        <f t="shared" si="113"/>
        <v>-4144.0800000000008</v>
      </c>
      <c r="Y777" s="700">
        <f t="shared" si="114"/>
        <v>-6160.3200000000006</v>
      </c>
      <c r="Z777" s="740">
        <v>55.7</v>
      </c>
      <c r="AA777" s="678">
        <f t="shared" si="115"/>
        <v>-4144.0800000000008</v>
      </c>
      <c r="AB777" s="741">
        <f t="shared" si="116"/>
        <v>-6160.3200000000006</v>
      </c>
      <c r="AC777" s="714"/>
    </row>
    <row r="778" spans="1:29" x14ac:dyDescent="0.25">
      <c r="A778" s="713"/>
      <c r="B778" s="729" t="s">
        <v>951</v>
      </c>
      <c r="C778" s="545" t="s">
        <v>40</v>
      </c>
      <c r="D778" s="545" t="s">
        <v>945</v>
      </c>
      <c r="E778" s="681">
        <v>44713</v>
      </c>
      <c r="F778" s="545">
        <v>720</v>
      </c>
      <c r="G778" s="545" t="s">
        <v>58</v>
      </c>
      <c r="H778" s="545" t="s">
        <v>3</v>
      </c>
      <c r="I778" s="545" t="s">
        <v>44</v>
      </c>
      <c r="J778" s="545" t="s">
        <v>84</v>
      </c>
      <c r="K778" s="545">
        <v>138.5</v>
      </c>
      <c r="L778" s="725" t="s">
        <v>54</v>
      </c>
      <c r="M778" s="695">
        <v>0.1</v>
      </c>
      <c r="N778" s="725">
        <v>0</v>
      </c>
      <c r="O778" s="695">
        <v>138.5</v>
      </c>
      <c r="P778" s="725">
        <v>0</v>
      </c>
      <c r="Q778" s="742">
        <f t="shared" si="108"/>
        <v>9972</v>
      </c>
      <c r="R778" s="603">
        <f t="shared" si="109"/>
        <v>0</v>
      </c>
      <c r="S778" s="743">
        <f t="shared" si="110"/>
        <v>-9972</v>
      </c>
      <c r="T778" s="742">
        <v>55.71</v>
      </c>
      <c r="U778" s="603">
        <f t="shared" si="111"/>
        <v>-4011.12</v>
      </c>
      <c r="V778" s="743">
        <f t="shared" si="112"/>
        <v>-5960.88</v>
      </c>
      <c r="W778" s="744">
        <v>55.71</v>
      </c>
      <c r="X778" s="604">
        <f t="shared" si="113"/>
        <v>-4011.12</v>
      </c>
      <c r="Y778" s="701">
        <f t="shared" si="114"/>
        <v>-5960.88</v>
      </c>
      <c r="Z778" s="744">
        <v>55.71</v>
      </c>
      <c r="AA778" s="604">
        <f t="shared" si="115"/>
        <v>-4011.12</v>
      </c>
      <c r="AB778" s="745">
        <f t="shared" si="116"/>
        <v>-5960.88</v>
      </c>
      <c r="AC778" s="714"/>
    </row>
    <row r="779" spans="1:29" x14ac:dyDescent="0.25">
      <c r="A779" s="713"/>
      <c r="B779" s="731" t="s">
        <v>953</v>
      </c>
      <c r="C779" s="547" t="s">
        <v>40</v>
      </c>
      <c r="D779" s="547" t="s">
        <v>876</v>
      </c>
      <c r="E779" s="683">
        <v>44682</v>
      </c>
      <c r="F779" s="547">
        <v>744</v>
      </c>
      <c r="G779" s="547" t="s">
        <v>59</v>
      </c>
      <c r="H779" s="547" t="s">
        <v>3</v>
      </c>
      <c r="I779" s="547" t="s">
        <v>44</v>
      </c>
      <c r="J779" s="547" t="s">
        <v>85</v>
      </c>
      <c r="K779" s="547">
        <v>130</v>
      </c>
      <c r="L779" s="727" t="s">
        <v>54</v>
      </c>
      <c r="M779" s="697">
        <v>0</v>
      </c>
      <c r="N779" s="727">
        <v>5</v>
      </c>
      <c r="O779" s="697">
        <v>0</v>
      </c>
      <c r="P779" s="727">
        <v>130</v>
      </c>
      <c r="Q779" s="750">
        <f t="shared" si="108"/>
        <v>0</v>
      </c>
      <c r="R779" s="608">
        <f t="shared" si="109"/>
        <v>483600</v>
      </c>
      <c r="S779" s="751">
        <f t="shared" si="110"/>
        <v>483600</v>
      </c>
      <c r="T779" s="750">
        <v>55.7</v>
      </c>
      <c r="U779" s="608">
        <f t="shared" si="111"/>
        <v>207204</v>
      </c>
      <c r="V779" s="751">
        <f t="shared" si="112"/>
        <v>276396</v>
      </c>
      <c r="W779" s="752">
        <v>55.7</v>
      </c>
      <c r="X779" s="609">
        <f t="shared" si="113"/>
        <v>207204</v>
      </c>
      <c r="Y779" s="703">
        <f t="shared" si="114"/>
        <v>276396</v>
      </c>
      <c r="Z779" s="752">
        <v>55.7</v>
      </c>
      <c r="AA779" s="609">
        <f t="shared" si="115"/>
        <v>207204</v>
      </c>
      <c r="AB779" s="753">
        <f t="shared" si="116"/>
        <v>276396</v>
      </c>
      <c r="AC779" s="714"/>
    </row>
    <row r="780" spans="1:29" x14ac:dyDescent="0.25">
      <c r="A780" s="713"/>
      <c r="B780" s="731" t="s">
        <v>955</v>
      </c>
      <c r="C780" s="547" t="s">
        <v>40</v>
      </c>
      <c r="D780" s="547" t="s">
        <v>409</v>
      </c>
      <c r="E780" s="683">
        <v>44621</v>
      </c>
      <c r="F780" s="547">
        <v>744</v>
      </c>
      <c r="G780" s="547" t="s">
        <v>59</v>
      </c>
      <c r="H780" s="547" t="s">
        <v>3</v>
      </c>
      <c r="I780" s="547" t="s">
        <v>44</v>
      </c>
      <c r="J780" s="547" t="s">
        <v>85</v>
      </c>
      <c r="K780" s="547">
        <v>125</v>
      </c>
      <c r="L780" s="727" t="s">
        <v>54</v>
      </c>
      <c r="M780" s="697">
        <v>0</v>
      </c>
      <c r="N780" s="727">
        <v>1</v>
      </c>
      <c r="O780" s="697">
        <v>0</v>
      </c>
      <c r="P780" s="727">
        <v>125</v>
      </c>
      <c r="Q780" s="750">
        <f t="shared" si="108"/>
        <v>0</v>
      </c>
      <c r="R780" s="608">
        <f t="shared" si="109"/>
        <v>93000</v>
      </c>
      <c r="S780" s="751">
        <f t="shared" si="110"/>
        <v>93000</v>
      </c>
      <c r="T780" s="750">
        <v>55.7</v>
      </c>
      <c r="U780" s="608">
        <f t="shared" si="111"/>
        <v>41440.800000000003</v>
      </c>
      <c r="V780" s="751">
        <f t="shared" si="112"/>
        <v>51559.199999999997</v>
      </c>
      <c r="W780" s="752">
        <v>55.7</v>
      </c>
      <c r="X780" s="609">
        <f t="shared" si="113"/>
        <v>41440.800000000003</v>
      </c>
      <c r="Y780" s="703">
        <f t="shared" si="114"/>
        <v>51559.199999999997</v>
      </c>
      <c r="Z780" s="752">
        <v>55.7</v>
      </c>
      <c r="AA780" s="609">
        <f t="shared" si="115"/>
        <v>41440.800000000003</v>
      </c>
      <c r="AB780" s="753">
        <f t="shared" si="116"/>
        <v>51559.199999999997</v>
      </c>
      <c r="AC780" s="714"/>
    </row>
    <row r="781" spans="1:29" x14ac:dyDescent="0.25">
      <c r="A781" s="713"/>
      <c r="B781" s="731" t="s">
        <v>957</v>
      </c>
      <c r="C781" s="547" t="s">
        <v>40</v>
      </c>
      <c r="D781" s="547" t="s">
        <v>876</v>
      </c>
      <c r="E781" s="683">
        <v>44652</v>
      </c>
      <c r="F781" s="547">
        <v>720</v>
      </c>
      <c r="G781" s="547" t="s">
        <v>59</v>
      </c>
      <c r="H781" s="547" t="s">
        <v>3</v>
      </c>
      <c r="I781" s="547" t="s">
        <v>44</v>
      </c>
      <c r="J781" s="547" t="s">
        <v>85</v>
      </c>
      <c r="K781" s="547">
        <v>120</v>
      </c>
      <c r="L781" s="727" t="s">
        <v>54</v>
      </c>
      <c r="M781" s="697">
        <v>0</v>
      </c>
      <c r="N781" s="727">
        <v>5</v>
      </c>
      <c r="O781" s="697">
        <v>0</v>
      </c>
      <c r="P781" s="727">
        <v>120</v>
      </c>
      <c r="Q781" s="750">
        <f t="shared" si="108"/>
        <v>0</v>
      </c>
      <c r="R781" s="608">
        <f t="shared" si="109"/>
        <v>432000</v>
      </c>
      <c r="S781" s="751">
        <f t="shared" si="110"/>
        <v>432000</v>
      </c>
      <c r="T781" s="750">
        <v>55.7</v>
      </c>
      <c r="U781" s="608">
        <f t="shared" si="111"/>
        <v>200520</v>
      </c>
      <c r="V781" s="751">
        <f t="shared" si="112"/>
        <v>231480</v>
      </c>
      <c r="W781" s="752">
        <v>55.7</v>
      </c>
      <c r="X781" s="609">
        <f t="shared" si="113"/>
        <v>200520</v>
      </c>
      <c r="Y781" s="703">
        <f t="shared" si="114"/>
        <v>231480</v>
      </c>
      <c r="Z781" s="752">
        <v>55.7</v>
      </c>
      <c r="AA781" s="609">
        <f t="shared" si="115"/>
        <v>200520</v>
      </c>
      <c r="AB781" s="753">
        <f t="shared" si="116"/>
        <v>231480</v>
      </c>
      <c r="AC781" s="714"/>
    </row>
    <row r="782" spans="1:29" x14ac:dyDescent="0.25">
      <c r="A782" s="713"/>
      <c r="B782" s="731" t="s">
        <v>959</v>
      </c>
      <c r="C782" s="547" t="s">
        <v>40</v>
      </c>
      <c r="D782" s="547" t="s">
        <v>409</v>
      </c>
      <c r="E782" s="683">
        <v>44621</v>
      </c>
      <c r="F782" s="547">
        <v>744</v>
      </c>
      <c r="G782" s="547" t="s">
        <v>59</v>
      </c>
      <c r="H782" s="547" t="s">
        <v>3</v>
      </c>
      <c r="I782" s="547" t="s">
        <v>44</v>
      </c>
      <c r="J782" s="547" t="s">
        <v>85</v>
      </c>
      <c r="K782" s="547">
        <v>125</v>
      </c>
      <c r="L782" s="727" t="s">
        <v>54</v>
      </c>
      <c r="M782" s="697">
        <v>0</v>
      </c>
      <c r="N782" s="727">
        <v>1</v>
      </c>
      <c r="O782" s="697">
        <v>0</v>
      </c>
      <c r="P782" s="727">
        <v>125</v>
      </c>
      <c r="Q782" s="750">
        <f t="shared" si="108"/>
        <v>0</v>
      </c>
      <c r="R782" s="608">
        <f t="shared" si="109"/>
        <v>93000</v>
      </c>
      <c r="S782" s="751">
        <f t="shared" si="110"/>
        <v>93000</v>
      </c>
      <c r="T782" s="750">
        <v>55.7</v>
      </c>
      <c r="U782" s="608">
        <f t="shared" si="111"/>
        <v>41440.800000000003</v>
      </c>
      <c r="V782" s="751">
        <f t="shared" si="112"/>
        <v>51559.199999999997</v>
      </c>
      <c r="W782" s="752">
        <v>55.7</v>
      </c>
      <c r="X782" s="609">
        <f t="shared" si="113"/>
        <v>41440.800000000003</v>
      </c>
      <c r="Y782" s="703">
        <f t="shared" si="114"/>
        <v>51559.199999999997</v>
      </c>
      <c r="Z782" s="752">
        <v>55.7</v>
      </c>
      <c r="AA782" s="609">
        <f t="shared" si="115"/>
        <v>41440.800000000003</v>
      </c>
      <c r="AB782" s="753">
        <f t="shared" si="116"/>
        <v>51559.199999999997</v>
      </c>
      <c r="AC782" s="714"/>
    </row>
    <row r="783" spans="1:29" x14ac:dyDescent="0.25">
      <c r="A783" s="713"/>
      <c r="B783" s="730" t="s">
        <v>961</v>
      </c>
      <c r="C783" s="546" t="s">
        <v>40</v>
      </c>
      <c r="D783" s="546" t="s">
        <v>409</v>
      </c>
      <c r="E783" s="682">
        <v>44652</v>
      </c>
      <c r="F783" s="546">
        <v>720</v>
      </c>
      <c r="G783" s="546" t="s">
        <v>58</v>
      </c>
      <c r="H783" s="546" t="s">
        <v>3</v>
      </c>
      <c r="I783" s="546" t="s">
        <v>44</v>
      </c>
      <c r="J783" s="546" t="s">
        <v>84</v>
      </c>
      <c r="K783" s="546">
        <v>139</v>
      </c>
      <c r="L783" s="726" t="s">
        <v>54</v>
      </c>
      <c r="M783" s="696">
        <v>2</v>
      </c>
      <c r="N783" s="726">
        <v>0</v>
      </c>
      <c r="O783" s="696">
        <v>139</v>
      </c>
      <c r="P783" s="726">
        <v>0</v>
      </c>
      <c r="Q783" s="746">
        <f t="shared" si="108"/>
        <v>200160</v>
      </c>
      <c r="R783" s="606">
        <f t="shared" si="109"/>
        <v>0</v>
      </c>
      <c r="S783" s="747">
        <f t="shared" si="110"/>
        <v>-200160</v>
      </c>
      <c r="T783" s="746">
        <v>55.7</v>
      </c>
      <c r="U783" s="606">
        <f t="shared" si="111"/>
        <v>-80208</v>
      </c>
      <c r="V783" s="747">
        <f t="shared" si="112"/>
        <v>-119952</v>
      </c>
      <c r="W783" s="748">
        <v>55.7</v>
      </c>
      <c r="X783" s="607">
        <f t="shared" si="113"/>
        <v>-80208</v>
      </c>
      <c r="Y783" s="702">
        <f t="shared" si="114"/>
        <v>-119952</v>
      </c>
      <c r="Z783" s="748">
        <v>55.7</v>
      </c>
      <c r="AA783" s="607">
        <f t="shared" si="115"/>
        <v>-80208</v>
      </c>
      <c r="AB783" s="749">
        <f t="shared" si="116"/>
        <v>-119952</v>
      </c>
      <c r="AC783" s="714"/>
    </row>
    <row r="784" spans="1:29" x14ac:dyDescent="0.25">
      <c r="A784" s="713"/>
      <c r="B784" s="714" t="s">
        <v>961</v>
      </c>
      <c r="C784" s="676" t="s">
        <v>40</v>
      </c>
      <c r="D784" s="676" t="s">
        <v>409</v>
      </c>
      <c r="E784" s="680">
        <v>44682</v>
      </c>
      <c r="F784" s="676">
        <v>744</v>
      </c>
      <c r="G784" s="676" t="s">
        <v>58</v>
      </c>
      <c r="H784" s="676" t="s">
        <v>3</v>
      </c>
      <c r="I784" s="676" t="s">
        <v>44</v>
      </c>
      <c r="J784" s="676" t="s">
        <v>84</v>
      </c>
      <c r="K784" s="676">
        <v>139</v>
      </c>
      <c r="L784" s="690" t="s">
        <v>54</v>
      </c>
      <c r="M784" s="691">
        <v>2</v>
      </c>
      <c r="N784" s="690">
        <v>0</v>
      </c>
      <c r="O784" s="691">
        <v>139</v>
      </c>
      <c r="P784" s="690">
        <v>0</v>
      </c>
      <c r="Q784" s="738">
        <f t="shared" si="108"/>
        <v>206832</v>
      </c>
      <c r="R784" s="677">
        <f t="shared" si="109"/>
        <v>0</v>
      </c>
      <c r="S784" s="739">
        <f t="shared" si="110"/>
        <v>-206832</v>
      </c>
      <c r="T784" s="738">
        <v>55.7</v>
      </c>
      <c r="U784" s="677">
        <f t="shared" si="111"/>
        <v>-82881.600000000006</v>
      </c>
      <c r="V784" s="739">
        <f t="shared" si="112"/>
        <v>-123950.39999999999</v>
      </c>
      <c r="W784" s="740">
        <v>55.7</v>
      </c>
      <c r="X784" s="678">
        <f t="shared" si="113"/>
        <v>-82881.600000000006</v>
      </c>
      <c r="Y784" s="700">
        <f t="shared" si="114"/>
        <v>-123950.39999999999</v>
      </c>
      <c r="Z784" s="740">
        <v>55.7</v>
      </c>
      <c r="AA784" s="678">
        <f t="shared" si="115"/>
        <v>-82881.600000000006</v>
      </c>
      <c r="AB784" s="741">
        <f t="shared" si="116"/>
        <v>-123950.39999999999</v>
      </c>
      <c r="AC784" s="714"/>
    </row>
    <row r="785" spans="1:29" x14ac:dyDescent="0.25">
      <c r="A785" s="713"/>
      <c r="B785" s="729" t="s">
        <v>961</v>
      </c>
      <c r="C785" s="545" t="s">
        <v>40</v>
      </c>
      <c r="D785" s="545" t="s">
        <v>409</v>
      </c>
      <c r="E785" s="681">
        <v>44713</v>
      </c>
      <c r="F785" s="545">
        <v>720</v>
      </c>
      <c r="G785" s="545" t="s">
        <v>58</v>
      </c>
      <c r="H785" s="545" t="s">
        <v>3</v>
      </c>
      <c r="I785" s="545" t="s">
        <v>44</v>
      </c>
      <c r="J785" s="545" t="s">
        <v>84</v>
      </c>
      <c r="K785" s="545">
        <v>139</v>
      </c>
      <c r="L785" s="725" t="s">
        <v>54</v>
      </c>
      <c r="M785" s="695">
        <v>2</v>
      </c>
      <c r="N785" s="725">
        <v>0</v>
      </c>
      <c r="O785" s="695">
        <v>139</v>
      </c>
      <c r="P785" s="725">
        <v>0</v>
      </c>
      <c r="Q785" s="742">
        <f t="shared" si="108"/>
        <v>200160</v>
      </c>
      <c r="R785" s="603">
        <f t="shared" si="109"/>
        <v>0</v>
      </c>
      <c r="S785" s="743">
        <f t="shared" si="110"/>
        <v>-200160</v>
      </c>
      <c r="T785" s="742">
        <v>55.71</v>
      </c>
      <c r="U785" s="603">
        <f t="shared" si="111"/>
        <v>-80222.399999999994</v>
      </c>
      <c r="V785" s="743">
        <f t="shared" si="112"/>
        <v>-119937.60000000001</v>
      </c>
      <c r="W785" s="744">
        <v>55.71</v>
      </c>
      <c r="X785" s="604">
        <f t="shared" si="113"/>
        <v>-80222.399999999994</v>
      </c>
      <c r="Y785" s="701">
        <f t="shared" si="114"/>
        <v>-119937.60000000001</v>
      </c>
      <c r="Z785" s="744">
        <v>55.71</v>
      </c>
      <c r="AA785" s="604">
        <f t="shared" si="115"/>
        <v>-80222.399999999994</v>
      </c>
      <c r="AB785" s="745">
        <f t="shared" si="116"/>
        <v>-119937.60000000001</v>
      </c>
      <c r="AC785" s="714"/>
    </row>
    <row r="786" spans="1:29" x14ac:dyDescent="0.25">
      <c r="A786" s="713"/>
      <c r="B786" s="731" t="s">
        <v>970</v>
      </c>
      <c r="C786" s="547" t="s">
        <v>40</v>
      </c>
      <c r="D786" s="547" t="s">
        <v>967</v>
      </c>
      <c r="E786" s="683">
        <v>44896</v>
      </c>
      <c r="F786" s="547">
        <v>744</v>
      </c>
      <c r="G786" s="547" t="s">
        <v>59</v>
      </c>
      <c r="H786" s="547" t="s">
        <v>3</v>
      </c>
      <c r="I786" s="547" t="s">
        <v>44</v>
      </c>
      <c r="J786" s="547" t="s">
        <v>85</v>
      </c>
      <c r="K786" s="547">
        <v>180</v>
      </c>
      <c r="L786" s="727" t="s">
        <v>54</v>
      </c>
      <c r="M786" s="697">
        <v>0</v>
      </c>
      <c r="N786" s="727">
        <v>10</v>
      </c>
      <c r="O786" s="697">
        <v>0</v>
      </c>
      <c r="P786" s="727">
        <v>180</v>
      </c>
      <c r="Q786" s="750">
        <f t="shared" si="108"/>
        <v>0</v>
      </c>
      <c r="R786" s="608">
        <f t="shared" si="109"/>
        <v>1339200</v>
      </c>
      <c r="S786" s="751">
        <f t="shared" si="110"/>
        <v>1339200</v>
      </c>
      <c r="T786" s="750">
        <v>55.7</v>
      </c>
      <c r="U786" s="608">
        <f t="shared" si="111"/>
        <v>414408</v>
      </c>
      <c r="V786" s="751">
        <f t="shared" si="112"/>
        <v>924792</v>
      </c>
      <c r="W786" s="752">
        <v>55.7</v>
      </c>
      <c r="X786" s="609">
        <f t="shared" si="113"/>
        <v>414408</v>
      </c>
      <c r="Y786" s="703">
        <f t="shared" si="114"/>
        <v>924792</v>
      </c>
      <c r="Z786" s="752">
        <v>78.400653594793155</v>
      </c>
      <c r="AA786" s="609">
        <f t="shared" si="115"/>
        <v>583300.86274526105</v>
      </c>
      <c r="AB786" s="753">
        <f t="shared" si="116"/>
        <v>755899.13725473895</v>
      </c>
      <c r="AC786" s="714"/>
    </row>
    <row r="787" spans="1:29" x14ac:dyDescent="0.25">
      <c r="A787" s="713"/>
      <c r="B787" s="731" t="s">
        <v>972</v>
      </c>
      <c r="C787" s="547" t="s">
        <v>40</v>
      </c>
      <c r="D787" s="547" t="s">
        <v>968</v>
      </c>
      <c r="E787" s="683">
        <v>44621</v>
      </c>
      <c r="F787" s="547">
        <v>744</v>
      </c>
      <c r="G787" s="547" t="s">
        <v>59</v>
      </c>
      <c r="H787" s="547" t="s">
        <v>3</v>
      </c>
      <c r="I787" s="547" t="s">
        <v>44</v>
      </c>
      <c r="J787" s="547" t="s">
        <v>85</v>
      </c>
      <c r="K787" s="547">
        <v>124</v>
      </c>
      <c r="L787" s="727" t="s">
        <v>54</v>
      </c>
      <c r="M787" s="697">
        <v>0</v>
      </c>
      <c r="N787" s="727">
        <v>1</v>
      </c>
      <c r="O787" s="697">
        <v>0</v>
      </c>
      <c r="P787" s="727">
        <v>124</v>
      </c>
      <c r="Q787" s="750">
        <f t="shared" si="108"/>
        <v>0</v>
      </c>
      <c r="R787" s="608">
        <f t="shared" si="109"/>
        <v>92256</v>
      </c>
      <c r="S787" s="751">
        <f t="shared" si="110"/>
        <v>92256</v>
      </c>
      <c r="T787" s="750">
        <v>55.7</v>
      </c>
      <c r="U787" s="608">
        <f t="shared" si="111"/>
        <v>41440.800000000003</v>
      </c>
      <c r="V787" s="751">
        <f t="shared" si="112"/>
        <v>50815.199999999997</v>
      </c>
      <c r="W787" s="752">
        <v>55.7</v>
      </c>
      <c r="X787" s="609">
        <f t="shared" si="113"/>
        <v>41440.800000000003</v>
      </c>
      <c r="Y787" s="703">
        <f t="shared" si="114"/>
        <v>50815.199999999997</v>
      </c>
      <c r="Z787" s="752">
        <v>55.7</v>
      </c>
      <c r="AA787" s="609">
        <f t="shared" si="115"/>
        <v>41440.800000000003</v>
      </c>
      <c r="AB787" s="753">
        <f t="shared" si="116"/>
        <v>50815.199999999997</v>
      </c>
      <c r="AC787" s="714"/>
    </row>
    <row r="788" spans="1:29" x14ac:dyDescent="0.25">
      <c r="A788" s="713"/>
      <c r="B788" s="731" t="s">
        <v>974</v>
      </c>
      <c r="C788" s="547" t="s">
        <v>40</v>
      </c>
      <c r="D788" s="547" t="s">
        <v>508</v>
      </c>
      <c r="E788" s="683">
        <v>44652</v>
      </c>
      <c r="F788" s="547">
        <v>720</v>
      </c>
      <c r="G788" s="547" t="s">
        <v>59</v>
      </c>
      <c r="H788" s="547" t="s">
        <v>3</v>
      </c>
      <c r="I788" s="547" t="s">
        <v>44</v>
      </c>
      <c r="J788" s="547" t="s">
        <v>85</v>
      </c>
      <c r="K788" s="547">
        <v>124</v>
      </c>
      <c r="L788" s="727" t="s">
        <v>54</v>
      </c>
      <c r="M788" s="697">
        <v>0</v>
      </c>
      <c r="N788" s="727">
        <v>0.6</v>
      </c>
      <c r="O788" s="697">
        <v>0</v>
      </c>
      <c r="P788" s="727">
        <v>124</v>
      </c>
      <c r="Q788" s="750">
        <f t="shared" si="108"/>
        <v>0</v>
      </c>
      <c r="R788" s="608">
        <f t="shared" si="109"/>
        <v>53568</v>
      </c>
      <c r="S788" s="751">
        <f t="shared" si="110"/>
        <v>53568</v>
      </c>
      <c r="T788" s="750">
        <v>55.7</v>
      </c>
      <c r="U788" s="608">
        <f t="shared" si="111"/>
        <v>24062.400000000001</v>
      </c>
      <c r="V788" s="751">
        <f t="shared" si="112"/>
        <v>29505.599999999999</v>
      </c>
      <c r="W788" s="752">
        <v>55.7</v>
      </c>
      <c r="X788" s="609">
        <f t="shared" si="113"/>
        <v>24062.400000000001</v>
      </c>
      <c r="Y788" s="703">
        <f t="shared" si="114"/>
        <v>29505.599999999999</v>
      </c>
      <c r="Z788" s="752">
        <v>55.7</v>
      </c>
      <c r="AA788" s="609">
        <f t="shared" si="115"/>
        <v>24062.400000000001</v>
      </c>
      <c r="AB788" s="753">
        <f t="shared" si="116"/>
        <v>29505.599999999999</v>
      </c>
      <c r="AC788" s="714"/>
    </row>
    <row r="789" spans="1:29" x14ac:dyDescent="0.25">
      <c r="A789" s="713"/>
      <c r="B789" s="731" t="s">
        <v>976</v>
      </c>
      <c r="C789" s="547" t="s">
        <v>40</v>
      </c>
      <c r="D789" s="547" t="s">
        <v>478</v>
      </c>
      <c r="E789" s="683">
        <v>44621</v>
      </c>
      <c r="F789" s="547">
        <v>744</v>
      </c>
      <c r="G789" s="547" t="s">
        <v>59</v>
      </c>
      <c r="H789" s="547" t="s">
        <v>3</v>
      </c>
      <c r="I789" s="547" t="s">
        <v>44</v>
      </c>
      <c r="J789" s="547" t="s">
        <v>85</v>
      </c>
      <c r="K789" s="547">
        <v>121</v>
      </c>
      <c r="L789" s="727" t="s">
        <v>54</v>
      </c>
      <c r="M789" s="697">
        <v>0</v>
      </c>
      <c r="N789" s="727">
        <v>3</v>
      </c>
      <c r="O789" s="697">
        <v>0</v>
      </c>
      <c r="P789" s="727">
        <v>121</v>
      </c>
      <c r="Q789" s="750">
        <f t="shared" si="108"/>
        <v>0</v>
      </c>
      <c r="R789" s="608">
        <f t="shared" si="109"/>
        <v>270072</v>
      </c>
      <c r="S789" s="751">
        <f t="shared" si="110"/>
        <v>270072</v>
      </c>
      <c r="T789" s="750">
        <v>55.7</v>
      </c>
      <c r="U789" s="608">
        <f t="shared" si="111"/>
        <v>124322.40000000001</v>
      </c>
      <c r="V789" s="751">
        <f t="shared" si="112"/>
        <v>145749.59999999998</v>
      </c>
      <c r="W789" s="752">
        <v>55.7</v>
      </c>
      <c r="X789" s="609">
        <f t="shared" si="113"/>
        <v>124322.40000000001</v>
      </c>
      <c r="Y789" s="703">
        <f t="shared" si="114"/>
        <v>145749.59999999998</v>
      </c>
      <c r="Z789" s="752">
        <v>55.7</v>
      </c>
      <c r="AA789" s="609">
        <f t="shared" si="115"/>
        <v>124322.40000000001</v>
      </c>
      <c r="AB789" s="753">
        <f t="shared" si="116"/>
        <v>145749.59999999998</v>
      </c>
      <c r="AC789" s="714"/>
    </row>
    <row r="790" spans="1:29" x14ac:dyDescent="0.25">
      <c r="A790" s="713"/>
      <c r="B790" s="731" t="s">
        <v>978</v>
      </c>
      <c r="C790" s="547" t="s">
        <v>40</v>
      </c>
      <c r="D790" s="547" t="s">
        <v>409</v>
      </c>
      <c r="E790" s="683">
        <v>44621</v>
      </c>
      <c r="F790" s="547">
        <v>744</v>
      </c>
      <c r="G790" s="547" t="s">
        <v>59</v>
      </c>
      <c r="H790" s="547" t="s">
        <v>3</v>
      </c>
      <c r="I790" s="547" t="s">
        <v>44</v>
      </c>
      <c r="J790" s="547" t="s">
        <v>85</v>
      </c>
      <c r="K790" s="547">
        <v>120</v>
      </c>
      <c r="L790" s="727" t="s">
        <v>54</v>
      </c>
      <c r="M790" s="697">
        <v>0</v>
      </c>
      <c r="N790" s="727">
        <v>5</v>
      </c>
      <c r="O790" s="697">
        <v>0</v>
      </c>
      <c r="P790" s="727">
        <v>120</v>
      </c>
      <c r="Q790" s="750">
        <f t="shared" si="108"/>
        <v>0</v>
      </c>
      <c r="R790" s="608">
        <f t="shared" si="109"/>
        <v>446400</v>
      </c>
      <c r="S790" s="751">
        <f t="shared" si="110"/>
        <v>446400</v>
      </c>
      <c r="T790" s="750">
        <v>55.7</v>
      </c>
      <c r="U790" s="608">
        <f t="shared" si="111"/>
        <v>207204</v>
      </c>
      <c r="V790" s="751">
        <f t="shared" si="112"/>
        <v>239196</v>
      </c>
      <c r="W790" s="752">
        <v>55.7</v>
      </c>
      <c r="X790" s="609">
        <f t="shared" si="113"/>
        <v>207204</v>
      </c>
      <c r="Y790" s="703">
        <f t="shared" si="114"/>
        <v>239196</v>
      </c>
      <c r="Z790" s="752">
        <v>55.7</v>
      </c>
      <c r="AA790" s="609">
        <f t="shared" si="115"/>
        <v>207204</v>
      </c>
      <c r="AB790" s="753">
        <f t="shared" si="116"/>
        <v>239196</v>
      </c>
      <c r="AC790" s="714"/>
    </row>
    <row r="791" spans="1:29" x14ac:dyDescent="0.25">
      <c r="A791" s="713"/>
      <c r="B791" s="731" t="s">
        <v>983</v>
      </c>
      <c r="C791" s="547" t="s">
        <v>40</v>
      </c>
      <c r="D791" s="547" t="s">
        <v>981</v>
      </c>
      <c r="E791" s="683">
        <v>44621</v>
      </c>
      <c r="F791" s="547">
        <v>744</v>
      </c>
      <c r="G791" s="547" t="s">
        <v>59</v>
      </c>
      <c r="H791" s="547" t="s">
        <v>3</v>
      </c>
      <c r="I791" s="547" t="s">
        <v>44</v>
      </c>
      <c r="J791" s="547" t="s">
        <v>85</v>
      </c>
      <c r="K791" s="547">
        <v>125</v>
      </c>
      <c r="L791" s="727" t="s">
        <v>54</v>
      </c>
      <c r="M791" s="697">
        <v>0</v>
      </c>
      <c r="N791" s="727">
        <v>1</v>
      </c>
      <c r="O791" s="697">
        <v>0</v>
      </c>
      <c r="P791" s="727">
        <v>125</v>
      </c>
      <c r="Q791" s="750">
        <f t="shared" si="108"/>
        <v>0</v>
      </c>
      <c r="R791" s="608">
        <f t="shared" si="109"/>
        <v>93000</v>
      </c>
      <c r="S791" s="751">
        <f t="shared" si="110"/>
        <v>93000</v>
      </c>
      <c r="T791" s="750">
        <v>55.7</v>
      </c>
      <c r="U791" s="608">
        <f t="shared" si="111"/>
        <v>41440.800000000003</v>
      </c>
      <c r="V791" s="751">
        <f t="shared" si="112"/>
        <v>51559.199999999997</v>
      </c>
      <c r="W791" s="752">
        <v>55.7</v>
      </c>
      <c r="X791" s="609">
        <f t="shared" si="113"/>
        <v>41440.800000000003</v>
      </c>
      <c r="Y791" s="703">
        <f t="shared" si="114"/>
        <v>51559.199999999997</v>
      </c>
      <c r="Z791" s="752">
        <v>55.7</v>
      </c>
      <c r="AA791" s="609">
        <f t="shared" si="115"/>
        <v>41440.800000000003</v>
      </c>
      <c r="AB791" s="753">
        <f t="shared" si="116"/>
        <v>51559.199999999997</v>
      </c>
      <c r="AC791" s="714"/>
    </row>
    <row r="792" spans="1:29" x14ac:dyDescent="0.25">
      <c r="A792" s="713"/>
      <c r="B792" s="731" t="s">
        <v>985</v>
      </c>
      <c r="C792" s="547" t="s">
        <v>40</v>
      </c>
      <c r="D792" s="547" t="s">
        <v>409</v>
      </c>
      <c r="E792" s="683">
        <v>44621</v>
      </c>
      <c r="F792" s="547">
        <v>744</v>
      </c>
      <c r="G792" s="547" t="s">
        <v>59</v>
      </c>
      <c r="H792" s="547" t="s">
        <v>3</v>
      </c>
      <c r="I792" s="547" t="s">
        <v>44</v>
      </c>
      <c r="J792" s="547" t="s">
        <v>85</v>
      </c>
      <c r="K792" s="547">
        <v>123</v>
      </c>
      <c r="L792" s="727" t="s">
        <v>54</v>
      </c>
      <c r="M792" s="697">
        <v>0</v>
      </c>
      <c r="N792" s="727">
        <v>5</v>
      </c>
      <c r="O792" s="697">
        <v>0</v>
      </c>
      <c r="P792" s="727">
        <v>123</v>
      </c>
      <c r="Q792" s="750">
        <f t="shared" si="108"/>
        <v>0</v>
      </c>
      <c r="R792" s="608">
        <f t="shared" si="109"/>
        <v>457560</v>
      </c>
      <c r="S792" s="751">
        <f t="shared" si="110"/>
        <v>457560</v>
      </c>
      <c r="T792" s="750">
        <v>55.7</v>
      </c>
      <c r="U792" s="608">
        <f t="shared" si="111"/>
        <v>207204</v>
      </c>
      <c r="V792" s="751">
        <f t="shared" si="112"/>
        <v>250356</v>
      </c>
      <c r="W792" s="752">
        <v>55.7</v>
      </c>
      <c r="X792" s="609">
        <f t="shared" si="113"/>
        <v>207204</v>
      </c>
      <c r="Y792" s="703">
        <f t="shared" si="114"/>
        <v>250356</v>
      </c>
      <c r="Z792" s="752">
        <v>55.7</v>
      </c>
      <c r="AA792" s="609">
        <f t="shared" si="115"/>
        <v>207204</v>
      </c>
      <c r="AB792" s="753">
        <f t="shared" si="116"/>
        <v>250356</v>
      </c>
      <c r="AC792" s="714"/>
    </row>
    <row r="793" spans="1:29" x14ac:dyDescent="0.25">
      <c r="A793" s="713"/>
      <c r="B793" s="731" t="s">
        <v>1002</v>
      </c>
      <c r="C793" s="547" t="s">
        <v>40</v>
      </c>
      <c r="D793" s="547" t="s">
        <v>475</v>
      </c>
      <c r="E793" s="683">
        <v>44652</v>
      </c>
      <c r="F793" s="547">
        <v>720</v>
      </c>
      <c r="G793" s="547" t="s">
        <v>59</v>
      </c>
      <c r="H793" s="547" t="s">
        <v>3</v>
      </c>
      <c r="I793" s="547" t="s">
        <v>44</v>
      </c>
      <c r="J793" s="547" t="s">
        <v>85</v>
      </c>
      <c r="K793" s="547">
        <v>132</v>
      </c>
      <c r="L793" s="727" t="s">
        <v>54</v>
      </c>
      <c r="M793" s="697">
        <v>0</v>
      </c>
      <c r="N793" s="727">
        <v>20</v>
      </c>
      <c r="O793" s="697">
        <v>0</v>
      </c>
      <c r="P793" s="727">
        <v>132</v>
      </c>
      <c r="Q793" s="750">
        <f t="shared" si="108"/>
        <v>0</v>
      </c>
      <c r="R793" s="608">
        <f t="shared" si="109"/>
        <v>1900800</v>
      </c>
      <c r="S793" s="751">
        <f t="shared" si="110"/>
        <v>1900800</v>
      </c>
      <c r="T793" s="750">
        <v>55.7</v>
      </c>
      <c r="U793" s="608">
        <f t="shared" si="111"/>
        <v>802080</v>
      </c>
      <c r="V793" s="751">
        <f t="shared" si="112"/>
        <v>1098720</v>
      </c>
      <c r="W793" s="752">
        <v>55.7</v>
      </c>
      <c r="X793" s="609">
        <f t="shared" si="113"/>
        <v>802080</v>
      </c>
      <c r="Y793" s="703">
        <f t="shared" si="114"/>
        <v>1098720</v>
      </c>
      <c r="Z793" s="752">
        <v>55.7</v>
      </c>
      <c r="AA793" s="609">
        <f t="shared" si="115"/>
        <v>802080</v>
      </c>
      <c r="AB793" s="753">
        <f t="shared" si="116"/>
        <v>1098720</v>
      </c>
      <c r="AC793" s="714"/>
    </row>
    <row r="794" spans="1:29" x14ac:dyDescent="0.25">
      <c r="A794" s="713"/>
      <c r="B794" s="731" t="s">
        <v>1004</v>
      </c>
      <c r="C794" s="547" t="s">
        <v>40</v>
      </c>
      <c r="D794" s="547" t="s">
        <v>475</v>
      </c>
      <c r="E794" s="683">
        <v>44774</v>
      </c>
      <c r="F794" s="547">
        <v>744</v>
      </c>
      <c r="G794" s="547" t="s">
        <v>58</v>
      </c>
      <c r="H794" s="547" t="s">
        <v>3</v>
      </c>
      <c r="I794" s="547" t="s">
        <v>44</v>
      </c>
      <c r="J794" s="547" t="s">
        <v>84</v>
      </c>
      <c r="K794" s="547">
        <v>245</v>
      </c>
      <c r="L794" s="727" t="s">
        <v>54</v>
      </c>
      <c r="M794" s="697">
        <v>5</v>
      </c>
      <c r="N794" s="727">
        <v>0</v>
      </c>
      <c r="O794" s="697">
        <v>245</v>
      </c>
      <c r="P794" s="727">
        <v>0</v>
      </c>
      <c r="Q794" s="750">
        <f t="shared" si="108"/>
        <v>911400</v>
      </c>
      <c r="R794" s="608">
        <f t="shared" si="109"/>
        <v>0</v>
      </c>
      <c r="S794" s="751">
        <f t="shared" si="110"/>
        <v>-911400</v>
      </c>
      <c r="T794" s="750">
        <v>76.900000000000006</v>
      </c>
      <c r="U794" s="608">
        <f t="shared" si="111"/>
        <v>-286068</v>
      </c>
      <c r="V794" s="751">
        <f t="shared" si="112"/>
        <v>-625332</v>
      </c>
      <c r="W794" s="752">
        <v>76.900000000000006</v>
      </c>
      <c r="X794" s="609">
        <f t="shared" si="113"/>
        <v>-286068</v>
      </c>
      <c r="Y794" s="703">
        <f t="shared" si="114"/>
        <v>-625332</v>
      </c>
      <c r="Z794" s="752">
        <v>76.900000000000006</v>
      </c>
      <c r="AA794" s="609">
        <f t="shared" si="115"/>
        <v>-286068</v>
      </c>
      <c r="AB794" s="753">
        <f t="shared" si="116"/>
        <v>-625332</v>
      </c>
      <c r="AC794" s="714"/>
    </row>
    <row r="795" spans="1:29" x14ac:dyDescent="0.25">
      <c r="A795" s="713"/>
      <c r="B795" s="731" t="s">
        <v>1006</v>
      </c>
      <c r="C795" s="547" t="s">
        <v>40</v>
      </c>
      <c r="D795" s="547" t="s">
        <v>475</v>
      </c>
      <c r="E795" s="683">
        <v>44805</v>
      </c>
      <c r="F795" s="547">
        <v>720</v>
      </c>
      <c r="G795" s="547" t="s">
        <v>58</v>
      </c>
      <c r="H795" s="547" t="s">
        <v>3</v>
      </c>
      <c r="I795" s="547" t="s">
        <v>44</v>
      </c>
      <c r="J795" s="547" t="s">
        <v>84</v>
      </c>
      <c r="K795" s="547">
        <v>245</v>
      </c>
      <c r="L795" s="727" t="s">
        <v>54</v>
      </c>
      <c r="M795" s="697">
        <v>15</v>
      </c>
      <c r="N795" s="727">
        <v>0</v>
      </c>
      <c r="O795" s="697">
        <v>245</v>
      </c>
      <c r="P795" s="727">
        <v>0</v>
      </c>
      <c r="Q795" s="750">
        <f t="shared" si="108"/>
        <v>2646000</v>
      </c>
      <c r="R795" s="608">
        <f t="shared" si="109"/>
        <v>0</v>
      </c>
      <c r="S795" s="751">
        <f t="shared" si="110"/>
        <v>-2646000</v>
      </c>
      <c r="T795" s="750">
        <v>56.08</v>
      </c>
      <c r="U795" s="608">
        <f t="shared" si="111"/>
        <v>-605664</v>
      </c>
      <c r="V795" s="751">
        <f t="shared" si="112"/>
        <v>-2040336</v>
      </c>
      <c r="W795" s="752">
        <v>56.08</v>
      </c>
      <c r="X795" s="609">
        <f t="shared" si="113"/>
        <v>-605664</v>
      </c>
      <c r="Y795" s="703">
        <f t="shared" si="114"/>
        <v>-2040336</v>
      </c>
      <c r="Z795" s="752">
        <v>56.08</v>
      </c>
      <c r="AA795" s="609">
        <f t="shared" si="115"/>
        <v>-605664</v>
      </c>
      <c r="AB795" s="753">
        <f t="shared" si="116"/>
        <v>-2040336</v>
      </c>
      <c r="AC795" s="714"/>
    </row>
    <row r="796" spans="1:29" x14ac:dyDescent="0.25">
      <c r="A796" s="713"/>
      <c r="B796" s="731" t="s">
        <v>1008</v>
      </c>
      <c r="C796" s="547" t="s">
        <v>40</v>
      </c>
      <c r="D796" s="547" t="s">
        <v>353</v>
      </c>
      <c r="E796" s="683">
        <v>44805</v>
      </c>
      <c r="F796" s="547">
        <v>720</v>
      </c>
      <c r="G796" s="547" t="s">
        <v>58</v>
      </c>
      <c r="H796" s="547" t="s">
        <v>3</v>
      </c>
      <c r="I796" s="547" t="s">
        <v>44</v>
      </c>
      <c r="J796" s="547" t="s">
        <v>84</v>
      </c>
      <c r="K796" s="547">
        <v>244</v>
      </c>
      <c r="L796" s="727" t="s">
        <v>54</v>
      </c>
      <c r="M796" s="697">
        <v>5</v>
      </c>
      <c r="N796" s="727">
        <v>0</v>
      </c>
      <c r="O796" s="697">
        <v>244</v>
      </c>
      <c r="P796" s="727">
        <v>0</v>
      </c>
      <c r="Q796" s="750">
        <f t="shared" si="108"/>
        <v>878400</v>
      </c>
      <c r="R796" s="608">
        <f t="shared" si="109"/>
        <v>0</v>
      </c>
      <c r="S796" s="751">
        <f t="shared" si="110"/>
        <v>-878400</v>
      </c>
      <c r="T796" s="750">
        <v>56.08</v>
      </c>
      <c r="U796" s="608">
        <f t="shared" si="111"/>
        <v>-201888</v>
      </c>
      <c r="V796" s="751">
        <f t="shared" si="112"/>
        <v>-676512</v>
      </c>
      <c r="W796" s="752">
        <v>56.08</v>
      </c>
      <c r="X796" s="609">
        <f t="shared" si="113"/>
        <v>-201888</v>
      </c>
      <c r="Y796" s="703">
        <f t="shared" si="114"/>
        <v>-676512</v>
      </c>
      <c r="Z796" s="752">
        <v>56.08</v>
      </c>
      <c r="AA796" s="609">
        <f t="shared" si="115"/>
        <v>-201888</v>
      </c>
      <c r="AB796" s="753">
        <f t="shared" si="116"/>
        <v>-676512</v>
      </c>
      <c r="AC796" s="714"/>
    </row>
    <row r="797" spans="1:29" x14ac:dyDescent="0.25">
      <c r="A797" s="713"/>
      <c r="B797" s="731" t="s">
        <v>1010</v>
      </c>
      <c r="C797" s="547" t="s">
        <v>40</v>
      </c>
      <c r="D797" s="547" t="s">
        <v>1000</v>
      </c>
      <c r="E797" s="683">
        <v>44621</v>
      </c>
      <c r="F797" s="547">
        <v>744</v>
      </c>
      <c r="G797" s="547" t="s">
        <v>59</v>
      </c>
      <c r="H797" s="547" t="s">
        <v>3</v>
      </c>
      <c r="I797" s="547" t="s">
        <v>44</v>
      </c>
      <c r="J797" s="547" t="s">
        <v>85</v>
      </c>
      <c r="K797" s="547">
        <v>133</v>
      </c>
      <c r="L797" s="727" t="s">
        <v>54</v>
      </c>
      <c r="M797" s="697">
        <v>0</v>
      </c>
      <c r="N797" s="727">
        <v>3</v>
      </c>
      <c r="O797" s="697">
        <v>0</v>
      </c>
      <c r="P797" s="727">
        <v>133</v>
      </c>
      <c r="Q797" s="750">
        <f t="shared" si="108"/>
        <v>0</v>
      </c>
      <c r="R797" s="608">
        <f t="shared" si="109"/>
        <v>296856</v>
      </c>
      <c r="S797" s="751">
        <f t="shared" si="110"/>
        <v>296856</v>
      </c>
      <c r="T797" s="750">
        <v>55.7</v>
      </c>
      <c r="U797" s="608">
        <f t="shared" si="111"/>
        <v>124322.40000000001</v>
      </c>
      <c r="V797" s="751">
        <f t="shared" si="112"/>
        <v>172533.59999999998</v>
      </c>
      <c r="W797" s="752">
        <v>55.7</v>
      </c>
      <c r="X797" s="609">
        <f t="shared" si="113"/>
        <v>124322.40000000001</v>
      </c>
      <c r="Y797" s="703">
        <f t="shared" si="114"/>
        <v>172533.59999999998</v>
      </c>
      <c r="Z797" s="752">
        <v>55.7</v>
      </c>
      <c r="AA797" s="609">
        <f t="shared" si="115"/>
        <v>124322.40000000001</v>
      </c>
      <c r="AB797" s="753">
        <f t="shared" si="116"/>
        <v>172533.59999999998</v>
      </c>
      <c r="AC797" s="714"/>
    </row>
    <row r="798" spans="1:29" x14ac:dyDescent="0.25">
      <c r="A798" s="713"/>
      <c r="B798" s="731" t="s">
        <v>1012</v>
      </c>
      <c r="C798" s="547" t="s">
        <v>40</v>
      </c>
      <c r="D798" s="547" t="s">
        <v>353</v>
      </c>
      <c r="E798" s="683">
        <v>44774</v>
      </c>
      <c r="F798" s="547">
        <v>744</v>
      </c>
      <c r="G798" s="547" t="s">
        <v>58</v>
      </c>
      <c r="H798" s="547" t="s">
        <v>3</v>
      </c>
      <c r="I798" s="547" t="s">
        <v>44</v>
      </c>
      <c r="J798" s="547" t="s">
        <v>84</v>
      </c>
      <c r="K798" s="547">
        <v>244</v>
      </c>
      <c r="L798" s="727" t="s">
        <v>54</v>
      </c>
      <c r="M798" s="697">
        <v>5</v>
      </c>
      <c r="N798" s="727">
        <v>0</v>
      </c>
      <c r="O798" s="697">
        <v>244</v>
      </c>
      <c r="P798" s="727">
        <v>0</v>
      </c>
      <c r="Q798" s="750">
        <f t="shared" si="108"/>
        <v>907680</v>
      </c>
      <c r="R798" s="608">
        <f t="shared" si="109"/>
        <v>0</v>
      </c>
      <c r="S798" s="751">
        <f t="shared" si="110"/>
        <v>-907680</v>
      </c>
      <c r="T798" s="750">
        <v>76.900000000000006</v>
      </c>
      <c r="U798" s="608">
        <f t="shared" si="111"/>
        <v>-286068</v>
      </c>
      <c r="V798" s="751">
        <f t="shared" si="112"/>
        <v>-621612</v>
      </c>
      <c r="W798" s="752">
        <v>76.900000000000006</v>
      </c>
      <c r="X798" s="609">
        <f t="shared" si="113"/>
        <v>-286068</v>
      </c>
      <c r="Y798" s="703">
        <f t="shared" si="114"/>
        <v>-621612</v>
      </c>
      <c r="Z798" s="752">
        <v>76.900000000000006</v>
      </c>
      <c r="AA798" s="609">
        <f t="shared" si="115"/>
        <v>-286068</v>
      </c>
      <c r="AB798" s="753">
        <f t="shared" si="116"/>
        <v>-621612</v>
      </c>
      <c r="AC798" s="714"/>
    </row>
    <row r="799" spans="1:29" x14ac:dyDescent="0.25">
      <c r="A799" s="713"/>
      <c r="B799" s="731" t="s">
        <v>1014</v>
      </c>
      <c r="C799" s="547" t="s">
        <v>40</v>
      </c>
      <c r="D799" s="547" t="s">
        <v>353</v>
      </c>
      <c r="E799" s="683">
        <v>44682</v>
      </c>
      <c r="F799" s="547">
        <v>744</v>
      </c>
      <c r="G799" s="547" t="s">
        <v>59</v>
      </c>
      <c r="H799" s="547" t="s">
        <v>3</v>
      </c>
      <c r="I799" s="547" t="s">
        <v>44</v>
      </c>
      <c r="J799" s="547" t="s">
        <v>85</v>
      </c>
      <c r="K799" s="547">
        <v>145</v>
      </c>
      <c r="L799" s="727" t="s">
        <v>54</v>
      </c>
      <c r="M799" s="697">
        <v>0</v>
      </c>
      <c r="N799" s="727">
        <v>5</v>
      </c>
      <c r="O799" s="697">
        <v>0</v>
      </c>
      <c r="P799" s="727">
        <v>145</v>
      </c>
      <c r="Q799" s="750">
        <f t="shared" si="108"/>
        <v>0</v>
      </c>
      <c r="R799" s="608">
        <f t="shared" si="109"/>
        <v>539400</v>
      </c>
      <c r="S799" s="751">
        <f t="shared" si="110"/>
        <v>539400</v>
      </c>
      <c r="T799" s="750">
        <v>55.7</v>
      </c>
      <c r="U799" s="608">
        <f t="shared" si="111"/>
        <v>207204</v>
      </c>
      <c r="V799" s="751">
        <f t="shared" si="112"/>
        <v>332196</v>
      </c>
      <c r="W799" s="752">
        <v>55.7</v>
      </c>
      <c r="X799" s="609">
        <f t="shared" si="113"/>
        <v>207204</v>
      </c>
      <c r="Y799" s="703">
        <f t="shared" si="114"/>
        <v>332196</v>
      </c>
      <c r="Z799" s="752">
        <v>55.7</v>
      </c>
      <c r="AA799" s="609">
        <f t="shared" si="115"/>
        <v>207204</v>
      </c>
      <c r="AB799" s="753">
        <f t="shared" si="116"/>
        <v>332196</v>
      </c>
      <c r="AC799" s="714"/>
    </row>
    <row r="800" spans="1:29" x14ac:dyDescent="0.25">
      <c r="A800" s="713"/>
      <c r="B800" s="731" t="s">
        <v>1016</v>
      </c>
      <c r="C800" s="547" t="s">
        <v>40</v>
      </c>
      <c r="D800" s="547" t="s">
        <v>353</v>
      </c>
      <c r="E800" s="683">
        <v>44652</v>
      </c>
      <c r="F800" s="547">
        <v>720</v>
      </c>
      <c r="G800" s="547" t="s">
        <v>59</v>
      </c>
      <c r="H800" s="547" t="s">
        <v>3</v>
      </c>
      <c r="I800" s="547" t="s">
        <v>44</v>
      </c>
      <c r="J800" s="547" t="s">
        <v>85</v>
      </c>
      <c r="K800" s="547">
        <v>132</v>
      </c>
      <c r="L800" s="727" t="s">
        <v>54</v>
      </c>
      <c r="M800" s="697">
        <v>0</v>
      </c>
      <c r="N800" s="727">
        <v>5</v>
      </c>
      <c r="O800" s="697">
        <v>0</v>
      </c>
      <c r="P800" s="727">
        <v>132</v>
      </c>
      <c r="Q800" s="750">
        <f t="shared" si="108"/>
        <v>0</v>
      </c>
      <c r="R800" s="608">
        <f t="shared" si="109"/>
        <v>475200</v>
      </c>
      <c r="S800" s="751">
        <f t="shared" si="110"/>
        <v>475200</v>
      </c>
      <c r="T800" s="750">
        <v>55.7</v>
      </c>
      <c r="U800" s="608">
        <f t="shared" si="111"/>
        <v>200520</v>
      </c>
      <c r="V800" s="751">
        <f t="shared" si="112"/>
        <v>274680</v>
      </c>
      <c r="W800" s="752">
        <v>55.7</v>
      </c>
      <c r="X800" s="609">
        <f t="shared" si="113"/>
        <v>200520</v>
      </c>
      <c r="Y800" s="703">
        <f t="shared" si="114"/>
        <v>274680</v>
      </c>
      <c r="Z800" s="752">
        <v>55.7</v>
      </c>
      <c r="AA800" s="609">
        <f t="shared" si="115"/>
        <v>200520</v>
      </c>
      <c r="AB800" s="753">
        <f t="shared" si="116"/>
        <v>274680</v>
      </c>
      <c r="AC800" s="714"/>
    </row>
    <row r="801" spans="1:29" x14ac:dyDescent="0.25">
      <c r="A801" s="713"/>
      <c r="B801" s="731" t="s">
        <v>1018</v>
      </c>
      <c r="C801" s="547" t="s">
        <v>40</v>
      </c>
      <c r="D801" s="547" t="s">
        <v>620</v>
      </c>
      <c r="E801" s="683">
        <v>44774</v>
      </c>
      <c r="F801" s="547">
        <v>744</v>
      </c>
      <c r="G801" s="547" t="s">
        <v>58</v>
      </c>
      <c r="H801" s="547" t="s">
        <v>3</v>
      </c>
      <c r="I801" s="547" t="s">
        <v>44</v>
      </c>
      <c r="J801" s="547" t="s">
        <v>84</v>
      </c>
      <c r="K801" s="547">
        <v>242</v>
      </c>
      <c r="L801" s="727" t="s">
        <v>54</v>
      </c>
      <c r="M801" s="697">
        <v>8</v>
      </c>
      <c r="N801" s="727">
        <v>0</v>
      </c>
      <c r="O801" s="697">
        <v>242</v>
      </c>
      <c r="P801" s="727">
        <v>0</v>
      </c>
      <c r="Q801" s="750">
        <f t="shared" si="108"/>
        <v>1440384</v>
      </c>
      <c r="R801" s="608">
        <f t="shared" si="109"/>
        <v>0</v>
      </c>
      <c r="S801" s="751">
        <f t="shared" si="110"/>
        <v>-1440384</v>
      </c>
      <c r="T801" s="750">
        <v>76.900000000000006</v>
      </c>
      <c r="U801" s="608">
        <f t="shared" si="111"/>
        <v>-457708.80000000005</v>
      </c>
      <c r="V801" s="751">
        <f t="shared" si="112"/>
        <v>-982675.2</v>
      </c>
      <c r="W801" s="752">
        <v>76.900000000000006</v>
      </c>
      <c r="X801" s="609">
        <f t="shared" si="113"/>
        <v>-457708.80000000005</v>
      </c>
      <c r="Y801" s="703">
        <f t="shared" si="114"/>
        <v>-982675.2</v>
      </c>
      <c r="Z801" s="752">
        <v>76.900000000000006</v>
      </c>
      <c r="AA801" s="609">
        <f t="shared" si="115"/>
        <v>-457708.80000000005</v>
      </c>
      <c r="AB801" s="753">
        <f t="shared" si="116"/>
        <v>-982675.2</v>
      </c>
      <c r="AC801" s="714"/>
    </row>
    <row r="802" spans="1:29" x14ac:dyDescent="0.25">
      <c r="A802" s="713"/>
      <c r="B802" s="731" t="s">
        <v>1020</v>
      </c>
      <c r="C802" s="547" t="s">
        <v>40</v>
      </c>
      <c r="D802" s="547" t="s">
        <v>620</v>
      </c>
      <c r="E802" s="683">
        <v>44805</v>
      </c>
      <c r="F802" s="547">
        <v>720</v>
      </c>
      <c r="G802" s="547" t="s">
        <v>58</v>
      </c>
      <c r="H802" s="547" t="s">
        <v>3</v>
      </c>
      <c r="I802" s="547" t="s">
        <v>44</v>
      </c>
      <c r="J802" s="547" t="s">
        <v>84</v>
      </c>
      <c r="K802" s="547">
        <v>242</v>
      </c>
      <c r="L802" s="727" t="s">
        <v>54</v>
      </c>
      <c r="M802" s="697">
        <v>8.266667</v>
      </c>
      <c r="N802" s="727">
        <v>0</v>
      </c>
      <c r="O802" s="697">
        <v>242</v>
      </c>
      <c r="P802" s="727">
        <v>0</v>
      </c>
      <c r="Q802" s="750">
        <f t="shared" si="108"/>
        <v>1440384.0580800001</v>
      </c>
      <c r="R802" s="608">
        <f t="shared" si="109"/>
        <v>0</v>
      </c>
      <c r="S802" s="751">
        <f t="shared" si="110"/>
        <v>-1440384.0580800001</v>
      </c>
      <c r="T802" s="750">
        <v>56.08</v>
      </c>
      <c r="U802" s="608">
        <f t="shared" si="111"/>
        <v>-333788.17345920001</v>
      </c>
      <c r="V802" s="751">
        <f t="shared" si="112"/>
        <v>-1106595.8846208001</v>
      </c>
      <c r="W802" s="752">
        <v>56.08</v>
      </c>
      <c r="X802" s="609">
        <f t="shared" si="113"/>
        <v>-333788.17345920001</v>
      </c>
      <c r="Y802" s="703">
        <f t="shared" si="114"/>
        <v>-1106595.8846208001</v>
      </c>
      <c r="Z802" s="752">
        <v>56.08</v>
      </c>
      <c r="AA802" s="609">
        <f t="shared" si="115"/>
        <v>-333788.17345920001</v>
      </c>
      <c r="AB802" s="753">
        <f t="shared" si="116"/>
        <v>-1106595.8846208001</v>
      </c>
      <c r="AC802" s="714"/>
    </row>
    <row r="803" spans="1:29" x14ac:dyDescent="0.25">
      <c r="A803" s="713"/>
      <c r="B803" s="731" t="s">
        <v>1022</v>
      </c>
      <c r="C803" s="547" t="s">
        <v>40</v>
      </c>
      <c r="D803" s="547" t="s">
        <v>620</v>
      </c>
      <c r="E803" s="683">
        <v>44621</v>
      </c>
      <c r="F803" s="547">
        <v>744</v>
      </c>
      <c r="G803" s="547" t="s">
        <v>59</v>
      </c>
      <c r="H803" s="547" t="s">
        <v>3</v>
      </c>
      <c r="I803" s="547" t="s">
        <v>44</v>
      </c>
      <c r="J803" s="547" t="s">
        <v>85</v>
      </c>
      <c r="K803" s="547">
        <v>130</v>
      </c>
      <c r="L803" s="727" t="s">
        <v>54</v>
      </c>
      <c r="M803" s="697">
        <v>0</v>
      </c>
      <c r="N803" s="727">
        <v>16</v>
      </c>
      <c r="O803" s="697">
        <v>0</v>
      </c>
      <c r="P803" s="727">
        <v>130</v>
      </c>
      <c r="Q803" s="750">
        <f t="shared" si="108"/>
        <v>0</v>
      </c>
      <c r="R803" s="608">
        <f t="shared" si="109"/>
        <v>1547520</v>
      </c>
      <c r="S803" s="751">
        <f t="shared" si="110"/>
        <v>1547520</v>
      </c>
      <c r="T803" s="750">
        <v>55.7</v>
      </c>
      <c r="U803" s="608">
        <f t="shared" si="111"/>
        <v>663052.80000000005</v>
      </c>
      <c r="V803" s="751">
        <f t="shared" si="112"/>
        <v>884467.19999999995</v>
      </c>
      <c r="W803" s="752">
        <v>55.7</v>
      </c>
      <c r="X803" s="609">
        <f t="shared" si="113"/>
        <v>663052.80000000005</v>
      </c>
      <c r="Y803" s="703">
        <f t="shared" si="114"/>
        <v>884467.19999999995</v>
      </c>
      <c r="Z803" s="752">
        <v>55.7</v>
      </c>
      <c r="AA803" s="609">
        <f t="shared" si="115"/>
        <v>663052.80000000005</v>
      </c>
      <c r="AB803" s="753">
        <f t="shared" si="116"/>
        <v>884467.19999999995</v>
      </c>
      <c r="AC803" s="714"/>
    </row>
    <row r="804" spans="1:29" x14ac:dyDescent="0.25">
      <c r="A804" s="713"/>
      <c r="B804" s="731" t="s">
        <v>1024</v>
      </c>
      <c r="C804" s="547" t="s">
        <v>40</v>
      </c>
      <c r="D804" s="547" t="s">
        <v>404</v>
      </c>
      <c r="E804" s="683">
        <v>44682</v>
      </c>
      <c r="F804" s="547">
        <v>744</v>
      </c>
      <c r="G804" s="547" t="s">
        <v>59</v>
      </c>
      <c r="H804" s="547" t="s">
        <v>3</v>
      </c>
      <c r="I804" s="547" t="s">
        <v>44</v>
      </c>
      <c r="J804" s="547" t="s">
        <v>85</v>
      </c>
      <c r="K804" s="547">
        <v>145</v>
      </c>
      <c r="L804" s="727" t="s">
        <v>54</v>
      </c>
      <c r="M804" s="697">
        <v>0</v>
      </c>
      <c r="N804" s="727">
        <v>2</v>
      </c>
      <c r="O804" s="697">
        <v>0</v>
      </c>
      <c r="P804" s="727">
        <v>145</v>
      </c>
      <c r="Q804" s="750">
        <f t="shared" si="108"/>
        <v>0</v>
      </c>
      <c r="R804" s="608">
        <f t="shared" si="109"/>
        <v>215760</v>
      </c>
      <c r="S804" s="751">
        <f t="shared" si="110"/>
        <v>215760</v>
      </c>
      <c r="T804" s="750">
        <v>55.7</v>
      </c>
      <c r="U804" s="608">
        <f t="shared" si="111"/>
        <v>82881.600000000006</v>
      </c>
      <c r="V804" s="751">
        <f t="shared" si="112"/>
        <v>132878.39999999999</v>
      </c>
      <c r="W804" s="752">
        <v>55.7</v>
      </c>
      <c r="X804" s="609">
        <f t="shared" si="113"/>
        <v>82881.600000000006</v>
      </c>
      <c r="Y804" s="703">
        <f t="shared" si="114"/>
        <v>132878.39999999999</v>
      </c>
      <c r="Z804" s="752">
        <v>55.7</v>
      </c>
      <c r="AA804" s="609">
        <f t="shared" si="115"/>
        <v>82881.600000000006</v>
      </c>
      <c r="AB804" s="753">
        <f t="shared" si="116"/>
        <v>132878.39999999999</v>
      </c>
      <c r="AC804" s="714"/>
    </row>
    <row r="805" spans="1:29" x14ac:dyDescent="0.25">
      <c r="A805" s="713"/>
      <c r="B805" s="731" t="s">
        <v>1026</v>
      </c>
      <c r="C805" s="547" t="s">
        <v>40</v>
      </c>
      <c r="D805" s="547" t="s">
        <v>967</v>
      </c>
      <c r="E805" s="683">
        <v>44896</v>
      </c>
      <c r="F805" s="547">
        <v>744</v>
      </c>
      <c r="G805" s="547" t="s">
        <v>59</v>
      </c>
      <c r="H805" s="547" t="s">
        <v>3</v>
      </c>
      <c r="I805" s="547" t="s">
        <v>44</v>
      </c>
      <c r="J805" s="547" t="s">
        <v>85</v>
      </c>
      <c r="K805" s="547">
        <v>185</v>
      </c>
      <c r="L805" s="727" t="s">
        <v>54</v>
      </c>
      <c r="M805" s="697">
        <v>0</v>
      </c>
      <c r="N805" s="727">
        <v>15</v>
      </c>
      <c r="O805" s="697">
        <v>0</v>
      </c>
      <c r="P805" s="727">
        <v>185</v>
      </c>
      <c r="Q805" s="750">
        <f t="shared" si="108"/>
        <v>0</v>
      </c>
      <c r="R805" s="608">
        <f t="shared" si="109"/>
        <v>2064600</v>
      </c>
      <c r="S805" s="751">
        <f t="shared" si="110"/>
        <v>2064600</v>
      </c>
      <c r="T805" s="750">
        <v>55.7</v>
      </c>
      <c r="U805" s="608">
        <f t="shared" si="111"/>
        <v>621612</v>
      </c>
      <c r="V805" s="751">
        <f t="shared" si="112"/>
        <v>1442988</v>
      </c>
      <c r="W805" s="752">
        <v>55.7</v>
      </c>
      <c r="X805" s="609">
        <f t="shared" si="113"/>
        <v>621612</v>
      </c>
      <c r="Y805" s="703">
        <f t="shared" si="114"/>
        <v>1442988</v>
      </c>
      <c r="Z805" s="752">
        <v>78.400653594793155</v>
      </c>
      <c r="AA805" s="609">
        <f t="shared" si="115"/>
        <v>874951.29411789158</v>
      </c>
      <c r="AB805" s="753">
        <f t="shared" si="116"/>
        <v>1189648.7058821083</v>
      </c>
      <c r="AC805" s="714"/>
    </row>
    <row r="806" spans="1:29" x14ac:dyDescent="0.25">
      <c r="A806" s="713"/>
      <c r="B806" s="731" t="s">
        <v>1028</v>
      </c>
      <c r="C806" s="547" t="s">
        <v>40</v>
      </c>
      <c r="D806" s="547" t="s">
        <v>967</v>
      </c>
      <c r="E806" s="683">
        <v>44713</v>
      </c>
      <c r="F806" s="547">
        <v>720</v>
      </c>
      <c r="G806" s="547" t="s">
        <v>58</v>
      </c>
      <c r="H806" s="547" t="s">
        <v>3</v>
      </c>
      <c r="I806" s="547" t="s">
        <v>44</v>
      </c>
      <c r="J806" s="547" t="s">
        <v>84</v>
      </c>
      <c r="K806" s="547">
        <v>173</v>
      </c>
      <c r="L806" s="727" t="s">
        <v>54</v>
      </c>
      <c r="M806" s="697">
        <v>15</v>
      </c>
      <c r="N806" s="727">
        <v>0</v>
      </c>
      <c r="O806" s="697">
        <v>173</v>
      </c>
      <c r="P806" s="727">
        <v>0</v>
      </c>
      <c r="Q806" s="750">
        <f t="shared" si="108"/>
        <v>1868400</v>
      </c>
      <c r="R806" s="608">
        <f t="shared" si="109"/>
        <v>0</v>
      </c>
      <c r="S806" s="751">
        <f t="shared" si="110"/>
        <v>-1868400</v>
      </c>
      <c r="T806" s="750">
        <v>55.71</v>
      </c>
      <c r="U806" s="608">
        <f t="shared" si="111"/>
        <v>-601668</v>
      </c>
      <c r="V806" s="751">
        <f t="shared" si="112"/>
        <v>-1266732</v>
      </c>
      <c r="W806" s="752">
        <v>55.71</v>
      </c>
      <c r="X806" s="609">
        <f t="shared" si="113"/>
        <v>-601668</v>
      </c>
      <c r="Y806" s="703">
        <f t="shared" si="114"/>
        <v>-1266732</v>
      </c>
      <c r="Z806" s="752">
        <v>55.71</v>
      </c>
      <c r="AA806" s="609">
        <f t="shared" si="115"/>
        <v>-601668</v>
      </c>
      <c r="AB806" s="753">
        <f t="shared" si="116"/>
        <v>-1266732</v>
      </c>
      <c r="AC806" s="714"/>
    </row>
    <row r="807" spans="1:29" x14ac:dyDescent="0.25">
      <c r="A807" s="713"/>
      <c r="B807" s="731" t="s">
        <v>1030</v>
      </c>
      <c r="C807" s="547" t="s">
        <v>40</v>
      </c>
      <c r="D807" s="547" t="s">
        <v>346</v>
      </c>
      <c r="E807" s="683">
        <v>44713</v>
      </c>
      <c r="F807" s="547">
        <v>720</v>
      </c>
      <c r="G807" s="547" t="s">
        <v>58</v>
      </c>
      <c r="H807" s="547" t="s">
        <v>3</v>
      </c>
      <c r="I807" s="547" t="s">
        <v>44</v>
      </c>
      <c r="J807" s="547" t="s">
        <v>84</v>
      </c>
      <c r="K807" s="547">
        <v>165</v>
      </c>
      <c r="L807" s="727" t="s">
        <v>54</v>
      </c>
      <c r="M807" s="697">
        <v>15</v>
      </c>
      <c r="N807" s="727">
        <v>0</v>
      </c>
      <c r="O807" s="697">
        <v>165</v>
      </c>
      <c r="P807" s="727">
        <v>0</v>
      </c>
      <c r="Q807" s="750">
        <f t="shared" si="108"/>
        <v>1782000</v>
      </c>
      <c r="R807" s="608">
        <f t="shared" si="109"/>
        <v>0</v>
      </c>
      <c r="S807" s="751">
        <f t="shared" si="110"/>
        <v>-1782000</v>
      </c>
      <c r="T807" s="750">
        <v>55.71</v>
      </c>
      <c r="U807" s="608">
        <f t="shared" si="111"/>
        <v>-601668</v>
      </c>
      <c r="V807" s="751">
        <f t="shared" si="112"/>
        <v>-1180332</v>
      </c>
      <c r="W807" s="752">
        <v>55.71</v>
      </c>
      <c r="X807" s="609">
        <f t="shared" si="113"/>
        <v>-601668</v>
      </c>
      <c r="Y807" s="703">
        <f t="shared" si="114"/>
        <v>-1180332</v>
      </c>
      <c r="Z807" s="752">
        <v>55.71</v>
      </c>
      <c r="AA807" s="609">
        <f t="shared" si="115"/>
        <v>-601668</v>
      </c>
      <c r="AB807" s="753">
        <f t="shared" si="116"/>
        <v>-1180332</v>
      </c>
      <c r="AC807" s="714"/>
    </row>
    <row r="808" spans="1:29" x14ac:dyDescent="0.25">
      <c r="A808" s="713"/>
      <c r="B808" s="731" t="s">
        <v>1032</v>
      </c>
      <c r="C808" s="547" t="s">
        <v>40</v>
      </c>
      <c r="D808" s="547" t="s">
        <v>346</v>
      </c>
      <c r="E808" s="683">
        <v>44713</v>
      </c>
      <c r="F808" s="547">
        <v>720</v>
      </c>
      <c r="G808" s="547" t="s">
        <v>59</v>
      </c>
      <c r="H808" s="547" t="s">
        <v>3</v>
      </c>
      <c r="I808" s="547" t="s">
        <v>44</v>
      </c>
      <c r="J808" s="547" t="s">
        <v>85</v>
      </c>
      <c r="K808" s="547">
        <v>165</v>
      </c>
      <c r="L808" s="727" t="s">
        <v>54</v>
      </c>
      <c r="M808" s="697">
        <v>0</v>
      </c>
      <c r="N808" s="727">
        <v>15</v>
      </c>
      <c r="O808" s="697">
        <v>0</v>
      </c>
      <c r="P808" s="727">
        <v>165</v>
      </c>
      <c r="Q808" s="750">
        <f t="shared" si="108"/>
        <v>0</v>
      </c>
      <c r="R808" s="608">
        <f t="shared" si="109"/>
        <v>1782000</v>
      </c>
      <c r="S808" s="751">
        <f t="shared" si="110"/>
        <v>1782000</v>
      </c>
      <c r="T808" s="750">
        <v>55.71</v>
      </c>
      <c r="U808" s="608">
        <f t="shared" si="111"/>
        <v>601668</v>
      </c>
      <c r="V808" s="751">
        <f t="shared" si="112"/>
        <v>1180332</v>
      </c>
      <c r="W808" s="752">
        <v>55.71</v>
      </c>
      <c r="X808" s="609">
        <f t="shared" si="113"/>
        <v>601668</v>
      </c>
      <c r="Y808" s="703">
        <f t="shared" si="114"/>
        <v>1180332</v>
      </c>
      <c r="Z808" s="752">
        <v>55.71</v>
      </c>
      <c r="AA808" s="609">
        <f t="shared" si="115"/>
        <v>601668</v>
      </c>
      <c r="AB808" s="753">
        <f t="shared" si="116"/>
        <v>1180332</v>
      </c>
      <c r="AC808" s="714"/>
    </row>
    <row r="809" spans="1:29" x14ac:dyDescent="0.25">
      <c r="A809" s="713"/>
      <c r="B809" s="731" t="s">
        <v>1049</v>
      </c>
      <c r="C809" s="547" t="s">
        <v>40</v>
      </c>
      <c r="D809" s="547" t="s">
        <v>505</v>
      </c>
      <c r="E809" s="683">
        <v>44562</v>
      </c>
      <c r="F809" s="547">
        <v>744</v>
      </c>
      <c r="G809" s="547" t="s">
        <v>59</v>
      </c>
      <c r="H809" s="547" t="s">
        <v>3</v>
      </c>
      <c r="I809" s="547" t="s">
        <v>44</v>
      </c>
      <c r="J809" s="547" t="s">
        <v>85</v>
      </c>
      <c r="K809" s="547">
        <v>65</v>
      </c>
      <c r="L809" s="727" t="s">
        <v>54</v>
      </c>
      <c r="M809" s="697">
        <v>0</v>
      </c>
      <c r="N809" s="727">
        <v>5.2</v>
      </c>
      <c r="O809" s="697">
        <v>0</v>
      </c>
      <c r="P809" s="727">
        <v>65</v>
      </c>
      <c r="Q809" s="750">
        <f t="shared" si="108"/>
        <v>0</v>
      </c>
      <c r="R809" s="608">
        <f t="shared" si="109"/>
        <v>251472</v>
      </c>
      <c r="S809" s="751">
        <f t="shared" si="110"/>
        <v>251472</v>
      </c>
      <c r="T809" s="750">
        <v>62.91</v>
      </c>
      <c r="U809" s="608">
        <f t="shared" si="111"/>
        <v>243386.20799999998</v>
      </c>
      <c r="V809" s="751">
        <f t="shared" si="112"/>
        <v>8085.7920000000158</v>
      </c>
      <c r="W809" s="752">
        <v>62.91</v>
      </c>
      <c r="X809" s="609">
        <f t="shared" si="113"/>
        <v>243386.20799999998</v>
      </c>
      <c r="Y809" s="703">
        <f t="shared" si="114"/>
        <v>8085.7920000000158</v>
      </c>
      <c r="Z809" s="752">
        <v>62.91</v>
      </c>
      <c r="AA809" s="609">
        <f t="shared" si="115"/>
        <v>243386.20799999998</v>
      </c>
      <c r="AB809" s="753">
        <f t="shared" si="116"/>
        <v>8085.7920000000158</v>
      </c>
      <c r="AC809" s="714"/>
    </row>
    <row r="810" spans="1:29" x14ac:dyDescent="0.25">
      <c r="A810" s="713"/>
      <c r="B810" s="731" t="s">
        <v>1050</v>
      </c>
      <c r="C810" s="547" t="s">
        <v>40</v>
      </c>
      <c r="D810" s="547" t="s">
        <v>466</v>
      </c>
      <c r="E810" s="683">
        <v>44621</v>
      </c>
      <c r="F810" s="547">
        <v>744</v>
      </c>
      <c r="G810" s="547" t="s">
        <v>59</v>
      </c>
      <c r="H810" s="547" t="s">
        <v>3</v>
      </c>
      <c r="I810" s="547" t="s">
        <v>44</v>
      </c>
      <c r="J810" s="547" t="s">
        <v>85</v>
      </c>
      <c r="K810" s="547">
        <v>130</v>
      </c>
      <c r="L810" s="727" t="s">
        <v>54</v>
      </c>
      <c r="M810" s="697">
        <v>0</v>
      </c>
      <c r="N810" s="727">
        <v>2</v>
      </c>
      <c r="O810" s="697">
        <v>0</v>
      </c>
      <c r="P810" s="727">
        <v>130</v>
      </c>
      <c r="Q810" s="750">
        <f t="shared" si="108"/>
        <v>0</v>
      </c>
      <c r="R810" s="608">
        <f t="shared" si="109"/>
        <v>193440</v>
      </c>
      <c r="S810" s="751">
        <f t="shared" si="110"/>
        <v>193440</v>
      </c>
      <c r="T810" s="750">
        <v>55.7</v>
      </c>
      <c r="U810" s="608">
        <f t="shared" si="111"/>
        <v>82881.600000000006</v>
      </c>
      <c r="V810" s="751">
        <f t="shared" si="112"/>
        <v>110558.39999999999</v>
      </c>
      <c r="W810" s="752">
        <v>55.7</v>
      </c>
      <c r="X810" s="609">
        <f t="shared" si="113"/>
        <v>82881.600000000006</v>
      </c>
      <c r="Y810" s="703">
        <f t="shared" si="114"/>
        <v>110558.39999999999</v>
      </c>
      <c r="Z810" s="752">
        <v>55.7</v>
      </c>
      <c r="AA810" s="609">
        <f t="shared" si="115"/>
        <v>82881.600000000006</v>
      </c>
      <c r="AB810" s="753">
        <f t="shared" si="116"/>
        <v>110558.39999999999</v>
      </c>
      <c r="AC810" s="714"/>
    </row>
    <row r="811" spans="1:29" x14ac:dyDescent="0.25">
      <c r="A811" s="713"/>
      <c r="B811" s="731" t="s">
        <v>1052</v>
      </c>
      <c r="C811" s="547" t="s">
        <v>40</v>
      </c>
      <c r="D811" s="547" t="s">
        <v>509</v>
      </c>
      <c r="E811" s="683">
        <v>44743</v>
      </c>
      <c r="F811" s="547">
        <v>744</v>
      </c>
      <c r="G811" s="547" t="s">
        <v>59</v>
      </c>
      <c r="H811" s="547" t="s">
        <v>3</v>
      </c>
      <c r="I811" s="547" t="s">
        <v>44</v>
      </c>
      <c r="J811" s="547" t="s">
        <v>85</v>
      </c>
      <c r="K811" s="547">
        <v>240</v>
      </c>
      <c r="L811" s="727" t="s">
        <v>54</v>
      </c>
      <c r="M811" s="697">
        <v>0</v>
      </c>
      <c r="N811" s="727">
        <v>5</v>
      </c>
      <c r="O811" s="697">
        <v>0</v>
      </c>
      <c r="P811" s="727">
        <v>240</v>
      </c>
      <c r="Q811" s="750">
        <f t="shared" si="108"/>
        <v>0</v>
      </c>
      <c r="R811" s="608">
        <f t="shared" si="109"/>
        <v>892800</v>
      </c>
      <c r="S811" s="751">
        <f t="shared" si="110"/>
        <v>892800</v>
      </c>
      <c r="T811" s="750">
        <v>66.319999999999993</v>
      </c>
      <c r="U811" s="608">
        <f t="shared" si="111"/>
        <v>246710.39999999997</v>
      </c>
      <c r="V811" s="751">
        <f t="shared" si="112"/>
        <v>646089.60000000009</v>
      </c>
      <c r="W811" s="752">
        <v>66.319999999999993</v>
      </c>
      <c r="X811" s="609">
        <f t="shared" si="113"/>
        <v>246710.39999999997</v>
      </c>
      <c r="Y811" s="703">
        <f t="shared" si="114"/>
        <v>646089.60000000009</v>
      </c>
      <c r="Z811" s="752">
        <v>66.319999999999993</v>
      </c>
      <c r="AA811" s="609">
        <f t="shared" si="115"/>
        <v>246710.39999999997</v>
      </c>
      <c r="AB811" s="753">
        <f t="shared" si="116"/>
        <v>646089.60000000009</v>
      </c>
      <c r="AC811" s="714"/>
    </row>
    <row r="812" spans="1:29" x14ac:dyDescent="0.25">
      <c r="A812" s="713"/>
      <c r="B812" s="730" t="s">
        <v>1054</v>
      </c>
      <c r="C812" s="546" t="s">
        <v>40</v>
      </c>
      <c r="D812" s="546" t="s">
        <v>478</v>
      </c>
      <c r="E812" s="682">
        <v>44743</v>
      </c>
      <c r="F812" s="546">
        <v>744</v>
      </c>
      <c r="G812" s="546" t="s">
        <v>58</v>
      </c>
      <c r="H812" s="546" t="s">
        <v>3</v>
      </c>
      <c r="I812" s="546" t="s">
        <v>44</v>
      </c>
      <c r="J812" s="546" t="s">
        <v>84</v>
      </c>
      <c r="K812" s="546">
        <v>239</v>
      </c>
      <c r="L812" s="726" t="s">
        <v>54</v>
      </c>
      <c r="M812" s="696">
        <v>2</v>
      </c>
      <c r="N812" s="726">
        <v>0</v>
      </c>
      <c r="O812" s="696">
        <v>239</v>
      </c>
      <c r="P812" s="726">
        <v>0</v>
      </c>
      <c r="Q812" s="746">
        <f t="shared" si="108"/>
        <v>355632</v>
      </c>
      <c r="R812" s="606">
        <f t="shared" si="109"/>
        <v>0</v>
      </c>
      <c r="S812" s="747">
        <f t="shared" si="110"/>
        <v>-355632</v>
      </c>
      <c r="T812" s="746">
        <v>66.319999999999993</v>
      </c>
      <c r="U812" s="606">
        <f t="shared" si="111"/>
        <v>-98684.159999999989</v>
      </c>
      <c r="V812" s="747">
        <f t="shared" si="112"/>
        <v>-256947.84000000003</v>
      </c>
      <c r="W812" s="748">
        <v>66.319999999999993</v>
      </c>
      <c r="X812" s="607">
        <f t="shared" si="113"/>
        <v>-98684.159999999989</v>
      </c>
      <c r="Y812" s="702">
        <f t="shared" si="114"/>
        <v>-256947.84000000003</v>
      </c>
      <c r="Z812" s="748">
        <v>66.319999999999993</v>
      </c>
      <c r="AA812" s="607">
        <f t="shared" si="115"/>
        <v>-98684.159999999989</v>
      </c>
      <c r="AB812" s="749">
        <f t="shared" si="116"/>
        <v>-256947.84000000003</v>
      </c>
      <c r="AC812" s="714"/>
    </row>
    <row r="813" spans="1:29" x14ac:dyDescent="0.25">
      <c r="A813" s="713"/>
      <c r="B813" s="714" t="s">
        <v>1054</v>
      </c>
      <c r="C813" s="676" t="s">
        <v>40</v>
      </c>
      <c r="D813" s="676" t="s">
        <v>478</v>
      </c>
      <c r="E813" s="680">
        <v>44774</v>
      </c>
      <c r="F813" s="676">
        <v>744</v>
      </c>
      <c r="G813" s="676" t="s">
        <v>58</v>
      </c>
      <c r="H813" s="676" t="s">
        <v>3</v>
      </c>
      <c r="I813" s="676" t="s">
        <v>44</v>
      </c>
      <c r="J813" s="676" t="s">
        <v>84</v>
      </c>
      <c r="K813" s="676">
        <v>239</v>
      </c>
      <c r="L813" s="690" t="s">
        <v>54</v>
      </c>
      <c r="M813" s="691">
        <v>2</v>
      </c>
      <c r="N813" s="690">
        <v>0</v>
      </c>
      <c r="O813" s="691">
        <v>239</v>
      </c>
      <c r="P813" s="690">
        <v>0</v>
      </c>
      <c r="Q813" s="738">
        <f t="shared" si="108"/>
        <v>355632</v>
      </c>
      <c r="R813" s="677">
        <f t="shared" si="109"/>
        <v>0</v>
      </c>
      <c r="S813" s="739">
        <f t="shared" si="110"/>
        <v>-355632</v>
      </c>
      <c r="T813" s="738">
        <v>76.900000000000006</v>
      </c>
      <c r="U813" s="677">
        <f t="shared" si="111"/>
        <v>-114427.20000000001</v>
      </c>
      <c r="V813" s="739">
        <f t="shared" si="112"/>
        <v>-241204.8</v>
      </c>
      <c r="W813" s="740">
        <v>76.900000000000006</v>
      </c>
      <c r="X813" s="678">
        <f t="shared" si="113"/>
        <v>-114427.20000000001</v>
      </c>
      <c r="Y813" s="700">
        <f t="shared" si="114"/>
        <v>-241204.8</v>
      </c>
      <c r="Z813" s="740">
        <v>76.900000000000006</v>
      </c>
      <c r="AA813" s="678">
        <f t="shared" si="115"/>
        <v>-114427.20000000001</v>
      </c>
      <c r="AB813" s="741">
        <f t="shared" si="116"/>
        <v>-241204.8</v>
      </c>
      <c r="AC813" s="714"/>
    </row>
    <row r="814" spans="1:29" x14ac:dyDescent="0.25">
      <c r="A814" s="713"/>
      <c r="B814" s="729" t="s">
        <v>1054</v>
      </c>
      <c r="C814" s="545" t="s">
        <v>40</v>
      </c>
      <c r="D814" s="545" t="s">
        <v>478</v>
      </c>
      <c r="E814" s="681">
        <v>44805</v>
      </c>
      <c r="F814" s="545">
        <v>720</v>
      </c>
      <c r="G814" s="545" t="s">
        <v>58</v>
      </c>
      <c r="H814" s="545" t="s">
        <v>3</v>
      </c>
      <c r="I814" s="545" t="s">
        <v>44</v>
      </c>
      <c r="J814" s="545" t="s">
        <v>84</v>
      </c>
      <c r="K814" s="545">
        <v>239</v>
      </c>
      <c r="L814" s="725" t="s">
        <v>54</v>
      </c>
      <c r="M814" s="695">
        <v>2</v>
      </c>
      <c r="N814" s="725">
        <v>0</v>
      </c>
      <c r="O814" s="695">
        <v>239</v>
      </c>
      <c r="P814" s="725">
        <v>0</v>
      </c>
      <c r="Q814" s="742">
        <f t="shared" si="108"/>
        <v>344160</v>
      </c>
      <c r="R814" s="603">
        <f t="shared" si="109"/>
        <v>0</v>
      </c>
      <c r="S814" s="743">
        <f t="shared" si="110"/>
        <v>-344160</v>
      </c>
      <c r="T814" s="742">
        <v>56.08</v>
      </c>
      <c r="U814" s="603">
        <f t="shared" si="111"/>
        <v>-80755.199999999997</v>
      </c>
      <c r="V814" s="743">
        <f t="shared" si="112"/>
        <v>-263404.79999999999</v>
      </c>
      <c r="W814" s="744">
        <v>56.08</v>
      </c>
      <c r="X814" s="604">
        <f t="shared" si="113"/>
        <v>-80755.199999999997</v>
      </c>
      <c r="Y814" s="701">
        <f t="shared" si="114"/>
        <v>-263404.79999999999</v>
      </c>
      <c r="Z814" s="744">
        <v>56.08</v>
      </c>
      <c r="AA814" s="604">
        <f t="shared" si="115"/>
        <v>-80755.199999999997</v>
      </c>
      <c r="AB814" s="745">
        <f t="shared" si="116"/>
        <v>-263404.79999999999</v>
      </c>
      <c r="AC814" s="714"/>
    </row>
    <row r="815" spans="1:29" x14ac:dyDescent="0.25">
      <c r="A815" s="713"/>
      <c r="B815" s="730" t="s">
        <v>1056</v>
      </c>
      <c r="C815" s="546" t="s">
        <v>40</v>
      </c>
      <c r="D815" s="546" t="s">
        <v>350</v>
      </c>
      <c r="E815" s="682">
        <v>44743</v>
      </c>
      <c r="F815" s="546">
        <v>744</v>
      </c>
      <c r="G815" s="546" t="s">
        <v>58</v>
      </c>
      <c r="H815" s="546" t="s">
        <v>3</v>
      </c>
      <c r="I815" s="546" t="s">
        <v>44</v>
      </c>
      <c r="J815" s="546" t="s">
        <v>84</v>
      </c>
      <c r="K815" s="546">
        <v>240</v>
      </c>
      <c r="L815" s="726" t="s">
        <v>54</v>
      </c>
      <c r="M815" s="696">
        <v>3</v>
      </c>
      <c r="N815" s="726">
        <v>0</v>
      </c>
      <c r="O815" s="696">
        <v>240</v>
      </c>
      <c r="P815" s="726">
        <v>0</v>
      </c>
      <c r="Q815" s="746">
        <f t="shared" si="108"/>
        <v>535680</v>
      </c>
      <c r="R815" s="606">
        <f t="shared" si="109"/>
        <v>0</v>
      </c>
      <c r="S815" s="747">
        <f t="shared" si="110"/>
        <v>-535680</v>
      </c>
      <c r="T815" s="746">
        <v>66.319999999999993</v>
      </c>
      <c r="U815" s="606">
        <f t="shared" si="111"/>
        <v>-148026.23999999999</v>
      </c>
      <c r="V815" s="747">
        <f t="shared" si="112"/>
        <v>-387653.76</v>
      </c>
      <c r="W815" s="748">
        <v>66.319999999999993</v>
      </c>
      <c r="X815" s="607">
        <f t="shared" si="113"/>
        <v>-148026.23999999999</v>
      </c>
      <c r="Y815" s="702">
        <f t="shared" si="114"/>
        <v>-387653.76</v>
      </c>
      <c r="Z815" s="748">
        <v>66.319999999999993</v>
      </c>
      <c r="AA815" s="607">
        <f t="shared" si="115"/>
        <v>-148026.23999999999</v>
      </c>
      <c r="AB815" s="749">
        <f t="shared" si="116"/>
        <v>-387653.76</v>
      </c>
      <c r="AC815" s="714"/>
    </row>
    <row r="816" spans="1:29" x14ac:dyDescent="0.25">
      <c r="A816" s="713"/>
      <c r="B816" s="714" t="s">
        <v>1056</v>
      </c>
      <c r="C816" s="676" t="s">
        <v>40</v>
      </c>
      <c r="D816" s="676" t="s">
        <v>350</v>
      </c>
      <c r="E816" s="680">
        <v>44774</v>
      </c>
      <c r="F816" s="676">
        <v>744</v>
      </c>
      <c r="G816" s="676" t="s">
        <v>58</v>
      </c>
      <c r="H816" s="676" t="s">
        <v>3</v>
      </c>
      <c r="I816" s="676" t="s">
        <v>44</v>
      </c>
      <c r="J816" s="676" t="s">
        <v>84</v>
      </c>
      <c r="K816" s="676">
        <v>240</v>
      </c>
      <c r="L816" s="690" t="s">
        <v>54</v>
      </c>
      <c r="M816" s="691">
        <v>3</v>
      </c>
      <c r="N816" s="690">
        <v>0</v>
      </c>
      <c r="O816" s="691">
        <v>240</v>
      </c>
      <c r="P816" s="690">
        <v>0</v>
      </c>
      <c r="Q816" s="738">
        <f t="shared" si="108"/>
        <v>535680</v>
      </c>
      <c r="R816" s="677">
        <f t="shared" si="109"/>
        <v>0</v>
      </c>
      <c r="S816" s="739">
        <f t="shared" si="110"/>
        <v>-535680</v>
      </c>
      <c r="T816" s="738">
        <v>76.900000000000006</v>
      </c>
      <c r="U816" s="677">
        <f t="shared" si="111"/>
        <v>-171640.80000000002</v>
      </c>
      <c r="V816" s="739">
        <f t="shared" si="112"/>
        <v>-364039.19999999995</v>
      </c>
      <c r="W816" s="740">
        <v>76.900000000000006</v>
      </c>
      <c r="X816" s="678">
        <f t="shared" si="113"/>
        <v>-171640.80000000002</v>
      </c>
      <c r="Y816" s="700">
        <f t="shared" si="114"/>
        <v>-364039.19999999995</v>
      </c>
      <c r="Z816" s="740">
        <v>76.900000000000006</v>
      </c>
      <c r="AA816" s="678">
        <f t="shared" si="115"/>
        <v>-171640.80000000002</v>
      </c>
      <c r="AB816" s="741">
        <f t="shared" si="116"/>
        <v>-364039.19999999995</v>
      </c>
      <c r="AC816" s="714"/>
    </row>
    <row r="817" spans="1:29" x14ac:dyDescent="0.25">
      <c r="A817" s="713"/>
      <c r="B817" s="729" t="s">
        <v>1056</v>
      </c>
      <c r="C817" s="545" t="s">
        <v>40</v>
      </c>
      <c r="D817" s="545" t="s">
        <v>350</v>
      </c>
      <c r="E817" s="681">
        <v>44805</v>
      </c>
      <c r="F817" s="545">
        <v>720</v>
      </c>
      <c r="G817" s="545" t="s">
        <v>58</v>
      </c>
      <c r="H817" s="545" t="s">
        <v>3</v>
      </c>
      <c r="I817" s="545" t="s">
        <v>44</v>
      </c>
      <c r="J817" s="545" t="s">
        <v>84</v>
      </c>
      <c r="K817" s="545">
        <v>240</v>
      </c>
      <c r="L817" s="725" t="s">
        <v>54</v>
      </c>
      <c r="M817" s="695">
        <v>3</v>
      </c>
      <c r="N817" s="725">
        <v>0</v>
      </c>
      <c r="O817" s="695">
        <v>240</v>
      </c>
      <c r="P817" s="725">
        <v>0</v>
      </c>
      <c r="Q817" s="742">
        <f t="shared" si="108"/>
        <v>518400</v>
      </c>
      <c r="R817" s="603">
        <f t="shared" si="109"/>
        <v>0</v>
      </c>
      <c r="S817" s="743">
        <f t="shared" si="110"/>
        <v>-518400</v>
      </c>
      <c r="T817" s="742">
        <v>56.08</v>
      </c>
      <c r="U817" s="603">
        <f t="shared" si="111"/>
        <v>-121132.8</v>
      </c>
      <c r="V817" s="743">
        <f t="shared" si="112"/>
        <v>-397267.20000000001</v>
      </c>
      <c r="W817" s="744">
        <v>56.08</v>
      </c>
      <c r="X817" s="604">
        <f t="shared" si="113"/>
        <v>-121132.8</v>
      </c>
      <c r="Y817" s="701">
        <f t="shared" si="114"/>
        <v>-397267.20000000001</v>
      </c>
      <c r="Z817" s="744">
        <v>56.08</v>
      </c>
      <c r="AA817" s="604">
        <f t="shared" si="115"/>
        <v>-121132.8</v>
      </c>
      <c r="AB817" s="745">
        <f t="shared" si="116"/>
        <v>-397267.20000000001</v>
      </c>
      <c r="AC817" s="714"/>
    </row>
    <row r="818" spans="1:29" x14ac:dyDescent="0.25">
      <c r="A818" s="713"/>
      <c r="B818" s="731" t="s">
        <v>1058</v>
      </c>
      <c r="C818" s="547" t="s">
        <v>40</v>
      </c>
      <c r="D818" s="547" t="s">
        <v>465</v>
      </c>
      <c r="E818" s="683">
        <v>44562</v>
      </c>
      <c r="F818" s="547">
        <v>744</v>
      </c>
      <c r="G818" s="547" t="s">
        <v>59</v>
      </c>
      <c r="H818" s="547" t="s">
        <v>3</v>
      </c>
      <c r="I818" s="547" t="s">
        <v>44</v>
      </c>
      <c r="J818" s="547" t="s">
        <v>85</v>
      </c>
      <c r="K818" s="547">
        <v>64.5</v>
      </c>
      <c r="L818" s="727" t="s">
        <v>54</v>
      </c>
      <c r="M818" s="697">
        <v>0</v>
      </c>
      <c r="N818" s="727">
        <v>10</v>
      </c>
      <c r="O818" s="697">
        <v>0</v>
      </c>
      <c r="P818" s="727">
        <v>64.5</v>
      </c>
      <c r="Q818" s="750">
        <f t="shared" si="108"/>
        <v>0</v>
      </c>
      <c r="R818" s="608">
        <f t="shared" si="109"/>
        <v>479880</v>
      </c>
      <c r="S818" s="751">
        <f t="shared" si="110"/>
        <v>479880</v>
      </c>
      <c r="T818" s="750">
        <v>62.91</v>
      </c>
      <c r="U818" s="608">
        <f t="shared" si="111"/>
        <v>468050.39999999997</v>
      </c>
      <c r="V818" s="751">
        <f t="shared" si="112"/>
        <v>11829.600000000035</v>
      </c>
      <c r="W818" s="752">
        <v>62.91</v>
      </c>
      <c r="X818" s="609">
        <f t="shared" si="113"/>
        <v>468050.39999999997</v>
      </c>
      <c r="Y818" s="703">
        <f t="shared" si="114"/>
        <v>11829.600000000035</v>
      </c>
      <c r="Z818" s="752">
        <v>62.91</v>
      </c>
      <c r="AA818" s="609">
        <f t="shared" si="115"/>
        <v>468050.39999999997</v>
      </c>
      <c r="AB818" s="753">
        <f t="shared" si="116"/>
        <v>11829.600000000035</v>
      </c>
      <c r="AC818" s="714"/>
    </row>
    <row r="819" spans="1:29" x14ac:dyDescent="0.25">
      <c r="A819" s="713"/>
      <c r="B819" s="731" t="s">
        <v>1060</v>
      </c>
      <c r="C819" s="547" t="s">
        <v>40</v>
      </c>
      <c r="D819" s="547" t="s">
        <v>509</v>
      </c>
      <c r="E819" s="683">
        <v>44621</v>
      </c>
      <c r="F819" s="547">
        <v>744</v>
      </c>
      <c r="G819" s="547" t="s">
        <v>59</v>
      </c>
      <c r="H819" s="547" t="s">
        <v>3</v>
      </c>
      <c r="I819" s="547" t="s">
        <v>44</v>
      </c>
      <c r="J819" s="547" t="s">
        <v>85</v>
      </c>
      <c r="K819" s="547">
        <v>130</v>
      </c>
      <c r="L819" s="727" t="s">
        <v>54</v>
      </c>
      <c r="M819" s="697">
        <v>0</v>
      </c>
      <c r="N819" s="727">
        <v>3</v>
      </c>
      <c r="O819" s="697">
        <v>0</v>
      </c>
      <c r="P819" s="727">
        <v>130</v>
      </c>
      <c r="Q819" s="750">
        <f t="shared" si="108"/>
        <v>0</v>
      </c>
      <c r="R819" s="608">
        <f t="shared" si="109"/>
        <v>290160</v>
      </c>
      <c r="S819" s="751">
        <f t="shared" si="110"/>
        <v>290160</v>
      </c>
      <c r="T819" s="750">
        <v>55.7</v>
      </c>
      <c r="U819" s="608">
        <f t="shared" si="111"/>
        <v>124322.40000000001</v>
      </c>
      <c r="V819" s="751">
        <f t="shared" si="112"/>
        <v>165837.59999999998</v>
      </c>
      <c r="W819" s="752">
        <v>55.7</v>
      </c>
      <c r="X819" s="609">
        <f t="shared" si="113"/>
        <v>124322.40000000001</v>
      </c>
      <c r="Y819" s="703">
        <f t="shared" si="114"/>
        <v>165837.59999999998</v>
      </c>
      <c r="Z819" s="752">
        <v>55.7</v>
      </c>
      <c r="AA819" s="609">
        <f t="shared" si="115"/>
        <v>124322.40000000001</v>
      </c>
      <c r="AB819" s="753">
        <f t="shared" si="116"/>
        <v>165837.59999999998</v>
      </c>
      <c r="AC819" s="714"/>
    </row>
    <row r="820" spans="1:29" x14ac:dyDescent="0.25">
      <c r="A820" s="713"/>
      <c r="B820" s="730" t="s">
        <v>1062</v>
      </c>
      <c r="C820" s="546" t="s">
        <v>40</v>
      </c>
      <c r="D820" s="546" t="s">
        <v>511</v>
      </c>
      <c r="E820" s="682">
        <v>44743</v>
      </c>
      <c r="F820" s="546">
        <v>744</v>
      </c>
      <c r="G820" s="546" t="s">
        <v>58</v>
      </c>
      <c r="H820" s="546" t="s">
        <v>3</v>
      </c>
      <c r="I820" s="546" t="s">
        <v>44</v>
      </c>
      <c r="J820" s="546" t="s">
        <v>84</v>
      </c>
      <c r="K820" s="546">
        <v>240</v>
      </c>
      <c r="L820" s="726" t="s">
        <v>54</v>
      </c>
      <c r="M820" s="696">
        <v>2</v>
      </c>
      <c r="N820" s="726">
        <v>0</v>
      </c>
      <c r="O820" s="696">
        <v>240</v>
      </c>
      <c r="P820" s="726">
        <v>0</v>
      </c>
      <c r="Q820" s="746">
        <f t="shared" si="108"/>
        <v>357120</v>
      </c>
      <c r="R820" s="606">
        <f t="shared" si="109"/>
        <v>0</v>
      </c>
      <c r="S820" s="747">
        <f t="shared" si="110"/>
        <v>-357120</v>
      </c>
      <c r="T820" s="746">
        <v>66.319999999999993</v>
      </c>
      <c r="U820" s="606">
        <f t="shared" si="111"/>
        <v>-98684.159999999989</v>
      </c>
      <c r="V820" s="747">
        <f t="shared" si="112"/>
        <v>-258435.84000000003</v>
      </c>
      <c r="W820" s="748">
        <v>66.319999999999993</v>
      </c>
      <c r="X820" s="607">
        <f t="shared" si="113"/>
        <v>-98684.159999999989</v>
      </c>
      <c r="Y820" s="702">
        <f t="shared" si="114"/>
        <v>-258435.84000000003</v>
      </c>
      <c r="Z820" s="748">
        <v>66.319999999999993</v>
      </c>
      <c r="AA820" s="607">
        <f t="shared" si="115"/>
        <v>-98684.159999999989</v>
      </c>
      <c r="AB820" s="749">
        <f t="shared" si="116"/>
        <v>-258435.84000000003</v>
      </c>
      <c r="AC820" s="714"/>
    </row>
    <row r="821" spans="1:29" x14ac:dyDescent="0.25">
      <c r="A821" s="713"/>
      <c r="B821" s="714" t="s">
        <v>1062</v>
      </c>
      <c r="C821" s="676" t="s">
        <v>40</v>
      </c>
      <c r="D821" s="676" t="s">
        <v>511</v>
      </c>
      <c r="E821" s="680">
        <v>44774</v>
      </c>
      <c r="F821" s="676">
        <v>744</v>
      </c>
      <c r="G821" s="676" t="s">
        <v>58</v>
      </c>
      <c r="H821" s="676" t="s">
        <v>3</v>
      </c>
      <c r="I821" s="676" t="s">
        <v>44</v>
      </c>
      <c r="J821" s="676" t="s">
        <v>84</v>
      </c>
      <c r="K821" s="676">
        <v>240</v>
      </c>
      <c r="L821" s="690" t="s">
        <v>54</v>
      </c>
      <c r="M821" s="691">
        <v>2</v>
      </c>
      <c r="N821" s="690">
        <v>0</v>
      </c>
      <c r="O821" s="691">
        <v>240</v>
      </c>
      <c r="P821" s="690">
        <v>0</v>
      </c>
      <c r="Q821" s="738">
        <f t="shared" si="108"/>
        <v>357120</v>
      </c>
      <c r="R821" s="677">
        <f t="shared" si="109"/>
        <v>0</v>
      </c>
      <c r="S821" s="739">
        <f t="shared" si="110"/>
        <v>-357120</v>
      </c>
      <c r="T821" s="738">
        <v>76.900000000000006</v>
      </c>
      <c r="U821" s="677">
        <f t="shared" si="111"/>
        <v>-114427.20000000001</v>
      </c>
      <c r="V821" s="739">
        <f t="shared" si="112"/>
        <v>-242692.8</v>
      </c>
      <c r="W821" s="740">
        <v>76.900000000000006</v>
      </c>
      <c r="X821" s="678">
        <f t="shared" si="113"/>
        <v>-114427.20000000001</v>
      </c>
      <c r="Y821" s="700">
        <f t="shared" si="114"/>
        <v>-242692.8</v>
      </c>
      <c r="Z821" s="740">
        <v>76.900000000000006</v>
      </c>
      <c r="AA821" s="678">
        <f t="shared" si="115"/>
        <v>-114427.20000000001</v>
      </c>
      <c r="AB821" s="741">
        <f t="shared" si="116"/>
        <v>-242692.8</v>
      </c>
      <c r="AC821" s="714"/>
    </row>
    <row r="822" spans="1:29" x14ac:dyDescent="0.25">
      <c r="A822" s="713"/>
      <c r="B822" s="729" t="s">
        <v>1062</v>
      </c>
      <c r="C822" s="545" t="s">
        <v>40</v>
      </c>
      <c r="D822" s="545" t="s">
        <v>511</v>
      </c>
      <c r="E822" s="681">
        <v>44805</v>
      </c>
      <c r="F822" s="545">
        <v>720</v>
      </c>
      <c r="G822" s="545" t="s">
        <v>58</v>
      </c>
      <c r="H822" s="545" t="s">
        <v>3</v>
      </c>
      <c r="I822" s="545" t="s">
        <v>44</v>
      </c>
      <c r="J822" s="545" t="s">
        <v>84</v>
      </c>
      <c r="K822" s="545">
        <v>240</v>
      </c>
      <c r="L822" s="725" t="s">
        <v>54</v>
      </c>
      <c r="M822" s="695">
        <v>2</v>
      </c>
      <c r="N822" s="725">
        <v>0</v>
      </c>
      <c r="O822" s="695">
        <v>240</v>
      </c>
      <c r="P822" s="725">
        <v>0</v>
      </c>
      <c r="Q822" s="742">
        <f t="shared" si="108"/>
        <v>345600</v>
      </c>
      <c r="R822" s="603">
        <f t="shared" si="109"/>
        <v>0</v>
      </c>
      <c r="S822" s="743">
        <f t="shared" si="110"/>
        <v>-345600</v>
      </c>
      <c r="T822" s="742">
        <v>56.08</v>
      </c>
      <c r="U822" s="603">
        <f t="shared" si="111"/>
        <v>-80755.199999999997</v>
      </c>
      <c r="V822" s="743">
        <f t="shared" si="112"/>
        <v>-264844.79999999999</v>
      </c>
      <c r="W822" s="744">
        <v>56.08</v>
      </c>
      <c r="X822" s="604">
        <f t="shared" si="113"/>
        <v>-80755.199999999997</v>
      </c>
      <c r="Y822" s="701">
        <f t="shared" si="114"/>
        <v>-264844.79999999999</v>
      </c>
      <c r="Z822" s="744">
        <v>56.08</v>
      </c>
      <c r="AA822" s="604">
        <f t="shared" si="115"/>
        <v>-80755.199999999997</v>
      </c>
      <c r="AB822" s="745">
        <f t="shared" si="116"/>
        <v>-264844.79999999999</v>
      </c>
      <c r="AC822" s="714"/>
    </row>
    <row r="823" spans="1:29" x14ac:dyDescent="0.25">
      <c r="A823" s="713"/>
      <c r="B823" s="731" t="s">
        <v>1063</v>
      </c>
      <c r="C823" s="547" t="s">
        <v>40</v>
      </c>
      <c r="D823" s="547" t="s">
        <v>346</v>
      </c>
      <c r="E823" s="683">
        <v>44652</v>
      </c>
      <c r="F823" s="547">
        <v>720</v>
      </c>
      <c r="G823" s="547" t="s">
        <v>58</v>
      </c>
      <c r="H823" s="547" t="s">
        <v>3</v>
      </c>
      <c r="I823" s="547" t="s">
        <v>44</v>
      </c>
      <c r="J823" s="547" t="s">
        <v>84</v>
      </c>
      <c r="K823" s="547">
        <v>128</v>
      </c>
      <c r="L823" s="727" t="s">
        <v>54</v>
      </c>
      <c r="M823" s="697">
        <v>3.6</v>
      </c>
      <c r="N823" s="727">
        <v>0</v>
      </c>
      <c r="O823" s="697">
        <v>128</v>
      </c>
      <c r="P823" s="727">
        <v>0</v>
      </c>
      <c r="Q823" s="750">
        <f t="shared" si="108"/>
        <v>331776</v>
      </c>
      <c r="R823" s="608">
        <f t="shared" si="109"/>
        <v>0</v>
      </c>
      <c r="S823" s="751">
        <f t="shared" si="110"/>
        <v>-331776</v>
      </c>
      <c r="T823" s="750">
        <v>55.7</v>
      </c>
      <c r="U823" s="608">
        <f t="shared" si="111"/>
        <v>-144374.39999999999</v>
      </c>
      <c r="V823" s="751">
        <f t="shared" si="112"/>
        <v>-187401.60000000001</v>
      </c>
      <c r="W823" s="752">
        <v>55.7</v>
      </c>
      <c r="X823" s="609">
        <f t="shared" si="113"/>
        <v>-144374.39999999999</v>
      </c>
      <c r="Y823" s="703">
        <f t="shared" si="114"/>
        <v>-187401.60000000001</v>
      </c>
      <c r="Z823" s="752">
        <v>55.7</v>
      </c>
      <c r="AA823" s="609">
        <f t="shared" si="115"/>
        <v>-144374.39999999999</v>
      </c>
      <c r="AB823" s="753">
        <f t="shared" si="116"/>
        <v>-187401.60000000001</v>
      </c>
      <c r="AC823" s="714"/>
    </row>
    <row r="824" spans="1:29" x14ac:dyDescent="0.25">
      <c r="A824" s="713"/>
      <c r="B824" s="731" t="s">
        <v>1064</v>
      </c>
      <c r="C824" s="547" t="s">
        <v>40</v>
      </c>
      <c r="D824" s="547" t="s">
        <v>346</v>
      </c>
      <c r="E824" s="683">
        <v>44682</v>
      </c>
      <c r="F824" s="547">
        <v>744</v>
      </c>
      <c r="G824" s="547" t="s">
        <v>58</v>
      </c>
      <c r="H824" s="547" t="s">
        <v>3</v>
      </c>
      <c r="I824" s="547" t="s">
        <v>44</v>
      </c>
      <c r="J824" s="547" t="s">
        <v>84</v>
      </c>
      <c r="K824" s="547">
        <v>135</v>
      </c>
      <c r="L824" s="727" t="s">
        <v>54</v>
      </c>
      <c r="M824" s="697">
        <v>4.2</v>
      </c>
      <c r="N824" s="727">
        <v>0</v>
      </c>
      <c r="O824" s="697">
        <v>135</v>
      </c>
      <c r="P824" s="727">
        <v>0</v>
      </c>
      <c r="Q824" s="750">
        <f t="shared" si="108"/>
        <v>421848</v>
      </c>
      <c r="R824" s="608">
        <f t="shared" si="109"/>
        <v>0</v>
      </c>
      <c r="S824" s="751">
        <f t="shared" si="110"/>
        <v>-421848</v>
      </c>
      <c r="T824" s="750">
        <v>55.7</v>
      </c>
      <c r="U824" s="608">
        <f t="shared" si="111"/>
        <v>-174051.36000000002</v>
      </c>
      <c r="V824" s="751">
        <f t="shared" si="112"/>
        <v>-247796.63999999998</v>
      </c>
      <c r="W824" s="752">
        <v>55.7</v>
      </c>
      <c r="X824" s="609">
        <f t="shared" si="113"/>
        <v>-174051.36000000002</v>
      </c>
      <c r="Y824" s="703">
        <f t="shared" si="114"/>
        <v>-247796.63999999998</v>
      </c>
      <c r="Z824" s="752">
        <v>55.7</v>
      </c>
      <c r="AA824" s="609">
        <f t="shared" si="115"/>
        <v>-174051.36000000002</v>
      </c>
      <c r="AB824" s="753">
        <f t="shared" si="116"/>
        <v>-247796.63999999998</v>
      </c>
      <c r="AC824" s="714"/>
    </row>
    <row r="825" spans="1:29" x14ac:dyDescent="0.25">
      <c r="A825" s="713"/>
      <c r="B825" s="731" t="s">
        <v>1065</v>
      </c>
      <c r="C825" s="547" t="s">
        <v>40</v>
      </c>
      <c r="D825" s="547" t="s">
        <v>346</v>
      </c>
      <c r="E825" s="683">
        <v>44621</v>
      </c>
      <c r="F825" s="547">
        <v>744</v>
      </c>
      <c r="G825" s="547" t="s">
        <v>58</v>
      </c>
      <c r="H825" s="547" t="s">
        <v>3</v>
      </c>
      <c r="I825" s="547" t="s">
        <v>44</v>
      </c>
      <c r="J825" s="547" t="s">
        <v>84</v>
      </c>
      <c r="K825" s="547">
        <v>128</v>
      </c>
      <c r="L825" s="727" t="s">
        <v>54</v>
      </c>
      <c r="M825" s="697">
        <v>5</v>
      </c>
      <c r="N825" s="727">
        <v>0</v>
      </c>
      <c r="O825" s="697">
        <v>128</v>
      </c>
      <c r="P825" s="727">
        <v>0</v>
      </c>
      <c r="Q825" s="750">
        <f t="shared" si="108"/>
        <v>476160</v>
      </c>
      <c r="R825" s="608">
        <f t="shared" si="109"/>
        <v>0</v>
      </c>
      <c r="S825" s="751">
        <f t="shared" si="110"/>
        <v>-476160</v>
      </c>
      <c r="T825" s="750">
        <v>55.7</v>
      </c>
      <c r="U825" s="608">
        <f t="shared" si="111"/>
        <v>-207204</v>
      </c>
      <c r="V825" s="751">
        <f t="shared" si="112"/>
        <v>-268956</v>
      </c>
      <c r="W825" s="752">
        <v>55.7</v>
      </c>
      <c r="X825" s="609">
        <f t="shared" si="113"/>
        <v>-207204</v>
      </c>
      <c r="Y825" s="703">
        <f t="shared" si="114"/>
        <v>-268956</v>
      </c>
      <c r="Z825" s="752">
        <v>55.7</v>
      </c>
      <c r="AA825" s="609">
        <f t="shared" si="115"/>
        <v>-207204</v>
      </c>
      <c r="AB825" s="753">
        <f t="shared" si="116"/>
        <v>-268956</v>
      </c>
      <c r="AC825" s="714"/>
    </row>
    <row r="826" spans="1:29" x14ac:dyDescent="0.25">
      <c r="A826" s="713"/>
      <c r="B826" s="731" t="s">
        <v>1066</v>
      </c>
      <c r="C826" s="547" t="s">
        <v>40</v>
      </c>
      <c r="D826" s="547" t="s">
        <v>346</v>
      </c>
      <c r="E826" s="683">
        <v>44593</v>
      </c>
      <c r="F826" s="547">
        <v>672</v>
      </c>
      <c r="G826" s="547" t="s">
        <v>58</v>
      </c>
      <c r="H826" s="547" t="s">
        <v>3</v>
      </c>
      <c r="I826" s="547" t="s">
        <v>44</v>
      </c>
      <c r="J826" s="547" t="s">
        <v>84</v>
      </c>
      <c r="K826" s="547">
        <v>80</v>
      </c>
      <c r="L826" s="727" t="s">
        <v>54</v>
      </c>
      <c r="M826" s="697">
        <v>5</v>
      </c>
      <c r="N826" s="727">
        <v>0</v>
      </c>
      <c r="O826" s="697">
        <v>80</v>
      </c>
      <c r="P826" s="727">
        <v>0</v>
      </c>
      <c r="Q826" s="750">
        <f t="shared" si="108"/>
        <v>268800</v>
      </c>
      <c r="R826" s="608">
        <f t="shared" si="109"/>
        <v>0</v>
      </c>
      <c r="S826" s="751">
        <f t="shared" si="110"/>
        <v>-268800</v>
      </c>
      <c r="T826" s="750">
        <v>55.7</v>
      </c>
      <c r="U826" s="608">
        <f t="shared" si="111"/>
        <v>-187152</v>
      </c>
      <c r="V826" s="751">
        <f t="shared" si="112"/>
        <v>-81648</v>
      </c>
      <c r="W826" s="752">
        <v>55.7</v>
      </c>
      <c r="X826" s="609">
        <f t="shared" si="113"/>
        <v>-187152</v>
      </c>
      <c r="Y826" s="703">
        <f t="shared" si="114"/>
        <v>-81648</v>
      </c>
      <c r="Z826" s="752">
        <v>55.7</v>
      </c>
      <c r="AA826" s="609">
        <f t="shared" si="115"/>
        <v>-187152</v>
      </c>
      <c r="AB826" s="753">
        <f t="shared" si="116"/>
        <v>-81648</v>
      </c>
      <c r="AC826" s="714"/>
    </row>
    <row r="827" spans="1:29" x14ac:dyDescent="0.25">
      <c r="A827" s="713"/>
      <c r="B827" s="731" t="s">
        <v>1067</v>
      </c>
      <c r="C827" s="547" t="s">
        <v>40</v>
      </c>
      <c r="D827" s="547" t="s">
        <v>346</v>
      </c>
      <c r="E827" s="683">
        <v>44652</v>
      </c>
      <c r="F827" s="547">
        <v>720</v>
      </c>
      <c r="G827" s="547" t="s">
        <v>59</v>
      </c>
      <c r="H827" s="547" t="s">
        <v>3</v>
      </c>
      <c r="I827" s="547" t="s">
        <v>44</v>
      </c>
      <c r="J827" s="547" t="s">
        <v>85</v>
      </c>
      <c r="K827" s="547">
        <v>128</v>
      </c>
      <c r="L827" s="727" t="s">
        <v>54</v>
      </c>
      <c r="M827" s="697">
        <v>0</v>
      </c>
      <c r="N827" s="727">
        <v>3.6</v>
      </c>
      <c r="O827" s="697">
        <v>0</v>
      </c>
      <c r="P827" s="727">
        <v>128</v>
      </c>
      <c r="Q827" s="750">
        <f t="shared" si="108"/>
        <v>0</v>
      </c>
      <c r="R827" s="608">
        <f t="shared" si="109"/>
        <v>331776</v>
      </c>
      <c r="S827" s="751">
        <f t="shared" si="110"/>
        <v>331776</v>
      </c>
      <c r="T827" s="750">
        <v>55.7</v>
      </c>
      <c r="U827" s="608">
        <f t="shared" si="111"/>
        <v>144374.39999999999</v>
      </c>
      <c r="V827" s="751">
        <f t="shared" si="112"/>
        <v>187401.60000000001</v>
      </c>
      <c r="W827" s="752">
        <v>55.7</v>
      </c>
      <c r="X827" s="609">
        <f t="shared" si="113"/>
        <v>144374.39999999999</v>
      </c>
      <c r="Y827" s="703">
        <f t="shared" si="114"/>
        <v>187401.60000000001</v>
      </c>
      <c r="Z827" s="752">
        <v>55.7</v>
      </c>
      <c r="AA827" s="609">
        <f t="shared" si="115"/>
        <v>144374.39999999999</v>
      </c>
      <c r="AB827" s="753">
        <f t="shared" si="116"/>
        <v>187401.60000000001</v>
      </c>
      <c r="AC827" s="714"/>
    </row>
    <row r="828" spans="1:29" x14ac:dyDescent="0.25">
      <c r="A828" s="713"/>
      <c r="B828" s="731" t="s">
        <v>1068</v>
      </c>
      <c r="C828" s="547" t="s">
        <v>40</v>
      </c>
      <c r="D828" s="547" t="s">
        <v>346</v>
      </c>
      <c r="E828" s="683">
        <v>44682</v>
      </c>
      <c r="F828" s="547">
        <v>744</v>
      </c>
      <c r="G828" s="547" t="s">
        <v>59</v>
      </c>
      <c r="H828" s="547" t="s">
        <v>3</v>
      </c>
      <c r="I828" s="547" t="s">
        <v>44</v>
      </c>
      <c r="J828" s="547" t="s">
        <v>85</v>
      </c>
      <c r="K828" s="547">
        <v>135</v>
      </c>
      <c r="L828" s="727" t="s">
        <v>54</v>
      </c>
      <c r="M828" s="697">
        <v>0</v>
      </c>
      <c r="N828" s="727">
        <v>4.2</v>
      </c>
      <c r="O828" s="697">
        <v>0</v>
      </c>
      <c r="P828" s="727">
        <v>135</v>
      </c>
      <c r="Q828" s="750">
        <f t="shared" si="108"/>
        <v>0</v>
      </c>
      <c r="R828" s="608">
        <f t="shared" si="109"/>
        <v>421848</v>
      </c>
      <c r="S828" s="751">
        <f t="shared" si="110"/>
        <v>421848</v>
      </c>
      <c r="T828" s="750">
        <v>55.7</v>
      </c>
      <c r="U828" s="608">
        <f t="shared" si="111"/>
        <v>174051.36000000002</v>
      </c>
      <c r="V828" s="751">
        <f t="shared" si="112"/>
        <v>247796.63999999998</v>
      </c>
      <c r="W828" s="752">
        <v>55.7</v>
      </c>
      <c r="X828" s="609">
        <f t="shared" si="113"/>
        <v>174051.36000000002</v>
      </c>
      <c r="Y828" s="703">
        <f t="shared" si="114"/>
        <v>247796.63999999998</v>
      </c>
      <c r="Z828" s="752">
        <v>55.7</v>
      </c>
      <c r="AA828" s="609">
        <f t="shared" si="115"/>
        <v>174051.36000000002</v>
      </c>
      <c r="AB828" s="753">
        <f t="shared" si="116"/>
        <v>247796.63999999998</v>
      </c>
      <c r="AC828" s="714"/>
    </row>
    <row r="829" spans="1:29" x14ac:dyDescent="0.25">
      <c r="A829" s="713"/>
      <c r="B829" s="730" t="s">
        <v>1075</v>
      </c>
      <c r="C829" s="546" t="s">
        <v>40</v>
      </c>
      <c r="D829" s="546" t="s">
        <v>478</v>
      </c>
      <c r="E829" s="682">
        <v>44652</v>
      </c>
      <c r="F829" s="546">
        <v>720</v>
      </c>
      <c r="G829" s="546" t="s">
        <v>59</v>
      </c>
      <c r="H829" s="546" t="s">
        <v>3</v>
      </c>
      <c r="I829" s="546" t="s">
        <v>44</v>
      </c>
      <c r="J829" s="546" t="s">
        <v>85</v>
      </c>
      <c r="K829" s="546">
        <v>137.5</v>
      </c>
      <c r="L829" s="726" t="s">
        <v>54</v>
      </c>
      <c r="M829" s="696">
        <v>0</v>
      </c>
      <c r="N829" s="726">
        <v>3.6</v>
      </c>
      <c r="O829" s="696">
        <v>0</v>
      </c>
      <c r="P829" s="726">
        <v>137.5</v>
      </c>
      <c r="Q829" s="746">
        <f t="shared" si="108"/>
        <v>0</v>
      </c>
      <c r="R829" s="606">
        <f t="shared" si="109"/>
        <v>356400</v>
      </c>
      <c r="S829" s="747">
        <f t="shared" si="110"/>
        <v>356400</v>
      </c>
      <c r="T829" s="746">
        <v>55.7</v>
      </c>
      <c r="U829" s="606">
        <f t="shared" si="111"/>
        <v>144374.39999999999</v>
      </c>
      <c r="V829" s="747">
        <f t="shared" si="112"/>
        <v>212025.60000000001</v>
      </c>
      <c r="W829" s="748">
        <v>55.7</v>
      </c>
      <c r="X829" s="607">
        <f t="shared" si="113"/>
        <v>144374.39999999999</v>
      </c>
      <c r="Y829" s="702">
        <f t="shared" si="114"/>
        <v>212025.60000000001</v>
      </c>
      <c r="Z829" s="748">
        <v>55.7</v>
      </c>
      <c r="AA829" s="607">
        <f t="shared" si="115"/>
        <v>144374.39999999999</v>
      </c>
      <c r="AB829" s="749">
        <f t="shared" si="116"/>
        <v>212025.60000000001</v>
      </c>
      <c r="AC829" s="714"/>
    </row>
    <row r="830" spans="1:29" x14ac:dyDescent="0.25">
      <c r="A830" s="713"/>
      <c r="B830" s="714" t="s">
        <v>1075</v>
      </c>
      <c r="C830" s="676" t="s">
        <v>40</v>
      </c>
      <c r="D830" s="676" t="s">
        <v>478</v>
      </c>
      <c r="E830" s="680">
        <v>44682</v>
      </c>
      <c r="F830" s="676">
        <v>744</v>
      </c>
      <c r="G830" s="676" t="s">
        <v>59</v>
      </c>
      <c r="H830" s="676" t="s">
        <v>3</v>
      </c>
      <c r="I830" s="676" t="s">
        <v>44</v>
      </c>
      <c r="J830" s="676" t="s">
        <v>85</v>
      </c>
      <c r="K830" s="676">
        <v>137.5</v>
      </c>
      <c r="L830" s="690" t="s">
        <v>54</v>
      </c>
      <c r="M830" s="691">
        <v>0</v>
      </c>
      <c r="N830" s="690">
        <v>3.6</v>
      </c>
      <c r="O830" s="691">
        <v>0</v>
      </c>
      <c r="P830" s="690">
        <v>137.5</v>
      </c>
      <c r="Q830" s="738">
        <f t="shared" si="108"/>
        <v>0</v>
      </c>
      <c r="R830" s="677">
        <f t="shared" si="109"/>
        <v>368280</v>
      </c>
      <c r="S830" s="739">
        <f t="shared" si="110"/>
        <v>368280</v>
      </c>
      <c r="T830" s="738">
        <v>55.7</v>
      </c>
      <c r="U830" s="677">
        <f t="shared" si="111"/>
        <v>149186.88</v>
      </c>
      <c r="V830" s="739">
        <f t="shared" si="112"/>
        <v>219093.12</v>
      </c>
      <c r="W830" s="740">
        <v>55.7</v>
      </c>
      <c r="X830" s="678">
        <f t="shared" si="113"/>
        <v>149186.88</v>
      </c>
      <c r="Y830" s="700">
        <f t="shared" si="114"/>
        <v>219093.12</v>
      </c>
      <c r="Z830" s="740">
        <v>55.7</v>
      </c>
      <c r="AA830" s="678">
        <f t="shared" si="115"/>
        <v>149186.88</v>
      </c>
      <c r="AB830" s="741">
        <f t="shared" si="116"/>
        <v>219093.12</v>
      </c>
      <c r="AC830" s="714"/>
    </row>
    <row r="831" spans="1:29" x14ac:dyDescent="0.25">
      <c r="A831" s="713"/>
      <c r="B831" s="729" t="s">
        <v>1075</v>
      </c>
      <c r="C831" s="545" t="s">
        <v>40</v>
      </c>
      <c r="D831" s="545" t="s">
        <v>478</v>
      </c>
      <c r="E831" s="681">
        <v>44713</v>
      </c>
      <c r="F831" s="545">
        <v>720</v>
      </c>
      <c r="G831" s="545" t="s">
        <v>59</v>
      </c>
      <c r="H831" s="545" t="s">
        <v>3</v>
      </c>
      <c r="I831" s="545" t="s">
        <v>44</v>
      </c>
      <c r="J831" s="545" t="s">
        <v>85</v>
      </c>
      <c r="K831" s="545">
        <v>137.5</v>
      </c>
      <c r="L831" s="725" t="s">
        <v>54</v>
      </c>
      <c r="M831" s="695">
        <v>0</v>
      </c>
      <c r="N831" s="725">
        <v>3.6</v>
      </c>
      <c r="O831" s="695">
        <v>0</v>
      </c>
      <c r="P831" s="725">
        <v>137.5</v>
      </c>
      <c r="Q831" s="742">
        <f t="shared" si="108"/>
        <v>0</v>
      </c>
      <c r="R831" s="603">
        <f t="shared" si="109"/>
        <v>356400</v>
      </c>
      <c r="S831" s="743">
        <f t="shared" si="110"/>
        <v>356400</v>
      </c>
      <c r="T831" s="742">
        <v>55.71</v>
      </c>
      <c r="U831" s="603">
        <f t="shared" si="111"/>
        <v>144400.32000000001</v>
      </c>
      <c r="V831" s="743">
        <f t="shared" si="112"/>
        <v>211999.68</v>
      </c>
      <c r="W831" s="744">
        <v>55.71</v>
      </c>
      <c r="X831" s="604">
        <f t="shared" si="113"/>
        <v>144400.32000000001</v>
      </c>
      <c r="Y831" s="701">
        <f t="shared" si="114"/>
        <v>211999.68</v>
      </c>
      <c r="Z831" s="744">
        <v>55.71</v>
      </c>
      <c r="AA831" s="604">
        <f t="shared" si="115"/>
        <v>144400.32000000001</v>
      </c>
      <c r="AB831" s="745">
        <f t="shared" si="116"/>
        <v>211999.68</v>
      </c>
      <c r="AC831" s="714"/>
    </row>
    <row r="832" spans="1:29" x14ac:dyDescent="0.25">
      <c r="A832" s="713"/>
      <c r="B832" s="731" t="s">
        <v>1077</v>
      </c>
      <c r="C832" s="547" t="s">
        <v>40</v>
      </c>
      <c r="D832" s="547" t="s">
        <v>1073</v>
      </c>
      <c r="E832" s="683">
        <v>44682</v>
      </c>
      <c r="F832" s="547">
        <v>744</v>
      </c>
      <c r="G832" s="547" t="s">
        <v>59</v>
      </c>
      <c r="H832" s="547" t="s">
        <v>3</v>
      </c>
      <c r="I832" s="547" t="s">
        <v>44</v>
      </c>
      <c r="J832" s="547" t="s">
        <v>85</v>
      </c>
      <c r="K832" s="547">
        <v>128</v>
      </c>
      <c r="L832" s="727" t="s">
        <v>54</v>
      </c>
      <c r="M832" s="697">
        <v>0</v>
      </c>
      <c r="N832" s="727">
        <v>3</v>
      </c>
      <c r="O832" s="697">
        <v>0</v>
      </c>
      <c r="P832" s="727">
        <v>128</v>
      </c>
      <c r="Q832" s="750">
        <f t="shared" si="108"/>
        <v>0</v>
      </c>
      <c r="R832" s="608">
        <f t="shared" si="109"/>
        <v>285696</v>
      </c>
      <c r="S832" s="751">
        <f t="shared" si="110"/>
        <v>285696</v>
      </c>
      <c r="T832" s="750">
        <v>55.7</v>
      </c>
      <c r="U832" s="608">
        <f t="shared" si="111"/>
        <v>124322.40000000001</v>
      </c>
      <c r="V832" s="751">
        <f t="shared" si="112"/>
        <v>161373.59999999998</v>
      </c>
      <c r="W832" s="752">
        <v>55.7</v>
      </c>
      <c r="X832" s="609">
        <f t="shared" si="113"/>
        <v>124322.40000000001</v>
      </c>
      <c r="Y832" s="703">
        <f t="shared" si="114"/>
        <v>161373.59999999998</v>
      </c>
      <c r="Z832" s="752">
        <v>55.7</v>
      </c>
      <c r="AA832" s="609">
        <f t="shared" si="115"/>
        <v>124322.40000000001</v>
      </c>
      <c r="AB832" s="753">
        <f t="shared" si="116"/>
        <v>161373.59999999998</v>
      </c>
      <c r="AC832" s="714"/>
    </row>
    <row r="833" spans="1:29" x14ac:dyDescent="0.25">
      <c r="A833" s="713"/>
      <c r="B833" s="731" t="s">
        <v>1079</v>
      </c>
      <c r="C833" s="547" t="s">
        <v>40</v>
      </c>
      <c r="D833" s="547" t="s">
        <v>513</v>
      </c>
      <c r="E833" s="683">
        <v>44896</v>
      </c>
      <c r="F833" s="547">
        <v>744</v>
      </c>
      <c r="G833" s="547" t="s">
        <v>59</v>
      </c>
      <c r="H833" s="547" t="s">
        <v>3</v>
      </c>
      <c r="I833" s="547" t="s">
        <v>44</v>
      </c>
      <c r="J833" s="547" t="s">
        <v>85</v>
      </c>
      <c r="K833" s="547">
        <v>180</v>
      </c>
      <c r="L833" s="727" t="s">
        <v>54</v>
      </c>
      <c r="M833" s="697">
        <v>0</v>
      </c>
      <c r="N833" s="727">
        <v>4</v>
      </c>
      <c r="O833" s="697">
        <v>0</v>
      </c>
      <c r="P833" s="727">
        <v>180</v>
      </c>
      <c r="Q833" s="750">
        <f t="shared" si="108"/>
        <v>0</v>
      </c>
      <c r="R833" s="608">
        <f t="shared" si="109"/>
        <v>535680</v>
      </c>
      <c r="S833" s="751">
        <f t="shared" si="110"/>
        <v>535680</v>
      </c>
      <c r="T833" s="750">
        <v>55.7</v>
      </c>
      <c r="U833" s="608">
        <f t="shared" si="111"/>
        <v>165763.20000000001</v>
      </c>
      <c r="V833" s="751">
        <f t="shared" si="112"/>
        <v>369916.8</v>
      </c>
      <c r="W833" s="752">
        <v>55.7</v>
      </c>
      <c r="X833" s="609">
        <f t="shared" si="113"/>
        <v>165763.20000000001</v>
      </c>
      <c r="Y833" s="703">
        <f t="shared" si="114"/>
        <v>369916.8</v>
      </c>
      <c r="Z833" s="752">
        <v>78.400653594793155</v>
      </c>
      <c r="AA833" s="609">
        <f t="shared" si="115"/>
        <v>233320.34509810444</v>
      </c>
      <c r="AB833" s="753">
        <f t="shared" si="116"/>
        <v>302359.65490189556</v>
      </c>
      <c r="AC833" s="714"/>
    </row>
    <row r="834" spans="1:29" x14ac:dyDescent="0.25">
      <c r="A834" s="713"/>
      <c r="B834" s="731" t="s">
        <v>1081</v>
      </c>
      <c r="C834" s="547" t="s">
        <v>40</v>
      </c>
      <c r="D834" s="547" t="s">
        <v>620</v>
      </c>
      <c r="E834" s="683">
        <v>44562</v>
      </c>
      <c r="F834" s="547">
        <v>744</v>
      </c>
      <c r="G834" s="547" t="s">
        <v>59</v>
      </c>
      <c r="H834" s="547" t="s">
        <v>3</v>
      </c>
      <c r="I834" s="547" t="s">
        <v>44</v>
      </c>
      <c r="J834" s="547" t="s">
        <v>85</v>
      </c>
      <c r="K834" s="547">
        <v>65</v>
      </c>
      <c r="L834" s="727" t="s">
        <v>54</v>
      </c>
      <c r="M834" s="697">
        <v>0</v>
      </c>
      <c r="N834" s="727">
        <v>34.799999999999997</v>
      </c>
      <c r="O834" s="697">
        <v>0</v>
      </c>
      <c r="P834" s="727">
        <v>65</v>
      </c>
      <c r="Q834" s="750">
        <f t="shared" si="108"/>
        <v>0</v>
      </c>
      <c r="R834" s="608">
        <f t="shared" si="109"/>
        <v>1682927.9999999998</v>
      </c>
      <c r="S834" s="751">
        <f t="shared" si="110"/>
        <v>1682927.9999999998</v>
      </c>
      <c r="T834" s="750">
        <v>62.91</v>
      </c>
      <c r="U834" s="608">
        <f t="shared" si="111"/>
        <v>1628815.3919999998</v>
      </c>
      <c r="V834" s="751">
        <f t="shared" si="112"/>
        <v>54112.608000000007</v>
      </c>
      <c r="W834" s="752">
        <v>62.91</v>
      </c>
      <c r="X834" s="609">
        <f t="shared" si="113"/>
        <v>1628815.3919999998</v>
      </c>
      <c r="Y834" s="703">
        <f t="shared" si="114"/>
        <v>54112.608000000007</v>
      </c>
      <c r="Z834" s="752">
        <v>62.91</v>
      </c>
      <c r="AA834" s="609">
        <f t="shared" si="115"/>
        <v>1628815.3919999998</v>
      </c>
      <c r="AB834" s="753">
        <f t="shared" si="116"/>
        <v>54112.608000000007</v>
      </c>
      <c r="AC834" s="714"/>
    </row>
    <row r="835" spans="1:29" x14ac:dyDescent="0.25">
      <c r="A835" s="713"/>
      <c r="B835" s="731" t="s">
        <v>1089</v>
      </c>
      <c r="C835" s="547" t="s">
        <v>40</v>
      </c>
      <c r="D835" s="547" t="s">
        <v>967</v>
      </c>
      <c r="E835" s="683">
        <v>44593</v>
      </c>
      <c r="F835" s="547">
        <v>672</v>
      </c>
      <c r="G835" s="547" t="s">
        <v>59</v>
      </c>
      <c r="H835" s="547" t="s">
        <v>3</v>
      </c>
      <c r="I835" s="547" t="s">
        <v>44</v>
      </c>
      <c r="J835" s="547" t="s">
        <v>85</v>
      </c>
      <c r="K835" s="547">
        <v>70</v>
      </c>
      <c r="L835" s="727" t="s">
        <v>54</v>
      </c>
      <c r="M835" s="697">
        <v>0</v>
      </c>
      <c r="N835" s="727">
        <v>5</v>
      </c>
      <c r="O835" s="697">
        <v>0</v>
      </c>
      <c r="P835" s="727">
        <v>70</v>
      </c>
      <c r="Q835" s="750">
        <f t="shared" ref="Q835:Q898" si="117">(O835*(M835*F835))</f>
        <v>0</v>
      </c>
      <c r="R835" s="608">
        <f t="shared" ref="R835:R898" si="118">(P835*(N835*F835))</f>
        <v>235200</v>
      </c>
      <c r="S835" s="751">
        <f t="shared" ref="S835:S898" si="119">R835-Q835</f>
        <v>235200</v>
      </c>
      <c r="T835" s="750">
        <v>55.7</v>
      </c>
      <c r="U835" s="608">
        <f t="shared" ref="U835:U898" si="120">(((F835*N835)*T835)-(T835*(M835*F835)))</f>
        <v>187152</v>
      </c>
      <c r="V835" s="751">
        <f t="shared" ref="V835:V898" si="121">S835-U835</f>
        <v>48048</v>
      </c>
      <c r="W835" s="752">
        <v>55.7</v>
      </c>
      <c r="X835" s="609">
        <f t="shared" ref="X835:X898" si="122">(((F835*N835)*W835)-(W835*(M835*F835)))</f>
        <v>187152</v>
      </c>
      <c r="Y835" s="703">
        <f t="shared" ref="Y835:Y898" si="123">S835-X835</f>
        <v>48048</v>
      </c>
      <c r="Z835" s="752">
        <v>55.7</v>
      </c>
      <c r="AA835" s="609">
        <f t="shared" ref="AA835:AA898" si="124">(((F835*N835)*Z835)-(Z835*(M835*F835)))</f>
        <v>187152</v>
      </c>
      <c r="AB835" s="753">
        <f t="shared" ref="AB835:AB898" si="125">S835-AA835</f>
        <v>48048</v>
      </c>
      <c r="AC835" s="714"/>
    </row>
    <row r="836" spans="1:29" x14ac:dyDescent="0.25">
      <c r="A836" s="713"/>
      <c r="B836" s="731" t="s">
        <v>1091</v>
      </c>
      <c r="C836" s="547" t="s">
        <v>40</v>
      </c>
      <c r="D836" s="547" t="s">
        <v>501</v>
      </c>
      <c r="E836" s="683">
        <v>44593</v>
      </c>
      <c r="F836" s="547">
        <v>672</v>
      </c>
      <c r="G836" s="547" t="s">
        <v>59</v>
      </c>
      <c r="H836" s="547" t="s">
        <v>3</v>
      </c>
      <c r="I836" s="547" t="s">
        <v>44</v>
      </c>
      <c r="J836" s="547" t="s">
        <v>85</v>
      </c>
      <c r="K836" s="547">
        <v>70</v>
      </c>
      <c r="L836" s="727" t="s">
        <v>54</v>
      </c>
      <c r="M836" s="697">
        <v>0</v>
      </c>
      <c r="N836" s="727">
        <v>10</v>
      </c>
      <c r="O836" s="697">
        <v>0</v>
      </c>
      <c r="P836" s="727">
        <v>70</v>
      </c>
      <c r="Q836" s="750">
        <f t="shared" si="117"/>
        <v>0</v>
      </c>
      <c r="R836" s="608">
        <f t="shared" si="118"/>
        <v>470400</v>
      </c>
      <c r="S836" s="751">
        <f t="shared" si="119"/>
        <v>470400</v>
      </c>
      <c r="T836" s="750">
        <v>55.7</v>
      </c>
      <c r="U836" s="608">
        <f t="shared" si="120"/>
        <v>374304</v>
      </c>
      <c r="V836" s="751">
        <f t="shared" si="121"/>
        <v>96096</v>
      </c>
      <c r="W836" s="752">
        <v>55.7</v>
      </c>
      <c r="X836" s="609">
        <f t="shared" si="122"/>
        <v>374304</v>
      </c>
      <c r="Y836" s="703">
        <f t="shared" si="123"/>
        <v>96096</v>
      </c>
      <c r="Z836" s="752">
        <v>55.7</v>
      </c>
      <c r="AA836" s="609">
        <f t="shared" si="124"/>
        <v>374304</v>
      </c>
      <c r="AB836" s="753">
        <f t="shared" si="125"/>
        <v>96096</v>
      </c>
      <c r="AC836" s="714"/>
    </row>
    <row r="837" spans="1:29" x14ac:dyDescent="0.25">
      <c r="A837" s="713"/>
      <c r="B837" s="731" t="s">
        <v>1092</v>
      </c>
      <c r="C837" s="547" t="s">
        <v>40</v>
      </c>
      <c r="D837" s="547" t="s">
        <v>501</v>
      </c>
      <c r="E837" s="683">
        <v>44593</v>
      </c>
      <c r="F837" s="547">
        <v>672</v>
      </c>
      <c r="G837" s="547" t="s">
        <v>59</v>
      </c>
      <c r="H837" s="547" t="s">
        <v>3</v>
      </c>
      <c r="I837" s="547" t="s">
        <v>44</v>
      </c>
      <c r="J837" s="547" t="s">
        <v>85</v>
      </c>
      <c r="K837" s="547">
        <v>70</v>
      </c>
      <c r="L837" s="727" t="s">
        <v>54</v>
      </c>
      <c r="M837" s="697">
        <v>0</v>
      </c>
      <c r="N837" s="727">
        <v>4</v>
      </c>
      <c r="O837" s="697">
        <v>0</v>
      </c>
      <c r="P837" s="727">
        <v>70</v>
      </c>
      <c r="Q837" s="750">
        <f t="shared" si="117"/>
        <v>0</v>
      </c>
      <c r="R837" s="608">
        <f t="shared" si="118"/>
        <v>188160</v>
      </c>
      <c r="S837" s="751">
        <f t="shared" si="119"/>
        <v>188160</v>
      </c>
      <c r="T837" s="750">
        <v>55.7</v>
      </c>
      <c r="U837" s="608">
        <f t="shared" si="120"/>
        <v>149721.60000000001</v>
      </c>
      <c r="V837" s="751">
        <f t="shared" si="121"/>
        <v>38438.399999999994</v>
      </c>
      <c r="W837" s="752">
        <v>55.7</v>
      </c>
      <c r="X837" s="609">
        <f t="shared" si="122"/>
        <v>149721.60000000001</v>
      </c>
      <c r="Y837" s="703">
        <f t="shared" si="123"/>
        <v>38438.399999999994</v>
      </c>
      <c r="Z837" s="752">
        <v>55.7</v>
      </c>
      <c r="AA837" s="609">
        <f t="shared" si="124"/>
        <v>149721.60000000001</v>
      </c>
      <c r="AB837" s="753">
        <f t="shared" si="125"/>
        <v>38438.399999999994</v>
      </c>
      <c r="AC837" s="714"/>
    </row>
    <row r="838" spans="1:29" x14ac:dyDescent="0.25">
      <c r="A838" s="713"/>
      <c r="B838" s="731" t="s">
        <v>1094</v>
      </c>
      <c r="C838" s="547" t="s">
        <v>40</v>
      </c>
      <c r="D838" s="547" t="s">
        <v>478</v>
      </c>
      <c r="E838" s="683">
        <v>44652</v>
      </c>
      <c r="F838" s="547">
        <v>720</v>
      </c>
      <c r="G838" s="547" t="s">
        <v>59</v>
      </c>
      <c r="H838" s="547" t="s">
        <v>3</v>
      </c>
      <c r="I838" s="547" t="s">
        <v>44</v>
      </c>
      <c r="J838" s="547" t="s">
        <v>85</v>
      </c>
      <c r="K838" s="547">
        <v>110</v>
      </c>
      <c r="L838" s="727" t="s">
        <v>54</v>
      </c>
      <c r="M838" s="697">
        <v>0</v>
      </c>
      <c r="N838" s="727">
        <v>2</v>
      </c>
      <c r="O838" s="697">
        <v>0</v>
      </c>
      <c r="P838" s="727">
        <v>110</v>
      </c>
      <c r="Q838" s="750">
        <f t="shared" si="117"/>
        <v>0</v>
      </c>
      <c r="R838" s="608">
        <f t="shared" si="118"/>
        <v>158400</v>
      </c>
      <c r="S838" s="751">
        <f t="shared" si="119"/>
        <v>158400</v>
      </c>
      <c r="T838" s="750">
        <v>55.7</v>
      </c>
      <c r="U838" s="608">
        <f t="shared" si="120"/>
        <v>80208</v>
      </c>
      <c r="V838" s="751">
        <f t="shared" si="121"/>
        <v>78192</v>
      </c>
      <c r="W838" s="752">
        <v>55.7</v>
      </c>
      <c r="X838" s="609">
        <f t="shared" si="122"/>
        <v>80208</v>
      </c>
      <c r="Y838" s="703">
        <f t="shared" si="123"/>
        <v>78192</v>
      </c>
      <c r="Z838" s="752">
        <v>55.7</v>
      </c>
      <c r="AA838" s="609">
        <f t="shared" si="124"/>
        <v>80208</v>
      </c>
      <c r="AB838" s="753">
        <f t="shared" si="125"/>
        <v>78192</v>
      </c>
      <c r="AC838" s="714"/>
    </row>
    <row r="839" spans="1:29" x14ac:dyDescent="0.25">
      <c r="A839" s="713"/>
      <c r="B839" s="731" t="s">
        <v>1095</v>
      </c>
      <c r="C839" s="547" t="s">
        <v>40</v>
      </c>
      <c r="D839" s="547" t="s">
        <v>501</v>
      </c>
      <c r="E839" s="683">
        <v>44593</v>
      </c>
      <c r="F839" s="547">
        <v>672</v>
      </c>
      <c r="G839" s="547" t="s">
        <v>59</v>
      </c>
      <c r="H839" s="547" t="s">
        <v>3</v>
      </c>
      <c r="I839" s="547" t="s">
        <v>44</v>
      </c>
      <c r="J839" s="547" t="s">
        <v>85</v>
      </c>
      <c r="K839" s="547">
        <v>71</v>
      </c>
      <c r="L839" s="727" t="s">
        <v>54</v>
      </c>
      <c r="M839" s="697">
        <v>0</v>
      </c>
      <c r="N839" s="727">
        <v>3</v>
      </c>
      <c r="O839" s="697">
        <v>0</v>
      </c>
      <c r="P839" s="727">
        <v>71</v>
      </c>
      <c r="Q839" s="750">
        <f t="shared" si="117"/>
        <v>0</v>
      </c>
      <c r="R839" s="608">
        <f t="shared" si="118"/>
        <v>143136</v>
      </c>
      <c r="S839" s="751">
        <f t="shared" si="119"/>
        <v>143136</v>
      </c>
      <c r="T839" s="750">
        <v>55.7</v>
      </c>
      <c r="U839" s="608">
        <f t="shared" si="120"/>
        <v>112291.20000000001</v>
      </c>
      <c r="V839" s="751">
        <f t="shared" si="121"/>
        <v>30844.799999999988</v>
      </c>
      <c r="W839" s="752">
        <v>55.7</v>
      </c>
      <c r="X839" s="609">
        <f t="shared" si="122"/>
        <v>112291.20000000001</v>
      </c>
      <c r="Y839" s="703">
        <f t="shared" si="123"/>
        <v>30844.799999999988</v>
      </c>
      <c r="Z839" s="752">
        <v>55.7</v>
      </c>
      <c r="AA839" s="609">
        <f t="shared" si="124"/>
        <v>112291.20000000001</v>
      </c>
      <c r="AB839" s="753">
        <f t="shared" si="125"/>
        <v>30844.799999999988</v>
      </c>
      <c r="AC839" s="714"/>
    </row>
    <row r="840" spans="1:29" x14ac:dyDescent="0.25">
      <c r="A840" s="713"/>
      <c r="B840" s="731" t="s">
        <v>1096</v>
      </c>
      <c r="C840" s="547" t="s">
        <v>40</v>
      </c>
      <c r="D840" s="547" t="s">
        <v>346</v>
      </c>
      <c r="E840" s="683">
        <v>44593</v>
      </c>
      <c r="F840" s="547">
        <v>672</v>
      </c>
      <c r="G840" s="547" t="s">
        <v>58</v>
      </c>
      <c r="H840" s="547" t="s">
        <v>3</v>
      </c>
      <c r="I840" s="547" t="s">
        <v>44</v>
      </c>
      <c r="J840" s="547" t="s">
        <v>84</v>
      </c>
      <c r="K840" s="547">
        <v>70</v>
      </c>
      <c r="L840" s="727" t="s">
        <v>54</v>
      </c>
      <c r="M840" s="697">
        <v>2</v>
      </c>
      <c r="N840" s="727">
        <v>0</v>
      </c>
      <c r="O840" s="697">
        <v>70</v>
      </c>
      <c r="P840" s="727">
        <v>0</v>
      </c>
      <c r="Q840" s="750">
        <f t="shared" si="117"/>
        <v>94080</v>
      </c>
      <c r="R840" s="608">
        <f t="shared" si="118"/>
        <v>0</v>
      </c>
      <c r="S840" s="751">
        <f t="shared" si="119"/>
        <v>-94080</v>
      </c>
      <c r="T840" s="750">
        <v>55.7</v>
      </c>
      <c r="U840" s="608">
        <f t="shared" si="120"/>
        <v>-74860.800000000003</v>
      </c>
      <c r="V840" s="751">
        <f t="shared" si="121"/>
        <v>-19219.199999999997</v>
      </c>
      <c r="W840" s="752">
        <v>55.7</v>
      </c>
      <c r="X840" s="609">
        <f t="shared" si="122"/>
        <v>-74860.800000000003</v>
      </c>
      <c r="Y840" s="703">
        <f t="shared" si="123"/>
        <v>-19219.199999999997</v>
      </c>
      <c r="Z840" s="752">
        <v>55.7</v>
      </c>
      <c r="AA840" s="609">
        <f t="shared" si="124"/>
        <v>-74860.800000000003</v>
      </c>
      <c r="AB840" s="753">
        <f t="shared" si="125"/>
        <v>-19219.199999999997</v>
      </c>
      <c r="AC840" s="714"/>
    </row>
    <row r="841" spans="1:29" x14ac:dyDescent="0.25">
      <c r="A841" s="713"/>
      <c r="B841" s="731" t="s">
        <v>1105</v>
      </c>
      <c r="C841" s="547" t="s">
        <v>40</v>
      </c>
      <c r="D841" s="547" t="s">
        <v>509</v>
      </c>
      <c r="E841" s="683">
        <v>44682</v>
      </c>
      <c r="F841" s="547">
        <v>744</v>
      </c>
      <c r="G841" s="547" t="s">
        <v>59</v>
      </c>
      <c r="H841" s="547" t="s">
        <v>3</v>
      </c>
      <c r="I841" s="547" t="s">
        <v>44</v>
      </c>
      <c r="J841" s="547" t="s">
        <v>85</v>
      </c>
      <c r="K841" s="547">
        <v>112</v>
      </c>
      <c r="L841" s="727" t="s">
        <v>54</v>
      </c>
      <c r="M841" s="697">
        <v>0</v>
      </c>
      <c r="N841" s="727">
        <v>10</v>
      </c>
      <c r="O841" s="697">
        <v>0</v>
      </c>
      <c r="P841" s="727">
        <v>112</v>
      </c>
      <c r="Q841" s="750">
        <f t="shared" si="117"/>
        <v>0</v>
      </c>
      <c r="R841" s="608">
        <f t="shared" si="118"/>
        <v>833280</v>
      </c>
      <c r="S841" s="751">
        <f t="shared" si="119"/>
        <v>833280</v>
      </c>
      <c r="T841" s="750">
        <v>55.7</v>
      </c>
      <c r="U841" s="608">
        <f t="shared" si="120"/>
        <v>414408</v>
      </c>
      <c r="V841" s="751">
        <f t="shared" si="121"/>
        <v>418872</v>
      </c>
      <c r="W841" s="752">
        <v>55.7</v>
      </c>
      <c r="X841" s="609">
        <f t="shared" si="122"/>
        <v>414408</v>
      </c>
      <c r="Y841" s="703">
        <f t="shared" si="123"/>
        <v>418872</v>
      </c>
      <c r="Z841" s="752">
        <v>55.7</v>
      </c>
      <c r="AA841" s="609">
        <f t="shared" si="124"/>
        <v>414408</v>
      </c>
      <c r="AB841" s="753">
        <f t="shared" si="125"/>
        <v>418872</v>
      </c>
      <c r="AC841" s="714"/>
    </row>
    <row r="842" spans="1:29" x14ac:dyDescent="0.25">
      <c r="A842" s="713"/>
      <c r="B842" s="731" t="s">
        <v>1107</v>
      </c>
      <c r="C842" s="547" t="s">
        <v>40</v>
      </c>
      <c r="D842" s="547" t="s">
        <v>348</v>
      </c>
      <c r="E842" s="683">
        <v>44652</v>
      </c>
      <c r="F842" s="547">
        <v>720</v>
      </c>
      <c r="G842" s="547" t="s">
        <v>59</v>
      </c>
      <c r="H842" s="547" t="s">
        <v>3</v>
      </c>
      <c r="I842" s="547" t="s">
        <v>44</v>
      </c>
      <c r="J842" s="547" t="s">
        <v>85</v>
      </c>
      <c r="K842" s="547">
        <v>100</v>
      </c>
      <c r="L842" s="727" t="s">
        <v>54</v>
      </c>
      <c r="M842" s="697">
        <v>0</v>
      </c>
      <c r="N842" s="727">
        <v>5</v>
      </c>
      <c r="O842" s="697">
        <v>0</v>
      </c>
      <c r="P842" s="727">
        <v>100</v>
      </c>
      <c r="Q842" s="750">
        <f t="shared" si="117"/>
        <v>0</v>
      </c>
      <c r="R842" s="608">
        <f t="shared" si="118"/>
        <v>360000</v>
      </c>
      <c r="S842" s="751">
        <f t="shared" si="119"/>
        <v>360000</v>
      </c>
      <c r="T842" s="750">
        <v>55.7</v>
      </c>
      <c r="U842" s="608">
        <f t="shared" si="120"/>
        <v>200520</v>
      </c>
      <c r="V842" s="751">
        <f t="shared" si="121"/>
        <v>159480</v>
      </c>
      <c r="W842" s="752">
        <v>55.7</v>
      </c>
      <c r="X842" s="609">
        <f t="shared" si="122"/>
        <v>200520</v>
      </c>
      <c r="Y842" s="703">
        <f t="shared" si="123"/>
        <v>159480</v>
      </c>
      <c r="Z842" s="752">
        <v>55.7</v>
      </c>
      <c r="AA842" s="609">
        <f t="shared" si="124"/>
        <v>200520</v>
      </c>
      <c r="AB842" s="753">
        <f t="shared" si="125"/>
        <v>159480</v>
      </c>
      <c r="AC842" s="714"/>
    </row>
    <row r="843" spans="1:29" x14ac:dyDescent="0.25">
      <c r="A843" s="713"/>
      <c r="B843" s="731" t="s">
        <v>1109</v>
      </c>
      <c r="C843" s="547" t="s">
        <v>40</v>
      </c>
      <c r="D843" s="547" t="s">
        <v>506</v>
      </c>
      <c r="E843" s="683">
        <v>44593</v>
      </c>
      <c r="F843" s="547">
        <v>672</v>
      </c>
      <c r="G843" s="547" t="s">
        <v>59</v>
      </c>
      <c r="H843" s="547" t="s">
        <v>3</v>
      </c>
      <c r="I843" s="547" t="s">
        <v>44</v>
      </c>
      <c r="J843" s="547" t="s">
        <v>85</v>
      </c>
      <c r="K843" s="547">
        <v>71</v>
      </c>
      <c r="L843" s="727" t="s">
        <v>54</v>
      </c>
      <c r="M843" s="697">
        <v>0</v>
      </c>
      <c r="N843" s="727">
        <v>10</v>
      </c>
      <c r="O843" s="697">
        <v>0</v>
      </c>
      <c r="P843" s="727">
        <v>71</v>
      </c>
      <c r="Q843" s="750">
        <f t="shared" si="117"/>
        <v>0</v>
      </c>
      <c r="R843" s="608">
        <f t="shared" si="118"/>
        <v>477120</v>
      </c>
      <c r="S843" s="751">
        <f t="shared" si="119"/>
        <v>477120</v>
      </c>
      <c r="T843" s="750">
        <v>55.7</v>
      </c>
      <c r="U843" s="608">
        <f t="shared" si="120"/>
        <v>374304</v>
      </c>
      <c r="V843" s="751">
        <f t="shared" si="121"/>
        <v>102816</v>
      </c>
      <c r="W843" s="752">
        <v>55.7</v>
      </c>
      <c r="X843" s="609">
        <f t="shared" si="122"/>
        <v>374304</v>
      </c>
      <c r="Y843" s="703">
        <f t="shared" si="123"/>
        <v>102816</v>
      </c>
      <c r="Z843" s="752">
        <v>55.7</v>
      </c>
      <c r="AA843" s="609">
        <f t="shared" si="124"/>
        <v>374304</v>
      </c>
      <c r="AB843" s="753">
        <f t="shared" si="125"/>
        <v>102816</v>
      </c>
      <c r="AC843" s="714"/>
    </row>
    <row r="844" spans="1:29" x14ac:dyDescent="0.25">
      <c r="A844" s="713"/>
      <c r="B844" s="731" t="s">
        <v>1111</v>
      </c>
      <c r="C844" s="547" t="s">
        <v>40</v>
      </c>
      <c r="D844" s="547" t="s">
        <v>355</v>
      </c>
      <c r="E844" s="683">
        <v>44593</v>
      </c>
      <c r="F844" s="547">
        <v>672</v>
      </c>
      <c r="G844" s="547" t="s">
        <v>59</v>
      </c>
      <c r="H844" s="547" t="s">
        <v>3</v>
      </c>
      <c r="I844" s="547" t="s">
        <v>44</v>
      </c>
      <c r="J844" s="547" t="s">
        <v>85</v>
      </c>
      <c r="K844" s="547">
        <v>70</v>
      </c>
      <c r="L844" s="727" t="s">
        <v>54</v>
      </c>
      <c r="M844" s="697">
        <v>0</v>
      </c>
      <c r="N844" s="727">
        <v>1</v>
      </c>
      <c r="O844" s="697">
        <v>0</v>
      </c>
      <c r="P844" s="727">
        <v>70</v>
      </c>
      <c r="Q844" s="750">
        <f t="shared" si="117"/>
        <v>0</v>
      </c>
      <c r="R844" s="608">
        <f t="shared" si="118"/>
        <v>47040</v>
      </c>
      <c r="S844" s="751">
        <f t="shared" si="119"/>
        <v>47040</v>
      </c>
      <c r="T844" s="750">
        <v>55.7</v>
      </c>
      <c r="U844" s="608">
        <f t="shared" si="120"/>
        <v>37430.400000000001</v>
      </c>
      <c r="V844" s="751">
        <f t="shared" si="121"/>
        <v>9609.5999999999985</v>
      </c>
      <c r="W844" s="752">
        <v>55.7</v>
      </c>
      <c r="X844" s="609">
        <f t="shared" si="122"/>
        <v>37430.400000000001</v>
      </c>
      <c r="Y844" s="703">
        <f t="shared" si="123"/>
        <v>9609.5999999999985</v>
      </c>
      <c r="Z844" s="752">
        <v>55.7</v>
      </c>
      <c r="AA844" s="609">
        <f t="shared" si="124"/>
        <v>37430.400000000001</v>
      </c>
      <c r="AB844" s="753">
        <f t="shared" si="125"/>
        <v>9609.5999999999985</v>
      </c>
      <c r="AC844" s="714"/>
    </row>
    <row r="845" spans="1:29" x14ac:dyDescent="0.25">
      <c r="A845" s="713"/>
      <c r="B845" s="731" t="s">
        <v>1113</v>
      </c>
      <c r="C845" s="547" t="s">
        <v>40</v>
      </c>
      <c r="D845" s="547" t="s">
        <v>1103</v>
      </c>
      <c r="E845" s="683">
        <v>44593</v>
      </c>
      <c r="F845" s="547">
        <v>672</v>
      </c>
      <c r="G845" s="547" t="s">
        <v>59</v>
      </c>
      <c r="H845" s="547" t="s">
        <v>3</v>
      </c>
      <c r="I845" s="547" t="s">
        <v>44</v>
      </c>
      <c r="J845" s="547" t="s">
        <v>85</v>
      </c>
      <c r="K845" s="547">
        <v>71</v>
      </c>
      <c r="L845" s="727" t="s">
        <v>54</v>
      </c>
      <c r="M845" s="697">
        <v>0</v>
      </c>
      <c r="N845" s="727">
        <v>2</v>
      </c>
      <c r="O845" s="697">
        <v>0</v>
      </c>
      <c r="P845" s="727">
        <v>71</v>
      </c>
      <c r="Q845" s="750">
        <f t="shared" si="117"/>
        <v>0</v>
      </c>
      <c r="R845" s="608">
        <f t="shared" si="118"/>
        <v>95424</v>
      </c>
      <c r="S845" s="751">
        <f t="shared" si="119"/>
        <v>95424</v>
      </c>
      <c r="T845" s="750">
        <v>55.7</v>
      </c>
      <c r="U845" s="608">
        <f t="shared" si="120"/>
        <v>74860.800000000003</v>
      </c>
      <c r="V845" s="751">
        <f t="shared" si="121"/>
        <v>20563.199999999997</v>
      </c>
      <c r="W845" s="752">
        <v>55.7</v>
      </c>
      <c r="X845" s="609">
        <f t="shared" si="122"/>
        <v>74860.800000000003</v>
      </c>
      <c r="Y845" s="703">
        <f t="shared" si="123"/>
        <v>20563.199999999997</v>
      </c>
      <c r="Z845" s="752">
        <v>55.7</v>
      </c>
      <c r="AA845" s="609">
        <f t="shared" si="124"/>
        <v>74860.800000000003</v>
      </c>
      <c r="AB845" s="753">
        <f t="shared" si="125"/>
        <v>20563.199999999997</v>
      </c>
      <c r="AC845" s="714"/>
    </row>
    <row r="846" spans="1:29" x14ac:dyDescent="0.25">
      <c r="A846" s="713"/>
      <c r="B846" s="731" t="s">
        <v>1115</v>
      </c>
      <c r="C846" s="547" t="s">
        <v>40</v>
      </c>
      <c r="D846" s="547" t="s">
        <v>967</v>
      </c>
      <c r="E846" s="683">
        <v>44593</v>
      </c>
      <c r="F846" s="547">
        <v>672</v>
      </c>
      <c r="G846" s="547" t="s">
        <v>59</v>
      </c>
      <c r="H846" s="547" t="s">
        <v>3</v>
      </c>
      <c r="I846" s="547" t="s">
        <v>44</v>
      </c>
      <c r="J846" s="547" t="s">
        <v>85</v>
      </c>
      <c r="K846" s="547">
        <v>70</v>
      </c>
      <c r="L846" s="727" t="s">
        <v>54</v>
      </c>
      <c r="M846" s="697">
        <v>0</v>
      </c>
      <c r="N846" s="727">
        <v>5</v>
      </c>
      <c r="O846" s="697">
        <v>0</v>
      </c>
      <c r="P846" s="727">
        <v>70</v>
      </c>
      <c r="Q846" s="750">
        <f t="shared" si="117"/>
        <v>0</v>
      </c>
      <c r="R846" s="608">
        <f t="shared" si="118"/>
        <v>235200</v>
      </c>
      <c r="S846" s="751">
        <f t="shared" si="119"/>
        <v>235200</v>
      </c>
      <c r="T846" s="750">
        <v>55.7</v>
      </c>
      <c r="U846" s="608">
        <f t="shared" si="120"/>
        <v>187152</v>
      </c>
      <c r="V846" s="751">
        <f t="shared" si="121"/>
        <v>48048</v>
      </c>
      <c r="W846" s="752">
        <v>55.7</v>
      </c>
      <c r="X846" s="609">
        <f t="shared" si="122"/>
        <v>187152</v>
      </c>
      <c r="Y846" s="703">
        <f t="shared" si="123"/>
        <v>48048</v>
      </c>
      <c r="Z846" s="752">
        <v>55.7</v>
      </c>
      <c r="AA846" s="609">
        <f t="shared" si="124"/>
        <v>187152</v>
      </c>
      <c r="AB846" s="753">
        <f t="shared" si="125"/>
        <v>48048</v>
      </c>
      <c r="AC846" s="714"/>
    </row>
    <row r="847" spans="1:29" x14ac:dyDescent="0.25">
      <c r="A847" s="713"/>
      <c r="B847" s="731" t="s">
        <v>1118</v>
      </c>
      <c r="C847" s="547" t="s">
        <v>40</v>
      </c>
      <c r="D847" s="547" t="s">
        <v>1103</v>
      </c>
      <c r="E847" s="683">
        <v>44621</v>
      </c>
      <c r="F847" s="547">
        <v>744</v>
      </c>
      <c r="G847" s="547" t="s">
        <v>59</v>
      </c>
      <c r="H847" s="547" t="s">
        <v>3</v>
      </c>
      <c r="I847" s="547" t="s">
        <v>44</v>
      </c>
      <c r="J847" s="547" t="s">
        <v>85</v>
      </c>
      <c r="K847" s="547">
        <v>92</v>
      </c>
      <c r="L847" s="727" t="s">
        <v>54</v>
      </c>
      <c r="M847" s="697">
        <v>0</v>
      </c>
      <c r="N847" s="727">
        <v>2</v>
      </c>
      <c r="O847" s="697">
        <v>0</v>
      </c>
      <c r="P847" s="727">
        <v>92</v>
      </c>
      <c r="Q847" s="750">
        <f t="shared" si="117"/>
        <v>0</v>
      </c>
      <c r="R847" s="608">
        <f t="shared" si="118"/>
        <v>136896</v>
      </c>
      <c r="S847" s="751">
        <f t="shared" si="119"/>
        <v>136896</v>
      </c>
      <c r="T847" s="750">
        <v>55.7</v>
      </c>
      <c r="U847" s="608">
        <f t="shared" si="120"/>
        <v>82881.600000000006</v>
      </c>
      <c r="V847" s="751">
        <f t="shared" si="121"/>
        <v>54014.399999999994</v>
      </c>
      <c r="W847" s="752">
        <v>55.7</v>
      </c>
      <c r="X847" s="609">
        <f t="shared" si="122"/>
        <v>82881.600000000006</v>
      </c>
      <c r="Y847" s="703">
        <f t="shared" si="123"/>
        <v>54014.399999999994</v>
      </c>
      <c r="Z847" s="752">
        <v>55.7</v>
      </c>
      <c r="AA847" s="609">
        <f t="shared" si="124"/>
        <v>82881.600000000006</v>
      </c>
      <c r="AB847" s="753">
        <f t="shared" si="125"/>
        <v>54014.399999999994</v>
      </c>
      <c r="AC847" s="714"/>
    </row>
    <row r="848" spans="1:29" x14ac:dyDescent="0.25">
      <c r="A848" s="713"/>
      <c r="B848" s="731" t="s">
        <v>1120</v>
      </c>
      <c r="C848" s="547" t="s">
        <v>40</v>
      </c>
      <c r="D848" s="547" t="s">
        <v>348</v>
      </c>
      <c r="E848" s="683">
        <v>44652</v>
      </c>
      <c r="F848" s="547">
        <v>720</v>
      </c>
      <c r="G848" s="547" t="s">
        <v>59</v>
      </c>
      <c r="H848" s="547" t="s">
        <v>3</v>
      </c>
      <c r="I848" s="547" t="s">
        <v>44</v>
      </c>
      <c r="J848" s="547" t="s">
        <v>85</v>
      </c>
      <c r="K848" s="547">
        <v>100</v>
      </c>
      <c r="L848" s="727" t="s">
        <v>54</v>
      </c>
      <c r="M848" s="697">
        <v>0</v>
      </c>
      <c r="N848" s="727">
        <v>5</v>
      </c>
      <c r="O848" s="697">
        <v>0</v>
      </c>
      <c r="P848" s="727">
        <v>100</v>
      </c>
      <c r="Q848" s="750">
        <f t="shared" si="117"/>
        <v>0</v>
      </c>
      <c r="R848" s="608">
        <f t="shared" si="118"/>
        <v>360000</v>
      </c>
      <c r="S848" s="751">
        <f t="shared" si="119"/>
        <v>360000</v>
      </c>
      <c r="T848" s="750">
        <v>55.7</v>
      </c>
      <c r="U848" s="608">
        <f t="shared" si="120"/>
        <v>200520</v>
      </c>
      <c r="V848" s="751">
        <f t="shared" si="121"/>
        <v>159480</v>
      </c>
      <c r="W848" s="752">
        <v>55.7</v>
      </c>
      <c r="X848" s="609">
        <f t="shared" si="122"/>
        <v>200520</v>
      </c>
      <c r="Y848" s="703">
        <f t="shared" si="123"/>
        <v>159480</v>
      </c>
      <c r="Z848" s="752">
        <v>55.7</v>
      </c>
      <c r="AA848" s="609">
        <f t="shared" si="124"/>
        <v>200520</v>
      </c>
      <c r="AB848" s="753">
        <f t="shared" si="125"/>
        <v>159480</v>
      </c>
      <c r="AC848" s="714"/>
    </row>
    <row r="849" spans="1:29" x14ac:dyDescent="0.25">
      <c r="A849" s="713"/>
      <c r="B849" s="731" t="s">
        <v>1137</v>
      </c>
      <c r="C849" s="547" t="s">
        <v>40</v>
      </c>
      <c r="D849" s="547" t="s">
        <v>1132</v>
      </c>
      <c r="E849" s="683">
        <v>44682</v>
      </c>
      <c r="F849" s="547">
        <v>744</v>
      </c>
      <c r="G849" s="547" t="s">
        <v>59</v>
      </c>
      <c r="H849" s="547" t="s">
        <v>3</v>
      </c>
      <c r="I849" s="547" t="s">
        <v>44</v>
      </c>
      <c r="J849" s="547" t="s">
        <v>85</v>
      </c>
      <c r="K849" s="547">
        <v>110</v>
      </c>
      <c r="L849" s="727" t="s">
        <v>54</v>
      </c>
      <c r="M849" s="697">
        <v>0</v>
      </c>
      <c r="N849" s="727">
        <v>1</v>
      </c>
      <c r="O849" s="697">
        <v>0</v>
      </c>
      <c r="P849" s="727">
        <v>110</v>
      </c>
      <c r="Q849" s="750">
        <f t="shared" si="117"/>
        <v>0</v>
      </c>
      <c r="R849" s="608">
        <f t="shared" si="118"/>
        <v>81840</v>
      </c>
      <c r="S849" s="751">
        <f t="shared" si="119"/>
        <v>81840</v>
      </c>
      <c r="T849" s="750">
        <v>55.7</v>
      </c>
      <c r="U849" s="608">
        <f t="shared" si="120"/>
        <v>41440.800000000003</v>
      </c>
      <c r="V849" s="751">
        <f t="shared" si="121"/>
        <v>40399.199999999997</v>
      </c>
      <c r="W849" s="752">
        <v>55.7</v>
      </c>
      <c r="X849" s="609">
        <f t="shared" si="122"/>
        <v>41440.800000000003</v>
      </c>
      <c r="Y849" s="703">
        <f t="shared" si="123"/>
        <v>40399.199999999997</v>
      </c>
      <c r="Z849" s="752">
        <v>55.7</v>
      </c>
      <c r="AA849" s="609">
        <f t="shared" si="124"/>
        <v>41440.800000000003</v>
      </c>
      <c r="AB849" s="753">
        <f t="shared" si="125"/>
        <v>40399.199999999997</v>
      </c>
      <c r="AC849" s="714"/>
    </row>
    <row r="850" spans="1:29" x14ac:dyDescent="0.25">
      <c r="A850" s="713"/>
      <c r="B850" s="731" t="s">
        <v>1138</v>
      </c>
      <c r="C850" s="547" t="s">
        <v>40</v>
      </c>
      <c r="D850" s="547" t="s">
        <v>944</v>
      </c>
      <c r="E850" s="683">
        <v>44621</v>
      </c>
      <c r="F850" s="547">
        <v>744</v>
      </c>
      <c r="G850" s="547" t="s">
        <v>59</v>
      </c>
      <c r="H850" s="547" t="s">
        <v>3</v>
      </c>
      <c r="I850" s="547" t="s">
        <v>44</v>
      </c>
      <c r="J850" s="547" t="s">
        <v>85</v>
      </c>
      <c r="K850" s="547">
        <v>85</v>
      </c>
      <c r="L850" s="727" t="s">
        <v>54</v>
      </c>
      <c r="M850" s="697">
        <v>0</v>
      </c>
      <c r="N850" s="727">
        <v>3</v>
      </c>
      <c r="O850" s="697">
        <v>0</v>
      </c>
      <c r="P850" s="727">
        <v>85</v>
      </c>
      <c r="Q850" s="750">
        <f t="shared" si="117"/>
        <v>0</v>
      </c>
      <c r="R850" s="608">
        <f t="shared" si="118"/>
        <v>189720</v>
      </c>
      <c r="S850" s="751">
        <f t="shared" si="119"/>
        <v>189720</v>
      </c>
      <c r="T850" s="750">
        <v>55.7</v>
      </c>
      <c r="U850" s="608">
        <f t="shared" si="120"/>
        <v>124322.40000000001</v>
      </c>
      <c r="V850" s="751">
        <f t="shared" si="121"/>
        <v>65397.599999999991</v>
      </c>
      <c r="W850" s="752">
        <v>55.7</v>
      </c>
      <c r="X850" s="609">
        <f t="shared" si="122"/>
        <v>124322.40000000001</v>
      </c>
      <c r="Y850" s="703">
        <f t="shared" si="123"/>
        <v>65397.599999999991</v>
      </c>
      <c r="Z850" s="752">
        <v>55.7</v>
      </c>
      <c r="AA850" s="609">
        <f t="shared" si="124"/>
        <v>124322.40000000001</v>
      </c>
      <c r="AB850" s="753">
        <f t="shared" si="125"/>
        <v>65397.599999999991</v>
      </c>
      <c r="AC850" s="714"/>
    </row>
    <row r="851" spans="1:29" x14ac:dyDescent="0.25">
      <c r="A851" s="713"/>
      <c r="B851" s="731" t="s">
        <v>1140</v>
      </c>
      <c r="C851" s="547" t="s">
        <v>40</v>
      </c>
      <c r="D851" s="547" t="s">
        <v>1133</v>
      </c>
      <c r="E851" s="683">
        <v>44621</v>
      </c>
      <c r="F851" s="547">
        <v>744</v>
      </c>
      <c r="G851" s="547" t="s">
        <v>59</v>
      </c>
      <c r="H851" s="547" t="s">
        <v>3</v>
      </c>
      <c r="I851" s="547" t="s">
        <v>44</v>
      </c>
      <c r="J851" s="547" t="s">
        <v>85</v>
      </c>
      <c r="K851" s="547">
        <v>85</v>
      </c>
      <c r="L851" s="727" t="s">
        <v>54</v>
      </c>
      <c r="M851" s="697">
        <v>0</v>
      </c>
      <c r="N851" s="727">
        <v>2</v>
      </c>
      <c r="O851" s="697">
        <v>0</v>
      </c>
      <c r="P851" s="727">
        <v>85</v>
      </c>
      <c r="Q851" s="750">
        <f t="shared" si="117"/>
        <v>0</v>
      </c>
      <c r="R851" s="608">
        <f t="shared" si="118"/>
        <v>126480</v>
      </c>
      <c r="S851" s="751">
        <f t="shared" si="119"/>
        <v>126480</v>
      </c>
      <c r="T851" s="750">
        <v>55.7</v>
      </c>
      <c r="U851" s="608">
        <f t="shared" si="120"/>
        <v>82881.600000000006</v>
      </c>
      <c r="V851" s="751">
        <f t="shared" si="121"/>
        <v>43598.399999999994</v>
      </c>
      <c r="W851" s="752">
        <v>55.7</v>
      </c>
      <c r="X851" s="609">
        <f t="shared" si="122"/>
        <v>82881.600000000006</v>
      </c>
      <c r="Y851" s="703">
        <f t="shared" si="123"/>
        <v>43598.399999999994</v>
      </c>
      <c r="Z851" s="752">
        <v>55.7</v>
      </c>
      <c r="AA851" s="609">
        <f t="shared" si="124"/>
        <v>82881.600000000006</v>
      </c>
      <c r="AB851" s="753">
        <f t="shared" si="125"/>
        <v>43598.399999999994</v>
      </c>
      <c r="AC851" s="714"/>
    </row>
    <row r="852" spans="1:29" x14ac:dyDescent="0.25">
      <c r="A852" s="713"/>
      <c r="B852" s="731" t="s">
        <v>1142</v>
      </c>
      <c r="C852" s="547" t="s">
        <v>40</v>
      </c>
      <c r="D852" s="547" t="s">
        <v>944</v>
      </c>
      <c r="E852" s="683">
        <v>44621</v>
      </c>
      <c r="F852" s="547">
        <v>744</v>
      </c>
      <c r="G852" s="547" t="s">
        <v>59</v>
      </c>
      <c r="H852" s="547" t="s">
        <v>3</v>
      </c>
      <c r="I852" s="547" t="s">
        <v>44</v>
      </c>
      <c r="J852" s="547" t="s">
        <v>85</v>
      </c>
      <c r="K852" s="547">
        <v>85</v>
      </c>
      <c r="L852" s="727" t="s">
        <v>54</v>
      </c>
      <c r="M852" s="697">
        <v>0</v>
      </c>
      <c r="N852" s="727">
        <v>1</v>
      </c>
      <c r="O852" s="697">
        <v>0</v>
      </c>
      <c r="P852" s="727">
        <v>85</v>
      </c>
      <c r="Q852" s="750">
        <f t="shared" si="117"/>
        <v>0</v>
      </c>
      <c r="R852" s="608">
        <f t="shared" si="118"/>
        <v>63240</v>
      </c>
      <c r="S852" s="751">
        <f t="shared" si="119"/>
        <v>63240</v>
      </c>
      <c r="T852" s="750">
        <v>55.7</v>
      </c>
      <c r="U852" s="608">
        <f t="shared" si="120"/>
        <v>41440.800000000003</v>
      </c>
      <c r="V852" s="751">
        <f t="shared" si="121"/>
        <v>21799.199999999997</v>
      </c>
      <c r="W852" s="752">
        <v>55.7</v>
      </c>
      <c r="X852" s="609">
        <f t="shared" si="122"/>
        <v>41440.800000000003</v>
      </c>
      <c r="Y852" s="703">
        <f t="shared" si="123"/>
        <v>21799.199999999997</v>
      </c>
      <c r="Z852" s="752">
        <v>55.7</v>
      </c>
      <c r="AA852" s="609">
        <f t="shared" si="124"/>
        <v>41440.800000000003</v>
      </c>
      <c r="AB852" s="753">
        <f t="shared" si="125"/>
        <v>21799.199999999997</v>
      </c>
      <c r="AC852" s="714"/>
    </row>
    <row r="853" spans="1:29" x14ac:dyDescent="0.25">
      <c r="A853" s="713"/>
      <c r="B853" s="731" t="s">
        <v>1144</v>
      </c>
      <c r="C853" s="547" t="s">
        <v>40</v>
      </c>
      <c r="D853" s="547" t="s">
        <v>1134</v>
      </c>
      <c r="E853" s="683">
        <v>44682</v>
      </c>
      <c r="F853" s="547">
        <v>744</v>
      </c>
      <c r="G853" s="547" t="s">
        <v>59</v>
      </c>
      <c r="H853" s="547" t="s">
        <v>3</v>
      </c>
      <c r="I853" s="547" t="s">
        <v>44</v>
      </c>
      <c r="J853" s="547" t="s">
        <v>85</v>
      </c>
      <c r="K853" s="547">
        <v>110</v>
      </c>
      <c r="L853" s="727" t="s">
        <v>54</v>
      </c>
      <c r="M853" s="697">
        <v>0</v>
      </c>
      <c r="N853" s="727">
        <v>1</v>
      </c>
      <c r="O853" s="697">
        <v>0</v>
      </c>
      <c r="P853" s="727">
        <v>110</v>
      </c>
      <c r="Q853" s="750">
        <f t="shared" si="117"/>
        <v>0</v>
      </c>
      <c r="R853" s="608">
        <f t="shared" si="118"/>
        <v>81840</v>
      </c>
      <c r="S853" s="751">
        <f t="shared" si="119"/>
        <v>81840</v>
      </c>
      <c r="T853" s="750">
        <v>55.7</v>
      </c>
      <c r="U853" s="608">
        <f t="shared" si="120"/>
        <v>41440.800000000003</v>
      </c>
      <c r="V853" s="751">
        <f t="shared" si="121"/>
        <v>40399.199999999997</v>
      </c>
      <c r="W853" s="752">
        <v>55.7</v>
      </c>
      <c r="X853" s="609">
        <f t="shared" si="122"/>
        <v>41440.800000000003</v>
      </c>
      <c r="Y853" s="703">
        <f t="shared" si="123"/>
        <v>40399.199999999997</v>
      </c>
      <c r="Z853" s="752">
        <v>55.7</v>
      </c>
      <c r="AA853" s="609">
        <f t="shared" si="124"/>
        <v>41440.800000000003</v>
      </c>
      <c r="AB853" s="753">
        <f t="shared" si="125"/>
        <v>40399.199999999997</v>
      </c>
      <c r="AC853" s="714"/>
    </row>
    <row r="854" spans="1:29" x14ac:dyDescent="0.25">
      <c r="A854" s="713"/>
      <c r="B854" s="731" t="s">
        <v>1146</v>
      </c>
      <c r="C854" s="547" t="s">
        <v>40</v>
      </c>
      <c r="D854" s="547" t="s">
        <v>502</v>
      </c>
      <c r="E854" s="683">
        <v>44652</v>
      </c>
      <c r="F854" s="547">
        <v>720</v>
      </c>
      <c r="G854" s="547" t="s">
        <v>59</v>
      </c>
      <c r="H854" s="547" t="s">
        <v>3</v>
      </c>
      <c r="I854" s="547" t="s">
        <v>44</v>
      </c>
      <c r="J854" s="547" t="s">
        <v>85</v>
      </c>
      <c r="K854" s="547">
        <v>97.5</v>
      </c>
      <c r="L854" s="727" t="s">
        <v>54</v>
      </c>
      <c r="M854" s="697">
        <v>0</v>
      </c>
      <c r="N854" s="727">
        <v>4.4000000000000004</v>
      </c>
      <c r="O854" s="697">
        <v>0</v>
      </c>
      <c r="P854" s="727">
        <v>97.5</v>
      </c>
      <c r="Q854" s="750">
        <f t="shared" si="117"/>
        <v>0</v>
      </c>
      <c r="R854" s="608">
        <f t="shared" si="118"/>
        <v>308880.00000000006</v>
      </c>
      <c r="S854" s="751">
        <f t="shared" si="119"/>
        <v>308880.00000000006</v>
      </c>
      <c r="T854" s="750">
        <v>55.7</v>
      </c>
      <c r="U854" s="608">
        <f t="shared" si="120"/>
        <v>176457.60000000003</v>
      </c>
      <c r="V854" s="751">
        <f t="shared" si="121"/>
        <v>132422.40000000002</v>
      </c>
      <c r="W854" s="752">
        <v>55.7</v>
      </c>
      <c r="X854" s="609">
        <f t="shared" si="122"/>
        <v>176457.60000000003</v>
      </c>
      <c r="Y854" s="703">
        <f t="shared" si="123"/>
        <v>132422.40000000002</v>
      </c>
      <c r="Z854" s="752">
        <v>55.7</v>
      </c>
      <c r="AA854" s="609">
        <f t="shared" si="124"/>
        <v>176457.60000000003</v>
      </c>
      <c r="AB854" s="753">
        <f t="shared" si="125"/>
        <v>132422.40000000002</v>
      </c>
      <c r="AC854" s="714"/>
    </row>
    <row r="855" spans="1:29" x14ac:dyDescent="0.25">
      <c r="A855" s="713"/>
      <c r="B855" s="731" t="s">
        <v>1148</v>
      </c>
      <c r="C855" s="547" t="s">
        <v>40</v>
      </c>
      <c r="D855" s="547" t="s">
        <v>501</v>
      </c>
      <c r="E855" s="683">
        <v>44682</v>
      </c>
      <c r="F855" s="547">
        <v>744</v>
      </c>
      <c r="G855" s="547" t="s">
        <v>59</v>
      </c>
      <c r="H855" s="547" t="s">
        <v>3</v>
      </c>
      <c r="I855" s="547" t="s">
        <v>44</v>
      </c>
      <c r="J855" s="547" t="s">
        <v>85</v>
      </c>
      <c r="K855" s="547">
        <v>108</v>
      </c>
      <c r="L855" s="727" t="s">
        <v>54</v>
      </c>
      <c r="M855" s="697">
        <v>0</v>
      </c>
      <c r="N855" s="727">
        <v>1</v>
      </c>
      <c r="O855" s="697">
        <v>0</v>
      </c>
      <c r="P855" s="727">
        <v>108</v>
      </c>
      <c r="Q855" s="750">
        <f t="shared" si="117"/>
        <v>0</v>
      </c>
      <c r="R855" s="608">
        <f t="shared" si="118"/>
        <v>80352</v>
      </c>
      <c r="S855" s="751">
        <f t="shared" si="119"/>
        <v>80352</v>
      </c>
      <c r="T855" s="750">
        <v>55.7</v>
      </c>
      <c r="U855" s="608">
        <f t="shared" si="120"/>
        <v>41440.800000000003</v>
      </c>
      <c r="V855" s="751">
        <f t="shared" si="121"/>
        <v>38911.199999999997</v>
      </c>
      <c r="W855" s="752">
        <v>55.7</v>
      </c>
      <c r="X855" s="609">
        <f t="shared" si="122"/>
        <v>41440.800000000003</v>
      </c>
      <c r="Y855" s="703">
        <f t="shared" si="123"/>
        <v>38911.199999999997</v>
      </c>
      <c r="Z855" s="752">
        <v>55.7</v>
      </c>
      <c r="AA855" s="609">
        <f t="shared" si="124"/>
        <v>41440.800000000003</v>
      </c>
      <c r="AB855" s="753">
        <f t="shared" si="125"/>
        <v>38911.199999999997</v>
      </c>
      <c r="AC855" s="714"/>
    </row>
    <row r="856" spans="1:29" x14ac:dyDescent="0.25">
      <c r="A856" s="713"/>
      <c r="B856" s="731" t="s">
        <v>1150</v>
      </c>
      <c r="C856" s="547" t="s">
        <v>40</v>
      </c>
      <c r="D856" s="547" t="s">
        <v>503</v>
      </c>
      <c r="E856" s="683">
        <v>44621</v>
      </c>
      <c r="F856" s="547">
        <v>744</v>
      </c>
      <c r="G856" s="547" t="s">
        <v>59</v>
      </c>
      <c r="H856" s="547" t="s">
        <v>3</v>
      </c>
      <c r="I856" s="547" t="s">
        <v>44</v>
      </c>
      <c r="J856" s="547" t="s">
        <v>85</v>
      </c>
      <c r="K856" s="547">
        <v>84</v>
      </c>
      <c r="L856" s="727" t="s">
        <v>54</v>
      </c>
      <c r="M856" s="697">
        <v>0</v>
      </c>
      <c r="N856" s="727">
        <v>1</v>
      </c>
      <c r="O856" s="697">
        <v>0</v>
      </c>
      <c r="P856" s="727">
        <v>84</v>
      </c>
      <c r="Q856" s="750">
        <f t="shared" si="117"/>
        <v>0</v>
      </c>
      <c r="R856" s="608">
        <f t="shared" si="118"/>
        <v>62496</v>
      </c>
      <c r="S856" s="751">
        <f t="shared" si="119"/>
        <v>62496</v>
      </c>
      <c r="T856" s="750">
        <v>55.7</v>
      </c>
      <c r="U856" s="608">
        <f t="shared" si="120"/>
        <v>41440.800000000003</v>
      </c>
      <c r="V856" s="751">
        <f t="shared" si="121"/>
        <v>21055.199999999997</v>
      </c>
      <c r="W856" s="752">
        <v>55.7</v>
      </c>
      <c r="X856" s="609">
        <f t="shared" si="122"/>
        <v>41440.800000000003</v>
      </c>
      <c r="Y856" s="703">
        <f t="shared" si="123"/>
        <v>21055.199999999997</v>
      </c>
      <c r="Z856" s="752">
        <v>55.7</v>
      </c>
      <c r="AA856" s="609">
        <f t="shared" si="124"/>
        <v>41440.800000000003</v>
      </c>
      <c r="AB856" s="753">
        <f t="shared" si="125"/>
        <v>21055.199999999997</v>
      </c>
      <c r="AC856" s="714"/>
    </row>
    <row r="857" spans="1:29" x14ac:dyDescent="0.25">
      <c r="A857" s="713"/>
      <c r="B857" s="731" t="s">
        <v>1152</v>
      </c>
      <c r="C857" s="547" t="s">
        <v>40</v>
      </c>
      <c r="D857" s="547" t="s">
        <v>503</v>
      </c>
      <c r="E857" s="683">
        <v>44621</v>
      </c>
      <c r="F857" s="547">
        <v>744</v>
      </c>
      <c r="G857" s="547" t="s">
        <v>59</v>
      </c>
      <c r="H857" s="547" t="s">
        <v>3</v>
      </c>
      <c r="I857" s="547" t="s">
        <v>44</v>
      </c>
      <c r="J857" s="547" t="s">
        <v>85</v>
      </c>
      <c r="K857" s="547">
        <v>84</v>
      </c>
      <c r="L857" s="727" t="s">
        <v>54</v>
      </c>
      <c r="M857" s="697">
        <v>0</v>
      </c>
      <c r="N857" s="727">
        <v>4</v>
      </c>
      <c r="O857" s="697">
        <v>0</v>
      </c>
      <c r="P857" s="727">
        <v>84</v>
      </c>
      <c r="Q857" s="750">
        <f t="shared" si="117"/>
        <v>0</v>
      </c>
      <c r="R857" s="608">
        <f t="shared" si="118"/>
        <v>249984</v>
      </c>
      <c r="S857" s="751">
        <f t="shared" si="119"/>
        <v>249984</v>
      </c>
      <c r="T857" s="750">
        <v>55.7</v>
      </c>
      <c r="U857" s="608">
        <f t="shared" si="120"/>
        <v>165763.20000000001</v>
      </c>
      <c r="V857" s="751">
        <f t="shared" si="121"/>
        <v>84220.799999999988</v>
      </c>
      <c r="W857" s="752">
        <v>55.7</v>
      </c>
      <c r="X857" s="609">
        <f t="shared" si="122"/>
        <v>165763.20000000001</v>
      </c>
      <c r="Y857" s="703">
        <f t="shared" si="123"/>
        <v>84220.799999999988</v>
      </c>
      <c r="Z857" s="752">
        <v>55.7</v>
      </c>
      <c r="AA857" s="609">
        <f t="shared" si="124"/>
        <v>165763.20000000001</v>
      </c>
      <c r="AB857" s="753">
        <f t="shared" si="125"/>
        <v>84220.799999999988</v>
      </c>
      <c r="AC857" s="714"/>
    </row>
    <row r="858" spans="1:29" x14ac:dyDescent="0.25">
      <c r="A858" s="713"/>
      <c r="B858" s="731" t="s">
        <v>1154</v>
      </c>
      <c r="C858" s="547" t="s">
        <v>40</v>
      </c>
      <c r="D858" s="547" t="s">
        <v>348</v>
      </c>
      <c r="E858" s="683">
        <v>44682</v>
      </c>
      <c r="F858" s="547">
        <v>744</v>
      </c>
      <c r="G858" s="547" t="s">
        <v>59</v>
      </c>
      <c r="H858" s="547" t="s">
        <v>3</v>
      </c>
      <c r="I858" s="547" t="s">
        <v>44</v>
      </c>
      <c r="J858" s="547" t="s">
        <v>85</v>
      </c>
      <c r="K858" s="547">
        <v>105</v>
      </c>
      <c r="L858" s="727" t="s">
        <v>54</v>
      </c>
      <c r="M858" s="697">
        <v>0</v>
      </c>
      <c r="N858" s="727">
        <v>5</v>
      </c>
      <c r="O858" s="697">
        <v>0</v>
      </c>
      <c r="P858" s="727">
        <v>105</v>
      </c>
      <c r="Q858" s="750">
        <f t="shared" si="117"/>
        <v>0</v>
      </c>
      <c r="R858" s="608">
        <f t="shared" si="118"/>
        <v>390600</v>
      </c>
      <c r="S858" s="751">
        <f t="shared" si="119"/>
        <v>390600</v>
      </c>
      <c r="T858" s="750">
        <v>55.7</v>
      </c>
      <c r="U858" s="608">
        <f t="shared" si="120"/>
        <v>207204</v>
      </c>
      <c r="V858" s="751">
        <f t="shared" si="121"/>
        <v>183396</v>
      </c>
      <c r="W858" s="752">
        <v>55.7</v>
      </c>
      <c r="X858" s="609">
        <f t="shared" si="122"/>
        <v>207204</v>
      </c>
      <c r="Y858" s="703">
        <f t="shared" si="123"/>
        <v>183396</v>
      </c>
      <c r="Z858" s="752">
        <v>55.7</v>
      </c>
      <c r="AA858" s="609">
        <f t="shared" si="124"/>
        <v>207204</v>
      </c>
      <c r="AB858" s="753">
        <f t="shared" si="125"/>
        <v>183396</v>
      </c>
      <c r="AC858" s="714"/>
    </row>
    <row r="859" spans="1:29" x14ac:dyDescent="0.25">
      <c r="A859" s="713"/>
      <c r="B859" s="731" t="s">
        <v>1156</v>
      </c>
      <c r="C859" s="547" t="s">
        <v>40</v>
      </c>
      <c r="D859" s="547" t="s">
        <v>509</v>
      </c>
      <c r="E859" s="683">
        <v>44621</v>
      </c>
      <c r="F859" s="547">
        <v>744</v>
      </c>
      <c r="G859" s="547" t="s">
        <v>59</v>
      </c>
      <c r="H859" s="547" t="s">
        <v>3</v>
      </c>
      <c r="I859" s="547" t="s">
        <v>44</v>
      </c>
      <c r="J859" s="547" t="s">
        <v>85</v>
      </c>
      <c r="K859" s="547">
        <v>84</v>
      </c>
      <c r="L859" s="727" t="s">
        <v>54</v>
      </c>
      <c r="M859" s="697">
        <v>0</v>
      </c>
      <c r="N859" s="727">
        <v>2</v>
      </c>
      <c r="O859" s="697">
        <v>0</v>
      </c>
      <c r="P859" s="727">
        <v>84</v>
      </c>
      <c r="Q859" s="750">
        <f t="shared" si="117"/>
        <v>0</v>
      </c>
      <c r="R859" s="608">
        <f t="shared" si="118"/>
        <v>124992</v>
      </c>
      <c r="S859" s="751">
        <f t="shared" si="119"/>
        <v>124992</v>
      </c>
      <c r="T859" s="750">
        <v>55.7</v>
      </c>
      <c r="U859" s="608">
        <f t="shared" si="120"/>
        <v>82881.600000000006</v>
      </c>
      <c r="V859" s="751">
        <f t="shared" si="121"/>
        <v>42110.399999999994</v>
      </c>
      <c r="W859" s="752">
        <v>55.7</v>
      </c>
      <c r="X859" s="609">
        <f t="shared" si="122"/>
        <v>82881.600000000006</v>
      </c>
      <c r="Y859" s="703">
        <f t="shared" si="123"/>
        <v>42110.399999999994</v>
      </c>
      <c r="Z859" s="752">
        <v>55.7</v>
      </c>
      <c r="AA859" s="609">
        <f t="shared" si="124"/>
        <v>82881.600000000006</v>
      </c>
      <c r="AB859" s="753">
        <f t="shared" si="125"/>
        <v>42110.399999999994</v>
      </c>
      <c r="AC859" s="714"/>
    </row>
    <row r="860" spans="1:29" x14ac:dyDescent="0.25">
      <c r="A860" s="713"/>
      <c r="B860" s="731" t="s">
        <v>1158</v>
      </c>
      <c r="C860" s="547" t="s">
        <v>40</v>
      </c>
      <c r="D860" s="547" t="s">
        <v>1135</v>
      </c>
      <c r="E860" s="683">
        <v>44682</v>
      </c>
      <c r="F860" s="547">
        <v>744</v>
      </c>
      <c r="G860" s="547" t="s">
        <v>59</v>
      </c>
      <c r="H860" s="547" t="s">
        <v>3</v>
      </c>
      <c r="I860" s="547" t="s">
        <v>44</v>
      </c>
      <c r="J860" s="547" t="s">
        <v>85</v>
      </c>
      <c r="K860" s="547">
        <v>108</v>
      </c>
      <c r="L860" s="727" t="s">
        <v>54</v>
      </c>
      <c r="M860" s="697">
        <v>0</v>
      </c>
      <c r="N860" s="727">
        <v>5</v>
      </c>
      <c r="O860" s="697">
        <v>0</v>
      </c>
      <c r="P860" s="727">
        <v>108</v>
      </c>
      <c r="Q860" s="750">
        <f t="shared" si="117"/>
        <v>0</v>
      </c>
      <c r="R860" s="608">
        <f t="shared" si="118"/>
        <v>401760</v>
      </c>
      <c r="S860" s="751">
        <f t="shared" si="119"/>
        <v>401760</v>
      </c>
      <c r="T860" s="750">
        <v>55.7</v>
      </c>
      <c r="U860" s="608">
        <f t="shared" si="120"/>
        <v>207204</v>
      </c>
      <c r="V860" s="751">
        <f t="shared" si="121"/>
        <v>194556</v>
      </c>
      <c r="W860" s="752">
        <v>55.7</v>
      </c>
      <c r="X860" s="609">
        <f t="shared" si="122"/>
        <v>207204</v>
      </c>
      <c r="Y860" s="703">
        <f t="shared" si="123"/>
        <v>194556</v>
      </c>
      <c r="Z860" s="752">
        <v>55.7</v>
      </c>
      <c r="AA860" s="609">
        <f t="shared" si="124"/>
        <v>207204</v>
      </c>
      <c r="AB860" s="753">
        <f t="shared" si="125"/>
        <v>194556</v>
      </c>
      <c r="AC860" s="714"/>
    </row>
    <row r="861" spans="1:29" x14ac:dyDescent="0.25">
      <c r="A861" s="713"/>
      <c r="B861" s="730" t="s">
        <v>1161</v>
      </c>
      <c r="C861" s="546" t="s">
        <v>40</v>
      </c>
      <c r="D861" s="546" t="s">
        <v>876</v>
      </c>
      <c r="E861" s="682">
        <v>44743</v>
      </c>
      <c r="F861" s="546">
        <v>744</v>
      </c>
      <c r="G861" s="546" t="s">
        <v>59</v>
      </c>
      <c r="H861" s="546" t="s">
        <v>3</v>
      </c>
      <c r="I861" s="546" t="s">
        <v>44</v>
      </c>
      <c r="J861" s="546" t="s">
        <v>85</v>
      </c>
      <c r="K861" s="546">
        <v>185</v>
      </c>
      <c r="L861" s="726" t="s">
        <v>54</v>
      </c>
      <c r="M861" s="696">
        <v>0</v>
      </c>
      <c r="N861" s="726">
        <v>2</v>
      </c>
      <c r="O861" s="696">
        <v>0</v>
      </c>
      <c r="P861" s="726">
        <v>185</v>
      </c>
      <c r="Q861" s="746">
        <f t="shared" si="117"/>
        <v>0</v>
      </c>
      <c r="R861" s="606">
        <f t="shared" si="118"/>
        <v>275280</v>
      </c>
      <c r="S861" s="747">
        <f t="shared" si="119"/>
        <v>275280</v>
      </c>
      <c r="T861" s="746">
        <v>66.319999999999993</v>
      </c>
      <c r="U861" s="606">
        <f t="shared" si="120"/>
        <v>98684.159999999989</v>
      </c>
      <c r="V861" s="747">
        <f t="shared" si="121"/>
        <v>176595.84000000003</v>
      </c>
      <c r="W861" s="748">
        <v>66.319999999999993</v>
      </c>
      <c r="X861" s="607">
        <f t="shared" si="122"/>
        <v>98684.159999999989</v>
      </c>
      <c r="Y861" s="702">
        <f t="shared" si="123"/>
        <v>176595.84000000003</v>
      </c>
      <c r="Z861" s="748">
        <v>66.319999999999993</v>
      </c>
      <c r="AA861" s="607">
        <f t="shared" si="124"/>
        <v>98684.159999999989</v>
      </c>
      <c r="AB861" s="749">
        <f t="shared" si="125"/>
        <v>176595.84000000003</v>
      </c>
      <c r="AC861" s="714"/>
    </row>
    <row r="862" spans="1:29" x14ac:dyDescent="0.25">
      <c r="A862" s="713"/>
      <c r="B862" s="714" t="s">
        <v>1161</v>
      </c>
      <c r="C862" s="676" t="s">
        <v>40</v>
      </c>
      <c r="D862" s="676" t="s">
        <v>876</v>
      </c>
      <c r="E862" s="680">
        <v>44774</v>
      </c>
      <c r="F862" s="676">
        <v>744</v>
      </c>
      <c r="G862" s="676" t="s">
        <v>59</v>
      </c>
      <c r="H862" s="676" t="s">
        <v>3</v>
      </c>
      <c r="I862" s="676" t="s">
        <v>44</v>
      </c>
      <c r="J862" s="676" t="s">
        <v>85</v>
      </c>
      <c r="K862" s="676">
        <v>185</v>
      </c>
      <c r="L862" s="690" t="s">
        <v>54</v>
      </c>
      <c r="M862" s="691">
        <v>0</v>
      </c>
      <c r="N862" s="690">
        <v>2</v>
      </c>
      <c r="O862" s="691">
        <v>0</v>
      </c>
      <c r="P862" s="690">
        <v>185</v>
      </c>
      <c r="Q862" s="738">
        <f t="shared" si="117"/>
        <v>0</v>
      </c>
      <c r="R862" s="677">
        <f t="shared" si="118"/>
        <v>275280</v>
      </c>
      <c r="S862" s="739">
        <f t="shared" si="119"/>
        <v>275280</v>
      </c>
      <c r="T862" s="738">
        <v>76.900000000000006</v>
      </c>
      <c r="U862" s="677">
        <f t="shared" si="120"/>
        <v>114427.20000000001</v>
      </c>
      <c r="V862" s="739">
        <f t="shared" si="121"/>
        <v>160852.79999999999</v>
      </c>
      <c r="W862" s="740">
        <v>76.900000000000006</v>
      </c>
      <c r="X862" s="678">
        <f t="shared" si="122"/>
        <v>114427.20000000001</v>
      </c>
      <c r="Y862" s="700">
        <f t="shared" si="123"/>
        <v>160852.79999999999</v>
      </c>
      <c r="Z862" s="740">
        <v>76.900000000000006</v>
      </c>
      <c r="AA862" s="678">
        <f t="shared" si="124"/>
        <v>114427.20000000001</v>
      </c>
      <c r="AB862" s="741">
        <f t="shared" si="125"/>
        <v>160852.79999999999</v>
      </c>
      <c r="AC862" s="714"/>
    </row>
    <row r="863" spans="1:29" x14ac:dyDescent="0.25">
      <c r="A863" s="713"/>
      <c r="B863" s="729" t="s">
        <v>1161</v>
      </c>
      <c r="C863" s="545" t="s">
        <v>40</v>
      </c>
      <c r="D863" s="545" t="s">
        <v>876</v>
      </c>
      <c r="E863" s="681">
        <v>44805</v>
      </c>
      <c r="F863" s="545">
        <v>720</v>
      </c>
      <c r="G863" s="545" t="s">
        <v>59</v>
      </c>
      <c r="H863" s="545" t="s">
        <v>3</v>
      </c>
      <c r="I863" s="545" t="s">
        <v>44</v>
      </c>
      <c r="J863" s="545" t="s">
        <v>85</v>
      </c>
      <c r="K863" s="545">
        <v>185</v>
      </c>
      <c r="L863" s="725" t="s">
        <v>54</v>
      </c>
      <c r="M863" s="695">
        <v>0</v>
      </c>
      <c r="N863" s="725">
        <v>2</v>
      </c>
      <c r="O863" s="695">
        <v>0</v>
      </c>
      <c r="P863" s="725">
        <v>185</v>
      </c>
      <c r="Q863" s="742">
        <f t="shared" si="117"/>
        <v>0</v>
      </c>
      <c r="R863" s="603">
        <f t="shared" si="118"/>
        <v>266400</v>
      </c>
      <c r="S863" s="743">
        <f t="shared" si="119"/>
        <v>266400</v>
      </c>
      <c r="T863" s="742">
        <v>56.08</v>
      </c>
      <c r="U863" s="603">
        <f t="shared" si="120"/>
        <v>80755.199999999997</v>
      </c>
      <c r="V863" s="743">
        <f t="shared" si="121"/>
        <v>185644.79999999999</v>
      </c>
      <c r="W863" s="744">
        <v>56.08</v>
      </c>
      <c r="X863" s="604">
        <f t="shared" si="122"/>
        <v>80755.199999999997</v>
      </c>
      <c r="Y863" s="701">
        <f t="shared" si="123"/>
        <v>185644.79999999999</v>
      </c>
      <c r="Z863" s="744">
        <v>56.08</v>
      </c>
      <c r="AA863" s="604">
        <f t="shared" si="124"/>
        <v>80755.199999999997</v>
      </c>
      <c r="AB863" s="745">
        <f t="shared" si="125"/>
        <v>185644.79999999999</v>
      </c>
      <c r="AC863" s="714"/>
    </row>
    <row r="864" spans="1:29" x14ac:dyDescent="0.25">
      <c r="A864" s="713"/>
      <c r="B864" s="730" t="s">
        <v>1162</v>
      </c>
      <c r="C864" s="546" t="s">
        <v>40</v>
      </c>
      <c r="D864" s="546" t="s">
        <v>876</v>
      </c>
      <c r="E864" s="682">
        <v>44743</v>
      </c>
      <c r="F864" s="546">
        <v>744</v>
      </c>
      <c r="G864" s="546" t="s">
        <v>59</v>
      </c>
      <c r="H864" s="546" t="s">
        <v>3</v>
      </c>
      <c r="I864" s="546" t="s">
        <v>44</v>
      </c>
      <c r="J864" s="546" t="s">
        <v>85</v>
      </c>
      <c r="K864" s="546">
        <v>184</v>
      </c>
      <c r="L864" s="726" t="s">
        <v>54</v>
      </c>
      <c r="M864" s="696">
        <v>0</v>
      </c>
      <c r="N864" s="726">
        <v>3</v>
      </c>
      <c r="O864" s="696">
        <v>0</v>
      </c>
      <c r="P864" s="726">
        <v>184</v>
      </c>
      <c r="Q864" s="746">
        <f t="shared" si="117"/>
        <v>0</v>
      </c>
      <c r="R864" s="606">
        <f t="shared" si="118"/>
        <v>410688</v>
      </c>
      <c r="S864" s="747">
        <f t="shared" si="119"/>
        <v>410688</v>
      </c>
      <c r="T864" s="746">
        <v>66.319999999999993</v>
      </c>
      <c r="U864" s="606">
        <f t="shared" si="120"/>
        <v>148026.23999999999</v>
      </c>
      <c r="V864" s="747">
        <f t="shared" si="121"/>
        <v>262661.76000000001</v>
      </c>
      <c r="W864" s="748">
        <v>66.319999999999993</v>
      </c>
      <c r="X864" s="607">
        <f t="shared" si="122"/>
        <v>148026.23999999999</v>
      </c>
      <c r="Y864" s="702">
        <f t="shared" si="123"/>
        <v>262661.76000000001</v>
      </c>
      <c r="Z864" s="748">
        <v>66.319999999999993</v>
      </c>
      <c r="AA864" s="607">
        <f t="shared" si="124"/>
        <v>148026.23999999999</v>
      </c>
      <c r="AB864" s="749">
        <f t="shared" si="125"/>
        <v>262661.76000000001</v>
      </c>
      <c r="AC864" s="714"/>
    </row>
    <row r="865" spans="1:29" x14ac:dyDescent="0.25">
      <c r="A865" s="713"/>
      <c r="B865" s="714" t="s">
        <v>1162</v>
      </c>
      <c r="C865" s="676" t="s">
        <v>40</v>
      </c>
      <c r="D865" s="676" t="s">
        <v>876</v>
      </c>
      <c r="E865" s="680">
        <v>44774</v>
      </c>
      <c r="F865" s="676">
        <v>744</v>
      </c>
      <c r="G865" s="676" t="s">
        <v>59</v>
      </c>
      <c r="H865" s="676" t="s">
        <v>3</v>
      </c>
      <c r="I865" s="676" t="s">
        <v>44</v>
      </c>
      <c r="J865" s="676" t="s">
        <v>85</v>
      </c>
      <c r="K865" s="676">
        <v>184</v>
      </c>
      <c r="L865" s="690" t="s">
        <v>54</v>
      </c>
      <c r="M865" s="691">
        <v>0</v>
      </c>
      <c r="N865" s="690">
        <v>3</v>
      </c>
      <c r="O865" s="691">
        <v>0</v>
      </c>
      <c r="P865" s="690">
        <v>184</v>
      </c>
      <c r="Q865" s="738">
        <f t="shared" si="117"/>
        <v>0</v>
      </c>
      <c r="R865" s="677">
        <f t="shared" si="118"/>
        <v>410688</v>
      </c>
      <c r="S865" s="739">
        <f t="shared" si="119"/>
        <v>410688</v>
      </c>
      <c r="T865" s="738">
        <v>76.900000000000006</v>
      </c>
      <c r="U865" s="677">
        <f t="shared" si="120"/>
        <v>171640.80000000002</v>
      </c>
      <c r="V865" s="739">
        <f t="shared" si="121"/>
        <v>239047.19999999998</v>
      </c>
      <c r="W865" s="740">
        <v>76.900000000000006</v>
      </c>
      <c r="X865" s="678">
        <f t="shared" si="122"/>
        <v>171640.80000000002</v>
      </c>
      <c r="Y865" s="700">
        <f t="shared" si="123"/>
        <v>239047.19999999998</v>
      </c>
      <c r="Z865" s="740">
        <v>76.900000000000006</v>
      </c>
      <c r="AA865" s="678">
        <f t="shared" si="124"/>
        <v>171640.80000000002</v>
      </c>
      <c r="AB865" s="741">
        <f t="shared" si="125"/>
        <v>239047.19999999998</v>
      </c>
      <c r="AC865" s="714"/>
    </row>
    <row r="866" spans="1:29" x14ac:dyDescent="0.25">
      <c r="A866" s="713"/>
      <c r="B866" s="729" t="s">
        <v>1162</v>
      </c>
      <c r="C866" s="545" t="s">
        <v>40</v>
      </c>
      <c r="D866" s="545" t="s">
        <v>876</v>
      </c>
      <c r="E866" s="681">
        <v>44805</v>
      </c>
      <c r="F866" s="545">
        <v>720</v>
      </c>
      <c r="G866" s="545" t="s">
        <v>59</v>
      </c>
      <c r="H866" s="545" t="s">
        <v>3</v>
      </c>
      <c r="I866" s="545" t="s">
        <v>44</v>
      </c>
      <c r="J866" s="545" t="s">
        <v>85</v>
      </c>
      <c r="K866" s="545">
        <v>184</v>
      </c>
      <c r="L866" s="725" t="s">
        <v>54</v>
      </c>
      <c r="M866" s="695">
        <v>0</v>
      </c>
      <c r="N866" s="725">
        <v>3</v>
      </c>
      <c r="O866" s="695">
        <v>0</v>
      </c>
      <c r="P866" s="725">
        <v>184</v>
      </c>
      <c r="Q866" s="742">
        <f t="shared" si="117"/>
        <v>0</v>
      </c>
      <c r="R866" s="603">
        <f t="shared" si="118"/>
        <v>397440</v>
      </c>
      <c r="S866" s="743">
        <f t="shared" si="119"/>
        <v>397440</v>
      </c>
      <c r="T866" s="742">
        <v>56.08</v>
      </c>
      <c r="U866" s="603">
        <f t="shared" si="120"/>
        <v>121132.8</v>
      </c>
      <c r="V866" s="743">
        <f t="shared" si="121"/>
        <v>276307.20000000001</v>
      </c>
      <c r="W866" s="744">
        <v>56.08</v>
      </c>
      <c r="X866" s="604">
        <f t="shared" si="122"/>
        <v>121132.8</v>
      </c>
      <c r="Y866" s="701">
        <f t="shared" si="123"/>
        <v>276307.20000000001</v>
      </c>
      <c r="Z866" s="744">
        <v>56.08</v>
      </c>
      <c r="AA866" s="604">
        <f t="shared" si="124"/>
        <v>121132.8</v>
      </c>
      <c r="AB866" s="745">
        <f t="shared" si="125"/>
        <v>276307.20000000001</v>
      </c>
      <c r="AC866" s="714"/>
    </row>
    <row r="867" spans="1:29" x14ac:dyDescent="0.25">
      <c r="A867" s="713"/>
      <c r="B867" s="731" t="s">
        <v>1169</v>
      </c>
      <c r="C867" s="547" t="s">
        <v>40</v>
      </c>
      <c r="D867" s="547" t="s">
        <v>1166</v>
      </c>
      <c r="E867" s="683">
        <v>44562</v>
      </c>
      <c r="F867" s="547">
        <v>744</v>
      </c>
      <c r="G867" s="547" t="s">
        <v>59</v>
      </c>
      <c r="H867" s="547" t="s">
        <v>6</v>
      </c>
      <c r="I867" s="547" t="s">
        <v>44</v>
      </c>
      <c r="J867" s="547" t="s">
        <v>85</v>
      </c>
      <c r="K867" s="547">
        <v>212</v>
      </c>
      <c r="L867" s="727" t="s">
        <v>92</v>
      </c>
      <c r="M867" s="697">
        <v>0</v>
      </c>
      <c r="N867" s="727">
        <v>1.6120000000000001</v>
      </c>
      <c r="O867" s="697">
        <v>0</v>
      </c>
      <c r="P867" s="727">
        <v>274.90999999999997</v>
      </c>
      <c r="Q867" s="750">
        <f t="shared" si="117"/>
        <v>0</v>
      </c>
      <c r="R867" s="608">
        <f t="shared" si="118"/>
        <v>329707.26047999994</v>
      </c>
      <c r="S867" s="751">
        <f t="shared" si="119"/>
        <v>329707.26047999994</v>
      </c>
      <c r="T867" s="750">
        <v>62.91</v>
      </c>
      <c r="U867" s="608">
        <f t="shared" si="120"/>
        <v>75449.72447999999</v>
      </c>
      <c r="V867" s="751">
        <f t="shared" si="121"/>
        <v>254257.53599999996</v>
      </c>
      <c r="W867" s="752">
        <v>62.91</v>
      </c>
      <c r="X867" s="609">
        <f t="shared" si="122"/>
        <v>75449.72447999999</v>
      </c>
      <c r="Y867" s="703">
        <f t="shared" si="123"/>
        <v>254257.53599999996</v>
      </c>
      <c r="Z867" s="752">
        <v>62.91</v>
      </c>
      <c r="AA867" s="609">
        <f t="shared" si="124"/>
        <v>75449.72447999999</v>
      </c>
      <c r="AB867" s="753">
        <f t="shared" si="125"/>
        <v>254257.53599999996</v>
      </c>
      <c r="AC867" s="714"/>
    </row>
    <row r="868" spans="1:29" x14ac:dyDescent="0.25">
      <c r="A868" s="713"/>
      <c r="B868" s="731" t="s">
        <v>1171</v>
      </c>
      <c r="C868" s="547" t="s">
        <v>40</v>
      </c>
      <c r="D868" s="547" t="s">
        <v>1167</v>
      </c>
      <c r="E868" s="683">
        <v>44562</v>
      </c>
      <c r="F868" s="547">
        <v>744</v>
      </c>
      <c r="G868" s="547" t="s">
        <v>59</v>
      </c>
      <c r="H868" s="547" t="s">
        <v>6</v>
      </c>
      <c r="I868" s="547" t="s">
        <v>44</v>
      </c>
      <c r="J868" s="547" t="s">
        <v>85</v>
      </c>
      <c r="K868" s="547">
        <v>210</v>
      </c>
      <c r="L868" s="727" t="s">
        <v>92</v>
      </c>
      <c r="M868" s="697">
        <v>0</v>
      </c>
      <c r="N868" s="727">
        <v>7</v>
      </c>
      <c r="O868" s="697">
        <v>0</v>
      </c>
      <c r="P868" s="727">
        <v>272.90999999999997</v>
      </c>
      <c r="Q868" s="750">
        <f t="shared" si="117"/>
        <v>0</v>
      </c>
      <c r="R868" s="608">
        <f t="shared" si="118"/>
        <v>1421315.2799999998</v>
      </c>
      <c r="S868" s="751">
        <f t="shared" si="119"/>
        <v>1421315.2799999998</v>
      </c>
      <c r="T868" s="750">
        <v>62.91</v>
      </c>
      <c r="U868" s="608">
        <f t="shared" si="120"/>
        <v>327635.27999999997</v>
      </c>
      <c r="V868" s="751">
        <f t="shared" si="121"/>
        <v>1093679.9999999998</v>
      </c>
      <c r="W868" s="752">
        <v>62.91</v>
      </c>
      <c r="X868" s="609">
        <f t="shared" si="122"/>
        <v>327635.27999999997</v>
      </c>
      <c r="Y868" s="703">
        <f t="shared" si="123"/>
        <v>1093679.9999999998</v>
      </c>
      <c r="Z868" s="752">
        <v>62.91</v>
      </c>
      <c r="AA868" s="609">
        <f t="shared" si="124"/>
        <v>327635.27999999997</v>
      </c>
      <c r="AB868" s="753">
        <f t="shared" si="125"/>
        <v>1093679.9999999998</v>
      </c>
      <c r="AC868" s="714"/>
    </row>
    <row r="869" spans="1:29" x14ac:dyDescent="0.25">
      <c r="A869" s="713"/>
      <c r="B869" s="731" t="s">
        <v>1173</v>
      </c>
      <c r="C869" s="547" t="s">
        <v>40</v>
      </c>
      <c r="D869" s="547" t="s">
        <v>475</v>
      </c>
      <c r="E869" s="683">
        <v>44682</v>
      </c>
      <c r="F869" s="547">
        <v>744</v>
      </c>
      <c r="G869" s="547" t="s">
        <v>59</v>
      </c>
      <c r="H869" s="547" t="s">
        <v>3</v>
      </c>
      <c r="I869" s="547" t="s">
        <v>44</v>
      </c>
      <c r="J869" s="547" t="s">
        <v>85</v>
      </c>
      <c r="K869" s="547">
        <v>105</v>
      </c>
      <c r="L869" s="727" t="s">
        <v>54</v>
      </c>
      <c r="M869" s="697">
        <v>0</v>
      </c>
      <c r="N869" s="727">
        <v>4.8</v>
      </c>
      <c r="O869" s="697">
        <v>0</v>
      </c>
      <c r="P869" s="727">
        <v>105</v>
      </c>
      <c r="Q869" s="750">
        <f t="shared" si="117"/>
        <v>0</v>
      </c>
      <c r="R869" s="608">
        <f t="shared" si="118"/>
        <v>374976</v>
      </c>
      <c r="S869" s="751">
        <f t="shared" si="119"/>
        <v>374976</v>
      </c>
      <c r="T869" s="750">
        <v>55.7</v>
      </c>
      <c r="U869" s="608">
        <f t="shared" si="120"/>
        <v>198915.84</v>
      </c>
      <c r="V869" s="751">
        <f t="shared" si="121"/>
        <v>176060.16</v>
      </c>
      <c r="W869" s="752">
        <v>55.7</v>
      </c>
      <c r="X869" s="609">
        <f t="shared" si="122"/>
        <v>198915.84</v>
      </c>
      <c r="Y869" s="703">
        <f t="shared" si="123"/>
        <v>176060.16</v>
      </c>
      <c r="Z869" s="752">
        <v>55.7</v>
      </c>
      <c r="AA869" s="609">
        <f t="shared" si="124"/>
        <v>198915.84</v>
      </c>
      <c r="AB869" s="753">
        <f t="shared" si="125"/>
        <v>176060.16</v>
      </c>
      <c r="AC869" s="714"/>
    </row>
    <row r="870" spans="1:29" x14ac:dyDescent="0.25">
      <c r="A870" s="713"/>
      <c r="B870" s="731" t="s">
        <v>1176</v>
      </c>
      <c r="C870" s="547" t="s">
        <v>40</v>
      </c>
      <c r="D870" s="547" t="s">
        <v>967</v>
      </c>
      <c r="E870" s="683">
        <v>44621</v>
      </c>
      <c r="F870" s="547">
        <v>744</v>
      </c>
      <c r="G870" s="547" t="s">
        <v>59</v>
      </c>
      <c r="H870" s="547" t="s">
        <v>3</v>
      </c>
      <c r="I870" s="547" t="s">
        <v>44</v>
      </c>
      <c r="J870" s="547" t="s">
        <v>85</v>
      </c>
      <c r="K870" s="547">
        <v>73</v>
      </c>
      <c r="L870" s="727" t="s">
        <v>54</v>
      </c>
      <c r="M870" s="697">
        <v>0</v>
      </c>
      <c r="N870" s="727">
        <v>4</v>
      </c>
      <c r="O870" s="697">
        <v>0</v>
      </c>
      <c r="P870" s="727">
        <v>73</v>
      </c>
      <c r="Q870" s="750">
        <f t="shared" si="117"/>
        <v>0</v>
      </c>
      <c r="R870" s="608">
        <f t="shared" si="118"/>
        <v>217248</v>
      </c>
      <c r="S870" s="751">
        <f t="shared" si="119"/>
        <v>217248</v>
      </c>
      <c r="T870" s="750">
        <v>55.7</v>
      </c>
      <c r="U870" s="608">
        <f t="shared" si="120"/>
        <v>165763.20000000001</v>
      </c>
      <c r="V870" s="751">
        <f t="shared" si="121"/>
        <v>51484.799999999988</v>
      </c>
      <c r="W870" s="752">
        <v>55.7</v>
      </c>
      <c r="X870" s="609">
        <f t="shared" si="122"/>
        <v>165763.20000000001</v>
      </c>
      <c r="Y870" s="703">
        <f t="shared" si="123"/>
        <v>51484.799999999988</v>
      </c>
      <c r="Z870" s="752">
        <v>55.7</v>
      </c>
      <c r="AA870" s="609">
        <f t="shared" si="124"/>
        <v>165763.20000000001</v>
      </c>
      <c r="AB870" s="753">
        <f t="shared" si="125"/>
        <v>51484.799999999988</v>
      </c>
      <c r="AC870" s="714"/>
    </row>
    <row r="871" spans="1:29" x14ac:dyDescent="0.25">
      <c r="A871" s="713"/>
      <c r="B871" s="730" t="s">
        <v>1179</v>
      </c>
      <c r="C871" s="546" t="s">
        <v>40</v>
      </c>
      <c r="D871" s="546" t="s">
        <v>1135</v>
      </c>
      <c r="E871" s="682">
        <v>44743</v>
      </c>
      <c r="F871" s="546">
        <v>744</v>
      </c>
      <c r="G871" s="546" t="s">
        <v>59</v>
      </c>
      <c r="H871" s="546" t="s">
        <v>3</v>
      </c>
      <c r="I871" s="546" t="s">
        <v>44</v>
      </c>
      <c r="J871" s="546" t="s">
        <v>85</v>
      </c>
      <c r="K871" s="546">
        <v>157</v>
      </c>
      <c r="L871" s="726" t="s">
        <v>54</v>
      </c>
      <c r="M871" s="696">
        <v>0</v>
      </c>
      <c r="N871" s="726">
        <v>5</v>
      </c>
      <c r="O871" s="696">
        <v>0</v>
      </c>
      <c r="P871" s="726">
        <v>157</v>
      </c>
      <c r="Q871" s="746">
        <f t="shared" si="117"/>
        <v>0</v>
      </c>
      <c r="R871" s="606">
        <f t="shared" si="118"/>
        <v>584040</v>
      </c>
      <c r="S871" s="747">
        <f t="shared" si="119"/>
        <v>584040</v>
      </c>
      <c r="T871" s="746">
        <v>66.319999999999993</v>
      </c>
      <c r="U871" s="606">
        <f t="shared" si="120"/>
        <v>246710.39999999997</v>
      </c>
      <c r="V871" s="747">
        <f t="shared" si="121"/>
        <v>337329.60000000003</v>
      </c>
      <c r="W871" s="748">
        <v>66.319999999999993</v>
      </c>
      <c r="X871" s="607">
        <f t="shared" si="122"/>
        <v>246710.39999999997</v>
      </c>
      <c r="Y871" s="702">
        <f t="shared" si="123"/>
        <v>337329.60000000003</v>
      </c>
      <c r="Z871" s="748">
        <v>66.319999999999993</v>
      </c>
      <c r="AA871" s="607">
        <f t="shared" si="124"/>
        <v>246710.39999999997</v>
      </c>
      <c r="AB871" s="749">
        <f t="shared" si="125"/>
        <v>337329.60000000003</v>
      </c>
      <c r="AC871" s="714"/>
    </row>
    <row r="872" spans="1:29" x14ac:dyDescent="0.25">
      <c r="A872" s="713"/>
      <c r="B872" s="714" t="s">
        <v>1179</v>
      </c>
      <c r="C872" s="676" t="s">
        <v>40</v>
      </c>
      <c r="D872" s="676" t="s">
        <v>1135</v>
      </c>
      <c r="E872" s="680">
        <v>44774</v>
      </c>
      <c r="F872" s="676">
        <v>744</v>
      </c>
      <c r="G872" s="676" t="s">
        <v>59</v>
      </c>
      <c r="H872" s="676" t="s">
        <v>3</v>
      </c>
      <c r="I872" s="676" t="s">
        <v>44</v>
      </c>
      <c r="J872" s="676" t="s">
        <v>85</v>
      </c>
      <c r="K872" s="676">
        <v>157</v>
      </c>
      <c r="L872" s="690" t="s">
        <v>54</v>
      </c>
      <c r="M872" s="691">
        <v>0</v>
      </c>
      <c r="N872" s="690">
        <v>5</v>
      </c>
      <c r="O872" s="691">
        <v>0</v>
      </c>
      <c r="P872" s="690">
        <v>157</v>
      </c>
      <c r="Q872" s="738">
        <f t="shared" si="117"/>
        <v>0</v>
      </c>
      <c r="R872" s="677">
        <f t="shared" si="118"/>
        <v>584040</v>
      </c>
      <c r="S872" s="739">
        <f t="shared" si="119"/>
        <v>584040</v>
      </c>
      <c r="T872" s="738">
        <v>76.900000000000006</v>
      </c>
      <c r="U872" s="677">
        <f t="shared" si="120"/>
        <v>286068</v>
      </c>
      <c r="V872" s="739">
        <f t="shared" si="121"/>
        <v>297972</v>
      </c>
      <c r="W872" s="740">
        <v>76.900000000000006</v>
      </c>
      <c r="X872" s="678">
        <f t="shared" si="122"/>
        <v>286068</v>
      </c>
      <c r="Y872" s="700">
        <f t="shared" si="123"/>
        <v>297972</v>
      </c>
      <c r="Z872" s="740">
        <v>76.900000000000006</v>
      </c>
      <c r="AA872" s="678">
        <f t="shared" si="124"/>
        <v>286068</v>
      </c>
      <c r="AB872" s="741">
        <f t="shared" si="125"/>
        <v>297972</v>
      </c>
      <c r="AC872" s="714"/>
    </row>
    <row r="873" spans="1:29" x14ac:dyDescent="0.25">
      <c r="A873" s="713"/>
      <c r="B873" s="729" t="s">
        <v>1179</v>
      </c>
      <c r="C873" s="545" t="s">
        <v>40</v>
      </c>
      <c r="D873" s="545" t="s">
        <v>1135</v>
      </c>
      <c r="E873" s="681">
        <v>44805</v>
      </c>
      <c r="F873" s="545">
        <v>720</v>
      </c>
      <c r="G873" s="545" t="s">
        <v>59</v>
      </c>
      <c r="H873" s="545" t="s">
        <v>3</v>
      </c>
      <c r="I873" s="545" t="s">
        <v>44</v>
      </c>
      <c r="J873" s="545" t="s">
        <v>85</v>
      </c>
      <c r="K873" s="545">
        <v>157</v>
      </c>
      <c r="L873" s="725" t="s">
        <v>54</v>
      </c>
      <c r="M873" s="695">
        <v>0</v>
      </c>
      <c r="N873" s="725">
        <v>5</v>
      </c>
      <c r="O873" s="695">
        <v>0</v>
      </c>
      <c r="P873" s="725">
        <v>157</v>
      </c>
      <c r="Q873" s="742">
        <f t="shared" si="117"/>
        <v>0</v>
      </c>
      <c r="R873" s="603">
        <f t="shared" si="118"/>
        <v>565200</v>
      </c>
      <c r="S873" s="743">
        <f t="shared" si="119"/>
        <v>565200</v>
      </c>
      <c r="T873" s="742">
        <v>56.08</v>
      </c>
      <c r="U873" s="603">
        <f t="shared" si="120"/>
        <v>201888</v>
      </c>
      <c r="V873" s="743">
        <f t="shared" si="121"/>
        <v>363312</v>
      </c>
      <c r="W873" s="744">
        <v>56.08</v>
      </c>
      <c r="X873" s="604">
        <f t="shared" si="122"/>
        <v>201888</v>
      </c>
      <c r="Y873" s="701">
        <f t="shared" si="123"/>
        <v>363312</v>
      </c>
      <c r="Z873" s="744">
        <v>56.08</v>
      </c>
      <c r="AA873" s="604">
        <f t="shared" si="124"/>
        <v>201888</v>
      </c>
      <c r="AB873" s="745">
        <f t="shared" si="125"/>
        <v>363312</v>
      </c>
      <c r="AC873" s="714"/>
    </row>
    <row r="874" spans="1:29" x14ac:dyDescent="0.25">
      <c r="A874" s="713"/>
      <c r="B874" s="731" t="s">
        <v>1181</v>
      </c>
      <c r="C874" s="547" t="s">
        <v>40</v>
      </c>
      <c r="D874" s="547" t="s">
        <v>968</v>
      </c>
      <c r="E874" s="683">
        <v>44896</v>
      </c>
      <c r="F874" s="547">
        <v>744</v>
      </c>
      <c r="G874" s="547" t="s">
        <v>59</v>
      </c>
      <c r="H874" s="547" t="s">
        <v>3</v>
      </c>
      <c r="I874" s="547" t="s">
        <v>44</v>
      </c>
      <c r="J874" s="547" t="s">
        <v>85</v>
      </c>
      <c r="K874" s="547">
        <v>155</v>
      </c>
      <c r="L874" s="727" t="s">
        <v>54</v>
      </c>
      <c r="M874" s="697">
        <v>0</v>
      </c>
      <c r="N874" s="727">
        <v>2</v>
      </c>
      <c r="O874" s="697">
        <v>0</v>
      </c>
      <c r="P874" s="727">
        <v>155</v>
      </c>
      <c r="Q874" s="750">
        <f t="shared" si="117"/>
        <v>0</v>
      </c>
      <c r="R874" s="608">
        <f t="shared" si="118"/>
        <v>230640</v>
      </c>
      <c r="S874" s="751">
        <f t="shared" si="119"/>
        <v>230640</v>
      </c>
      <c r="T874" s="750">
        <v>55.7</v>
      </c>
      <c r="U874" s="608">
        <f t="shared" si="120"/>
        <v>82881.600000000006</v>
      </c>
      <c r="V874" s="751">
        <f t="shared" si="121"/>
        <v>147758.39999999999</v>
      </c>
      <c r="W874" s="752">
        <v>55.7</v>
      </c>
      <c r="X874" s="609">
        <f t="shared" si="122"/>
        <v>82881.600000000006</v>
      </c>
      <c r="Y874" s="703">
        <f t="shared" si="123"/>
        <v>147758.39999999999</v>
      </c>
      <c r="Z874" s="752">
        <v>78.400653594793155</v>
      </c>
      <c r="AA874" s="609">
        <f t="shared" si="124"/>
        <v>116660.17254905222</v>
      </c>
      <c r="AB874" s="753">
        <f t="shared" si="125"/>
        <v>113979.82745094778</v>
      </c>
      <c r="AC874" s="714"/>
    </row>
    <row r="875" spans="1:29" x14ac:dyDescent="0.25">
      <c r="A875" s="713"/>
      <c r="B875" s="731" t="s">
        <v>1184</v>
      </c>
      <c r="C875" s="547" t="s">
        <v>40</v>
      </c>
      <c r="D875" s="547" t="s">
        <v>968</v>
      </c>
      <c r="E875" s="683">
        <v>44896</v>
      </c>
      <c r="F875" s="547">
        <v>744</v>
      </c>
      <c r="G875" s="547" t="s">
        <v>59</v>
      </c>
      <c r="H875" s="547" t="s">
        <v>3</v>
      </c>
      <c r="I875" s="547" t="s">
        <v>44</v>
      </c>
      <c r="J875" s="547" t="s">
        <v>85</v>
      </c>
      <c r="K875" s="547">
        <v>160</v>
      </c>
      <c r="L875" s="727" t="s">
        <v>54</v>
      </c>
      <c r="M875" s="697">
        <v>0</v>
      </c>
      <c r="N875" s="727">
        <v>2</v>
      </c>
      <c r="O875" s="697">
        <v>0</v>
      </c>
      <c r="P875" s="727">
        <v>160</v>
      </c>
      <c r="Q875" s="750">
        <f t="shared" si="117"/>
        <v>0</v>
      </c>
      <c r="R875" s="608">
        <f t="shared" si="118"/>
        <v>238080</v>
      </c>
      <c r="S875" s="751">
        <f t="shared" si="119"/>
        <v>238080</v>
      </c>
      <c r="T875" s="750">
        <v>55.7</v>
      </c>
      <c r="U875" s="608">
        <f t="shared" si="120"/>
        <v>82881.600000000006</v>
      </c>
      <c r="V875" s="751">
        <f t="shared" si="121"/>
        <v>155198.39999999999</v>
      </c>
      <c r="W875" s="752">
        <v>55.7</v>
      </c>
      <c r="X875" s="609">
        <f t="shared" si="122"/>
        <v>82881.600000000006</v>
      </c>
      <c r="Y875" s="703">
        <f t="shared" si="123"/>
        <v>155198.39999999999</v>
      </c>
      <c r="Z875" s="752">
        <v>78.400653594793155</v>
      </c>
      <c r="AA875" s="609">
        <f t="shared" si="124"/>
        <v>116660.17254905222</v>
      </c>
      <c r="AB875" s="753">
        <f t="shared" si="125"/>
        <v>121419.82745094778</v>
      </c>
      <c r="AC875" s="714"/>
    </row>
    <row r="876" spans="1:29" x14ac:dyDescent="0.25">
      <c r="A876" s="713"/>
      <c r="B876" s="731" t="s">
        <v>1187</v>
      </c>
      <c r="C876" s="547" t="s">
        <v>40</v>
      </c>
      <c r="D876" s="547" t="s">
        <v>513</v>
      </c>
      <c r="E876" s="683">
        <v>44896</v>
      </c>
      <c r="F876" s="547">
        <v>744</v>
      </c>
      <c r="G876" s="547" t="s">
        <v>59</v>
      </c>
      <c r="H876" s="547" t="s">
        <v>3</v>
      </c>
      <c r="I876" s="547" t="s">
        <v>44</v>
      </c>
      <c r="J876" s="547" t="s">
        <v>85</v>
      </c>
      <c r="K876" s="547">
        <v>165</v>
      </c>
      <c r="L876" s="727" t="s">
        <v>54</v>
      </c>
      <c r="M876" s="697">
        <v>0</v>
      </c>
      <c r="N876" s="727">
        <v>1</v>
      </c>
      <c r="O876" s="697">
        <v>0</v>
      </c>
      <c r="P876" s="727">
        <v>165</v>
      </c>
      <c r="Q876" s="750">
        <f t="shared" si="117"/>
        <v>0</v>
      </c>
      <c r="R876" s="608">
        <f t="shared" si="118"/>
        <v>122760</v>
      </c>
      <c r="S876" s="751">
        <f t="shared" si="119"/>
        <v>122760</v>
      </c>
      <c r="T876" s="750">
        <v>55.7</v>
      </c>
      <c r="U876" s="608">
        <f t="shared" si="120"/>
        <v>41440.800000000003</v>
      </c>
      <c r="V876" s="751">
        <f t="shared" si="121"/>
        <v>81319.199999999997</v>
      </c>
      <c r="W876" s="752">
        <v>55.7</v>
      </c>
      <c r="X876" s="609">
        <f t="shared" si="122"/>
        <v>41440.800000000003</v>
      </c>
      <c r="Y876" s="703">
        <f t="shared" si="123"/>
        <v>81319.199999999997</v>
      </c>
      <c r="Z876" s="752">
        <v>78.400653594793155</v>
      </c>
      <c r="AA876" s="609">
        <f t="shared" si="124"/>
        <v>58330.086274526111</v>
      </c>
      <c r="AB876" s="753">
        <f t="shared" si="125"/>
        <v>64429.913725473889</v>
      </c>
      <c r="AC876" s="714"/>
    </row>
    <row r="877" spans="1:29" x14ac:dyDescent="0.25">
      <c r="A877" s="713"/>
      <c r="B877" s="731" t="s">
        <v>1190</v>
      </c>
      <c r="C877" s="547" t="s">
        <v>40</v>
      </c>
      <c r="D877" s="547" t="s">
        <v>410</v>
      </c>
      <c r="E877" s="683">
        <v>44896</v>
      </c>
      <c r="F877" s="547">
        <v>744</v>
      </c>
      <c r="G877" s="547" t="s">
        <v>59</v>
      </c>
      <c r="H877" s="547" t="s">
        <v>3</v>
      </c>
      <c r="I877" s="547" t="s">
        <v>44</v>
      </c>
      <c r="J877" s="547" t="s">
        <v>85</v>
      </c>
      <c r="K877" s="547">
        <v>166</v>
      </c>
      <c r="L877" s="727" t="s">
        <v>54</v>
      </c>
      <c r="M877" s="697">
        <v>0</v>
      </c>
      <c r="N877" s="727">
        <v>6</v>
      </c>
      <c r="O877" s="697">
        <v>0</v>
      </c>
      <c r="P877" s="727">
        <v>166</v>
      </c>
      <c r="Q877" s="750">
        <f t="shared" si="117"/>
        <v>0</v>
      </c>
      <c r="R877" s="608">
        <f t="shared" si="118"/>
        <v>741024</v>
      </c>
      <c r="S877" s="751">
        <f t="shared" si="119"/>
        <v>741024</v>
      </c>
      <c r="T877" s="750">
        <v>55.7</v>
      </c>
      <c r="U877" s="608">
        <f t="shared" si="120"/>
        <v>248644.80000000002</v>
      </c>
      <c r="V877" s="751">
        <f t="shared" si="121"/>
        <v>492379.19999999995</v>
      </c>
      <c r="W877" s="752">
        <v>55.7</v>
      </c>
      <c r="X877" s="609">
        <f t="shared" si="122"/>
        <v>248644.80000000002</v>
      </c>
      <c r="Y877" s="703">
        <f t="shared" si="123"/>
        <v>492379.19999999995</v>
      </c>
      <c r="Z877" s="752">
        <v>78.400653594793155</v>
      </c>
      <c r="AA877" s="609">
        <f t="shared" si="124"/>
        <v>349980.51764715667</v>
      </c>
      <c r="AB877" s="753">
        <f t="shared" si="125"/>
        <v>391043.48235284333</v>
      </c>
      <c r="AC877" s="714"/>
    </row>
    <row r="878" spans="1:29" x14ac:dyDescent="0.25">
      <c r="A878" s="713"/>
      <c r="B878" s="731" t="s">
        <v>1198</v>
      </c>
      <c r="C878" s="547" t="s">
        <v>40</v>
      </c>
      <c r="D878" s="547" t="s">
        <v>1194</v>
      </c>
      <c r="E878" s="683">
        <v>44593</v>
      </c>
      <c r="F878" s="547">
        <v>672</v>
      </c>
      <c r="G878" s="547" t="s">
        <v>59</v>
      </c>
      <c r="H878" s="547" t="s">
        <v>5</v>
      </c>
      <c r="I878" s="547" t="s">
        <v>44</v>
      </c>
      <c r="J878" s="547" t="s">
        <v>85</v>
      </c>
      <c r="K878" s="547">
        <v>44</v>
      </c>
      <c r="L878" s="727" t="s">
        <v>92</v>
      </c>
      <c r="M878" s="697">
        <v>0</v>
      </c>
      <c r="N878" s="727">
        <v>10</v>
      </c>
      <c r="O878" s="697">
        <v>0</v>
      </c>
      <c r="P878" s="727">
        <v>99.7</v>
      </c>
      <c r="Q878" s="750">
        <f t="shared" si="117"/>
        <v>0</v>
      </c>
      <c r="R878" s="608">
        <f t="shared" si="118"/>
        <v>669984</v>
      </c>
      <c r="S878" s="751">
        <f t="shared" si="119"/>
        <v>669984</v>
      </c>
      <c r="T878" s="750">
        <v>55.7</v>
      </c>
      <c r="U878" s="608">
        <f t="shared" si="120"/>
        <v>374304</v>
      </c>
      <c r="V878" s="751">
        <f t="shared" si="121"/>
        <v>295680</v>
      </c>
      <c r="W878" s="752">
        <v>55.7</v>
      </c>
      <c r="X878" s="609">
        <f t="shared" si="122"/>
        <v>374304</v>
      </c>
      <c r="Y878" s="703">
        <f t="shared" si="123"/>
        <v>295680</v>
      </c>
      <c r="Z878" s="752">
        <v>55.7</v>
      </c>
      <c r="AA878" s="609">
        <f t="shared" si="124"/>
        <v>374304</v>
      </c>
      <c r="AB878" s="753">
        <f t="shared" si="125"/>
        <v>295680</v>
      </c>
      <c r="AC878" s="714"/>
    </row>
    <row r="879" spans="1:29" x14ac:dyDescent="0.25">
      <c r="A879" s="713"/>
      <c r="B879" s="731" t="s">
        <v>1199</v>
      </c>
      <c r="C879" s="547" t="s">
        <v>40</v>
      </c>
      <c r="D879" s="547" t="s">
        <v>1195</v>
      </c>
      <c r="E879" s="683">
        <v>44621</v>
      </c>
      <c r="F879" s="547">
        <v>744</v>
      </c>
      <c r="G879" s="547" t="s">
        <v>59</v>
      </c>
      <c r="H879" s="547" t="s">
        <v>3</v>
      </c>
      <c r="I879" s="547" t="s">
        <v>44</v>
      </c>
      <c r="J879" s="547" t="s">
        <v>85</v>
      </c>
      <c r="K879" s="547">
        <v>64</v>
      </c>
      <c r="L879" s="727" t="s">
        <v>54</v>
      </c>
      <c r="M879" s="697">
        <v>0</v>
      </c>
      <c r="N879" s="727">
        <v>20</v>
      </c>
      <c r="O879" s="697">
        <v>0</v>
      </c>
      <c r="P879" s="727">
        <v>64</v>
      </c>
      <c r="Q879" s="750">
        <f t="shared" si="117"/>
        <v>0</v>
      </c>
      <c r="R879" s="608">
        <f t="shared" si="118"/>
        <v>952320</v>
      </c>
      <c r="S879" s="751">
        <f t="shared" si="119"/>
        <v>952320</v>
      </c>
      <c r="T879" s="750">
        <v>55.7</v>
      </c>
      <c r="U879" s="608">
        <f t="shared" si="120"/>
        <v>828816</v>
      </c>
      <c r="V879" s="751">
        <f t="shared" si="121"/>
        <v>123504</v>
      </c>
      <c r="W879" s="752">
        <v>55.7</v>
      </c>
      <c r="X879" s="609">
        <f t="shared" si="122"/>
        <v>828816</v>
      </c>
      <c r="Y879" s="703">
        <f t="shared" si="123"/>
        <v>123504</v>
      </c>
      <c r="Z879" s="752">
        <v>55.7</v>
      </c>
      <c r="AA879" s="609">
        <f t="shared" si="124"/>
        <v>828816</v>
      </c>
      <c r="AB879" s="753">
        <f t="shared" si="125"/>
        <v>123504</v>
      </c>
      <c r="AC879" s="714"/>
    </row>
    <row r="880" spans="1:29" x14ac:dyDescent="0.25">
      <c r="A880" s="713"/>
      <c r="B880" s="731" t="s">
        <v>1201</v>
      </c>
      <c r="C880" s="547" t="s">
        <v>40</v>
      </c>
      <c r="D880" s="547" t="s">
        <v>1196</v>
      </c>
      <c r="E880" s="683">
        <v>44593</v>
      </c>
      <c r="F880" s="547">
        <v>672</v>
      </c>
      <c r="G880" s="547" t="s">
        <v>59</v>
      </c>
      <c r="H880" s="547" t="s">
        <v>5</v>
      </c>
      <c r="I880" s="547" t="s">
        <v>44</v>
      </c>
      <c r="J880" s="547" t="s">
        <v>85</v>
      </c>
      <c r="K880" s="547">
        <v>42</v>
      </c>
      <c r="L880" s="727" t="s">
        <v>92</v>
      </c>
      <c r="M880" s="697">
        <v>0</v>
      </c>
      <c r="N880" s="727">
        <v>5</v>
      </c>
      <c r="O880" s="697">
        <v>0</v>
      </c>
      <c r="P880" s="727">
        <v>97.7</v>
      </c>
      <c r="Q880" s="750">
        <f t="shared" si="117"/>
        <v>0</v>
      </c>
      <c r="R880" s="608">
        <f t="shared" si="118"/>
        <v>328272</v>
      </c>
      <c r="S880" s="751">
        <f t="shared" si="119"/>
        <v>328272</v>
      </c>
      <c r="T880" s="750">
        <v>55.7</v>
      </c>
      <c r="U880" s="608">
        <f t="shared" si="120"/>
        <v>187152</v>
      </c>
      <c r="V880" s="751">
        <f t="shared" si="121"/>
        <v>141120</v>
      </c>
      <c r="W880" s="752">
        <v>55.7</v>
      </c>
      <c r="X880" s="609">
        <f t="shared" si="122"/>
        <v>187152</v>
      </c>
      <c r="Y880" s="703">
        <f t="shared" si="123"/>
        <v>141120</v>
      </c>
      <c r="Z880" s="752">
        <v>55.7</v>
      </c>
      <c r="AA880" s="609">
        <f t="shared" si="124"/>
        <v>187152</v>
      </c>
      <c r="AB880" s="753">
        <f t="shared" si="125"/>
        <v>141120</v>
      </c>
      <c r="AC880" s="714"/>
    </row>
    <row r="881" spans="1:29" x14ac:dyDescent="0.25">
      <c r="A881" s="713"/>
      <c r="B881" s="731" t="s">
        <v>1205</v>
      </c>
      <c r="C881" s="547" t="s">
        <v>40</v>
      </c>
      <c r="D881" s="547" t="s">
        <v>1202</v>
      </c>
      <c r="E881" s="683">
        <v>44593</v>
      </c>
      <c r="F881" s="547">
        <v>672</v>
      </c>
      <c r="G881" s="547" t="s">
        <v>59</v>
      </c>
      <c r="H881" s="547" t="s">
        <v>5</v>
      </c>
      <c r="I881" s="547" t="s">
        <v>44</v>
      </c>
      <c r="J881" s="547" t="s">
        <v>85</v>
      </c>
      <c r="K881" s="547">
        <v>45</v>
      </c>
      <c r="L881" s="727" t="s">
        <v>92</v>
      </c>
      <c r="M881" s="697">
        <v>0</v>
      </c>
      <c r="N881" s="727">
        <v>5</v>
      </c>
      <c r="O881" s="697">
        <v>0</v>
      </c>
      <c r="P881" s="727">
        <v>100.7</v>
      </c>
      <c r="Q881" s="750">
        <f t="shared" si="117"/>
        <v>0</v>
      </c>
      <c r="R881" s="608">
        <f t="shared" si="118"/>
        <v>338352</v>
      </c>
      <c r="S881" s="751">
        <f t="shared" si="119"/>
        <v>338352</v>
      </c>
      <c r="T881" s="750">
        <v>55.7</v>
      </c>
      <c r="U881" s="608">
        <f t="shared" si="120"/>
        <v>187152</v>
      </c>
      <c r="V881" s="751">
        <f t="shared" si="121"/>
        <v>151200</v>
      </c>
      <c r="W881" s="752">
        <v>55.7</v>
      </c>
      <c r="X881" s="609">
        <f t="shared" si="122"/>
        <v>187152</v>
      </c>
      <c r="Y881" s="703">
        <f t="shared" si="123"/>
        <v>151200</v>
      </c>
      <c r="Z881" s="752">
        <v>55.7</v>
      </c>
      <c r="AA881" s="609">
        <f t="shared" si="124"/>
        <v>187152</v>
      </c>
      <c r="AB881" s="753">
        <f t="shared" si="125"/>
        <v>151200</v>
      </c>
      <c r="AC881" s="714"/>
    </row>
    <row r="882" spans="1:29" x14ac:dyDescent="0.25">
      <c r="A882" s="713"/>
      <c r="B882" s="731" t="s">
        <v>1207</v>
      </c>
      <c r="C882" s="547" t="s">
        <v>40</v>
      </c>
      <c r="D882" s="547" t="s">
        <v>1203</v>
      </c>
      <c r="E882" s="683">
        <v>44593</v>
      </c>
      <c r="F882" s="547">
        <v>672</v>
      </c>
      <c r="G882" s="547" t="s">
        <v>59</v>
      </c>
      <c r="H882" s="547" t="s">
        <v>5</v>
      </c>
      <c r="I882" s="547" t="s">
        <v>44</v>
      </c>
      <c r="J882" s="547" t="s">
        <v>85</v>
      </c>
      <c r="K882" s="547">
        <v>45</v>
      </c>
      <c r="L882" s="727" t="s">
        <v>92</v>
      </c>
      <c r="M882" s="697">
        <v>0</v>
      </c>
      <c r="N882" s="727">
        <v>15</v>
      </c>
      <c r="O882" s="697">
        <v>0</v>
      </c>
      <c r="P882" s="727">
        <v>100.7</v>
      </c>
      <c r="Q882" s="750">
        <f t="shared" si="117"/>
        <v>0</v>
      </c>
      <c r="R882" s="608">
        <f t="shared" si="118"/>
        <v>1015056</v>
      </c>
      <c r="S882" s="751">
        <f t="shared" si="119"/>
        <v>1015056</v>
      </c>
      <c r="T882" s="750">
        <v>55.7</v>
      </c>
      <c r="U882" s="608">
        <f t="shared" si="120"/>
        <v>561456</v>
      </c>
      <c r="V882" s="751">
        <f t="shared" si="121"/>
        <v>453600</v>
      </c>
      <c r="W882" s="752">
        <v>55.7</v>
      </c>
      <c r="X882" s="609">
        <f t="shared" si="122"/>
        <v>561456</v>
      </c>
      <c r="Y882" s="703">
        <f t="shared" si="123"/>
        <v>453600</v>
      </c>
      <c r="Z882" s="752">
        <v>55.7</v>
      </c>
      <c r="AA882" s="609">
        <f t="shared" si="124"/>
        <v>561456</v>
      </c>
      <c r="AB882" s="753">
        <f t="shared" si="125"/>
        <v>453600</v>
      </c>
      <c r="AC882" s="714"/>
    </row>
    <row r="883" spans="1:29" x14ac:dyDescent="0.25">
      <c r="A883" s="713"/>
      <c r="B883" s="731" t="s">
        <v>1209</v>
      </c>
      <c r="C883" s="547" t="s">
        <v>40</v>
      </c>
      <c r="D883" s="547" t="s">
        <v>1202</v>
      </c>
      <c r="E883" s="683">
        <v>44593</v>
      </c>
      <c r="F883" s="547">
        <v>672</v>
      </c>
      <c r="G883" s="547" t="s">
        <v>59</v>
      </c>
      <c r="H883" s="547" t="s">
        <v>5</v>
      </c>
      <c r="I883" s="547" t="s">
        <v>44</v>
      </c>
      <c r="J883" s="547" t="s">
        <v>85</v>
      </c>
      <c r="K883" s="547">
        <v>45</v>
      </c>
      <c r="L883" s="727" t="s">
        <v>92</v>
      </c>
      <c r="M883" s="697">
        <v>0</v>
      </c>
      <c r="N883" s="727">
        <v>23</v>
      </c>
      <c r="O883" s="697">
        <v>0</v>
      </c>
      <c r="P883" s="727">
        <v>100.7</v>
      </c>
      <c r="Q883" s="750">
        <f t="shared" si="117"/>
        <v>0</v>
      </c>
      <c r="R883" s="608">
        <f t="shared" si="118"/>
        <v>1556419.2</v>
      </c>
      <c r="S883" s="751">
        <f t="shared" si="119"/>
        <v>1556419.2</v>
      </c>
      <c r="T883" s="750">
        <v>55.7</v>
      </c>
      <c r="U883" s="608">
        <f t="shared" si="120"/>
        <v>860899.20000000007</v>
      </c>
      <c r="V883" s="751">
        <f t="shared" si="121"/>
        <v>695519.99999999988</v>
      </c>
      <c r="W883" s="752">
        <v>55.7</v>
      </c>
      <c r="X883" s="609">
        <f t="shared" si="122"/>
        <v>860899.20000000007</v>
      </c>
      <c r="Y883" s="703">
        <f t="shared" si="123"/>
        <v>695519.99999999988</v>
      </c>
      <c r="Z883" s="752">
        <v>55.7</v>
      </c>
      <c r="AA883" s="609">
        <f t="shared" si="124"/>
        <v>860899.20000000007</v>
      </c>
      <c r="AB883" s="753">
        <f t="shared" si="125"/>
        <v>695519.99999999988</v>
      </c>
      <c r="AC883" s="714"/>
    </row>
    <row r="884" spans="1:29" x14ac:dyDescent="0.25">
      <c r="A884" s="713"/>
      <c r="B884" s="731" t="s">
        <v>1219</v>
      </c>
      <c r="C884" s="547" t="s">
        <v>40</v>
      </c>
      <c r="D884" s="547" t="s">
        <v>967</v>
      </c>
      <c r="E884" s="683">
        <v>44621</v>
      </c>
      <c r="F884" s="547">
        <v>744</v>
      </c>
      <c r="G884" s="547" t="s">
        <v>59</v>
      </c>
      <c r="H884" s="547" t="s">
        <v>3</v>
      </c>
      <c r="I884" s="547" t="s">
        <v>44</v>
      </c>
      <c r="J884" s="547" t="s">
        <v>85</v>
      </c>
      <c r="K884" s="547">
        <v>60.05</v>
      </c>
      <c r="L884" s="727" t="s">
        <v>54</v>
      </c>
      <c r="M884" s="697">
        <v>0</v>
      </c>
      <c r="N884" s="727">
        <v>3.5</v>
      </c>
      <c r="O884" s="697">
        <v>0</v>
      </c>
      <c r="P884" s="727">
        <v>60.05</v>
      </c>
      <c r="Q884" s="750">
        <f t="shared" si="117"/>
        <v>0</v>
      </c>
      <c r="R884" s="608">
        <f t="shared" si="118"/>
        <v>156370.19999999998</v>
      </c>
      <c r="S884" s="751">
        <f t="shared" si="119"/>
        <v>156370.19999999998</v>
      </c>
      <c r="T884" s="750">
        <v>55.7</v>
      </c>
      <c r="U884" s="608">
        <f t="shared" si="120"/>
        <v>145042.80000000002</v>
      </c>
      <c r="V884" s="751">
        <f t="shared" si="121"/>
        <v>11327.399999999965</v>
      </c>
      <c r="W884" s="752">
        <v>55.7</v>
      </c>
      <c r="X884" s="609">
        <f t="shared" si="122"/>
        <v>145042.80000000002</v>
      </c>
      <c r="Y884" s="703">
        <f t="shared" si="123"/>
        <v>11327.399999999965</v>
      </c>
      <c r="Z884" s="752">
        <v>55.7</v>
      </c>
      <c r="AA884" s="609">
        <f t="shared" si="124"/>
        <v>145042.80000000002</v>
      </c>
      <c r="AB884" s="753">
        <f t="shared" si="125"/>
        <v>11327.399999999965</v>
      </c>
      <c r="AC884" s="714"/>
    </row>
    <row r="885" spans="1:29" x14ac:dyDescent="0.25">
      <c r="A885" s="713"/>
      <c r="B885" s="731" t="s">
        <v>1221</v>
      </c>
      <c r="C885" s="547" t="s">
        <v>40</v>
      </c>
      <c r="D885" s="547" t="s">
        <v>348</v>
      </c>
      <c r="E885" s="683">
        <v>44713</v>
      </c>
      <c r="F885" s="547">
        <v>720</v>
      </c>
      <c r="G885" s="547" t="s">
        <v>59</v>
      </c>
      <c r="H885" s="547" t="s">
        <v>3</v>
      </c>
      <c r="I885" s="547" t="s">
        <v>44</v>
      </c>
      <c r="J885" s="547" t="s">
        <v>85</v>
      </c>
      <c r="K885" s="547">
        <v>124</v>
      </c>
      <c r="L885" s="727" t="s">
        <v>54</v>
      </c>
      <c r="M885" s="697">
        <v>0</v>
      </c>
      <c r="N885" s="727">
        <v>5</v>
      </c>
      <c r="O885" s="697">
        <v>0</v>
      </c>
      <c r="P885" s="727">
        <v>124</v>
      </c>
      <c r="Q885" s="750">
        <f t="shared" si="117"/>
        <v>0</v>
      </c>
      <c r="R885" s="608">
        <f t="shared" si="118"/>
        <v>446400</v>
      </c>
      <c r="S885" s="751">
        <f t="shared" si="119"/>
        <v>446400</v>
      </c>
      <c r="T885" s="750">
        <v>55.71</v>
      </c>
      <c r="U885" s="608">
        <f t="shared" si="120"/>
        <v>200556</v>
      </c>
      <c r="V885" s="751">
        <f t="shared" si="121"/>
        <v>245844</v>
      </c>
      <c r="W885" s="752">
        <v>55.71</v>
      </c>
      <c r="X885" s="609">
        <f t="shared" si="122"/>
        <v>200556</v>
      </c>
      <c r="Y885" s="703">
        <f t="shared" si="123"/>
        <v>245844</v>
      </c>
      <c r="Z885" s="752">
        <v>55.71</v>
      </c>
      <c r="AA885" s="609">
        <f t="shared" si="124"/>
        <v>200556</v>
      </c>
      <c r="AB885" s="753">
        <f t="shared" si="125"/>
        <v>245844</v>
      </c>
      <c r="AC885" s="714"/>
    </row>
    <row r="886" spans="1:29" x14ac:dyDescent="0.25">
      <c r="A886" s="713"/>
      <c r="B886" s="731" t="s">
        <v>1223</v>
      </c>
      <c r="C886" s="547" t="s">
        <v>40</v>
      </c>
      <c r="D886" s="547" t="s">
        <v>348</v>
      </c>
      <c r="E886" s="683">
        <v>44682</v>
      </c>
      <c r="F886" s="547">
        <v>744</v>
      </c>
      <c r="G886" s="547" t="s">
        <v>59</v>
      </c>
      <c r="H886" s="547" t="s">
        <v>3</v>
      </c>
      <c r="I886" s="547" t="s">
        <v>44</v>
      </c>
      <c r="J886" s="547" t="s">
        <v>85</v>
      </c>
      <c r="K886" s="547">
        <v>88</v>
      </c>
      <c r="L886" s="727" t="s">
        <v>54</v>
      </c>
      <c r="M886" s="697">
        <v>0</v>
      </c>
      <c r="N886" s="727">
        <v>5</v>
      </c>
      <c r="O886" s="697">
        <v>0</v>
      </c>
      <c r="P886" s="727">
        <v>88</v>
      </c>
      <c r="Q886" s="750">
        <f t="shared" si="117"/>
        <v>0</v>
      </c>
      <c r="R886" s="608">
        <f t="shared" si="118"/>
        <v>327360</v>
      </c>
      <c r="S886" s="751">
        <f t="shared" si="119"/>
        <v>327360</v>
      </c>
      <c r="T886" s="750">
        <v>55.7</v>
      </c>
      <c r="U886" s="608">
        <f t="shared" si="120"/>
        <v>207204</v>
      </c>
      <c r="V886" s="751">
        <f t="shared" si="121"/>
        <v>120156</v>
      </c>
      <c r="W886" s="752">
        <v>55.7</v>
      </c>
      <c r="X886" s="609">
        <f t="shared" si="122"/>
        <v>207204</v>
      </c>
      <c r="Y886" s="703">
        <f t="shared" si="123"/>
        <v>120156</v>
      </c>
      <c r="Z886" s="752">
        <v>55.7</v>
      </c>
      <c r="AA886" s="609">
        <f t="shared" si="124"/>
        <v>207204</v>
      </c>
      <c r="AB886" s="753">
        <f t="shared" si="125"/>
        <v>120156</v>
      </c>
      <c r="AC886" s="714"/>
    </row>
    <row r="887" spans="1:29" x14ac:dyDescent="0.25">
      <c r="A887" s="713"/>
      <c r="B887" s="731" t="s">
        <v>1225</v>
      </c>
      <c r="C887" s="547" t="s">
        <v>40</v>
      </c>
      <c r="D887" s="547" t="s">
        <v>349</v>
      </c>
      <c r="E887" s="683">
        <v>44652</v>
      </c>
      <c r="F887" s="547">
        <v>720</v>
      </c>
      <c r="G887" s="547" t="s">
        <v>59</v>
      </c>
      <c r="H887" s="547" t="s">
        <v>3</v>
      </c>
      <c r="I887" s="547" t="s">
        <v>44</v>
      </c>
      <c r="J887" s="547" t="s">
        <v>85</v>
      </c>
      <c r="K887" s="547">
        <v>75.5</v>
      </c>
      <c r="L887" s="727" t="s">
        <v>54</v>
      </c>
      <c r="M887" s="697">
        <v>0</v>
      </c>
      <c r="N887" s="727">
        <v>5</v>
      </c>
      <c r="O887" s="697">
        <v>0</v>
      </c>
      <c r="P887" s="727">
        <v>75.5</v>
      </c>
      <c r="Q887" s="750">
        <f t="shared" si="117"/>
        <v>0</v>
      </c>
      <c r="R887" s="608">
        <f t="shared" si="118"/>
        <v>271800</v>
      </c>
      <c r="S887" s="751">
        <f t="shared" si="119"/>
        <v>271800</v>
      </c>
      <c r="T887" s="750">
        <v>55.7</v>
      </c>
      <c r="U887" s="608">
        <f t="shared" si="120"/>
        <v>200520</v>
      </c>
      <c r="V887" s="751">
        <f t="shared" si="121"/>
        <v>71280</v>
      </c>
      <c r="W887" s="752">
        <v>55.7</v>
      </c>
      <c r="X887" s="609">
        <f t="shared" si="122"/>
        <v>200520</v>
      </c>
      <c r="Y887" s="703">
        <f t="shared" si="123"/>
        <v>71280</v>
      </c>
      <c r="Z887" s="752">
        <v>55.7</v>
      </c>
      <c r="AA887" s="609">
        <f t="shared" si="124"/>
        <v>200520</v>
      </c>
      <c r="AB887" s="753">
        <f t="shared" si="125"/>
        <v>71280</v>
      </c>
      <c r="AC887" s="714"/>
    </row>
    <row r="888" spans="1:29" x14ac:dyDescent="0.25">
      <c r="A888" s="713"/>
      <c r="B888" s="730" t="s">
        <v>1227</v>
      </c>
      <c r="C888" s="546" t="s">
        <v>40</v>
      </c>
      <c r="D888" s="546" t="s">
        <v>1195</v>
      </c>
      <c r="E888" s="682">
        <v>44743</v>
      </c>
      <c r="F888" s="546">
        <v>744</v>
      </c>
      <c r="G888" s="546" t="s">
        <v>59</v>
      </c>
      <c r="H888" s="546" t="s">
        <v>3</v>
      </c>
      <c r="I888" s="546" t="s">
        <v>44</v>
      </c>
      <c r="J888" s="546" t="s">
        <v>85</v>
      </c>
      <c r="K888" s="546">
        <v>183</v>
      </c>
      <c r="L888" s="726" t="s">
        <v>54</v>
      </c>
      <c r="M888" s="696">
        <v>0</v>
      </c>
      <c r="N888" s="726">
        <v>5</v>
      </c>
      <c r="O888" s="696">
        <v>0</v>
      </c>
      <c r="P888" s="726">
        <v>183</v>
      </c>
      <c r="Q888" s="746">
        <f t="shared" si="117"/>
        <v>0</v>
      </c>
      <c r="R888" s="606">
        <f t="shared" si="118"/>
        <v>680760</v>
      </c>
      <c r="S888" s="747">
        <f t="shared" si="119"/>
        <v>680760</v>
      </c>
      <c r="T888" s="746">
        <v>66.319999999999993</v>
      </c>
      <c r="U888" s="606">
        <f t="shared" si="120"/>
        <v>246710.39999999997</v>
      </c>
      <c r="V888" s="747">
        <f t="shared" si="121"/>
        <v>434049.60000000003</v>
      </c>
      <c r="W888" s="748">
        <v>66.319999999999993</v>
      </c>
      <c r="X888" s="607">
        <f t="shared" si="122"/>
        <v>246710.39999999997</v>
      </c>
      <c r="Y888" s="702">
        <f t="shared" si="123"/>
        <v>434049.60000000003</v>
      </c>
      <c r="Z888" s="748">
        <v>66.319999999999993</v>
      </c>
      <c r="AA888" s="607">
        <f t="shared" si="124"/>
        <v>246710.39999999997</v>
      </c>
      <c r="AB888" s="749">
        <f t="shared" si="125"/>
        <v>434049.60000000003</v>
      </c>
      <c r="AC888" s="714"/>
    </row>
    <row r="889" spans="1:29" x14ac:dyDescent="0.25">
      <c r="A889" s="713"/>
      <c r="B889" s="714" t="s">
        <v>1227</v>
      </c>
      <c r="C889" s="676" t="s">
        <v>40</v>
      </c>
      <c r="D889" s="676" t="s">
        <v>1195</v>
      </c>
      <c r="E889" s="680">
        <v>44774</v>
      </c>
      <c r="F889" s="676">
        <v>744</v>
      </c>
      <c r="G889" s="676" t="s">
        <v>59</v>
      </c>
      <c r="H889" s="676" t="s">
        <v>3</v>
      </c>
      <c r="I889" s="676" t="s">
        <v>44</v>
      </c>
      <c r="J889" s="676" t="s">
        <v>85</v>
      </c>
      <c r="K889" s="676">
        <v>183</v>
      </c>
      <c r="L889" s="690" t="s">
        <v>54</v>
      </c>
      <c r="M889" s="691">
        <v>0</v>
      </c>
      <c r="N889" s="690">
        <v>5</v>
      </c>
      <c r="O889" s="691">
        <v>0</v>
      </c>
      <c r="P889" s="690">
        <v>183</v>
      </c>
      <c r="Q889" s="738">
        <f t="shared" si="117"/>
        <v>0</v>
      </c>
      <c r="R889" s="677">
        <f t="shared" si="118"/>
        <v>680760</v>
      </c>
      <c r="S889" s="739">
        <f t="shared" si="119"/>
        <v>680760</v>
      </c>
      <c r="T889" s="738">
        <v>76.900000000000006</v>
      </c>
      <c r="U889" s="677">
        <f t="shared" si="120"/>
        <v>286068</v>
      </c>
      <c r="V889" s="739">
        <f t="shared" si="121"/>
        <v>394692</v>
      </c>
      <c r="W889" s="740">
        <v>76.900000000000006</v>
      </c>
      <c r="X889" s="678">
        <f t="shared" si="122"/>
        <v>286068</v>
      </c>
      <c r="Y889" s="700">
        <f t="shared" si="123"/>
        <v>394692</v>
      </c>
      <c r="Z889" s="740">
        <v>76.900000000000006</v>
      </c>
      <c r="AA889" s="678">
        <f t="shared" si="124"/>
        <v>286068</v>
      </c>
      <c r="AB889" s="741">
        <f t="shared" si="125"/>
        <v>394692</v>
      </c>
      <c r="AC889" s="714"/>
    </row>
    <row r="890" spans="1:29" x14ac:dyDescent="0.25">
      <c r="A890" s="713"/>
      <c r="B890" s="714" t="s">
        <v>1227</v>
      </c>
      <c r="C890" s="676" t="s">
        <v>40</v>
      </c>
      <c r="D890" s="676" t="s">
        <v>1195</v>
      </c>
      <c r="E890" s="680">
        <v>44805</v>
      </c>
      <c r="F890" s="676">
        <v>720</v>
      </c>
      <c r="G890" s="676" t="s">
        <v>59</v>
      </c>
      <c r="H890" s="676" t="s">
        <v>3</v>
      </c>
      <c r="I890" s="676" t="s">
        <v>44</v>
      </c>
      <c r="J890" s="676" t="s">
        <v>85</v>
      </c>
      <c r="K890" s="676">
        <v>183</v>
      </c>
      <c r="L890" s="690" t="s">
        <v>54</v>
      </c>
      <c r="M890" s="691">
        <v>0</v>
      </c>
      <c r="N890" s="690">
        <v>5</v>
      </c>
      <c r="O890" s="691">
        <v>0</v>
      </c>
      <c r="P890" s="690">
        <v>183</v>
      </c>
      <c r="Q890" s="738">
        <f t="shared" si="117"/>
        <v>0</v>
      </c>
      <c r="R890" s="677">
        <f t="shared" si="118"/>
        <v>658800</v>
      </c>
      <c r="S890" s="739">
        <f t="shared" si="119"/>
        <v>658800</v>
      </c>
      <c r="T890" s="738">
        <v>56.08</v>
      </c>
      <c r="U890" s="677">
        <f t="shared" si="120"/>
        <v>201888</v>
      </c>
      <c r="V890" s="739">
        <f t="shared" si="121"/>
        <v>456912</v>
      </c>
      <c r="W890" s="740">
        <v>56.08</v>
      </c>
      <c r="X890" s="678">
        <f t="shared" si="122"/>
        <v>201888</v>
      </c>
      <c r="Y890" s="700">
        <f t="shared" si="123"/>
        <v>456912</v>
      </c>
      <c r="Z890" s="740">
        <v>56.08</v>
      </c>
      <c r="AA890" s="678">
        <f t="shared" si="124"/>
        <v>201888</v>
      </c>
      <c r="AB890" s="741">
        <f t="shared" si="125"/>
        <v>456912</v>
      </c>
      <c r="AC890" s="714"/>
    </row>
    <row r="891" spans="1:29" x14ac:dyDescent="0.25">
      <c r="A891" s="713"/>
      <c r="B891" s="714" t="s">
        <v>1227</v>
      </c>
      <c r="C891" s="676" t="s">
        <v>40</v>
      </c>
      <c r="D891" s="676" t="s">
        <v>1195</v>
      </c>
      <c r="E891" s="680">
        <v>44835</v>
      </c>
      <c r="F891" s="676">
        <v>744</v>
      </c>
      <c r="G891" s="676" t="s">
        <v>59</v>
      </c>
      <c r="H891" s="676" t="s">
        <v>3</v>
      </c>
      <c r="I891" s="676" t="s">
        <v>44</v>
      </c>
      <c r="J891" s="676" t="s">
        <v>85</v>
      </c>
      <c r="K891" s="676">
        <v>183</v>
      </c>
      <c r="L891" s="690" t="s">
        <v>54</v>
      </c>
      <c r="M891" s="691">
        <v>0</v>
      </c>
      <c r="N891" s="690">
        <v>5</v>
      </c>
      <c r="O891" s="691">
        <v>0</v>
      </c>
      <c r="P891" s="690">
        <v>183</v>
      </c>
      <c r="Q891" s="738">
        <f t="shared" si="117"/>
        <v>0</v>
      </c>
      <c r="R891" s="677">
        <f t="shared" si="118"/>
        <v>680760</v>
      </c>
      <c r="S891" s="739">
        <f t="shared" si="119"/>
        <v>680760</v>
      </c>
      <c r="T891" s="738">
        <v>55.7</v>
      </c>
      <c r="U891" s="677">
        <f t="shared" si="120"/>
        <v>207204</v>
      </c>
      <c r="V891" s="739">
        <f t="shared" si="121"/>
        <v>473556</v>
      </c>
      <c r="W891" s="740">
        <v>55.7</v>
      </c>
      <c r="X891" s="678">
        <f t="shared" si="122"/>
        <v>207204</v>
      </c>
      <c r="Y891" s="700">
        <f t="shared" si="123"/>
        <v>473556</v>
      </c>
      <c r="Z891" s="740">
        <v>55.7</v>
      </c>
      <c r="AA891" s="678">
        <f t="shared" si="124"/>
        <v>207204</v>
      </c>
      <c r="AB891" s="741">
        <f t="shared" si="125"/>
        <v>473556</v>
      </c>
      <c r="AC891" s="714"/>
    </row>
    <row r="892" spans="1:29" x14ac:dyDescent="0.25">
      <c r="A892" s="713"/>
      <c r="B892" s="714" t="s">
        <v>1227</v>
      </c>
      <c r="C892" s="676" t="s">
        <v>40</v>
      </c>
      <c r="D892" s="676" t="s">
        <v>1195</v>
      </c>
      <c r="E892" s="680">
        <v>44866</v>
      </c>
      <c r="F892" s="676">
        <v>720</v>
      </c>
      <c r="G892" s="676" t="s">
        <v>59</v>
      </c>
      <c r="H892" s="676" t="s">
        <v>3</v>
      </c>
      <c r="I892" s="676" t="s">
        <v>44</v>
      </c>
      <c r="J892" s="676" t="s">
        <v>85</v>
      </c>
      <c r="K892" s="676">
        <v>183</v>
      </c>
      <c r="L892" s="690" t="s">
        <v>54</v>
      </c>
      <c r="M892" s="691">
        <v>0</v>
      </c>
      <c r="N892" s="690">
        <v>5</v>
      </c>
      <c r="O892" s="691">
        <v>0</v>
      </c>
      <c r="P892" s="690">
        <v>183</v>
      </c>
      <c r="Q892" s="738">
        <f t="shared" si="117"/>
        <v>0</v>
      </c>
      <c r="R892" s="677">
        <f t="shared" si="118"/>
        <v>658800</v>
      </c>
      <c r="S892" s="739">
        <f t="shared" si="119"/>
        <v>658800</v>
      </c>
      <c r="T892" s="738">
        <v>55.7</v>
      </c>
      <c r="U892" s="677">
        <f t="shared" si="120"/>
        <v>200520</v>
      </c>
      <c r="V892" s="739">
        <f t="shared" si="121"/>
        <v>458280</v>
      </c>
      <c r="W892" s="740">
        <v>55.7</v>
      </c>
      <c r="X892" s="678">
        <f t="shared" si="122"/>
        <v>200520</v>
      </c>
      <c r="Y892" s="700">
        <f t="shared" si="123"/>
        <v>458280</v>
      </c>
      <c r="Z892" s="740">
        <v>55.7</v>
      </c>
      <c r="AA892" s="678">
        <f t="shared" si="124"/>
        <v>200520</v>
      </c>
      <c r="AB892" s="741">
        <f t="shared" si="125"/>
        <v>458280</v>
      </c>
      <c r="AC892" s="714"/>
    </row>
    <row r="893" spans="1:29" x14ac:dyDescent="0.25">
      <c r="A893" s="713"/>
      <c r="B893" s="729" t="s">
        <v>1227</v>
      </c>
      <c r="C893" s="545" t="s">
        <v>40</v>
      </c>
      <c r="D893" s="545" t="s">
        <v>1195</v>
      </c>
      <c r="E893" s="681">
        <v>44896</v>
      </c>
      <c r="F893" s="545">
        <v>744</v>
      </c>
      <c r="G893" s="545" t="s">
        <v>59</v>
      </c>
      <c r="H893" s="545" t="s">
        <v>3</v>
      </c>
      <c r="I893" s="545" t="s">
        <v>44</v>
      </c>
      <c r="J893" s="545" t="s">
        <v>85</v>
      </c>
      <c r="K893" s="545">
        <v>183</v>
      </c>
      <c r="L893" s="725" t="s">
        <v>54</v>
      </c>
      <c r="M893" s="695">
        <v>0</v>
      </c>
      <c r="N893" s="725">
        <v>5</v>
      </c>
      <c r="O893" s="695">
        <v>0</v>
      </c>
      <c r="P893" s="725">
        <v>183</v>
      </c>
      <c r="Q893" s="742">
        <f t="shared" si="117"/>
        <v>0</v>
      </c>
      <c r="R893" s="603">
        <f t="shared" si="118"/>
        <v>680760</v>
      </c>
      <c r="S893" s="743">
        <f t="shared" si="119"/>
        <v>680760</v>
      </c>
      <c r="T893" s="742">
        <v>55.7</v>
      </c>
      <c r="U893" s="603">
        <f t="shared" si="120"/>
        <v>207204</v>
      </c>
      <c r="V893" s="743">
        <f t="shared" si="121"/>
        <v>473556</v>
      </c>
      <c r="W893" s="744">
        <v>55.7</v>
      </c>
      <c r="X893" s="604">
        <f t="shared" si="122"/>
        <v>207204</v>
      </c>
      <c r="Y893" s="701">
        <f t="shared" si="123"/>
        <v>473556</v>
      </c>
      <c r="Z893" s="744">
        <v>78.400653594793155</v>
      </c>
      <c r="AA893" s="604">
        <f t="shared" si="124"/>
        <v>291650.43137263053</v>
      </c>
      <c r="AB893" s="745">
        <f t="shared" si="125"/>
        <v>389109.56862736947</v>
      </c>
      <c r="AC893" s="714"/>
    </row>
    <row r="894" spans="1:29" x14ac:dyDescent="0.25">
      <c r="A894" s="713"/>
      <c r="B894" s="731" t="s">
        <v>1229</v>
      </c>
      <c r="C894" s="547" t="s">
        <v>40</v>
      </c>
      <c r="D894" s="547" t="s">
        <v>1000</v>
      </c>
      <c r="E894" s="683">
        <v>44593</v>
      </c>
      <c r="F894" s="547">
        <v>672</v>
      </c>
      <c r="G894" s="547" t="s">
        <v>59</v>
      </c>
      <c r="H894" s="547" t="s">
        <v>3</v>
      </c>
      <c r="I894" s="547" t="s">
        <v>44</v>
      </c>
      <c r="J894" s="547" t="s">
        <v>85</v>
      </c>
      <c r="K894" s="547">
        <v>2</v>
      </c>
      <c r="L894" s="727" t="s">
        <v>92</v>
      </c>
      <c r="M894" s="697">
        <v>0</v>
      </c>
      <c r="N894" s="727">
        <v>3</v>
      </c>
      <c r="O894" s="697">
        <v>0</v>
      </c>
      <c r="P894" s="727">
        <v>57.7</v>
      </c>
      <c r="Q894" s="750">
        <f t="shared" si="117"/>
        <v>0</v>
      </c>
      <c r="R894" s="608">
        <f t="shared" si="118"/>
        <v>116323.20000000001</v>
      </c>
      <c r="S894" s="751">
        <f t="shared" si="119"/>
        <v>116323.20000000001</v>
      </c>
      <c r="T894" s="750">
        <v>55.7</v>
      </c>
      <c r="U894" s="608">
        <f t="shared" si="120"/>
        <v>112291.20000000001</v>
      </c>
      <c r="V894" s="751">
        <f t="shared" si="121"/>
        <v>4032</v>
      </c>
      <c r="W894" s="752">
        <v>55.7</v>
      </c>
      <c r="X894" s="609">
        <f t="shared" si="122"/>
        <v>112291.20000000001</v>
      </c>
      <c r="Y894" s="703">
        <f t="shared" si="123"/>
        <v>4032</v>
      </c>
      <c r="Z894" s="752">
        <v>55.7</v>
      </c>
      <c r="AA894" s="609">
        <f t="shared" si="124"/>
        <v>112291.20000000001</v>
      </c>
      <c r="AB894" s="753">
        <f t="shared" si="125"/>
        <v>4032</v>
      </c>
      <c r="AC894" s="714"/>
    </row>
    <row r="895" spans="1:29" x14ac:dyDescent="0.25">
      <c r="A895" s="713"/>
      <c r="B895" s="731" t="s">
        <v>1231</v>
      </c>
      <c r="C895" s="547" t="s">
        <v>40</v>
      </c>
      <c r="D895" s="547" t="s">
        <v>945</v>
      </c>
      <c r="E895" s="683">
        <v>44652</v>
      </c>
      <c r="F895" s="547">
        <v>720</v>
      </c>
      <c r="G895" s="547" t="s">
        <v>59</v>
      </c>
      <c r="H895" s="547" t="s">
        <v>3</v>
      </c>
      <c r="I895" s="547" t="s">
        <v>44</v>
      </c>
      <c r="J895" s="547" t="s">
        <v>85</v>
      </c>
      <c r="K895" s="547">
        <v>75</v>
      </c>
      <c r="L895" s="727" t="s">
        <v>54</v>
      </c>
      <c r="M895" s="697">
        <v>0</v>
      </c>
      <c r="N895" s="727">
        <v>5</v>
      </c>
      <c r="O895" s="697">
        <v>0</v>
      </c>
      <c r="P895" s="727">
        <v>75</v>
      </c>
      <c r="Q895" s="750">
        <f t="shared" si="117"/>
        <v>0</v>
      </c>
      <c r="R895" s="608">
        <f t="shared" si="118"/>
        <v>270000</v>
      </c>
      <c r="S895" s="751">
        <f t="shared" si="119"/>
        <v>270000</v>
      </c>
      <c r="T895" s="750">
        <v>55.7</v>
      </c>
      <c r="U895" s="608">
        <f t="shared" si="120"/>
        <v>200520</v>
      </c>
      <c r="V895" s="751">
        <f t="shared" si="121"/>
        <v>69480</v>
      </c>
      <c r="W895" s="752">
        <v>55.7</v>
      </c>
      <c r="X895" s="609">
        <f t="shared" si="122"/>
        <v>200520</v>
      </c>
      <c r="Y895" s="703">
        <f t="shared" si="123"/>
        <v>69480</v>
      </c>
      <c r="Z895" s="752">
        <v>55.7</v>
      </c>
      <c r="AA895" s="609">
        <f t="shared" si="124"/>
        <v>200520</v>
      </c>
      <c r="AB895" s="753">
        <f t="shared" si="125"/>
        <v>69480</v>
      </c>
      <c r="AC895" s="714"/>
    </row>
    <row r="896" spans="1:29" x14ac:dyDescent="0.25">
      <c r="A896" s="713"/>
      <c r="B896" s="731" t="s">
        <v>1233</v>
      </c>
      <c r="C896" s="547" t="s">
        <v>40</v>
      </c>
      <c r="D896" s="547" t="s">
        <v>585</v>
      </c>
      <c r="E896" s="683">
        <v>44652</v>
      </c>
      <c r="F896" s="547">
        <v>720</v>
      </c>
      <c r="G896" s="547" t="s">
        <v>59</v>
      </c>
      <c r="H896" s="547" t="s">
        <v>3</v>
      </c>
      <c r="I896" s="547" t="s">
        <v>44</v>
      </c>
      <c r="J896" s="547" t="s">
        <v>85</v>
      </c>
      <c r="K896" s="547">
        <v>75</v>
      </c>
      <c r="L896" s="727" t="s">
        <v>54</v>
      </c>
      <c r="M896" s="697">
        <v>0</v>
      </c>
      <c r="N896" s="727">
        <v>12</v>
      </c>
      <c r="O896" s="697">
        <v>0</v>
      </c>
      <c r="P896" s="727">
        <v>75</v>
      </c>
      <c r="Q896" s="750">
        <f t="shared" si="117"/>
        <v>0</v>
      </c>
      <c r="R896" s="608">
        <f t="shared" si="118"/>
        <v>648000</v>
      </c>
      <c r="S896" s="751">
        <f t="shared" si="119"/>
        <v>648000</v>
      </c>
      <c r="T896" s="750">
        <v>55.7</v>
      </c>
      <c r="U896" s="608">
        <f t="shared" si="120"/>
        <v>481248</v>
      </c>
      <c r="V896" s="751">
        <f t="shared" si="121"/>
        <v>166752</v>
      </c>
      <c r="W896" s="752">
        <v>55.7</v>
      </c>
      <c r="X896" s="609">
        <f t="shared" si="122"/>
        <v>481248</v>
      </c>
      <c r="Y896" s="703">
        <f t="shared" si="123"/>
        <v>166752</v>
      </c>
      <c r="Z896" s="752">
        <v>55.7</v>
      </c>
      <c r="AA896" s="609">
        <f t="shared" si="124"/>
        <v>481248</v>
      </c>
      <c r="AB896" s="753">
        <f t="shared" si="125"/>
        <v>166752</v>
      </c>
      <c r="AC896" s="714"/>
    </row>
    <row r="897" spans="1:29" x14ac:dyDescent="0.25">
      <c r="A897" s="713"/>
      <c r="B897" s="731" t="s">
        <v>1236</v>
      </c>
      <c r="C897" s="547" t="s">
        <v>40</v>
      </c>
      <c r="D897" s="547" t="s">
        <v>502</v>
      </c>
      <c r="E897" s="683">
        <v>44713</v>
      </c>
      <c r="F897" s="547">
        <v>720</v>
      </c>
      <c r="G897" s="547" t="s">
        <v>59</v>
      </c>
      <c r="H897" s="547" t="s">
        <v>3</v>
      </c>
      <c r="I897" s="547" t="s">
        <v>44</v>
      </c>
      <c r="J897" s="547" t="s">
        <v>85</v>
      </c>
      <c r="K897" s="547">
        <v>123</v>
      </c>
      <c r="L897" s="727" t="s">
        <v>54</v>
      </c>
      <c r="M897" s="697">
        <v>0</v>
      </c>
      <c r="N897" s="727">
        <v>3</v>
      </c>
      <c r="O897" s="697">
        <v>0</v>
      </c>
      <c r="P897" s="727">
        <v>123</v>
      </c>
      <c r="Q897" s="750">
        <f t="shared" si="117"/>
        <v>0</v>
      </c>
      <c r="R897" s="608">
        <f t="shared" si="118"/>
        <v>265680</v>
      </c>
      <c r="S897" s="751">
        <f t="shared" si="119"/>
        <v>265680</v>
      </c>
      <c r="T897" s="750">
        <v>55.71</v>
      </c>
      <c r="U897" s="608">
        <f t="shared" si="120"/>
        <v>120333.6</v>
      </c>
      <c r="V897" s="751">
        <f t="shared" si="121"/>
        <v>145346.4</v>
      </c>
      <c r="W897" s="752">
        <v>55.71</v>
      </c>
      <c r="X897" s="609">
        <f t="shared" si="122"/>
        <v>120333.6</v>
      </c>
      <c r="Y897" s="703">
        <f t="shared" si="123"/>
        <v>145346.4</v>
      </c>
      <c r="Z897" s="752">
        <v>55.71</v>
      </c>
      <c r="AA897" s="609">
        <f t="shared" si="124"/>
        <v>120333.6</v>
      </c>
      <c r="AB897" s="753">
        <f t="shared" si="125"/>
        <v>145346.4</v>
      </c>
      <c r="AC897" s="714"/>
    </row>
    <row r="898" spans="1:29" x14ac:dyDescent="0.25">
      <c r="A898" s="713"/>
      <c r="B898" s="731" t="s">
        <v>1251</v>
      </c>
      <c r="C898" s="547" t="s">
        <v>40</v>
      </c>
      <c r="D898" s="547" t="s">
        <v>464</v>
      </c>
      <c r="E898" s="683">
        <v>44593</v>
      </c>
      <c r="F898" s="547">
        <v>672</v>
      </c>
      <c r="G898" s="547" t="s">
        <v>59</v>
      </c>
      <c r="H898" s="547" t="s">
        <v>6</v>
      </c>
      <c r="I898" s="547" t="s">
        <v>44</v>
      </c>
      <c r="J898" s="547" t="s">
        <v>85</v>
      </c>
      <c r="K898" s="547">
        <v>201</v>
      </c>
      <c r="L898" s="727" t="s">
        <v>92</v>
      </c>
      <c r="M898" s="697">
        <v>0</v>
      </c>
      <c r="N898" s="727">
        <v>0.5</v>
      </c>
      <c r="O898" s="697">
        <v>0</v>
      </c>
      <c r="P898" s="727">
        <v>256.7</v>
      </c>
      <c r="Q898" s="750">
        <f t="shared" si="117"/>
        <v>0</v>
      </c>
      <c r="R898" s="608">
        <f t="shared" si="118"/>
        <v>86251.199999999997</v>
      </c>
      <c r="S898" s="751">
        <f t="shared" si="119"/>
        <v>86251.199999999997</v>
      </c>
      <c r="T898" s="750">
        <v>55.7</v>
      </c>
      <c r="U898" s="608">
        <f t="shared" si="120"/>
        <v>18715.2</v>
      </c>
      <c r="V898" s="751">
        <f t="shared" si="121"/>
        <v>67536</v>
      </c>
      <c r="W898" s="752">
        <v>55.7</v>
      </c>
      <c r="X898" s="609">
        <f t="shared" si="122"/>
        <v>18715.2</v>
      </c>
      <c r="Y898" s="703">
        <f t="shared" si="123"/>
        <v>67536</v>
      </c>
      <c r="Z898" s="752">
        <v>55.7</v>
      </c>
      <c r="AA898" s="609">
        <f t="shared" si="124"/>
        <v>18715.2</v>
      </c>
      <c r="AB898" s="753">
        <f t="shared" si="125"/>
        <v>67536</v>
      </c>
      <c r="AC898" s="714"/>
    </row>
    <row r="899" spans="1:29" x14ac:dyDescent="0.25">
      <c r="A899" s="713"/>
      <c r="B899" s="731" t="s">
        <v>1253</v>
      </c>
      <c r="C899" s="547" t="s">
        <v>40</v>
      </c>
      <c r="D899" s="547" t="s">
        <v>349</v>
      </c>
      <c r="E899" s="683">
        <v>44593</v>
      </c>
      <c r="F899" s="547">
        <v>672</v>
      </c>
      <c r="G899" s="547" t="s">
        <v>59</v>
      </c>
      <c r="H899" s="547" t="s">
        <v>3</v>
      </c>
      <c r="I899" s="547" t="s">
        <v>44</v>
      </c>
      <c r="J899" s="547" t="s">
        <v>85</v>
      </c>
      <c r="K899" s="547">
        <v>1.3</v>
      </c>
      <c r="L899" s="727" t="s">
        <v>92</v>
      </c>
      <c r="M899" s="697">
        <v>0</v>
      </c>
      <c r="N899" s="727">
        <v>6</v>
      </c>
      <c r="O899" s="697">
        <v>0</v>
      </c>
      <c r="P899" s="727">
        <v>57</v>
      </c>
      <c r="Q899" s="750">
        <f t="shared" ref="Q899:Q962" si="126">(O899*(M899*F899))</f>
        <v>0</v>
      </c>
      <c r="R899" s="608">
        <f t="shared" ref="R899:R962" si="127">(P899*(N899*F899))</f>
        <v>229824</v>
      </c>
      <c r="S899" s="751">
        <f t="shared" ref="S899:S962" si="128">R899-Q899</f>
        <v>229824</v>
      </c>
      <c r="T899" s="750">
        <v>55.7</v>
      </c>
      <c r="U899" s="608">
        <f t="shared" ref="U899:U962" si="129">(((F899*N899)*T899)-(T899*(M899*F899)))</f>
        <v>224582.40000000002</v>
      </c>
      <c r="V899" s="751">
        <f t="shared" ref="V899:V962" si="130">S899-U899</f>
        <v>5241.5999999999767</v>
      </c>
      <c r="W899" s="752">
        <v>55.7</v>
      </c>
      <c r="X899" s="609">
        <f t="shared" ref="X899:X962" si="131">(((F899*N899)*W899)-(W899*(M899*F899)))</f>
        <v>224582.40000000002</v>
      </c>
      <c r="Y899" s="703">
        <f t="shared" ref="Y899:Y962" si="132">S899-X899</f>
        <v>5241.5999999999767</v>
      </c>
      <c r="Z899" s="752">
        <v>55.7</v>
      </c>
      <c r="AA899" s="609">
        <f t="shared" ref="AA899:AA962" si="133">(((F899*N899)*Z899)-(Z899*(M899*F899)))</f>
        <v>224582.40000000002</v>
      </c>
      <c r="AB899" s="753">
        <f t="shared" ref="AB899:AB962" si="134">S899-AA899</f>
        <v>5241.5999999999767</v>
      </c>
      <c r="AC899" s="714"/>
    </row>
    <row r="900" spans="1:29" x14ac:dyDescent="0.25">
      <c r="A900" s="713"/>
      <c r="B900" s="731" t="s">
        <v>1255</v>
      </c>
      <c r="C900" s="547" t="s">
        <v>40</v>
      </c>
      <c r="D900" s="547" t="s">
        <v>1249</v>
      </c>
      <c r="E900" s="683">
        <v>44593</v>
      </c>
      <c r="F900" s="547">
        <v>672</v>
      </c>
      <c r="G900" s="547" t="s">
        <v>59</v>
      </c>
      <c r="H900" s="547" t="s">
        <v>6</v>
      </c>
      <c r="I900" s="547" t="s">
        <v>44</v>
      </c>
      <c r="J900" s="547" t="s">
        <v>85</v>
      </c>
      <c r="K900" s="547">
        <v>202</v>
      </c>
      <c r="L900" s="727" t="s">
        <v>92</v>
      </c>
      <c r="M900" s="697">
        <v>0</v>
      </c>
      <c r="N900" s="727">
        <v>0.5</v>
      </c>
      <c r="O900" s="697">
        <v>0</v>
      </c>
      <c r="P900" s="727">
        <v>257.7</v>
      </c>
      <c r="Q900" s="750">
        <f t="shared" si="126"/>
        <v>0</v>
      </c>
      <c r="R900" s="608">
        <f t="shared" si="127"/>
        <v>86587.199999999997</v>
      </c>
      <c r="S900" s="751">
        <f t="shared" si="128"/>
        <v>86587.199999999997</v>
      </c>
      <c r="T900" s="750">
        <v>55.7</v>
      </c>
      <c r="U900" s="608">
        <f t="shared" si="129"/>
        <v>18715.2</v>
      </c>
      <c r="V900" s="751">
        <f t="shared" si="130"/>
        <v>67872</v>
      </c>
      <c r="W900" s="752">
        <v>55.7</v>
      </c>
      <c r="X900" s="609">
        <f t="shared" si="131"/>
        <v>18715.2</v>
      </c>
      <c r="Y900" s="703">
        <f t="shared" si="132"/>
        <v>67872</v>
      </c>
      <c r="Z900" s="752">
        <v>55.7</v>
      </c>
      <c r="AA900" s="609">
        <f t="shared" si="133"/>
        <v>18715.2</v>
      </c>
      <c r="AB900" s="753">
        <f t="shared" si="134"/>
        <v>67872</v>
      </c>
      <c r="AC900" s="714"/>
    </row>
    <row r="901" spans="1:29" x14ac:dyDescent="0.25">
      <c r="A901" s="713"/>
      <c r="B901" s="731" t="s">
        <v>1257</v>
      </c>
      <c r="C901" s="547" t="s">
        <v>40</v>
      </c>
      <c r="D901" s="547" t="s">
        <v>1249</v>
      </c>
      <c r="E901" s="683">
        <v>44593</v>
      </c>
      <c r="F901" s="547">
        <v>672</v>
      </c>
      <c r="G901" s="547" t="s">
        <v>59</v>
      </c>
      <c r="H901" s="547" t="s">
        <v>6</v>
      </c>
      <c r="I901" s="547" t="s">
        <v>44</v>
      </c>
      <c r="J901" s="547" t="s">
        <v>85</v>
      </c>
      <c r="K901" s="547">
        <v>202</v>
      </c>
      <c r="L901" s="727" t="s">
        <v>92</v>
      </c>
      <c r="M901" s="697">
        <v>0</v>
      </c>
      <c r="N901" s="727">
        <v>1.5</v>
      </c>
      <c r="O901" s="697">
        <v>0</v>
      </c>
      <c r="P901" s="727">
        <v>257.7</v>
      </c>
      <c r="Q901" s="750">
        <f t="shared" si="126"/>
        <v>0</v>
      </c>
      <c r="R901" s="608">
        <f t="shared" si="127"/>
        <v>259761.59999999998</v>
      </c>
      <c r="S901" s="751">
        <f t="shared" si="128"/>
        <v>259761.59999999998</v>
      </c>
      <c r="T901" s="750">
        <v>55.7</v>
      </c>
      <c r="U901" s="608">
        <f t="shared" si="129"/>
        <v>56145.600000000006</v>
      </c>
      <c r="V901" s="751">
        <f t="shared" si="130"/>
        <v>203615.99999999997</v>
      </c>
      <c r="W901" s="752">
        <v>55.7</v>
      </c>
      <c r="X901" s="609">
        <f t="shared" si="131"/>
        <v>56145.600000000006</v>
      </c>
      <c r="Y901" s="703">
        <f t="shared" si="132"/>
        <v>203615.99999999997</v>
      </c>
      <c r="Z901" s="752">
        <v>55.7</v>
      </c>
      <c r="AA901" s="609">
        <f t="shared" si="133"/>
        <v>56145.600000000006</v>
      </c>
      <c r="AB901" s="753">
        <f t="shared" si="134"/>
        <v>203615.99999999997</v>
      </c>
      <c r="AC901" s="714"/>
    </row>
    <row r="902" spans="1:29" x14ac:dyDescent="0.25">
      <c r="A902" s="713"/>
      <c r="B902" s="731" t="s">
        <v>1259</v>
      </c>
      <c r="C902" s="547" t="s">
        <v>40</v>
      </c>
      <c r="D902" s="547" t="s">
        <v>349</v>
      </c>
      <c r="E902" s="683">
        <v>44593</v>
      </c>
      <c r="F902" s="547">
        <v>672</v>
      </c>
      <c r="G902" s="547" t="s">
        <v>59</v>
      </c>
      <c r="H902" s="547" t="s">
        <v>3</v>
      </c>
      <c r="I902" s="547" t="s">
        <v>44</v>
      </c>
      <c r="J902" s="547" t="s">
        <v>85</v>
      </c>
      <c r="K902" s="547">
        <v>1.3</v>
      </c>
      <c r="L902" s="727" t="s">
        <v>92</v>
      </c>
      <c r="M902" s="697">
        <v>0</v>
      </c>
      <c r="N902" s="727">
        <v>4</v>
      </c>
      <c r="O902" s="697">
        <v>0</v>
      </c>
      <c r="P902" s="727">
        <v>57</v>
      </c>
      <c r="Q902" s="750">
        <f t="shared" si="126"/>
        <v>0</v>
      </c>
      <c r="R902" s="608">
        <f t="shared" si="127"/>
        <v>153216</v>
      </c>
      <c r="S902" s="751">
        <f t="shared" si="128"/>
        <v>153216</v>
      </c>
      <c r="T902" s="750">
        <v>55.7</v>
      </c>
      <c r="U902" s="608">
        <f t="shared" si="129"/>
        <v>149721.60000000001</v>
      </c>
      <c r="V902" s="751">
        <f t="shared" si="130"/>
        <v>3494.3999999999942</v>
      </c>
      <c r="W902" s="752">
        <v>55.7</v>
      </c>
      <c r="X902" s="609">
        <f t="shared" si="131"/>
        <v>149721.60000000001</v>
      </c>
      <c r="Y902" s="703">
        <f t="shared" si="132"/>
        <v>3494.3999999999942</v>
      </c>
      <c r="Z902" s="752">
        <v>55.7</v>
      </c>
      <c r="AA902" s="609">
        <f t="shared" si="133"/>
        <v>149721.60000000001</v>
      </c>
      <c r="AB902" s="753">
        <f t="shared" si="134"/>
        <v>3494.3999999999942</v>
      </c>
      <c r="AC902" s="714"/>
    </row>
    <row r="903" spans="1:29" x14ac:dyDescent="0.25">
      <c r="A903" s="713"/>
      <c r="B903" s="731" t="s">
        <v>1261</v>
      </c>
      <c r="C903" s="547" t="s">
        <v>40</v>
      </c>
      <c r="D903" s="547" t="s">
        <v>349</v>
      </c>
      <c r="E903" s="683">
        <v>44593</v>
      </c>
      <c r="F903" s="547">
        <v>672</v>
      </c>
      <c r="G903" s="547" t="s">
        <v>59</v>
      </c>
      <c r="H903" s="547" t="s">
        <v>6</v>
      </c>
      <c r="I903" s="547" t="s">
        <v>44</v>
      </c>
      <c r="J903" s="547" t="s">
        <v>85</v>
      </c>
      <c r="K903" s="547">
        <v>202</v>
      </c>
      <c r="L903" s="727" t="s">
        <v>92</v>
      </c>
      <c r="M903" s="697">
        <v>0</v>
      </c>
      <c r="N903" s="727">
        <v>1</v>
      </c>
      <c r="O903" s="697">
        <v>0</v>
      </c>
      <c r="P903" s="727">
        <v>257.7</v>
      </c>
      <c r="Q903" s="750">
        <f t="shared" si="126"/>
        <v>0</v>
      </c>
      <c r="R903" s="608">
        <f t="shared" si="127"/>
        <v>173174.39999999999</v>
      </c>
      <c r="S903" s="751">
        <f t="shared" si="128"/>
        <v>173174.39999999999</v>
      </c>
      <c r="T903" s="750">
        <v>55.7</v>
      </c>
      <c r="U903" s="608">
        <f t="shared" si="129"/>
        <v>37430.400000000001</v>
      </c>
      <c r="V903" s="751">
        <f t="shared" si="130"/>
        <v>135744</v>
      </c>
      <c r="W903" s="752">
        <v>55.7</v>
      </c>
      <c r="X903" s="609">
        <f t="shared" si="131"/>
        <v>37430.400000000001</v>
      </c>
      <c r="Y903" s="703">
        <f t="shared" si="132"/>
        <v>135744</v>
      </c>
      <c r="Z903" s="752">
        <v>55.7</v>
      </c>
      <c r="AA903" s="609">
        <f t="shared" si="133"/>
        <v>37430.400000000001</v>
      </c>
      <c r="AB903" s="753">
        <f t="shared" si="134"/>
        <v>135744</v>
      </c>
      <c r="AC903" s="714"/>
    </row>
    <row r="904" spans="1:29" x14ac:dyDescent="0.25">
      <c r="A904" s="713"/>
      <c r="B904" s="731" t="s">
        <v>1263</v>
      </c>
      <c r="C904" s="547" t="s">
        <v>40</v>
      </c>
      <c r="D904" s="547" t="s">
        <v>503</v>
      </c>
      <c r="E904" s="683">
        <v>44682</v>
      </c>
      <c r="F904" s="547">
        <v>744</v>
      </c>
      <c r="G904" s="547" t="s">
        <v>59</v>
      </c>
      <c r="H904" s="547" t="s">
        <v>3</v>
      </c>
      <c r="I904" s="547" t="s">
        <v>44</v>
      </c>
      <c r="J904" s="547" t="s">
        <v>85</v>
      </c>
      <c r="K904" s="547">
        <v>87.5</v>
      </c>
      <c r="L904" s="727" t="s">
        <v>54</v>
      </c>
      <c r="M904" s="697">
        <v>0</v>
      </c>
      <c r="N904" s="727">
        <v>8.6999999999999993</v>
      </c>
      <c r="O904" s="697">
        <v>0</v>
      </c>
      <c r="P904" s="727">
        <v>87.5</v>
      </c>
      <c r="Q904" s="750">
        <f t="shared" si="126"/>
        <v>0</v>
      </c>
      <c r="R904" s="608">
        <f t="shared" si="127"/>
        <v>566369.99999999988</v>
      </c>
      <c r="S904" s="751">
        <f t="shared" si="128"/>
        <v>566369.99999999988</v>
      </c>
      <c r="T904" s="750">
        <v>55.7</v>
      </c>
      <c r="U904" s="608">
        <f t="shared" si="129"/>
        <v>360534.95999999996</v>
      </c>
      <c r="V904" s="751">
        <f t="shared" si="130"/>
        <v>205835.03999999992</v>
      </c>
      <c r="W904" s="752">
        <v>55.7</v>
      </c>
      <c r="X904" s="609">
        <f t="shared" si="131"/>
        <v>360534.95999999996</v>
      </c>
      <c r="Y904" s="703">
        <f t="shared" si="132"/>
        <v>205835.03999999992</v>
      </c>
      <c r="Z904" s="752">
        <v>55.7</v>
      </c>
      <c r="AA904" s="609">
        <f t="shared" si="133"/>
        <v>360534.95999999996</v>
      </c>
      <c r="AB904" s="753">
        <f t="shared" si="134"/>
        <v>205835.03999999992</v>
      </c>
      <c r="AC904" s="714"/>
    </row>
    <row r="905" spans="1:29" x14ac:dyDescent="0.25">
      <c r="A905" s="713"/>
      <c r="B905" s="731" t="s">
        <v>1265</v>
      </c>
      <c r="C905" s="547" t="s">
        <v>40</v>
      </c>
      <c r="D905" s="547" t="s">
        <v>472</v>
      </c>
      <c r="E905" s="683">
        <v>44682</v>
      </c>
      <c r="F905" s="547">
        <v>744</v>
      </c>
      <c r="G905" s="547" t="s">
        <v>59</v>
      </c>
      <c r="H905" s="547" t="s">
        <v>3</v>
      </c>
      <c r="I905" s="547" t="s">
        <v>44</v>
      </c>
      <c r="J905" s="547" t="s">
        <v>85</v>
      </c>
      <c r="K905" s="547">
        <v>87.5</v>
      </c>
      <c r="L905" s="727" t="s">
        <v>54</v>
      </c>
      <c r="M905" s="697">
        <v>0</v>
      </c>
      <c r="N905" s="727">
        <v>10</v>
      </c>
      <c r="O905" s="697">
        <v>0</v>
      </c>
      <c r="P905" s="727">
        <v>87.5</v>
      </c>
      <c r="Q905" s="750">
        <f t="shared" si="126"/>
        <v>0</v>
      </c>
      <c r="R905" s="608">
        <f t="shared" si="127"/>
        <v>651000</v>
      </c>
      <c r="S905" s="751">
        <f t="shared" si="128"/>
        <v>651000</v>
      </c>
      <c r="T905" s="750">
        <v>55.7</v>
      </c>
      <c r="U905" s="608">
        <f t="shared" si="129"/>
        <v>414408</v>
      </c>
      <c r="V905" s="751">
        <f t="shared" si="130"/>
        <v>236592</v>
      </c>
      <c r="W905" s="752">
        <v>55.7</v>
      </c>
      <c r="X905" s="609">
        <f t="shared" si="131"/>
        <v>414408</v>
      </c>
      <c r="Y905" s="703">
        <f t="shared" si="132"/>
        <v>236592</v>
      </c>
      <c r="Z905" s="752">
        <v>55.7</v>
      </c>
      <c r="AA905" s="609">
        <f t="shared" si="133"/>
        <v>414408</v>
      </c>
      <c r="AB905" s="753">
        <f t="shared" si="134"/>
        <v>236592</v>
      </c>
      <c r="AC905" s="714"/>
    </row>
    <row r="906" spans="1:29" x14ac:dyDescent="0.25">
      <c r="A906" s="713"/>
      <c r="B906" s="731" t="s">
        <v>1267</v>
      </c>
      <c r="C906" s="547" t="s">
        <v>40</v>
      </c>
      <c r="D906" s="547" t="s">
        <v>410</v>
      </c>
      <c r="E906" s="683">
        <v>44896</v>
      </c>
      <c r="F906" s="547">
        <v>744</v>
      </c>
      <c r="G906" s="547" t="s">
        <v>59</v>
      </c>
      <c r="H906" s="547" t="s">
        <v>3</v>
      </c>
      <c r="I906" s="547" t="s">
        <v>44</v>
      </c>
      <c r="J906" s="547" t="s">
        <v>85</v>
      </c>
      <c r="K906" s="547">
        <v>168</v>
      </c>
      <c r="L906" s="727" t="s">
        <v>54</v>
      </c>
      <c r="M906" s="697">
        <v>0</v>
      </c>
      <c r="N906" s="727">
        <v>5</v>
      </c>
      <c r="O906" s="697">
        <v>0</v>
      </c>
      <c r="P906" s="727">
        <v>168</v>
      </c>
      <c r="Q906" s="750">
        <f t="shared" si="126"/>
        <v>0</v>
      </c>
      <c r="R906" s="608">
        <f t="shared" si="127"/>
        <v>624960</v>
      </c>
      <c r="S906" s="751">
        <f t="shared" si="128"/>
        <v>624960</v>
      </c>
      <c r="T906" s="750">
        <v>55.7</v>
      </c>
      <c r="U906" s="608">
        <f t="shared" si="129"/>
        <v>207204</v>
      </c>
      <c r="V906" s="751">
        <f t="shared" si="130"/>
        <v>417756</v>
      </c>
      <c r="W906" s="752">
        <v>55.7</v>
      </c>
      <c r="X906" s="609">
        <f t="shared" si="131"/>
        <v>207204</v>
      </c>
      <c r="Y906" s="703">
        <f t="shared" si="132"/>
        <v>417756</v>
      </c>
      <c r="Z906" s="752">
        <v>78.400653594793155</v>
      </c>
      <c r="AA906" s="609">
        <f t="shared" si="133"/>
        <v>291650.43137263053</v>
      </c>
      <c r="AB906" s="753">
        <f t="shared" si="134"/>
        <v>333309.56862736947</v>
      </c>
      <c r="AC906" s="714"/>
    </row>
    <row r="907" spans="1:29" x14ac:dyDescent="0.25">
      <c r="A907" s="713"/>
      <c r="B907" s="731" t="s">
        <v>1269</v>
      </c>
      <c r="C907" s="547" t="s">
        <v>40</v>
      </c>
      <c r="D907" s="547" t="s">
        <v>502</v>
      </c>
      <c r="E907" s="683">
        <v>44713</v>
      </c>
      <c r="F907" s="547">
        <v>720</v>
      </c>
      <c r="G907" s="547" t="s">
        <v>59</v>
      </c>
      <c r="H907" s="547" t="s">
        <v>3</v>
      </c>
      <c r="I907" s="547" t="s">
        <v>44</v>
      </c>
      <c r="J907" s="547" t="s">
        <v>85</v>
      </c>
      <c r="K907" s="547">
        <v>123</v>
      </c>
      <c r="L907" s="727" t="s">
        <v>54</v>
      </c>
      <c r="M907" s="697">
        <v>0</v>
      </c>
      <c r="N907" s="727">
        <v>2</v>
      </c>
      <c r="O907" s="697">
        <v>0</v>
      </c>
      <c r="P907" s="727">
        <v>123</v>
      </c>
      <c r="Q907" s="750">
        <f t="shared" si="126"/>
        <v>0</v>
      </c>
      <c r="R907" s="608">
        <f t="shared" si="127"/>
        <v>177120</v>
      </c>
      <c r="S907" s="751">
        <f t="shared" si="128"/>
        <v>177120</v>
      </c>
      <c r="T907" s="750">
        <v>55.71</v>
      </c>
      <c r="U907" s="608">
        <f t="shared" si="129"/>
        <v>80222.399999999994</v>
      </c>
      <c r="V907" s="751">
        <f t="shared" si="130"/>
        <v>96897.600000000006</v>
      </c>
      <c r="W907" s="752">
        <v>55.71</v>
      </c>
      <c r="X907" s="609">
        <f t="shared" si="131"/>
        <v>80222.399999999994</v>
      </c>
      <c r="Y907" s="703">
        <f t="shared" si="132"/>
        <v>96897.600000000006</v>
      </c>
      <c r="Z907" s="752">
        <v>55.71</v>
      </c>
      <c r="AA907" s="609">
        <f t="shared" si="133"/>
        <v>80222.399999999994</v>
      </c>
      <c r="AB907" s="753">
        <f t="shared" si="134"/>
        <v>96897.600000000006</v>
      </c>
      <c r="AC907" s="714"/>
    </row>
    <row r="908" spans="1:29" x14ac:dyDescent="0.25">
      <c r="A908" s="713"/>
      <c r="B908" s="731" t="s">
        <v>1271</v>
      </c>
      <c r="C908" s="547" t="s">
        <v>40</v>
      </c>
      <c r="D908" s="547" t="s">
        <v>346</v>
      </c>
      <c r="E908" s="683">
        <v>44835</v>
      </c>
      <c r="F908" s="547">
        <v>744</v>
      </c>
      <c r="G908" s="547" t="s">
        <v>59</v>
      </c>
      <c r="H908" s="547" t="s">
        <v>3</v>
      </c>
      <c r="I908" s="547" t="s">
        <v>44</v>
      </c>
      <c r="J908" s="547" t="s">
        <v>85</v>
      </c>
      <c r="K908" s="547">
        <v>200</v>
      </c>
      <c r="L908" s="727" t="s">
        <v>54</v>
      </c>
      <c r="M908" s="697">
        <v>0</v>
      </c>
      <c r="N908" s="727">
        <v>5.6</v>
      </c>
      <c r="O908" s="697">
        <v>0</v>
      </c>
      <c r="P908" s="727">
        <v>200</v>
      </c>
      <c r="Q908" s="750">
        <f t="shared" si="126"/>
        <v>0</v>
      </c>
      <c r="R908" s="608">
        <f t="shared" si="127"/>
        <v>833279.99999999988</v>
      </c>
      <c r="S908" s="751">
        <f t="shared" si="128"/>
        <v>833279.99999999988</v>
      </c>
      <c r="T908" s="750">
        <v>55.7</v>
      </c>
      <c r="U908" s="608">
        <f t="shared" si="129"/>
        <v>232068.47999999998</v>
      </c>
      <c r="V908" s="751">
        <f t="shared" si="130"/>
        <v>601211.5199999999</v>
      </c>
      <c r="W908" s="752">
        <v>55.7</v>
      </c>
      <c r="X908" s="609">
        <f t="shared" si="131"/>
        <v>232068.47999999998</v>
      </c>
      <c r="Y908" s="703">
        <f t="shared" si="132"/>
        <v>601211.5199999999</v>
      </c>
      <c r="Z908" s="752">
        <v>55.7</v>
      </c>
      <c r="AA908" s="609">
        <f t="shared" si="133"/>
        <v>232068.47999999998</v>
      </c>
      <c r="AB908" s="753">
        <f t="shared" si="134"/>
        <v>601211.5199999999</v>
      </c>
      <c r="AC908" s="714"/>
    </row>
    <row r="909" spans="1:29" x14ac:dyDescent="0.25">
      <c r="A909" s="713"/>
      <c r="B909" s="731" t="s">
        <v>1273</v>
      </c>
      <c r="C909" s="547" t="s">
        <v>40</v>
      </c>
      <c r="D909" s="547" t="s">
        <v>346</v>
      </c>
      <c r="E909" s="683">
        <v>44835</v>
      </c>
      <c r="F909" s="547">
        <v>744</v>
      </c>
      <c r="G909" s="547" t="s">
        <v>58</v>
      </c>
      <c r="H909" s="547" t="s">
        <v>3</v>
      </c>
      <c r="I909" s="547" t="s">
        <v>44</v>
      </c>
      <c r="J909" s="547" t="s">
        <v>84</v>
      </c>
      <c r="K909" s="547">
        <v>200</v>
      </c>
      <c r="L909" s="727" t="s">
        <v>54</v>
      </c>
      <c r="M909" s="697">
        <v>5.6</v>
      </c>
      <c r="N909" s="727">
        <v>0</v>
      </c>
      <c r="O909" s="697">
        <v>200</v>
      </c>
      <c r="P909" s="727">
        <v>0</v>
      </c>
      <c r="Q909" s="750">
        <f t="shared" si="126"/>
        <v>833279.99999999988</v>
      </c>
      <c r="R909" s="608">
        <f t="shared" si="127"/>
        <v>0</v>
      </c>
      <c r="S909" s="751">
        <f t="shared" si="128"/>
        <v>-833279.99999999988</v>
      </c>
      <c r="T909" s="750">
        <v>55.7</v>
      </c>
      <c r="U909" s="608">
        <f t="shared" si="129"/>
        <v>-232068.47999999998</v>
      </c>
      <c r="V909" s="751">
        <f t="shared" si="130"/>
        <v>-601211.5199999999</v>
      </c>
      <c r="W909" s="752">
        <v>55.7</v>
      </c>
      <c r="X909" s="609">
        <f t="shared" si="131"/>
        <v>-232068.47999999998</v>
      </c>
      <c r="Y909" s="703">
        <f t="shared" si="132"/>
        <v>-601211.5199999999</v>
      </c>
      <c r="Z909" s="752">
        <v>55.7</v>
      </c>
      <c r="AA909" s="609">
        <f t="shared" si="133"/>
        <v>-232068.47999999998</v>
      </c>
      <c r="AB909" s="753">
        <f t="shared" si="134"/>
        <v>-601211.5199999999</v>
      </c>
      <c r="AC909" s="714"/>
    </row>
    <row r="910" spans="1:29" x14ac:dyDescent="0.25">
      <c r="A910" s="713"/>
      <c r="B910" s="731" t="s">
        <v>1299</v>
      </c>
      <c r="C910" s="547" t="s">
        <v>40</v>
      </c>
      <c r="D910" s="547" t="s">
        <v>466</v>
      </c>
      <c r="E910" s="683">
        <v>44593</v>
      </c>
      <c r="F910" s="547">
        <v>672</v>
      </c>
      <c r="G910" s="547" t="s">
        <v>59</v>
      </c>
      <c r="H910" s="547" t="s">
        <v>6</v>
      </c>
      <c r="I910" s="547" t="s">
        <v>44</v>
      </c>
      <c r="J910" s="547" t="s">
        <v>85</v>
      </c>
      <c r="K910" s="547">
        <v>203</v>
      </c>
      <c r="L910" s="727" t="s">
        <v>92</v>
      </c>
      <c r="M910" s="697">
        <v>0</v>
      </c>
      <c r="N910" s="727">
        <v>0.35</v>
      </c>
      <c r="O910" s="697">
        <v>0</v>
      </c>
      <c r="P910" s="727">
        <v>258.7</v>
      </c>
      <c r="Q910" s="750">
        <f t="shared" si="126"/>
        <v>0</v>
      </c>
      <c r="R910" s="608">
        <f t="shared" si="127"/>
        <v>60846.239999999998</v>
      </c>
      <c r="S910" s="751">
        <f t="shared" si="128"/>
        <v>60846.239999999998</v>
      </c>
      <c r="T910" s="750">
        <v>55.7</v>
      </c>
      <c r="U910" s="608">
        <f t="shared" si="129"/>
        <v>13100.64</v>
      </c>
      <c r="V910" s="751">
        <f t="shared" si="130"/>
        <v>47745.599999999999</v>
      </c>
      <c r="W910" s="752">
        <v>55.7</v>
      </c>
      <c r="X910" s="609">
        <f t="shared" si="131"/>
        <v>13100.64</v>
      </c>
      <c r="Y910" s="703">
        <f t="shared" si="132"/>
        <v>47745.599999999999</v>
      </c>
      <c r="Z910" s="752">
        <v>55.7</v>
      </c>
      <c r="AA910" s="609">
        <f t="shared" si="133"/>
        <v>13100.64</v>
      </c>
      <c r="AB910" s="753">
        <f t="shared" si="134"/>
        <v>47745.599999999999</v>
      </c>
      <c r="AC910" s="714"/>
    </row>
    <row r="911" spans="1:29" x14ac:dyDescent="0.25">
      <c r="A911" s="713"/>
      <c r="B911" s="731" t="s">
        <v>1301</v>
      </c>
      <c r="C911" s="547" t="s">
        <v>40</v>
      </c>
      <c r="D911" s="547" t="s">
        <v>469</v>
      </c>
      <c r="E911" s="683">
        <v>44593</v>
      </c>
      <c r="F911" s="547">
        <v>672</v>
      </c>
      <c r="G911" s="547" t="s">
        <v>59</v>
      </c>
      <c r="H911" s="547" t="s">
        <v>6</v>
      </c>
      <c r="I911" s="547" t="s">
        <v>44</v>
      </c>
      <c r="J911" s="547" t="s">
        <v>85</v>
      </c>
      <c r="K911" s="547">
        <v>202</v>
      </c>
      <c r="L911" s="727" t="s">
        <v>92</v>
      </c>
      <c r="M911" s="697">
        <v>0</v>
      </c>
      <c r="N911" s="727">
        <v>1</v>
      </c>
      <c r="O911" s="697">
        <v>0</v>
      </c>
      <c r="P911" s="727">
        <v>257.7</v>
      </c>
      <c r="Q911" s="750">
        <f t="shared" si="126"/>
        <v>0</v>
      </c>
      <c r="R911" s="608">
        <f t="shared" si="127"/>
        <v>173174.39999999999</v>
      </c>
      <c r="S911" s="751">
        <f t="shared" si="128"/>
        <v>173174.39999999999</v>
      </c>
      <c r="T911" s="750">
        <v>55.7</v>
      </c>
      <c r="U911" s="608">
        <f t="shared" si="129"/>
        <v>37430.400000000001</v>
      </c>
      <c r="V911" s="751">
        <f t="shared" si="130"/>
        <v>135744</v>
      </c>
      <c r="W911" s="752">
        <v>55.7</v>
      </c>
      <c r="X911" s="609">
        <f t="shared" si="131"/>
        <v>37430.400000000001</v>
      </c>
      <c r="Y911" s="703">
        <f t="shared" si="132"/>
        <v>135744</v>
      </c>
      <c r="Z911" s="752">
        <v>55.7</v>
      </c>
      <c r="AA911" s="609">
        <f t="shared" si="133"/>
        <v>37430.400000000001</v>
      </c>
      <c r="AB911" s="753">
        <f t="shared" si="134"/>
        <v>135744</v>
      </c>
      <c r="AC911" s="714"/>
    </row>
    <row r="912" spans="1:29" x14ac:dyDescent="0.25">
      <c r="A912" s="713"/>
      <c r="B912" s="731" t="s">
        <v>1303</v>
      </c>
      <c r="C912" s="547" t="s">
        <v>40</v>
      </c>
      <c r="D912" s="547" t="s">
        <v>875</v>
      </c>
      <c r="E912" s="683">
        <v>44866</v>
      </c>
      <c r="F912" s="547">
        <v>720</v>
      </c>
      <c r="G912" s="547" t="s">
        <v>59</v>
      </c>
      <c r="H912" s="547" t="s">
        <v>3</v>
      </c>
      <c r="I912" s="547" t="s">
        <v>44</v>
      </c>
      <c r="J912" s="547" t="s">
        <v>85</v>
      </c>
      <c r="K912" s="547">
        <v>191</v>
      </c>
      <c r="L912" s="727" t="s">
        <v>54</v>
      </c>
      <c r="M912" s="697">
        <v>0</v>
      </c>
      <c r="N912" s="727">
        <v>1.6</v>
      </c>
      <c r="O912" s="697">
        <v>0</v>
      </c>
      <c r="P912" s="727">
        <v>191</v>
      </c>
      <c r="Q912" s="750">
        <f t="shared" si="126"/>
        <v>0</v>
      </c>
      <c r="R912" s="608">
        <f t="shared" si="127"/>
        <v>220032</v>
      </c>
      <c r="S912" s="751">
        <f t="shared" si="128"/>
        <v>220032</v>
      </c>
      <c r="T912" s="750">
        <v>55.7</v>
      </c>
      <c r="U912" s="608">
        <f t="shared" si="129"/>
        <v>64166.400000000001</v>
      </c>
      <c r="V912" s="751">
        <f t="shared" si="130"/>
        <v>155865.60000000001</v>
      </c>
      <c r="W912" s="752">
        <v>55.7</v>
      </c>
      <c r="X912" s="609">
        <f t="shared" si="131"/>
        <v>64166.400000000001</v>
      </c>
      <c r="Y912" s="703">
        <f t="shared" si="132"/>
        <v>155865.60000000001</v>
      </c>
      <c r="Z912" s="752">
        <v>55.7</v>
      </c>
      <c r="AA912" s="609">
        <f t="shared" si="133"/>
        <v>64166.400000000001</v>
      </c>
      <c r="AB912" s="753">
        <f t="shared" si="134"/>
        <v>155865.60000000001</v>
      </c>
      <c r="AC912" s="714"/>
    </row>
    <row r="913" spans="1:29" x14ac:dyDescent="0.25">
      <c r="A913" s="713"/>
      <c r="B913" s="730" t="s">
        <v>1305</v>
      </c>
      <c r="C913" s="546" t="s">
        <v>40</v>
      </c>
      <c r="D913" s="546" t="s">
        <v>473</v>
      </c>
      <c r="E913" s="682">
        <v>44743</v>
      </c>
      <c r="F913" s="546">
        <v>744</v>
      </c>
      <c r="G913" s="546" t="s">
        <v>59</v>
      </c>
      <c r="H913" s="546" t="s">
        <v>3</v>
      </c>
      <c r="I913" s="546" t="s">
        <v>44</v>
      </c>
      <c r="J913" s="546" t="s">
        <v>85</v>
      </c>
      <c r="K913" s="546">
        <v>182</v>
      </c>
      <c r="L913" s="726" t="s">
        <v>54</v>
      </c>
      <c r="M913" s="696">
        <v>0</v>
      </c>
      <c r="N913" s="726">
        <v>1</v>
      </c>
      <c r="O913" s="696">
        <v>0</v>
      </c>
      <c r="P913" s="726">
        <v>182</v>
      </c>
      <c r="Q913" s="746">
        <f t="shared" si="126"/>
        <v>0</v>
      </c>
      <c r="R913" s="606">
        <f t="shared" si="127"/>
        <v>135408</v>
      </c>
      <c r="S913" s="747">
        <f t="shared" si="128"/>
        <v>135408</v>
      </c>
      <c r="T913" s="746">
        <v>66.319999999999993</v>
      </c>
      <c r="U913" s="606">
        <f t="shared" si="129"/>
        <v>49342.079999999994</v>
      </c>
      <c r="V913" s="747">
        <f t="shared" si="130"/>
        <v>86065.920000000013</v>
      </c>
      <c r="W913" s="748">
        <v>66.319999999999993</v>
      </c>
      <c r="X913" s="607">
        <f t="shared" si="131"/>
        <v>49342.079999999994</v>
      </c>
      <c r="Y913" s="702">
        <f t="shared" si="132"/>
        <v>86065.920000000013</v>
      </c>
      <c r="Z913" s="748">
        <v>66.319999999999993</v>
      </c>
      <c r="AA913" s="607">
        <f t="shared" si="133"/>
        <v>49342.079999999994</v>
      </c>
      <c r="AB913" s="749">
        <f t="shared" si="134"/>
        <v>86065.920000000013</v>
      </c>
      <c r="AC913" s="714"/>
    </row>
    <row r="914" spans="1:29" x14ac:dyDescent="0.25">
      <c r="A914" s="713"/>
      <c r="B914" s="714" t="s">
        <v>1305</v>
      </c>
      <c r="C914" s="676" t="s">
        <v>40</v>
      </c>
      <c r="D914" s="676" t="s">
        <v>473</v>
      </c>
      <c r="E914" s="680">
        <v>44774</v>
      </c>
      <c r="F914" s="676">
        <v>744</v>
      </c>
      <c r="G914" s="676" t="s">
        <v>59</v>
      </c>
      <c r="H914" s="676" t="s">
        <v>3</v>
      </c>
      <c r="I914" s="676" t="s">
        <v>44</v>
      </c>
      <c r="J914" s="676" t="s">
        <v>85</v>
      </c>
      <c r="K914" s="676">
        <v>182</v>
      </c>
      <c r="L914" s="690" t="s">
        <v>54</v>
      </c>
      <c r="M914" s="691">
        <v>0</v>
      </c>
      <c r="N914" s="690">
        <v>1</v>
      </c>
      <c r="O914" s="691">
        <v>0</v>
      </c>
      <c r="P914" s="690">
        <v>182</v>
      </c>
      <c r="Q914" s="738">
        <f t="shared" si="126"/>
        <v>0</v>
      </c>
      <c r="R914" s="677">
        <f t="shared" si="127"/>
        <v>135408</v>
      </c>
      <c r="S914" s="739">
        <f t="shared" si="128"/>
        <v>135408</v>
      </c>
      <c r="T914" s="738">
        <v>76.900000000000006</v>
      </c>
      <c r="U914" s="677">
        <f t="shared" si="129"/>
        <v>57213.600000000006</v>
      </c>
      <c r="V914" s="739">
        <f t="shared" si="130"/>
        <v>78194.399999999994</v>
      </c>
      <c r="W914" s="740">
        <v>76.900000000000006</v>
      </c>
      <c r="X914" s="678">
        <f t="shared" si="131"/>
        <v>57213.600000000006</v>
      </c>
      <c r="Y914" s="700">
        <f t="shared" si="132"/>
        <v>78194.399999999994</v>
      </c>
      <c r="Z914" s="740">
        <v>76.900000000000006</v>
      </c>
      <c r="AA914" s="678">
        <f t="shared" si="133"/>
        <v>57213.600000000006</v>
      </c>
      <c r="AB914" s="741">
        <f t="shared" si="134"/>
        <v>78194.399999999994</v>
      </c>
      <c r="AC914" s="714"/>
    </row>
    <row r="915" spans="1:29" x14ac:dyDescent="0.25">
      <c r="A915" s="713"/>
      <c r="B915" s="729" t="s">
        <v>1305</v>
      </c>
      <c r="C915" s="545" t="s">
        <v>40</v>
      </c>
      <c r="D915" s="545" t="s">
        <v>473</v>
      </c>
      <c r="E915" s="681">
        <v>44805</v>
      </c>
      <c r="F915" s="545">
        <v>720</v>
      </c>
      <c r="G915" s="545" t="s">
        <v>59</v>
      </c>
      <c r="H915" s="545" t="s">
        <v>3</v>
      </c>
      <c r="I915" s="545" t="s">
        <v>44</v>
      </c>
      <c r="J915" s="545" t="s">
        <v>85</v>
      </c>
      <c r="K915" s="545">
        <v>182</v>
      </c>
      <c r="L915" s="725" t="s">
        <v>54</v>
      </c>
      <c r="M915" s="695">
        <v>0</v>
      </c>
      <c r="N915" s="725">
        <v>1</v>
      </c>
      <c r="O915" s="695">
        <v>0</v>
      </c>
      <c r="P915" s="725">
        <v>182</v>
      </c>
      <c r="Q915" s="742">
        <f t="shared" si="126"/>
        <v>0</v>
      </c>
      <c r="R915" s="603">
        <f t="shared" si="127"/>
        <v>131040</v>
      </c>
      <c r="S915" s="743">
        <f t="shared" si="128"/>
        <v>131040</v>
      </c>
      <c r="T915" s="742">
        <v>56.08</v>
      </c>
      <c r="U915" s="603">
        <f t="shared" si="129"/>
        <v>40377.599999999999</v>
      </c>
      <c r="V915" s="743">
        <f t="shared" si="130"/>
        <v>90662.399999999994</v>
      </c>
      <c r="W915" s="744">
        <v>56.08</v>
      </c>
      <c r="X915" s="604">
        <f t="shared" si="131"/>
        <v>40377.599999999999</v>
      </c>
      <c r="Y915" s="701">
        <f t="shared" si="132"/>
        <v>90662.399999999994</v>
      </c>
      <c r="Z915" s="744">
        <v>56.08</v>
      </c>
      <c r="AA915" s="604">
        <f t="shared" si="133"/>
        <v>40377.599999999999</v>
      </c>
      <c r="AB915" s="745">
        <f t="shared" si="134"/>
        <v>90662.399999999994</v>
      </c>
      <c r="AC915" s="714"/>
    </row>
    <row r="916" spans="1:29" x14ac:dyDescent="0.25">
      <c r="A916" s="713"/>
      <c r="B916" s="731" t="s">
        <v>1307</v>
      </c>
      <c r="C916" s="547" t="s">
        <v>40</v>
      </c>
      <c r="D916" s="547" t="s">
        <v>469</v>
      </c>
      <c r="E916" s="683">
        <v>44593</v>
      </c>
      <c r="F916" s="547">
        <v>672</v>
      </c>
      <c r="G916" s="547" t="s">
        <v>59</v>
      </c>
      <c r="H916" s="547" t="s">
        <v>6</v>
      </c>
      <c r="I916" s="547" t="s">
        <v>44</v>
      </c>
      <c r="J916" s="547" t="s">
        <v>85</v>
      </c>
      <c r="K916" s="547">
        <v>202</v>
      </c>
      <c r="L916" s="727" t="s">
        <v>92</v>
      </c>
      <c r="M916" s="697">
        <v>0</v>
      </c>
      <c r="N916" s="727">
        <v>0.3</v>
      </c>
      <c r="O916" s="697">
        <v>0</v>
      </c>
      <c r="P916" s="727">
        <v>257.7</v>
      </c>
      <c r="Q916" s="750">
        <f t="shared" si="126"/>
        <v>0</v>
      </c>
      <c r="R916" s="608">
        <f t="shared" si="127"/>
        <v>51952.32</v>
      </c>
      <c r="S916" s="751">
        <f t="shared" si="128"/>
        <v>51952.32</v>
      </c>
      <c r="T916" s="750">
        <v>55.7</v>
      </c>
      <c r="U916" s="608">
        <f t="shared" si="129"/>
        <v>11229.12</v>
      </c>
      <c r="V916" s="751">
        <f t="shared" si="130"/>
        <v>40723.199999999997</v>
      </c>
      <c r="W916" s="752">
        <v>55.7</v>
      </c>
      <c r="X916" s="609">
        <f t="shared" si="131"/>
        <v>11229.12</v>
      </c>
      <c r="Y916" s="703">
        <f t="shared" si="132"/>
        <v>40723.199999999997</v>
      </c>
      <c r="Z916" s="752">
        <v>55.7</v>
      </c>
      <c r="AA916" s="609">
        <f t="shared" si="133"/>
        <v>11229.12</v>
      </c>
      <c r="AB916" s="753">
        <f t="shared" si="134"/>
        <v>40723.199999999997</v>
      </c>
      <c r="AC916" s="714"/>
    </row>
    <row r="917" spans="1:29" x14ac:dyDescent="0.25">
      <c r="A917" s="713"/>
      <c r="B917" s="731" t="s">
        <v>1309</v>
      </c>
      <c r="C917" s="547" t="s">
        <v>40</v>
      </c>
      <c r="D917" s="547" t="s">
        <v>464</v>
      </c>
      <c r="E917" s="683">
        <v>44593</v>
      </c>
      <c r="F917" s="547">
        <v>672</v>
      </c>
      <c r="G917" s="547" t="s">
        <v>59</v>
      </c>
      <c r="H917" s="547" t="s">
        <v>6</v>
      </c>
      <c r="I917" s="547" t="s">
        <v>44</v>
      </c>
      <c r="J917" s="547" t="s">
        <v>85</v>
      </c>
      <c r="K917" s="547">
        <v>200.01</v>
      </c>
      <c r="L917" s="727" t="s">
        <v>92</v>
      </c>
      <c r="M917" s="697">
        <v>0</v>
      </c>
      <c r="N917" s="727">
        <v>1</v>
      </c>
      <c r="O917" s="697">
        <v>0</v>
      </c>
      <c r="P917" s="727">
        <v>255.70999999999998</v>
      </c>
      <c r="Q917" s="750">
        <f t="shared" si="126"/>
        <v>0</v>
      </c>
      <c r="R917" s="608">
        <f t="shared" si="127"/>
        <v>171837.12</v>
      </c>
      <c r="S917" s="751">
        <f t="shared" si="128"/>
        <v>171837.12</v>
      </c>
      <c r="T917" s="750">
        <v>55.7</v>
      </c>
      <c r="U917" s="608">
        <f t="shared" si="129"/>
        <v>37430.400000000001</v>
      </c>
      <c r="V917" s="751">
        <f t="shared" si="130"/>
        <v>134406.72</v>
      </c>
      <c r="W917" s="752">
        <v>55.7</v>
      </c>
      <c r="X917" s="609">
        <f t="shared" si="131"/>
        <v>37430.400000000001</v>
      </c>
      <c r="Y917" s="703">
        <f t="shared" si="132"/>
        <v>134406.72</v>
      </c>
      <c r="Z917" s="752">
        <v>55.7</v>
      </c>
      <c r="AA917" s="609">
        <f t="shared" si="133"/>
        <v>37430.400000000001</v>
      </c>
      <c r="AB917" s="753">
        <f t="shared" si="134"/>
        <v>134406.72</v>
      </c>
      <c r="AC917" s="714"/>
    </row>
    <row r="918" spans="1:29" x14ac:dyDescent="0.25">
      <c r="A918" s="713"/>
      <c r="B918" s="731" t="s">
        <v>1311</v>
      </c>
      <c r="C918" s="547" t="s">
        <v>40</v>
      </c>
      <c r="D918" s="547" t="s">
        <v>473</v>
      </c>
      <c r="E918" s="683">
        <v>44593</v>
      </c>
      <c r="F918" s="547">
        <v>672</v>
      </c>
      <c r="G918" s="547" t="s">
        <v>59</v>
      </c>
      <c r="H918" s="547" t="s">
        <v>5</v>
      </c>
      <c r="I918" s="547" t="s">
        <v>44</v>
      </c>
      <c r="J918" s="547" t="s">
        <v>85</v>
      </c>
      <c r="K918" s="547">
        <v>42.5</v>
      </c>
      <c r="L918" s="727" t="s">
        <v>92</v>
      </c>
      <c r="M918" s="697">
        <v>0</v>
      </c>
      <c r="N918" s="727">
        <v>1</v>
      </c>
      <c r="O918" s="697">
        <v>0</v>
      </c>
      <c r="P918" s="727">
        <v>98.2</v>
      </c>
      <c r="Q918" s="750">
        <f t="shared" si="126"/>
        <v>0</v>
      </c>
      <c r="R918" s="608">
        <f t="shared" si="127"/>
        <v>65990.400000000009</v>
      </c>
      <c r="S918" s="751">
        <f t="shared" si="128"/>
        <v>65990.400000000009</v>
      </c>
      <c r="T918" s="750">
        <v>55.7</v>
      </c>
      <c r="U918" s="608">
        <f t="shared" si="129"/>
        <v>37430.400000000001</v>
      </c>
      <c r="V918" s="751">
        <f t="shared" si="130"/>
        <v>28560.000000000007</v>
      </c>
      <c r="W918" s="752">
        <v>55.7</v>
      </c>
      <c r="X918" s="609">
        <f t="shared" si="131"/>
        <v>37430.400000000001</v>
      </c>
      <c r="Y918" s="703">
        <f t="shared" si="132"/>
        <v>28560.000000000007</v>
      </c>
      <c r="Z918" s="752">
        <v>55.7</v>
      </c>
      <c r="AA918" s="609">
        <f t="shared" si="133"/>
        <v>37430.400000000001</v>
      </c>
      <c r="AB918" s="753">
        <f t="shared" si="134"/>
        <v>28560.000000000007</v>
      </c>
      <c r="AC918" s="714"/>
    </row>
    <row r="919" spans="1:29" x14ac:dyDescent="0.25">
      <c r="A919" s="713"/>
      <c r="B919" s="731" t="s">
        <v>1313</v>
      </c>
      <c r="C919" s="547" t="s">
        <v>40</v>
      </c>
      <c r="D919" s="547" t="s">
        <v>511</v>
      </c>
      <c r="E919" s="683">
        <v>44593</v>
      </c>
      <c r="F919" s="547">
        <v>672</v>
      </c>
      <c r="G919" s="547" t="s">
        <v>59</v>
      </c>
      <c r="H919" s="547" t="s">
        <v>6</v>
      </c>
      <c r="I919" s="547" t="s">
        <v>44</v>
      </c>
      <c r="J919" s="547" t="s">
        <v>85</v>
      </c>
      <c r="K919" s="547">
        <v>200</v>
      </c>
      <c r="L919" s="727" t="s">
        <v>92</v>
      </c>
      <c r="M919" s="697">
        <v>0</v>
      </c>
      <c r="N919" s="727">
        <v>1.5</v>
      </c>
      <c r="O919" s="697">
        <v>0</v>
      </c>
      <c r="P919" s="727">
        <v>255.7</v>
      </c>
      <c r="Q919" s="750">
        <f t="shared" si="126"/>
        <v>0</v>
      </c>
      <c r="R919" s="608">
        <f t="shared" si="127"/>
        <v>257745.59999999998</v>
      </c>
      <c r="S919" s="751">
        <f t="shared" si="128"/>
        <v>257745.59999999998</v>
      </c>
      <c r="T919" s="750">
        <v>55.7</v>
      </c>
      <c r="U919" s="608">
        <f t="shared" si="129"/>
        <v>56145.600000000006</v>
      </c>
      <c r="V919" s="751">
        <f t="shared" si="130"/>
        <v>201599.99999999997</v>
      </c>
      <c r="W919" s="752">
        <v>55.7</v>
      </c>
      <c r="X919" s="609">
        <f t="shared" si="131"/>
        <v>56145.600000000006</v>
      </c>
      <c r="Y919" s="703">
        <f t="shared" si="132"/>
        <v>201599.99999999997</v>
      </c>
      <c r="Z919" s="752">
        <v>55.7</v>
      </c>
      <c r="AA919" s="609">
        <f t="shared" si="133"/>
        <v>56145.600000000006</v>
      </c>
      <c r="AB919" s="753">
        <f t="shared" si="134"/>
        <v>201599.99999999997</v>
      </c>
      <c r="AC919" s="714"/>
    </row>
    <row r="920" spans="1:29" x14ac:dyDescent="0.25">
      <c r="A920" s="713"/>
      <c r="B920" s="730" t="s">
        <v>1315</v>
      </c>
      <c r="C920" s="546" t="s">
        <v>40</v>
      </c>
      <c r="D920" s="546" t="s">
        <v>472</v>
      </c>
      <c r="E920" s="682">
        <v>44743</v>
      </c>
      <c r="F920" s="546">
        <v>744</v>
      </c>
      <c r="G920" s="546" t="s">
        <v>59</v>
      </c>
      <c r="H920" s="546" t="s">
        <v>3</v>
      </c>
      <c r="I920" s="546" t="s">
        <v>44</v>
      </c>
      <c r="J920" s="546" t="s">
        <v>85</v>
      </c>
      <c r="K920" s="546">
        <v>180</v>
      </c>
      <c r="L920" s="726" t="s">
        <v>54</v>
      </c>
      <c r="M920" s="696">
        <v>0</v>
      </c>
      <c r="N920" s="726">
        <v>5</v>
      </c>
      <c r="O920" s="696">
        <v>0</v>
      </c>
      <c r="P920" s="726">
        <v>180</v>
      </c>
      <c r="Q920" s="746">
        <f t="shared" si="126"/>
        <v>0</v>
      </c>
      <c r="R920" s="606">
        <f t="shared" si="127"/>
        <v>669600</v>
      </c>
      <c r="S920" s="747">
        <f t="shared" si="128"/>
        <v>669600</v>
      </c>
      <c r="T920" s="746">
        <v>66.319999999999993</v>
      </c>
      <c r="U920" s="606">
        <f t="shared" si="129"/>
        <v>246710.39999999997</v>
      </c>
      <c r="V920" s="747">
        <f t="shared" si="130"/>
        <v>422889.60000000003</v>
      </c>
      <c r="W920" s="748">
        <v>66.319999999999993</v>
      </c>
      <c r="X920" s="607">
        <f t="shared" si="131"/>
        <v>246710.39999999997</v>
      </c>
      <c r="Y920" s="702">
        <f t="shared" si="132"/>
        <v>422889.60000000003</v>
      </c>
      <c r="Z920" s="748">
        <v>66.319999999999993</v>
      </c>
      <c r="AA920" s="607">
        <f t="shared" si="133"/>
        <v>246710.39999999997</v>
      </c>
      <c r="AB920" s="749">
        <f t="shared" si="134"/>
        <v>422889.60000000003</v>
      </c>
      <c r="AC920" s="714"/>
    </row>
    <row r="921" spans="1:29" x14ac:dyDescent="0.25">
      <c r="A921" s="713"/>
      <c r="B921" s="714" t="s">
        <v>1315</v>
      </c>
      <c r="C921" s="676" t="s">
        <v>40</v>
      </c>
      <c r="D921" s="676" t="s">
        <v>472</v>
      </c>
      <c r="E921" s="680">
        <v>44774</v>
      </c>
      <c r="F921" s="676">
        <v>744</v>
      </c>
      <c r="G921" s="676" t="s">
        <v>59</v>
      </c>
      <c r="H921" s="676" t="s">
        <v>3</v>
      </c>
      <c r="I921" s="676" t="s">
        <v>44</v>
      </c>
      <c r="J921" s="676" t="s">
        <v>85</v>
      </c>
      <c r="K921" s="676">
        <v>180</v>
      </c>
      <c r="L921" s="690" t="s">
        <v>54</v>
      </c>
      <c r="M921" s="691">
        <v>0</v>
      </c>
      <c r="N921" s="690">
        <v>5</v>
      </c>
      <c r="O921" s="691">
        <v>0</v>
      </c>
      <c r="P921" s="690">
        <v>180</v>
      </c>
      <c r="Q921" s="738">
        <f t="shared" si="126"/>
        <v>0</v>
      </c>
      <c r="R921" s="677">
        <f t="shared" si="127"/>
        <v>669600</v>
      </c>
      <c r="S921" s="739">
        <f t="shared" si="128"/>
        <v>669600</v>
      </c>
      <c r="T921" s="738">
        <v>76.900000000000006</v>
      </c>
      <c r="U921" s="677">
        <f t="shared" si="129"/>
        <v>286068</v>
      </c>
      <c r="V921" s="739">
        <f t="shared" si="130"/>
        <v>383532</v>
      </c>
      <c r="W921" s="740">
        <v>76.900000000000006</v>
      </c>
      <c r="X921" s="678">
        <f t="shared" si="131"/>
        <v>286068</v>
      </c>
      <c r="Y921" s="700">
        <f t="shared" si="132"/>
        <v>383532</v>
      </c>
      <c r="Z921" s="740">
        <v>76.900000000000006</v>
      </c>
      <c r="AA921" s="678">
        <f t="shared" si="133"/>
        <v>286068</v>
      </c>
      <c r="AB921" s="741">
        <f t="shared" si="134"/>
        <v>383532</v>
      </c>
      <c r="AC921" s="714"/>
    </row>
    <row r="922" spans="1:29" x14ac:dyDescent="0.25">
      <c r="A922" s="713"/>
      <c r="B922" s="729" t="s">
        <v>1315</v>
      </c>
      <c r="C922" s="545" t="s">
        <v>40</v>
      </c>
      <c r="D922" s="545" t="s">
        <v>472</v>
      </c>
      <c r="E922" s="681">
        <v>44805</v>
      </c>
      <c r="F922" s="545">
        <v>720</v>
      </c>
      <c r="G922" s="545" t="s">
        <v>59</v>
      </c>
      <c r="H922" s="545" t="s">
        <v>3</v>
      </c>
      <c r="I922" s="545" t="s">
        <v>44</v>
      </c>
      <c r="J922" s="545" t="s">
        <v>85</v>
      </c>
      <c r="K922" s="545">
        <v>180</v>
      </c>
      <c r="L922" s="725" t="s">
        <v>54</v>
      </c>
      <c r="M922" s="695">
        <v>0</v>
      </c>
      <c r="N922" s="725">
        <v>5</v>
      </c>
      <c r="O922" s="695">
        <v>0</v>
      </c>
      <c r="P922" s="725">
        <v>180</v>
      </c>
      <c r="Q922" s="742">
        <f t="shared" si="126"/>
        <v>0</v>
      </c>
      <c r="R922" s="603">
        <f t="shared" si="127"/>
        <v>648000</v>
      </c>
      <c r="S922" s="743">
        <f t="shared" si="128"/>
        <v>648000</v>
      </c>
      <c r="T922" s="742">
        <v>56.08</v>
      </c>
      <c r="U922" s="603">
        <f t="shared" si="129"/>
        <v>201888</v>
      </c>
      <c r="V922" s="743">
        <f t="shared" si="130"/>
        <v>446112</v>
      </c>
      <c r="W922" s="744">
        <v>56.08</v>
      </c>
      <c r="X922" s="604">
        <f t="shared" si="131"/>
        <v>201888</v>
      </c>
      <c r="Y922" s="701">
        <f t="shared" si="132"/>
        <v>446112</v>
      </c>
      <c r="Z922" s="744">
        <v>56.08</v>
      </c>
      <c r="AA922" s="604">
        <f t="shared" si="133"/>
        <v>201888</v>
      </c>
      <c r="AB922" s="745">
        <f t="shared" si="134"/>
        <v>446112</v>
      </c>
      <c r="AC922" s="714"/>
    </row>
    <row r="923" spans="1:29" x14ac:dyDescent="0.25">
      <c r="A923" s="713"/>
      <c r="B923" s="731" t="s">
        <v>1317</v>
      </c>
      <c r="C923" s="547" t="s">
        <v>40</v>
      </c>
      <c r="D923" s="547" t="s">
        <v>472</v>
      </c>
      <c r="E923" s="683">
        <v>44866</v>
      </c>
      <c r="F923" s="547">
        <v>720</v>
      </c>
      <c r="G923" s="547" t="s">
        <v>59</v>
      </c>
      <c r="H923" s="547" t="s">
        <v>3</v>
      </c>
      <c r="I923" s="547" t="s">
        <v>44</v>
      </c>
      <c r="J923" s="547" t="s">
        <v>85</v>
      </c>
      <c r="K923" s="547">
        <v>188</v>
      </c>
      <c r="L923" s="727" t="s">
        <v>54</v>
      </c>
      <c r="M923" s="697">
        <v>0</v>
      </c>
      <c r="N923" s="727">
        <v>7</v>
      </c>
      <c r="O923" s="697">
        <v>0</v>
      </c>
      <c r="P923" s="727">
        <v>188</v>
      </c>
      <c r="Q923" s="750">
        <f t="shared" si="126"/>
        <v>0</v>
      </c>
      <c r="R923" s="608">
        <f t="shared" si="127"/>
        <v>947520</v>
      </c>
      <c r="S923" s="751">
        <f t="shared" si="128"/>
        <v>947520</v>
      </c>
      <c r="T923" s="750">
        <v>55.7</v>
      </c>
      <c r="U923" s="608">
        <f t="shared" si="129"/>
        <v>280728</v>
      </c>
      <c r="V923" s="751">
        <f t="shared" si="130"/>
        <v>666792</v>
      </c>
      <c r="W923" s="752">
        <v>55.7</v>
      </c>
      <c r="X923" s="609">
        <f t="shared" si="131"/>
        <v>280728</v>
      </c>
      <c r="Y923" s="703">
        <f t="shared" si="132"/>
        <v>666792</v>
      </c>
      <c r="Z923" s="752">
        <v>55.7</v>
      </c>
      <c r="AA923" s="609">
        <f t="shared" si="133"/>
        <v>280728</v>
      </c>
      <c r="AB923" s="753">
        <f t="shared" si="134"/>
        <v>666792</v>
      </c>
      <c r="AC923" s="714"/>
    </row>
    <row r="924" spans="1:29" x14ac:dyDescent="0.25">
      <c r="A924" s="713"/>
      <c r="B924" s="731" t="s">
        <v>1319</v>
      </c>
      <c r="C924" s="547" t="s">
        <v>40</v>
      </c>
      <c r="D924" s="547" t="s">
        <v>472</v>
      </c>
      <c r="E924" s="683">
        <v>44896</v>
      </c>
      <c r="F924" s="547">
        <v>744</v>
      </c>
      <c r="G924" s="547" t="s">
        <v>59</v>
      </c>
      <c r="H924" s="547" t="s">
        <v>3</v>
      </c>
      <c r="I924" s="547" t="s">
        <v>44</v>
      </c>
      <c r="J924" s="547" t="s">
        <v>85</v>
      </c>
      <c r="K924" s="547">
        <v>168</v>
      </c>
      <c r="L924" s="727" t="s">
        <v>54</v>
      </c>
      <c r="M924" s="697">
        <v>0</v>
      </c>
      <c r="N924" s="727">
        <v>9.3000000000000007</v>
      </c>
      <c r="O924" s="697">
        <v>0</v>
      </c>
      <c r="P924" s="727">
        <v>168</v>
      </c>
      <c r="Q924" s="750">
        <f t="shared" si="126"/>
        <v>0</v>
      </c>
      <c r="R924" s="608">
        <f t="shared" si="127"/>
        <v>1162425.6000000001</v>
      </c>
      <c r="S924" s="751">
        <f t="shared" si="128"/>
        <v>1162425.6000000001</v>
      </c>
      <c r="T924" s="750">
        <v>55.7</v>
      </c>
      <c r="U924" s="608">
        <f t="shared" si="129"/>
        <v>385399.44000000006</v>
      </c>
      <c r="V924" s="751">
        <f t="shared" si="130"/>
        <v>777026.16</v>
      </c>
      <c r="W924" s="752">
        <v>55.7</v>
      </c>
      <c r="X924" s="609">
        <f t="shared" si="131"/>
        <v>385399.44000000006</v>
      </c>
      <c r="Y924" s="703">
        <f t="shared" si="132"/>
        <v>777026.16</v>
      </c>
      <c r="Z924" s="752">
        <v>78.400653594793155</v>
      </c>
      <c r="AA924" s="609">
        <f t="shared" si="133"/>
        <v>542469.80235309282</v>
      </c>
      <c r="AB924" s="753">
        <f t="shared" si="134"/>
        <v>619955.79764690727</v>
      </c>
      <c r="AC924" s="714"/>
    </row>
    <row r="925" spans="1:29" x14ac:dyDescent="0.25">
      <c r="A925" s="713"/>
      <c r="B925" s="731" t="s">
        <v>1321</v>
      </c>
      <c r="C925" s="547" t="s">
        <v>40</v>
      </c>
      <c r="D925" s="547" t="s">
        <v>531</v>
      </c>
      <c r="E925" s="683">
        <v>44593</v>
      </c>
      <c r="F925" s="547">
        <v>672</v>
      </c>
      <c r="G925" s="547" t="s">
        <v>59</v>
      </c>
      <c r="H925" s="547" t="s">
        <v>6</v>
      </c>
      <c r="I925" s="547" t="s">
        <v>44</v>
      </c>
      <c r="J925" s="547" t="s">
        <v>85</v>
      </c>
      <c r="K925" s="547">
        <v>202</v>
      </c>
      <c r="L925" s="727" t="s">
        <v>92</v>
      </c>
      <c r="M925" s="697">
        <v>0</v>
      </c>
      <c r="N925" s="727">
        <v>0.45</v>
      </c>
      <c r="O925" s="697">
        <v>0</v>
      </c>
      <c r="P925" s="727">
        <v>257.7</v>
      </c>
      <c r="Q925" s="750">
        <f t="shared" si="126"/>
        <v>0</v>
      </c>
      <c r="R925" s="608">
        <f t="shared" si="127"/>
        <v>77928.48000000001</v>
      </c>
      <c r="S925" s="751">
        <f t="shared" si="128"/>
        <v>77928.48000000001</v>
      </c>
      <c r="T925" s="750">
        <v>55.7</v>
      </c>
      <c r="U925" s="608">
        <f t="shared" si="129"/>
        <v>16843.680000000004</v>
      </c>
      <c r="V925" s="751">
        <f t="shared" si="130"/>
        <v>61084.800000000003</v>
      </c>
      <c r="W925" s="752">
        <v>55.7</v>
      </c>
      <c r="X925" s="609">
        <f t="shared" si="131"/>
        <v>16843.680000000004</v>
      </c>
      <c r="Y925" s="703">
        <f t="shared" si="132"/>
        <v>61084.800000000003</v>
      </c>
      <c r="Z925" s="752">
        <v>55.7</v>
      </c>
      <c r="AA925" s="609">
        <f t="shared" si="133"/>
        <v>16843.680000000004</v>
      </c>
      <c r="AB925" s="753">
        <f t="shared" si="134"/>
        <v>61084.800000000003</v>
      </c>
      <c r="AC925" s="714"/>
    </row>
    <row r="926" spans="1:29" x14ac:dyDescent="0.25">
      <c r="A926" s="713"/>
      <c r="B926" s="731" t="s">
        <v>1323</v>
      </c>
      <c r="C926" s="547" t="s">
        <v>40</v>
      </c>
      <c r="D926" s="547" t="s">
        <v>1297</v>
      </c>
      <c r="E926" s="683">
        <v>44896</v>
      </c>
      <c r="F926" s="547">
        <v>744</v>
      </c>
      <c r="G926" s="547" t="s">
        <v>59</v>
      </c>
      <c r="H926" s="547" t="s">
        <v>3</v>
      </c>
      <c r="I926" s="547" t="s">
        <v>44</v>
      </c>
      <c r="J926" s="547" t="s">
        <v>85</v>
      </c>
      <c r="K926" s="547">
        <v>168</v>
      </c>
      <c r="L926" s="727" t="s">
        <v>54</v>
      </c>
      <c r="M926" s="697">
        <v>0</v>
      </c>
      <c r="N926" s="727">
        <v>1</v>
      </c>
      <c r="O926" s="697">
        <v>0</v>
      </c>
      <c r="P926" s="727">
        <v>168</v>
      </c>
      <c r="Q926" s="750">
        <f t="shared" si="126"/>
        <v>0</v>
      </c>
      <c r="R926" s="608">
        <f t="shared" si="127"/>
        <v>124992</v>
      </c>
      <c r="S926" s="751">
        <f t="shared" si="128"/>
        <v>124992</v>
      </c>
      <c r="T926" s="750">
        <v>55.7</v>
      </c>
      <c r="U926" s="608">
        <f t="shared" si="129"/>
        <v>41440.800000000003</v>
      </c>
      <c r="V926" s="751">
        <f t="shared" si="130"/>
        <v>83551.199999999997</v>
      </c>
      <c r="W926" s="752">
        <v>55.7</v>
      </c>
      <c r="X926" s="609">
        <f t="shared" si="131"/>
        <v>41440.800000000003</v>
      </c>
      <c r="Y926" s="703">
        <f t="shared" si="132"/>
        <v>83551.199999999997</v>
      </c>
      <c r="Z926" s="752">
        <v>78.400653594793155</v>
      </c>
      <c r="AA926" s="609">
        <f t="shared" si="133"/>
        <v>58330.086274526111</v>
      </c>
      <c r="AB926" s="753">
        <f t="shared" si="134"/>
        <v>66661.913725473889</v>
      </c>
      <c r="AC926" s="714"/>
    </row>
    <row r="927" spans="1:29" x14ac:dyDescent="0.25">
      <c r="A927" s="713"/>
      <c r="B927" s="731" t="s">
        <v>1325</v>
      </c>
      <c r="C927" s="547" t="s">
        <v>40</v>
      </c>
      <c r="D927" s="547" t="s">
        <v>1297</v>
      </c>
      <c r="E927" s="683">
        <v>44866</v>
      </c>
      <c r="F927" s="547">
        <v>720</v>
      </c>
      <c r="G927" s="547" t="s">
        <v>59</v>
      </c>
      <c r="H927" s="547" t="s">
        <v>3</v>
      </c>
      <c r="I927" s="547" t="s">
        <v>44</v>
      </c>
      <c r="J927" s="547" t="s">
        <v>85</v>
      </c>
      <c r="K927" s="547">
        <v>188</v>
      </c>
      <c r="L927" s="727" t="s">
        <v>54</v>
      </c>
      <c r="M927" s="697">
        <v>0</v>
      </c>
      <c r="N927" s="727">
        <v>3</v>
      </c>
      <c r="O927" s="697">
        <v>0</v>
      </c>
      <c r="P927" s="727">
        <v>188</v>
      </c>
      <c r="Q927" s="750">
        <f t="shared" si="126"/>
        <v>0</v>
      </c>
      <c r="R927" s="608">
        <f t="shared" si="127"/>
        <v>406080</v>
      </c>
      <c r="S927" s="751">
        <f t="shared" si="128"/>
        <v>406080</v>
      </c>
      <c r="T927" s="750">
        <v>55.7</v>
      </c>
      <c r="U927" s="608">
        <f t="shared" si="129"/>
        <v>120312</v>
      </c>
      <c r="V927" s="751">
        <f t="shared" si="130"/>
        <v>285768</v>
      </c>
      <c r="W927" s="752">
        <v>55.7</v>
      </c>
      <c r="X927" s="609">
        <f t="shared" si="131"/>
        <v>120312</v>
      </c>
      <c r="Y927" s="703">
        <f t="shared" si="132"/>
        <v>285768</v>
      </c>
      <c r="Z927" s="752">
        <v>55.7</v>
      </c>
      <c r="AA927" s="609">
        <f t="shared" si="133"/>
        <v>120312</v>
      </c>
      <c r="AB927" s="753">
        <f t="shared" si="134"/>
        <v>285768</v>
      </c>
      <c r="AC927" s="714"/>
    </row>
    <row r="928" spans="1:29" x14ac:dyDescent="0.25">
      <c r="A928" s="713"/>
      <c r="B928" s="730" t="s">
        <v>1327</v>
      </c>
      <c r="C928" s="546" t="s">
        <v>40</v>
      </c>
      <c r="D928" s="546" t="s">
        <v>1297</v>
      </c>
      <c r="E928" s="682">
        <v>44743</v>
      </c>
      <c r="F928" s="546">
        <v>744</v>
      </c>
      <c r="G928" s="546" t="s">
        <v>59</v>
      </c>
      <c r="H928" s="546" t="s">
        <v>3</v>
      </c>
      <c r="I928" s="546" t="s">
        <v>44</v>
      </c>
      <c r="J928" s="546" t="s">
        <v>85</v>
      </c>
      <c r="K928" s="546">
        <v>180</v>
      </c>
      <c r="L928" s="726" t="s">
        <v>54</v>
      </c>
      <c r="M928" s="696">
        <v>0</v>
      </c>
      <c r="N928" s="726">
        <v>2</v>
      </c>
      <c r="O928" s="696">
        <v>0</v>
      </c>
      <c r="P928" s="726">
        <v>180</v>
      </c>
      <c r="Q928" s="746">
        <f t="shared" si="126"/>
        <v>0</v>
      </c>
      <c r="R928" s="606">
        <f t="shared" si="127"/>
        <v>267840</v>
      </c>
      <c r="S928" s="747">
        <f t="shared" si="128"/>
        <v>267840</v>
      </c>
      <c r="T928" s="746">
        <v>66.319999999999993</v>
      </c>
      <c r="U928" s="606">
        <f t="shared" si="129"/>
        <v>98684.159999999989</v>
      </c>
      <c r="V928" s="747">
        <f t="shared" si="130"/>
        <v>169155.84000000003</v>
      </c>
      <c r="W928" s="748">
        <v>66.319999999999993</v>
      </c>
      <c r="X928" s="607">
        <f t="shared" si="131"/>
        <v>98684.159999999989</v>
      </c>
      <c r="Y928" s="702">
        <f t="shared" si="132"/>
        <v>169155.84000000003</v>
      </c>
      <c r="Z928" s="748">
        <v>66.319999999999993</v>
      </c>
      <c r="AA928" s="607">
        <f t="shared" si="133"/>
        <v>98684.159999999989</v>
      </c>
      <c r="AB928" s="749">
        <f t="shared" si="134"/>
        <v>169155.84000000003</v>
      </c>
      <c r="AC928" s="714"/>
    </row>
    <row r="929" spans="1:29" x14ac:dyDescent="0.25">
      <c r="A929" s="713"/>
      <c r="B929" s="714" t="s">
        <v>1327</v>
      </c>
      <c r="C929" s="676" t="s">
        <v>40</v>
      </c>
      <c r="D929" s="676" t="s">
        <v>1297</v>
      </c>
      <c r="E929" s="680">
        <v>44774</v>
      </c>
      <c r="F929" s="676">
        <v>744</v>
      </c>
      <c r="G929" s="676" t="s">
        <v>59</v>
      </c>
      <c r="H929" s="676" t="s">
        <v>3</v>
      </c>
      <c r="I929" s="676" t="s">
        <v>44</v>
      </c>
      <c r="J929" s="676" t="s">
        <v>85</v>
      </c>
      <c r="K929" s="676">
        <v>180</v>
      </c>
      <c r="L929" s="690" t="s">
        <v>54</v>
      </c>
      <c r="M929" s="691">
        <v>0</v>
      </c>
      <c r="N929" s="690">
        <v>2</v>
      </c>
      <c r="O929" s="691">
        <v>0</v>
      </c>
      <c r="P929" s="690">
        <v>180</v>
      </c>
      <c r="Q929" s="738">
        <f t="shared" si="126"/>
        <v>0</v>
      </c>
      <c r="R929" s="677">
        <f t="shared" si="127"/>
        <v>267840</v>
      </c>
      <c r="S929" s="739">
        <f t="shared" si="128"/>
        <v>267840</v>
      </c>
      <c r="T929" s="738">
        <v>76.900000000000006</v>
      </c>
      <c r="U929" s="677">
        <f t="shared" si="129"/>
        <v>114427.20000000001</v>
      </c>
      <c r="V929" s="739">
        <f t="shared" si="130"/>
        <v>153412.79999999999</v>
      </c>
      <c r="W929" s="740">
        <v>76.900000000000006</v>
      </c>
      <c r="X929" s="678">
        <f t="shared" si="131"/>
        <v>114427.20000000001</v>
      </c>
      <c r="Y929" s="700">
        <f t="shared" si="132"/>
        <v>153412.79999999999</v>
      </c>
      <c r="Z929" s="740">
        <v>76.900000000000006</v>
      </c>
      <c r="AA929" s="678">
        <f t="shared" si="133"/>
        <v>114427.20000000001</v>
      </c>
      <c r="AB929" s="741">
        <f t="shared" si="134"/>
        <v>153412.79999999999</v>
      </c>
      <c r="AC929" s="714"/>
    </row>
    <row r="930" spans="1:29" x14ac:dyDescent="0.25">
      <c r="A930" s="713"/>
      <c r="B930" s="729" t="s">
        <v>1327</v>
      </c>
      <c r="C930" s="545" t="s">
        <v>40</v>
      </c>
      <c r="D930" s="545" t="s">
        <v>1297</v>
      </c>
      <c r="E930" s="681">
        <v>44805</v>
      </c>
      <c r="F930" s="545">
        <v>720</v>
      </c>
      <c r="G930" s="545" t="s">
        <v>59</v>
      </c>
      <c r="H930" s="545" t="s">
        <v>3</v>
      </c>
      <c r="I930" s="545" t="s">
        <v>44</v>
      </c>
      <c r="J930" s="545" t="s">
        <v>85</v>
      </c>
      <c r="K930" s="545">
        <v>180</v>
      </c>
      <c r="L930" s="725" t="s">
        <v>54</v>
      </c>
      <c r="M930" s="695">
        <v>0</v>
      </c>
      <c r="N930" s="725">
        <v>2</v>
      </c>
      <c r="O930" s="695">
        <v>0</v>
      </c>
      <c r="P930" s="725">
        <v>180</v>
      </c>
      <c r="Q930" s="742">
        <f t="shared" si="126"/>
        <v>0</v>
      </c>
      <c r="R930" s="603">
        <f t="shared" si="127"/>
        <v>259200</v>
      </c>
      <c r="S930" s="743">
        <f t="shared" si="128"/>
        <v>259200</v>
      </c>
      <c r="T930" s="742">
        <v>56.08</v>
      </c>
      <c r="U930" s="603">
        <f t="shared" si="129"/>
        <v>80755.199999999997</v>
      </c>
      <c r="V930" s="743">
        <f t="shared" si="130"/>
        <v>178444.79999999999</v>
      </c>
      <c r="W930" s="744">
        <v>56.08</v>
      </c>
      <c r="X930" s="604">
        <f t="shared" si="131"/>
        <v>80755.199999999997</v>
      </c>
      <c r="Y930" s="701">
        <f t="shared" si="132"/>
        <v>178444.79999999999</v>
      </c>
      <c r="Z930" s="744">
        <v>56.08</v>
      </c>
      <c r="AA930" s="604">
        <f t="shared" si="133"/>
        <v>80755.199999999997</v>
      </c>
      <c r="AB930" s="745">
        <f t="shared" si="134"/>
        <v>178444.79999999999</v>
      </c>
      <c r="AC930" s="714"/>
    </row>
    <row r="931" spans="1:29" x14ac:dyDescent="0.25">
      <c r="A931" s="713"/>
      <c r="B931" s="731" t="s">
        <v>1329</v>
      </c>
      <c r="C931" s="547" t="s">
        <v>40</v>
      </c>
      <c r="D931" s="547" t="s">
        <v>470</v>
      </c>
      <c r="E931" s="683">
        <v>44593</v>
      </c>
      <c r="F931" s="547">
        <v>672</v>
      </c>
      <c r="G931" s="547" t="s">
        <v>59</v>
      </c>
      <c r="H931" s="547" t="s">
        <v>5</v>
      </c>
      <c r="I931" s="547" t="s">
        <v>44</v>
      </c>
      <c r="J931" s="547" t="s">
        <v>85</v>
      </c>
      <c r="K931" s="547">
        <v>43</v>
      </c>
      <c r="L931" s="727" t="s">
        <v>92</v>
      </c>
      <c r="M931" s="697">
        <v>0</v>
      </c>
      <c r="N931" s="727">
        <v>3</v>
      </c>
      <c r="O931" s="697">
        <v>0</v>
      </c>
      <c r="P931" s="727">
        <v>98.7</v>
      </c>
      <c r="Q931" s="750">
        <f t="shared" si="126"/>
        <v>0</v>
      </c>
      <c r="R931" s="608">
        <f t="shared" si="127"/>
        <v>198979.20000000001</v>
      </c>
      <c r="S931" s="751">
        <f t="shared" si="128"/>
        <v>198979.20000000001</v>
      </c>
      <c r="T931" s="750">
        <v>55.7</v>
      </c>
      <c r="U931" s="608">
        <f t="shared" si="129"/>
        <v>112291.20000000001</v>
      </c>
      <c r="V931" s="751">
        <f t="shared" si="130"/>
        <v>86688</v>
      </c>
      <c r="W931" s="752">
        <v>55.7</v>
      </c>
      <c r="X931" s="609">
        <f t="shared" si="131"/>
        <v>112291.20000000001</v>
      </c>
      <c r="Y931" s="703">
        <f t="shared" si="132"/>
        <v>86688</v>
      </c>
      <c r="Z931" s="752">
        <v>55.7</v>
      </c>
      <c r="AA931" s="609">
        <f t="shared" si="133"/>
        <v>112291.20000000001</v>
      </c>
      <c r="AB931" s="753">
        <f t="shared" si="134"/>
        <v>86688</v>
      </c>
      <c r="AC931" s="714"/>
    </row>
    <row r="932" spans="1:29" x14ac:dyDescent="0.25">
      <c r="A932" s="713"/>
      <c r="B932" s="731" t="s">
        <v>1331</v>
      </c>
      <c r="C932" s="547" t="s">
        <v>40</v>
      </c>
      <c r="D932" s="547" t="s">
        <v>531</v>
      </c>
      <c r="E932" s="683">
        <v>44713</v>
      </c>
      <c r="F932" s="547">
        <v>720</v>
      </c>
      <c r="G932" s="547" t="s">
        <v>59</v>
      </c>
      <c r="H932" s="547" t="s">
        <v>3</v>
      </c>
      <c r="I932" s="547" t="s">
        <v>44</v>
      </c>
      <c r="J932" s="547" t="s">
        <v>85</v>
      </c>
      <c r="K932" s="547">
        <v>125</v>
      </c>
      <c r="L932" s="727" t="s">
        <v>54</v>
      </c>
      <c r="M932" s="697">
        <v>0</v>
      </c>
      <c r="N932" s="727">
        <v>2</v>
      </c>
      <c r="O932" s="697">
        <v>0</v>
      </c>
      <c r="P932" s="727">
        <v>125</v>
      </c>
      <c r="Q932" s="750">
        <f t="shared" si="126"/>
        <v>0</v>
      </c>
      <c r="R932" s="608">
        <f t="shared" si="127"/>
        <v>180000</v>
      </c>
      <c r="S932" s="751">
        <f t="shared" si="128"/>
        <v>180000</v>
      </c>
      <c r="T932" s="750">
        <v>55.71</v>
      </c>
      <c r="U932" s="608">
        <f t="shared" si="129"/>
        <v>80222.399999999994</v>
      </c>
      <c r="V932" s="751">
        <f t="shared" si="130"/>
        <v>99777.600000000006</v>
      </c>
      <c r="W932" s="752">
        <v>55.71</v>
      </c>
      <c r="X932" s="609">
        <f t="shared" si="131"/>
        <v>80222.399999999994</v>
      </c>
      <c r="Y932" s="703">
        <f t="shared" si="132"/>
        <v>99777.600000000006</v>
      </c>
      <c r="Z932" s="752">
        <v>55.71</v>
      </c>
      <c r="AA932" s="609">
        <f t="shared" si="133"/>
        <v>80222.399999999994</v>
      </c>
      <c r="AB932" s="753">
        <f t="shared" si="134"/>
        <v>99777.600000000006</v>
      </c>
      <c r="AC932" s="714"/>
    </row>
    <row r="933" spans="1:29" x14ac:dyDescent="0.25">
      <c r="A933" s="713"/>
      <c r="B933" s="731" t="s">
        <v>1333</v>
      </c>
      <c r="C933" s="547" t="s">
        <v>40</v>
      </c>
      <c r="D933" s="547" t="s">
        <v>531</v>
      </c>
      <c r="E933" s="683">
        <v>44713</v>
      </c>
      <c r="F933" s="547">
        <v>720</v>
      </c>
      <c r="G933" s="547" t="s">
        <v>59</v>
      </c>
      <c r="H933" s="547" t="s">
        <v>3</v>
      </c>
      <c r="I933" s="547" t="s">
        <v>44</v>
      </c>
      <c r="J933" s="547" t="s">
        <v>85</v>
      </c>
      <c r="K933" s="547">
        <v>125</v>
      </c>
      <c r="L933" s="727" t="s">
        <v>54</v>
      </c>
      <c r="M933" s="697">
        <v>0</v>
      </c>
      <c r="N933" s="727">
        <v>3</v>
      </c>
      <c r="O933" s="697">
        <v>0</v>
      </c>
      <c r="P933" s="727">
        <v>125</v>
      </c>
      <c r="Q933" s="750">
        <f t="shared" si="126"/>
        <v>0</v>
      </c>
      <c r="R933" s="608">
        <f t="shared" si="127"/>
        <v>270000</v>
      </c>
      <c r="S933" s="751">
        <f t="shared" si="128"/>
        <v>270000</v>
      </c>
      <c r="T933" s="750">
        <v>55.71</v>
      </c>
      <c r="U933" s="608">
        <f t="shared" si="129"/>
        <v>120333.6</v>
      </c>
      <c r="V933" s="751">
        <f t="shared" si="130"/>
        <v>149666.4</v>
      </c>
      <c r="W933" s="752">
        <v>55.71</v>
      </c>
      <c r="X933" s="609">
        <f t="shared" si="131"/>
        <v>120333.6</v>
      </c>
      <c r="Y933" s="703">
        <f t="shared" si="132"/>
        <v>149666.4</v>
      </c>
      <c r="Z933" s="752">
        <v>55.71</v>
      </c>
      <c r="AA933" s="609">
        <f t="shared" si="133"/>
        <v>120333.6</v>
      </c>
      <c r="AB933" s="753">
        <f t="shared" si="134"/>
        <v>149666.4</v>
      </c>
      <c r="AC933" s="714"/>
    </row>
    <row r="934" spans="1:29" x14ac:dyDescent="0.25">
      <c r="A934" s="713"/>
      <c r="B934" s="731" t="s">
        <v>1335</v>
      </c>
      <c r="C934" s="547" t="s">
        <v>40</v>
      </c>
      <c r="D934" s="547" t="s">
        <v>466</v>
      </c>
      <c r="E934" s="683">
        <v>44593</v>
      </c>
      <c r="F934" s="547">
        <v>672</v>
      </c>
      <c r="G934" s="547" t="s">
        <v>59</v>
      </c>
      <c r="H934" s="547" t="s">
        <v>6</v>
      </c>
      <c r="I934" s="547" t="s">
        <v>44</v>
      </c>
      <c r="J934" s="547" t="s">
        <v>85</v>
      </c>
      <c r="K934" s="547">
        <v>205</v>
      </c>
      <c r="L934" s="727" t="s">
        <v>92</v>
      </c>
      <c r="M934" s="697">
        <v>0</v>
      </c>
      <c r="N934" s="727">
        <v>0.54910700000000001</v>
      </c>
      <c r="O934" s="697">
        <v>0</v>
      </c>
      <c r="P934" s="727">
        <v>260.7</v>
      </c>
      <c r="Q934" s="750">
        <f t="shared" si="126"/>
        <v>0</v>
      </c>
      <c r="R934" s="608">
        <f t="shared" si="127"/>
        <v>96198.274972800005</v>
      </c>
      <c r="S934" s="751">
        <f t="shared" si="128"/>
        <v>96198.274972800005</v>
      </c>
      <c r="T934" s="750">
        <v>55.7</v>
      </c>
      <c r="U934" s="608">
        <f t="shared" si="129"/>
        <v>20553.294652800003</v>
      </c>
      <c r="V934" s="751">
        <f t="shared" si="130"/>
        <v>75644.980320000002</v>
      </c>
      <c r="W934" s="752">
        <v>55.7</v>
      </c>
      <c r="X934" s="609">
        <f t="shared" si="131"/>
        <v>20553.294652800003</v>
      </c>
      <c r="Y934" s="703">
        <f t="shared" si="132"/>
        <v>75644.980320000002</v>
      </c>
      <c r="Z934" s="752">
        <v>55.7</v>
      </c>
      <c r="AA934" s="609">
        <f t="shared" si="133"/>
        <v>20553.294652800003</v>
      </c>
      <c r="AB934" s="753">
        <f t="shared" si="134"/>
        <v>75644.980320000002</v>
      </c>
      <c r="AC934" s="714"/>
    </row>
    <row r="935" spans="1:29" x14ac:dyDescent="0.25">
      <c r="A935" s="713"/>
      <c r="B935" s="731" t="s">
        <v>1337</v>
      </c>
      <c r="C935" s="547" t="s">
        <v>40</v>
      </c>
      <c r="D935" s="547" t="s">
        <v>346</v>
      </c>
      <c r="E935" s="683">
        <v>44805</v>
      </c>
      <c r="F935" s="547">
        <v>720</v>
      </c>
      <c r="G935" s="547" t="s">
        <v>59</v>
      </c>
      <c r="H935" s="547" t="s">
        <v>3</v>
      </c>
      <c r="I935" s="547" t="s">
        <v>44</v>
      </c>
      <c r="J935" s="547" t="s">
        <v>85</v>
      </c>
      <c r="K935" s="547">
        <v>192</v>
      </c>
      <c r="L935" s="727" t="s">
        <v>54</v>
      </c>
      <c r="M935" s="697">
        <v>0</v>
      </c>
      <c r="N935" s="727">
        <v>0.7</v>
      </c>
      <c r="O935" s="697">
        <v>0</v>
      </c>
      <c r="P935" s="727">
        <v>192</v>
      </c>
      <c r="Q935" s="750">
        <f t="shared" si="126"/>
        <v>0</v>
      </c>
      <c r="R935" s="608">
        <f t="shared" si="127"/>
        <v>96767.999999999985</v>
      </c>
      <c r="S935" s="751">
        <f t="shared" si="128"/>
        <v>96767.999999999985</v>
      </c>
      <c r="T935" s="750">
        <v>56.08</v>
      </c>
      <c r="U935" s="608">
        <f t="shared" si="129"/>
        <v>28264.319999999996</v>
      </c>
      <c r="V935" s="751">
        <f t="shared" si="130"/>
        <v>68503.679999999993</v>
      </c>
      <c r="W935" s="752">
        <v>56.08</v>
      </c>
      <c r="X935" s="609">
        <f t="shared" si="131"/>
        <v>28264.319999999996</v>
      </c>
      <c r="Y935" s="703">
        <f t="shared" si="132"/>
        <v>68503.679999999993</v>
      </c>
      <c r="Z935" s="752">
        <v>56.08</v>
      </c>
      <c r="AA935" s="609">
        <f t="shared" si="133"/>
        <v>28264.319999999996</v>
      </c>
      <c r="AB935" s="753">
        <f t="shared" si="134"/>
        <v>68503.679999999993</v>
      </c>
      <c r="AC935" s="714"/>
    </row>
    <row r="936" spans="1:29" x14ac:dyDescent="0.25">
      <c r="A936" s="713"/>
      <c r="B936" s="731" t="s">
        <v>1339</v>
      </c>
      <c r="C936" s="547" t="s">
        <v>40</v>
      </c>
      <c r="D936" s="547" t="s">
        <v>346</v>
      </c>
      <c r="E936" s="683">
        <v>44805</v>
      </c>
      <c r="F936" s="547">
        <v>720</v>
      </c>
      <c r="G936" s="547" t="s">
        <v>58</v>
      </c>
      <c r="H936" s="547" t="s">
        <v>3</v>
      </c>
      <c r="I936" s="547" t="s">
        <v>44</v>
      </c>
      <c r="J936" s="547" t="s">
        <v>84</v>
      </c>
      <c r="K936" s="547">
        <v>192</v>
      </c>
      <c r="L936" s="727" t="s">
        <v>54</v>
      </c>
      <c r="M936" s="697">
        <v>0.7</v>
      </c>
      <c r="N936" s="727">
        <v>0</v>
      </c>
      <c r="O936" s="697">
        <v>192</v>
      </c>
      <c r="P936" s="727">
        <v>0</v>
      </c>
      <c r="Q936" s="750">
        <f t="shared" si="126"/>
        <v>96767.999999999985</v>
      </c>
      <c r="R936" s="608">
        <f t="shared" si="127"/>
        <v>0</v>
      </c>
      <c r="S936" s="751">
        <f t="shared" si="128"/>
        <v>-96767.999999999985</v>
      </c>
      <c r="T936" s="750">
        <v>56.08</v>
      </c>
      <c r="U936" s="608">
        <f t="shared" si="129"/>
        <v>-28264.319999999996</v>
      </c>
      <c r="V936" s="751">
        <f t="shared" si="130"/>
        <v>-68503.679999999993</v>
      </c>
      <c r="W936" s="752">
        <v>56.08</v>
      </c>
      <c r="X936" s="609">
        <f t="shared" si="131"/>
        <v>-28264.319999999996</v>
      </c>
      <c r="Y936" s="703">
        <f t="shared" si="132"/>
        <v>-68503.679999999993</v>
      </c>
      <c r="Z936" s="752">
        <v>56.08</v>
      </c>
      <c r="AA936" s="609">
        <f t="shared" si="133"/>
        <v>-28264.319999999996</v>
      </c>
      <c r="AB936" s="753">
        <f t="shared" si="134"/>
        <v>-68503.679999999993</v>
      </c>
      <c r="AC936" s="714"/>
    </row>
    <row r="937" spans="1:29" x14ac:dyDescent="0.25">
      <c r="A937" s="713"/>
      <c r="B937" s="731" t="s">
        <v>1341</v>
      </c>
      <c r="C937" s="547" t="s">
        <v>40</v>
      </c>
      <c r="D937" s="547" t="s">
        <v>346</v>
      </c>
      <c r="E937" s="683">
        <v>44774</v>
      </c>
      <c r="F937" s="547">
        <v>744</v>
      </c>
      <c r="G937" s="547" t="s">
        <v>59</v>
      </c>
      <c r="H937" s="547" t="s">
        <v>3</v>
      </c>
      <c r="I937" s="547" t="s">
        <v>44</v>
      </c>
      <c r="J937" s="547" t="s">
        <v>85</v>
      </c>
      <c r="K937" s="547">
        <v>192</v>
      </c>
      <c r="L937" s="727" t="s">
        <v>54</v>
      </c>
      <c r="M937" s="697">
        <v>0</v>
      </c>
      <c r="N937" s="727">
        <v>1.1000000000000001</v>
      </c>
      <c r="O937" s="697">
        <v>0</v>
      </c>
      <c r="P937" s="727">
        <v>192</v>
      </c>
      <c r="Q937" s="750">
        <f t="shared" si="126"/>
        <v>0</v>
      </c>
      <c r="R937" s="608">
        <f t="shared" si="127"/>
        <v>157132.80000000002</v>
      </c>
      <c r="S937" s="751">
        <f t="shared" si="128"/>
        <v>157132.80000000002</v>
      </c>
      <c r="T937" s="750">
        <v>76.900000000000006</v>
      </c>
      <c r="U937" s="608">
        <f t="shared" si="129"/>
        <v>62934.960000000014</v>
      </c>
      <c r="V937" s="751">
        <f t="shared" si="130"/>
        <v>94197.84</v>
      </c>
      <c r="W937" s="752">
        <v>76.900000000000006</v>
      </c>
      <c r="X937" s="609">
        <f t="shared" si="131"/>
        <v>62934.960000000014</v>
      </c>
      <c r="Y937" s="703">
        <f t="shared" si="132"/>
        <v>94197.84</v>
      </c>
      <c r="Z937" s="752">
        <v>76.900000000000006</v>
      </c>
      <c r="AA937" s="609">
        <f t="shared" si="133"/>
        <v>62934.960000000014</v>
      </c>
      <c r="AB937" s="753">
        <f t="shared" si="134"/>
        <v>94197.84</v>
      </c>
      <c r="AC937" s="714"/>
    </row>
    <row r="938" spans="1:29" x14ac:dyDescent="0.25">
      <c r="A938" s="713"/>
      <c r="B938" s="731" t="s">
        <v>1343</v>
      </c>
      <c r="C938" s="547" t="s">
        <v>40</v>
      </c>
      <c r="D938" s="547" t="s">
        <v>346</v>
      </c>
      <c r="E938" s="683">
        <v>44774</v>
      </c>
      <c r="F938" s="547">
        <v>744</v>
      </c>
      <c r="G938" s="547" t="s">
        <v>58</v>
      </c>
      <c r="H938" s="547" t="s">
        <v>3</v>
      </c>
      <c r="I938" s="547" t="s">
        <v>44</v>
      </c>
      <c r="J938" s="547" t="s">
        <v>84</v>
      </c>
      <c r="K938" s="547">
        <v>192</v>
      </c>
      <c r="L938" s="727" t="s">
        <v>54</v>
      </c>
      <c r="M938" s="697">
        <v>1.1000000000000001</v>
      </c>
      <c r="N938" s="727">
        <v>0</v>
      </c>
      <c r="O938" s="697">
        <v>192</v>
      </c>
      <c r="P938" s="727">
        <v>0</v>
      </c>
      <c r="Q938" s="750">
        <f t="shared" si="126"/>
        <v>157132.80000000002</v>
      </c>
      <c r="R938" s="608">
        <f t="shared" si="127"/>
        <v>0</v>
      </c>
      <c r="S938" s="751">
        <f t="shared" si="128"/>
        <v>-157132.80000000002</v>
      </c>
      <c r="T938" s="750">
        <v>76.900000000000006</v>
      </c>
      <c r="U938" s="608">
        <f t="shared" si="129"/>
        <v>-62934.960000000014</v>
      </c>
      <c r="V938" s="751">
        <f t="shared" si="130"/>
        <v>-94197.84</v>
      </c>
      <c r="W938" s="752">
        <v>76.900000000000006</v>
      </c>
      <c r="X938" s="609">
        <f t="shared" si="131"/>
        <v>-62934.960000000014</v>
      </c>
      <c r="Y938" s="703">
        <f t="shared" si="132"/>
        <v>-94197.84</v>
      </c>
      <c r="Z938" s="752">
        <v>76.900000000000006</v>
      </c>
      <c r="AA938" s="609">
        <f t="shared" si="133"/>
        <v>-62934.960000000014</v>
      </c>
      <c r="AB938" s="753">
        <f t="shared" si="134"/>
        <v>-94197.84</v>
      </c>
      <c r="AC938" s="714"/>
    </row>
    <row r="939" spans="1:29" x14ac:dyDescent="0.25">
      <c r="A939" s="713"/>
      <c r="B939" s="731" t="s">
        <v>1345</v>
      </c>
      <c r="C939" s="547" t="s">
        <v>40</v>
      </c>
      <c r="D939" s="547" t="s">
        <v>1135</v>
      </c>
      <c r="E939" s="683">
        <v>44805</v>
      </c>
      <c r="F939" s="547">
        <v>720</v>
      </c>
      <c r="G939" s="547" t="s">
        <v>59</v>
      </c>
      <c r="H939" s="547" t="s">
        <v>3</v>
      </c>
      <c r="I939" s="547" t="s">
        <v>44</v>
      </c>
      <c r="J939" s="547" t="s">
        <v>85</v>
      </c>
      <c r="K939" s="547">
        <v>192</v>
      </c>
      <c r="L939" s="727" t="s">
        <v>54</v>
      </c>
      <c r="M939" s="697">
        <v>0</v>
      </c>
      <c r="N939" s="727">
        <v>3</v>
      </c>
      <c r="O939" s="697">
        <v>0</v>
      </c>
      <c r="P939" s="727">
        <v>192</v>
      </c>
      <c r="Q939" s="750">
        <f t="shared" si="126"/>
        <v>0</v>
      </c>
      <c r="R939" s="608">
        <f t="shared" si="127"/>
        <v>414720</v>
      </c>
      <c r="S939" s="751">
        <f t="shared" si="128"/>
        <v>414720</v>
      </c>
      <c r="T939" s="750">
        <v>56.08</v>
      </c>
      <c r="U939" s="608">
        <f t="shared" si="129"/>
        <v>121132.8</v>
      </c>
      <c r="V939" s="751">
        <f t="shared" si="130"/>
        <v>293587.20000000001</v>
      </c>
      <c r="W939" s="752">
        <v>56.08</v>
      </c>
      <c r="X939" s="609">
        <f t="shared" si="131"/>
        <v>121132.8</v>
      </c>
      <c r="Y939" s="703">
        <f t="shared" si="132"/>
        <v>293587.20000000001</v>
      </c>
      <c r="Z939" s="752">
        <v>56.08</v>
      </c>
      <c r="AA939" s="609">
        <f t="shared" si="133"/>
        <v>121132.8</v>
      </c>
      <c r="AB939" s="753">
        <f t="shared" si="134"/>
        <v>293587.20000000001</v>
      </c>
      <c r="AC939" s="714"/>
    </row>
    <row r="940" spans="1:29" x14ac:dyDescent="0.25">
      <c r="A940" s="713"/>
      <c r="B940" s="731" t="s">
        <v>1347</v>
      </c>
      <c r="C940" s="547" t="s">
        <v>40</v>
      </c>
      <c r="D940" s="547" t="s">
        <v>1073</v>
      </c>
      <c r="E940" s="683">
        <v>44593</v>
      </c>
      <c r="F940" s="547">
        <v>672</v>
      </c>
      <c r="G940" s="547" t="s">
        <v>59</v>
      </c>
      <c r="H940" s="547" t="s">
        <v>5</v>
      </c>
      <c r="I940" s="547" t="s">
        <v>44</v>
      </c>
      <c r="J940" s="547" t="s">
        <v>85</v>
      </c>
      <c r="K940" s="547">
        <v>42</v>
      </c>
      <c r="L940" s="727" t="s">
        <v>92</v>
      </c>
      <c r="M940" s="697">
        <v>0</v>
      </c>
      <c r="N940" s="727">
        <v>10</v>
      </c>
      <c r="O940" s="697">
        <v>0</v>
      </c>
      <c r="P940" s="727">
        <v>97.7</v>
      </c>
      <c r="Q940" s="750">
        <f t="shared" si="126"/>
        <v>0</v>
      </c>
      <c r="R940" s="608">
        <f t="shared" si="127"/>
        <v>656544</v>
      </c>
      <c r="S940" s="751">
        <f t="shared" si="128"/>
        <v>656544</v>
      </c>
      <c r="T940" s="750">
        <v>55.7</v>
      </c>
      <c r="U940" s="608">
        <f t="shared" si="129"/>
        <v>374304</v>
      </c>
      <c r="V940" s="751">
        <f t="shared" si="130"/>
        <v>282240</v>
      </c>
      <c r="W940" s="752">
        <v>55.7</v>
      </c>
      <c r="X940" s="609">
        <f t="shared" si="131"/>
        <v>374304</v>
      </c>
      <c r="Y940" s="703">
        <f t="shared" si="132"/>
        <v>282240</v>
      </c>
      <c r="Z940" s="752">
        <v>55.7</v>
      </c>
      <c r="AA940" s="609">
        <f t="shared" si="133"/>
        <v>374304</v>
      </c>
      <c r="AB940" s="753">
        <f t="shared" si="134"/>
        <v>282240</v>
      </c>
      <c r="AC940" s="714"/>
    </row>
    <row r="941" spans="1:29" x14ac:dyDescent="0.25">
      <c r="A941" s="713"/>
      <c r="B941" s="731" t="s">
        <v>1356</v>
      </c>
      <c r="C941" s="547" t="s">
        <v>40</v>
      </c>
      <c r="D941" s="547" t="s">
        <v>475</v>
      </c>
      <c r="E941" s="683">
        <v>44593</v>
      </c>
      <c r="F941" s="547">
        <v>672</v>
      </c>
      <c r="G941" s="547" t="s">
        <v>59</v>
      </c>
      <c r="H941" s="547" t="s">
        <v>5</v>
      </c>
      <c r="I941" s="547" t="s">
        <v>44</v>
      </c>
      <c r="J941" s="547" t="s">
        <v>85</v>
      </c>
      <c r="K941" s="547">
        <v>43</v>
      </c>
      <c r="L941" s="727" t="s">
        <v>92</v>
      </c>
      <c r="M941" s="697">
        <v>0</v>
      </c>
      <c r="N941" s="727">
        <v>0.6</v>
      </c>
      <c r="O941" s="697">
        <v>0</v>
      </c>
      <c r="P941" s="727">
        <v>98.7</v>
      </c>
      <c r="Q941" s="750">
        <f t="shared" si="126"/>
        <v>0</v>
      </c>
      <c r="R941" s="608">
        <f t="shared" si="127"/>
        <v>39795.839999999997</v>
      </c>
      <c r="S941" s="751">
        <f t="shared" si="128"/>
        <v>39795.839999999997</v>
      </c>
      <c r="T941" s="750">
        <v>55.7</v>
      </c>
      <c r="U941" s="608">
        <f t="shared" si="129"/>
        <v>22458.240000000002</v>
      </c>
      <c r="V941" s="751">
        <f t="shared" si="130"/>
        <v>17337.599999999995</v>
      </c>
      <c r="W941" s="752">
        <v>55.7</v>
      </c>
      <c r="X941" s="609">
        <f t="shared" si="131"/>
        <v>22458.240000000002</v>
      </c>
      <c r="Y941" s="703">
        <f t="shared" si="132"/>
        <v>17337.599999999995</v>
      </c>
      <c r="Z941" s="752">
        <v>55.7</v>
      </c>
      <c r="AA941" s="609">
        <f t="shared" si="133"/>
        <v>22458.240000000002</v>
      </c>
      <c r="AB941" s="753">
        <f t="shared" si="134"/>
        <v>17337.599999999995</v>
      </c>
      <c r="AC941" s="714"/>
    </row>
    <row r="942" spans="1:29" x14ac:dyDescent="0.25">
      <c r="A942" s="713"/>
      <c r="B942" s="731" t="s">
        <v>1358</v>
      </c>
      <c r="C942" s="547" t="s">
        <v>40</v>
      </c>
      <c r="D942" s="547" t="s">
        <v>620</v>
      </c>
      <c r="E942" s="683">
        <v>44593</v>
      </c>
      <c r="F942" s="547">
        <v>672</v>
      </c>
      <c r="G942" s="547" t="s">
        <v>59</v>
      </c>
      <c r="H942" s="547" t="s">
        <v>3</v>
      </c>
      <c r="I942" s="547" t="s">
        <v>44</v>
      </c>
      <c r="J942" s="547" t="s">
        <v>85</v>
      </c>
      <c r="K942" s="547">
        <v>1.3</v>
      </c>
      <c r="L942" s="727" t="s">
        <v>92</v>
      </c>
      <c r="M942" s="697">
        <v>0</v>
      </c>
      <c r="N942" s="727">
        <v>2.9</v>
      </c>
      <c r="O942" s="697">
        <v>0</v>
      </c>
      <c r="P942" s="727">
        <v>57</v>
      </c>
      <c r="Q942" s="750">
        <f t="shared" si="126"/>
        <v>0</v>
      </c>
      <c r="R942" s="608">
        <f t="shared" si="127"/>
        <v>111081.59999999999</v>
      </c>
      <c r="S942" s="751">
        <f t="shared" si="128"/>
        <v>111081.59999999999</v>
      </c>
      <c r="T942" s="750">
        <v>55.7</v>
      </c>
      <c r="U942" s="608">
        <f t="shared" si="129"/>
        <v>108548.16</v>
      </c>
      <c r="V942" s="751">
        <f t="shared" si="130"/>
        <v>2533.4399999999878</v>
      </c>
      <c r="W942" s="752">
        <v>55.7</v>
      </c>
      <c r="X942" s="609">
        <f t="shared" si="131"/>
        <v>108548.16</v>
      </c>
      <c r="Y942" s="703">
        <f t="shared" si="132"/>
        <v>2533.4399999999878</v>
      </c>
      <c r="Z942" s="752">
        <v>55.7</v>
      </c>
      <c r="AA942" s="609">
        <f t="shared" si="133"/>
        <v>108548.16</v>
      </c>
      <c r="AB942" s="753">
        <f t="shared" si="134"/>
        <v>2533.4399999999878</v>
      </c>
      <c r="AC942" s="714"/>
    </row>
    <row r="943" spans="1:29" x14ac:dyDescent="0.25">
      <c r="A943" s="713"/>
      <c r="B943" s="731" t="s">
        <v>1359</v>
      </c>
      <c r="C943" s="547" t="s">
        <v>40</v>
      </c>
      <c r="D943" s="547" t="s">
        <v>1167</v>
      </c>
      <c r="E943" s="683">
        <v>44593</v>
      </c>
      <c r="F943" s="547">
        <v>672</v>
      </c>
      <c r="G943" s="547" t="s">
        <v>59</v>
      </c>
      <c r="H943" s="547" t="s">
        <v>5</v>
      </c>
      <c r="I943" s="547" t="s">
        <v>44</v>
      </c>
      <c r="J943" s="547" t="s">
        <v>85</v>
      </c>
      <c r="K943" s="547">
        <v>42.5</v>
      </c>
      <c r="L943" s="727" t="s">
        <v>92</v>
      </c>
      <c r="M943" s="697">
        <v>0</v>
      </c>
      <c r="N943" s="727">
        <v>6.48</v>
      </c>
      <c r="O943" s="697">
        <v>0</v>
      </c>
      <c r="P943" s="727">
        <v>98.2</v>
      </c>
      <c r="Q943" s="750">
        <f t="shared" si="126"/>
        <v>0</v>
      </c>
      <c r="R943" s="608">
        <f t="shared" si="127"/>
        <v>427617.79200000007</v>
      </c>
      <c r="S943" s="751">
        <f t="shared" si="128"/>
        <v>427617.79200000007</v>
      </c>
      <c r="T943" s="750">
        <v>55.7</v>
      </c>
      <c r="U943" s="608">
        <f t="shared" si="129"/>
        <v>242548.99200000003</v>
      </c>
      <c r="V943" s="751">
        <f t="shared" si="130"/>
        <v>185068.80000000005</v>
      </c>
      <c r="W943" s="752">
        <v>55.7</v>
      </c>
      <c r="X943" s="609">
        <f t="shared" si="131"/>
        <v>242548.99200000003</v>
      </c>
      <c r="Y943" s="703">
        <f t="shared" si="132"/>
        <v>185068.80000000005</v>
      </c>
      <c r="Z943" s="752">
        <v>55.7</v>
      </c>
      <c r="AA943" s="609">
        <f t="shared" si="133"/>
        <v>242548.99200000003</v>
      </c>
      <c r="AB943" s="753">
        <f t="shared" si="134"/>
        <v>185068.80000000005</v>
      </c>
      <c r="AC943" s="714"/>
    </row>
    <row r="944" spans="1:29" x14ac:dyDescent="0.25">
      <c r="A944" s="713"/>
      <c r="B944" s="731" t="s">
        <v>1360</v>
      </c>
      <c r="C944" s="547" t="s">
        <v>40</v>
      </c>
      <c r="D944" s="547" t="s">
        <v>1167</v>
      </c>
      <c r="E944" s="683">
        <v>44593</v>
      </c>
      <c r="F944" s="547">
        <v>672</v>
      </c>
      <c r="G944" s="547" t="s">
        <v>59</v>
      </c>
      <c r="H944" s="547" t="s">
        <v>5</v>
      </c>
      <c r="I944" s="547" t="s">
        <v>44</v>
      </c>
      <c r="J944" s="547" t="s">
        <v>85</v>
      </c>
      <c r="K944" s="547">
        <v>42.5</v>
      </c>
      <c r="L944" s="727" t="s">
        <v>92</v>
      </c>
      <c r="M944" s="697">
        <v>0</v>
      </c>
      <c r="N944" s="727">
        <v>5</v>
      </c>
      <c r="O944" s="697">
        <v>0</v>
      </c>
      <c r="P944" s="727">
        <v>98.2</v>
      </c>
      <c r="Q944" s="750">
        <f t="shared" si="126"/>
        <v>0</v>
      </c>
      <c r="R944" s="608">
        <f t="shared" si="127"/>
        <v>329952</v>
      </c>
      <c r="S944" s="751">
        <f t="shared" si="128"/>
        <v>329952</v>
      </c>
      <c r="T944" s="750">
        <v>55.7</v>
      </c>
      <c r="U944" s="608">
        <f t="shared" si="129"/>
        <v>187152</v>
      </c>
      <c r="V944" s="751">
        <f t="shared" si="130"/>
        <v>142800</v>
      </c>
      <c r="W944" s="752">
        <v>55.7</v>
      </c>
      <c r="X944" s="609">
        <f t="shared" si="131"/>
        <v>187152</v>
      </c>
      <c r="Y944" s="703">
        <f t="shared" si="132"/>
        <v>142800</v>
      </c>
      <c r="Z944" s="752">
        <v>55.7</v>
      </c>
      <c r="AA944" s="609">
        <f t="shared" si="133"/>
        <v>187152</v>
      </c>
      <c r="AB944" s="753">
        <f t="shared" si="134"/>
        <v>142800</v>
      </c>
      <c r="AC944" s="714"/>
    </row>
    <row r="945" spans="1:29" x14ac:dyDescent="0.25">
      <c r="A945" s="713"/>
      <c r="B945" s="731" t="s">
        <v>1361</v>
      </c>
      <c r="C945" s="547" t="s">
        <v>40</v>
      </c>
      <c r="D945" s="547" t="s">
        <v>478</v>
      </c>
      <c r="E945" s="683">
        <v>44621</v>
      </c>
      <c r="F945" s="547">
        <v>744</v>
      </c>
      <c r="G945" s="547" t="s">
        <v>59</v>
      </c>
      <c r="H945" s="547" t="s">
        <v>3</v>
      </c>
      <c r="I945" s="547" t="s">
        <v>44</v>
      </c>
      <c r="J945" s="547" t="s">
        <v>85</v>
      </c>
      <c r="K945" s="547">
        <v>58</v>
      </c>
      <c r="L945" s="727" t="s">
        <v>54</v>
      </c>
      <c r="M945" s="697">
        <v>0</v>
      </c>
      <c r="N945" s="727">
        <v>1.8</v>
      </c>
      <c r="O945" s="697">
        <v>0</v>
      </c>
      <c r="P945" s="727">
        <v>58</v>
      </c>
      <c r="Q945" s="750">
        <f t="shared" si="126"/>
        <v>0</v>
      </c>
      <c r="R945" s="608">
        <f t="shared" si="127"/>
        <v>77673.600000000006</v>
      </c>
      <c r="S945" s="751">
        <f t="shared" si="128"/>
        <v>77673.600000000006</v>
      </c>
      <c r="T945" s="750">
        <v>55.7</v>
      </c>
      <c r="U945" s="608">
        <f t="shared" si="129"/>
        <v>74593.440000000002</v>
      </c>
      <c r="V945" s="751">
        <f t="shared" si="130"/>
        <v>3080.1600000000035</v>
      </c>
      <c r="W945" s="752">
        <v>55.7</v>
      </c>
      <c r="X945" s="609">
        <f t="shared" si="131"/>
        <v>74593.440000000002</v>
      </c>
      <c r="Y945" s="703">
        <f t="shared" si="132"/>
        <v>3080.1600000000035</v>
      </c>
      <c r="Z945" s="752">
        <v>55.7</v>
      </c>
      <c r="AA945" s="609">
        <f t="shared" si="133"/>
        <v>74593.440000000002</v>
      </c>
      <c r="AB945" s="753">
        <f t="shared" si="134"/>
        <v>3080.1600000000035</v>
      </c>
      <c r="AC945" s="714"/>
    </row>
    <row r="946" spans="1:29" x14ac:dyDescent="0.25">
      <c r="A946" s="713"/>
      <c r="B946" s="731" t="s">
        <v>1362</v>
      </c>
      <c r="C946" s="547" t="s">
        <v>40</v>
      </c>
      <c r="D946" s="547" t="s">
        <v>507</v>
      </c>
      <c r="E946" s="683">
        <v>44593</v>
      </c>
      <c r="F946" s="547">
        <v>672</v>
      </c>
      <c r="G946" s="547" t="s">
        <v>59</v>
      </c>
      <c r="H946" s="547" t="s">
        <v>5</v>
      </c>
      <c r="I946" s="547" t="s">
        <v>44</v>
      </c>
      <c r="J946" s="547" t="s">
        <v>85</v>
      </c>
      <c r="K946" s="547">
        <v>43</v>
      </c>
      <c r="L946" s="727" t="s">
        <v>92</v>
      </c>
      <c r="M946" s="697">
        <v>0</v>
      </c>
      <c r="N946" s="727">
        <v>0.3</v>
      </c>
      <c r="O946" s="697">
        <v>0</v>
      </c>
      <c r="P946" s="727">
        <v>98.7</v>
      </c>
      <c r="Q946" s="750">
        <f t="shared" si="126"/>
        <v>0</v>
      </c>
      <c r="R946" s="608">
        <f t="shared" si="127"/>
        <v>19897.919999999998</v>
      </c>
      <c r="S946" s="751">
        <f t="shared" si="128"/>
        <v>19897.919999999998</v>
      </c>
      <c r="T946" s="750">
        <v>55.7</v>
      </c>
      <c r="U946" s="608">
        <f t="shared" si="129"/>
        <v>11229.12</v>
      </c>
      <c r="V946" s="751">
        <f t="shared" si="130"/>
        <v>8668.7999999999975</v>
      </c>
      <c r="W946" s="752">
        <v>55.7</v>
      </c>
      <c r="X946" s="609">
        <f t="shared" si="131"/>
        <v>11229.12</v>
      </c>
      <c r="Y946" s="703">
        <f t="shared" si="132"/>
        <v>8668.7999999999975</v>
      </c>
      <c r="Z946" s="752">
        <v>55.7</v>
      </c>
      <c r="AA946" s="609">
        <f t="shared" si="133"/>
        <v>11229.12</v>
      </c>
      <c r="AB946" s="753">
        <f t="shared" si="134"/>
        <v>8668.7999999999975</v>
      </c>
      <c r="AC946" s="714"/>
    </row>
    <row r="947" spans="1:29" x14ac:dyDescent="0.25">
      <c r="A947" s="713"/>
      <c r="B947" s="731" t="s">
        <v>1363</v>
      </c>
      <c r="C947" s="547" t="s">
        <v>40</v>
      </c>
      <c r="D947" s="547" t="s">
        <v>507</v>
      </c>
      <c r="E947" s="683">
        <v>44593</v>
      </c>
      <c r="F947" s="547">
        <v>672</v>
      </c>
      <c r="G947" s="547" t="s">
        <v>59</v>
      </c>
      <c r="H947" s="547" t="s">
        <v>3</v>
      </c>
      <c r="I947" s="547" t="s">
        <v>44</v>
      </c>
      <c r="J947" s="547" t="s">
        <v>85</v>
      </c>
      <c r="K947" s="547">
        <v>1.3</v>
      </c>
      <c r="L947" s="727" t="s">
        <v>92</v>
      </c>
      <c r="M947" s="697">
        <v>0</v>
      </c>
      <c r="N947" s="727">
        <v>3</v>
      </c>
      <c r="O947" s="697">
        <v>0</v>
      </c>
      <c r="P947" s="727">
        <v>57</v>
      </c>
      <c r="Q947" s="750">
        <f t="shared" si="126"/>
        <v>0</v>
      </c>
      <c r="R947" s="608">
        <f t="shared" si="127"/>
        <v>114912</v>
      </c>
      <c r="S947" s="751">
        <f t="shared" si="128"/>
        <v>114912</v>
      </c>
      <c r="T947" s="750">
        <v>55.7</v>
      </c>
      <c r="U947" s="608">
        <f t="shared" si="129"/>
        <v>112291.20000000001</v>
      </c>
      <c r="V947" s="751">
        <f t="shared" si="130"/>
        <v>2620.7999999999884</v>
      </c>
      <c r="W947" s="752">
        <v>55.7</v>
      </c>
      <c r="X947" s="609">
        <f t="shared" si="131"/>
        <v>112291.20000000001</v>
      </c>
      <c r="Y947" s="703">
        <f t="shared" si="132"/>
        <v>2620.7999999999884</v>
      </c>
      <c r="Z947" s="752">
        <v>55.7</v>
      </c>
      <c r="AA947" s="609">
        <f t="shared" si="133"/>
        <v>112291.20000000001</v>
      </c>
      <c r="AB947" s="753">
        <f t="shared" si="134"/>
        <v>2620.7999999999884</v>
      </c>
      <c r="AC947" s="714"/>
    </row>
    <row r="948" spans="1:29" x14ac:dyDescent="0.25">
      <c r="A948" s="713"/>
      <c r="B948" s="731" t="s">
        <v>1365</v>
      </c>
      <c r="C948" s="547" t="s">
        <v>40</v>
      </c>
      <c r="D948" s="547" t="s">
        <v>466</v>
      </c>
      <c r="E948" s="683">
        <v>44713</v>
      </c>
      <c r="F948" s="547">
        <v>720</v>
      </c>
      <c r="G948" s="547" t="s">
        <v>59</v>
      </c>
      <c r="H948" s="547" t="s">
        <v>3</v>
      </c>
      <c r="I948" s="547" t="s">
        <v>44</v>
      </c>
      <c r="J948" s="547" t="s">
        <v>85</v>
      </c>
      <c r="K948" s="547">
        <v>125</v>
      </c>
      <c r="L948" s="727" t="s">
        <v>54</v>
      </c>
      <c r="M948" s="697">
        <v>0</v>
      </c>
      <c r="N948" s="727">
        <v>2</v>
      </c>
      <c r="O948" s="697">
        <v>0</v>
      </c>
      <c r="P948" s="727">
        <v>125</v>
      </c>
      <c r="Q948" s="750">
        <f t="shared" si="126"/>
        <v>0</v>
      </c>
      <c r="R948" s="608">
        <f t="shared" si="127"/>
        <v>180000</v>
      </c>
      <c r="S948" s="751">
        <f t="shared" si="128"/>
        <v>180000</v>
      </c>
      <c r="T948" s="750">
        <v>55.71</v>
      </c>
      <c r="U948" s="608">
        <f t="shared" si="129"/>
        <v>80222.399999999994</v>
      </c>
      <c r="V948" s="751">
        <f t="shared" si="130"/>
        <v>99777.600000000006</v>
      </c>
      <c r="W948" s="752">
        <v>55.71</v>
      </c>
      <c r="X948" s="609">
        <f t="shared" si="131"/>
        <v>80222.399999999994</v>
      </c>
      <c r="Y948" s="703">
        <f t="shared" si="132"/>
        <v>99777.600000000006</v>
      </c>
      <c r="Z948" s="752">
        <v>55.71</v>
      </c>
      <c r="AA948" s="609">
        <f t="shared" si="133"/>
        <v>80222.399999999994</v>
      </c>
      <c r="AB948" s="753">
        <f t="shared" si="134"/>
        <v>99777.600000000006</v>
      </c>
      <c r="AC948" s="714"/>
    </row>
    <row r="949" spans="1:29" x14ac:dyDescent="0.25">
      <c r="A949" s="713"/>
      <c r="B949" s="731" t="s">
        <v>1369</v>
      </c>
      <c r="C949" s="547" t="s">
        <v>40</v>
      </c>
      <c r="D949" s="547" t="s">
        <v>349</v>
      </c>
      <c r="E949" s="683">
        <v>44652</v>
      </c>
      <c r="F949" s="547">
        <v>720</v>
      </c>
      <c r="G949" s="547" t="s">
        <v>59</v>
      </c>
      <c r="H949" s="547" t="s">
        <v>3</v>
      </c>
      <c r="I949" s="547" t="s">
        <v>44</v>
      </c>
      <c r="J949" s="547" t="s">
        <v>85</v>
      </c>
      <c r="K949" s="547">
        <v>68</v>
      </c>
      <c r="L949" s="727" t="s">
        <v>54</v>
      </c>
      <c r="M949" s="697">
        <v>0</v>
      </c>
      <c r="N949" s="727">
        <v>5</v>
      </c>
      <c r="O949" s="697">
        <v>0</v>
      </c>
      <c r="P949" s="727">
        <v>68</v>
      </c>
      <c r="Q949" s="750">
        <f t="shared" si="126"/>
        <v>0</v>
      </c>
      <c r="R949" s="608">
        <f t="shared" si="127"/>
        <v>244800</v>
      </c>
      <c r="S949" s="751">
        <f t="shared" si="128"/>
        <v>244800</v>
      </c>
      <c r="T949" s="750">
        <v>55.7</v>
      </c>
      <c r="U949" s="608">
        <f t="shared" si="129"/>
        <v>200520</v>
      </c>
      <c r="V949" s="751">
        <f t="shared" si="130"/>
        <v>44280</v>
      </c>
      <c r="W949" s="752">
        <v>55.7</v>
      </c>
      <c r="X949" s="609">
        <f t="shared" si="131"/>
        <v>200520</v>
      </c>
      <c r="Y949" s="703">
        <f t="shared" si="132"/>
        <v>44280</v>
      </c>
      <c r="Z949" s="752">
        <v>55.7</v>
      </c>
      <c r="AA949" s="609">
        <f t="shared" si="133"/>
        <v>200520</v>
      </c>
      <c r="AB949" s="753">
        <f t="shared" si="134"/>
        <v>44280</v>
      </c>
      <c r="AC949" s="714"/>
    </row>
    <row r="950" spans="1:29" x14ac:dyDescent="0.25">
      <c r="A950" s="713"/>
      <c r="B950" s="731" t="s">
        <v>1370</v>
      </c>
      <c r="C950" s="547" t="s">
        <v>40</v>
      </c>
      <c r="D950" s="547" t="s">
        <v>467</v>
      </c>
      <c r="E950" s="683">
        <v>44652</v>
      </c>
      <c r="F950" s="547">
        <v>720</v>
      </c>
      <c r="G950" s="547" t="s">
        <v>59</v>
      </c>
      <c r="H950" s="547" t="s">
        <v>3</v>
      </c>
      <c r="I950" s="547" t="s">
        <v>44</v>
      </c>
      <c r="J950" s="547" t="s">
        <v>85</v>
      </c>
      <c r="K950" s="547">
        <v>68.5</v>
      </c>
      <c r="L950" s="727" t="s">
        <v>54</v>
      </c>
      <c r="M950" s="697">
        <v>0</v>
      </c>
      <c r="N950" s="727">
        <v>5</v>
      </c>
      <c r="O950" s="697">
        <v>0</v>
      </c>
      <c r="P950" s="727">
        <v>68.5</v>
      </c>
      <c r="Q950" s="750">
        <f t="shared" si="126"/>
        <v>0</v>
      </c>
      <c r="R950" s="608">
        <f t="shared" si="127"/>
        <v>246600</v>
      </c>
      <c r="S950" s="751">
        <f t="shared" si="128"/>
        <v>246600</v>
      </c>
      <c r="T950" s="750">
        <v>55.7</v>
      </c>
      <c r="U950" s="608">
        <f t="shared" si="129"/>
        <v>200520</v>
      </c>
      <c r="V950" s="751">
        <f t="shared" si="130"/>
        <v>46080</v>
      </c>
      <c r="W950" s="752">
        <v>55.7</v>
      </c>
      <c r="X950" s="609">
        <f t="shared" si="131"/>
        <v>200520</v>
      </c>
      <c r="Y950" s="703">
        <f t="shared" si="132"/>
        <v>46080</v>
      </c>
      <c r="Z950" s="752">
        <v>55.7</v>
      </c>
      <c r="AA950" s="609">
        <f t="shared" si="133"/>
        <v>200520</v>
      </c>
      <c r="AB950" s="753">
        <f t="shared" si="134"/>
        <v>46080</v>
      </c>
      <c r="AC950" s="714"/>
    </row>
    <row r="951" spans="1:29" x14ac:dyDescent="0.25">
      <c r="A951" s="713"/>
      <c r="B951" s="731" t="s">
        <v>1371</v>
      </c>
      <c r="C951" s="547" t="s">
        <v>40</v>
      </c>
      <c r="D951" s="547" t="s">
        <v>349</v>
      </c>
      <c r="E951" s="683">
        <v>44652</v>
      </c>
      <c r="F951" s="547">
        <v>720</v>
      </c>
      <c r="G951" s="547" t="s">
        <v>59</v>
      </c>
      <c r="H951" s="547" t="s">
        <v>3</v>
      </c>
      <c r="I951" s="547" t="s">
        <v>44</v>
      </c>
      <c r="J951" s="547" t="s">
        <v>85</v>
      </c>
      <c r="K951" s="547">
        <v>68</v>
      </c>
      <c r="L951" s="727" t="s">
        <v>54</v>
      </c>
      <c r="M951" s="697">
        <v>0</v>
      </c>
      <c r="N951" s="727">
        <v>20</v>
      </c>
      <c r="O951" s="697">
        <v>0</v>
      </c>
      <c r="P951" s="727">
        <v>68</v>
      </c>
      <c r="Q951" s="750">
        <f t="shared" si="126"/>
        <v>0</v>
      </c>
      <c r="R951" s="608">
        <f t="shared" si="127"/>
        <v>979200</v>
      </c>
      <c r="S951" s="751">
        <f t="shared" si="128"/>
        <v>979200</v>
      </c>
      <c r="T951" s="750">
        <v>55.7</v>
      </c>
      <c r="U951" s="608">
        <f t="shared" si="129"/>
        <v>802080</v>
      </c>
      <c r="V951" s="751">
        <f t="shared" si="130"/>
        <v>177120</v>
      </c>
      <c r="W951" s="752">
        <v>55.7</v>
      </c>
      <c r="X951" s="609">
        <f t="shared" si="131"/>
        <v>802080</v>
      </c>
      <c r="Y951" s="703">
        <f t="shared" si="132"/>
        <v>177120</v>
      </c>
      <c r="Z951" s="752">
        <v>55.7</v>
      </c>
      <c r="AA951" s="609">
        <f t="shared" si="133"/>
        <v>802080</v>
      </c>
      <c r="AB951" s="753">
        <f t="shared" si="134"/>
        <v>177120</v>
      </c>
      <c r="AC951" s="714"/>
    </row>
    <row r="952" spans="1:29" x14ac:dyDescent="0.25">
      <c r="A952" s="713"/>
      <c r="B952" s="731" t="s">
        <v>1375</v>
      </c>
      <c r="C952" s="547" t="s">
        <v>40</v>
      </c>
      <c r="D952" s="547" t="s">
        <v>967</v>
      </c>
      <c r="E952" s="683">
        <v>44835</v>
      </c>
      <c r="F952" s="547">
        <v>744</v>
      </c>
      <c r="G952" s="547" t="s">
        <v>58</v>
      </c>
      <c r="H952" s="547" t="s">
        <v>3</v>
      </c>
      <c r="I952" s="547" t="s">
        <v>44</v>
      </c>
      <c r="J952" s="547" t="s">
        <v>84</v>
      </c>
      <c r="K952" s="547">
        <v>194</v>
      </c>
      <c r="L952" s="727" t="s">
        <v>54</v>
      </c>
      <c r="M952" s="697">
        <v>6.4</v>
      </c>
      <c r="N952" s="727">
        <v>0</v>
      </c>
      <c r="O952" s="697">
        <v>194</v>
      </c>
      <c r="P952" s="727">
        <v>0</v>
      </c>
      <c r="Q952" s="750">
        <f t="shared" si="126"/>
        <v>923750.40000000002</v>
      </c>
      <c r="R952" s="608">
        <f t="shared" si="127"/>
        <v>0</v>
      </c>
      <c r="S952" s="751">
        <f t="shared" si="128"/>
        <v>-923750.40000000002</v>
      </c>
      <c r="T952" s="750">
        <v>55.7</v>
      </c>
      <c r="U952" s="608">
        <f t="shared" si="129"/>
        <v>-265221.12000000005</v>
      </c>
      <c r="V952" s="751">
        <f t="shared" si="130"/>
        <v>-658529.28000000003</v>
      </c>
      <c r="W952" s="752">
        <v>55.7</v>
      </c>
      <c r="X952" s="609">
        <f t="shared" si="131"/>
        <v>-265221.12000000005</v>
      </c>
      <c r="Y952" s="703">
        <f t="shared" si="132"/>
        <v>-658529.28000000003</v>
      </c>
      <c r="Z952" s="752">
        <v>55.7</v>
      </c>
      <c r="AA952" s="609">
        <f t="shared" si="133"/>
        <v>-265221.12000000005</v>
      </c>
      <c r="AB952" s="753">
        <f t="shared" si="134"/>
        <v>-658529.28000000003</v>
      </c>
      <c r="AC952" s="714"/>
    </row>
    <row r="953" spans="1:29" x14ac:dyDescent="0.25">
      <c r="A953" s="713"/>
      <c r="B953" s="731" t="s">
        <v>1377</v>
      </c>
      <c r="C953" s="547" t="s">
        <v>40</v>
      </c>
      <c r="D953" s="547" t="s">
        <v>967</v>
      </c>
      <c r="E953" s="683">
        <v>44896</v>
      </c>
      <c r="F953" s="547">
        <v>744</v>
      </c>
      <c r="G953" s="547" t="s">
        <v>59</v>
      </c>
      <c r="H953" s="547" t="s">
        <v>3</v>
      </c>
      <c r="I953" s="547" t="s">
        <v>44</v>
      </c>
      <c r="J953" s="547" t="s">
        <v>85</v>
      </c>
      <c r="K953" s="547">
        <v>167</v>
      </c>
      <c r="L953" s="727" t="s">
        <v>54</v>
      </c>
      <c r="M953" s="697">
        <v>0</v>
      </c>
      <c r="N953" s="727">
        <v>6.4</v>
      </c>
      <c r="O953" s="697">
        <v>0</v>
      </c>
      <c r="P953" s="727">
        <v>167</v>
      </c>
      <c r="Q953" s="750">
        <f t="shared" si="126"/>
        <v>0</v>
      </c>
      <c r="R953" s="608">
        <f t="shared" si="127"/>
        <v>795187.20000000007</v>
      </c>
      <c r="S953" s="751">
        <f t="shared" si="128"/>
        <v>795187.20000000007</v>
      </c>
      <c r="T953" s="750">
        <v>55.7</v>
      </c>
      <c r="U953" s="608">
        <f t="shared" si="129"/>
        <v>265221.12000000005</v>
      </c>
      <c r="V953" s="751">
        <f t="shared" si="130"/>
        <v>529966.08000000007</v>
      </c>
      <c r="W953" s="752">
        <v>55.7</v>
      </c>
      <c r="X953" s="609">
        <f t="shared" si="131"/>
        <v>265221.12000000005</v>
      </c>
      <c r="Y953" s="703">
        <f t="shared" si="132"/>
        <v>529966.08000000007</v>
      </c>
      <c r="Z953" s="752">
        <v>78.400653594793155</v>
      </c>
      <c r="AA953" s="609">
        <f t="shared" si="133"/>
        <v>373312.55215696711</v>
      </c>
      <c r="AB953" s="753">
        <f t="shared" si="134"/>
        <v>421874.64784303296</v>
      </c>
      <c r="AC953" s="714"/>
    </row>
    <row r="954" spans="1:29" x14ac:dyDescent="0.25">
      <c r="A954" s="713"/>
      <c r="B954" s="730" t="s">
        <v>1385</v>
      </c>
      <c r="C954" s="546" t="s">
        <v>40</v>
      </c>
      <c r="D954" s="546" t="s">
        <v>1195</v>
      </c>
      <c r="E954" s="682">
        <v>44743</v>
      </c>
      <c r="F954" s="546">
        <v>744</v>
      </c>
      <c r="G954" s="546" t="s">
        <v>58</v>
      </c>
      <c r="H954" s="546" t="s">
        <v>3</v>
      </c>
      <c r="I954" s="546" t="s">
        <v>44</v>
      </c>
      <c r="J954" s="546" t="s">
        <v>84</v>
      </c>
      <c r="K954" s="546">
        <v>163</v>
      </c>
      <c r="L954" s="726" t="s">
        <v>54</v>
      </c>
      <c r="M954" s="696">
        <v>10</v>
      </c>
      <c r="N954" s="726">
        <v>0</v>
      </c>
      <c r="O954" s="696">
        <v>163</v>
      </c>
      <c r="P954" s="726">
        <v>0</v>
      </c>
      <c r="Q954" s="746">
        <f t="shared" si="126"/>
        <v>1212720</v>
      </c>
      <c r="R954" s="606">
        <f t="shared" si="127"/>
        <v>0</v>
      </c>
      <c r="S954" s="747">
        <f t="shared" si="128"/>
        <v>-1212720</v>
      </c>
      <c r="T954" s="746">
        <v>66.319999999999993</v>
      </c>
      <c r="U954" s="606">
        <f t="shared" si="129"/>
        <v>-493420.79999999993</v>
      </c>
      <c r="V954" s="747">
        <f t="shared" si="130"/>
        <v>-719299.20000000007</v>
      </c>
      <c r="W954" s="748">
        <v>66.319999999999993</v>
      </c>
      <c r="X954" s="607">
        <f t="shared" si="131"/>
        <v>-493420.79999999993</v>
      </c>
      <c r="Y954" s="702">
        <f t="shared" si="132"/>
        <v>-719299.20000000007</v>
      </c>
      <c r="Z954" s="748">
        <v>66.319999999999993</v>
      </c>
      <c r="AA954" s="607">
        <f t="shared" si="133"/>
        <v>-493420.79999999993</v>
      </c>
      <c r="AB954" s="749">
        <f t="shared" si="134"/>
        <v>-719299.20000000007</v>
      </c>
      <c r="AC954" s="714"/>
    </row>
    <row r="955" spans="1:29" x14ac:dyDescent="0.25">
      <c r="A955" s="713"/>
      <c r="B955" s="714" t="s">
        <v>1385</v>
      </c>
      <c r="C955" s="676" t="s">
        <v>40</v>
      </c>
      <c r="D955" s="676" t="s">
        <v>1195</v>
      </c>
      <c r="E955" s="680">
        <v>44774</v>
      </c>
      <c r="F955" s="676">
        <v>744</v>
      </c>
      <c r="G955" s="676" t="s">
        <v>58</v>
      </c>
      <c r="H955" s="676" t="s">
        <v>3</v>
      </c>
      <c r="I955" s="676" t="s">
        <v>44</v>
      </c>
      <c r="J955" s="676" t="s">
        <v>84</v>
      </c>
      <c r="K955" s="676">
        <v>163</v>
      </c>
      <c r="L955" s="690" t="s">
        <v>54</v>
      </c>
      <c r="M955" s="691">
        <v>10</v>
      </c>
      <c r="N955" s="690">
        <v>0</v>
      </c>
      <c r="O955" s="691">
        <v>163</v>
      </c>
      <c r="P955" s="690">
        <v>0</v>
      </c>
      <c r="Q955" s="738">
        <f t="shared" si="126"/>
        <v>1212720</v>
      </c>
      <c r="R955" s="677">
        <f t="shared" si="127"/>
        <v>0</v>
      </c>
      <c r="S955" s="739">
        <f t="shared" si="128"/>
        <v>-1212720</v>
      </c>
      <c r="T955" s="738">
        <v>76.900000000000006</v>
      </c>
      <c r="U955" s="677">
        <f t="shared" si="129"/>
        <v>-572136</v>
      </c>
      <c r="V955" s="739">
        <f t="shared" si="130"/>
        <v>-640584</v>
      </c>
      <c r="W955" s="740">
        <v>76.900000000000006</v>
      </c>
      <c r="X955" s="678">
        <f t="shared" si="131"/>
        <v>-572136</v>
      </c>
      <c r="Y955" s="700">
        <f t="shared" si="132"/>
        <v>-640584</v>
      </c>
      <c r="Z955" s="740">
        <v>76.900000000000006</v>
      </c>
      <c r="AA955" s="678">
        <f t="shared" si="133"/>
        <v>-572136</v>
      </c>
      <c r="AB955" s="741">
        <f t="shared" si="134"/>
        <v>-640584</v>
      </c>
      <c r="AC955" s="714"/>
    </row>
    <row r="956" spans="1:29" x14ac:dyDescent="0.25">
      <c r="A956" s="713"/>
      <c r="B956" s="729" t="s">
        <v>1385</v>
      </c>
      <c r="C956" s="545" t="s">
        <v>40</v>
      </c>
      <c r="D956" s="545" t="s">
        <v>1195</v>
      </c>
      <c r="E956" s="681">
        <v>44805</v>
      </c>
      <c r="F956" s="545">
        <v>720</v>
      </c>
      <c r="G956" s="545" t="s">
        <v>58</v>
      </c>
      <c r="H956" s="545" t="s">
        <v>3</v>
      </c>
      <c r="I956" s="545" t="s">
        <v>44</v>
      </c>
      <c r="J956" s="545" t="s">
        <v>84</v>
      </c>
      <c r="K956" s="545">
        <v>163</v>
      </c>
      <c r="L956" s="725" t="s">
        <v>54</v>
      </c>
      <c r="M956" s="695">
        <v>10</v>
      </c>
      <c r="N956" s="725">
        <v>0</v>
      </c>
      <c r="O956" s="695">
        <v>163</v>
      </c>
      <c r="P956" s="725">
        <v>0</v>
      </c>
      <c r="Q956" s="742">
        <f t="shared" si="126"/>
        <v>1173600</v>
      </c>
      <c r="R956" s="603">
        <f t="shared" si="127"/>
        <v>0</v>
      </c>
      <c r="S956" s="743">
        <f t="shared" si="128"/>
        <v>-1173600</v>
      </c>
      <c r="T956" s="742">
        <v>56.08</v>
      </c>
      <c r="U956" s="603">
        <f t="shared" si="129"/>
        <v>-403776</v>
      </c>
      <c r="V956" s="743">
        <f t="shared" si="130"/>
        <v>-769824</v>
      </c>
      <c r="W956" s="744">
        <v>56.08</v>
      </c>
      <c r="X956" s="604">
        <f t="shared" si="131"/>
        <v>-403776</v>
      </c>
      <c r="Y956" s="701">
        <f t="shared" si="132"/>
        <v>-769824</v>
      </c>
      <c r="Z956" s="744">
        <v>56.08</v>
      </c>
      <c r="AA956" s="604">
        <f t="shared" si="133"/>
        <v>-403776</v>
      </c>
      <c r="AB956" s="745">
        <f t="shared" si="134"/>
        <v>-769824</v>
      </c>
      <c r="AC956" s="714"/>
    </row>
    <row r="957" spans="1:29" x14ac:dyDescent="0.25">
      <c r="A957" s="713"/>
      <c r="B957" s="730" t="s">
        <v>1387</v>
      </c>
      <c r="C957" s="546" t="s">
        <v>40</v>
      </c>
      <c r="D957" s="546" t="s">
        <v>1195</v>
      </c>
      <c r="E957" s="682">
        <v>44835</v>
      </c>
      <c r="F957" s="546">
        <v>744</v>
      </c>
      <c r="G957" s="546" t="s">
        <v>59</v>
      </c>
      <c r="H957" s="546" t="s">
        <v>3</v>
      </c>
      <c r="I957" s="546" t="s">
        <v>44</v>
      </c>
      <c r="J957" s="546" t="s">
        <v>85</v>
      </c>
      <c r="K957" s="546">
        <v>183</v>
      </c>
      <c r="L957" s="726" t="s">
        <v>54</v>
      </c>
      <c r="M957" s="696">
        <v>0</v>
      </c>
      <c r="N957" s="726">
        <v>10</v>
      </c>
      <c r="O957" s="696">
        <v>0</v>
      </c>
      <c r="P957" s="726">
        <v>183</v>
      </c>
      <c r="Q957" s="746">
        <f t="shared" si="126"/>
        <v>0</v>
      </c>
      <c r="R957" s="606">
        <f t="shared" si="127"/>
        <v>1361520</v>
      </c>
      <c r="S957" s="747">
        <f t="shared" si="128"/>
        <v>1361520</v>
      </c>
      <c r="T957" s="746">
        <v>55.7</v>
      </c>
      <c r="U957" s="606">
        <f t="shared" si="129"/>
        <v>414408</v>
      </c>
      <c r="V957" s="747">
        <f t="shared" si="130"/>
        <v>947112</v>
      </c>
      <c r="W957" s="748">
        <v>55.7</v>
      </c>
      <c r="X957" s="607">
        <f t="shared" si="131"/>
        <v>414408</v>
      </c>
      <c r="Y957" s="702">
        <f t="shared" si="132"/>
        <v>947112</v>
      </c>
      <c r="Z957" s="748">
        <v>55.7</v>
      </c>
      <c r="AA957" s="607">
        <f t="shared" si="133"/>
        <v>414408</v>
      </c>
      <c r="AB957" s="749">
        <f t="shared" si="134"/>
        <v>947112</v>
      </c>
      <c r="AC957" s="714"/>
    </row>
    <row r="958" spans="1:29" x14ac:dyDescent="0.25">
      <c r="A958" s="713"/>
      <c r="B958" s="714" t="s">
        <v>1387</v>
      </c>
      <c r="C958" s="676" t="s">
        <v>40</v>
      </c>
      <c r="D958" s="676" t="s">
        <v>1195</v>
      </c>
      <c r="E958" s="680">
        <v>44866</v>
      </c>
      <c r="F958" s="676">
        <v>720</v>
      </c>
      <c r="G958" s="676" t="s">
        <v>59</v>
      </c>
      <c r="H958" s="676" t="s">
        <v>3</v>
      </c>
      <c r="I958" s="676" t="s">
        <v>44</v>
      </c>
      <c r="J958" s="676" t="s">
        <v>85</v>
      </c>
      <c r="K958" s="676">
        <v>183</v>
      </c>
      <c r="L958" s="690" t="s">
        <v>54</v>
      </c>
      <c r="M958" s="691">
        <v>0</v>
      </c>
      <c r="N958" s="690">
        <v>10</v>
      </c>
      <c r="O958" s="691">
        <v>0</v>
      </c>
      <c r="P958" s="690">
        <v>183</v>
      </c>
      <c r="Q958" s="738">
        <f t="shared" si="126"/>
        <v>0</v>
      </c>
      <c r="R958" s="677">
        <f t="shared" si="127"/>
        <v>1317600</v>
      </c>
      <c r="S958" s="739">
        <f t="shared" si="128"/>
        <v>1317600</v>
      </c>
      <c r="T958" s="738">
        <v>55.7</v>
      </c>
      <c r="U958" s="677">
        <f t="shared" si="129"/>
        <v>401040</v>
      </c>
      <c r="V958" s="739">
        <f t="shared" si="130"/>
        <v>916560</v>
      </c>
      <c r="W958" s="740">
        <v>55.7</v>
      </c>
      <c r="X958" s="678">
        <f t="shared" si="131"/>
        <v>401040</v>
      </c>
      <c r="Y958" s="700">
        <f t="shared" si="132"/>
        <v>916560</v>
      </c>
      <c r="Z958" s="740">
        <v>55.7</v>
      </c>
      <c r="AA958" s="678">
        <f t="shared" si="133"/>
        <v>401040</v>
      </c>
      <c r="AB958" s="741">
        <f t="shared" si="134"/>
        <v>916560</v>
      </c>
      <c r="AC958" s="714"/>
    </row>
    <row r="959" spans="1:29" x14ac:dyDescent="0.25">
      <c r="A959" s="713"/>
      <c r="B959" s="729" t="s">
        <v>1387</v>
      </c>
      <c r="C959" s="545" t="s">
        <v>40</v>
      </c>
      <c r="D959" s="545" t="s">
        <v>1195</v>
      </c>
      <c r="E959" s="681">
        <v>44896</v>
      </c>
      <c r="F959" s="545">
        <v>744</v>
      </c>
      <c r="G959" s="545" t="s">
        <v>59</v>
      </c>
      <c r="H959" s="545" t="s">
        <v>3</v>
      </c>
      <c r="I959" s="545" t="s">
        <v>44</v>
      </c>
      <c r="J959" s="545" t="s">
        <v>85</v>
      </c>
      <c r="K959" s="545">
        <v>183</v>
      </c>
      <c r="L959" s="725" t="s">
        <v>54</v>
      </c>
      <c r="M959" s="695">
        <v>0</v>
      </c>
      <c r="N959" s="725">
        <v>10</v>
      </c>
      <c r="O959" s="695">
        <v>0</v>
      </c>
      <c r="P959" s="725">
        <v>183</v>
      </c>
      <c r="Q959" s="742">
        <f t="shared" si="126"/>
        <v>0</v>
      </c>
      <c r="R959" s="603">
        <f t="shared" si="127"/>
        <v>1361520</v>
      </c>
      <c r="S959" s="743">
        <f t="shared" si="128"/>
        <v>1361520</v>
      </c>
      <c r="T959" s="742">
        <v>55.7</v>
      </c>
      <c r="U959" s="603">
        <f t="shared" si="129"/>
        <v>414408</v>
      </c>
      <c r="V959" s="743">
        <f t="shared" si="130"/>
        <v>947112</v>
      </c>
      <c r="W959" s="744">
        <v>55.7</v>
      </c>
      <c r="X959" s="604">
        <f t="shared" si="131"/>
        <v>414408</v>
      </c>
      <c r="Y959" s="701">
        <f t="shared" si="132"/>
        <v>947112</v>
      </c>
      <c r="Z959" s="744">
        <v>78.400653594793155</v>
      </c>
      <c r="AA959" s="604">
        <f t="shared" si="133"/>
        <v>583300.86274526105</v>
      </c>
      <c r="AB959" s="745">
        <f t="shared" si="134"/>
        <v>778219.13725473895</v>
      </c>
      <c r="AC959" s="714"/>
    </row>
    <row r="960" spans="1:29" x14ac:dyDescent="0.25">
      <c r="A960" s="713"/>
      <c r="B960" s="730" t="s">
        <v>1389</v>
      </c>
      <c r="C960" s="546" t="s">
        <v>40</v>
      </c>
      <c r="D960" s="546" t="s">
        <v>875</v>
      </c>
      <c r="E960" s="682">
        <v>44743</v>
      </c>
      <c r="F960" s="546">
        <v>744</v>
      </c>
      <c r="G960" s="546" t="s">
        <v>58</v>
      </c>
      <c r="H960" s="546" t="s">
        <v>3</v>
      </c>
      <c r="I960" s="546" t="s">
        <v>44</v>
      </c>
      <c r="J960" s="546" t="s">
        <v>84</v>
      </c>
      <c r="K960" s="546">
        <v>164</v>
      </c>
      <c r="L960" s="726" t="s">
        <v>54</v>
      </c>
      <c r="M960" s="696">
        <v>5</v>
      </c>
      <c r="N960" s="726">
        <v>0</v>
      </c>
      <c r="O960" s="696">
        <v>164</v>
      </c>
      <c r="P960" s="726">
        <v>0</v>
      </c>
      <c r="Q960" s="746">
        <f t="shared" si="126"/>
        <v>610080</v>
      </c>
      <c r="R960" s="606">
        <f t="shared" si="127"/>
        <v>0</v>
      </c>
      <c r="S960" s="747">
        <f t="shared" si="128"/>
        <v>-610080</v>
      </c>
      <c r="T960" s="746">
        <v>66.319999999999993</v>
      </c>
      <c r="U960" s="606">
        <f t="shared" si="129"/>
        <v>-246710.39999999997</v>
      </c>
      <c r="V960" s="747">
        <f t="shared" si="130"/>
        <v>-363369.60000000003</v>
      </c>
      <c r="W960" s="748">
        <v>66.319999999999993</v>
      </c>
      <c r="X960" s="607">
        <f t="shared" si="131"/>
        <v>-246710.39999999997</v>
      </c>
      <c r="Y960" s="702">
        <f t="shared" si="132"/>
        <v>-363369.60000000003</v>
      </c>
      <c r="Z960" s="748">
        <v>66.319999999999993</v>
      </c>
      <c r="AA960" s="607">
        <f t="shared" si="133"/>
        <v>-246710.39999999997</v>
      </c>
      <c r="AB960" s="749">
        <f t="shared" si="134"/>
        <v>-363369.60000000003</v>
      </c>
      <c r="AC960" s="714"/>
    </row>
    <row r="961" spans="1:29" x14ac:dyDescent="0.25">
      <c r="A961" s="713"/>
      <c r="B961" s="714" t="s">
        <v>1389</v>
      </c>
      <c r="C961" s="676" t="s">
        <v>40</v>
      </c>
      <c r="D961" s="676" t="s">
        <v>875</v>
      </c>
      <c r="E961" s="680">
        <v>44774</v>
      </c>
      <c r="F961" s="676">
        <v>744</v>
      </c>
      <c r="G961" s="676" t="s">
        <v>58</v>
      </c>
      <c r="H961" s="676" t="s">
        <v>3</v>
      </c>
      <c r="I961" s="676" t="s">
        <v>44</v>
      </c>
      <c r="J961" s="676" t="s">
        <v>84</v>
      </c>
      <c r="K961" s="676">
        <v>164</v>
      </c>
      <c r="L961" s="690" t="s">
        <v>54</v>
      </c>
      <c r="M961" s="691">
        <v>5</v>
      </c>
      <c r="N961" s="690">
        <v>0</v>
      </c>
      <c r="O961" s="691">
        <v>164</v>
      </c>
      <c r="P961" s="690">
        <v>0</v>
      </c>
      <c r="Q961" s="738">
        <f t="shared" si="126"/>
        <v>610080</v>
      </c>
      <c r="R961" s="677">
        <f t="shared" si="127"/>
        <v>0</v>
      </c>
      <c r="S961" s="739">
        <f t="shared" si="128"/>
        <v>-610080</v>
      </c>
      <c r="T961" s="738">
        <v>76.900000000000006</v>
      </c>
      <c r="U961" s="677">
        <f t="shared" si="129"/>
        <v>-286068</v>
      </c>
      <c r="V961" s="739">
        <f t="shared" si="130"/>
        <v>-324012</v>
      </c>
      <c r="W961" s="740">
        <v>76.900000000000006</v>
      </c>
      <c r="X961" s="678">
        <f t="shared" si="131"/>
        <v>-286068</v>
      </c>
      <c r="Y961" s="700">
        <f t="shared" si="132"/>
        <v>-324012</v>
      </c>
      <c r="Z961" s="740">
        <v>76.900000000000006</v>
      </c>
      <c r="AA961" s="678">
        <f t="shared" si="133"/>
        <v>-286068</v>
      </c>
      <c r="AB961" s="741">
        <f t="shared" si="134"/>
        <v>-324012</v>
      </c>
      <c r="AC961" s="714"/>
    </row>
    <row r="962" spans="1:29" x14ac:dyDescent="0.25">
      <c r="A962" s="713"/>
      <c r="B962" s="729" t="s">
        <v>1389</v>
      </c>
      <c r="C962" s="545" t="s">
        <v>40</v>
      </c>
      <c r="D962" s="545" t="s">
        <v>875</v>
      </c>
      <c r="E962" s="681">
        <v>44805</v>
      </c>
      <c r="F962" s="545">
        <v>720</v>
      </c>
      <c r="G962" s="545" t="s">
        <v>58</v>
      </c>
      <c r="H962" s="545" t="s">
        <v>3</v>
      </c>
      <c r="I962" s="545" t="s">
        <v>44</v>
      </c>
      <c r="J962" s="545" t="s">
        <v>84</v>
      </c>
      <c r="K962" s="545">
        <v>164</v>
      </c>
      <c r="L962" s="725" t="s">
        <v>54</v>
      </c>
      <c r="M962" s="695">
        <v>5</v>
      </c>
      <c r="N962" s="725">
        <v>0</v>
      </c>
      <c r="O962" s="695">
        <v>164</v>
      </c>
      <c r="P962" s="725">
        <v>0</v>
      </c>
      <c r="Q962" s="742">
        <f t="shared" si="126"/>
        <v>590400</v>
      </c>
      <c r="R962" s="603">
        <f t="shared" si="127"/>
        <v>0</v>
      </c>
      <c r="S962" s="743">
        <f t="shared" si="128"/>
        <v>-590400</v>
      </c>
      <c r="T962" s="742">
        <v>56.08</v>
      </c>
      <c r="U962" s="603">
        <f t="shared" si="129"/>
        <v>-201888</v>
      </c>
      <c r="V962" s="743">
        <f t="shared" si="130"/>
        <v>-388512</v>
      </c>
      <c r="W962" s="744">
        <v>56.08</v>
      </c>
      <c r="X962" s="604">
        <f t="shared" si="131"/>
        <v>-201888</v>
      </c>
      <c r="Y962" s="701">
        <f t="shared" si="132"/>
        <v>-388512</v>
      </c>
      <c r="Z962" s="744">
        <v>56.08</v>
      </c>
      <c r="AA962" s="604">
        <f t="shared" si="133"/>
        <v>-201888</v>
      </c>
      <c r="AB962" s="745">
        <f t="shared" si="134"/>
        <v>-388512</v>
      </c>
      <c r="AC962" s="714"/>
    </row>
    <row r="963" spans="1:29" x14ac:dyDescent="0.25">
      <c r="A963" s="713"/>
      <c r="B963" s="730" t="s">
        <v>1391</v>
      </c>
      <c r="C963" s="546" t="s">
        <v>40</v>
      </c>
      <c r="D963" s="546" t="s">
        <v>875</v>
      </c>
      <c r="E963" s="682">
        <v>44835</v>
      </c>
      <c r="F963" s="546">
        <v>744</v>
      </c>
      <c r="G963" s="546" t="s">
        <v>59</v>
      </c>
      <c r="H963" s="546" t="s">
        <v>3</v>
      </c>
      <c r="I963" s="546" t="s">
        <v>44</v>
      </c>
      <c r="J963" s="546" t="s">
        <v>85</v>
      </c>
      <c r="K963" s="546">
        <v>184</v>
      </c>
      <c r="L963" s="726" t="s">
        <v>54</v>
      </c>
      <c r="M963" s="696">
        <v>0</v>
      </c>
      <c r="N963" s="726">
        <v>5</v>
      </c>
      <c r="O963" s="696">
        <v>0</v>
      </c>
      <c r="P963" s="726">
        <v>184</v>
      </c>
      <c r="Q963" s="746">
        <f t="shared" ref="Q963:Q1026" si="135">(O963*(M963*F963))</f>
        <v>0</v>
      </c>
      <c r="R963" s="606">
        <f t="shared" ref="R963:R1026" si="136">(P963*(N963*F963))</f>
        <v>684480</v>
      </c>
      <c r="S963" s="747">
        <f t="shared" ref="S963:S1026" si="137">R963-Q963</f>
        <v>684480</v>
      </c>
      <c r="T963" s="746">
        <v>55.7</v>
      </c>
      <c r="U963" s="606">
        <f t="shared" ref="U963:U1026" si="138">(((F963*N963)*T963)-(T963*(M963*F963)))</f>
        <v>207204</v>
      </c>
      <c r="V963" s="747">
        <f t="shared" ref="V963:V1026" si="139">S963-U963</f>
        <v>477276</v>
      </c>
      <c r="W963" s="748">
        <v>55.7</v>
      </c>
      <c r="X963" s="607">
        <f t="shared" ref="X963:X1026" si="140">(((F963*N963)*W963)-(W963*(M963*F963)))</f>
        <v>207204</v>
      </c>
      <c r="Y963" s="702">
        <f t="shared" ref="Y963:Y1026" si="141">S963-X963</f>
        <v>477276</v>
      </c>
      <c r="Z963" s="748">
        <v>55.7</v>
      </c>
      <c r="AA963" s="607">
        <f t="shared" ref="AA963:AA1026" si="142">(((F963*N963)*Z963)-(Z963*(M963*F963)))</f>
        <v>207204</v>
      </c>
      <c r="AB963" s="749">
        <f t="shared" ref="AB963:AB1026" si="143">S963-AA963</f>
        <v>477276</v>
      </c>
      <c r="AC963" s="714"/>
    </row>
    <row r="964" spans="1:29" x14ac:dyDescent="0.25">
      <c r="A964" s="713"/>
      <c r="B964" s="714" t="s">
        <v>1391</v>
      </c>
      <c r="C964" s="676" t="s">
        <v>40</v>
      </c>
      <c r="D964" s="676" t="s">
        <v>875</v>
      </c>
      <c r="E964" s="680">
        <v>44866</v>
      </c>
      <c r="F964" s="676">
        <v>720</v>
      </c>
      <c r="G964" s="676" t="s">
        <v>59</v>
      </c>
      <c r="H964" s="676" t="s">
        <v>3</v>
      </c>
      <c r="I964" s="676" t="s">
        <v>44</v>
      </c>
      <c r="J964" s="676" t="s">
        <v>85</v>
      </c>
      <c r="K964" s="676">
        <v>184</v>
      </c>
      <c r="L964" s="690" t="s">
        <v>54</v>
      </c>
      <c r="M964" s="691">
        <v>0</v>
      </c>
      <c r="N964" s="690">
        <v>5</v>
      </c>
      <c r="O964" s="691">
        <v>0</v>
      </c>
      <c r="P964" s="690">
        <v>184</v>
      </c>
      <c r="Q964" s="738">
        <f t="shared" si="135"/>
        <v>0</v>
      </c>
      <c r="R964" s="677">
        <f t="shared" si="136"/>
        <v>662400</v>
      </c>
      <c r="S964" s="739">
        <f t="shared" si="137"/>
        <v>662400</v>
      </c>
      <c r="T964" s="738">
        <v>55.7</v>
      </c>
      <c r="U964" s="677">
        <f t="shared" si="138"/>
        <v>200520</v>
      </c>
      <c r="V964" s="739">
        <f t="shared" si="139"/>
        <v>461880</v>
      </c>
      <c r="W964" s="740">
        <v>55.7</v>
      </c>
      <c r="X964" s="678">
        <f t="shared" si="140"/>
        <v>200520</v>
      </c>
      <c r="Y964" s="700">
        <f t="shared" si="141"/>
        <v>461880</v>
      </c>
      <c r="Z964" s="740">
        <v>55.7</v>
      </c>
      <c r="AA964" s="678">
        <f t="shared" si="142"/>
        <v>200520</v>
      </c>
      <c r="AB964" s="741">
        <f t="shared" si="143"/>
        <v>461880</v>
      </c>
      <c r="AC964" s="714"/>
    </row>
    <row r="965" spans="1:29" x14ac:dyDescent="0.25">
      <c r="A965" s="713"/>
      <c r="B965" s="729" t="s">
        <v>1391</v>
      </c>
      <c r="C965" s="545" t="s">
        <v>40</v>
      </c>
      <c r="D965" s="545" t="s">
        <v>875</v>
      </c>
      <c r="E965" s="681">
        <v>44896</v>
      </c>
      <c r="F965" s="545">
        <v>744</v>
      </c>
      <c r="G965" s="545" t="s">
        <v>59</v>
      </c>
      <c r="H965" s="545" t="s">
        <v>3</v>
      </c>
      <c r="I965" s="545" t="s">
        <v>44</v>
      </c>
      <c r="J965" s="545" t="s">
        <v>85</v>
      </c>
      <c r="K965" s="545">
        <v>184</v>
      </c>
      <c r="L965" s="725" t="s">
        <v>54</v>
      </c>
      <c r="M965" s="695">
        <v>0</v>
      </c>
      <c r="N965" s="725">
        <v>5</v>
      </c>
      <c r="O965" s="695">
        <v>0</v>
      </c>
      <c r="P965" s="725">
        <v>184</v>
      </c>
      <c r="Q965" s="742">
        <f t="shared" si="135"/>
        <v>0</v>
      </c>
      <c r="R965" s="603">
        <f t="shared" si="136"/>
        <v>684480</v>
      </c>
      <c r="S965" s="743">
        <f t="shared" si="137"/>
        <v>684480</v>
      </c>
      <c r="T965" s="742">
        <v>55.7</v>
      </c>
      <c r="U965" s="603">
        <f t="shared" si="138"/>
        <v>207204</v>
      </c>
      <c r="V965" s="743">
        <f t="shared" si="139"/>
        <v>477276</v>
      </c>
      <c r="W965" s="744">
        <v>55.7</v>
      </c>
      <c r="X965" s="604">
        <f t="shared" si="140"/>
        <v>207204</v>
      </c>
      <c r="Y965" s="701">
        <f t="shared" si="141"/>
        <v>477276</v>
      </c>
      <c r="Z965" s="744">
        <v>78.400653594793155</v>
      </c>
      <c r="AA965" s="604">
        <f t="shared" si="142"/>
        <v>291650.43137263053</v>
      </c>
      <c r="AB965" s="745">
        <f t="shared" si="143"/>
        <v>392829.56862736947</v>
      </c>
      <c r="AC965" s="714"/>
    </row>
    <row r="966" spans="1:29" x14ac:dyDescent="0.25">
      <c r="A966" s="713"/>
      <c r="B966" s="730" t="s">
        <v>1393</v>
      </c>
      <c r="C966" s="546" t="s">
        <v>40</v>
      </c>
      <c r="D966" s="546" t="s">
        <v>472</v>
      </c>
      <c r="E966" s="682">
        <v>44835</v>
      </c>
      <c r="F966" s="546">
        <v>744</v>
      </c>
      <c r="G966" s="546" t="s">
        <v>59</v>
      </c>
      <c r="H966" s="546" t="s">
        <v>3</v>
      </c>
      <c r="I966" s="546" t="s">
        <v>44</v>
      </c>
      <c r="J966" s="546" t="s">
        <v>85</v>
      </c>
      <c r="K966" s="546">
        <v>184</v>
      </c>
      <c r="L966" s="726" t="s">
        <v>54</v>
      </c>
      <c r="M966" s="696">
        <v>0</v>
      </c>
      <c r="N966" s="726">
        <v>5</v>
      </c>
      <c r="O966" s="696">
        <v>0</v>
      </c>
      <c r="P966" s="726">
        <v>184</v>
      </c>
      <c r="Q966" s="746">
        <f t="shared" si="135"/>
        <v>0</v>
      </c>
      <c r="R966" s="606">
        <f t="shared" si="136"/>
        <v>684480</v>
      </c>
      <c r="S966" s="747">
        <f t="shared" si="137"/>
        <v>684480</v>
      </c>
      <c r="T966" s="746">
        <v>55.7</v>
      </c>
      <c r="U966" s="606">
        <f t="shared" si="138"/>
        <v>207204</v>
      </c>
      <c r="V966" s="747">
        <f t="shared" si="139"/>
        <v>477276</v>
      </c>
      <c r="W966" s="748">
        <v>55.7</v>
      </c>
      <c r="X966" s="607">
        <f t="shared" si="140"/>
        <v>207204</v>
      </c>
      <c r="Y966" s="702">
        <f t="shared" si="141"/>
        <v>477276</v>
      </c>
      <c r="Z966" s="748">
        <v>55.7</v>
      </c>
      <c r="AA966" s="607">
        <f t="shared" si="142"/>
        <v>207204</v>
      </c>
      <c r="AB966" s="749">
        <f t="shared" si="143"/>
        <v>477276</v>
      </c>
      <c r="AC966" s="714"/>
    </row>
    <row r="967" spans="1:29" x14ac:dyDescent="0.25">
      <c r="A967" s="713"/>
      <c r="B967" s="714" t="s">
        <v>1393</v>
      </c>
      <c r="C967" s="676" t="s">
        <v>40</v>
      </c>
      <c r="D967" s="676" t="s">
        <v>472</v>
      </c>
      <c r="E967" s="680">
        <v>44866</v>
      </c>
      <c r="F967" s="676">
        <v>720</v>
      </c>
      <c r="G967" s="676" t="s">
        <v>59</v>
      </c>
      <c r="H967" s="676" t="s">
        <v>3</v>
      </c>
      <c r="I967" s="676" t="s">
        <v>44</v>
      </c>
      <c r="J967" s="676" t="s">
        <v>85</v>
      </c>
      <c r="K967" s="676">
        <v>184</v>
      </c>
      <c r="L967" s="690" t="s">
        <v>54</v>
      </c>
      <c r="M967" s="691">
        <v>0</v>
      </c>
      <c r="N967" s="690">
        <v>5</v>
      </c>
      <c r="O967" s="691">
        <v>0</v>
      </c>
      <c r="P967" s="690">
        <v>184</v>
      </c>
      <c r="Q967" s="738">
        <f t="shared" si="135"/>
        <v>0</v>
      </c>
      <c r="R967" s="677">
        <f t="shared" si="136"/>
        <v>662400</v>
      </c>
      <c r="S967" s="739">
        <f t="shared" si="137"/>
        <v>662400</v>
      </c>
      <c r="T967" s="738">
        <v>55.7</v>
      </c>
      <c r="U967" s="677">
        <f t="shared" si="138"/>
        <v>200520</v>
      </c>
      <c r="V967" s="739">
        <f t="shared" si="139"/>
        <v>461880</v>
      </c>
      <c r="W967" s="740">
        <v>55.7</v>
      </c>
      <c r="X967" s="678">
        <f t="shared" si="140"/>
        <v>200520</v>
      </c>
      <c r="Y967" s="700">
        <f t="shared" si="141"/>
        <v>461880</v>
      </c>
      <c r="Z967" s="740">
        <v>55.7</v>
      </c>
      <c r="AA967" s="678">
        <f t="shared" si="142"/>
        <v>200520</v>
      </c>
      <c r="AB967" s="741">
        <f t="shared" si="143"/>
        <v>461880</v>
      </c>
      <c r="AC967" s="714"/>
    </row>
    <row r="968" spans="1:29" x14ac:dyDescent="0.25">
      <c r="A968" s="713"/>
      <c r="B968" s="729" t="s">
        <v>1393</v>
      </c>
      <c r="C968" s="545" t="s">
        <v>40</v>
      </c>
      <c r="D968" s="545" t="s">
        <v>472</v>
      </c>
      <c r="E968" s="681">
        <v>44896</v>
      </c>
      <c r="F968" s="545">
        <v>744</v>
      </c>
      <c r="G968" s="545" t="s">
        <v>59</v>
      </c>
      <c r="H968" s="545" t="s">
        <v>3</v>
      </c>
      <c r="I968" s="545" t="s">
        <v>44</v>
      </c>
      <c r="J968" s="545" t="s">
        <v>85</v>
      </c>
      <c r="K968" s="545">
        <v>184</v>
      </c>
      <c r="L968" s="725" t="s">
        <v>54</v>
      </c>
      <c r="M968" s="695">
        <v>0</v>
      </c>
      <c r="N968" s="725">
        <v>5</v>
      </c>
      <c r="O968" s="695">
        <v>0</v>
      </c>
      <c r="P968" s="725">
        <v>184</v>
      </c>
      <c r="Q968" s="742">
        <f t="shared" si="135"/>
        <v>0</v>
      </c>
      <c r="R968" s="603">
        <f t="shared" si="136"/>
        <v>684480</v>
      </c>
      <c r="S968" s="743">
        <f t="shared" si="137"/>
        <v>684480</v>
      </c>
      <c r="T968" s="742">
        <v>55.7</v>
      </c>
      <c r="U968" s="603">
        <f t="shared" si="138"/>
        <v>207204</v>
      </c>
      <c r="V968" s="743">
        <f t="shared" si="139"/>
        <v>477276</v>
      </c>
      <c r="W968" s="744">
        <v>55.7</v>
      </c>
      <c r="X968" s="604">
        <f t="shared" si="140"/>
        <v>207204</v>
      </c>
      <c r="Y968" s="701">
        <f t="shared" si="141"/>
        <v>477276</v>
      </c>
      <c r="Z968" s="744">
        <v>78.400653594793155</v>
      </c>
      <c r="AA968" s="604">
        <f t="shared" si="142"/>
        <v>291650.43137263053</v>
      </c>
      <c r="AB968" s="745">
        <f t="shared" si="143"/>
        <v>392829.56862736947</v>
      </c>
      <c r="AC968" s="714"/>
    </row>
    <row r="969" spans="1:29" x14ac:dyDescent="0.25">
      <c r="A969" s="713"/>
      <c r="B969" s="730" t="s">
        <v>1395</v>
      </c>
      <c r="C969" s="546" t="s">
        <v>40</v>
      </c>
      <c r="D969" s="546" t="s">
        <v>472</v>
      </c>
      <c r="E969" s="682">
        <v>44743</v>
      </c>
      <c r="F969" s="546">
        <v>744</v>
      </c>
      <c r="G969" s="546" t="s">
        <v>58</v>
      </c>
      <c r="H969" s="546" t="s">
        <v>3</v>
      </c>
      <c r="I969" s="546" t="s">
        <v>44</v>
      </c>
      <c r="J969" s="546" t="s">
        <v>84</v>
      </c>
      <c r="K969" s="546">
        <v>164</v>
      </c>
      <c r="L969" s="726" t="s">
        <v>54</v>
      </c>
      <c r="M969" s="696">
        <v>5</v>
      </c>
      <c r="N969" s="726">
        <v>0</v>
      </c>
      <c r="O969" s="696">
        <v>164</v>
      </c>
      <c r="P969" s="726">
        <v>0</v>
      </c>
      <c r="Q969" s="746">
        <f t="shared" si="135"/>
        <v>610080</v>
      </c>
      <c r="R969" s="606">
        <f t="shared" si="136"/>
        <v>0</v>
      </c>
      <c r="S969" s="747">
        <f t="shared" si="137"/>
        <v>-610080</v>
      </c>
      <c r="T969" s="746">
        <v>66.319999999999993</v>
      </c>
      <c r="U969" s="606">
        <f t="shared" si="138"/>
        <v>-246710.39999999997</v>
      </c>
      <c r="V969" s="747">
        <f t="shared" si="139"/>
        <v>-363369.60000000003</v>
      </c>
      <c r="W969" s="748">
        <v>66.319999999999993</v>
      </c>
      <c r="X969" s="607">
        <f t="shared" si="140"/>
        <v>-246710.39999999997</v>
      </c>
      <c r="Y969" s="702">
        <f t="shared" si="141"/>
        <v>-363369.60000000003</v>
      </c>
      <c r="Z969" s="748">
        <v>66.319999999999993</v>
      </c>
      <c r="AA969" s="607">
        <f t="shared" si="142"/>
        <v>-246710.39999999997</v>
      </c>
      <c r="AB969" s="749">
        <f t="shared" si="143"/>
        <v>-363369.60000000003</v>
      </c>
      <c r="AC969" s="714"/>
    </row>
    <row r="970" spans="1:29" x14ac:dyDescent="0.25">
      <c r="A970" s="713"/>
      <c r="B970" s="714" t="s">
        <v>1395</v>
      </c>
      <c r="C970" s="676" t="s">
        <v>40</v>
      </c>
      <c r="D970" s="676" t="s">
        <v>472</v>
      </c>
      <c r="E970" s="680">
        <v>44774</v>
      </c>
      <c r="F970" s="676">
        <v>744</v>
      </c>
      <c r="G970" s="676" t="s">
        <v>58</v>
      </c>
      <c r="H970" s="676" t="s">
        <v>3</v>
      </c>
      <c r="I970" s="676" t="s">
        <v>44</v>
      </c>
      <c r="J970" s="676" t="s">
        <v>84</v>
      </c>
      <c r="K970" s="676">
        <v>164</v>
      </c>
      <c r="L970" s="690" t="s">
        <v>54</v>
      </c>
      <c r="M970" s="691">
        <v>5</v>
      </c>
      <c r="N970" s="690">
        <v>0</v>
      </c>
      <c r="O970" s="691">
        <v>164</v>
      </c>
      <c r="P970" s="690">
        <v>0</v>
      </c>
      <c r="Q970" s="738">
        <f t="shared" si="135"/>
        <v>610080</v>
      </c>
      <c r="R970" s="677">
        <f t="shared" si="136"/>
        <v>0</v>
      </c>
      <c r="S970" s="739">
        <f t="shared" si="137"/>
        <v>-610080</v>
      </c>
      <c r="T970" s="738">
        <v>76.900000000000006</v>
      </c>
      <c r="U970" s="677">
        <f t="shared" si="138"/>
        <v>-286068</v>
      </c>
      <c r="V970" s="739">
        <f t="shared" si="139"/>
        <v>-324012</v>
      </c>
      <c r="W970" s="740">
        <v>76.900000000000006</v>
      </c>
      <c r="X970" s="678">
        <f t="shared" si="140"/>
        <v>-286068</v>
      </c>
      <c r="Y970" s="700">
        <f t="shared" si="141"/>
        <v>-324012</v>
      </c>
      <c r="Z970" s="740">
        <v>76.900000000000006</v>
      </c>
      <c r="AA970" s="678">
        <f t="shared" si="142"/>
        <v>-286068</v>
      </c>
      <c r="AB970" s="741">
        <f t="shared" si="143"/>
        <v>-324012</v>
      </c>
      <c r="AC970" s="714"/>
    </row>
    <row r="971" spans="1:29" x14ac:dyDescent="0.25">
      <c r="A971" s="713"/>
      <c r="B971" s="729" t="s">
        <v>1395</v>
      </c>
      <c r="C971" s="545" t="s">
        <v>40</v>
      </c>
      <c r="D971" s="545" t="s">
        <v>472</v>
      </c>
      <c r="E971" s="681">
        <v>44805</v>
      </c>
      <c r="F971" s="545">
        <v>720</v>
      </c>
      <c r="G971" s="545" t="s">
        <v>58</v>
      </c>
      <c r="H971" s="545" t="s">
        <v>3</v>
      </c>
      <c r="I971" s="545" t="s">
        <v>44</v>
      </c>
      <c r="J971" s="545" t="s">
        <v>84</v>
      </c>
      <c r="K971" s="545">
        <v>164</v>
      </c>
      <c r="L971" s="725" t="s">
        <v>54</v>
      </c>
      <c r="M971" s="695">
        <v>5</v>
      </c>
      <c r="N971" s="725">
        <v>0</v>
      </c>
      <c r="O971" s="695">
        <v>164</v>
      </c>
      <c r="P971" s="725">
        <v>0</v>
      </c>
      <c r="Q971" s="742">
        <f t="shared" si="135"/>
        <v>590400</v>
      </c>
      <c r="R971" s="603">
        <f t="shared" si="136"/>
        <v>0</v>
      </c>
      <c r="S971" s="743">
        <f t="shared" si="137"/>
        <v>-590400</v>
      </c>
      <c r="T971" s="742">
        <v>56.08</v>
      </c>
      <c r="U971" s="603">
        <f t="shared" si="138"/>
        <v>-201888</v>
      </c>
      <c r="V971" s="743">
        <f t="shared" si="139"/>
        <v>-388512</v>
      </c>
      <c r="W971" s="744">
        <v>56.08</v>
      </c>
      <c r="X971" s="604">
        <f t="shared" si="140"/>
        <v>-201888</v>
      </c>
      <c r="Y971" s="701">
        <f t="shared" si="141"/>
        <v>-388512</v>
      </c>
      <c r="Z971" s="744">
        <v>56.08</v>
      </c>
      <c r="AA971" s="604">
        <f t="shared" si="142"/>
        <v>-201888</v>
      </c>
      <c r="AB971" s="745">
        <f t="shared" si="143"/>
        <v>-388512</v>
      </c>
      <c r="AC971" s="714"/>
    </row>
    <row r="972" spans="1:29" x14ac:dyDescent="0.25">
      <c r="A972" s="713"/>
      <c r="B972" s="730" t="s">
        <v>1399</v>
      </c>
      <c r="C972" s="546" t="s">
        <v>40</v>
      </c>
      <c r="D972" s="546" t="s">
        <v>1195</v>
      </c>
      <c r="E972" s="682">
        <v>44743</v>
      </c>
      <c r="F972" s="546">
        <v>744</v>
      </c>
      <c r="G972" s="546" t="s">
        <v>58</v>
      </c>
      <c r="H972" s="546" t="s">
        <v>3</v>
      </c>
      <c r="I972" s="546" t="s">
        <v>44</v>
      </c>
      <c r="J972" s="546" t="s">
        <v>84</v>
      </c>
      <c r="K972" s="546">
        <v>163</v>
      </c>
      <c r="L972" s="726" t="s">
        <v>54</v>
      </c>
      <c r="M972" s="696">
        <v>15</v>
      </c>
      <c r="N972" s="726">
        <v>0</v>
      </c>
      <c r="O972" s="696">
        <v>163</v>
      </c>
      <c r="P972" s="726">
        <v>0</v>
      </c>
      <c r="Q972" s="746">
        <f t="shared" si="135"/>
        <v>1819080</v>
      </c>
      <c r="R972" s="606">
        <f t="shared" si="136"/>
        <v>0</v>
      </c>
      <c r="S972" s="747">
        <f t="shared" si="137"/>
        <v>-1819080</v>
      </c>
      <c r="T972" s="746">
        <v>66.319999999999993</v>
      </c>
      <c r="U972" s="606">
        <f t="shared" si="138"/>
        <v>-740131.2</v>
      </c>
      <c r="V972" s="747">
        <f t="shared" si="139"/>
        <v>-1078948.8</v>
      </c>
      <c r="W972" s="748">
        <v>66.319999999999993</v>
      </c>
      <c r="X972" s="607">
        <f t="shared" si="140"/>
        <v>-740131.2</v>
      </c>
      <c r="Y972" s="702">
        <f t="shared" si="141"/>
        <v>-1078948.8</v>
      </c>
      <c r="Z972" s="748">
        <v>66.319999999999993</v>
      </c>
      <c r="AA972" s="607">
        <f t="shared" si="142"/>
        <v>-740131.2</v>
      </c>
      <c r="AB972" s="749">
        <f t="shared" si="143"/>
        <v>-1078948.8</v>
      </c>
      <c r="AC972" s="714"/>
    </row>
    <row r="973" spans="1:29" x14ac:dyDescent="0.25">
      <c r="A973" s="713"/>
      <c r="B973" s="714" t="s">
        <v>1399</v>
      </c>
      <c r="C973" s="676" t="s">
        <v>40</v>
      </c>
      <c r="D973" s="676" t="s">
        <v>1195</v>
      </c>
      <c r="E973" s="680">
        <v>44774</v>
      </c>
      <c r="F973" s="676">
        <v>744</v>
      </c>
      <c r="G973" s="676" t="s">
        <v>58</v>
      </c>
      <c r="H973" s="676" t="s">
        <v>3</v>
      </c>
      <c r="I973" s="676" t="s">
        <v>44</v>
      </c>
      <c r="J973" s="676" t="s">
        <v>84</v>
      </c>
      <c r="K973" s="676">
        <v>163</v>
      </c>
      <c r="L973" s="690" t="s">
        <v>54</v>
      </c>
      <c r="M973" s="691">
        <v>15</v>
      </c>
      <c r="N973" s="690">
        <v>0</v>
      </c>
      <c r="O973" s="691">
        <v>163</v>
      </c>
      <c r="P973" s="690">
        <v>0</v>
      </c>
      <c r="Q973" s="738">
        <f t="shared" si="135"/>
        <v>1819080</v>
      </c>
      <c r="R973" s="677">
        <f t="shared" si="136"/>
        <v>0</v>
      </c>
      <c r="S973" s="739">
        <f t="shared" si="137"/>
        <v>-1819080</v>
      </c>
      <c r="T973" s="738">
        <v>76.900000000000006</v>
      </c>
      <c r="U973" s="677">
        <f t="shared" si="138"/>
        <v>-858204.00000000012</v>
      </c>
      <c r="V973" s="739">
        <f t="shared" si="139"/>
        <v>-960875.99999999988</v>
      </c>
      <c r="W973" s="740">
        <v>76.900000000000006</v>
      </c>
      <c r="X973" s="678">
        <f t="shared" si="140"/>
        <v>-858204.00000000012</v>
      </c>
      <c r="Y973" s="700">
        <f t="shared" si="141"/>
        <v>-960875.99999999988</v>
      </c>
      <c r="Z973" s="740">
        <v>76.900000000000006</v>
      </c>
      <c r="AA973" s="678">
        <f t="shared" si="142"/>
        <v>-858204.00000000012</v>
      </c>
      <c r="AB973" s="741">
        <f t="shared" si="143"/>
        <v>-960875.99999999988</v>
      </c>
      <c r="AC973" s="714"/>
    </row>
    <row r="974" spans="1:29" x14ac:dyDescent="0.25">
      <c r="A974" s="713"/>
      <c r="B974" s="729" t="s">
        <v>1399</v>
      </c>
      <c r="C974" s="545" t="s">
        <v>40</v>
      </c>
      <c r="D974" s="545" t="s">
        <v>1195</v>
      </c>
      <c r="E974" s="681">
        <v>44805</v>
      </c>
      <c r="F974" s="545">
        <v>720</v>
      </c>
      <c r="G974" s="545" t="s">
        <v>58</v>
      </c>
      <c r="H974" s="545" t="s">
        <v>3</v>
      </c>
      <c r="I974" s="545" t="s">
        <v>44</v>
      </c>
      <c r="J974" s="545" t="s">
        <v>84</v>
      </c>
      <c r="K974" s="545">
        <v>163</v>
      </c>
      <c r="L974" s="725" t="s">
        <v>54</v>
      </c>
      <c r="M974" s="695">
        <v>15</v>
      </c>
      <c r="N974" s="725">
        <v>0</v>
      </c>
      <c r="O974" s="695">
        <v>163</v>
      </c>
      <c r="P974" s="725">
        <v>0</v>
      </c>
      <c r="Q974" s="742">
        <f t="shared" si="135"/>
        <v>1760400</v>
      </c>
      <c r="R974" s="603">
        <f t="shared" si="136"/>
        <v>0</v>
      </c>
      <c r="S974" s="743">
        <f t="shared" si="137"/>
        <v>-1760400</v>
      </c>
      <c r="T974" s="742">
        <v>56.08</v>
      </c>
      <c r="U974" s="603">
        <f t="shared" si="138"/>
        <v>-605664</v>
      </c>
      <c r="V974" s="743">
        <f t="shared" si="139"/>
        <v>-1154736</v>
      </c>
      <c r="W974" s="744">
        <v>56.08</v>
      </c>
      <c r="X974" s="604">
        <f t="shared" si="140"/>
        <v>-605664</v>
      </c>
      <c r="Y974" s="701">
        <f t="shared" si="141"/>
        <v>-1154736</v>
      </c>
      <c r="Z974" s="744">
        <v>56.08</v>
      </c>
      <c r="AA974" s="604">
        <f t="shared" si="142"/>
        <v>-605664</v>
      </c>
      <c r="AB974" s="745">
        <f t="shared" si="143"/>
        <v>-1154736</v>
      </c>
      <c r="AC974" s="714"/>
    </row>
    <row r="975" spans="1:29" x14ac:dyDescent="0.25">
      <c r="A975" s="713"/>
      <c r="B975" s="730" t="s">
        <v>1401</v>
      </c>
      <c r="C975" s="546" t="s">
        <v>40</v>
      </c>
      <c r="D975" s="546" t="s">
        <v>1195</v>
      </c>
      <c r="E975" s="682">
        <v>44835</v>
      </c>
      <c r="F975" s="546">
        <v>744</v>
      </c>
      <c r="G975" s="546" t="s">
        <v>59</v>
      </c>
      <c r="H975" s="546" t="s">
        <v>3</v>
      </c>
      <c r="I975" s="546" t="s">
        <v>44</v>
      </c>
      <c r="J975" s="546" t="s">
        <v>85</v>
      </c>
      <c r="K975" s="546">
        <v>183</v>
      </c>
      <c r="L975" s="726" t="s">
        <v>54</v>
      </c>
      <c r="M975" s="696">
        <v>0</v>
      </c>
      <c r="N975" s="726">
        <v>15</v>
      </c>
      <c r="O975" s="696">
        <v>0</v>
      </c>
      <c r="P975" s="726">
        <v>183</v>
      </c>
      <c r="Q975" s="746">
        <f t="shared" si="135"/>
        <v>0</v>
      </c>
      <c r="R975" s="606">
        <f t="shared" si="136"/>
        <v>2042280</v>
      </c>
      <c r="S975" s="747">
        <f t="shared" si="137"/>
        <v>2042280</v>
      </c>
      <c r="T975" s="746">
        <v>55.7</v>
      </c>
      <c r="U975" s="606">
        <f t="shared" si="138"/>
        <v>621612</v>
      </c>
      <c r="V975" s="747">
        <f t="shared" si="139"/>
        <v>1420668</v>
      </c>
      <c r="W975" s="748">
        <v>55.7</v>
      </c>
      <c r="X975" s="607">
        <f t="shared" si="140"/>
        <v>621612</v>
      </c>
      <c r="Y975" s="702">
        <f t="shared" si="141"/>
        <v>1420668</v>
      </c>
      <c r="Z975" s="748">
        <v>55.7</v>
      </c>
      <c r="AA975" s="607">
        <f t="shared" si="142"/>
        <v>621612</v>
      </c>
      <c r="AB975" s="749">
        <f t="shared" si="143"/>
        <v>1420668</v>
      </c>
      <c r="AC975" s="714"/>
    </row>
    <row r="976" spans="1:29" x14ac:dyDescent="0.25">
      <c r="A976" s="713"/>
      <c r="B976" s="714" t="s">
        <v>1401</v>
      </c>
      <c r="C976" s="676" t="s">
        <v>40</v>
      </c>
      <c r="D976" s="676" t="s">
        <v>1195</v>
      </c>
      <c r="E976" s="680">
        <v>44866</v>
      </c>
      <c r="F976" s="676">
        <v>720</v>
      </c>
      <c r="G976" s="676" t="s">
        <v>59</v>
      </c>
      <c r="H976" s="676" t="s">
        <v>3</v>
      </c>
      <c r="I976" s="676" t="s">
        <v>44</v>
      </c>
      <c r="J976" s="676" t="s">
        <v>85</v>
      </c>
      <c r="K976" s="676">
        <v>183</v>
      </c>
      <c r="L976" s="690" t="s">
        <v>54</v>
      </c>
      <c r="M976" s="691">
        <v>0</v>
      </c>
      <c r="N976" s="690">
        <v>15</v>
      </c>
      <c r="O976" s="691">
        <v>0</v>
      </c>
      <c r="P976" s="690">
        <v>183</v>
      </c>
      <c r="Q976" s="738">
        <f t="shared" si="135"/>
        <v>0</v>
      </c>
      <c r="R976" s="677">
        <f t="shared" si="136"/>
        <v>1976400</v>
      </c>
      <c r="S976" s="739">
        <f t="shared" si="137"/>
        <v>1976400</v>
      </c>
      <c r="T976" s="738">
        <v>55.7</v>
      </c>
      <c r="U976" s="677">
        <f t="shared" si="138"/>
        <v>601560</v>
      </c>
      <c r="V976" s="739">
        <f t="shared" si="139"/>
        <v>1374840</v>
      </c>
      <c r="W976" s="740">
        <v>55.7</v>
      </c>
      <c r="X976" s="678">
        <f t="shared" si="140"/>
        <v>601560</v>
      </c>
      <c r="Y976" s="700">
        <f t="shared" si="141"/>
        <v>1374840</v>
      </c>
      <c r="Z976" s="740">
        <v>55.7</v>
      </c>
      <c r="AA976" s="678">
        <f t="shared" si="142"/>
        <v>601560</v>
      </c>
      <c r="AB976" s="741">
        <f t="shared" si="143"/>
        <v>1374840</v>
      </c>
      <c r="AC976" s="714"/>
    </row>
    <row r="977" spans="1:29" x14ac:dyDescent="0.25">
      <c r="A977" s="713"/>
      <c r="B977" s="729" t="s">
        <v>1401</v>
      </c>
      <c r="C977" s="545" t="s">
        <v>40</v>
      </c>
      <c r="D977" s="545" t="s">
        <v>1195</v>
      </c>
      <c r="E977" s="681">
        <v>44896</v>
      </c>
      <c r="F977" s="545">
        <v>744</v>
      </c>
      <c r="G977" s="545" t="s">
        <v>59</v>
      </c>
      <c r="H977" s="545" t="s">
        <v>3</v>
      </c>
      <c r="I977" s="545" t="s">
        <v>44</v>
      </c>
      <c r="J977" s="545" t="s">
        <v>85</v>
      </c>
      <c r="K977" s="545">
        <v>183</v>
      </c>
      <c r="L977" s="725" t="s">
        <v>54</v>
      </c>
      <c r="M977" s="695">
        <v>0</v>
      </c>
      <c r="N977" s="725">
        <v>15</v>
      </c>
      <c r="O977" s="695">
        <v>0</v>
      </c>
      <c r="P977" s="725">
        <v>183</v>
      </c>
      <c r="Q977" s="742">
        <f t="shared" si="135"/>
        <v>0</v>
      </c>
      <c r="R977" s="603">
        <f t="shared" si="136"/>
        <v>2042280</v>
      </c>
      <c r="S977" s="743">
        <f t="shared" si="137"/>
        <v>2042280</v>
      </c>
      <c r="T977" s="742">
        <v>55.7</v>
      </c>
      <c r="U977" s="603">
        <f t="shared" si="138"/>
        <v>621612</v>
      </c>
      <c r="V977" s="743">
        <f t="shared" si="139"/>
        <v>1420668</v>
      </c>
      <c r="W977" s="744">
        <v>55.7</v>
      </c>
      <c r="X977" s="604">
        <f t="shared" si="140"/>
        <v>621612</v>
      </c>
      <c r="Y977" s="701">
        <f t="shared" si="141"/>
        <v>1420668</v>
      </c>
      <c r="Z977" s="744">
        <v>78.400653594793155</v>
      </c>
      <c r="AA977" s="604">
        <f t="shared" si="142"/>
        <v>874951.29411789158</v>
      </c>
      <c r="AB977" s="745">
        <f t="shared" si="143"/>
        <v>1167328.7058821083</v>
      </c>
      <c r="AC977" s="714"/>
    </row>
    <row r="978" spans="1:29" x14ac:dyDescent="0.25">
      <c r="A978" s="713"/>
      <c r="B978" s="730" t="s">
        <v>1408</v>
      </c>
      <c r="C978" s="546" t="s">
        <v>40</v>
      </c>
      <c r="D978" s="546" t="s">
        <v>506</v>
      </c>
      <c r="E978" s="682">
        <v>44743</v>
      </c>
      <c r="F978" s="546">
        <v>744</v>
      </c>
      <c r="G978" s="546" t="s">
        <v>59</v>
      </c>
      <c r="H978" s="546" t="s">
        <v>3</v>
      </c>
      <c r="I978" s="546" t="s">
        <v>44</v>
      </c>
      <c r="J978" s="546" t="s">
        <v>85</v>
      </c>
      <c r="K978" s="546">
        <v>165</v>
      </c>
      <c r="L978" s="726" t="s">
        <v>54</v>
      </c>
      <c r="M978" s="696">
        <v>0</v>
      </c>
      <c r="N978" s="726">
        <v>5</v>
      </c>
      <c r="O978" s="696">
        <v>0</v>
      </c>
      <c r="P978" s="726">
        <v>165</v>
      </c>
      <c r="Q978" s="746">
        <f t="shared" si="135"/>
        <v>0</v>
      </c>
      <c r="R978" s="606">
        <f t="shared" si="136"/>
        <v>613800</v>
      </c>
      <c r="S978" s="747">
        <f t="shared" si="137"/>
        <v>613800</v>
      </c>
      <c r="T978" s="746">
        <v>66.319999999999993</v>
      </c>
      <c r="U978" s="606">
        <f t="shared" si="138"/>
        <v>246710.39999999997</v>
      </c>
      <c r="V978" s="747">
        <f t="shared" si="139"/>
        <v>367089.60000000003</v>
      </c>
      <c r="W978" s="748">
        <v>66.319999999999993</v>
      </c>
      <c r="X978" s="607">
        <f t="shared" si="140"/>
        <v>246710.39999999997</v>
      </c>
      <c r="Y978" s="702">
        <f t="shared" si="141"/>
        <v>367089.60000000003</v>
      </c>
      <c r="Z978" s="748">
        <v>66.319999999999993</v>
      </c>
      <c r="AA978" s="607">
        <f t="shared" si="142"/>
        <v>246710.39999999997</v>
      </c>
      <c r="AB978" s="749">
        <f t="shared" si="143"/>
        <v>367089.60000000003</v>
      </c>
      <c r="AC978" s="714"/>
    </row>
    <row r="979" spans="1:29" x14ac:dyDescent="0.25">
      <c r="A979" s="713"/>
      <c r="B979" s="714" t="s">
        <v>1408</v>
      </c>
      <c r="C979" s="676" t="s">
        <v>40</v>
      </c>
      <c r="D979" s="676" t="s">
        <v>506</v>
      </c>
      <c r="E979" s="680">
        <v>44774</v>
      </c>
      <c r="F979" s="676">
        <v>744</v>
      </c>
      <c r="G979" s="676" t="s">
        <v>59</v>
      </c>
      <c r="H979" s="676" t="s">
        <v>3</v>
      </c>
      <c r="I979" s="676" t="s">
        <v>44</v>
      </c>
      <c r="J979" s="676" t="s">
        <v>85</v>
      </c>
      <c r="K979" s="676">
        <v>165</v>
      </c>
      <c r="L979" s="690" t="s">
        <v>54</v>
      </c>
      <c r="M979" s="691">
        <v>0</v>
      </c>
      <c r="N979" s="690">
        <v>5</v>
      </c>
      <c r="O979" s="691">
        <v>0</v>
      </c>
      <c r="P979" s="690">
        <v>165</v>
      </c>
      <c r="Q979" s="738">
        <f t="shared" si="135"/>
        <v>0</v>
      </c>
      <c r="R979" s="677">
        <f t="shared" si="136"/>
        <v>613800</v>
      </c>
      <c r="S979" s="739">
        <f t="shared" si="137"/>
        <v>613800</v>
      </c>
      <c r="T979" s="738">
        <v>76.900000000000006</v>
      </c>
      <c r="U979" s="677">
        <f t="shared" si="138"/>
        <v>286068</v>
      </c>
      <c r="V979" s="739">
        <f t="shared" si="139"/>
        <v>327732</v>
      </c>
      <c r="W979" s="740">
        <v>76.900000000000006</v>
      </c>
      <c r="X979" s="678">
        <f t="shared" si="140"/>
        <v>286068</v>
      </c>
      <c r="Y979" s="700">
        <f t="shared" si="141"/>
        <v>327732</v>
      </c>
      <c r="Z979" s="740">
        <v>76.900000000000006</v>
      </c>
      <c r="AA979" s="678">
        <f t="shared" si="142"/>
        <v>286068</v>
      </c>
      <c r="AB979" s="741">
        <f t="shared" si="143"/>
        <v>327732</v>
      </c>
      <c r="AC979" s="714"/>
    </row>
    <row r="980" spans="1:29" x14ac:dyDescent="0.25">
      <c r="A980" s="713"/>
      <c r="B980" s="714" t="s">
        <v>1408</v>
      </c>
      <c r="C980" s="676" t="s">
        <v>40</v>
      </c>
      <c r="D980" s="676" t="s">
        <v>506</v>
      </c>
      <c r="E980" s="680">
        <v>44805</v>
      </c>
      <c r="F980" s="676">
        <v>720</v>
      </c>
      <c r="G980" s="676" t="s">
        <v>59</v>
      </c>
      <c r="H980" s="676" t="s">
        <v>3</v>
      </c>
      <c r="I980" s="676" t="s">
        <v>44</v>
      </c>
      <c r="J980" s="676" t="s">
        <v>85</v>
      </c>
      <c r="K980" s="676">
        <v>165</v>
      </c>
      <c r="L980" s="690" t="s">
        <v>54</v>
      </c>
      <c r="M980" s="691">
        <v>0</v>
      </c>
      <c r="N980" s="690">
        <v>5</v>
      </c>
      <c r="O980" s="691">
        <v>0</v>
      </c>
      <c r="P980" s="690">
        <v>165</v>
      </c>
      <c r="Q980" s="738">
        <f t="shared" si="135"/>
        <v>0</v>
      </c>
      <c r="R980" s="677">
        <f t="shared" si="136"/>
        <v>594000</v>
      </c>
      <c r="S980" s="739">
        <f t="shared" si="137"/>
        <v>594000</v>
      </c>
      <c r="T980" s="738">
        <v>56.08</v>
      </c>
      <c r="U980" s="677">
        <f t="shared" si="138"/>
        <v>201888</v>
      </c>
      <c r="V980" s="739">
        <f t="shared" si="139"/>
        <v>392112</v>
      </c>
      <c r="W980" s="740">
        <v>56.08</v>
      </c>
      <c r="X980" s="678">
        <f t="shared" si="140"/>
        <v>201888</v>
      </c>
      <c r="Y980" s="700">
        <f t="shared" si="141"/>
        <v>392112</v>
      </c>
      <c r="Z980" s="740">
        <v>56.08</v>
      </c>
      <c r="AA980" s="678">
        <f t="shared" si="142"/>
        <v>201888</v>
      </c>
      <c r="AB980" s="741">
        <f t="shared" si="143"/>
        <v>392112</v>
      </c>
      <c r="AC980" s="714"/>
    </row>
    <row r="981" spans="1:29" x14ac:dyDescent="0.25">
      <c r="A981" s="713"/>
      <c r="B981" s="714" t="s">
        <v>1408</v>
      </c>
      <c r="C981" s="676" t="s">
        <v>40</v>
      </c>
      <c r="D981" s="676" t="s">
        <v>506</v>
      </c>
      <c r="E981" s="680">
        <v>44835</v>
      </c>
      <c r="F981" s="676">
        <v>744</v>
      </c>
      <c r="G981" s="676" t="s">
        <v>59</v>
      </c>
      <c r="H981" s="676" t="s">
        <v>3</v>
      </c>
      <c r="I981" s="676" t="s">
        <v>44</v>
      </c>
      <c r="J981" s="676" t="s">
        <v>85</v>
      </c>
      <c r="K981" s="676">
        <v>165</v>
      </c>
      <c r="L981" s="690" t="s">
        <v>54</v>
      </c>
      <c r="M981" s="691">
        <v>0</v>
      </c>
      <c r="N981" s="690">
        <v>5</v>
      </c>
      <c r="O981" s="691">
        <v>0</v>
      </c>
      <c r="P981" s="690">
        <v>165</v>
      </c>
      <c r="Q981" s="738">
        <f t="shared" si="135"/>
        <v>0</v>
      </c>
      <c r="R981" s="677">
        <f t="shared" si="136"/>
        <v>613800</v>
      </c>
      <c r="S981" s="739">
        <f t="shared" si="137"/>
        <v>613800</v>
      </c>
      <c r="T981" s="738">
        <v>55.7</v>
      </c>
      <c r="U981" s="677">
        <f t="shared" si="138"/>
        <v>207204</v>
      </c>
      <c r="V981" s="739">
        <f t="shared" si="139"/>
        <v>406596</v>
      </c>
      <c r="W981" s="740">
        <v>55.7</v>
      </c>
      <c r="X981" s="678">
        <f t="shared" si="140"/>
        <v>207204</v>
      </c>
      <c r="Y981" s="700">
        <f t="shared" si="141"/>
        <v>406596</v>
      </c>
      <c r="Z981" s="740">
        <v>55.7</v>
      </c>
      <c r="AA981" s="678">
        <f t="shared" si="142"/>
        <v>207204</v>
      </c>
      <c r="AB981" s="741">
        <f t="shared" si="143"/>
        <v>406596</v>
      </c>
      <c r="AC981" s="714"/>
    </row>
    <row r="982" spans="1:29" x14ac:dyDescent="0.25">
      <c r="A982" s="713"/>
      <c r="B982" s="714" t="s">
        <v>1408</v>
      </c>
      <c r="C982" s="676" t="s">
        <v>40</v>
      </c>
      <c r="D982" s="676" t="s">
        <v>506</v>
      </c>
      <c r="E982" s="680">
        <v>44866</v>
      </c>
      <c r="F982" s="676">
        <v>720</v>
      </c>
      <c r="G982" s="676" t="s">
        <v>59</v>
      </c>
      <c r="H982" s="676" t="s">
        <v>3</v>
      </c>
      <c r="I982" s="676" t="s">
        <v>44</v>
      </c>
      <c r="J982" s="676" t="s">
        <v>85</v>
      </c>
      <c r="K982" s="676">
        <v>165</v>
      </c>
      <c r="L982" s="690" t="s">
        <v>54</v>
      </c>
      <c r="M982" s="691">
        <v>0</v>
      </c>
      <c r="N982" s="690">
        <v>5</v>
      </c>
      <c r="O982" s="691">
        <v>0</v>
      </c>
      <c r="P982" s="690">
        <v>165</v>
      </c>
      <c r="Q982" s="738">
        <f t="shared" si="135"/>
        <v>0</v>
      </c>
      <c r="R982" s="677">
        <f t="shared" si="136"/>
        <v>594000</v>
      </c>
      <c r="S982" s="739">
        <f t="shared" si="137"/>
        <v>594000</v>
      </c>
      <c r="T982" s="738">
        <v>55.7</v>
      </c>
      <c r="U982" s="677">
        <f t="shared" si="138"/>
        <v>200520</v>
      </c>
      <c r="V982" s="739">
        <f t="shared" si="139"/>
        <v>393480</v>
      </c>
      <c r="W982" s="740">
        <v>55.7</v>
      </c>
      <c r="X982" s="678">
        <f t="shared" si="140"/>
        <v>200520</v>
      </c>
      <c r="Y982" s="700">
        <f t="shared" si="141"/>
        <v>393480</v>
      </c>
      <c r="Z982" s="740">
        <v>55.7</v>
      </c>
      <c r="AA982" s="678">
        <f t="shared" si="142"/>
        <v>200520</v>
      </c>
      <c r="AB982" s="741">
        <f t="shared" si="143"/>
        <v>393480</v>
      </c>
      <c r="AC982" s="714"/>
    </row>
    <row r="983" spans="1:29" x14ac:dyDescent="0.25">
      <c r="A983" s="713"/>
      <c r="B983" s="729" t="s">
        <v>1408</v>
      </c>
      <c r="C983" s="545" t="s">
        <v>40</v>
      </c>
      <c r="D983" s="545" t="s">
        <v>506</v>
      </c>
      <c r="E983" s="681">
        <v>44896</v>
      </c>
      <c r="F983" s="545">
        <v>744</v>
      </c>
      <c r="G983" s="545" t="s">
        <v>59</v>
      </c>
      <c r="H983" s="545" t="s">
        <v>3</v>
      </c>
      <c r="I983" s="545" t="s">
        <v>44</v>
      </c>
      <c r="J983" s="545" t="s">
        <v>85</v>
      </c>
      <c r="K983" s="545">
        <v>165</v>
      </c>
      <c r="L983" s="725" t="s">
        <v>54</v>
      </c>
      <c r="M983" s="695">
        <v>0</v>
      </c>
      <c r="N983" s="725">
        <v>5</v>
      </c>
      <c r="O983" s="695">
        <v>0</v>
      </c>
      <c r="P983" s="725">
        <v>165</v>
      </c>
      <c r="Q983" s="742">
        <f t="shared" si="135"/>
        <v>0</v>
      </c>
      <c r="R983" s="603">
        <f t="shared" si="136"/>
        <v>613800</v>
      </c>
      <c r="S983" s="743">
        <f t="shared" si="137"/>
        <v>613800</v>
      </c>
      <c r="T983" s="742">
        <v>55.7</v>
      </c>
      <c r="U983" s="603">
        <f t="shared" si="138"/>
        <v>207204</v>
      </c>
      <c r="V983" s="743">
        <f t="shared" si="139"/>
        <v>406596</v>
      </c>
      <c r="W983" s="744">
        <v>55.7</v>
      </c>
      <c r="X983" s="604">
        <f t="shared" si="140"/>
        <v>207204</v>
      </c>
      <c r="Y983" s="701">
        <f t="shared" si="141"/>
        <v>406596</v>
      </c>
      <c r="Z983" s="744">
        <v>78.400653594793155</v>
      </c>
      <c r="AA983" s="604">
        <f t="shared" si="142"/>
        <v>291650.43137263053</v>
      </c>
      <c r="AB983" s="745">
        <f t="shared" si="143"/>
        <v>322149.56862736947</v>
      </c>
      <c r="AC983" s="714"/>
    </row>
    <row r="984" spans="1:29" x14ac:dyDescent="0.25">
      <c r="A984" s="713"/>
      <c r="B984" s="730" t="s">
        <v>1409</v>
      </c>
      <c r="C984" s="546" t="s">
        <v>40</v>
      </c>
      <c r="D984" s="546" t="s">
        <v>471</v>
      </c>
      <c r="E984" s="682">
        <v>44743</v>
      </c>
      <c r="F984" s="546">
        <v>744</v>
      </c>
      <c r="G984" s="546" t="s">
        <v>59</v>
      </c>
      <c r="H984" s="546" t="s">
        <v>3</v>
      </c>
      <c r="I984" s="546" t="s">
        <v>44</v>
      </c>
      <c r="J984" s="546" t="s">
        <v>85</v>
      </c>
      <c r="K984" s="546">
        <v>165</v>
      </c>
      <c r="L984" s="726" t="s">
        <v>54</v>
      </c>
      <c r="M984" s="696">
        <v>0</v>
      </c>
      <c r="N984" s="726">
        <v>2</v>
      </c>
      <c r="O984" s="696">
        <v>0</v>
      </c>
      <c r="P984" s="726">
        <v>165</v>
      </c>
      <c r="Q984" s="746">
        <f t="shared" si="135"/>
        <v>0</v>
      </c>
      <c r="R984" s="606">
        <f t="shared" si="136"/>
        <v>245520</v>
      </c>
      <c r="S984" s="747">
        <f t="shared" si="137"/>
        <v>245520</v>
      </c>
      <c r="T984" s="746">
        <v>66.319999999999993</v>
      </c>
      <c r="U984" s="606">
        <f t="shared" si="138"/>
        <v>98684.159999999989</v>
      </c>
      <c r="V984" s="747">
        <f t="shared" si="139"/>
        <v>146835.84000000003</v>
      </c>
      <c r="W984" s="748">
        <v>66.319999999999993</v>
      </c>
      <c r="X984" s="607">
        <f t="shared" si="140"/>
        <v>98684.159999999989</v>
      </c>
      <c r="Y984" s="702">
        <f t="shared" si="141"/>
        <v>146835.84000000003</v>
      </c>
      <c r="Z984" s="748">
        <v>66.319999999999993</v>
      </c>
      <c r="AA984" s="607">
        <f t="shared" si="142"/>
        <v>98684.159999999989</v>
      </c>
      <c r="AB984" s="749">
        <f t="shared" si="143"/>
        <v>146835.84000000003</v>
      </c>
      <c r="AC984" s="714"/>
    </row>
    <row r="985" spans="1:29" x14ac:dyDescent="0.25">
      <c r="A985" s="713"/>
      <c r="B985" s="714" t="s">
        <v>1409</v>
      </c>
      <c r="C985" s="676" t="s">
        <v>40</v>
      </c>
      <c r="D985" s="676" t="s">
        <v>471</v>
      </c>
      <c r="E985" s="680">
        <v>44774</v>
      </c>
      <c r="F985" s="676">
        <v>744</v>
      </c>
      <c r="G985" s="676" t="s">
        <v>59</v>
      </c>
      <c r="H985" s="676" t="s">
        <v>3</v>
      </c>
      <c r="I985" s="676" t="s">
        <v>44</v>
      </c>
      <c r="J985" s="676" t="s">
        <v>85</v>
      </c>
      <c r="K985" s="676">
        <v>165</v>
      </c>
      <c r="L985" s="690" t="s">
        <v>54</v>
      </c>
      <c r="M985" s="691">
        <v>0</v>
      </c>
      <c r="N985" s="690">
        <v>2</v>
      </c>
      <c r="O985" s="691">
        <v>0</v>
      </c>
      <c r="P985" s="690">
        <v>165</v>
      </c>
      <c r="Q985" s="738">
        <f t="shared" si="135"/>
        <v>0</v>
      </c>
      <c r="R985" s="677">
        <f t="shared" si="136"/>
        <v>245520</v>
      </c>
      <c r="S985" s="739">
        <f t="shared" si="137"/>
        <v>245520</v>
      </c>
      <c r="T985" s="738">
        <v>76.900000000000006</v>
      </c>
      <c r="U985" s="677">
        <f t="shared" si="138"/>
        <v>114427.20000000001</v>
      </c>
      <c r="V985" s="739">
        <f t="shared" si="139"/>
        <v>131092.79999999999</v>
      </c>
      <c r="W985" s="740">
        <v>76.900000000000006</v>
      </c>
      <c r="X985" s="678">
        <f t="shared" si="140"/>
        <v>114427.20000000001</v>
      </c>
      <c r="Y985" s="700">
        <f t="shared" si="141"/>
        <v>131092.79999999999</v>
      </c>
      <c r="Z985" s="740">
        <v>76.900000000000006</v>
      </c>
      <c r="AA985" s="678">
        <f t="shared" si="142"/>
        <v>114427.20000000001</v>
      </c>
      <c r="AB985" s="741">
        <f t="shared" si="143"/>
        <v>131092.79999999999</v>
      </c>
      <c r="AC985" s="714"/>
    </row>
    <row r="986" spans="1:29" x14ac:dyDescent="0.25">
      <c r="A986" s="713"/>
      <c r="B986" s="714" t="s">
        <v>1409</v>
      </c>
      <c r="C986" s="676" t="s">
        <v>40</v>
      </c>
      <c r="D986" s="676" t="s">
        <v>471</v>
      </c>
      <c r="E986" s="680">
        <v>44805</v>
      </c>
      <c r="F986" s="676">
        <v>720</v>
      </c>
      <c r="G986" s="676" t="s">
        <v>59</v>
      </c>
      <c r="H986" s="676" t="s">
        <v>3</v>
      </c>
      <c r="I986" s="676" t="s">
        <v>44</v>
      </c>
      <c r="J986" s="676" t="s">
        <v>85</v>
      </c>
      <c r="K986" s="676">
        <v>165</v>
      </c>
      <c r="L986" s="690" t="s">
        <v>54</v>
      </c>
      <c r="M986" s="691">
        <v>0</v>
      </c>
      <c r="N986" s="690">
        <v>2</v>
      </c>
      <c r="O986" s="691">
        <v>0</v>
      </c>
      <c r="P986" s="690">
        <v>165</v>
      </c>
      <c r="Q986" s="738">
        <f t="shared" si="135"/>
        <v>0</v>
      </c>
      <c r="R986" s="677">
        <f t="shared" si="136"/>
        <v>237600</v>
      </c>
      <c r="S986" s="739">
        <f t="shared" si="137"/>
        <v>237600</v>
      </c>
      <c r="T986" s="738">
        <v>56.08</v>
      </c>
      <c r="U986" s="677">
        <f t="shared" si="138"/>
        <v>80755.199999999997</v>
      </c>
      <c r="V986" s="739">
        <f t="shared" si="139"/>
        <v>156844.79999999999</v>
      </c>
      <c r="W986" s="740">
        <v>56.08</v>
      </c>
      <c r="X986" s="678">
        <f t="shared" si="140"/>
        <v>80755.199999999997</v>
      </c>
      <c r="Y986" s="700">
        <f t="shared" si="141"/>
        <v>156844.79999999999</v>
      </c>
      <c r="Z986" s="740">
        <v>56.08</v>
      </c>
      <c r="AA986" s="678">
        <f t="shared" si="142"/>
        <v>80755.199999999997</v>
      </c>
      <c r="AB986" s="741">
        <f t="shared" si="143"/>
        <v>156844.79999999999</v>
      </c>
      <c r="AC986" s="714"/>
    </row>
    <row r="987" spans="1:29" x14ac:dyDescent="0.25">
      <c r="A987" s="713"/>
      <c r="B987" s="714" t="s">
        <v>1409</v>
      </c>
      <c r="C987" s="676" t="s">
        <v>40</v>
      </c>
      <c r="D987" s="676" t="s">
        <v>471</v>
      </c>
      <c r="E987" s="680">
        <v>44835</v>
      </c>
      <c r="F987" s="676">
        <v>744</v>
      </c>
      <c r="G987" s="676" t="s">
        <v>59</v>
      </c>
      <c r="H987" s="676" t="s">
        <v>3</v>
      </c>
      <c r="I987" s="676" t="s">
        <v>44</v>
      </c>
      <c r="J987" s="676" t="s">
        <v>85</v>
      </c>
      <c r="K987" s="676">
        <v>165</v>
      </c>
      <c r="L987" s="690" t="s">
        <v>54</v>
      </c>
      <c r="M987" s="691">
        <v>0</v>
      </c>
      <c r="N987" s="690">
        <v>2</v>
      </c>
      <c r="O987" s="691">
        <v>0</v>
      </c>
      <c r="P987" s="690">
        <v>165</v>
      </c>
      <c r="Q987" s="738">
        <f t="shared" si="135"/>
        <v>0</v>
      </c>
      <c r="R987" s="677">
        <f t="shared" si="136"/>
        <v>245520</v>
      </c>
      <c r="S987" s="739">
        <f t="shared" si="137"/>
        <v>245520</v>
      </c>
      <c r="T987" s="738">
        <v>55.7</v>
      </c>
      <c r="U987" s="677">
        <f t="shared" si="138"/>
        <v>82881.600000000006</v>
      </c>
      <c r="V987" s="739">
        <f t="shared" si="139"/>
        <v>162638.39999999999</v>
      </c>
      <c r="W987" s="740">
        <v>55.7</v>
      </c>
      <c r="X987" s="678">
        <f t="shared" si="140"/>
        <v>82881.600000000006</v>
      </c>
      <c r="Y987" s="700">
        <f t="shared" si="141"/>
        <v>162638.39999999999</v>
      </c>
      <c r="Z987" s="740">
        <v>55.7</v>
      </c>
      <c r="AA987" s="678">
        <f t="shared" si="142"/>
        <v>82881.600000000006</v>
      </c>
      <c r="AB987" s="741">
        <f t="shared" si="143"/>
        <v>162638.39999999999</v>
      </c>
      <c r="AC987" s="714"/>
    </row>
    <row r="988" spans="1:29" x14ac:dyDescent="0.25">
      <c r="A988" s="713"/>
      <c r="B988" s="714" t="s">
        <v>1409</v>
      </c>
      <c r="C988" s="676" t="s">
        <v>40</v>
      </c>
      <c r="D988" s="676" t="s">
        <v>471</v>
      </c>
      <c r="E988" s="680">
        <v>44866</v>
      </c>
      <c r="F988" s="676">
        <v>720</v>
      </c>
      <c r="G988" s="676" t="s">
        <v>59</v>
      </c>
      <c r="H988" s="676" t="s">
        <v>3</v>
      </c>
      <c r="I988" s="676" t="s">
        <v>44</v>
      </c>
      <c r="J988" s="676" t="s">
        <v>85</v>
      </c>
      <c r="K988" s="676">
        <v>165</v>
      </c>
      <c r="L988" s="690" t="s">
        <v>54</v>
      </c>
      <c r="M988" s="691">
        <v>0</v>
      </c>
      <c r="N988" s="690">
        <v>2</v>
      </c>
      <c r="O988" s="691">
        <v>0</v>
      </c>
      <c r="P988" s="690">
        <v>165</v>
      </c>
      <c r="Q988" s="738">
        <f t="shared" si="135"/>
        <v>0</v>
      </c>
      <c r="R988" s="677">
        <f t="shared" si="136"/>
        <v>237600</v>
      </c>
      <c r="S988" s="739">
        <f t="shared" si="137"/>
        <v>237600</v>
      </c>
      <c r="T988" s="738">
        <v>55.7</v>
      </c>
      <c r="U988" s="677">
        <f t="shared" si="138"/>
        <v>80208</v>
      </c>
      <c r="V988" s="739">
        <f t="shared" si="139"/>
        <v>157392</v>
      </c>
      <c r="W988" s="740">
        <v>55.7</v>
      </c>
      <c r="X988" s="678">
        <f t="shared" si="140"/>
        <v>80208</v>
      </c>
      <c r="Y988" s="700">
        <f t="shared" si="141"/>
        <v>157392</v>
      </c>
      <c r="Z988" s="740">
        <v>55.7</v>
      </c>
      <c r="AA988" s="678">
        <f t="shared" si="142"/>
        <v>80208</v>
      </c>
      <c r="AB988" s="741">
        <f t="shared" si="143"/>
        <v>157392</v>
      </c>
      <c r="AC988" s="714"/>
    </row>
    <row r="989" spans="1:29" x14ac:dyDescent="0.25">
      <c r="A989" s="713"/>
      <c r="B989" s="729" t="s">
        <v>1409</v>
      </c>
      <c r="C989" s="545" t="s">
        <v>40</v>
      </c>
      <c r="D989" s="545" t="s">
        <v>471</v>
      </c>
      <c r="E989" s="681">
        <v>44896</v>
      </c>
      <c r="F989" s="545">
        <v>744</v>
      </c>
      <c r="G989" s="545" t="s">
        <v>59</v>
      </c>
      <c r="H989" s="545" t="s">
        <v>3</v>
      </c>
      <c r="I989" s="545" t="s">
        <v>44</v>
      </c>
      <c r="J989" s="545" t="s">
        <v>85</v>
      </c>
      <c r="K989" s="545">
        <v>165</v>
      </c>
      <c r="L989" s="725" t="s">
        <v>54</v>
      </c>
      <c r="M989" s="695">
        <v>0</v>
      </c>
      <c r="N989" s="725">
        <v>2</v>
      </c>
      <c r="O989" s="695">
        <v>0</v>
      </c>
      <c r="P989" s="725">
        <v>165</v>
      </c>
      <c r="Q989" s="742">
        <f t="shared" si="135"/>
        <v>0</v>
      </c>
      <c r="R989" s="603">
        <f t="shared" si="136"/>
        <v>245520</v>
      </c>
      <c r="S989" s="743">
        <f t="shared" si="137"/>
        <v>245520</v>
      </c>
      <c r="T989" s="742">
        <v>55.7</v>
      </c>
      <c r="U989" s="603">
        <f t="shared" si="138"/>
        <v>82881.600000000006</v>
      </c>
      <c r="V989" s="743">
        <f t="shared" si="139"/>
        <v>162638.39999999999</v>
      </c>
      <c r="W989" s="744">
        <v>55.7</v>
      </c>
      <c r="X989" s="604">
        <f t="shared" si="140"/>
        <v>82881.600000000006</v>
      </c>
      <c r="Y989" s="701">
        <f t="shared" si="141"/>
        <v>162638.39999999999</v>
      </c>
      <c r="Z989" s="744">
        <v>78.400653594793155</v>
      </c>
      <c r="AA989" s="604">
        <f t="shared" si="142"/>
        <v>116660.17254905222</v>
      </c>
      <c r="AB989" s="745">
        <f t="shared" si="143"/>
        <v>128859.82745094778</v>
      </c>
      <c r="AC989" s="714"/>
    </row>
    <row r="990" spans="1:29" x14ac:dyDescent="0.25">
      <c r="A990" s="713"/>
      <c r="B990" s="730" t="s">
        <v>1410</v>
      </c>
      <c r="C990" s="546" t="s">
        <v>40</v>
      </c>
      <c r="D990" s="546" t="s">
        <v>510</v>
      </c>
      <c r="E990" s="682">
        <v>44927</v>
      </c>
      <c r="F990" s="546">
        <v>744</v>
      </c>
      <c r="G990" s="546" t="s">
        <v>58</v>
      </c>
      <c r="H990" s="546" t="s">
        <v>3</v>
      </c>
      <c r="I990" s="546" t="s">
        <v>44</v>
      </c>
      <c r="J990" s="546" t="s">
        <v>84</v>
      </c>
      <c r="K990" s="546">
        <v>215</v>
      </c>
      <c r="L990" s="726" t="s">
        <v>54</v>
      </c>
      <c r="M990" s="696">
        <v>4</v>
      </c>
      <c r="N990" s="726">
        <v>0</v>
      </c>
      <c r="O990" s="696">
        <v>223.64262249879329</v>
      </c>
      <c r="P990" s="726">
        <v>0</v>
      </c>
      <c r="Q990" s="746">
        <f t="shared" si="135"/>
        <v>665560.44455640879</v>
      </c>
      <c r="R990" s="606">
        <f t="shared" si="136"/>
        <v>0</v>
      </c>
      <c r="S990" s="747">
        <f t="shared" si="137"/>
        <v>-665560.44455640879</v>
      </c>
      <c r="T990" s="746">
        <v>68.72</v>
      </c>
      <c r="U990" s="606">
        <f t="shared" si="138"/>
        <v>-204510.72</v>
      </c>
      <c r="V990" s="747">
        <f t="shared" si="139"/>
        <v>-461049.72455640882</v>
      </c>
      <c r="W990" s="748">
        <v>55.7</v>
      </c>
      <c r="X990" s="607">
        <f t="shared" si="140"/>
        <v>-165763.20000000001</v>
      </c>
      <c r="Y990" s="702">
        <f t="shared" si="141"/>
        <v>-499797.24455640878</v>
      </c>
      <c r="Z990" s="748">
        <v>96.206580759134184</v>
      </c>
      <c r="AA990" s="607">
        <f t="shared" si="142"/>
        <v>-286310.78433918336</v>
      </c>
      <c r="AB990" s="749">
        <f t="shared" si="143"/>
        <v>-379249.66021722544</v>
      </c>
      <c r="AC990" s="714"/>
    </row>
    <row r="991" spans="1:29" x14ac:dyDescent="0.25">
      <c r="A991" s="713"/>
      <c r="B991" s="714" t="s">
        <v>1410</v>
      </c>
      <c r="C991" s="676" t="s">
        <v>40</v>
      </c>
      <c r="D991" s="676" t="s">
        <v>510</v>
      </c>
      <c r="E991" s="680">
        <v>44958</v>
      </c>
      <c r="F991" s="676">
        <v>672</v>
      </c>
      <c r="G991" s="676" t="s">
        <v>58</v>
      </c>
      <c r="H991" s="676" t="s">
        <v>3</v>
      </c>
      <c r="I991" s="676" t="s">
        <v>44</v>
      </c>
      <c r="J991" s="676" t="s">
        <v>84</v>
      </c>
      <c r="K991" s="676">
        <v>215</v>
      </c>
      <c r="L991" s="690" t="s">
        <v>54</v>
      </c>
      <c r="M991" s="691">
        <v>4</v>
      </c>
      <c r="N991" s="690">
        <v>0</v>
      </c>
      <c r="O991" s="691">
        <v>223.64262249879329</v>
      </c>
      <c r="P991" s="690">
        <v>0</v>
      </c>
      <c r="Q991" s="738">
        <f t="shared" si="135"/>
        <v>601151.3692767563</v>
      </c>
      <c r="R991" s="677">
        <f t="shared" si="136"/>
        <v>0</v>
      </c>
      <c r="S991" s="739">
        <f t="shared" si="137"/>
        <v>-601151.3692767563</v>
      </c>
      <c r="T991" s="738">
        <v>69.25</v>
      </c>
      <c r="U991" s="677">
        <f t="shared" si="138"/>
        <v>-186144</v>
      </c>
      <c r="V991" s="739">
        <f t="shared" si="139"/>
        <v>-415007.3692767563</v>
      </c>
      <c r="W991" s="740">
        <v>55.7</v>
      </c>
      <c r="X991" s="678">
        <f t="shared" si="140"/>
        <v>-149721.60000000001</v>
      </c>
      <c r="Y991" s="700">
        <f t="shared" si="141"/>
        <v>-451429.76927675633</v>
      </c>
      <c r="Z991" s="740">
        <v>92.430648861364247</v>
      </c>
      <c r="AA991" s="678">
        <f t="shared" si="142"/>
        <v>-248453.58413934711</v>
      </c>
      <c r="AB991" s="741">
        <f t="shared" si="143"/>
        <v>-352697.78513740923</v>
      </c>
      <c r="AC991" s="714"/>
    </row>
    <row r="992" spans="1:29" x14ac:dyDescent="0.25">
      <c r="A992" s="713"/>
      <c r="B992" s="729" t="s">
        <v>1410</v>
      </c>
      <c r="C992" s="545" t="s">
        <v>40</v>
      </c>
      <c r="D992" s="545" t="s">
        <v>510</v>
      </c>
      <c r="E992" s="681">
        <v>44986</v>
      </c>
      <c r="F992" s="545">
        <v>744</v>
      </c>
      <c r="G992" s="545" t="s">
        <v>58</v>
      </c>
      <c r="H992" s="545" t="s">
        <v>3</v>
      </c>
      <c r="I992" s="545" t="s">
        <v>44</v>
      </c>
      <c r="J992" s="545" t="s">
        <v>84</v>
      </c>
      <c r="K992" s="545">
        <v>215</v>
      </c>
      <c r="L992" s="725" t="s">
        <v>54</v>
      </c>
      <c r="M992" s="695">
        <v>4</v>
      </c>
      <c r="N992" s="725">
        <v>0</v>
      </c>
      <c r="O992" s="695">
        <v>223.64262249879329</v>
      </c>
      <c r="P992" s="725">
        <v>0</v>
      </c>
      <c r="Q992" s="742">
        <f t="shared" si="135"/>
        <v>665560.44455640879</v>
      </c>
      <c r="R992" s="603">
        <f t="shared" si="136"/>
        <v>0</v>
      </c>
      <c r="S992" s="743">
        <f t="shared" si="137"/>
        <v>-665560.44455640879</v>
      </c>
      <c r="T992" s="742">
        <v>69.3</v>
      </c>
      <c r="U992" s="603">
        <f t="shared" si="138"/>
        <v>-206236.79999999999</v>
      </c>
      <c r="V992" s="743">
        <f t="shared" si="139"/>
        <v>-459323.64455640881</v>
      </c>
      <c r="W992" s="744">
        <v>55.7</v>
      </c>
      <c r="X992" s="604">
        <f t="shared" si="140"/>
        <v>-165763.20000000001</v>
      </c>
      <c r="Y992" s="701">
        <f t="shared" si="141"/>
        <v>-499797.24455640878</v>
      </c>
      <c r="Z992" s="744">
        <v>89.053218420260009</v>
      </c>
      <c r="AA992" s="604">
        <f t="shared" si="142"/>
        <v>-265022.37801869377</v>
      </c>
      <c r="AB992" s="745">
        <f t="shared" si="143"/>
        <v>-400538.06653771503</v>
      </c>
      <c r="AC992" s="714"/>
    </row>
    <row r="993" spans="1:29" x14ac:dyDescent="0.25">
      <c r="A993" s="713"/>
      <c r="B993" s="730" t="s">
        <v>1412</v>
      </c>
      <c r="C993" s="546" t="s">
        <v>40</v>
      </c>
      <c r="D993" s="546" t="s">
        <v>472</v>
      </c>
      <c r="E993" s="682">
        <v>44743</v>
      </c>
      <c r="F993" s="546">
        <v>744</v>
      </c>
      <c r="G993" s="546" t="s">
        <v>58</v>
      </c>
      <c r="H993" s="546" t="s">
        <v>3</v>
      </c>
      <c r="I993" s="546" t="s">
        <v>44</v>
      </c>
      <c r="J993" s="546" t="s">
        <v>84</v>
      </c>
      <c r="K993" s="546">
        <v>155</v>
      </c>
      <c r="L993" s="726" t="s">
        <v>54</v>
      </c>
      <c r="M993" s="696">
        <v>5</v>
      </c>
      <c r="N993" s="726">
        <v>0</v>
      </c>
      <c r="O993" s="696">
        <v>155</v>
      </c>
      <c r="P993" s="726">
        <v>0</v>
      </c>
      <c r="Q993" s="746">
        <f t="shared" si="135"/>
        <v>576600</v>
      </c>
      <c r="R993" s="606">
        <f t="shared" si="136"/>
        <v>0</v>
      </c>
      <c r="S993" s="747">
        <f t="shared" si="137"/>
        <v>-576600</v>
      </c>
      <c r="T993" s="746">
        <v>66.319999999999993</v>
      </c>
      <c r="U993" s="606">
        <f t="shared" si="138"/>
        <v>-246710.39999999997</v>
      </c>
      <c r="V993" s="747">
        <f t="shared" si="139"/>
        <v>-329889.60000000003</v>
      </c>
      <c r="W993" s="748">
        <v>66.319999999999993</v>
      </c>
      <c r="X993" s="607">
        <f t="shared" si="140"/>
        <v>-246710.39999999997</v>
      </c>
      <c r="Y993" s="702">
        <f t="shared" si="141"/>
        <v>-329889.60000000003</v>
      </c>
      <c r="Z993" s="748">
        <v>66.319999999999993</v>
      </c>
      <c r="AA993" s="607">
        <f t="shared" si="142"/>
        <v>-246710.39999999997</v>
      </c>
      <c r="AB993" s="749">
        <f t="shared" si="143"/>
        <v>-329889.60000000003</v>
      </c>
      <c r="AC993" s="714"/>
    </row>
    <row r="994" spans="1:29" x14ac:dyDescent="0.25">
      <c r="A994" s="713"/>
      <c r="B994" s="714" t="s">
        <v>1412</v>
      </c>
      <c r="C994" s="676" t="s">
        <v>40</v>
      </c>
      <c r="D994" s="676" t="s">
        <v>472</v>
      </c>
      <c r="E994" s="680">
        <v>44774</v>
      </c>
      <c r="F994" s="676">
        <v>744</v>
      </c>
      <c r="G994" s="676" t="s">
        <v>58</v>
      </c>
      <c r="H994" s="676" t="s">
        <v>3</v>
      </c>
      <c r="I994" s="676" t="s">
        <v>44</v>
      </c>
      <c r="J994" s="676" t="s">
        <v>84</v>
      </c>
      <c r="K994" s="676">
        <v>155</v>
      </c>
      <c r="L994" s="690" t="s">
        <v>54</v>
      </c>
      <c r="M994" s="691">
        <v>5</v>
      </c>
      <c r="N994" s="690">
        <v>0</v>
      </c>
      <c r="O994" s="691">
        <v>155</v>
      </c>
      <c r="P994" s="690">
        <v>0</v>
      </c>
      <c r="Q994" s="738">
        <f t="shared" si="135"/>
        <v>576600</v>
      </c>
      <c r="R994" s="677">
        <f t="shared" si="136"/>
        <v>0</v>
      </c>
      <c r="S994" s="739">
        <f t="shared" si="137"/>
        <v>-576600</v>
      </c>
      <c r="T994" s="738">
        <v>76.900000000000006</v>
      </c>
      <c r="U994" s="677">
        <f t="shared" si="138"/>
        <v>-286068</v>
      </c>
      <c r="V994" s="739">
        <f t="shared" si="139"/>
        <v>-290532</v>
      </c>
      <c r="W994" s="740">
        <v>76.900000000000006</v>
      </c>
      <c r="X994" s="678">
        <f t="shared" si="140"/>
        <v>-286068</v>
      </c>
      <c r="Y994" s="700">
        <f t="shared" si="141"/>
        <v>-290532</v>
      </c>
      <c r="Z994" s="740">
        <v>76.900000000000006</v>
      </c>
      <c r="AA994" s="678">
        <f t="shared" si="142"/>
        <v>-286068</v>
      </c>
      <c r="AB994" s="741">
        <f t="shared" si="143"/>
        <v>-290532</v>
      </c>
      <c r="AC994" s="714"/>
    </row>
    <row r="995" spans="1:29" x14ac:dyDescent="0.25">
      <c r="A995" s="713"/>
      <c r="B995" s="729" t="s">
        <v>1412</v>
      </c>
      <c r="C995" s="545" t="s">
        <v>40</v>
      </c>
      <c r="D995" s="545" t="s">
        <v>472</v>
      </c>
      <c r="E995" s="681">
        <v>44805</v>
      </c>
      <c r="F995" s="545">
        <v>720</v>
      </c>
      <c r="G995" s="545" t="s">
        <v>58</v>
      </c>
      <c r="H995" s="545" t="s">
        <v>3</v>
      </c>
      <c r="I995" s="545" t="s">
        <v>44</v>
      </c>
      <c r="J995" s="545" t="s">
        <v>84</v>
      </c>
      <c r="K995" s="545">
        <v>155</v>
      </c>
      <c r="L995" s="725" t="s">
        <v>54</v>
      </c>
      <c r="M995" s="695">
        <v>5</v>
      </c>
      <c r="N995" s="725">
        <v>0</v>
      </c>
      <c r="O995" s="695">
        <v>155</v>
      </c>
      <c r="P995" s="725">
        <v>0</v>
      </c>
      <c r="Q995" s="742">
        <f t="shared" si="135"/>
        <v>558000</v>
      </c>
      <c r="R995" s="603">
        <f t="shared" si="136"/>
        <v>0</v>
      </c>
      <c r="S995" s="743">
        <f t="shared" si="137"/>
        <v>-558000</v>
      </c>
      <c r="T995" s="742">
        <v>56.08</v>
      </c>
      <c r="U995" s="603">
        <f t="shared" si="138"/>
        <v>-201888</v>
      </c>
      <c r="V995" s="743">
        <f t="shared" si="139"/>
        <v>-356112</v>
      </c>
      <c r="W995" s="744">
        <v>56.08</v>
      </c>
      <c r="X995" s="604">
        <f t="shared" si="140"/>
        <v>-201888</v>
      </c>
      <c r="Y995" s="701">
        <f t="shared" si="141"/>
        <v>-356112</v>
      </c>
      <c r="Z995" s="744">
        <v>56.08</v>
      </c>
      <c r="AA995" s="604">
        <f t="shared" si="142"/>
        <v>-201888</v>
      </c>
      <c r="AB995" s="745">
        <f t="shared" si="143"/>
        <v>-356112</v>
      </c>
      <c r="AC995" s="714"/>
    </row>
    <row r="996" spans="1:29" x14ac:dyDescent="0.25">
      <c r="A996" s="713"/>
      <c r="B996" s="730" t="s">
        <v>1414</v>
      </c>
      <c r="C996" s="546" t="s">
        <v>40</v>
      </c>
      <c r="D996" s="546" t="s">
        <v>1406</v>
      </c>
      <c r="E996" s="682">
        <v>44835</v>
      </c>
      <c r="F996" s="546">
        <v>744</v>
      </c>
      <c r="G996" s="546" t="s">
        <v>59</v>
      </c>
      <c r="H996" s="546" t="s">
        <v>3</v>
      </c>
      <c r="I996" s="546" t="s">
        <v>44</v>
      </c>
      <c r="J996" s="546" t="s">
        <v>85</v>
      </c>
      <c r="K996" s="546">
        <v>175</v>
      </c>
      <c r="L996" s="726" t="s">
        <v>54</v>
      </c>
      <c r="M996" s="696">
        <v>0</v>
      </c>
      <c r="N996" s="726">
        <v>5</v>
      </c>
      <c r="O996" s="696">
        <v>0</v>
      </c>
      <c r="P996" s="726">
        <v>175</v>
      </c>
      <c r="Q996" s="746">
        <f t="shared" si="135"/>
        <v>0</v>
      </c>
      <c r="R996" s="606">
        <f t="shared" si="136"/>
        <v>651000</v>
      </c>
      <c r="S996" s="747">
        <f t="shared" si="137"/>
        <v>651000</v>
      </c>
      <c r="T996" s="746">
        <v>55.7</v>
      </c>
      <c r="U996" s="606">
        <f t="shared" si="138"/>
        <v>207204</v>
      </c>
      <c r="V996" s="747">
        <f t="shared" si="139"/>
        <v>443796</v>
      </c>
      <c r="W996" s="748">
        <v>55.7</v>
      </c>
      <c r="X996" s="607">
        <f t="shared" si="140"/>
        <v>207204</v>
      </c>
      <c r="Y996" s="702">
        <f t="shared" si="141"/>
        <v>443796</v>
      </c>
      <c r="Z996" s="748">
        <v>55.7</v>
      </c>
      <c r="AA996" s="607">
        <f t="shared" si="142"/>
        <v>207204</v>
      </c>
      <c r="AB996" s="749">
        <f t="shared" si="143"/>
        <v>443796</v>
      </c>
      <c r="AC996" s="714"/>
    </row>
    <row r="997" spans="1:29" x14ac:dyDescent="0.25">
      <c r="A997" s="713"/>
      <c r="B997" s="714" t="s">
        <v>1414</v>
      </c>
      <c r="C997" s="676" t="s">
        <v>40</v>
      </c>
      <c r="D997" s="676" t="s">
        <v>1406</v>
      </c>
      <c r="E997" s="680">
        <v>44866</v>
      </c>
      <c r="F997" s="676">
        <v>720</v>
      </c>
      <c r="G997" s="676" t="s">
        <v>59</v>
      </c>
      <c r="H997" s="676" t="s">
        <v>3</v>
      </c>
      <c r="I997" s="676" t="s">
        <v>44</v>
      </c>
      <c r="J997" s="676" t="s">
        <v>85</v>
      </c>
      <c r="K997" s="676">
        <v>175</v>
      </c>
      <c r="L997" s="690" t="s">
        <v>54</v>
      </c>
      <c r="M997" s="691">
        <v>0</v>
      </c>
      <c r="N997" s="690">
        <v>5</v>
      </c>
      <c r="O997" s="691">
        <v>0</v>
      </c>
      <c r="P997" s="690">
        <v>175</v>
      </c>
      <c r="Q997" s="738">
        <f t="shared" si="135"/>
        <v>0</v>
      </c>
      <c r="R997" s="677">
        <f t="shared" si="136"/>
        <v>630000</v>
      </c>
      <c r="S997" s="739">
        <f t="shared" si="137"/>
        <v>630000</v>
      </c>
      <c r="T997" s="738">
        <v>55.7</v>
      </c>
      <c r="U997" s="677">
        <f t="shared" si="138"/>
        <v>200520</v>
      </c>
      <c r="V997" s="739">
        <f t="shared" si="139"/>
        <v>429480</v>
      </c>
      <c r="W997" s="740">
        <v>55.7</v>
      </c>
      <c r="X997" s="678">
        <f t="shared" si="140"/>
        <v>200520</v>
      </c>
      <c r="Y997" s="700">
        <f t="shared" si="141"/>
        <v>429480</v>
      </c>
      <c r="Z997" s="740">
        <v>55.7</v>
      </c>
      <c r="AA997" s="678">
        <f t="shared" si="142"/>
        <v>200520</v>
      </c>
      <c r="AB997" s="741">
        <f t="shared" si="143"/>
        <v>429480</v>
      </c>
      <c r="AC997" s="714"/>
    </row>
    <row r="998" spans="1:29" x14ac:dyDescent="0.25">
      <c r="A998" s="713"/>
      <c r="B998" s="729" t="s">
        <v>1414</v>
      </c>
      <c r="C998" s="545" t="s">
        <v>40</v>
      </c>
      <c r="D998" s="545" t="s">
        <v>1406</v>
      </c>
      <c r="E998" s="681">
        <v>44896</v>
      </c>
      <c r="F998" s="545">
        <v>744</v>
      </c>
      <c r="G998" s="545" t="s">
        <v>59</v>
      </c>
      <c r="H998" s="545" t="s">
        <v>3</v>
      </c>
      <c r="I998" s="545" t="s">
        <v>44</v>
      </c>
      <c r="J998" s="545" t="s">
        <v>85</v>
      </c>
      <c r="K998" s="545">
        <v>175</v>
      </c>
      <c r="L998" s="725" t="s">
        <v>54</v>
      </c>
      <c r="M998" s="695">
        <v>0</v>
      </c>
      <c r="N998" s="725">
        <v>5</v>
      </c>
      <c r="O998" s="695">
        <v>0</v>
      </c>
      <c r="P998" s="725">
        <v>175</v>
      </c>
      <c r="Q998" s="742">
        <f t="shared" si="135"/>
        <v>0</v>
      </c>
      <c r="R998" s="603">
        <f t="shared" si="136"/>
        <v>651000</v>
      </c>
      <c r="S998" s="743">
        <f t="shared" si="137"/>
        <v>651000</v>
      </c>
      <c r="T998" s="742">
        <v>55.7</v>
      </c>
      <c r="U998" s="603">
        <f t="shared" si="138"/>
        <v>207204</v>
      </c>
      <c r="V998" s="743">
        <f t="shared" si="139"/>
        <v>443796</v>
      </c>
      <c r="W998" s="744">
        <v>55.7</v>
      </c>
      <c r="X998" s="604">
        <f t="shared" si="140"/>
        <v>207204</v>
      </c>
      <c r="Y998" s="701">
        <f t="shared" si="141"/>
        <v>443796</v>
      </c>
      <c r="Z998" s="744">
        <v>78.400653594793155</v>
      </c>
      <c r="AA998" s="604">
        <f t="shared" si="142"/>
        <v>291650.43137263053</v>
      </c>
      <c r="AB998" s="745">
        <f t="shared" si="143"/>
        <v>359349.56862736947</v>
      </c>
      <c r="AC998" s="714"/>
    </row>
    <row r="999" spans="1:29" x14ac:dyDescent="0.25">
      <c r="A999" s="713"/>
      <c r="B999" s="730" t="s">
        <v>1415</v>
      </c>
      <c r="C999" s="546" t="s">
        <v>40</v>
      </c>
      <c r="D999" s="546" t="s">
        <v>1407</v>
      </c>
      <c r="E999" s="682">
        <v>44927</v>
      </c>
      <c r="F999" s="546">
        <v>744</v>
      </c>
      <c r="G999" s="546" t="s">
        <v>58</v>
      </c>
      <c r="H999" s="546" t="s">
        <v>3</v>
      </c>
      <c r="I999" s="546" t="s">
        <v>44</v>
      </c>
      <c r="J999" s="546" t="s">
        <v>84</v>
      </c>
      <c r="K999" s="546">
        <v>212</v>
      </c>
      <c r="L999" s="726" t="s">
        <v>54</v>
      </c>
      <c r="M999" s="696">
        <v>10</v>
      </c>
      <c r="N999" s="726">
        <v>0</v>
      </c>
      <c r="O999" s="696">
        <v>220.52202776625197</v>
      </c>
      <c r="P999" s="726">
        <v>0</v>
      </c>
      <c r="Q999" s="746">
        <f t="shared" si="135"/>
        <v>1640683.8865809147</v>
      </c>
      <c r="R999" s="606">
        <f t="shared" si="136"/>
        <v>0</v>
      </c>
      <c r="S999" s="747">
        <f t="shared" si="137"/>
        <v>-1640683.8865809147</v>
      </c>
      <c r="T999" s="746">
        <v>68.72</v>
      </c>
      <c r="U999" s="606">
        <f t="shared" si="138"/>
        <v>-511276.79999999999</v>
      </c>
      <c r="V999" s="747">
        <f t="shared" si="139"/>
        <v>-1129407.0865809147</v>
      </c>
      <c r="W999" s="748">
        <v>55.7</v>
      </c>
      <c r="X999" s="607">
        <f t="shared" si="140"/>
        <v>-414408</v>
      </c>
      <c r="Y999" s="702">
        <f t="shared" si="141"/>
        <v>-1226275.8865809147</v>
      </c>
      <c r="Z999" s="748">
        <v>96.206580759134184</v>
      </c>
      <c r="AA999" s="607">
        <f t="shared" si="142"/>
        <v>-715776.96084795834</v>
      </c>
      <c r="AB999" s="749">
        <f t="shared" si="143"/>
        <v>-924906.92573295638</v>
      </c>
      <c r="AC999" s="714"/>
    </row>
    <row r="1000" spans="1:29" x14ac:dyDescent="0.25">
      <c r="A1000" s="713"/>
      <c r="B1000" s="714" t="s">
        <v>1415</v>
      </c>
      <c r="C1000" s="676" t="s">
        <v>40</v>
      </c>
      <c r="D1000" s="676" t="s">
        <v>1407</v>
      </c>
      <c r="E1000" s="680">
        <v>44958</v>
      </c>
      <c r="F1000" s="676">
        <v>672</v>
      </c>
      <c r="G1000" s="676" t="s">
        <v>58</v>
      </c>
      <c r="H1000" s="676" t="s">
        <v>3</v>
      </c>
      <c r="I1000" s="676" t="s">
        <v>44</v>
      </c>
      <c r="J1000" s="676" t="s">
        <v>84</v>
      </c>
      <c r="K1000" s="676">
        <v>212</v>
      </c>
      <c r="L1000" s="690" t="s">
        <v>54</v>
      </c>
      <c r="M1000" s="691">
        <v>10</v>
      </c>
      <c r="N1000" s="690">
        <v>0</v>
      </c>
      <c r="O1000" s="691">
        <v>220.52202776625197</v>
      </c>
      <c r="P1000" s="690">
        <v>0</v>
      </c>
      <c r="Q1000" s="738">
        <f t="shared" si="135"/>
        <v>1481908.0265892132</v>
      </c>
      <c r="R1000" s="677">
        <f t="shared" si="136"/>
        <v>0</v>
      </c>
      <c r="S1000" s="739">
        <f t="shared" si="137"/>
        <v>-1481908.0265892132</v>
      </c>
      <c r="T1000" s="738">
        <v>69.25</v>
      </c>
      <c r="U1000" s="677">
        <f t="shared" si="138"/>
        <v>-465360</v>
      </c>
      <c r="V1000" s="739">
        <f t="shared" si="139"/>
        <v>-1016548.0265892132</v>
      </c>
      <c r="W1000" s="740">
        <v>55.7</v>
      </c>
      <c r="X1000" s="678">
        <f t="shared" si="140"/>
        <v>-374304</v>
      </c>
      <c r="Y1000" s="700">
        <f t="shared" si="141"/>
        <v>-1107604.0265892132</v>
      </c>
      <c r="Z1000" s="740">
        <v>92.430648861364247</v>
      </c>
      <c r="AA1000" s="678">
        <f t="shared" si="142"/>
        <v>-621133.96034836769</v>
      </c>
      <c r="AB1000" s="741">
        <f t="shared" si="143"/>
        <v>-860774.06624084548</v>
      </c>
      <c r="AC1000" s="714"/>
    </row>
    <row r="1001" spans="1:29" x14ac:dyDescent="0.25">
      <c r="A1001" s="713"/>
      <c r="B1001" s="729" t="s">
        <v>1415</v>
      </c>
      <c r="C1001" s="545" t="s">
        <v>40</v>
      </c>
      <c r="D1001" s="545" t="s">
        <v>1407</v>
      </c>
      <c r="E1001" s="681">
        <v>44986</v>
      </c>
      <c r="F1001" s="545">
        <v>744</v>
      </c>
      <c r="G1001" s="545" t="s">
        <v>58</v>
      </c>
      <c r="H1001" s="545" t="s">
        <v>3</v>
      </c>
      <c r="I1001" s="545" t="s">
        <v>44</v>
      </c>
      <c r="J1001" s="545" t="s">
        <v>84</v>
      </c>
      <c r="K1001" s="545">
        <v>212</v>
      </c>
      <c r="L1001" s="725" t="s">
        <v>54</v>
      </c>
      <c r="M1001" s="695">
        <v>10</v>
      </c>
      <c r="N1001" s="725">
        <v>0</v>
      </c>
      <c r="O1001" s="695">
        <v>220.52202776625197</v>
      </c>
      <c r="P1001" s="725">
        <v>0</v>
      </c>
      <c r="Q1001" s="742">
        <f t="shared" si="135"/>
        <v>1640683.8865809147</v>
      </c>
      <c r="R1001" s="603">
        <f t="shared" si="136"/>
        <v>0</v>
      </c>
      <c r="S1001" s="743">
        <f t="shared" si="137"/>
        <v>-1640683.8865809147</v>
      </c>
      <c r="T1001" s="742">
        <v>69.3</v>
      </c>
      <c r="U1001" s="603">
        <f t="shared" si="138"/>
        <v>-515592</v>
      </c>
      <c r="V1001" s="743">
        <f t="shared" si="139"/>
        <v>-1125091.8865809147</v>
      </c>
      <c r="W1001" s="744">
        <v>55.7</v>
      </c>
      <c r="X1001" s="604">
        <f t="shared" si="140"/>
        <v>-414408</v>
      </c>
      <c r="Y1001" s="701">
        <f t="shared" si="141"/>
        <v>-1226275.8865809147</v>
      </c>
      <c r="Z1001" s="744">
        <v>89.053218420260009</v>
      </c>
      <c r="AA1001" s="604">
        <f t="shared" si="142"/>
        <v>-662555.94504673441</v>
      </c>
      <c r="AB1001" s="745">
        <f t="shared" si="143"/>
        <v>-978127.94153418031</v>
      </c>
      <c r="AC1001" s="714"/>
    </row>
    <row r="1002" spans="1:29" x14ac:dyDescent="0.25">
      <c r="A1002" s="713"/>
      <c r="B1002" s="731" t="s">
        <v>1429</v>
      </c>
      <c r="C1002" s="547" t="s">
        <v>40</v>
      </c>
      <c r="D1002" s="547" t="s">
        <v>475</v>
      </c>
      <c r="E1002" s="683">
        <v>44805</v>
      </c>
      <c r="F1002" s="547">
        <v>720</v>
      </c>
      <c r="G1002" s="547" t="s">
        <v>59</v>
      </c>
      <c r="H1002" s="547" t="s">
        <v>3</v>
      </c>
      <c r="I1002" s="547" t="s">
        <v>44</v>
      </c>
      <c r="J1002" s="547" t="s">
        <v>85</v>
      </c>
      <c r="K1002" s="547">
        <v>160</v>
      </c>
      <c r="L1002" s="727" t="s">
        <v>54</v>
      </c>
      <c r="M1002" s="697">
        <v>0</v>
      </c>
      <c r="N1002" s="727">
        <v>7</v>
      </c>
      <c r="O1002" s="697">
        <v>0</v>
      </c>
      <c r="P1002" s="727">
        <v>160</v>
      </c>
      <c r="Q1002" s="750">
        <f t="shared" si="135"/>
        <v>0</v>
      </c>
      <c r="R1002" s="608">
        <f t="shared" si="136"/>
        <v>806400</v>
      </c>
      <c r="S1002" s="751">
        <f t="shared" si="137"/>
        <v>806400</v>
      </c>
      <c r="T1002" s="750">
        <v>56.08</v>
      </c>
      <c r="U1002" s="608">
        <f t="shared" si="138"/>
        <v>282643.20000000001</v>
      </c>
      <c r="V1002" s="751">
        <f t="shared" si="139"/>
        <v>523756.79999999999</v>
      </c>
      <c r="W1002" s="752">
        <v>56.08</v>
      </c>
      <c r="X1002" s="609">
        <f t="shared" si="140"/>
        <v>282643.20000000001</v>
      </c>
      <c r="Y1002" s="703">
        <f t="shared" si="141"/>
        <v>523756.79999999999</v>
      </c>
      <c r="Z1002" s="752">
        <v>56.08</v>
      </c>
      <c r="AA1002" s="609">
        <f t="shared" si="142"/>
        <v>282643.20000000001</v>
      </c>
      <c r="AB1002" s="753">
        <f t="shared" si="143"/>
        <v>523756.79999999999</v>
      </c>
      <c r="AC1002" s="714"/>
    </row>
    <row r="1003" spans="1:29" x14ac:dyDescent="0.25">
      <c r="A1003" s="713"/>
      <c r="B1003" s="731" t="s">
        <v>1431</v>
      </c>
      <c r="C1003" s="547" t="s">
        <v>40</v>
      </c>
      <c r="D1003" s="547" t="s">
        <v>475</v>
      </c>
      <c r="E1003" s="683">
        <v>44774</v>
      </c>
      <c r="F1003" s="547">
        <v>744</v>
      </c>
      <c r="G1003" s="547" t="s">
        <v>58</v>
      </c>
      <c r="H1003" s="547" t="s">
        <v>3</v>
      </c>
      <c r="I1003" s="547" t="s">
        <v>44</v>
      </c>
      <c r="J1003" s="547" t="s">
        <v>84</v>
      </c>
      <c r="K1003" s="547">
        <v>149</v>
      </c>
      <c r="L1003" s="727" t="s">
        <v>54</v>
      </c>
      <c r="M1003" s="697">
        <v>7</v>
      </c>
      <c r="N1003" s="727">
        <v>0</v>
      </c>
      <c r="O1003" s="697">
        <v>149</v>
      </c>
      <c r="P1003" s="727">
        <v>0</v>
      </c>
      <c r="Q1003" s="750">
        <f t="shared" si="135"/>
        <v>775992</v>
      </c>
      <c r="R1003" s="608">
        <f t="shared" si="136"/>
        <v>0</v>
      </c>
      <c r="S1003" s="751">
        <f t="shared" si="137"/>
        <v>-775992</v>
      </c>
      <c r="T1003" s="750">
        <v>76.900000000000006</v>
      </c>
      <c r="U1003" s="608">
        <f t="shared" si="138"/>
        <v>-400495.2</v>
      </c>
      <c r="V1003" s="751">
        <f t="shared" si="139"/>
        <v>-375496.8</v>
      </c>
      <c r="W1003" s="752">
        <v>76.900000000000006</v>
      </c>
      <c r="X1003" s="609">
        <f t="shared" si="140"/>
        <v>-400495.2</v>
      </c>
      <c r="Y1003" s="703">
        <f t="shared" si="141"/>
        <v>-375496.8</v>
      </c>
      <c r="Z1003" s="752">
        <v>76.900000000000006</v>
      </c>
      <c r="AA1003" s="609">
        <f t="shared" si="142"/>
        <v>-400495.2</v>
      </c>
      <c r="AB1003" s="753">
        <f t="shared" si="143"/>
        <v>-375496.8</v>
      </c>
      <c r="AC1003" s="714"/>
    </row>
    <row r="1004" spans="1:29" x14ac:dyDescent="0.25">
      <c r="A1004" s="713"/>
      <c r="B1004" s="731" t="s">
        <v>1433</v>
      </c>
      <c r="C1004" s="547" t="s">
        <v>40</v>
      </c>
      <c r="D1004" s="547" t="s">
        <v>353</v>
      </c>
      <c r="E1004" s="683">
        <v>44805</v>
      </c>
      <c r="F1004" s="547">
        <v>720</v>
      </c>
      <c r="G1004" s="547" t="s">
        <v>59</v>
      </c>
      <c r="H1004" s="547" t="s">
        <v>3</v>
      </c>
      <c r="I1004" s="547" t="s">
        <v>44</v>
      </c>
      <c r="J1004" s="547" t="s">
        <v>85</v>
      </c>
      <c r="K1004" s="547">
        <v>162</v>
      </c>
      <c r="L1004" s="727" t="s">
        <v>54</v>
      </c>
      <c r="M1004" s="697">
        <v>0</v>
      </c>
      <c r="N1004" s="727">
        <v>3</v>
      </c>
      <c r="O1004" s="697">
        <v>0</v>
      </c>
      <c r="P1004" s="727">
        <v>162</v>
      </c>
      <c r="Q1004" s="750">
        <f t="shared" si="135"/>
        <v>0</v>
      </c>
      <c r="R1004" s="608">
        <f t="shared" si="136"/>
        <v>349920</v>
      </c>
      <c r="S1004" s="751">
        <f t="shared" si="137"/>
        <v>349920</v>
      </c>
      <c r="T1004" s="750">
        <v>56.08</v>
      </c>
      <c r="U1004" s="608">
        <f t="shared" si="138"/>
        <v>121132.8</v>
      </c>
      <c r="V1004" s="751">
        <f t="shared" si="139"/>
        <v>228787.20000000001</v>
      </c>
      <c r="W1004" s="752">
        <v>56.08</v>
      </c>
      <c r="X1004" s="609">
        <f t="shared" si="140"/>
        <v>121132.8</v>
      </c>
      <c r="Y1004" s="703">
        <f t="shared" si="141"/>
        <v>228787.20000000001</v>
      </c>
      <c r="Z1004" s="752">
        <v>56.08</v>
      </c>
      <c r="AA1004" s="609">
        <f t="shared" si="142"/>
        <v>121132.8</v>
      </c>
      <c r="AB1004" s="753">
        <f t="shared" si="143"/>
        <v>228787.20000000001</v>
      </c>
      <c r="AC1004" s="714"/>
    </row>
    <row r="1005" spans="1:29" x14ac:dyDescent="0.25">
      <c r="A1005" s="713"/>
      <c r="B1005" s="731" t="s">
        <v>1435</v>
      </c>
      <c r="C1005" s="547" t="s">
        <v>40</v>
      </c>
      <c r="D1005" s="547" t="s">
        <v>353</v>
      </c>
      <c r="E1005" s="683">
        <v>44743</v>
      </c>
      <c r="F1005" s="547">
        <v>744</v>
      </c>
      <c r="G1005" s="547" t="s">
        <v>58</v>
      </c>
      <c r="H1005" s="547" t="s">
        <v>3</v>
      </c>
      <c r="I1005" s="547" t="s">
        <v>44</v>
      </c>
      <c r="J1005" s="547" t="s">
        <v>84</v>
      </c>
      <c r="K1005" s="547">
        <v>125</v>
      </c>
      <c r="L1005" s="727" t="s">
        <v>54</v>
      </c>
      <c r="M1005" s="697">
        <v>3</v>
      </c>
      <c r="N1005" s="727">
        <v>0</v>
      </c>
      <c r="O1005" s="697">
        <v>125</v>
      </c>
      <c r="P1005" s="727">
        <v>0</v>
      </c>
      <c r="Q1005" s="750">
        <f t="shared" si="135"/>
        <v>279000</v>
      </c>
      <c r="R1005" s="608">
        <f t="shared" si="136"/>
        <v>0</v>
      </c>
      <c r="S1005" s="751">
        <f t="shared" si="137"/>
        <v>-279000</v>
      </c>
      <c r="T1005" s="750">
        <v>66.319999999999993</v>
      </c>
      <c r="U1005" s="608">
        <f t="shared" si="138"/>
        <v>-148026.23999999999</v>
      </c>
      <c r="V1005" s="751">
        <f t="shared" si="139"/>
        <v>-130973.76000000001</v>
      </c>
      <c r="W1005" s="752">
        <v>66.319999999999993</v>
      </c>
      <c r="X1005" s="609">
        <f t="shared" si="140"/>
        <v>-148026.23999999999</v>
      </c>
      <c r="Y1005" s="703">
        <f t="shared" si="141"/>
        <v>-130973.76000000001</v>
      </c>
      <c r="Z1005" s="752">
        <v>66.319999999999993</v>
      </c>
      <c r="AA1005" s="609">
        <f t="shared" si="142"/>
        <v>-148026.23999999999</v>
      </c>
      <c r="AB1005" s="753">
        <f t="shared" si="143"/>
        <v>-130973.76000000001</v>
      </c>
      <c r="AC1005" s="714"/>
    </row>
    <row r="1006" spans="1:29" x14ac:dyDescent="0.25">
      <c r="A1006" s="713"/>
      <c r="B1006" s="731" t="s">
        <v>1437</v>
      </c>
      <c r="C1006" s="547" t="s">
        <v>40</v>
      </c>
      <c r="D1006" s="547" t="s">
        <v>475</v>
      </c>
      <c r="E1006" s="683">
        <v>44805</v>
      </c>
      <c r="F1006" s="547">
        <v>720</v>
      </c>
      <c r="G1006" s="547" t="s">
        <v>59</v>
      </c>
      <c r="H1006" s="547" t="s">
        <v>3</v>
      </c>
      <c r="I1006" s="547" t="s">
        <v>44</v>
      </c>
      <c r="J1006" s="547" t="s">
        <v>85</v>
      </c>
      <c r="K1006" s="547">
        <v>165</v>
      </c>
      <c r="L1006" s="727" t="s">
        <v>54</v>
      </c>
      <c r="M1006" s="697">
        <v>0</v>
      </c>
      <c r="N1006" s="727">
        <v>10</v>
      </c>
      <c r="O1006" s="697">
        <v>0</v>
      </c>
      <c r="P1006" s="727">
        <v>165</v>
      </c>
      <c r="Q1006" s="750">
        <f t="shared" si="135"/>
        <v>0</v>
      </c>
      <c r="R1006" s="608">
        <f t="shared" si="136"/>
        <v>1188000</v>
      </c>
      <c r="S1006" s="751">
        <f t="shared" si="137"/>
        <v>1188000</v>
      </c>
      <c r="T1006" s="750">
        <v>56.08</v>
      </c>
      <c r="U1006" s="608">
        <f t="shared" si="138"/>
        <v>403776</v>
      </c>
      <c r="V1006" s="751">
        <f t="shared" si="139"/>
        <v>784224</v>
      </c>
      <c r="W1006" s="752">
        <v>56.08</v>
      </c>
      <c r="X1006" s="609">
        <f t="shared" si="140"/>
        <v>403776</v>
      </c>
      <c r="Y1006" s="703">
        <f t="shared" si="141"/>
        <v>784224</v>
      </c>
      <c r="Z1006" s="752">
        <v>56.08</v>
      </c>
      <c r="AA1006" s="609">
        <f t="shared" si="142"/>
        <v>403776</v>
      </c>
      <c r="AB1006" s="753">
        <f t="shared" si="143"/>
        <v>784224</v>
      </c>
      <c r="AC1006" s="714"/>
    </row>
    <row r="1007" spans="1:29" x14ac:dyDescent="0.25">
      <c r="A1007" s="713"/>
      <c r="B1007" s="731" t="s">
        <v>1439</v>
      </c>
      <c r="C1007" s="547" t="s">
        <v>40</v>
      </c>
      <c r="D1007" s="547" t="s">
        <v>475</v>
      </c>
      <c r="E1007" s="683">
        <v>44743</v>
      </c>
      <c r="F1007" s="547">
        <v>744</v>
      </c>
      <c r="G1007" s="547" t="s">
        <v>58</v>
      </c>
      <c r="H1007" s="547" t="s">
        <v>3</v>
      </c>
      <c r="I1007" s="547" t="s">
        <v>44</v>
      </c>
      <c r="J1007" s="547" t="s">
        <v>84</v>
      </c>
      <c r="K1007" s="547">
        <v>128</v>
      </c>
      <c r="L1007" s="727" t="s">
        <v>54</v>
      </c>
      <c r="M1007" s="697">
        <v>10</v>
      </c>
      <c r="N1007" s="727">
        <v>0</v>
      </c>
      <c r="O1007" s="697">
        <v>128</v>
      </c>
      <c r="P1007" s="727">
        <v>0</v>
      </c>
      <c r="Q1007" s="750">
        <f t="shared" si="135"/>
        <v>952320</v>
      </c>
      <c r="R1007" s="608">
        <f t="shared" si="136"/>
        <v>0</v>
      </c>
      <c r="S1007" s="751">
        <f t="shared" si="137"/>
        <v>-952320</v>
      </c>
      <c r="T1007" s="750">
        <v>66.319999999999993</v>
      </c>
      <c r="U1007" s="608">
        <f t="shared" si="138"/>
        <v>-493420.79999999993</v>
      </c>
      <c r="V1007" s="751">
        <f t="shared" si="139"/>
        <v>-458899.20000000007</v>
      </c>
      <c r="W1007" s="752">
        <v>66.319999999999993</v>
      </c>
      <c r="X1007" s="609">
        <f t="shared" si="140"/>
        <v>-493420.79999999993</v>
      </c>
      <c r="Y1007" s="703">
        <f t="shared" si="141"/>
        <v>-458899.20000000007</v>
      </c>
      <c r="Z1007" s="752">
        <v>66.319999999999993</v>
      </c>
      <c r="AA1007" s="609">
        <f t="shared" si="142"/>
        <v>-493420.79999999993</v>
      </c>
      <c r="AB1007" s="753">
        <f t="shared" si="143"/>
        <v>-458899.20000000007</v>
      </c>
      <c r="AC1007" s="714"/>
    </row>
    <row r="1008" spans="1:29" x14ac:dyDescent="0.25">
      <c r="A1008" s="713"/>
      <c r="B1008" s="731" t="s">
        <v>1441</v>
      </c>
      <c r="C1008" s="547" t="s">
        <v>40</v>
      </c>
      <c r="D1008" s="547" t="s">
        <v>945</v>
      </c>
      <c r="E1008" s="683">
        <v>44805</v>
      </c>
      <c r="F1008" s="547">
        <v>720</v>
      </c>
      <c r="G1008" s="547" t="s">
        <v>59</v>
      </c>
      <c r="H1008" s="547" t="s">
        <v>3</v>
      </c>
      <c r="I1008" s="547" t="s">
        <v>44</v>
      </c>
      <c r="J1008" s="547" t="s">
        <v>85</v>
      </c>
      <c r="K1008" s="547">
        <v>165</v>
      </c>
      <c r="L1008" s="727" t="s">
        <v>54</v>
      </c>
      <c r="M1008" s="697">
        <v>0</v>
      </c>
      <c r="N1008" s="727">
        <v>5</v>
      </c>
      <c r="O1008" s="697">
        <v>0</v>
      </c>
      <c r="P1008" s="727">
        <v>165</v>
      </c>
      <c r="Q1008" s="750">
        <f t="shared" si="135"/>
        <v>0</v>
      </c>
      <c r="R1008" s="608">
        <f t="shared" si="136"/>
        <v>594000</v>
      </c>
      <c r="S1008" s="751">
        <f t="shared" si="137"/>
        <v>594000</v>
      </c>
      <c r="T1008" s="750">
        <v>56.08</v>
      </c>
      <c r="U1008" s="608">
        <f t="shared" si="138"/>
        <v>201888</v>
      </c>
      <c r="V1008" s="751">
        <f t="shared" si="139"/>
        <v>392112</v>
      </c>
      <c r="W1008" s="752">
        <v>56.08</v>
      </c>
      <c r="X1008" s="609">
        <f t="shared" si="140"/>
        <v>201888</v>
      </c>
      <c r="Y1008" s="703">
        <f t="shared" si="141"/>
        <v>392112</v>
      </c>
      <c r="Z1008" s="752">
        <v>56.08</v>
      </c>
      <c r="AA1008" s="609">
        <f t="shared" si="142"/>
        <v>201888</v>
      </c>
      <c r="AB1008" s="753">
        <f t="shared" si="143"/>
        <v>392112</v>
      </c>
      <c r="AC1008" s="714"/>
    </row>
    <row r="1009" spans="1:29" x14ac:dyDescent="0.25">
      <c r="A1009" s="713"/>
      <c r="B1009" s="731" t="s">
        <v>1443</v>
      </c>
      <c r="C1009" s="547" t="s">
        <v>40</v>
      </c>
      <c r="D1009" s="547" t="s">
        <v>477</v>
      </c>
      <c r="E1009" s="683">
        <v>44743</v>
      </c>
      <c r="F1009" s="547">
        <v>744</v>
      </c>
      <c r="G1009" s="547" t="s">
        <v>58</v>
      </c>
      <c r="H1009" s="547" t="s">
        <v>3</v>
      </c>
      <c r="I1009" s="547" t="s">
        <v>44</v>
      </c>
      <c r="J1009" s="547" t="s">
        <v>84</v>
      </c>
      <c r="K1009" s="547">
        <v>127</v>
      </c>
      <c r="L1009" s="727" t="s">
        <v>54</v>
      </c>
      <c r="M1009" s="697">
        <v>2</v>
      </c>
      <c r="N1009" s="727">
        <v>0</v>
      </c>
      <c r="O1009" s="697">
        <v>127</v>
      </c>
      <c r="P1009" s="727">
        <v>0</v>
      </c>
      <c r="Q1009" s="750">
        <f t="shared" si="135"/>
        <v>188976</v>
      </c>
      <c r="R1009" s="608">
        <f t="shared" si="136"/>
        <v>0</v>
      </c>
      <c r="S1009" s="751">
        <f t="shared" si="137"/>
        <v>-188976</v>
      </c>
      <c r="T1009" s="750">
        <v>66.319999999999993</v>
      </c>
      <c r="U1009" s="608">
        <f t="shared" si="138"/>
        <v>-98684.159999999989</v>
      </c>
      <c r="V1009" s="751">
        <f t="shared" si="139"/>
        <v>-90291.840000000011</v>
      </c>
      <c r="W1009" s="752">
        <v>66.319999999999993</v>
      </c>
      <c r="X1009" s="609">
        <f t="shared" si="140"/>
        <v>-98684.159999999989</v>
      </c>
      <c r="Y1009" s="703">
        <f t="shared" si="141"/>
        <v>-90291.840000000011</v>
      </c>
      <c r="Z1009" s="752">
        <v>66.319999999999993</v>
      </c>
      <c r="AA1009" s="609">
        <f t="shared" si="142"/>
        <v>-98684.159999999989</v>
      </c>
      <c r="AB1009" s="753">
        <f t="shared" si="143"/>
        <v>-90291.840000000011</v>
      </c>
      <c r="AC1009" s="714"/>
    </row>
    <row r="1010" spans="1:29" x14ac:dyDescent="0.25">
      <c r="A1010" s="713"/>
      <c r="B1010" s="731" t="s">
        <v>1445</v>
      </c>
      <c r="C1010" s="547" t="s">
        <v>40</v>
      </c>
      <c r="D1010" s="547" t="s">
        <v>509</v>
      </c>
      <c r="E1010" s="683">
        <v>44896</v>
      </c>
      <c r="F1010" s="547">
        <v>744</v>
      </c>
      <c r="G1010" s="547" t="s">
        <v>59</v>
      </c>
      <c r="H1010" s="547" t="s">
        <v>3</v>
      </c>
      <c r="I1010" s="547" t="s">
        <v>44</v>
      </c>
      <c r="J1010" s="547" t="s">
        <v>85</v>
      </c>
      <c r="K1010" s="547">
        <v>160</v>
      </c>
      <c r="L1010" s="727" t="s">
        <v>54</v>
      </c>
      <c r="M1010" s="697">
        <v>0</v>
      </c>
      <c r="N1010" s="727">
        <v>10</v>
      </c>
      <c r="O1010" s="697">
        <v>0</v>
      </c>
      <c r="P1010" s="727">
        <v>160</v>
      </c>
      <c r="Q1010" s="750">
        <f t="shared" si="135"/>
        <v>0</v>
      </c>
      <c r="R1010" s="608">
        <f t="shared" si="136"/>
        <v>1190400</v>
      </c>
      <c r="S1010" s="751">
        <f t="shared" si="137"/>
        <v>1190400</v>
      </c>
      <c r="T1010" s="750">
        <v>55.7</v>
      </c>
      <c r="U1010" s="608">
        <f t="shared" si="138"/>
        <v>414408</v>
      </c>
      <c r="V1010" s="751">
        <f t="shared" si="139"/>
        <v>775992</v>
      </c>
      <c r="W1010" s="752">
        <v>55.7</v>
      </c>
      <c r="X1010" s="609">
        <f t="shared" si="140"/>
        <v>414408</v>
      </c>
      <c r="Y1010" s="703">
        <f t="shared" si="141"/>
        <v>775992</v>
      </c>
      <c r="Z1010" s="752">
        <v>78.400653594793155</v>
      </c>
      <c r="AA1010" s="609">
        <f t="shared" si="142"/>
        <v>583300.86274526105</v>
      </c>
      <c r="AB1010" s="753">
        <f t="shared" si="143"/>
        <v>607099.13725473895</v>
      </c>
      <c r="AC1010" s="714"/>
    </row>
    <row r="1011" spans="1:29" x14ac:dyDescent="0.25">
      <c r="A1011" s="713"/>
      <c r="B1011" s="731" t="s">
        <v>1447</v>
      </c>
      <c r="C1011" s="547" t="s">
        <v>40</v>
      </c>
      <c r="D1011" s="547" t="s">
        <v>472</v>
      </c>
      <c r="E1011" s="683">
        <v>44743</v>
      </c>
      <c r="F1011" s="547">
        <v>744</v>
      </c>
      <c r="G1011" s="547" t="s">
        <v>58</v>
      </c>
      <c r="H1011" s="547" t="s">
        <v>3</v>
      </c>
      <c r="I1011" s="547" t="s">
        <v>44</v>
      </c>
      <c r="J1011" s="547" t="s">
        <v>84</v>
      </c>
      <c r="K1011" s="547">
        <v>127</v>
      </c>
      <c r="L1011" s="727" t="s">
        <v>54</v>
      </c>
      <c r="M1011" s="697">
        <v>15</v>
      </c>
      <c r="N1011" s="727">
        <v>0</v>
      </c>
      <c r="O1011" s="697">
        <v>127</v>
      </c>
      <c r="P1011" s="727">
        <v>0</v>
      </c>
      <c r="Q1011" s="750">
        <f t="shared" si="135"/>
        <v>1417320</v>
      </c>
      <c r="R1011" s="608">
        <f t="shared" si="136"/>
        <v>0</v>
      </c>
      <c r="S1011" s="751">
        <f t="shared" si="137"/>
        <v>-1417320</v>
      </c>
      <c r="T1011" s="750">
        <v>66.319999999999993</v>
      </c>
      <c r="U1011" s="608">
        <f t="shared" si="138"/>
        <v>-740131.2</v>
      </c>
      <c r="V1011" s="751">
        <f t="shared" si="139"/>
        <v>-677188.8</v>
      </c>
      <c r="W1011" s="752">
        <v>66.319999999999993</v>
      </c>
      <c r="X1011" s="609">
        <f t="shared" si="140"/>
        <v>-740131.2</v>
      </c>
      <c r="Y1011" s="703">
        <f t="shared" si="141"/>
        <v>-677188.8</v>
      </c>
      <c r="Z1011" s="752">
        <v>66.319999999999993</v>
      </c>
      <c r="AA1011" s="609">
        <f t="shared" si="142"/>
        <v>-740131.2</v>
      </c>
      <c r="AB1011" s="753">
        <f t="shared" si="143"/>
        <v>-677188.8</v>
      </c>
      <c r="AC1011" s="714"/>
    </row>
    <row r="1012" spans="1:29" x14ac:dyDescent="0.25">
      <c r="A1012" s="713"/>
      <c r="B1012" s="731" t="s">
        <v>1449</v>
      </c>
      <c r="C1012" s="547" t="s">
        <v>40</v>
      </c>
      <c r="D1012" s="547" t="s">
        <v>346</v>
      </c>
      <c r="E1012" s="683">
        <v>44896</v>
      </c>
      <c r="F1012" s="547">
        <v>744</v>
      </c>
      <c r="G1012" s="547" t="s">
        <v>58</v>
      </c>
      <c r="H1012" s="547" t="s">
        <v>3</v>
      </c>
      <c r="I1012" s="547" t="s">
        <v>44</v>
      </c>
      <c r="J1012" s="547" t="s">
        <v>84</v>
      </c>
      <c r="K1012" s="547">
        <v>160</v>
      </c>
      <c r="L1012" s="727" t="s">
        <v>54</v>
      </c>
      <c r="M1012" s="697">
        <v>2</v>
      </c>
      <c r="N1012" s="727">
        <v>0</v>
      </c>
      <c r="O1012" s="697">
        <v>160</v>
      </c>
      <c r="P1012" s="727">
        <v>0</v>
      </c>
      <c r="Q1012" s="750">
        <f t="shared" si="135"/>
        <v>238080</v>
      </c>
      <c r="R1012" s="608">
        <f t="shared" si="136"/>
        <v>0</v>
      </c>
      <c r="S1012" s="751">
        <f t="shared" si="137"/>
        <v>-238080</v>
      </c>
      <c r="T1012" s="750">
        <v>55.7</v>
      </c>
      <c r="U1012" s="608">
        <f t="shared" si="138"/>
        <v>-82881.600000000006</v>
      </c>
      <c r="V1012" s="751">
        <f t="shared" si="139"/>
        <v>-155198.39999999999</v>
      </c>
      <c r="W1012" s="752">
        <v>55.7</v>
      </c>
      <c r="X1012" s="609">
        <f t="shared" si="140"/>
        <v>-82881.600000000006</v>
      </c>
      <c r="Y1012" s="703">
        <f t="shared" si="141"/>
        <v>-155198.39999999999</v>
      </c>
      <c r="Z1012" s="752">
        <v>78.400653594793155</v>
      </c>
      <c r="AA1012" s="609">
        <f t="shared" si="142"/>
        <v>-116660.17254905222</v>
      </c>
      <c r="AB1012" s="753">
        <f t="shared" si="143"/>
        <v>-121419.82745094778</v>
      </c>
      <c r="AC1012" s="714"/>
    </row>
    <row r="1013" spans="1:29" x14ac:dyDescent="0.25">
      <c r="A1013" s="713"/>
      <c r="B1013" s="731" t="s">
        <v>1451</v>
      </c>
      <c r="C1013" s="547" t="s">
        <v>40</v>
      </c>
      <c r="D1013" s="547" t="s">
        <v>346</v>
      </c>
      <c r="E1013" s="683">
        <v>44896</v>
      </c>
      <c r="F1013" s="547">
        <v>744</v>
      </c>
      <c r="G1013" s="547" t="s">
        <v>59</v>
      </c>
      <c r="H1013" s="547" t="s">
        <v>3</v>
      </c>
      <c r="I1013" s="547" t="s">
        <v>44</v>
      </c>
      <c r="J1013" s="547" t="s">
        <v>85</v>
      </c>
      <c r="K1013" s="547">
        <v>160</v>
      </c>
      <c r="L1013" s="727" t="s">
        <v>54</v>
      </c>
      <c r="M1013" s="697">
        <v>0</v>
      </c>
      <c r="N1013" s="727">
        <v>2</v>
      </c>
      <c r="O1013" s="697">
        <v>0</v>
      </c>
      <c r="P1013" s="727">
        <v>160</v>
      </c>
      <c r="Q1013" s="750">
        <f t="shared" si="135"/>
        <v>0</v>
      </c>
      <c r="R1013" s="608">
        <f t="shared" si="136"/>
        <v>238080</v>
      </c>
      <c r="S1013" s="751">
        <f t="shared" si="137"/>
        <v>238080</v>
      </c>
      <c r="T1013" s="750">
        <v>55.7</v>
      </c>
      <c r="U1013" s="608">
        <f t="shared" si="138"/>
        <v>82881.600000000006</v>
      </c>
      <c r="V1013" s="751">
        <f t="shared" si="139"/>
        <v>155198.39999999999</v>
      </c>
      <c r="W1013" s="752">
        <v>55.7</v>
      </c>
      <c r="X1013" s="609">
        <f t="shared" si="140"/>
        <v>82881.600000000006</v>
      </c>
      <c r="Y1013" s="703">
        <f t="shared" si="141"/>
        <v>155198.39999999999</v>
      </c>
      <c r="Z1013" s="752">
        <v>78.400653594793155</v>
      </c>
      <c r="AA1013" s="609">
        <f t="shared" si="142"/>
        <v>116660.17254905222</v>
      </c>
      <c r="AB1013" s="753">
        <f t="shared" si="143"/>
        <v>121419.82745094778</v>
      </c>
      <c r="AC1013" s="714"/>
    </row>
    <row r="1014" spans="1:29" x14ac:dyDescent="0.25">
      <c r="A1014" s="713"/>
      <c r="B1014" s="730" t="s">
        <v>1458</v>
      </c>
      <c r="C1014" s="546" t="s">
        <v>40</v>
      </c>
      <c r="D1014" s="546" t="s">
        <v>405</v>
      </c>
      <c r="E1014" s="682">
        <v>44927</v>
      </c>
      <c r="F1014" s="546">
        <v>744</v>
      </c>
      <c r="G1014" s="546" t="s">
        <v>59</v>
      </c>
      <c r="H1014" s="546" t="s">
        <v>3</v>
      </c>
      <c r="I1014" s="546" t="s">
        <v>44</v>
      </c>
      <c r="J1014" s="546" t="s">
        <v>85</v>
      </c>
      <c r="K1014" s="546">
        <v>215</v>
      </c>
      <c r="L1014" s="726" t="s">
        <v>54</v>
      </c>
      <c r="M1014" s="696">
        <v>0</v>
      </c>
      <c r="N1014" s="726">
        <v>3</v>
      </c>
      <c r="O1014" s="696">
        <v>0</v>
      </c>
      <c r="P1014" s="726">
        <v>223.64262249879329</v>
      </c>
      <c r="Q1014" s="746">
        <f t="shared" si="135"/>
        <v>0</v>
      </c>
      <c r="R1014" s="606">
        <f t="shared" si="136"/>
        <v>499170.3334173066</v>
      </c>
      <c r="S1014" s="747">
        <f t="shared" si="137"/>
        <v>499170.3334173066</v>
      </c>
      <c r="T1014" s="746">
        <v>68.72</v>
      </c>
      <c r="U1014" s="606">
        <f t="shared" si="138"/>
        <v>153383.04000000001</v>
      </c>
      <c r="V1014" s="747">
        <f t="shared" si="139"/>
        <v>345787.29341730662</v>
      </c>
      <c r="W1014" s="748">
        <v>55.7</v>
      </c>
      <c r="X1014" s="607">
        <f t="shared" si="140"/>
        <v>124322.40000000001</v>
      </c>
      <c r="Y1014" s="702">
        <f t="shared" si="141"/>
        <v>374847.93341730657</v>
      </c>
      <c r="Z1014" s="748">
        <v>96.206580759134184</v>
      </c>
      <c r="AA1014" s="607">
        <f t="shared" si="142"/>
        <v>214733.08825438749</v>
      </c>
      <c r="AB1014" s="749">
        <f t="shared" si="143"/>
        <v>284437.24516291911</v>
      </c>
      <c r="AC1014" s="714"/>
    </row>
    <row r="1015" spans="1:29" x14ac:dyDescent="0.25">
      <c r="A1015" s="713"/>
      <c r="B1015" s="714" t="s">
        <v>1458</v>
      </c>
      <c r="C1015" s="676" t="s">
        <v>40</v>
      </c>
      <c r="D1015" s="676" t="s">
        <v>405</v>
      </c>
      <c r="E1015" s="680">
        <v>44958</v>
      </c>
      <c r="F1015" s="676">
        <v>672</v>
      </c>
      <c r="G1015" s="676" t="s">
        <v>59</v>
      </c>
      <c r="H1015" s="676" t="s">
        <v>3</v>
      </c>
      <c r="I1015" s="676" t="s">
        <v>44</v>
      </c>
      <c r="J1015" s="676" t="s">
        <v>85</v>
      </c>
      <c r="K1015" s="676">
        <v>215</v>
      </c>
      <c r="L1015" s="690" t="s">
        <v>54</v>
      </c>
      <c r="M1015" s="691">
        <v>0</v>
      </c>
      <c r="N1015" s="690">
        <v>3</v>
      </c>
      <c r="O1015" s="691">
        <v>0</v>
      </c>
      <c r="P1015" s="690">
        <v>223.64262249879329</v>
      </c>
      <c r="Q1015" s="738">
        <f t="shared" si="135"/>
        <v>0</v>
      </c>
      <c r="R1015" s="677">
        <f t="shared" si="136"/>
        <v>450863.52695756726</v>
      </c>
      <c r="S1015" s="739">
        <f t="shared" si="137"/>
        <v>450863.52695756726</v>
      </c>
      <c r="T1015" s="738">
        <v>69.25</v>
      </c>
      <c r="U1015" s="677">
        <f t="shared" si="138"/>
        <v>139608</v>
      </c>
      <c r="V1015" s="739">
        <f t="shared" si="139"/>
        <v>311255.52695756726</v>
      </c>
      <c r="W1015" s="740">
        <v>55.7</v>
      </c>
      <c r="X1015" s="678">
        <f t="shared" si="140"/>
        <v>112291.20000000001</v>
      </c>
      <c r="Y1015" s="700">
        <f t="shared" si="141"/>
        <v>338572.32695756725</v>
      </c>
      <c r="Z1015" s="740">
        <v>92.430648861364247</v>
      </c>
      <c r="AA1015" s="678">
        <f t="shared" si="142"/>
        <v>186340.18810451034</v>
      </c>
      <c r="AB1015" s="741">
        <f t="shared" si="143"/>
        <v>264523.33885305689</v>
      </c>
      <c r="AC1015" s="714"/>
    </row>
    <row r="1016" spans="1:29" x14ac:dyDescent="0.25">
      <c r="A1016" s="713"/>
      <c r="B1016" s="714" t="s">
        <v>1458</v>
      </c>
      <c r="C1016" s="676" t="s">
        <v>40</v>
      </c>
      <c r="D1016" s="676" t="s">
        <v>405</v>
      </c>
      <c r="E1016" s="680">
        <v>44986</v>
      </c>
      <c r="F1016" s="676">
        <v>744</v>
      </c>
      <c r="G1016" s="676" t="s">
        <v>59</v>
      </c>
      <c r="H1016" s="676" t="s">
        <v>3</v>
      </c>
      <c r="I1016" s="676" t="s">
        <v>44</v>
      </c>
      <c r="J1016" s="676" t="s">
        <v>85</v>
      </c>
      <c r="K1016" s="676">
        <v>215</v>
      </c>
      <c r="L1016" s="690" t="s">
        <v>54</v>
      </c>
      <c r="M1016" s="691">
        <v>0</v>
      </c>
      <c r="N1016" s="690">
        <v>3</v>
      </c>
      <c r="O1016" s="691">
        <v>0</v>
      </c>
      <c r="P1016" s="690">
        <v>223.64262249879329</v>
      </c>
      <c r="Q1016" s="738">
        <f t="shared" si="135"/>
        <v>0</v>
      </c>
      <c r="R1016" s="677">
        <f t="shared" si="136"/>
        <v>499170.3334173066</v>
      </c>
      <c r="S1016" s="739">
        <f t="shared" si="137"/>
        <v>499170.3334173066</v>
      </c>
      <c r="T1016" s="738">
        <v>69.3</v>
      </c>
      <c r="U1016" s="677">
        <f t="shared" si="138"/>
        <v>154677.6</v>
      </c>
      <c r="V1016" s="739">
        <f t="shared" si="139"/>
        <v>344492.73341730656</v>
      </c>
      <c r="W1016" s="740">
        <v>55.7</v>
      </c>
      <c r="X1016" s="678">
        <f t="shared" si="140"/>
        <v>124322.40000000001</v>
      </c>
      <c r="Y1016" s="700">
        <f t="shared" si="141"/>
        <v>374847.93341730657</v>
      </c>
      <c r="Z1016" s="740">
        <v>89.053218420260009</v>
      </c>
      <c r="AA1016" s="678">
        <f t="shared" si="142"/>
        <v>198766.78351402035</v>
      </c>
      <c r="AB1016" s="741">
        <f t="shared" si="143"/>
        <v>300403.54990328627</v>
      </c>
      <c r="AC1016" s="714"/>
    </row>
    <row r="1017" spans="1:29" x14ac:dyDescent="0.25">
      <c r="A1017" s="713"/>
      <c r="B1017" s="714" t="s">
        <v>1458</v>
      </c>
      <c r="C1017" s="676" t="s">
        <v>40</v>
      </c>
      <c r="D1017" s="676" t="s">
        <v>405</v>
      </c>
      <c r="E1017" s="680">
        <v>45017</v>
      </c>
      <c r="F1017" s="676">
        <v>720</v>
      </c>
      <c r="G1017" s="676" t="s">
        <v>59</v>
      </c>
      <c r="H1017" s="676" t="s">
        <v>3</v>
      </c>
      <c r="I1017" s="676" t="s">
        <v>44</v>
      </c>
      <c r="J1017" s="676" t="s">
        <v>85</v>
      </c>
      <c r="K1017" s="676">
        <v>215</v>
      </c>
      <c r="L1017" s="690" t="s">
        <v>54</v>
      </c>
      <c r="M1017" s="691">
        <v>0</v>
      </c>
      <c r="N1017" s="690">
        <v>3</v>
      </c>
      <c r="O1017" s="691">
        <v>0</v>
      </c>
      <c r="P1017" s="690">
        <v>223.64262249879329</v>
      </c>
      <c r="Q1017" s="738">
        <f t="shared" si="135"/>
        <v>0</v>
      </c>
      <c r="R1017" s="677">
        <f t="shared" si="136"/>
        <v>483068.0645973935</v>
      </c>
      <c r="S1017" s="739">
        <f t="shared" si="137"/>
        <v>483068.0645973935</v>
      </c>
      <c r="T1017" s="738">
        <v>69.8</v>
      </c>
      <c r="U1017" s="677">
        <f t="shared" si="138"/>
        <v>150768</v>
      </c>
      <c r="V1017" s="739">
        <f t="shared" si="139"/>
        <v>332300.0645973935</v>
      </c>
      <c r="W1017" s="740">
        <v>55.7</v>
      </c>
      <c r="X1017" s="678">
        <f t="shared" si="140"/>
        <v>120312</v>
      </c>
      <c r="Y1017" s="700">
        <f t="shared" si="141"/>
        <v>362756.0645973935</v>
      </c>
      <c r="Z1017" s="740">
        <v>85.732008718771311</v>
      </c>
      <c r="AA1017" s="678">
        <f t="shared" si="142"/>
        <v>185181.13883254604</v>
      </c>
      <c r="AB1017" s="741">
        <f t="shared" si="143"/>
        <v>297886.92576484743</v>
      </c>
      <c r="AC1017" s="714"/>
    </row>
    <row r="1018" spans="1:29" x14ac:dyDescent="0.25">
      <c r="A1018" s="713"/>
      <c r="B1018" s="714" t="s">
        <v>1458</v>
      </c>
      <c r="C1018" s="676" t="s">
        <v>40</v>
      </c>
      <c r="D1018" s="676" t="s">
        <v>405</v>
      </c>
      <c r="E1018" s="680">
        <v>45047</v>
      </c>
      <c r="F1018" s="676">
        <v>744</v>
      </c>
      <c r="G1018" s="676" t="s">
        <v>59</v>
      </c>
      <c r="H1018" s="676" t="s">
        <v>3</v>
      </c>
      <c r="I1018" s="676" t="s">
        <v>44</v>
      </c>
      <c r="J1018" s="676" t="s">
        <v>85</v>
      </c>
      <c r="K1018" s="676">
        <v>215</v>
      </c>
      <c r="L1018" s="690" t="s">
        <v>54</v>
      </c>
      <c r="M1018" s="691">
        <v>0</v>
      </c>
      <c r="N1018" s="690">
        <v>3</v>
      </c>
      <c r="O1018" s="691">
        <v>0</v>
      </c>
      <c r="P1018" s="690">
        <v>223.64262249879329</v>
      </c>
      <c r="Q1018" s="738">
        <f t="shared" si="135"/>
        <v>0</v>
      </c>
      <c r="R1018" s="677">
        <f t="shared" si="136"/>
        <v>499170.3334173066</v>
      </c>
      <c r="S1018" s="739">
        <f t="shared" si="137"/>
        <v>499170.3334173066</v>
      </c>
      <c r="T1018" s="738">
        <v>70.2</v>
      </c>
      <c r="U1018" s="677">
        <f t="shared" si="138"/>
        <v>156686.39999999999</v>
      </c>
      <c r="V1018" s="739">
        <f t="shared" si="139"/>
        <v>342483.93341730663</v>
      </c>
      <c r="W1018" s="740">
        <v>55.7</v>
      </c>
      <c r="X1018" s="678">
        <f t="shared" si="140"/>
        <v>124322.40000000001</v>
      </c>
      <c r="Y1018" s="700">
        <f t="shared" si="141"/>
        <v>374847.93341730657</v>
      </c>
      <c r="Z1018" s="740">
        <v>86.223309628334476</v>
      </c>
      <c r="AA1018" s="678">
        <f t="shared" si="142"/>
        <v>192450.42709044256</v>
      </c>
      <c r="AB1018" s="741">
        <f t="shared" si="143"/>
        <v>306719.90632686403</v>
      </c>
      <c r="AC1018" s="714"/>
    </row>
    <row r="1019" spans="1:29" x14ac:dyDescent="0.25">
      <c r="A1019" s="713"/>
      <c r="B1019" s="714" t="s">
        <v>1458</v>
      </c>
      <c r="C1019" s="676" t="s">
        <v>40</v>
      </c>
      <c r="D1019" s="676" t="s">
        <v>405</v>
      </c>
      <c r="E1019" s="680">
        <v>45078</v>
      </c>
      <c r="F1019" s="676">
        <v>720</v>
      </c>
      <c r="G1019" s="676" t="s">
        <v>59</v>
      </c>
      <c r="H1019" s="676" t="s">
        <v>3</v>
      </c>
      <c r="I1019" s="676" t="s">
        <v>44</v>
      </c>
      <c r="J1019" s="676" t="s">
        <v>85</v>
      </c>
      <c r="K1019" s="676">
        <v>215</v>
      </c>
      <c r="L1019" s="690" t="s">
        <v>54</v>
      </c>
      <c r="M1019" s="691">
        <v>0</v>
      </c>
      <c r="N1019" s="690">
        <v>3</v>
      </c>
      <c r="O1019" s="691">
        <v>0</v>
      </c>
      <c r="P1019" s="690">
        <v>223.64262249879329</v>
      </c>
      <c r="Q1019" s="738">
        <f t="shared" si="135"/>
        <v>0</v>
      </c>
      <c r="R1019" s="677">
        <f t="shared" si="136"/>
        <v>483068.0645973935</v>
      </c>
      <c r="S1019" s="739">
        <f t="shared" si="137"/>
        <v>483068.0645973935</v>
      </c>
      <c r="T1019" s="738">
        <v>72.400000000000006</v>
      </c>
      <c r="U1019" s="677">
        <f t="shared" si="138"/>
        <v>156384</v>
      </c>
      <c r="V1019" s="739">
        <f t="shared" si="139"/>
        <v>326684.0645973935</v>
      </c>
      <c r="W1019" s="740">
        <v>55.874535369068141</v>
      </c>
      <c r="X1019" s="678">
        <f t="shared" si="140"/>
        <v>120688.99639718719</v>
      </c>
      <c r="Y1019" s="700">
        <f t="shared" si="141"/>
        <v>362379.06820020633</v>
      </c>
      <c r="Z1019" s="740">
        <v>88.925464630931856</v>
      </c>
      <c r="AA1019" s="678">
        <f t="shared" si="142"/>
        <v>192079.00360281282</v>
      </c>
      <c r="AB1019" s="741">
        <f t="shared" si="143"/>
        <v>290989.06099458068</v>
      </c>
      <c r="AC1019" s="714"/>
    </row>
    <row r="1020" spans="1:29" x14ac:dyDescent="0.25">
      <c r="A1020" s="713"/>
      <c r="B1020" s="714" t="s">
        <v>1458</v>
      </c>
      <c r="C1020" s="676" t="s">
        <v>40</v>
      </c>
      <c r="D1020" s="676" t="s">
        <v>405</v>
      </c>
      <c r="E1020" s="680">
        <v>45108</v>
      </c>
      <c r="F1020" s="676">
        <v>744</v>
      </c>
      <c r="G1020" s="676" t="s">
        <v>59</v>
      </c>
      <c r="H1020" s="676" t="s">
        <v>3</v>
      </c>
      <c r="I1020" s="676" t="s">
        <v>44</v>
      </c>
      <c r="J1020" s="676" t="s">
        <v>85</v>
      </c>
      <c r="K1020" s="676">
        <v>215</v>
      </c>
      <c r="L1020" s="690" t="s">
        <v>54</v>
      </c>
      <c r="M1020" s="691">
        <v>0</v>
      </c>
      <c r="N1020" s="690">
        <v>3</v>
      </c>
      <c r="O1020" s="691">
        <v>0</v>
      </c>
      <c r="P1020" s="690">
        <v>223.64262249879329</v>
      </c>
      <c r="Q1020" s="738">
        <f t="shared" si="135"/>
        <v>0</v>
      </c>
      <c r="R1020" s="677">
        <f t="shared" si="136"/>
        <v>499170.3334173066</v>
      </c>
      <c r="S1020" s="739">
        <f t="shared" si="137"/>
        <v>499170.3334173066</v>
      </c>
      <c r="T1020" s="738">
        <v>77.150000000000006</v>
      </c>
      <c r="U1020" s="677">
        <f t="shared" si="138"/>
        <v>172198.80000000002</v>
      </c>
      <c r="V1020" s="739">
        <f t="shared" si="139"/>
        <v>326971.53341730661</v>
      </c>
      <c r="W1020" s="740">
        <v>59.54033706800562</v>
      </c>
      <c r="X1020" s="678">
        <f t="shared" si="140"/>
        <v>132894.03233578854</v>
      </c>
      <c r="Y1020" s="700">
        <f t="shared" si="141"/>
        <v>366276.30108151806</v>
      </c>
      <c r="Z1020" s="740">
        <v>94.759662931994384</v>
      </c>
      <c r="AA1020" s="678">
        <f t="shared" si="142"/>
        <v>211503.56766421147</v>
      </c>
      <c r="AB1020" s="741">
        <f t="shared" si="143"/>
        <v>287666.76575309515</v>
      </c>
      <c r="AC1020" s="714"/>
    </row>
    <row r="1021" spans="1:29" x14ac:dyDescent="0.25">
      <c r="A1021" s="713"/>
      <c r="B1021" s="714" t="s">
        <v>1458</v>
      </c>
      <c r="C1021" s="676" t="s">
        <v>40</v>
      </c>
      <c r="D1021" s="676" t="s">
        <v>405</v>
      </c>
      <c r="E1021" s="680">
        <v>45139</v>
      </c>
      <c r="F1021" s="676">
        <v>744</v>
      </c>
      <c r="G1021" s="676" t="s">
        <v>59</v>
      </c>
      <c r="H1021" s="676" t="s">
        <v>3</v>
      </c>
      <c r="I1021" s="676" t="s">
        <v>44</v>
      </c>
      <c r="J1021" s="676" t="s">
        <v>85</v>
      </c>
      <c r="K1021" s="676">
        <v>215</v>
      </c>
      <c r="L1021" s="690" t="s">
        <v>54</v>
      </c>
      <c r="M1021" s="691">
        <v>0</v>
      </c>
      <c r="N1021" s="690">
        <v>3</v>
      </c>
      <c r="O1021" s="691">
        <v>0</v>
      </c>
      <c r="P1021" s="690">
        <v>223.64262249879329</v>
      </c>
      <c r="Q1021" s="738">
        <f t="shared" si="135"/>
        <v>0</v>
      </c>
      <c r="R1021" s="677">
        <f t="shared" si="136"/>
        <v>499170.3334173066</v>
      </c>
      <c r="S1021" s="739">
        <f t="shared" si="137"/>
        <v>499170.3334173066</v>
      </c>
      <c r="T1021" s="738">
        <v>77.150000000000006</v>
      </c>
      <c r="U1021" s="677">
        <f t="shared" si="138"/>
        <v>172198.80000000002</v>
      </c>
      <c r="V1021" s="739">
        <f t="shared" si="139"/>
        <v>326971.53341730661</v>
      </c>
      <c r="W1021" s="740">
        <v>59.54033706800562</v>
      </c>
      <c r="X1021" s="678">
        <f t="shared" si="140"/>
        <v>132894.03233578854</v>
      </c>
      <c r="Y1021" s="700">
        <f t="shared" si="141"/>
        <v>366276.30108151806</v>
      </c>
      <c r="Z1021" s="740">
        <v>94.759662931994384</v>
      </c>
      <c r="AA1021" s="678">
        <f t="shared" si="142"/>
        <v>211503.56766421147</v>
      </c>
      <c r="AB1021" s="741">
        <f t="shared" si="143"/>
        <v>287666.76575309515</v>
      </c>
      <c r="AC1021" s="714"/>
    </row>
    <row r="1022" spans="1:29" x14ac:dyDescent="0.25">
      <c r="A1022" s="713"/>
      <c r="B1022" s="714" t="s">
        <v>1458</v>
      </c>
      <c r="C1022" s="676" t="s">
        <v>40</v>
      </c>
      <c r="D1022" s="676" t="s">
        <v>405</v>
      </c>
      <c r="E1022" s="680">
        <v>45170</v>
      </c>
      <c r="F1022" s="676">
        <v>720</v>
      </c>
      <c r="G1022" s="676" t="s">
        <v>59</v>
      </c>
      <c r="H1022" s="676" t="s">
        <v>3</v>
      </c>
      <c r="I1022" s="676" t="s">
        <v>44</v>
      </c>
      <c r="J1022" s="676" t="s">
        <v>85</v>
      </c>
      <c r="K1022" s="676">
        <v>215</v>
      </c>
      <c r="L1022" s="690" t="s">
        <v>54</v>
      </c>
      <c r="M1022" s="691">
        <v>0</v>
      </c>
      <c r="N1022" s="690">
        <v>3</v>
      </c>
      <c r="O1022" s="691">
        <v>0</v>
      </c>
      <c r="P1022" s="690">
        <v>223.64262249879329</v>
      </c>
      <c r="Q1022" s="738">
        <f t="shared" si="135"/>
        <v>0</v>
      </c>
      <c r="R1022" s="677">
        <f t="shared" si="136"/>
        <v>483068.0645973935</v>
      </c>
      <c r="S1022" s="739">
        <f t="shared" si="137"/>
        <v>483068.0645973935</v>
      </c>
      <c r="T1022" s="738">
        <v>77.150000000000006</v>
      </c>
      <c r="U1022" s="677">
        <f t="shared" si="138"/>
        <v>166644</v>
      </c>
      <c r="V1022" s="739">
        <f t="shared" si="139"/>
        <v>316424.0645973935</v>
      </c>
      <c r="W1022" s="740">
        <v>59.54033706800562</v>
      </c>
      <c r="X1022" s="678">
        <f t="shared" si="140"/>
        <v>128607.12806689214</v>
      </c>
      <c r="Y1022" s="700">
        <f t="shared" si="141"/>
        <v>354460.93653050135</v>
      </c>
      <c r="Z1022" s="740">
        <v>94.759662931994384</v>
      </c>
      <c r="AA1022" s="678">
        <f t="shared" si="142"/>
        <v>204680.87193310788</v>
      </c>
      <c r="AB1022" s="741">
        <f t="shared" si="143"/>
        <v>278387.19266428566</v>
      </c>
      <c r="AC1022" s="714"/>
    </row>
    <row r="1023" spans="1:29" x14ac:dyDescent="0.25">
      <c r="A1023" s="713"/>
      <c r="B1023" s="714" t="s">
        <v>1458</v>
      </c>
      <c r="C1023" s="676" t="s">
        <v>40</v>
      </c>
      <c r="D1023" s="676" t="s">
        <v>405</v>
      </c>
      <c r="E1023" s="680">
        <v>45200</v>
      </c>
      <c r="F1023" s="676">
        <v>744</v>
      </c>
      <c r="G1023" s="676" t="s">
        <v>59</v>
      </c>
      <c r="H1023" s="676" t="s">
        <v>3</v>
      </c>
      <c r="I1023" s="676" t="s">
        <v>44</v>
      </c>
      <c r="J1023" s="676" t="s">
        <v>85</v>
      </c>
      <c r="K1023" s="676">
        <v>215</v>
      </c>
      <c r="L1023" s="690" t="s">
        <v>54</v>
      </c>
      <c r="M1023" s="691">
        <v>0</v>
      </c>
      <c r="N1023" s="690">
        <v>3</v>
      </c>
      <c r="O1023" s="691">
        <v>0</v>
      </c>
      <c r="P1023" s="690">
        <v>223.64262249879329</v>
      </c>
      <c r="Q1023" s="738">
        <f t="shared" si="135"/>
        <v>0</v>
      </c>
      <c r="R1023" s="677">
        <f t="shared" si="136"/>
        <v>499170.3334173066</v>
      </c>
      <c r="S1023" s="739">
        <f t="shared" si="137"/>
        <v>499170.3334173066</v>
      </c>
      <c r="T1023" s="738">
        <v>80.45</v>
      </c>
      <c r="U1023" s="677">
        <f t="shared" si="138"/>
        <v>179564.4</v>
      </c>
      <c r="V1023" s="739">
        <f t="shared" si="139"/>
        <v>319605.93341730663</v>
      </c>
      <c r="W1023" s="740">
        <v>62.087104564109552</v>
      </c>
      <c r="X1023" s="678">
        <f t="shared" si="140"/>
        <v>138578.41738709252</v>
      </c>
      <c r="Y1023" s="700">
        <f t="shared" si="141"/>
        <v>360591.91603021405</v>
      </c>
      <c r="Z1023" s="740">
        <v>98.812895435890439</v>
      </c>
      <c r="AA1023" s="678">
        <f t="shared" si="142"/>
        <v>220550.38261290747</v>
      </c>
      <c r="AB1023" s="741">
        <f t="shared" si="143"/>
        <v>278619.95080439909</v>
      </c>
      <c r="AC1023" s="714"/>
    </row>
    <row r="1024" spans="1:29" x14ac:dyDescent="0.25">
      <c r="A1024" s="713"/>
      <c r="B1024" s="714" t="s">
        <v>1458</v>
      </c>
      <c r="C1024" s="676" t="s">
        <v>40</v>
      </c>
      <c r="D1024" s="676" t="s">
        <v>405</v>
      </c>
      <c r="E1024" s="680">
        <v>45231</v>
      </c>
      <c r="F1024" s="676">
        <v>720</v>
      </c>
      <c r="G1024" s="676" t="s">
        <v>59</v>
      </c>
      <c r="H1024" s="676" t="s">
        <v>3</v>
      </c>
      <c r="I1024" s="676" t="s">
        <v>44</v>
      </c>
      <c r="J1024" s="676" t="s">
        <v>85</v>
      </c>
      <c r="K1024" s="676">
        <v>215</v>
      </c>
      <c r="L1024" s="690" t="s">
        <v>54</v>
      </c>
      <c r="M1024" s="691">
        <v>0</v>
      </c>
      <c r="N1024" s="690">
        <v>3</v>
      </c>
      <c r="O1024" s="691">
        <v>0</v>
      </c>
      <c r="P1024" s="690">
        <v>223.64262249879329</v>
      </c>
      <c r="Q1024" s="738">
        <f t="shared" si="135"/>
        <v>0</v>
      </c>
      <c r="R1024" s="677">
        <f t="shared" si="136"/>
        <v>483068.0645973935</v>
      </c>
      <c r="S1024" s="739">
        <f t="shared" si="137"/>
        <v>483068.0645973935</v>
      </c>
      <c r="T1024" s="738">
        <v>80.45</v>
      </c>
      <c r="U1024" s="677">
        <f t="shared" si="138"/>
        <v>173772</v>
      </c>
      <c r="V1024" s="739">
        <f t="shared" si="139"/>
        <v>309296.0645973935</v>
      </c>
      <c r="W1024" s="740">
        <v>62.087104564109552</v>
      </c>
      <c r="X1024" s="678">
        <f t="shared" si="140"/>
        <v>134108.14585847664</v>
      </c>
      <c r="Y1024" s="700">
        <f t="shared" si="141"/>
        <v>348959.91873891687</v>
      </c>
      <c r="Z1024" s="740">
        <v>98.812895435890439</v>
      </c>
      <c r="AA1024" s="678">
        <f t="shared" si="142"/>
        <v>213435.85414152336</v>
      </c>
      <c r="AB1024" s="741">
        <f t="shared" si="143"/>
        <v>269632.21045587014</v>
      </c>
      <c r="AC1024" s="714"/>
    </row>
    <row r="1025" spans="1:29" x14ac:dyDescent="0.25">
      <c r="A1025" s="713"/>
      <c r="B1025" s="729" t="s">
        <v>1458</v>
      </c>
      <c r="C1025" s="545" t="s">
        <v>40</v>
      </c>
      <c r="D1025" s="545" t="s">
        <v>405</v>
      </c>
      <c r="E1025" s="681">
        <v>45261</v>
      </c>
      <c r="F1025" s="545">
        <v>744</v>
      </c>
      <c r="G1025" s="545" t="s">
        <v>59</v>
      </c>
      <c r="H1025" s="545" t="s">
        <v>3</v>
      </c>
      <c r="I1025" s="545" t="s">
        <v>44</v>
      </c>
      <c r="J1025" s="545" t="s">
        <v>85</v>
      </c>
      <c r="K1025" s="545">
        <v>215</v>
      </c>
      <c r="L1025" s="725" t="s">
        <v>54</v>
      </c>
      <c r="M1025" s="695">
        <v>0</v>
      </c>
      <c r="N1025" s="725">
        <v>3</v>
      </c>
      <c r="O1025" s="695">
        <v>0</v>
      </c>
      <c r="P1025" s="725">
        <v>223.64262249879329</v>
      </c>
      <c r="Q1025" s="742">
        <f t="shared" si="135"/>
        <v>0</v>
      </c>
      <c r="R1025" s="603">
        <f t="shared" si="136"/>
        <v>499170.3334173066</v>
      </c>
      <c r="S1025" s="743">
        <f t="shared" si="137"/>
        <v>499170.3334173066</v>
      </c>
      <c r="T1025" s="742">
        <v>80.45</v>
      </c>
      <c r="U1025" s="603">
        <f t="shared" si="138"/>
        <v>179564.4</v>
      </c>
      <c r="V1025" s="743">
        <f t="shared" si="139"/>
        <v>319605.93341730663</v>
      </c>
      <c r="W1025" s="744">
        <v>62.087104564109552</v>
      </c>
      <c r="X1025" s="604">
        <f t="shared" si="140"/>
        <v>138578.41738709252</v>
      </c>
      <c r="Y1025" s="701">
        <f t="shared" si="141"/>
        <v>360591.91603021405</v>
      </c>
      <c r="Z1025" s="744">
        <v>98.812895435890439</v>
      </c>
      <c r="AA1025" s="604">
        <f t="shared" si="142"/>
        <v>220550.38261290747</v>
      </c>
      <c r="AB1025" s="745">
        <f t="shared" si="143"/>
        <v>278619.95080439909</v>
      </c>
      <c r="AC1025" s="714"/>
    </row>
    <row r="1026" spans="1:29" x14ac:dyDescent="0.25">
      <c r="A1026" s="713"/>
      <c r="B1026" s="731" t="s">
        <v>1460</v>
      </c>
      <c r="C1026" s="547" t="s">
        <v>40</v>
      </c>
      <c r="D1026" s="547" t="s">
        <v>348</v>
      </c>
      <c r="E1026" s="683">
        <v>44805</v>
      </c>
      <c r="F1026" s="547">
        <v>720</v>
      </c>
      <c r="G1026" s="547" t="s">
        <v>59</v>
      </c>
      <c r="H1026" s="547" t="s">
        <v>3</v>
      </c>
      <c r="I1026" s="547" t="s">
        <v>44</v>
      </c>
      <c r="J1026" s="547" t="s">
        <v>85</v>
      </c>
      <c r="K1026" s="547">
        <v>156</v>
      </c>
      <c r="L1026" s="727" t="s">
        <v>54</v>
      </c>
      <c r="M1026" s="697">
        <v>0</v>
      </c>
      <c r="N1026" s="727">
        <v>7</v>
      </c>
      <c r="O1026" s="697">
        <v>0</v>
      </c>
      <c r="P1026" s="727">
        <v>156</v>
      </c>
      <c r="Q1026" s="750">
        <f t="shared" si="135"/>
        <v>0</v>
      </c>
      <c r="R1026" s="608">
        <f t="shared" si="136"/>
        <v>786240</v>
      </c>
      <c r="S1026" s="751">
        <f t="shared" si="137"/>
        <v>786240</v>
      </c>
      <c r="T1026" s="750">
        <v>56.08</v>
      </c>
      <c r="U1026" s="608">
        <f t="shared" si="138"/>
        <v>282643.20000000001</v>
      </c>
      <c r="V1026" s="751">
        <f t="shared" si="139"/>
        <v>503596.79999999999</v>
      </c>
      <c r="W1026" s="752">
        <v>56.08</v>
      </c>
      <c r="X1026" s="609">
        <f t="shared" si="140"/>
        <v>282643.20000000001</v>
      </c>
      <c r="Y1026" s="703">
        <f t="shared" si="141"/>
        <v>503596.79999999999</v>
      </c>
      <c r="Z1026" s="752">
        <v>56.08</v>
      </c>
      <c r="AA1026" s="609">
        <f t="shared" si="142"/>
        <v>282643.20000000001</v>
      </c>
      <c r="AB1026" s="753">
        <f t="shared" si="143"/>
        <v>503596.79999999999</v>
      </c>
      <c r="AC1026" s="714"/>
    </row>
    <row r="1027" spans="1:29" x14ac:dyDescent="0.25">
      <c r="A1027" s="713"/>
      <c r="B1027" s="731" t="s">
        <v>1462</v>
      </c>
      <c r="C1027" s="547" t="s">
        <v>40</v>
      </c>
      <c r="D1027" s="547" t="s">
        <v>348</v>
      </c>
      <c r="E1027" s="683">
        <v>44743</v>
      </c>
      <c r="F1027" s="547">
        <v>744</v>
      </c>
      <c r="G1027" s="547" t="s">
        <v>58</v>
      </c>
      <c r="H1027" s="547" t="s">
        <v>3</v>
      </c>
      <c r="I1027" s="547" t="s">
        <v>44</v>
      </c>
      <c r="J1027" s="547" t="s">
        <v>84</v>
      </c>
      <c r="K1027" s="547">
        <v>120</v>
      </c>
      <c r="L1027" s="727" t="s">
        <v>54</v>
      </c>
      <c r="M1027" s="697">
        <v>7</v>
      </c>
      <c r="N1027" s="727">
        <v>0</v>
      </c>
      <c r="O1027" s="697">
        <v>120</v>
      </c>
      <c r="P1027" s="727">
        <v>0</v>
      </c>
      <c r="Q1027" s="750">
        <f t="shared" ref="Q1027:Q1090" si="144">(O1027*(M1027*F1027))</f>
        <v>624960</v>
      </c>
      <c r="R1027" s="608">
        <f t="shared" ref="R1027:R1090" si="145">(P1027*(N1027*F1027))</f>
        <v>0</v>
      </c>
      <c r="S1027" s="751">
        <f t="shared" ref="S1027:S1090" si="146">R1027-Q1027</f>
        <v>-624960</v>
      </c>
      <c r="T1027" s="750">
        <v>66.319999999999993</v>
      </c>
      <c r="U1027" s="608">
        <f t="shared" ref="U1027:U1090" si="147">(((F1027*N1027)*T1027)-(T1027*(M1027*F1027)))</f>
        <v>-345394.55999999994</v>
      </c>
      <c r="V1027" s="751">
        <f t="shared" ref="V1027:V1090" si="148">S1027-U1027</f>
        <v>-279565.44000000006</v>
      </c>
      <c r="W1027" s="752">
        <v>66.319999999999993</v>
      </c>
      <c r="X1027" s="609">
        <f t="shared" ref="X1027:X1090" si="149">(((F1027*N1027)*W1027)-(W1027*(M1027*F1027)))</f>
        <v>-345394.55999999994</v>
      </c>
      <c r="Y1027" s="703">
        <f t="shared" ref="Y1027:Y1090" si="150">S1027-X1027</f>
        <v>-279565.44000000006</v>
      </c>
      <c r="Z1027" s="752">
        <v>66.319999999999993</v>
      </c>
      <c r="AA1027" s="609">
        <f t="shared" ref="AA1027:AA1090" si="151">(((F1027*N1027)*Z1027)-(Z1027*(M1027*F1027)))</f>
        <v>-345394.55999999994</v>
      </c>
      <c r="AB1027" s="753">
        <f t="shared" ref="AB1027:AB1090" si="152">S1027-AA1027</f>
        <v>-279565.44000000006</v>
      </c>
      <c r="AC1027" s="714"/>
    </row>
    <row r="1028" spans="1:29" x14ac:dyDescent="0.25">
      <c r="A1028" s="713"/>
      <c r="B1028" s="731" t="s">
        <v>1464</v>
      </c>
      <c r="C1028" s="547" t="s">
        <v>40</v>
      </c>
      <c r="D1028" s="547" t="s">
        <v>348</v>
      </c>
      <c r="E1028" s="683">
        <v>44743</v>
      </c>
      <c r="F1028" s="547">
        <v>744</v>
      </c>
      <c r="G1028" s="547" t="s">
        <v>58</v>
      </c>
      <c r="H1028" s="547" t="s">
        <v>3</v>
      </c>
      <c r="I1028" s="547" t="s">
        <v>44</v>
      </c>
      <c r="J1028" s="547" t="s">
        <v>84</v>
      </c>
      <c r="K1028" s="547">
        <v>120</v>
      </c>
      <c r="L1028" s="727" t="s">
        <v>54</v>
      </c>
      <c r="M1028" s="697">
        <v>1</v>
      </c>
      <c r="N1028" s="727">
        <v>0</v>
      </c>
      <c r="O1028" s="697">
        <v>120</v>
      </c>
      <c r="P1028" s="727">
        <v>0</v>
      </c>
      <c r="Q1028" s="750">
        <f t="shared" si="144"/>
        <v>89280</v>
      </c>
      <c r="R1028" s="608">
        <f t="shared" si="145"/>
        <v>0</v>
      </c>
      <c r="S1028" s="751">
        <f t="shared" si="146"/>
        <v>-89280</v>
      </c>
      <c r="T1028" s="750">
        <v>66.319999999999993</v>
      </c>
      <c r="U1028" s="608">
        <f t="shared" si="147"/>
        <v>-49342.079999999994</v>
      </c>
      <c r="V1028" s="751">
        <f t="shared" si="148"/>
        <v>-39937.920000000006</v>
      </c>
      <c r="W1028" s="752">
        <v>66.319999999999993</v>
      </c>
      <c r="X1028" s="609">
        <f t="shared" si="149"/>
        <v>-49342.079999999994</v>
      </c>
      <c r="Y1028" s="703">
        <f t="shared" si="150"/>
        <v>-39937.920000000006</v>
      </c>
      <c r="Z1028" s="752">
        <v>66.319999999999993</v>
      </c>
      <c r="AA1028" s="609">
        <f t="shared" si="151"/>
        <v>-49342.079999999994</v>
      </c>
      <c r="AB1028" s="753">
        <f t="shared" si="152"/>
        <v>-39937.920000000006</v>
      </c>
      <c r="AC1028" s="714"/>
    </row>
    <row r="1029" spans="1:29" x14ac:dyDescent="0.25">
      <c r="A1029" s="713"/>
      <c r="B1029" s="731" t="s">
        <v>1466</v>
      </c>
      <c r="C1029" s="547" t="s">
        <v>40</v>
      </c>
      <c r="D1029" s="547" t="s">
        <v>501</v>
      </c>
      <c r="E1029" s="683">
        <v>44743</v>
      </c>
      <c r="F1029" s="547">
        <v>744</v>
      </c>
      <c r="G1029" s="547" t="s">
        <v>58</v>
      </c>
      <c r="H1029" s="547" t="s">
        <v>3</v>
      </c>
      <c r="I1029" s="547" t="s">
        <v>44</v>
      </c>
      <c r="J1029" s="547" t="s">
        <v>84</v>
      </c>
      <c r="K1029" s="547">
        <v>120</v>
      </c>
      <c r="L1029" s="727" t="s">
        <v>54</v>
      </c>
      <c r="M1029" s="697">
        <v>2</v>
      </c>
      <c r="N1029" s="727">
        <v>0</v>
      </c>
      <c r="O1029" s="697">
        <v>120</v>
      </c>
      <c r="P1029" s="727">
        <v>0</v>
      </c>
      <c r="Q1029" s="750">
        <f t="shared" si="144"/>
        <v>178560</v>
      </c>
      <c r="R1029" s="608">
        <f t="shared" si="145"/>
        <v>0</v>
      </c>
      <c r="S1029" s="751">
        <f t="shared" si="146"/>
        <v>-178560</v>
      </c>
      <c r="T1029" s="750">
        <v>66.319999999999993</v>
      </c>
      <c r="U1029" s="608">
        <f t="shared" si="147"/>
        <v>-98684.159999999989</v>
      </c>
      <c r="V1029" s="751">
        <f t="shared" si="148"/>
        <v>-79875.840000000011</v>
      </c>
      <c r="W1029" s="752">
        <v>66.319999999999993</v>
      </c>
      <c r="X1029" s="609">
        <f t="shared" si="149"/>
        <v>-98684.159999999989</v>
      </c>
      <c r="Y1029" s="703">
        <f t="shared" si="150"/>
        <v>-79875.840000000011</v>
      </c>
      <c r="Z1029" s="752">
        <v>66.319999999999993</v>
      </c>
      <c r="AA1029" s="609">
        <f t="shared" si="151"/>
        <v>-98684.159999999989</v>
      </c>
      <c r="AB1029" s="753">
        <f t="shared" si="152"/>
        <v>-79875.840000000011</v>
      </c>
      <c r="AC1029" s="714"/>
    </row>
    <row r="1030" spans="1:29" x14ac:dyDescent="0.25">
      <c r="A1030" s="713"/>
      <c r="B1030" s="731" t="s">
        <v>1468</v>
      </c>
      <c r="C1030" s="547" t="s">
        <v>40</v>
      </c>
      <c r="D1030" s="547" t="s">
        <v>620</v>
      </c>
      <c r="E1030" s="683">
        <v>44805</v>
      </c>
      <c r="F1030" s="547">
        <v>720</v>
      </c>
      <c r="G1030" s="547" t="s">
        <v>59</v>
      </c>
      <c r="H1030" s="547" t="s">
        <v>3</v>
      </c>
      <c r="I1030" s="547" t="s">
        <v>44</v>
      </c>
      <c r="J1030" s="547" t="s">
        <v>85</v>
      </c>
      <c r="K1030" s="547">
        <v>156</v>
      </c>
      <c r="L1030" s="727" t="s">
        <v>54</v>
      </c>
      <c r="M1030" s="697">
        <v>0</v>
      </c>
      <c r="N1030" s="727">
        <v>3</v>
      </c>
      <c r="O1030" s="697">
        <v>0</v>
      </c>
      <c r="P1030" s="727">
        <v>156</v>
      </c>
      <c r="Q1030" s="750">
        <f t="shared" si="144"/>
        <v>0</v>
      </c>
      <c r="R1030" s="608">
        <f t="shared" si="145"/>
        <v>336960</v>
      </c>
      <c r="S1030" s="751">
        <f t="shared" si="146"/>
        <v>336960</v>
      </c>
      <c r="T1030" s="750">
        <v>56.08</v>
      </c>
      <c r="U1030" s="608">
        <f t="shared" si="147"/>
        <v>121132.8</v>
      </c>
      <c r="V1030" s="751">
        <f t="shared" si="148"/>
        <v>215827.20000000001</v>
      </c>
      <c r="W1030" s="752">
        <v>56.08</v>
      </c>
      <c r="X1030" s="609">
        <f t="shared" si="149"/>
        <v>121132.8</v>
      </c>
      <c r="Y1030" s="703">
        <f t="shared" si="150"/>
        <v>215827.20000000001</v>
      </c>
      <c r="Z1030" s="752">
        <v>56.08</v>
      </c>
      <c r="AA1030" s="609">
        <f t="shared" si="151"/>
        <v>121132.8</v>
      </c>
      <c r="AB1030" s="753">
        <f t="shared" si="152"/>
        <v>215827.20000000001</v>
      </c>
      <c r="AC1030" s="714"/>
    </row>
    <row r="1031" spans="1:29" x14ac:dyDescent="0.25">
      <c r="A1031" s="713"/>
      <c r="B1031" s="731" t="s">
        <v>1472</v>
      </c>
      <c r="C1031" s="547" t="s">
        <v>40</v>
      </c>
      <c r="D1031" s="547" t="s">
        <v>1470</v>
      </c>
      <c r="E1031" s="683">
        <v>44621</v>
      </c>
      <c r="F1031" s="547">
        <v>744</v>
      </c>
      <c r="G1031" s="547" t="s">
        <v>59</v>
      </c>
      <c r="H1031" s="547" t="s">
        <v>6</v>
      </c>
      <c r="I1031" s="547" t="s">
        <v>44</v>
      </c>
      <c r="J1031" s="547" t="s">
        <v>85</v>
      </c>
      <c r="K1031" s="547">
        <v>200</v>
      </c>
      <c r="L1031" s="727" t="s">
        <v>92</v>
      </c>
      <c r="M1031" s="697">
        <v>0</v>
      </c>
      <c r="N1031" s="727">
        <v>3</v>
      </c>
      <c r="O1031" s="697">
        <v>0</v>
      </c>
      <c r="P1031" s="727">
        <v>255.7</v>
      </c>
      <c r="Q1031" s="750">
        <f t="shared" si="144"/>
        <v>0</v>
      </c>
      <c r="R1031" s="608">
        <f t="shared" si="145"/>
        <v>570722.4</v>
      </c>
      <c r="S1031" s="751">
        <f t="shared" si="146"/>
        <v>570722.4</v>
      </c>
      <c r="T1031" s="750">
        <v>55.7</v>
      </c>
      <c r="U1031" s="608">
        <f t="shared" si="147"/>
        <v>124322.40000000001</v>
      </c>
      <c r="V1031" s="751">
        <f t="shared" si="148"/>
        <v>446400</v>
      </c>
      <c r="W1031" s="752">
        <v>55.7</v>
      </c>
      <c r="X1031" s="609">
        <f t="shared" si="149"/>
        <v>124322.40000000001</v>
      </c>
      <c r="Y1031" s="703">
        <f t="shared" si="150"/>
        <v>446400</v>
      </c>
      <c r="Z1031" s="752">
        <v>55.7</v>
      </c>
      <c r="AA1031" s="609">
        <f t="shared" si="151"/>
        <v>124322.40000000001</v>
      </c>
      <c r="AB1031" s="753">
        <f t="shared" si="152"/>
        <v>446400</v>
      </c>
      <c r="AC1031" s="714"/>
    </row>
    <row r="1032" spans="1:29" x14ac:dyDescent="0.25">
      <c r="A1032" s="713"/>
      <c r="B1032" s="731" t="s">
        <v>1478</v>
      </c>
      <c r="C1032" s="547" t="s">
        <v>40</v>
      </c>
      <c r="D1032" s="547" t="s">
        <v>474</v>
      </c>
      <c r="E1032" s="683">
        <v>44621</v>
      </c>
      <c r="F1032" s="547">
        <v>744</v>
      </c>
      <c r="G1032" s="547" t="s">
        <v>59</v>
      </c>
      <c r="H1032" s="547" t="s">
        <v>5</v>
      </c>
      <c r="I1032" s="547" t="s">
        <v>44</v>
      </c>
      <c r="J1032" s="547" t="s">
        <v>85</v>
      </c>
      <c r="K1032" s="547">
        <v>43.5</v>
      </c>
      <c r="L1032" s="727" t="s">
        <v>92</v>
      </c>
      <c r="M1032" s="697">
        <v>0</v>
      </c>
      <c r="N1032" s="727">
        <v>10</v>
      </c>
      <c r="O1032" s="697">
        <v>0</v>
      </c>
      <c r="P1032" s="727">
        <v>99.2</v>
      </c>
      <c r="Q1032" s="750">
        <f t="shared" si="144"/>
        <v>0</v>
      </c>
      <c r="R1032" s="608">
        <f t="shared" si="145"/>
        <v>738048</v>
      </c>
      <c r="S1032" s="751">
        <f t="shared" si="146"/>
        <v>738048</v>
      </c>
      <c r="T1032" s="750">
        <v>55.7</v>
      </c>
      <c r="U1032" s="608">
        <f t="shared" si="147"/>
        <v>414408</v>
      </c>
      <c r="V1032" s="751">
        <f t="shared" si="148"/>
        <v>323640</v>
      </c>
      <c r="W1032" s="752">
        <v>55.7</v>
      </c>
      <c r="X1032" s="609">
        <f t="shared" si="149"/>
        <v>414408</v>
      </c>
      <c r="Y1032" s="703">
        <f t="shared" si="150"/>
        <v>323640</v>
      </c>
      <c r="Z1032" s="752">
        <v>55.7</v>
      </c>
      <c r="AA1032" s="609">
        <f t="shared" si="151"/>
        <v>414408</v>
      </c>
      <c r="AB1032" s="753">
        <f t="shared" si="152"/>
        <v>323640</v>
      </c>
      <c r="AC1032" s="714"/>
    </row>
    <row r="1033" spans="1:29" x14ac:dyDescent="0.25">
      <c r="A1033" s="713"/>
      <c r="B1033" s="731" t="s">
        <v>1480</v>
      </c>
      <c r="C1033" s="547" t="s">
        <v>40</v>
      </c>
      <c r="D1033" s="547" t="s">
        <v>639</v>
      </c>
      <c r="E1033" s="683">
        <v>44621</v>
      </c>
      <c r="F1033" s="547">
        <v>744</v>
      </c>
      <c r="G1033" s="547" t="s">
        <v>59</v>
      </c>
      <c r="H1033" s="547" t="s">
        <v>5</v>
      </c>
      <c r="I1033" s="547" t="s">
        <v>44</v>
      </c>
      <c r="J1033" s="547" t="s">
        <v>85</v>
      </c>
      <c r="K1033" s="547">
        <v>43</v>
      </c>
      <c r="L1033" s="727" t="s">
        <v>92</v>
      </c>
      <c r="M1033" s="697">
        <v>0</v>
      </c>
      <c r="N1033" s="727">
        <v>10</v>
      </c>
      <c r="O1033" s="697">
        <v>0</v>
      </c>
      <c r="P1033" s="727">
        <v>98.7</v>
      </c>
      <c r="Q1033" s="750">
        <f t="shared" si="144"/>
        <v>0</v>
      </c>
      <c r="R1033" s="608">
        <f t="shared" si="145"/>
        <v>734328</v>
      </c>
      <c r="S1033" s="751">
        <f t="shared" si="146"/>
        <v>734328</v>
      </c>
      <c r="T1033" s="750">
        <v>55.7</v>
      </c>
      <c r="U1033" s="608">
        <f t="shared" si="147"/>
        <v>414408</v>
      </c>
      <c r="V1033" s="751">
        <f t="shared" si="148"/>
        <v>319920</v>
      </c>
      <c r="W1033" s="752">
        <v>55.7</v>
      </c>
      <c r="X1033" s="609">
        <f t="shared" si="149"/>
        <v>414408</v>
      </c>
      <c r="Y1033" s="703">
        <f t="shared" si="150"/>
        <v>319920</v>
      </c>
      <c r="Z1033" s="752">
        <v>55.7</v>
      </c>
      <c r="AA1033" s="609">
        <f t="shared" si="151"/>
        <v>414408</v>
      </c>
      <c r="AB1033" s="753">
        <f t="shared" si="152"/>
        <v>319920</v>
      </c>
      <c r="AC1033" s="714"/>
    </row>
    <row r="1034" spans="1:29" x14ac:dyDescent="0.25">
      <c r="A1034" s="713"/>
      <c r="B1034" s="731" t="s">
        <v>1482</v>
      </c>
      <c r="C1034" s="547" t="s">
        <v>40</v>
      </c>
      <c r="D1034" s="547" t="s">
        <v>1476</v>
      </c>
      <c r="E1034" s="683">
        <v>44621</v>
      </c>
      <c r="F1034" s="547">
        <v>744</v>
      </c>
      <c r="G1034" s="547" t="s">
        <v>59</v>
      </c>
      <c r="H1034" s="547" t="s">
        <v>5</v>
      </c>
      <c r="I1034" s="547" t="s">
        <v>44</v>
      </c>
      <c r="J1034" s="547" t="s">
        <v>85</v>
      </c>
      <c r="K1034" s="547">
        <v>45</v>
      </c>
      <c r="L1034" s="727" t="s">
        <v>92</v>
      </c>
      <c r="M1034" s="697">
        <v>0</v>
      </c>
      <c r="N1034" s="727">
        <v>2</v>
      </c>
      <c r="O1034" s="697">
        <v>0</v>
      </c>
      <c r="P1034" s="727">
        <v>100.7</v>
      </c>
      <c r="Q1034" s="750">
        <f t="shared" si="144"/>
        <v>0</v>
      </c>
      <c r="R1034" s="608">
        <f t="shared" si="145"/>
        <v>149841.60000000001</v>
      </c>
      <c r="S1034" s="751">
        <f t="shared" si="146"/>
        <v>149841.60000000001</v>
      </c>
      <c r="T1034" s="750">
        <v>55.7</v>
      </c>
      <c r="U1034" s="608">
        <f t="shared" si="147"/>
        <v>82881.600000000006</v>
      </c>
      <c r="V1034" s="751">
        <f t="shared" si="148"/>
        <v>66960</v>
      </c>
      <c r="W1034" s="752">
        <v>55.7</v>
      </c>
      <c r="X1034" s="609">
        <f t="shared" si="149"/>
        <v>82881.600000000006</v>
      </c>
      <c r="Y1034" s="703">
        <f t="shared" si="150"/>
        <v>66960</v>
      </c>
      <c r="Z1034" s="752">
        <v>55.7</v>
      </c>
      <c r="AA1034" s="609">
        <f t="shared" si="151"/>
        <v>82881.600000000006</v>
      </c>
      <c r="AB1034" s="753">
        <f t="shared" si="152"/>
        <v>66960</v>
      </c>
      <c r="AC1034" s="714"/>
    </row>
    <row r="1035" spans="1:29" x14ac:dyDescent="0.25">
      <c r="A1035" s="713"/>
      <c r="B1035" s="731" t="s">
        <v>1484</v>
      </c>
      <c r="C1035" s="547" t="s">
        <v>40</v>
      </c>
      <c r="D1035" s="547" t="s">
        <v>1203</v>
      </c>
      <c r="E1035" s="683">
        <v>44621</v>
      </c>
      <c r="F1035" s="547">
        <v>744</v>
      </c>
      <c r="G1035" s="547" t="s">
        <v>59</v>
      </c>
      <c r="H1035" s="547" t="s">
        <v>5</v>
      </c>
      <c r="I1035" s="547" t="s">
        <v>44</v>
      </c>
      <c r="J1035" s="547" t="s">
        <v>85</v>
      </c>
      <c r="K1035" s="547">
        <v>44</v>
      </c>
      <c r="L1035" s="727" t="s">
        <v>92</v>
      </c>
      <c r="M1035" s="697">
        <v>0</v>
      </c>
      <c r="N1035" s="727">
        <v>15</v>
      </c>
      <c r="O1035" s="697">
        <v>0</v>
      </c>
      <c r="P1035" s="727">
        <v>99.7</v>
      </c>
      <c r="Q1035" s="750">
        <f t="shared" si="144"/>
        <v>0</v>
      </c>
      <c r="R1035" s="608">
        <f t="shared" si="145"/>
        <v>1112652</v>
      </c>
      <c r="S1035" s="751">
        <f t="shared" si="146"/>
        <v>1112652</v>
      </c>
      <c r="T1035" s="750">
        <v>55.7</v>
      </c>
      <c r="U1035" s="608">
        <f t="shared" si="147"/>
        <v>621612</v>
      </c>
      <c r="V1035" s="751">
        <f t="shared" si="148"/>
        <v>491040</v>
      </c>
      <c r="W1035" s="752">
        <v>55.7</v>
      </c>
      <c r="X1035" s="609">
        <f t="shared" si="149"/>
        <v>621612</v>
      </c>
      <c r="Y1035" s="703">
        <f t="shared" si="150"/>
        <v>491040</v>
      </c>
      <c r="Z1035" s="752">
        <v>55.7</v>
      </c>
      <c r="AA1035" s="609">
        <f t="shared" si="151"/>
        <v>621612</v>
      </c>
      <c r="AB1035" s="753">
        <f t="shared" si="152"/>
        <v>491040</v>
      </c>
      <c r="AC1035" s="714"/>
    </row>
    <row r="1036" spans="1:29" x14ac:dyDescent="0.25">
      <c r="A1036" s="713"/>
      <c r="B1036" s="730" t="s">
        <v>1485</v>
      </c>
      <c r="C1036" s="546" t="s">
        <v>40</v>
      </c>
      <c r="D1036" s="546" t="s">
        <v>475</v>
      </c>
      <c r="E1036" s="682">
        <v>44927</v>
      </c>
      <c r="F1036" s="546">
        <v>744</v>
      </c>
      <c r="G1036" s="546" t="s">
        <v>59</v>
      </c>
      <c r="H1036" s="546" t="s">
        <v>3</v>
      </c>
      <c r="I1036" s="546" t="s">
        <v>44</v>
      </c>
      <c r="J1036" s="546" t="s">
        <v>85</v>
      </c>
      <c r="K1036" s="546">
        <v>210</v>
      </c>
      <c r="L1036" s="726" t="s">
        <v>54</v>
      </c>
      <c r="M1036" s="696">
        <v>0</v>
      </c>
      <c r="N1036" s="726">
        <v>9.1666670000000003</v>
      </c>
      <c r="O1036" s="696">
        <v>0</v>
      </c>
      <c r="P1036" s="726">
        <v>214.95918485220699</v>
      </c>
      <c r="Q1036" s="746">
        <f t="shared" si="144"/>
        <v>0</v>
      </c>
      <c r="R1036" s="606">
        <f t="shared" si="145"/>
        <v>1466021.6940019296</v>
      </c>
      <c r="S1036" s="747">
        <f t="shared" si="146"/>
        <v>1466021.6940019296</v>
      </c>
      <c r="T1036" s="746">
        <v>68.72</v>
      </c>
      <c r="U1036" s="606">
        <f t="shared" si="147"/>
        <v>468670.41704256</v>
      </c>
      <c r="V1036" s="747">
        <f t="shared" si="148"/>
        <v>997351.27695936966</v>
      </c>
      <c r="W1036" s="748">
        <v>55.7</v>
      </c>
      <c r="X1036" s="607">
        <f t="shared" si="149"/>
        <v>379874.01381360006</v>
      </c>
      <c r="Y1036" s="702">
        <f t="shared" si="150"/>
        <v>1086147.6801883294</v>
      </c>
      <c r="Z1036" s="748">
        <v>96.206580759134184</v>
      </c>
      <c r="AA1036" s="607">
        <f t="shared" si="151"/>
        <v>656128.90463652718</v>
      </c>
      <c r="AB1036" s="749">
        <f t="shared" si="152"/>
        <v>809892.78936540242</v>
      </c>
      <c r="AC1036" s="714"/>
    </row>
    <row r="1037" spans="1:29" x14ac:dyDescent="0.25">
      <c r="A1037" s="713"/>
      <c r="B1037" s="714" t="s">
        <v>1485</v>
      </c>
      <c r="C1037" s="676" t="s">
        <v>40</v>
      </c>
      <c r="D1037" s="676" t="s">
        <v>475</v>
      </c>
      <c r="E1037" s="680">
        <v>44958</v>
      </c>
      <c r="F1037" s="676">
        <v>672</v>
      </c>
      <c r="G1037" s="676" t="s">
        <v>59</v>
      </c>
      <c r="H1037" s="676" t="s">
        <v>3</v>
      </c>
      <c r="I1037" s="676" t="s">
        <v>44</v>
      </c>
      <c r="J1037" s="676" t="s">
        <v>85</v>
      </c>
      <c r="K1037" s="676">
        <v>210</v>
      </c>
      <c r="L1037" s="690" t="s">
        <v>54</v>
      </c>
      <c r="M1037" s="691">
        <v>0</v>
      </c>
      <c r="N1037" s="690">
        <v>9.1666670000000003</v>
      </c>
      <c r="O1037" s="691">
        <v>0</v>
      </c>
      <c r="P1037" s="690">
        <v>214.95918485220699</v>
      </c>
      <c r="Q1037" s="738">
        <f t="shared" si="144"/>
        <v>0</v>
      </c>
      <c r="R1037" s="677">
        <f t="shared" si="145"/>
        <v>1324148.6268404524</v>
      </c>
      <c r="S1037" s="739">
        <f t="shared" si="146"/>
        <v>1324148.6268404524</v>
      </c>
      <c r="T1037" s="738">
        <v>69.25</v>
      </c>
      <c r="U1037" s="677">
        <f t="shared" si="147"/>
        <v>426580.01551200001</v>
      </c>
      <c r="V1037" s="739">
        <f t="shared" si="148"/>
        <v>897568.61132845236</v>
      </c>
      <c r="W1037" s="740">
        <v>55.7</v>
      </c>
      <c r="X1037" s="678">
        <f t="shared" si="149"/>
        <v>343112.01247680001</v>
      </c>
      <c r="Y1037" s="700">
        <f t="shared" si="150"/>
        <v>981036.61436365242</v>
      </c>
      <c r="Z1037" s="740">
        <v>92.430648861364247</v>
      </c>
      <c r="AA1037" s="678">
        <f t="shared" si="151"/>
        <v>569372.81769046909</v>
      </c>
      <c r="AB1037" s="741">
        <f t="shared" si="152"/>
        <v>754775.80914998334</v>
      </c>
      <c r="AC1037" s="714"/>
    </row>
    <row r="1038" spans="1:29" x14ac:dyDescent="0.25">
      <c r="A1038" s="713"/>
      <c r="B1038" s="729" t="s">
        <v>1485</v>
      </c>
      <c r="C1038" s="545" t="s">
        <v>40</v>
      </c>
      <c r="D1038" s="545" t="s">
        <v>475</v>
      </c>
      <c r="E1038" s="681">
        <v>44986</v>
      </c>
      <c r="F1038" s="545">
        <v>744</v>
      </c>
      <c r="G1038" s="545" t="s">
        <v>59</v>
      </c>
      <c r="H1038" s="545" t="s">
        <v>3</v>
      </c>
      <c r="I1038" s="545" t="s">
        <v>44</v>
      </c>
      <c r="J1038" s="545" t="s">
        <v>85</v>
      </c>
      <c r="K1038" s="545">
        <v>210</v>
      </c>
      <c r="L1038" s="725" t="s">
        <v>54</v>
      </c>
      <c r="M1038" s="695">
        <v>0</v>
      </c>
      <c r="N1038" s="725">
        <v>9.1666670000000003</v>
      </c>
      <c r="O1038" s="695">
        <v>0</v>
      </c>
      <c r="P1038" s="725">
        <v>214.95918485220699</v>
      </c>
      <c r="Q1038" s="742">
        <f t="shared" si="144"/>
        <v>0</v>
      </c>
      <c r="R1038" s="603">
        <f t="shared" si="145"/>
        <v>1466021.6940019296</v>
      </c>
      <c r="S1038" s="743">
        <f t="shared" si="146"/>
        <v>1466021.6940019296</v>
      </c>
      <c r="T1038" s="742">
        <v>69.3</v>
      </c>
      <c r="U1038" s="603">
        <f t="shared" si="147"/>
        <v>472626.01718640001</v>
      </c>
      <c r="V1038" s="743">
        <f t="shared" si="148"/>
        <v>993395.67681552959</v>
      </c>
      <c r="W1038" s="744">
        <v>55.7</v>
      </c>
      <c r="X1038" s="604">
        <f t="shared" si="149"/>
        <v>379874.01381360006</v>
      </c>
      <c r="Y1038" s="701">
        <f t="shared" si="150"/>
        <v>1086147.6801883294</v>
      </c>
      <c r="Z1038" s="744">
        <v>89.053218420260009</v>
      </c>
      <c r="AA1038" s="604">
        <f t="shared" si="151"/>
        <v>607342.97171137144</v>
      </c>
      <c r="AB1038" s="745">
        <f t="shared" si="152"/>
        <v>858678.72229055816</v>
      </c>
      <c r="AC1038" s="714"/>
    </row>
    <row r="1039" spans="1:29" x14ac:dyDescent="0.25">
      <c r="A1039" s="713"/>
      <c r="B1039" s="730" t="s">
        <v>1486</v>
      </c>
      <c r="C1039" s="546" t="s">
        <v>40</v>
      </c>
      <c r="D1039" s="546" t="s">
        <v>475</v>
      </c>
      <c r="E1039" s="682">
        <v>45017</v>
      </c>
      <c r="F1039" s="546">
        <v>720</v>
      </c>
      <c r="G1039" s="546" t="s">
        <v>58</v>
      </c>
      <c r="H1039" s="546" t="s">
        <v>3</v>
      </c>
      <c r="I1039" s="546" t="s">
        <v>44</v>
      </c>
      <c r="J1039" s="546" t="s">
        <v>84</v>
      </c>
      <c r="K1039" s="546">
        <v>212</v>
      </c>
      <c r="L1039" s="726" t="s">
        <v>54</v>
      </c>
      <c r="M1039" s="696">
        <v>3</v>
      </c>
      <c r="N1039" s="726">
        <v>0</v>
      </c>
      <c r="O1039" s="696">
        <v>217.00641518413278</v>
      </c>
      <c r="P1039" s="726">
        <v>0</v>
      </c>
      <c r="Q1039" s="746">
        <f t="shared" si="144"/>
        <v>468733.85679772682</v>
      </c>
      <c r="R1039" s="606">
        <f t="shared" si="145"/>
        <v>0</v>
      </c>
      <c r="S1039" s="747">
        <f t="shared" si="146"/>
        <v>-468733.85679772682</v>
      </c>
      <c r="T1039" s="746">
        <v>69.8</v>
      </c>
      <c r="U1039" s="606">
        <f t="shared" si="147"/>
        <v>-150768</v>
      </c>
      <c r="V1039" s="747">
        <f t="shared" si="148"/>
        <v>-317965.85679772682</v>
      </c>
      <c r="W1039" s="748">
        <v>55.7</v>
      </c>
      <c r="X1039" s="607">
        <f t="shared" si="149"/>
        <v>-120312</v>
      </c>
      <c r="Y1039" s="702">
        <f t="shared" si="150"/>
        <v>-348421.85679772682</v>
      </c>
      <c r="Z1039" s="748">
        <v>85.732008718771311</v>
      </c>
      <c r="AA1039" s="607">
        <f t="shared" si="151"/>
        <v>-185181.13883254604</v>
      </c>
      <c r="AB1039" s="749">
        <f t="shared" si="152"/>
        <v>-283552.71796518075</v>
      </c>
      <c r="AC1039" s="714"/>
    </row>
    <row r="1040" spans="1:29" x14ac:dyDescent="0.25">
      <c r="A1040" s="713"/>
      <c r="B1040" s="714" t="s">
        <v>1486</v>
      </c>
      <c r="C1040" s="676" t="s">
        <v>40</v>
      </c>
      <c r="D1040" s="676" t="s">
        <v>475</v>
      </c>
      <c r="E1040" s="680">
        <v>45047</v>
      </c>
      <c r="F1040" s="676">
        <v>744</v>
      </c>
      <c r="G1040" s="676" t="s">
        <v>58</v>
      </c>
      <c r="H1040" s="676" t="s">
        <v>3</v>
      </c>
      <c r="I1040" s="676" t="s">
        <v>44</v>
      </c>
      <c r="J1040" s="676" t="s">
        <v>84</v>
      </c>
      <c r="K1040" s="676">
        <v>212</v>
      </c>
      <c r="L1040" s="690" t="s">
        <v>54</v>
      </c>
      <c r="M1040" s="691">
        <v>3</v>
      </c>
      <c r="N1040" s="690">
        <v>0</v>
      </c>
      <c r="O1040" s="691">
        <v>217.00641518413278</v>
      </c>
      <c r="P1040" s="690">
        <v>0</v>
      </c>
      <c r="Q1040" s="738">
        <f t="shared" si="144"/>
        <v>484358.31869098434</v>
      </c>
      <c r="R1040" s="677">
        <f t="shared" si="145"/>
        <v>0</v>
      </c>
      <c r="S1040" s="739">
        <f t="shared" si="146"/>
        <v>-484358.31869098434</v>
      </c>
      <c r="T1040" s="738">
        <v>70.2</v>
      </c>
      <c r="U1040" s="677">
        <f t="shared" si="147"/>
        <v>-156686.39999999999</v>
      </c>
      <c r="V1040" s="739">
        <f t="shared" si="148"/>
        <v>-327671.91869098437</v>
      </c>
      <c r="W1040" s="740">
        <v>55.7</v>
      </c>
      <c r="X1040" s="678">
        <f t="shared" si="149"/>
        <v>-124322.40000000001</v>
      </c>
      <c r="Y1040" s="700">
        <f t="shared" si="150"/>
        <v>-360035.91869098431</v>
      </c>
      <c r="Z1040" s="740">
        <v>86.223309628334476</v>
      </c>
      <c r="AA1040" s="678">
        <f t="shared" si="151"/>
        <v>-192450.42709044256</v>
      </c>
      <c r="AB1040" s="741">
        <f t="shared" si="152"/>
        <v>-291907.89160054177</v>
      </c>
      <c r="AC1040" s="714"/>
    </row>
    <row r="1041" spans="1:29" x14ac:dyDescent="0.25">
      <c r="A1041" s="713"/>
      <c r="B1041" s="714" t="s">
        <v>1486</v>
      </c>
      <c r="C1041" s="676" t="s">
        <v>40</v>
      </c>
      <c r="D1041" s="676" t="s">
        <v>475</v>
      </c>
      <c r="E1041" s="680">
        <v>45078</v>
      </c>
      <c r="F1041" s="676">
        <v>720</v>
      </c>
      <c r="G1041" s="676" t="s">
        <v>58</v>
      </c>
      <c r="H1041" s="676" t="s">
        <v>3</v>
      </c>
      <c r="I1041" s="676" t="s">
        <v>44</v>
      </c>
      <c r="J1041" s="676" t="s">
        <v>84</v>
      </c>
      <c r="K1041" s="676">
        <v>212</v>
      </c>
      <c r="L1041" s="690" t="s">
        <v>54</v>
      </c>
      <c r="M1041" s="691">
        <v>3</v>
      </c>
      <c r="N1041" s="690">
        <v>0</v>
      </c>
      <c r="O1041" s="691">
        <v>217.00641518413278</v>
      </c>
      <c r="P1041" s="690">
        <v>0</v>
      </c>
      <c r="Q1041" s="738">
        <f t="shared" si="144"/>
        <v>468733.85679772682</v>
      </c>
      <c r="R1041" s="677">
        <f t="shared" si="145"/>
        <v>0</v>
      </c>
      <c r="S1041" s="739">
        <f t="shared" si="146"/>
        <v>-468733.85679772682</v>
      </c>
      <c r="T1041" s="738">
        <v>72.400000000000006</v>
      </c>
      <c r="U1041" s="677">
        <f t="shared" si="147"/>
        <v>-156384</v>
      </c>
      <c r="V1041" s="739">
        <f t="shared" si="148"/>
        <v>-312349.85679772682</v>
      </c>
      <c r="W1041" s="740">
        <v>55.874535369068141</v>
      </c>
      <c r="X1041" s="678">
        <f t="shared" si="149"/>
        <v>-120688.99639718719</v>
      </c>
      <c r="Y1041" s="700">
        <f t="shared" si="150"/>
        <v>-348044.86040053965</v>
      </c>
      <c r="Z1041" s="740">
        <v>88.925464630931856</v>
      </c>
      <c r="AA1041" s="678">
        <f t="shared" si="151"/>
        <v>-192079.00360281282</v>
      </c>
      <c r="AB1041" s="741">
        <f t="shared" si="152"/>
        <v>-276654.853194914</v>
      </c>
      <c r="AC1041" s="714"/>
    </row>
    <row r="1042" spans="1:29" x14ac:dyDescent="0.25">
      <c r="A1042" s="713"/>
      <c r="B1042" s="714" t="s">
        <v>1486</v>
      </c>
      <c r="C1042" s="676" t="s">
        <v>40</v>
      </c>
      <c r="D1042" s="676" t="s">
        <v>475</v>
      </c>
      <c r="E1042" s="680">
        <v>45108</v>
      </c>
      <c r="F1042" s="676">
        <v>744</v>
      </c>
      <c r="G1042" s="676" t="s">
        <v>58</v>
      </c>
      <c r="H1042" s="676" t="s">
        <v>3</v>
      </c>
      <c r="I1042" s="676" t="s">
        <v>44</v>
      </c>
      <c r="J1042" s="676" t="s">
        <v>84</v>
      </c>
      <c r="K1042" s="676">
        <v>212</v>
      </c>
      <c r="L1042" s="690" t="s">
        <v>54</v>
      </c>
      <c r="M1042" s="691">
        <v>3</v>
      </c>
      <c r="N1042" s="690">
        <v>0</v>
      </c>
      <c r="O1042" s="691">
        <v>217.00641518413278</v>
      </c>
      <c r="P1042" s="690">
        <v>0</v>
      </c>
      <c r="Q1042" s="738">
        <f t="shared" si="144"/>
        <v>484358.31869098434</v>
      </c>
      <c r="R1042" s="677">
        <f t="shared" si="145"/>
        <v>0</v>
      </c>
      <c r="S1042" s="739">
        <f t="shared" si="146"/>
        <v>-484358.31869098434</v>
      </c>
      <c r="T1042" s="738">
        <v>77.150000000000006</v>
      </c>
      <c r="U1042" s="677">
        <f t="shared" si="147"/>
        <v>-172198.80000000002</v>
      </c>
      <c r="V1042" s="739">
        <f t="shared" si="148"/>
        <v>-312159.51869098435</v>
      </c>
      <c r="W1042" s="740">
        <v>59.54033706800562</v>
      </c>
      <c r="X1042" s="678">
        <f t="shared" si="149"/>
        <v>-132894.03233578854</v>
      </c>
      <c r="Y1042" s="700">
        <f t="shared" si="150"/>
        <v>-351464.2863551958</v>
      </c>
      <c r="Z1042" s="740">
        <v>94.759662931994384</v>
      </c>
      <c r="AA1042" s="678">
        <f t="shared" si="151"/>
        <v>-211503.56766421147</v>
      </c>
      <c r="AB1042" s="741">
        <f t="shared" si="152"/>
        <v>-272854.75102677289</v>
      </c>
      <c r="AC1042" s="714"/>
    </row>
    <row r="1043" spans="1:29" x14ac:dyDescent="0.25">
      <c r="A1043" s="713"/>
      <c r="B1043" s="714" t="s">
        <v>1486</v>
      </c>
      <c r="C1043" s="676" t="s">
        <v>40</v>
      </c>
      <c r="D1043" s="676" t="s">
        <v>475</v>
      </c>
      <c r="E1043" s="680">
        <v>45139</v>
      </c>
      <c r="F1043" s="676">
        <v>744</v>
      </c>
      <c r="G1043" s="676" t="s">
        <v>58</v>
      </c>
      <c r="H1043" s="676" t="s">
        <v>3</v>
      </c>
      <c r="I1043" s="676" t="s">
        <v>44</v>
      </c>
      <c r="J1043" s="676" t="s">
        <v>84</v>
      </c>
      <c r="K1043" s="676">
        <v>212</v>
      </c>
      <c r="L1043" s="690" t="s">
        <v>54</v>
      </c>
      <c r="M1043" s="691">
        <v>3</v>
      </c>
      <c r="N1043" s="690">
        <v>0</v>
      </c>
      <c r="O1043" s="691">
        <v>217.00641518413278</v>
      </c>
      <c r="P1043" s="690">
        <v>0</v>
      </c>
      <c r="Q1043" s="738">
        <f t="shared" si="144"/>
        <v>484358.31869098434</v>
      </c>
      <c r="R1043" s="677">
        <f t="shared" si="145"/>
        <v>0</v>
      </c>
      <c r="S1043" s="739">
        <f t="shared" si="146"/>
        <v>-484358.31869098434</v>
      </c>
      <c r="T1043" s="738">
        <v>77.150000000000006</v>
      </c>
      <c r="U1043" s="677">
        <f t="shared" si="147"/>
        <v>-172198.80000000002</v>
      </c>
      <c r="V1043" s="739">
        <f t="shared" si="148"/>
        <v>-312159.51869098435</v>
      </c>
      <c r="W1043" s="740">
        <v>59.54033706800562</v>
      </c>
      <c r="X1043" s="678">
        <f t="shared" si="149"/>
        <v>-132894.03233578854</v>
      </c>
      <c r="Y1043" s="700">
        <f t="shared" si="150"/>
        <v>-351464.2863551958</v>
      </c>
      <c r="Z1043" s="740">
        <v>94.759662931994384</v>
      </c>
      <c r="AA1043" s="678">
        <f t="shared" si="151"/>
        <v>-211503.56766421147</v>
      </c>
      <c r="AB1043" s="741">
        <f t="shared" si="152"/>
        <v>-272854.75102677289</v>
      </c>
      <c r="AC1043" s="714"/>
    </row>
    <row r="1044" spans="1:29" x14ac:dyDescent="0.25">
      <c r="A1044" s="713"/>
      <c r="B1044" s="714" t="s">
        <v>1486</v>
      </c>
      <c r="C1044" s="676" t="s">
        <v>40</v>
      </c>
      <c r="D1044" s="676" t="s">
        <v>475</v>
      </c>
      <c r="E1044" s="680">
        <v>45170</v>
      </c>
      <c r="F1044" s="676">
        <v>720</v>
      </c>
      <c r="G1044" s="676" t="s">
        <v>58</v>
      </c>
      <c r="H1044" s="676" t="s">
        <v>3</v>
      </c>
      <c r="I1044" s="676" t="s">
        <v>44</v>
      </c>
      <c r="J1044" s="676" t="s">
        <v>84</v>
      </c>
      <c r="K1044" s="676">
        <v>212</v>
      </c>
      <c r="L1044" s="690" t="s">
        <v>54</v>
      </c>
      <c r="M1044" s="691">
        <v>3</v>
      </c>
      <c r="N1044" s="690">
        <v>0</v>
      </c>
      <c r="O1044" s="691">
        <v>217.00641518413278</v>
      </c>
      <c r="P1044" s="690">
        <v>0</v>
      </c>
      <c r="Q1044" s="738">
        <f t="shared" si="144"/>
        <v>468733.85679772682</v>
      </c>
      <c r="R1044" s="677">
        <f t="shared" si="145"/>
        <v>0</v>
      </c>
      <c r="S1044" s="739">
        <f t="shared" si="146"/>
        <v>-468733.85679772682</v>
      </c>
      <c r="T1044" s="738">
        <v>77.150000000000006</v>
      </c>
      <c r="U1044" s="677">
        <f t="shared" si="147"/>
        <v>-166644</v>
      </c>
      <c r="V1044" s="739">
        <f t="shared" si="148"/>
        <v>-302089.85679772682</v>
      </c>
      <c r="W1044" s="740">
        <v>59.54033706800562</v>
      </c>
      <c r="X1044" s="678">
        <f t="shared" si="149"/>
        <v>-128607.12806689214</v>
      </c>
      <c r="Y1044" s="700">
        <f t="shared" si="150"/>
        <v>-340126.72873083467</v>
      </c>
      <c r="Z1044" s="740">
        <v>94.759662931994384</v>
      </c>
      <c r="AA1044" s="678">
        <f t="shared" si="151"/>
        <v>-204680.87193310788</v>
      </c>
      <c r="AB1044" s="741">
        <f t="shared" si="152"/>
        <v>-264052.98486461898</v>
      </c>
      <c r="AC1044" s="714"/>
    </row>
    <row r="1045" spans="1:29" x14ac:dyDescent="0.25">
      <c r="A1045" s="713"/>
      <c r="B1045" s="714" t="s">
        <v>1486</v>
      </c>
      <c r="C1045" s="676" t="s">
        <v>40</v>
      </c>
      <c r="D1045" s="676" t="s">
        <v>475</v>
      </c>
      <c r="E1045" s="680">
        <v>45200</v>
      </c>
      <c r="F1045" s="676">
        <v>744</v>
      </c>
      <c r="G1045" s="676" t="s">
        <v>58</v>
      </c>
      <c r="H1045" s="676" t="s">
        <v>3</v>
      </c>
      <c r="I1045" s="676" t="s">
        <v>44</v>
      </c>
      <c r="J1045" s="676" t="s">
        <v>84</v>
      </c>
      <c r="K1045" s="676">
        <v>212</v>
      </c>
      <c r="L1045" s="690" t="s">
        <v>54</v>
      </c>
      <c r="M1045" s="691">
        <v>3</v>
      </c>
      <c r="N1045" s="690">
        <v>0</v>
      </c>
      <c r="O1045" s="691">
        <v>217.00641518413278</v>
      </c>
      <c r="P1045" s="690">
        <v>0</v>
      </c>
      <c r="Q1045" s="738">
        <f t="shared" si="144"/>
        <v>484358.31869098434</v>
      </c>
      <c r="R1045" s="677">
        <f t="shared" si="145"/>
        <v>0</v>
      </c>
      <c r="S1045" s="739">
        <f t="shared" si="146"/>
        <v>-484358.31869098434</v>
      </c>
      <c r="T1045" s="738">
        <v>80.45</v>
      </c>
      <c r="U1045" s="677">
        <f t="shared" si="147"/>
        <v>-179564.4</v>
      </c>
      <c r="V1045" s="739">
        <f t="shared" si="148"/>
        <v>-304793.91869098437</v>
      </c>
      <c r="W1045" s="740">
        <v>62.087104564109552</v>
      </c>
      <c r="X1045" s="678">
        <f t="shared" si="149"/>
        <v>-138578.41738709252</v>
      </c>
      <c r="Y1045" s="700">
        <f t="shared" si="150"/>
        <v>-345779.90130389179</v>
      </c>
      <c r="Z1045" s="740">
        <v>98.812895435890439</v>
      </c>
      <c r="AA1045" s="678">
        <f t="shared" si="151"/>
        <v>-220550.38261290747</v>
      </c>
      <c r="AB1045" s="741">
        <f t="shared" si="152"/>
        <v>-263807.93607807683</v>
      </c>
      <c r="AC1045" s="714"/>
    </row>
    <row r="1046" spans="1:29" x14ac:dyDescent="0.25">
      <c r="A1046" s="713"/>
      <c r="B1046" s="714" t="s">
        <v>1486</v>
      </c>
      <c r="C1046" s="676" t="s">
        <v>40</v>
      </c>
      <c r="D1046" s="676" t="s">
        <v>475</v>
      </c>
      <c r="E1046" s="680">
        <v>45231</v>
      </c>
      <c r="F1046" s="676">
        <v>720</v>
      </c>
      <c r="G1046" s="676" t="s">
        <v>58</v>
      </c>
      <c r="H1046" s="676" t="s">
        <v>3</v>
      </c>
      <c r="I1046" s="676" t="s">
        <v>44</v>
      </c>
      <c r="J1046" s="676" t="s">
        <v>84</v>
      </c>
      <c r="K1046" s="676">
        <v>212</v>
      </c>
      <c r="L1046" s="690" t="s">
        <v>54</v>
      </c>
      <c r="M1046" s="691">
        <v>3</v>
      </c>
      <c r="N1046" s="690">
        <v>0</v>
      </c>
      <c r="O1046" s="691">
        <v>217.00641518413278</v>
      </c>
      <c r="P1046" s="690">
        <v>0</v>
      </c>
      <c r="Q1046" s="738">
        <f t="shared" si="144"/>
        <v>468733.85679772682</v>
      </c>
      <c r="R1046" s="677">
        <f t="shared" si="145"/>
        <v>0</v>
      </c>
      <c r="S1046" s="739">
        <f t="shared" si="146"/>
        <v>-468733.85679772682</v>
      </c>
      <c r="T1046" s="738">
        <v>80.45</v>
      </c>
      <c r="U1046" s="677">
        <f t="shared" si="147"/>
        <v>-173772</v>
      </c>
      <c r="V1046" s="739">
        <f t="shared" si="148"/>
        <v>-294961.85679772682</v>
      </c>
      <c r="W1046" s="740">
        <v>62.087104564109552</v>
      </c>
      <c r="X1046" s="678">
        <f t="shared" si="149"/>
        <v>-134108.14585847664</v>
      </c>
      <c r="Y1046" s="700">
        <f t="shared" si="150"/>
        <v>-334625.71093925019</v>
      </c>
      <c r="Z1046" s="740">
        <v>98.812895435890439</v>
      </c>
      <c r="AA1046" s="678">
        <f t="shared" si="151"/>
        <v>-213435.85414152336</v>
      </c>
      <c r="AB1046" s="741">
        <f t="shared" si="152"/>
        <v>-255298.00265620346</v>
      </c>
      <c r="AC1046" s="714"/>
    </row>
    <row r="1047" spans="1:29" x14ac:dyDescent="0.25">
      <c r="A1047" s="713"/>
      <c r="B1047" s="729" t="s">
        <v>1486</v>
      </c>
      <c r="C1047" s="545" t="s">
        <v>40</v>
      </c>
      <c r="D1047" s="545" t="s">
        <v>475</v>
      </c>
      <c r="E1047" s="681">
        <v>45261</v>
      </c>
      <c r="F1047" s="545">
        <v>744</v>
      </c>
      <c r="G1047" s="545" t="s">
        <v>58</v>
      </c>
      <c r="H1047" s="545" t="s">
        <v>3</v>
      </c>
      <c r="I1047" s="545" t="s">
        <v>44</v>
      </c>
      <c r="J1047" s="545" t="s">
        <v>84</v>
      </c>
      <c r="K1047" s="545">
        <v>212</v>
      </c>
      <c r="L1047" s="725" t="s">
        <v>54</v>
      </c>
      <c r="M1047" s="695">
        <v>3</v>
      </c>
      <c r="N1047" s="725">
        <v>0</v>
      </c>
      <c r="O1047" s="695">
        <v>217.00641518413278</v>
      </c>
      <c r="P1047" s="725">
        <v>0</v>
      </c>
      <c r="Q1047" s="742">
        <f t="shared" si="144"/>
        <v>484358.31869098434</v>
      </c>
      <c r="R1047" s="603">
        <f t="shared" si="145"/>
        <v>0</v>
      </c>
      <c r="S1047" s="743">
        <f t="shared" si="146"/>
        <v>-484358.31869098434</v>
      </c>
      <c r="T1047" s="742">
        <v>80.45</v>
      </c>
      <c r="U1047" s="603">
        <f t="shared" si="147"/>
        <v>-179564.4</v>
      </c>
      <c r="V1047" s="743">
        <f t="shared" si="148"/>
        <v>-304793.91869098437</v>
      </c>
      <c r="W1047" s="744">
        <v>62.087104564109552</v>
      </c>
      <c r="X1047" s="604">
        <f t="shared" si="149"/>
        <v>-138578.41738709252</v>
      </c>
      <c r="Y1047" s="701">
        <f t="shared" si="150"/>
        <v>-345779.90130389179</v>
      </c>
      <c r="Z1047" s="744">
        <v>98.812895435890439</v>
      </c>
      <c r="AA1047" s="604">
        <f t="shared" si="151"/>
        <v>-220550.38261290747</v>
      </c>
      <c r="AB1047" s="745">
        <f t="shared" si="152"/>
        <v>-263807.93607807683</v>
      </c>
      <c r="AC1047" s="714"/>
    </row>
    <row r="1048" spans="1:29" x14ac:dyDescent="0.25">
      <c r="A1048" s="713"/>
      <c r="B1048" s="731" t="s">
        <v>1497</v>
      </c>
      <c r="C1048" s="547" t="s">
        <v>40</v>
      </c>
      <c r="D1048" s="547" t="s">
        <v>502</v>
      </c>
      <c r="E1048" s="683">
        <v>44621</v>
      </c>
      <c r="F1048" s="547">
        <v>744</v>
      </c>
      <c r="G1048" s="547" t="s">
        <v>59</v>
      </c>
      <c r="H1048" s="547" t="s">
        <v>6</v>
      </c>
      <c r="I1048" s="547" t="s">
        <v>44</v>
      </c>
      <c r="J1048" s="547" t="s">
        <v>85</v>
      </c>
      <c r="K1048" s="547">
        <v>198</v>
      </c>
      <c r="L1048" s="727" t="s">
        <v>92</v>
      </c>
      <c r="M1048" s="697">
        <v>0</v>
      </c>
      <c r="N1048" s="727">
        <v>1</v>
      </c>
      <c r="O1048" s="697">
        <v>0</v>
      </c>
      <c r="P1048" s="727">
        <v>253.7</v>
      </c>
      <c r="Q1048" s="750">
        <f t="shared" si="144"/>
        <v>0</v>
      </c>
      <c r="R1048" s="608">
        <f t="shared" si="145"/>
        <v>188752.8</v>
      </c>
      <c r="S1048" s="751">
        <f t="shared" si="146"/>
        <v>188752.8</v>
      </c>
      <c r="T1048" s="750">
        <v>55.7</v>
      </c>
      <c r="U1048" s="608">
        <f t="shared" si="147"/>
        <v>41440.800000000003</v>
      </c>
      <c r="V1048" s="751">
        <f t="shared" si="148"/>
        <v>147312</v>
      </c>
      <c r="W1048" s="752">
        <v>55.7</v>
      </c>
      <c r="X1048" s="609">
        <f t="shared" si="149"/>
        <v>41440.800000000003</v>
      </c>
      <c r="Y1048" s="703">
        <f t="shared" si="150"/>
        <v>147312</v>
      </c>
      <c r="Z1048" s="752">
        <v>55.7</v>
      </c>
      <c r="AA1048" s="609">
        <f t="shared" si="151"/>
        <v>41440.800000000003</v>
      </c>
      <c r="AB1048" s="753">
        <f t="shared" si="152"/>
        <v>147312</v>
      </c>
      <c r="AC1048" s="714"/>
    </row>
    <row r="1049" spans="1:29" x14ac:dyDescent="0.25">
      <c r="A1049" s="713"/>
      <c r="B1049" s="731" t="s">
        <v>1499</v>
      </c>
      <c r="C1049" s="547" t="s">
        <v>40</v>
      </c>
      <c r="D1049" s="547" t="s">
        <v>472</v>
      </c>
      <c r="E1049" s="683">
        <v>44621</v>
      </c>
      <c r="F1049" s="547">
        <v>744</v>
      </c>
      <c r="G1049" s="547" t="s">
        <v>59</v>
      </c>
      <c r="H1049" s="547" t="s">
        <v>6</v>
      </c>
      <c r="I1049" s="547" t="s">
        <v>44</v>
      </c>
      <c r="J1049" s="547" t="s">
        <v>85</v>
      </c>
      <c r="K1049" s="547">
        <v>198</v>
      </c>
      <c r="L1049" s="727" t="s">
        <v>92</v>
      </c>
      <c r="M1049" s="697">
        <v>0</v>
      </c>
      <c r="N1049" s="727">
        <v>3</v>
      </c>
      <c r="O1049" s="697">
        <v>0</v>
      </c>
      <c r="P1049" s="727">
        <v>253.7</v>
      </c>
      <c r="Q1049" s="750">
        <f t="shared" si="144"/>
        <v>0</v>
      </c>
      <c r="R1049" s="608">
        <f t="shared" si="145"/>
        <v>566258.4</v>
      </c>
      <c r="S1049" s="751">
        <f t="shared" si="146"/>
        <v>566258.4</v>
      </c>
      <c r="T1049" s="750">
        <v>55.7</v>
      </c>
      <c r="U1049" s="608">
        <f t="shared" si="147"/>
        <v>124322.40000000001</v>
      </c>
      <c r="V1049" s="751">
        <f t="shared" si="148"/>
        <v>441936</v>
      </c>
      <c r="W1049" s="752">
        <v>55.7</v>
      </c>
      <c r="X1049" s="609">
        <f t="shared" si="149"/>
        <v>124322.40000000001</v>
      </c>
      <c r="Y1049" s="703">
        <f t="shared" si="150"/>
        <v>441936</v>
      </c>
      <c r="Z1049" s="752">
        <v>55.7</v>
      </c>
      <c r="AA1049" s="609">
        <f t="shared" si="151"/>
        <v>124322.40000000001</v>
      </c>
      <c r="AB1049" s="753">
        <f t="shared" si="152"/>
        <v>441936</v>
      </c>
      <c r="AC1049" s="714"/>
    </row>
    <row r="1050" spans="1:29" x14ac:dyDescent="0.25">
      <c r="A1050" s="713"/>
      <c r="B1050" s="731" t="s">
        <v>1501</v>
      </c>
      <c r="C1050" s="547" t="s">
        <v>40</v>
      </c>
      <c r="D1050" s="547" t="s">
        <v>404</v>
      </c>
      <c r="E1050" s="683">
        <v>44621</v>
      </c>
      <c r="F1050" s="547">
        <v>744</v>
      </c>
      <c r="G1050" s="547" t="s">
        <v>59</v>
      </c>
      <c r="H1050" s="547" t="s">
        <v>6</v>
      </c>
      <c r="I1050" s="547" t="s">
        <v>44</v>
      </c>
      <c r="J1050" s="547" t="s">
        <v>85</v>
      </c>
      <c r="K1050" s="547">
        <v>198</v>
      </c>
      <c r="L1050" s="727" t="s">
        <v>92</v>
      </c>
      <c r="M1050" s="697">
        <v>0</v>
      </c>
      <c r="N1050" s="727">
        <v>1</v>
      </c>
      <c r="O1050" s="697">
        <v>0</v>
      </c>
      <c r="P1050" s="727">
        <v>253.7</v>
      </c>
      <c r="Q1050" s="750">
        <f t="shared" si="144"/>
        <v>0</v>
      </c>
      <c r="R1050" s="608">
        <f t="shared" si="145"/>
        <v>188752.8</v>
      </c>
      <c r="S1050" s="751">
        <f t="shared" si="146"/>
        <v>188752.8</v>
      </c>
      <c r="T1050" s="750">
        <v>55.7</v>
      </c>
      <c r="U1050" s="608">
        <f t="shared" si="147"/>
        <v>41440.800000000003</v>
      </c>
      <c r="V1050" s="751">
        <f t="shared" si="148"/>
        <v>147312</v>
      </c>
      <c r="W1050" s="752">
        <v>55.7</v>
      </c>
      <c r="X1050" s="609">
        <f t="shared" si="149"/>
        <v>41440.800000000003</v>
      </c>
      <c r="Y1050" s="703">
        <f t="shared" si="150"/>
        <v>147312</v>
      </c>
      <c r="Z1050" s="752">
        <v>55.7</v>
      </c>
      <c r="AA1050" s="609">
        <f t="shared" si="151"/>
        <v>41440.800000000003</v>
      </c>
      <c r="AB1050" s="753">
        <f t="shared" si="152"/>
        <v>147312</v>
      </c>
      <c r="AC1050" s="714"/>
    </row>
    <row r="1051" spans="1:29" x14ac:dyDescent="0.25">
      <c r="A1051" s="713"/>
      <c r="B1051" s="731" t="s">
        <v>1503</v>
      </c>
      <c r="C1051" s="547" t="s">
        <v>40</v>
      </c>
      <c r="D1051" s="547" t="s">
        <v>476</v>
      </c>
      <c r="E1051" s="683">
        <v>44621</v>
      </c>
      <c r="F1051" s="547">
        <v>744</v>
      </c>
      <c r="G1051" s="547" t="s">
        <v>59</v>
      </c>
      <c r="H1051" s="547" t="s">
        <v>6</v>
      </c>
      <c r="I1051" s="547" t="s">
        <v>44</v>
      </c>
      <c r="J1051" s="547" t="s">
        <v>85</v>
      </c>
      <c r="K1051" s="547">
        <v>198</v>
      </c>
      <c r="L1051" s="727" t="s">
        <v>92</v>
      </c>
      <c r="M1051" s="697">
        <v>0</v>
      </c>
      <c r="N1051" s="727">
        <v>1</v>
      </c>
      <c r="O1051" s="697">
        <v>0</v>
      </c>
      <c r="P1051" s="727">
        <v>253.7</v>
      </c>
      <c r="Q1051" s="750">
        <f t="shared" si="144"/>
        <v>0</v>
      </c>
      <c r="R1051" s="608">
        <f t="shared" si="145"/>
        <v>188752.8</v>
      </c>
      <c r="S1051" s="751">
        <f t="shared" si="146"/>
        <v>188752.8</v>
      </c>
      <c r="T1051" s="750">
        <v>55.7</v>
      </c>
      <c r="U1051" s="608">
        <f t="shared" si="147"/>
        <v>41440.800000000003</v>
      </c>
      <c r="V1051" s="751">
        <f t="shared" si="148"/>
        <v>147312</v>
      </c>
      <c r="W1051" s="752">
        <v>55.7</v>
      </c>
      <c r="X1051" s="609">
        <f t="shared" si="149"/>
        <v>41440.800000000003</v>
      </c>
      <c r="Y1051" s="703">
        <f t="shared" si="150"/>
        <v>147312</v>
      </c>
      <c r="Z1051" s="752">
        <v>55.7</v>
      </c>
      <c r="AA1051" s="609">
        <f t="shared" si="151"/>
        <v>41440.800000000003</v>
      </c>
      <c r="AB1051" s="753">
        <f t="shared" si="152"/>
        <v>147312</v>
      </c>
      <c r="AC1051" s="714"/>
    </row>
    <row r="1052" spans="1:29" x14ac:dyDescent="0.25">
      <c r="A1052" s="713"/>
      <c r="B1052" s="731" t="s">
        <v>1505</v>
      </c>
      <c r="C1052" s="547" t="s">
        <v>40</v>
      </c>
      <c r="D1052" s="547" t="s">
        <v>469</v>
      </c>
      <c r="E1052" s="683">
        <v>44621</v>
      </c>
      <c r="F1052" s="547">
        <v>744</v>
      </c>
      <c r="G1052" s="547" t="s">
        <v>59</v>
      </c>
      <c r="H1052" s="547" t="s">
        <v>6</v>
      </c>
      <c r="I1052" s="547" t="s">
        <v>44</v>
      </c>
      <c r="J1052" s="547" t="s">
        <v>85</v>
      </c>
      <c r="K1052" s="547">
        <v>198</v>
      </c>
      <c r="L1052" s="727" t="s">
        <v>92</v>
      </c>
      <c r="M1052" s="697">
        <v>0</v>
      </c>
      <c r="N1052" s="727">
        <v>1</v>
      </c>
      <c r="O1052" s="697">
        <v>0</v>
      </c>
      <c r="P1052" s="727">
        <v>253.7</v>
      </c>
      <c r="Q1052" s="750">
        <f t="shared" si="144"/>
        <v>0</v>
      </c>
      <c r="R1052" s="608">
        <f t="shared" si="145"/>
        <v>188752.8</v>
      </c>
      <c r="S1052" s="751">
        <f t="shared" si="146"/>
        <v>188752.8</v>
      </c>
      <c r="T1052" s="750">
        <v>55.7</v>
      </c>
      <c r="U1052" s="608">
        <f t="shared" si="147"/>
        <v>41440.800000000003</v>
      </c>
      <c r="V1052" s="751">
        <f t="shared" si="148"/>
        <v>147312</v>
      </c>
      <c r="W1052" s="752">
        <v>55.7</v>
      </c>
      <c r="X1052" s="609">
        <f t="shared" si="149"/>
        <v>41440.800000000003</v>
      </c>
      <c r="Y1052" s="703">
        <f t="shared" si="150"/>
        <v>147312</v>
      </c>
      <c r="Z1052" s="752">
        <v>55.7</v>
      </c>
      <c r="AA1052" s="609">
        <f t="shared" si="151"/>
        <v>41440.800000000003</v>
      </c>
      <c r="AB1052" s="753">
        <f t="shared" si="152"/>
        <v>147312</v>
      </c>
      <c r="AC1052" s="714"/>
    </row>
    <row r="1053" spans="1:29" x14ac:dyDescent="0.25">
      <c r="A1053" s="713"/>
      <c r="B1053" s="731" t="s">
        <v>1507</v>
      </c>
      <c r="C1053" s="547" t="s">
        <v>40</v>
      </c>
      <c r="D1053" s="547" t="s">
        <v>1476</v>
      </c>
      <c r="E1053" s="683">
        <v>44621</v>
      </c>
      <c r="F1053" s="547">
        <v>744</v>
      </c>
      <c r="G1053" s="547" t="s">
        <v>59</v>
      </c>
      <c r="H1053" s="547" t="s">
        <v>5</v>
      </c>
      <c r="I1053" s="547" t="s">
        <v>44</v>
      </c>
      <c r="J1053" s="547" t="s">
        <v>85</v>
      </c>
      <c r="K1053" s="547">
        <v>41</v>
      </c>
      <c r="L1053" s="727" t="s">
        <v>92</v>
      </c>
      <c r="M1053" s="697">
        <v>0</v>
      </c>
      <c r="N1053" s="727">
        <v>1</v>
      </c>
      <c r="O1053" s="697">
        <v>0</v>
      </c>
      <c r="P1053" s="727">
        <v>96.7</v>
      </c>
      <c r="Q1053" s="750">
        <f t="shared" si="144"/>
        <v>0</v>
      </c>
      <c r="R1053" s="608">
        <f t="shared" si="145"/>
        <v>71944.800000000003</v>
      </c>
      <c r="S1053" s="751">
        <f t="shared" si="146"/>
        <v>71944.800000000003</v>
      </c>
      <c r="T1053" s="750">
        <v>55.7</v>
      </c>
      <c r="U1053" s="608">
        <f t="shared" si="147"/>
        <v>41440.800000000003</v>
      </c>
      <c r="V1053" s="751">
        <f t="shared" si="148"/>
        <v>30504</v>
      </c>
      <c r="W1053" s="752">
        <v>55.7</v>
      </c>
      <c r="X1053" s="609">
        <f t="shared" si="149"/>
        <v>41440.800000000003</v>
      </c>
      <c r="Y1053" s="703">
        <f t="shared" si="150"/>
        <v>30504</v>
      </c>
      <c r="Z1053" s="752">
        <v>55.7</v>
      </c>
      <c r="AA1053" s="609">
        <f t="shared" si="151"/>
        <v>41440.800000000003</v>
      </c>
      <c r="AB1053" s="753">
        <f t="shared" si="152"/>
        <v>30504</v>
      </c>
      <c r="AC1053" s="714"/>
    </row>
    <row r="1054" spans="1:29" x14ac:dyDescent="0.25">
      <c r="A1054" s="713"/>
      <c r="B1054" s="731" t="s">
        <v>1509</v>
      </c>
      <c r="C1054" s="547" t="s">
        <v>40</v>
      </c>
      <c r="D1054" s="547" t="s">
        <v>1476</v>
      </c>
      <c r="E1054" s="683">
        <v>44621</v>
      </c>
      <c r="F1054" s="547">
        <v>744</v>
      </c>
      <c r="G1054" s="547" t="s">
        <v>59</v>
      </c>
      <c r="H1054" s="547" t="s">
        <v>5</v>
      </c>
      <c r="I1054" s="547" t="s">
        <v>44</v>
      </c>
      <c r="J1054" s="547" t="s">
        <v>85</v>
      </c>
      <c r="K1054" s="547">
        <v>41</v>
      </c>
      <c r="L1054" s="727" t="s">
        <v>92</v>
      </c>
      <c r="M1054" s="697">
        <v>0</v>
      </c>
      <c r="N1054" s="727">
        <v>2</v>
      </c>
      <c r="O1054" s="697">
        <v>0</v>
      </c>
      <c r="P1054" s="727">
        <v>96.7</v>
      </c>
      <c r="Q1054" s="750">
        <f t="shared" si="144"/>
        <v>0</v>
      </c>
      <c r="R1054" s="608">
        <f t="shared" si="145"/>
        <v>143889.60000000001</v>
      </c>
      <c r="S1054" s="751">
        <f t="shared" si="146"/>
        <v>143889.60000000001</v>
      </c>
      <c r="T1054" s="750">
        <v>55.7</v>
      </c>
      <c r="U1054" s="608">
        <f t="shared" si="147"/>
        <v>82881.600000000006</v>
      </c>
      <c r="V1054" s="751">
        <f t="shared" si="148"/>
        <v>61008</v>
      </c>
      <c r="W1054" s="752">
        <v>55.7</v>
      </c>
      <c r="X1054" s="609">
        <f t="shared" si="149"/>
        <v>82881.600000000006</v>
      </c>
      <c r="Y1054" s="703">
        <f t="shared" si="150"/>
        <v>61008</v>
      </c>
      <c r="Z1054" s="752">
        <v>55.7</v>
      </c>
      <c r="AA1054" s="609">
        <f t="shared" si="151"/>
        <v>82881.600000000006</v>
      </c>
      <c r="AB1054" s="753">
        <f t="shared" si="152"/>
        <v>61008</v>
      </c>
      <c r="AC1054" s="714"/>
    </row>
    <row r="1055" spans="1:29" x14ac:dyDescent="0.25">
      <c r="A1055" s="713"/>
      <c r="B1055" s="731" t="s">
        <v>1511</v>
      </c>
      <c r="C1055" s="547" t="s">
        <v>40</v>
      </c>
      <c r="D1055" s="547" t="s">
        <v>476</v>
      </c>
      <c r="E1055" s="683">
        <v>44621</v>
      </c>
      <c r="F1055" s="547">
        <v>744</v>
      </c>
      <c r="G1055" s="547" t="s">
        <v>59</v>
      </c>
      <c r="H1055" s="547" t="s">
        <v>5</v>
      </c>
      <c r="I1055" s="547" t="s">
        <v>44</v>
      </c>
      <c r="J1055" s="547" t="s">
        <v>85</v>
      </c>
      <c r="K1055" s="547">
        <v>41</v>
      </c>
      <c r="L1055" s="727" t="s">
        <v>92</v>
      </c>
      <c r="M1055" s="697">
        <v>0</v>
      </c>
      <c r="N1055" s="727">
        <v>2</v>
      </c>
      <c r="O1055" s="697">
        <v>0</v>
      </c>
      <c r="P1055" s="727">
        <v>96.7</v>
      </c>
      <c r="Q1055" s="750">
        <f t="shared" si="144"/>
        <v>0</v>
      </c>
      <c r="R1055" s="608">
        <f t="shared" si="145"/>
        <v>143889.60000000001</v>
      </c>
      <c r="S1055" s="751">
        <f t="shared" si="146"/>
        <v>143889.60000000001</v>
      </c>
      <c r="T1055" s="750">
        <v>55.7</v>
      </c>
      <c r="U1055" s="608">
        <f t="shared" si="147"/>
        <v>82881.600000000006</v>
      </c>
      <c r="V1055" s="751">
        <f t="shared" si="148"/>
        <v>61008</v>
      </c>
      <c r="W1055" s="752">
        <v>55.7</v>
      </c>
      <c r="X1055" s="609">
        <f t="shared" si="149"/>
        <v>82881.600000000006</v>
      </c>
      <c r="Y1055" s="703">
        <f t="shared" si="150"/>
        <v>61008</v>
      </c>
      <c r="Z1055" s="752">
        <v>55.7</v>
      </c>
      <c r="AA1055" s="609">
        <f t="shared" si="151"/>
        <v>82881.600000000006</v>
      </c>
      <c r="AB1055" s="753">
        <f t="shared" si="152"/>
        <v>61008</v>
      </c>
      <c r="AC1055" s="714"/>
    </row>
    <row r="1056" spans="1:29" x14ac:dyDescent="0.25">
      <c r="A1056" s="713"/>
      <c r="B1056" s="731" t="s">
        <v>1513</v>
      </c>
      <c r="C1056" s="547" t="s">
        <v>40</v>
      </c>
      <c r="D1056" s="547" t="s">
        <v>1133</v>
      </c>
      <c r="E1056" s="683">
        <v>44621</v>
      </c>
      <c r="F1056" s="547">
        <v>744</v>
      </c>
      <c r="G1056" s="547" t="s">
        <v>59</v>
      </c>
      <c r="H1056" s="547" t="s">
        <v>5</v>
      </c>
      <c r="I1056" s="547" t="s">
        <v>44</v>
      </c>
      <c r="J1056" s="547" t="s">
        <v>85</v>
      </c>
      <c r="K1056" s="547">
        <v>41</v>
      </c>
      <c r="L1056" s="727" t="s">
        <v>92</v>
      </c>
      <c r="M1056" s="697">
        <v>0</v>
      </c>
      <c r="N1056" s="727">
        <v>3</v>
      </c>
      <c r="O1056" s="697">
        <v>0</v>
      </c>
      <c r="P1056" s="727">
        <v>96.7</v>
      </c>
      <c r="Q1056" s="750">
        <f t="shared" si="144"/>
        <v>0</v>
      </c>
      <c r="R1056" s="608">
        <f t="shared" si="145"/>
        <v>215834.4</v>
      </c>
      <c r="S1056" s="751">
        <f t="shared" si="146"/>
        <v>215834.4</v>
      </c>
      <c r="T1056" s="750">
        <v>55.7</v>
      </c>
      <c r="U1056" s="608">
        <f t="shared" si="147"/>
        <v>124322.40000000001</v>
      </c>
      <c r="V1056" s="751">
        <f t="shared" si="148"/>
        <v>91511.999999999985</v>
      </c>
      <c r="W1056" s="752">
        <v>55.7</v>
      </c>
      <c r="X1056" s="609">
        <f t="shared" si="149"/>
        <v>124322.40000000001</v>
      </c>
      <c r="Y1056" s="703">
        <f t="shared" si="150"/>
        <v>91511.999999999985</v>
      </c>
      <c r="Z1056" s="752">
        <v>55.7</v>
      </c>
      <c r="AA1056" s="609">
        <f t="shared" si="151"/>
        <v>124322.40000000001</v>
      </c>
      <c r="AB1056" s="753">
        <f t="shared" si="152"/>
        <v>91511.999999999985</v>
      </c>
      <c r="AC1056" s="714"/>
    </row>
    <row r="1057" spans="1:29" x14ac:dyDescent="0.25">
      <c r="A1057" s="713"/>
      <c r="B1057" s="731" t="s">
        <v>1522</v>
      </c>
      <c r="C1057" s="547" t="s">
        <v>40</v>
      </c>
      <c r="D1057" s="547" t="s">
        <v>531</v>
      </c>
      <c r="E1057" s="683">
        <v>44621</v>
      </c>
      <c r="F1057" s="547">
        <v>744</v>
      </c>
      <c r="G1057" s="547" t="s">
        <v>59</v>
      </c>
      <c r="H1057" s="547" t="s">
        <v>6</v>
      </c>
      <c r="I1057" s="547" t="s">
        <v>44</v>
      </c>
      <c r="J1057" s="547" t="s">
        <v>85</v>
      </c>
      <c r="K1057" s="547">
        <v>198.5</v>
      </c>
      <c r="L1057" s="727" t="s">
        <v>92</v>
      </c>
      <c r="M1057" s="697">
        <v>0</v>
      </c>
      <c r="N1057" s="727">
        <v>2</v>
      </c>
      <c r="O1057" s="697">
        <v>0</v>
      </c>
      <c r="P1057" s="727">
        <v>254.2</v>
      </c>
      <c r="Q1057" s="750">
        <f t="shared" si="144"/>
        <v>0</v>
      </c>
      <c r="R1057" s="608">
        <f t="shared" si="145"/>
        <v>378249.6</v>
      </c>
      <c r="S1057" s="751">
        <f t="shared" si="146"/>
        <v>378249.6</v>
      </c>
      <c r="T1057" s="750">
        <v>55.7</v>
      </c>
      <c r="U1057" s="608">
        <f t="shared" si="147"/>
        <v>82881.600000000006</v>
      </c>
      <c r="V1057" s="751">
        <f t="shared" si="148"/>
        <v>295368</v>
      </c>
      <c r="W1057" s="752">
        <v>55.7</v>
      </c>
      <c r="X1057" s="609">
        <f t="shared" si="149"/>
        <v>82881.600000000006</v>
      </c>
      <c r="Y1057" s="703">
        <f t="shared" si="150"/>
        <v>295368</v>
      </c>
      <c r="Z1057" s="752">
        <v>55.7</v>
      </c>
      <c r="AA1057" s="609">
        <f t="shared" si="151"/>
        <v>82881.600000000006</v>
      </c>
      <c r="AB1057" s="753">
        <f t="shared" si="152"/>
        <v>295368</v>
      </c>
      <c r="AC1057" s="714"/>
    </row>
    <row r="1058" spans="1:29" x14ac:dyDescent="0.25">
      <c r="A1058" s="713"/>
      <c r="B1058" s="731" t="s">
        <v>1524</v>
      </c>
      <c r="C1058" s="547" t="s">
        <v>40</v>
      </c>
      <c r="D1058" s="547" t="s">
        <v>1520</v>
      </c>
      <c r="E1058" s="683">
        <v>44621</v>
      </c>
      <c r="F1058" s="547">
        <v>744</v>
      </c>
      <c r="G1058" s="547" t="s">
        <v>59</v>
      </c>
      <c r="H1058" s="547" t="s">
        <v>5</v>
      </c>
      <c r="I1058" s="547" t="s">
        <v>44</v>
      </c>
      <c r="J1058" s="547" t="s">
        <v>85</v>
      </c>
      <c r="K1058" s="547">
        <v>41</v>
      </c>
      <c r="L1058" s="727" t="s">
        <v>92</v>
      </c>
      <c r="M1058" s="697">
        <v>0</v>
      </c>
      <c r="N1058" s="727">
        <v>2</v>
      </c>
      <c r="O1058" s="697">
        <v>0</v>
      </c>
      <c r="P1058" s="727">
        <v>96.7</v>
      </c>
      <c r="Q1058" s="750">
        <f t="shared" si="144"/>
        <v>0</v>
      </c>
      <c r="R1058" s="608">
        <f t="shared" si="145"/>
        <v>143889.60000000001</v>
      </c>
      <c r="S1058" s="751">
        <f t="shared" si="146"/>
        <v>143889.60000000001</v>
      </c>
      <c r="T1058" s="750">
        <v>55.7</v>
      </c>
      <c r="U1058" s="608">
        <f t="shared" si="147"/>
        <v>82881.600000000006</v>
      </c>
      <c r="V1058" s="751">
        <f t="shared" si="148"/>
        <v>61008</v>
      </c>
      <c r="W1058" s="752">
        <v>55.7</v>
      </c>
      <c r="X1058" s="609">
        <f t="shared" si="149"/>
        <v>82881.600000000006</v>
      </c>
      <c r="Y1058" s="703">
        <f t="shared" si="150"/>
        <v>61008</v>
      </c>
      <c r="Z1058" s="752">
        <v>55.7</v>
      </c>
      <c r="AA1058" s="609">
        <f t="shared" si="151"/>
        <v>82881.600000000006</v>
      </c>
      <c r="AB1058" s="753">
        <f t="shared" si="152"/>
        <v>61008</v>
      </c>
      <c r="AC1058" s="714"/>
    </row>
    <row r="1059" spans="1:29" x14ac:dyDescent="0.25">
      <c r="A1059" s="713"/>
      <c r="B1059" s="731" t="s">
        <v>1525</v>
      </c>
      <c r="C1059" s="547" t="s">
        <v>40</v>
      </c>
      <c r="D1059" s="547" t="s">
        <v>353</v>
      </c>
      <c r="E1059" s="683">
        <v>44682</v>
      </c>
      <c r="F1059" s="547">
        <v>744</v>
      </c>
      <c r="G1059" s="547" t="s">
        <v>59</v>
      </c>
      <c r="H1059" s="547" t="s">
        <v>3</v>
      </c>
      <c r="I1059" s="547" t="s">
        <v>44</v>
      </c>
      <c r="J1059" s="547" t="s">
        <v>85</v>
      </c>
      <c r="K1059" s="547">
        <v>65</v>
      </c>
      <c r="L1059" s="727" t="s">
        <v>54</v>
      </c>
      <c r="M1059" s="697">
        <v>0</v>
      </c>
      <c r="N1059" s="727">
        <v>5</v>
      </c>
      <c r="O1059" s="697">
        <v>0</v>
      </c>
      <c r="P1059" s="727">
        <v>65</v>
      </c>
      <c r="Q1059" s="750">
        <f t="shared" si="144"/>
        <v>0</v>
      </c>
      <c r="R1059" s="608">
        <f t="shared" si="145"/>
        <v>241800</v>
      </c>
      <c r="S1059" s="751">
        <f t="shared" si="146"/>
        <v>241800</v>
      </c>
      <c r="T1059" s="750">
        <v>55.7</v>
      </c>
      <c r="U1059" s="608">
        <f t="shared" si="147"/>
        <v>207204</v>
      </c>
      <c r="V1059" s="751">
        <f t="shared" si="148"/>
        <v>34596</v>
      </c>
      <c r="W1059" s="752">
        <v>55.7</v>
      </c>
      <c r="X1059" s="609">
        <f t="shared" si="149"/>
        <v>207204</v>
      </c>
      <c r="Y1059" s="703">
        <f t="shared" si="150"/>
        <v>34596</v>
      </c>
      <c r="Z1059" s="752">
        <v>55.7</v>
      </c>
      <c r="AA1059" s="609">
        <f t="shared" si="151"/>
        <v>207204</v>
      </c>
      <c r="AB1059" s="753">
        <f t="shared" si="152"/>
        <v>34596</v>
      </c>
      <c r="AC1059" s="714"/>
    </row>
    <row r="1060" spans="1:29" x14ac:dyDescent="0.25">
      <c r="A1060" s="713"/>
      <c r="B1060" s="731" t="s">
        <v>1526</v>
      </c>
      <c r="C1060" s="547" t="s">
        <v>40</v>
      </c>
      <c r="D1060" s="547" t="s">
        <v>1167</v>
      </c>
      <c r="E1060" s="683">
        <v>44682</v>
      </c>
      <c r="F1060" s="547">
        <v>744</v>
      </c>
      <c r="G1060" s="547" t="s">
        <v>59</v>
      </c>
      <c r="H1060" s="547" t="s">
        <v>3</v>
      </c>
      <c r="I1060" s="547" t="s">
        <v>44</v>
      </c>
      <c r="J1060" s="547" t="s">
        <v>85</v>
      </c>
      <c r="K1060" s="547">
        <v>65</v>
      </c>
      <c r="L1060" s="727" t="s">
        <v>54</v>
      </c>
      <c r="M1060" s="697">
        <v>0</v>
      </c>
      <c r="N1060" s="727">
        <v>5</v>
      </c>
      <c r="O1060" s="697">
        <v>0</v>
      </c>
      <c r="P1060" s="727">
        <v>65</v>
      </c>
      <c r="Q1060" s="750">
        <f t="shared" si="144"/>
        <v>0</v>
      </c>
      <c r="R1060" s="608">
        <f t="shared" si="145"/>
        <v>241800</v>
      </c>
      <c r="S1060" s="751">
        <f t="shared" si="146"/>
        <v>241800</v>
      </c>
      <c r="T1060" s="750">
        <v>55.7</v>
      </c>
      <c r="U1060" s="608">
        <f t="shared" si="147"/>
        <v>207204</v>
      </c>
      <c r="V1060" s="751">
        <f t="shared" si="148"/>
        <v>34596</v>
      </c>
      <c r="W1060" s="752">
        <v>55.7</v>
      </c>
      <c r="X1060" s="609">
        <f t="shared" si="149"/>
        <v>207204</v>
      </c>
      <c r="Y1060" s="703">
        <f t="shared" si="150"/>
        <v>34596</v>
      </c>
      <c r="Z1060" s="752">
        <v>55.7</v>
      </c>
      <c r="AA1060" s="609">
        <f t="shared" si="151"/>
        <v>207204</v>
      </c>
      <c r="AB1060" s="753">
        <f t="shared" si="152"/>
        <v>34596</v>
      </c>
      <c r="AC1060" s="714"/>
    </row>
    <row r="1061" spans="1:29" x14ac:dyDescent="0.25">
      <c r="A1061" s="713"/>
      <c r="B1061" s="731" t="s">
        <v>1528</v>
      </c>
      <c r="C1061" s="547" t="s">
        <v>40</v>
      </c>
      <c r="D1061" s="547" t="s">
        <v>1476</v>
      </c>
      <c r="E1061" s="683">
        <v>44621</v>
      </c>
      <c r="F1061" s="547">
        <v>744</v>
      </c>
      <c r="G1061" s="547" t="s">
        <v>59</v>
      </c>
      <c r="H1061" s="547" t="s">
        <v>5</v>
      </c>
      <c r="I1061" s="547" t="s">
        <v>44</v>
      </c>
      <c r="J1061" s="547" t="s">
        <v>85</v>
      </c>
      <c r="K1061" s="547">
        <v>41</v>
      </c>
      <c r="L1061" s="727" t="s">
        <v>92</v>
      </c>
      <c r="M1061" s="697">
        <v>0</v>
      </c>
      <c r="N1061" s="727">
        <v>10</v>
      </c>
      <c r="O1061" s="697">
        <v>0</v>
      </c>
      <c r="P1061" s="727">
        <v>96.7</v>
      </c>
      <c r="Q1061" s="750">
        <f t="shared" si="144"/>
        <v>0</v>
      </c>
      <c r="R1061" s="608">
        <f t="shared" si="145"/>
        <v>719448</v>
      </c>
      <c r="S1061" s="751">
        <f t="shared" si="146"/>
        <v>719448</v>
      </c>
      <c r="T1061" s="750">
        <v>55.7</v>
      </c>
      <c r="U1061" s="608">
        <f t="shared" si="147"/>
        <v>414408</v>
      </c>
      <c r="V1061" s="751">
        <f t="shared" si="148"/>
        <v>305040</v>
      </c>
      <c r="W1061" s="752">
        <v>55.7</v>
      </c>
      <c r="X1061" s="609">
        <f t="shared" si="149"/>
        <v>414408</v>
      </c>
      <c r="Y1061" s="703">
        <f t="shared" si="150"/>
        <v>305040</v>
      </c>
      <c r="Z1061" s="752">
        <v>55.7</v>
      </c>
      <c r="AA1061" s="609">
        <f t="shared" si="151"/>
        <v>414408</v>
      </c>
      <c r="AB1061" s="753">
        <f t="shared" si="152"/>
        <v>305040</v>
      </c>
      <c r="AC1061" s="714"/>
    </row>
    <row r="1062" spans="1:29" x14ac:dyDescent="0.25">
      <c r="A1062" s="713"/>
      <c r="B1062" s="730" t="s">
        <v>1529</v>
      </c>
      <c r="C1062" s="546" t="s">
        <v>40</v>
      </c>
      <c r="D1062" s="546" t="s">
        <v>478</v>
      </c>
      <c r="E1062" s="682">
        <v>44835</v>
      </c>
      <c r="F1062" s="546">
        <v>744</v>
      </c>
      <c r="G1062" s="546" t="s">
        <v>59</v>
      </c>
      <c r="H1062" s="546" t="s">
        <v>3</v>
      </c>
      <c r="I1062" s="546" t="s">
        <v>44</v>
      </c>
      <c r="J1062" s="546" t="s">
        <v>85</v>
      </c>
      <c r="K1062" s="546">
        <v>161</v>
      </c>
      <c r="L1062" s="726" t="s">
        <v>54</v>
      </c>
      <c r="M1062" s="696">
        <v>0</v>
      </c>
      <c r="N1062" s="726">
        <v>2</v>
      </c>
      <c r="O1062" s="696">
        <v>0</v>
      </c>
      <c r="P1062" s="726">
        <v>161</v>
      </c>
      <c r="Q1062" s="746">
        <f t="shared" si="144"/>
        <v>0</v>
      </c>
      <c r="R1062" s="606">
        <f t="shared" si="145"/>
        <v>239568</v>
      </c>
      <c r="S1062" s="747">
        <f t="shared" si="146"/>
        <v>239568</v>
      </c>
      <c r="T1062" s="746">
        <v>55.7</v>
      </c>
      <c r="U1062" s="606">
        <f t="shared" si="147"/>
        <v>82881.600000000006</v>
      </c>
      <c r="V1062" s="747">
        <f t="shared" si="148"/>
        <v>156686.39999999999</v>
      </c>
      <c r="W1062" s="748">
        <v>55.7</v>
      </c>
      <c r="X1062" s="607">
        <f t="shared" si="149"/>
        <v>82881.600000000006</v>
      </c>
      <c r="Y1062" s="702">
        <f t="shared" si="150"/>
        <v>156686.39999999999</v>
      </c>
      <c r="Z1062" s="748">
        <v>55.7</v>
      </c>
      <c r="AA1062" s="607">
        <f t="shared" si="151"/>
        <v>82881.600000000006</v>
      </c>
      <c r="AB1062" s="749">
        <f t="shared" si="152"/>
        <v>156686.39999999999</v>
      </c>
      <c r="AC1062" s="714"/>
    </row>
    <row r="1063" spans="1:29" x14ac:dyDescent="0.25">
      <c r="A1063" s="713"/>
      <c r="B1063" s="714" t="s">
        <v>1529</v>
      </c>
      <c r="C1063" s="676" t="s">
        <v>40</v>
      </c>
      <c r="D1063" s="676" t="s">
        <v>478</v>
      </c>
      <c r="E1063" s="680">
        <v>44866</v>
      </c>
      <c r="F1063" s="676">
        <v>720</v>
      </c>
      <c r="G1063" s="676" t="s">
        <v>59</v>
      </c>
      <c r="H1063" s="676" t="s">
        <v>3</v>
      </c>
      <c r="I1063" s="676" t="s">
        <v>44</v>
      </c>
      <c r="J1063" s="676" t="s">
        <v>85</v>
      </c>
      <c r="K1063" s="676">
        <v>161</v>
      </c>
      <c r="L1063" s="690" t="s">
        <v>54</v>
      </c>
      <c r="M1063" s="691">
        <v>0</v>
      </c>
      <c r="N1063" s="690">
        <v>2</v>
      </c>
      <c r="O1063" s="691">
        <v>0</v>
      </c>
      <c r="P1063" s="690">
        <v>161</v>
      </c>
      <c r="Q1063" s="738">
        <f t="shared" si="144"/>
        <v>0</v>
      </c>
      <c r="R1063" s="677">
        <f t="shared" si="145"/>
        <v>231840</v>
      </c>
      <c r="S1063" s="739">
        <f t="shared" si="146"/>
        <v>231840</v>
      </c>
      <c r="T1063" s="738">
        <v>55.7</v>
      </c>
      <c r="U1063" s="677">
        <f t="shared" si="147"/>
        <v>80208</v>
      </c>
      <c r="V1063" s="739">
        <f t="shared" si="148"/>
        <v>151632</v>
      </c>
      <c r="W1063" s="740">
        <v>55.7</v>
      </c>
      <c r="X1063" s="678">
        <f t="shared" si="149"/>
        <v>80208</v>
      </c>
      <c r="Y1063" s="700">
        <f t="shared" si="150"/>
        <v>151632</v>
      </c>
      <c r="Z1063" s="740">
        <v>55.7</v>
      </c>
      <c r="AA1063" s="678">
        <f t="shared" si="151"/>
        <v>80208</v>
      </c>
      <c r="AB1063" s="741">
        <f t="shared" si="152"/>
        <v>151632</v>
      </c>
      <c r="AC1063" s="714"/>
    </row>
    <row r="1064" spans="1:29" x14ac:dyDescent="0.25">
      <c r="A1064" s="713"/>
      <c r="B1064" s="729" t="s">
        <v>1529</v>
      </c>
      <c r="C1064" s="545" t="s">
        <v>40</v>
      </c>
      <c r="D1064" s="545" t="s">
        <v>478</v>
      </c>
      <c r="E1064" s="681">
        <v>44896</v>
      </c>
      <c r="F1064" s="545">
        <v>744</v>
      </c>
      <c r="G1064" s="545" t="s">
        <v>59</v>
      </c>
      <c r="H1064" s="545" t="s">
        <v>3</v>
      </c>
      <c r="I1064" s="545" t="s">
        <v>44</v>
      </c>
      <c r="J1064" s="545" t="s">
        <v>85</v>
      </c>
      <c r="K1064" s="545">
        <v>161</v>
      </c>
      <c r="L1064" s="725" t="s">
        <v>54</v>
      </c>
      <c r="M1064" s="695">
        <v>0</v>
      </c>
      <c r="N1064" s="725">
        <v>2</v>
      </c>
      <c r="O1064" s="695">
        <v>0</v>
      </c>
      <c r="P1064" s="725">
        <v>161</v>
      </c>
      <c r="Q1064" s="742">
        <f t="shared" si="144"/>
        <v>0</v>
      </c>
      <c r="R1064" s="603">
        <f t="shared" si="145"/>
        <v>239568</v>
      </c>
      <c r="S1064" s="743">
        <f t="shared" si="146"/>
        <v>239568</v>
      </c>
      <c r="T1064" s="742">
        <v>55.7</v>
      </c>
      <c r="U1064" s="603">
        <f t="shared" si="147"/>
        <v>82881.600000000006</v>
      </c>
      <c r="V1064" s="743">
        <f t="shared" si="148"/>
        <v>156686.39999999999</v>
      </c>
      <c r="W1064" s="744">
        <v>55.7</v>
      </c>
      <c r="X1064" s="604">
        <f t="shared" si="149"/>
        <v>82881.600000000006</v>
      </c>
      <c r="Y1064" s="701">
        <f t="shared" si="150"/>
        <v>156686.39999999999</v>
      </c>
      <c r="Z1064" s="744">
        <v>78.400653594793155</v>
      </c>
      <c r="AA1064" s="604">
        <f t="shared" si="151"/>
        <v>116660.17254905222</v>
      </c>
      <c r="AB1064" s="745">
        <f t="shared" si="152"/>
        <v>122907.82745094778</v>
      </c>
      <c r="AC1064" s="714"/>
    </row>
    <row r="1065" spans="1:29" x14ac:dyDescent="0.25">
      <c r="A1065" s="713"/>
      <c r="B1065" s="731" t="s">
        <v>1533</v>
      </c>
      <c r="C1065" s="547" t="s">
        <v>40</v>
      </c>
      <c r="D1065" s="547" t="s">
        <v>585</v>
      </c>
      <c r="E1065" s="683">
        <v>44682</v>
      </c>
      <c r="F1065" s="547">
        <v>744</v>
      </c>
      <c r="G1065" s="547" t="s">
        <v>59</v>
      </c>
      <c r="H1065" s="547" t="s">
        <v>3</v>
      </c>
      <c r="I1065" s="547" t="s">
        <v>44</v>
      </c>
      <c r="J1065" s="547" t="s">
        <v>85</v>
      </c>
      <c r="K1065" s="547">
        <v>66</v>
      </c>
      <c r="L1065" s="727" t="s">
        <v>54</v>
      </c>
      <c r="M1065" s="697">
        <v>0</v>
      </c>
      <c r="N1065" s="727">
        <v>17</v>
      </c>
      <c r="O1065" s="697">
        <v>0</v>
      </c>
      <c r="P1065" s="727">
        <v>66</v>
      </c>
      <c r="Q1065" s="750">
        <f t="shared" si="144"/>
        <v>0</v>
      </c>
      <c r="R1065" s="608">
        <f t="shared" si="145"/>
        <v>834768</v>
      </c>
      <c r="S1065" s="751">
        <f t="shared" si="146"/>
        <v>834768</v>
      </c>
      <c r="T1065" s="750">
        <v>55.7</v>
      </c>
      <c r="U1065" s="608">
        <f t="shared" si="147"/>
        <v>704493.60000000009</v>
      </c>
      <c r="V1065" s="751">
        <f t="shared" si="148"/>
        <v>130274.39999999991</v>
      </c>
      <c r="W1065" s="752">
        <v>55.7</v>
      </c>
      <c r="X1065" s="609">
        <f t="shared" si="149"/>
        <v>704493.60000000009</v>
      </c>
      <c r="Y1065" s="703">
        <f t="shared" si="150"/>
        <v>130274.39999999991</v>
      </c>
      <c r="Z1065" s="752">
        <v>55.7</v>
      </c>
      <c r="AA1065" s="609">
        <f t="shared" si="151"/>
        <v>704493.60000000009</v>
      </c>
      <c r="AB1065" s="753">
        <f t="shared" si="152"/>
        <v>130274.39999999991</v>
      </c>
      <c r="AC1065" s="714"/>
    </row>
    <row r="1066" spans="1:29" x14ac:dyDescent="0.25">
      <c r="A1066" s="713"/>
      <c r="B1066" s="730" t="s">
        <v>1534</v>
      </c>
      <c r="C1066" s="546" t="s">
        <v>40</v>
      </c>
      <c r="D1066" s="546" t="s">
        <v>620</v>
      </c>
      <c r="E1066" s="682">
        <v>44835</v>
      </c>
      <c r="F1066" s="546">
        <v>744</v>
      </c>
      <c r="G1066" s="546" t="s">
        <v>59</v>
      </c>
      <c r="H1066" s="546" t="s">
        <v>3</v>
      </c>
      <c r="I1066" s="546" t="s">
        <v>44</v>
      </c>
      <c r="J1066" s="546" t="s">
        <v>85</v>
      </c>
      <c r="K1066" s="546">
        <v>160</v>
      </c>
      <c r="L1066" s="726" t="s">
        <v>54</v>
      </c>
      <c r="M1066" s="696">
        <v>0</v>
      </c>
      <c r="N1066" s="726">
        <v>3</v>
      </c>
      <c r="O1066" s="696">
        <v>0</v>
      </c>
      <c r="P1066" s="726">
        <v>160</v>
      </c>
      <c r="Q1066" s="746">
        <f t="shared" si="144"/>
        <v>0</v>
      </c>
      <c r="R1066" s="606">
        <f t="shared" si="145"/>
        <v>357120</v>
      </c>
      <c r="S1066" s="747">
        <f t="shared" si="146"/>
        <v>357120</v>
      </c>
      <c r="T1066" s="746">
        <v>55.7</v>
      </c>
      <c r="U1066" s="606">
        <f t="shared" si="147"/>
        <v>124322.40000000001</v>
      </c>
      <c r="V1066" s="747">
        <f t="shared" si="148"/>
        <v>232797.59999999998</v>
      </c>
      <c r="W1066" s="748">
        <v>55.7</v>
      </c>
      <c r="X1066" s="607">
        <f t="shared" si="149"/>
        <v>124322.40000000001</v>
      </c>
      <c r="Y1066" s="702">
        <f t="shared" si="150"/>
        <v>232797.59999999998</v>
      </c>
      <c r="Z1066" s="748">
        <v>55.7</v>
      </c>
      <c r="AA1066" s="607">
        <f t="shared" si="151"/>
        <v>124322.40000000001</v>
      </c>
      <c r="AB1066" s="749">
        <f t="shared" si="152"/>
        <v>232797.59999999998</v>
      </c>
      <c r="AC1066" s="714"/>
    </row>
    <row r="1067" spans="1:29" x14ac:dyDescent="0.25">
      <c r="A1067" s="713"/>
      <c r="B1067" s="714" t="s">
        <v>1534</v>
      </c>
      <c r="C1067" s="676" t="s">
        <v>40</v>
      </c>
      <c r="D1067" s="676" t="s">
        <v>620</v>
      </c>
      <c r="E1067" s="680">
        <v>44866</v>
      </c>
      <c r="F1067" s="676">
        <v>720</v>
      </c>
      <c r="G1067" s="676" t="s">
        <v>59</v>
      </c>
      <c r="H1067" s="676" t="s">
        <v>3</v>
      </c>
      <c r="I1067" s="676" t="s">
        <v>44</v>
      </c>
      <c r="J1067" s="676" t="s">
        <v>85</v>
      </c>
      <c r="K1067" s="676">
        <v>160</v>
      </c>
      <c r="L1067" s="690" t="s">
        <v>54</v>
      </c>
      <c r="M1067" s="691">
        <v>0</v>
      </c>
      <c r="N1067" s="690">
        <v>3</v>
      </c>
      <c r="O1067" s="691">
        <v>0</v>
      </c>
      <c r="P1067" s="690">
        <v>160</v>
      </c>
      <c r="Q1067" s="738">
        <f t="shared" si="144"/>
        <v>0</v>
      </c>
      <c r="R1067" s="677">
        <f t="shared" si="145"/>
        <v>345600</v>
      </c>
      <c r="S1067" s="739">
        <f t="shared" si="146"/>
        <v>345600</v>
      </c>
      <c r="T1067" s="738">
        <v>55.7</v>
      </c>
      <c r="U1067" s="677">
        <f t="shared" si="147"/>
        <v>120312</v>
      </c>
      <c r="V1067" s="739">
        <f t="shared" si="148"/>
        <v>225288</v>
      </c>
      <c r="W1067" s="740">
        <v>55.7</v>
      </c>
      <c r="X1067" s="678">
        <f t="shared" si="149"/>
        <v>120312</v>
      </c>
      <c r="Y1067" s="700">
        <f t="shared" si="150"/>
        <v>225288</v>
      </c>
      <c r="Z1067" s="740">
        <v>55.7</v>
      </c>
      <c r="AA1067" s="678">
        <f t="shared" si="151"/>
        <v>120312</v>
      </c>
      <c r="AB1067" s="741">
        <f t="shared" si="152"/>
        <v>225288</v>
      </c>
      <c r="AC1067" s="714"/>
    </row>
    <row r="1068" spans="1:29" x14ac:dyDescent="0.25">
      <c r="A1068" s="713"/>
      <c r="B1068" s="729" t="s">
        <v>1534</v>
      </c>
      <c r="C1068" s="545" t="s">
        <v>40</v>
      </c>
      <c r="D1068" s="545" t="s">
        <v>620</v>
      </c>
      <c r="E1068" s="681">
        <v>44896</v>
      </c>
      <c r="F1068" s="545">
        <v>744</v>
      </c>
      <c r="G1068" s="545" t="s">
        <v>59</v>
      </c>
      <c r="H1068" s="545" t="s">
        <v>3</v>
      </c>
      <c r="I1068" s="545" t="s">
        <v>44</v>
      </c>
      <c r="J1068" s="545" t="s">
        <v>85</v>
      </c>
      <c r="K1068" s="545">
        <v>160</v>
      </c>
      <c r="L1068" s="725" t="s">
        <v>54</v>
      </c>
      <c r="M1068" s="695">
        <v>0</v>
      </c>
      <c r="N1068" s="725">
        <v>3</v>
      </c>
      <c r="O1068" s="695">
        <v>0</v>
      </c>
      <c r="P1068" s="725">
        <v>160</v>
      </c>
      <c r="Q1068" s="742">
        <f t="shared" si="144"/>
        <v>0</v>
      </c>
      <c r="R1068" s="603">
        <f t="shared" si="145"/>
        <v>357120</v>
      </c>
      <c r="S1068" s="743">
        <f t="shared" si="146"/>
        <v>357120</v>
      </c>
      <c r="T1068" s="742">
        <v>55.7</v>
      </c>
      <c r="U1068" s="603">
        <f t="shared" si="147"/>
        <v>124322.40000000001</v>
      </c>
      <c r="V1068" s="743">
        <f t="shared" si="148"/>
        <v>232797.59999999998</v>
      </c>
      <c r="W1068" s="744">
        <v>55.7</v>
      </c>
      <c r="X1068" s="604">
        <f t="shared" si="149"/>
        <v>124322.40000000001</v>
      </c>
      <c r="Y1068" s="701">
        <f t="shared" si="150"/>
        <v>232797.59999999998</v>
      </c>
      <c r="Z1068" s="744">
        <v>78.400653594793155</v>
      </c>
      <c r="AA1068" s="604">
        <f t="shared" si="151"/>
        <v>174990.25882357833</v>
      </c>
      <c r="AB1068" s="745">
        <f t="shared" si="152"/>
        <v>182129.74117642167</v>
      </c>
      <c r="AC1068" s="714"/>
    </row>
    <row r="1069" spans="1:29" x14ac:dyDescent="0.25">
      <c r="A1069" s="713"/>
      <c r="B1069" s="731" t="s">
        <v>1535</v>
      </c>
      <c r="C1069" s="547" t="s">
        <v>40</v>
      </c>
      <c r="D1069" s="547" t="s">
        <v>585</v>
      </c>
      <c r="E1069" s="683">
        <v>44682</v>
      </c>
      <c r="F1069" s="547">
        <v>744</v>
      </c>
      <c r="G1069" s="547" t="s">
        <v>59</v>
      </c>
      <c r="H1069" s="547" t="s">
        <v>3</v>
      </c>
      <c r="I1069" s="547" t="s">
        <v>44</v>
      </c>
      <c r="J1069" s="547" t="s">
        <v>85</v>
      </c>
      <c r="K1069" s="547">
        <v>65</v>
      </c>
      <c r="L1069" s="727" t="s">
        <v>54</v>
      </c>
      <c r="M1069" s="697">
        <v>0</v>
      </c>
      <c r="N1069" s="727">
        <v>15</v>
      </c>
      <c r="O1069" s="697">
        <v>0</v>
      </c>
      <c r="P1069" s="727">
        <v>65</v>
      </c>
      <c r="Q1069" s="750">
        <f t="shared" si="144"/>
        <v>0</v>
      </c>
      <c r="R1069" s="608">
        <f t="shared" si="145"/>
        <v>725400</v>
      </c>
      <c r="S1069" s="751">
        <f t="shared" si="146"/>
        <v>725400</v>
      </c>
      <c r="T1069" s="750">
        <v>55.7</v>
      </c>
      <c r="U1069" s="608">
        <f t="shared" si="147"/>
        <v>621612</v>
      </c>
      <c r="V1069" s="751">
        <f t="shared" si="148"/>
        <v>103788</v>
      </c>
      <c r="W1069" s="752">
        <v>55.7</v>
      </c>
      <c r="X1069" s="609">
        <f t="shared" si="149"/>
        <v>621612</v>
      </c>
      <c r="Y1069" s="703">
        <f t="shared" si="150"/>
        <v>103788</v>
      </c>
      <c r="Z1069" s="752">
        <v>55.7</v>
      </c>
      <c r="AA1069" s="609">
        <f t="shared" si="151"/>
        <v>621612</v>
      </c>
      <c r="AB1069" s="753">
        <f t="shared" si="152"/>
        <v>103788</v>
      </c>
      <c r="AC1069" s="714"/>
    </row>
    <row r="1070" spans="1:29" x14ac:dyDescent="0.25">
      <c r="A1070" s="713"/>
      <c r="B1070" s="731" t="s">
        <v>1542</v>
      </c>
      <c r="C1070" s="547" t="s">
        <v>40</v>
      </c>
      <c r="D1070" s="547" t="s">
        <v>511</v>
      </c>
      <c r="E1070" s="683">
        <v>44621</v>
      </c>
      <c r="F1070" s="547">
        <v>744</v>
      </c>
      <c r="G1070" s="547" t="s">
        <v>59</v>
      </c>
      <c r="H1070" s="547" t="s">
        <v>6</v>
      </c>
      <c r="I1070" s="547" t="s">
        <v>44</v>
      </c>
      <c r="J1070" s="547" t="s">
        <v>85</v>
      </c>
      <c r="K1070" s="547">
        <v>198</v>
      </c>
      <c r="L1070" s="727" t="s">
        <v>92</v>
      </c>
      <c r="M1070" s="697">
        <v>0</v>
      </c>
      <c r="N1070" s="727">
        <v>1.24</v>
      </c>
      <c r="O1070" s="697">
        <v>0</v>
      </c>
      <c r="P1070" s="727">
        <v>253.7</v>
      </c>
      <c r="Q1070" s="750">
        <f t="shared" si="144"/>
        <v>0</v>
      </c>
      <c r="R1070" s="608">
        <f t="shared" si="145"/>
        <v>234053.47199999998</v>
      </c>
      <c r="S1070" s="751">
        <f t="shared" si="146"/>
        <v>234053.47199999998</v>
      </c>
      <c r="T1070" s="750">
        <v>55.7</v>
      </c>
      <c r="U1070" s="608">
        <f t="shared" si="147"/>
        <v>51386.591999999997</v>
      </c>
      <c r="V1070" s="751">
        <f t="shared" si="148"/>
        <v>182666.87999999998</v>
      </c>
      <c r="W1070" s="752">
        <v>55.7</v>
      </c>
      <c r="X1070" s="609">
        <f t="shared" si="149"/>
        <v>51386.591999999997</v>
      </c>
      <c r="Y1070" s="703">
        <f t="shared" si="150"/>
        <v>182666.87999999998</v>
      </c>
      <c r="Z1070" s="752">
        <v>55.7</v>
      </c>
      <c r="AA1070" s="609">
        <f t="shared" si="151"/>
        <v>51386.591999999997</v>
      </c>
      <c r="AB1070" s="753">
        <f t="shared" si="152"/>
        <v>182666.87999999998</v>
      </c>
      <c r="AC1070" s="714"/>
    </row>
    <row r="1071" spans="1:29" x14ac:dyDescent="0.25">
      <c r="A1071" s="713"/>
      <c r="B1071" s="731" t="s">
        <v>1544</v>
      </c>
      <c r="C1071" s="547" t="s">
        <v>40</v>
      </c>
      <c r="D1071" s="547" t="s">
        <v>466</v>
      </c>
      <c r="E1071" s="683">
        <v>44621</v>
      </c>
      <c r="F1071" s="547">
        <v>744</v>
      </c>
      <c r="G1071" s="547" t="s">
        <v>59</v>
      </c>
      <c r="H1071" s="547" t="s">
        <v>6</v>
      </c>
      <c r="I1071" s="547" t="s">
        <v>44</v>
      </c>
      <c r="J1071" s="547" t="s">
        <v>85</v>
      </c>
      <c r="K1071" s="547">
        <v>201</v>
      </c>
      <c r="L1071" s="727" t="s">
        <v>92</v>
      </c>
      <c r="M1071" s="697">
        <v>0</v>
      </c>
      <c r="N1071" s="727">
        <v>0.3</v>
      </c>
      <c r="O1071" s="697">
        <v>0</v>
      </c>
      <c r="P1071" s="727">
        <v>256.7</v>
      </c>
      <c r="Q1071" s="750">
        <f t="shared" si="144"/>
        <v>0</v>
      </c>
      <c r="R1071" s="608">
        <f t="shared" si="145"/>
        <v>57295.439999999995</v>
      </c>
      <c r="S1071" s="751">
        <f t="shared" si="146"/>
        <v>57295.439999999995</v>
      </c>
      <c r="T1071" s="750">
        <v>55.7</v>
      </c>
      <c r="U1071" s="608">
        <f t="shared" si="147"/>
        <v>12432.24</v>
      </c>
      <c r="V1071" s="751">
        <f t="shared" si="148"/>
        <v>44863.199999999997</v>
      </c>
      <c r="W1071" s="752">
        <v>55.7</v>
      </c>
      <c r="X1071" s="609">
        <f t="shared" si="149"/>
        <v>12432.24</v>
      </c>
      <c r="Y1071" s="703">
        <f t="shared" si="150"/>
        <v>44863.199999999997</v>
      </c>
      <c r="Z1071" s="752">
        <v>55.7</v>
      </c>
      <c r="AA1071" s="609">
        <f t="shared" si="151"/>
        <v>12432.24</v>
      </c>
      <c r="AB1071" s="753">
        <f t="shared" si="152"/>
        <v>44863.199999999997</v>
      </c>
      <c r="AC1071" s="714"/>
    </row>
    <row r="1072" spans="1:29" x14ac:dyDescent="0.25">
      <c r="A1072" s="713"/>
      <c r="B1072" s="731" t="s">
        <v>1546</v>
      </c>
      <c r="C1072" s="547" t="s">
        <v>40</v>
      </c>
      <c r="D1072" s="547" t="s">
        <v>1540</v>
      </c>
      <c r="E1072" s="683">
        <v>44621</v>
      </c>
      <c r="F1072" s="547">
        <v>744</v>
      </c>
      <c r="G1072" s="547" t="s">
        <v>59</v>
      </c>
      <c r="H1072" s="547" t="s">
        <v>6</v>
      </c>
      <c r="I1072" s="547" t="s">
        <v>44</v>
      </c>
      <c r="J1072" s="547" t="s">
        <v>85</v>
      </c>
      <c r="K1072" s="547">
        <v>198</v>
      </c>
      <c r="L1072" s="727" t="s">
        <v>92</v>
      </c>
      <c r="M1072" s="697">
        <v>0</v>
      </c>
      <c r="N1072" s="727">
        <v>1</v>
      </c>
      <c r="O1072" s="697">
        <v>0</v>
      </c>
      <c r="P1072" s="727">
        <v>253.7</v>
      </c>
      <c r="Q1072" s="750">
        <f t="shared" si="144"/>
        <v>0</v>
      </c>
      <c r="R1072" s="608">
        <f t="shared" si="145"/>
        <v>188752.8</v>
      </c>
      <c r="S1072" s="751">
        <f t="shared" si="146"/>
        <v>188752.8</v>
      </c>
      <c r="T1072" s="750">
        <v>55.7</v>
      </c>
      <c r="U1072" s="608">
        <f t="shared" si="147"/>
        <v>41440.800000000003</v>
      </c>
      <c r="V1072" s="751">
        <f t="shared" si="148"/>
        <v>147312</v>
      </c>
      <c r="W1072" s="752">
        <v>55.7</v>
      </c>
      <c r="X1072" s="609">
        <f t="shared" si="149"/>
        <v>41440.800000000003</v>
      </c>
      <c r="Y1072" s="703">
        <f t="shared" si="150"/>
        <v>147312</v>
      </c>
      <c r="Z1072" s="752">
        <v>55.7</v>
      </c>
      <c r="AA1072" s="609">
        <f t="shared" si="151"/>
        <v>41440.800000000003</v>
      </c>
      <c r="AB1072" s="753">
        <f t="shared" si="152"/>
        <v>147312</v>
      </c>
      <c r="AC1072" s="714"/>
    </row>
    <row r="1073" spans="1:29" x14ac:dyDescent="0.25">
      <c r="A1073" s="713"/>
      <c r="B1073" s="731" t="s">
        <v>1548</v>
      </c>
      <c r="C1073" s="547" t="s">
        <v>40</v>
      </c>
      <c r="D1073" s="547" t="s">
        <v>502</v>
      </c>
      <c r="E1073" s="683">
        <v>44621</v>
      </c>
      <c r="F1073" s="547">
        <v>744</v>
      </c>
      <c r="G1073" s="547" t="s">
        <v>59</v>
      </c>
      <c r="H1073" s="547" t="s">
        <v>6</v>
      </c>
      <c r="I1073" s="547" t="s">
        <v>44</v>
      </c>
      <c r="J1073" s="547" t="s">
        <v>85</v>
      </c>
      <c r="K1073" s="547">
        <v>198</v>
      </c>
      <c r="L1073" s="727" t="s">
        <v>92</v>
      </c>
      <c r="M1073" s="697">
        <v>0</v>
      </c>
      <c r="N1073" s="727">
        <v>2.8</v>
      </c>
      <c r="O1073" s="697">
        <v>0</v>
      </c>
      <c r="P1073" s="727">
        <v>253.7</v>
      </c>
      <c r="Q1073" s="750">
        <f t="shared" si="144"/>
        <v>0</v>
      </c>
      <c r="R1073" s="608">
        <f t="shared" si="145"/>
        <v>528507.84</v>
      </c>
      <c r="S1073" s="751">
        <f t="shared" si="146"/>
        <v>528507.84</v>
      </c>
      <c r="T1073" s="750">
        <v>55.7</v>
      </c>
      <c r="U1073" s="608">
        <f t="shared" si="147"/>
        <v>116034.23999999999</v>
      </c>
      <c r="V1073" s="751">
        <f t="shared" si="148"/>
        <v>412473.59999999998</v>
      </c>
      <c r="W1073" s="752">
        <v>55.7</v>
      </c>
      <c r="X1073" s="609">
        <f t="shared" si="149"/>
        <v>116034.23999999999</v>
      </c>
      <c r="Y1073" s="703">
        <f t="shared" si="150"/>
        <v>412473.59999999998</v>
      </c>
      <c r="Z1073" s="752">
        <v>55.7</v>
      </c>
      <c r="AA1073" s="609">
        <f t="shared" si="151"/>
        <v>116034.23999999999</v>
      </c>
      <c r="AB1073" s="753">
        <f t="shared" si="152"/>
        <v>412473.59999999998</v>
      </c>
      <c r="AC1073" s="714"/>
    </row>
    <row r="1074" spans="1:29" x14ac:dyDescent="0.25">
      <c r="A1074" s="713"/>
      <c r="B1074" s="731" t="s">
        <v>1556</v>
      </c>
      <c r="C1074" s="547" t="s">
        <v>40</v>
      </c>
      <c r="D1074" s="547" t="s">
        <v>620</v>
      </c>
      <c r="E1074" s="683">
        <v>44621</v>
      </c>
      <c r="F1074" s="547">
        <v>744</v>
      </c>
      <c r="G1074" s="547" t="s">
        <v>59</v>
      </c>
      <c r="H1074" s="547" t="s">
        <v>5</v>
      </c>
      <c r="I1074" s="547" t="s">
        <v>44</v>
      </c>
      <c r="J1074" s="547" t="s">
        <v>85</v>
      </c>
      <c r="K1074" s="547">
        <v>40</v>
      </c>
      <c r="L1074" s="727" t="s">
        <v>92</v>
      </c>
      <c r="M1074" s="697">
        <v>0</v>
      </c>
      <c r="N1074" s="727">
        <v>2</v>
      </c>
      <c r="O1074" s="697">
        <v>0</v>
      </c>
      <c r="P1074" s="727">
        <v>95.7</v>
      </c>
      <c r="Q1074" s="750">
        <f t="shared" si="144"/>
        <v>0</v>
      </c>
      <c r="R1074" s="608">
        <f t="shared" si="145"/>
        <v>142401.60000000001</v>
      </c>
      <c r="S1074" s="751">
        <f t="shared" si="146"/>
        <v>142401.60000000001</v>
      </c>
      <c r="T1074" s="750">
        <v>55.7</v>
      </c>
      <c r="U1074" s="608">
        <f t="shared" si="147"/>
        <v>82881.600000000006</v>
      </c>
      <c r="V1074" s="751">
        <f t="shared" si="148"/>
        <v>59520</v>
      </c>
      <c r="W1074" s="752">
        <v>55.7</v>
      </c>
      <c r="X1074" s="609">
        <f t="shared" si="149"/>
        <v>82881.600000000006</v>
      </c>
      <c r="Y1074" s="703">
        <f t="shared" si="150"/>
        <v>59520</v>
      </c>
      <c r="Z1074" s="752">
        <v>55.7</v>
      </c>
      <c r="AA1074" s="609">
        <f t="shared" si="151"/>
        <v>82881.600000000006</v>
      </c>
      <c r="AB1074" s="753">
        <f t="shared" si="152"/>
        <v>59520</v>
      </c>
      <c r="AC1074" s="714"/>
    </row>
    <row r="1075" spans="1:29" x14ac:dyDescent="0.25">
      <c r="A1075" s="713"/>
      <c r="B1075" s="731" t="s">
        <v>1557</v>
      </c>
      <c r="C1075" s="547" t="s">
        <v>40</v>
      </c>
      <c r="D1075" s="547" t="s">
        <v>620</v>
      </c>
      <c r="E1075" s="683">
        <v>44621</v>
      </c>
      <c r="F1075" s="547">
        <v>744</v>
      </c>
      <c r="G1075" s="547" t="s">
        <v>59</v>
      </c>
      <c r="H1075" s="547" t="s">
        <v>5</v>
      </c>
      <c r="I1075" s="547" t="s">
        <v>44</v>
      </c>
      <c r="J1075" s="547" t="s">
        <v>85</v>
      </c>
      <c r="K1075" s="547">
        <v>40</v>
      </c>
      <c r="L1075" s="727" t="s">
        <v>92</v>
      </c>
      <c r="M1075" s="697">
        <v>0</v>
      </c>
      <c r="N1075" s="727">
        <v>2</v>
      </c>
      <c r="O1075" s="697">
        <v>0</v>
      </c>
      <c r="P1075" s="727">
        <v>95.7</v>
      </c>
      <c r="Q1075" s="750">
        <f t="shared" si="144"/>
        <v>0</v>
      </c>
      <c r="R1075" s="608">
        <f t="shared" si="145"/>
        <v>142401.60000000001</v>
      </c>
      <c r="S1075" s="751">
        <f t="shared" si="146"/>
        <v>142401.60000000001</v>
      </c>
      <c r="T1075" s="750">
        <v>55.7</v>
      </c>
      <c r="U1075" s="608">
        <f t="shared" si="147"/>
        <v>82881.600000000006</v>
      </c>
      <c r="V1075" s="751">
        <f t="shared" si="148"/>
        <v>59520</v>
      </c>
      <c r="W1075" s="752">
        <v>55.7</v>
      </c>
      <c r="X1075" s="609">
        <f t="shared" si="149"/>
        <v>82881.600000000006</v>
      </c>
      <c r="Y1075" s="703">
        <f t="shared" si="150"/>
        <v>59520</v>
      </c>
      <c r="Z1075" s="752">
        <v>55.7</v>
      </c>
      <c r="AA1075" s="609">
        <f t="shared" si="151"/>
        <v>82881.600000000006</v>
      </c>
      <c r="AB1075" s="753">
        <f t="shared" si="152"/>
        <v>59520</v>
      </c>
      <c r="AC1075" s="714"/>
    </row>
    <row r="1076" spans="1:29" x14ac:dyDescent="0.25">
      <c r="A1076" s="713"/>
      <c r="B1076" s="731" t="s">
        <v>1559</v>
      </c>
      <c r="C1076" s="547" t="s">
        <v>40</v>
      </c>
      <c r="D1076" s="547" t="s">
        <v>1540</v>
      </c>
      <c r="E1076" s="683">
        <v>44621</v>
      </c>
      <c r="F1076" s="547">
        <v>744</v>
      </c>
      <c r="G1076" s="547" t="s">
        <v>59</v>
      </c>
      <c r="H1076" s="547" t="s">
        <v>6</v>
      </c>
      <c r="I1076" s="547" t="s">
        <v>44</v>
      </c>
      <c r="J1076" s="547" t="s">
        <v>85</v>
      </c>
      <c r="K1076" s="547">
        <v>198</v>
      </c>
      <c r="L1076" s="727" t="s">
        <v>92</v>
      </c>
      <c r="M1076" s="697">
        <v>0</v>
      </c>
      <c r="N1076" s="727">
        <v>0.2</v>
      </c>
      <c r="O1076" s="697">
        <v>0</v>
      </c>
      <c r="P1076" s="727">
        <v>253.7</v>
      </c>
      <c r="Q1076" s="750">
        <f t="shared" si="144"/>
        <v>0</v>
      </c>
      <c r="R1076" s="608">
        <f t="shared" si="145"/>
        <v>37750.559999999998</v>
      </c>
      <c r="S1076" s="751">
        <f t="shared" si="146"/>
        <v>37750.559999999998</v>
      </c>
      <c r="T1076" s="750">
        <v>55.7</v>
      </c>
      <c r="U1076" s="608">
        <f t="shared" si="147"/>
        <v>8288.1600000000017</v>
      </c>
      <c r="V1076" s="751">
        <f t="shared" si="148"/>
        <v>29462.399999999994</v>
      </c>
      <c r="W1076" s="752">
        <v>55.7</v>
      </c>
      <c r="X1076" s="609">
        <f t="shared" si="149"/>
        <v>8288.1600000000017</v>
      </c>
      <c r="Y1076" s="703">
        <f t="shared" si="150"/>
        <v>29462.399999999994</v>
      </c>
      <c r="Z1076" s="752">
        <v>55.7</v>
      </c>
      <c r="AA1076" s="609">
        <f t="shared" si="151"/>
        <v>8288.1600000000017</v>
      </c>
      <c r="AB1076" s="753">
        <f t="shared" si="152"/>
        <v>29462.399999999994</v>
      </c>
      <c r="AC1076" s="714"/>
    </row>
    <row r="1077" spans="1:29" x14ac:dyDescent="0.25">
      <c r="A1077" s="713"/>
      <c r="B1077" s="731" t="s">
        <v>1561</v>
      </c>
      <c r="C1077" s="547" t="s">
        <v>40</v>
      </c>
      <c r="D1077" s="547" t="s">
        <v>411</v>
      </c>
      <c r="E1077" s="683">
        <v>44621</v>
      </c>
      <c r="F1077" s="547">
        <v>744</v>
      </c>
      <c r="G1077" s="547" t="s">
        <v>59</v>
      </c>
      <c r="H1077" s="547" t="s">
        <v>5</v>
      </c>
      <c r="I1077" s="547" t="s">
        <v>44</v>
      </c>
      <c r="J1077" s="547" t="s">
        <v>85</v>
      </c>
      <c r="K1077" s="547">
        <v>40</v>
      </c>
      <c r="L1077" s="727" t="s">
        <v>92</v>
      </c>
      <c r="M1077" s="697">
        <v>0</v>
      </c>
      <c r="N1077" s="727">
        <v>1.9</v>
      </c>
      <c r="O1077" s="697">
        <v>0</v>
      </c>
      <c r="P1077" s="727">
        <v>95.7</v>
      </c>
      <c r="Q1077" s="750">
        <f t="shared" si="144"/>
        <v>0</v>
      </c>
      <c r="R1077" s="608">
        <f t="shared" si="145"/>
        <v>135281.51999999999</v>
      </c>
      <c r="S1077" s="751">
        <f t="shared" si="146"/>
        <v>135281.51999999999</v>
      </c>
      <c r="T1077" s="750">
        <v>55.7</v>
      </c>
      <c r="U1077" s="608">
        <f t="shared" si="147"/>
        <v>78737.52</v>
      </c>
      <c r="V1077" s="751">
        <f t="shared" si="148"/>
        <v>56543.999999999985</v>
      </c>
      <c r="W1077" s="752">
        <v>55.7</v>
      </c>
      <c r="X1077" s="609">
        <f t="shared" si="149"/>
        <v>78737.52</v>
      </c>
      <c r="Y1077" s="703">
        <f t="shared" si="150"/>
        <v>56543.999999999985</v>
      </c>
      <c r="Z1077" s="752">
        <v>55.7</v>
      </c>
      <c r="AA1077" s="609">
        <f t="shared" si="151"/>
        <v>78737.52</v>
      </c>
      <c r="AB1077" s="753">
        <f t="shared" si="152"/>
        <v>56543.999999999985</v>
      </c>
      <c r="AC1077" s="714"/>
    </row>
    <row r="1078" spans="1:29" x14ac:dyDescent="0.25">
      <c r="A1078" s="713"/>
      <c r="B1078" s="731" t="s">
        <v>1563</v>
      </c>
      <c r="C1078" s="547" t="s">
        <v>40</v>
      </c>
      <c r="D1078" s="547" t="s">
        <v>475</v>
      </c>
      <c r="E1078" s="683">
        <v>44621</v>
      </c>
      <c r="F1078" s="547">
        <v>744</v>
      </c>
      <c r="G1078" s="547" t="s">
        <v>59</v>
      </c>
      <c r="H1078" s="547" t="s">
        <v>5</v>
      </c>
      <c r="I1078" s="547" t="s">
        <v>44</v>
      </c>
      <c r="J1078" s="547" t="s">
        <v>85</v>
      </c>
      <c r="K1078" s="547">
        <v>40</v>
      </c>
      <c r="L1078" s="727" t="s">
        <v>92</v>
      </c>
      <c r="M1078" s="697">
        <v>0</v>
      </c>
      <c r="N1078" s="727">
        <v>0.1</v>
      </c>
      <c r="O1078" s="697">
        <v>0</v>
      </c>
      <c r="P1078" s="727">
        <v>95.7</v>
      </c>
      <c r="Q1078" s="750">
        <f t="shared" si="144"/>
        <v>0</v>
      </c>
      <c r="R1078" s="608">
        <f t="shared" si="145"/>
        <v>7120.0800000000008</v>
      </c>
      <c r="S1078" s="751">
        <f t="shared" si="146"/>
        <v>7120.0800000000008</v>
      </c>
      <c r="T1078" s="750">
        <v>55.7</v>
      </c>
      <c r="U1078" s="608">
        <f t="shared" si="147"/>
        <v>4144.0800000000008</v>
      </c>
      <c r="V1078" s="751">
        <f t="shared" si="148"/>
        <v>2976</v>
      </c>
      <c r="W1078" s="752">
        <v>55.7</v>
      </c>
      <c r="X1078" s="609">
        <f t="shared" si="149"/>
        <v>4144.0800000000008</v>
      </c>
      <c r="Y1078" s="703">
        <f t="shared" si="150"/>
        <v>2976</v>
      </c>
      <c r="Z1078" s="752">
        <v>55.7</v>
      </c>
      <c r="AA1078" s="609">
        <f t="shared" si="151"/>
        <v>4144.0800000000008</v>
      </c>
      <c r="AB1078" s="753">
        <f t="shared" si="152"/>
        <v>2976</v>
      </c>
      <c r="AC1078" s="714"/>
    </row>
    <row r="1079" spans="1:29" x14ac:dyDescent="0.25">
      <c r="A1079" s="713"/>
      <c r="B1079" s="731" t="s">
        <v>1565</v>
      </c>
      <c r="C1079" s="547" t="s">
        <v>40</v>
      </c>
      <c r="D1079" s="547" t="s">
        <v>639</v>
      </c>
      <c r="E1079" s="683">
        <v>44621</v>
      </c>
      <c r="F1079" s="547">
        <v>744</v>
      </c>
      <c r="G1079" s="547" t="s">
        <v>59</v>
      </c>
      <c r="H1079" s="547" t="s">
        <v>5</v>
      </c>
      <c r="I1079" s="547" t="s">
        <v>44</v>
      </c>
      <c r="J1079" s="547" t="s">
        <v>85</v>
      </c>
      <c r="K1079" s="547">
        <v>40</v>
      </c>
      <c r="L1079" s="727" t="s">
        <v>92</v>
      </c>
      <c r="M1079" s="697">
        <v>0</v>
      </c>
      <c r="N1079" s="727">
        <v>4</v>
      </c>
      <c r="O1079" s="697">
        <v>0</v>
      </c>
      <c r="P1079" s="727">
        <v>95.7</v>
      </c>
      <c r="Q1079" s="750">
        <f t="shared" si="144"/>
        <v>0</v>
      </c>
      <c r="R1079" s="608">
        <f t="shared" si="145"/>
        <v>284803.20000000001</v>
      </c>
      <c r="S1079" s="751">
        <f t="shared" si="146"/>
        <v>284803.20000000001</v>
      </c>
      <c r="T1079" s="750">
        <v>55.7</v>
      </c>
      <c r="U1079" s="608">
        <f t="shared" si="147"/>
        <v>165763.20000000001</v>
      </c>
      <c r="V1079" s="751">
        <f t="shared" si="148"/>
        <v>119040</v>
      </c>
      <c r="W1079" s="752">
        <v>55.7</v>
      </c>
      <c r="X1079" s="609">
        <f t="shared" si="149"/>
        <v>165763.20000000001</v>
      </c>
      <c r="Y1079" s="703">
        <f t="shared" si="150"/>
        <v>119040</v>
      </c>
      <c r="Z1079" s="752">
        <v>55.7</v>
      </c>
      <c r="AA1079" s="609">
        <f t="shared" si="151"/>
        <v>165763.20000000001</v>
      </c>
      <c r="AB1079" s="753">
        <f t="shared" si="152"/>
        <v>119040</v>
      </c>
      <c r="AC1079" s="714"/>
    </row>
    <row r="1080" spans="1:29" x14ac:dyDescent="0.25">
      <c r="A1080" s="713"/>
      <c r="B1080" s="731" t="s">
        <v>1567</v>
      </c>
      <c r="C1080" s="547" t="s">
        <v>40</v>
      </c>
      <c r="D1080" s="547" t="s">
        <v>1520</v>
      </c>
      <c r="E1080" s="683">
        <v>44621</v>
      </c>
      <c r="F1080" s="547">
        <v>744</v>
      </c>
      <c r="G1080" s="547" t="s">
        <v>59</v>
      </c>
      <c r="H1080" s="547" t="s">
        <v>6</v>
      </c>
      <c r="I1080" s="547" t="s">
        <v>44</v>
      </c>
      <c r="J1080" s="547" t="s">
        <v>85</v>
      </c>
      <c r="K1080" s="547">
        <v>201</v>
      </c>
      <c r="L1080" s="727" t="s">
        <v>92</v>
      </c>
      <c r="M1080" s="697">
        <v>0</v>
      </c>
      <c r="N1080" s="727">
        <v>0.5</v>
      </c>
      <c r="O1080" s="697">
        <v>0</v>
      </c>
      <c r="P1080" s="727">
        <v>256.7</v>
      </c>
      <c r="Q1080" s="750">
        <f t="shared" si="144"/>
        <v>0</v>
      </c>
      <c r="R1080" s="608">
        <f t="shared" si="145"/>
        <v>95492.4</v>
      </c>
      <c r="S1080" s="751">
        <f t="shared" si="146"/>
        <v>95492.4</v>
      </c>
      <c r="T1080" s="750">
        <v>55.7</v>
      </c>
      <c r="U1080" s="608">
        <f t="shared" si="147"/>
        <v>20720.400000000001</v>
      </c>
      <c r="V1080" s="751">
        <f t="shared" si="148"/>
        <v>74772</v>
      </c>
      <c r="W1080" s="752">
        <v>55.7</v>
      </c>
      <c r="X1080" s="609">
        <f t="shared" si="149"/>
        <v>20720.400000000001</v>
      </c>
      <c r="Y1080" s="703">
        <f t="shared" si="150"/>
        <v>74772</v>
      </c>
      <c r="Z1080" s="752">
        <v>55.7</v>
      </c>
      <c r="AA1080" s="609">
        <f t="shared" si="151"/>
        <v>20720.400000000001</v>
      </c>
      <c r="AB1080" s="753">
        <f t="shared" si="152"/>
        <v>74772</v>
      </c>
      <c r="AC1080" s="714"/>
    </row>
    <row r="1081" spans="1:29" x14ac:dyDescent="0.25">
      <c r="A1081" s="713"/>
      <c r="B1081" s="730" t="s">
        <v>1583</v>
      </c>
      <c r="C1081" s="546" t="s">
        <v>40</v>
      </c>
      <c r="D1081" s="546" t="s">
        <v>404</v>
      </c>
      <c r="E1081" s="682">
        <v>44835</v>
      </c>
      <c r="F1081" s="546">
        <v>744</v>
      </c>
      <c r="G1081" s="546" t="s">
        <v>59</v>
      </c>
      <c r="H1081" s="546" t="s">
        <v>3</v>
      </c>
      <c r="I1081" s="546" t="s">
        <v>44</v>
      </c>
      <c r="J1081" s="546" t="s">
        <v>85</v>
      </c>
      <c r="K1081" s="546">
        <v>143</v>
      </c>
      <c r="L1081" s="726" t="s">
        <v>54</v>
      </c>
      <c r="M1081" s="696">
        <v>0</v>
      </c>
      <c r="N1081" s="726">
        <v>5</v>
      </c>
      <c r="O1081" s="696">
        <v>0</v>
      </c>
      <c r="P1081" s="726">
        <v>143</v>
      </c>
      <c r="Q1081" s="746">
        <f t="shared" si="144"/>
        <v>0</v>
      </c>
      <c r="R1081" s="606">
        <f t="shared" si="145"/>
        <v>531960</v>
      </c>
      <c r="S1081" s="747">
        <f t="shared" si="146"/>
        <v>531960</v>
      </c>
      <c r="T1081" s="746">
        <v>55.7</v>
      </c>
      <c r="U1081" s="606">
        <f t="shared" si="147"/>
        <v>207204</v>
      </c>
      <c r="V1081" s="747">
        <f t="shared" si="148"/>
        <v>324756</v>
      </c>
      <c r="W1081" s="748">
        <v>55.7</v>
      </c>
      <c r="X1081" s="607">
        <f t="shared" si="149"/>
        <v>207204</v>
      </c>
      <c r="Y1081" s="702">
        <f t="shared" si="150"/>
        <v>324756</v>
      </c>
      <c r="Z1081" s="748">
        <v>55.7</v>
      </c>
      <c r="AA1081" s="607">
        <f t="shared" si="151"/>
        <v>207204</v>
      </c>
      <c r="AB1081" s="749">
        <f t="shared" si="152"/>
        <v>324756</v>
      </c>
      <c r="AC1081" s="714"/>
    </row>
    <row r="1082" spans="1:29" x14ac:dyDescent="0.25">
      <c r="A1082" s="713"/>
      <c r="B1082" s="714" t="s">
        <v>1583</v>
      </c>
      <c r="C1082" s="676" t="s">
        <v>40</v>
      </c>
      <c r="D1082" s="676" t="s">
        <v>404</v>
      </c>
      <c r="E1082" s="680">
        <v>44866</v>
      </c>
      <c r="F1082" s="676">
        <v>720</v>
      </c>
      <c r="G1082" s="676" t="s">
        <v>59</v>
      </c>
      <c r="H1082" s="676" t="s">
        <v>3</v>
      </c>
      <c r="I1082" s="676" t="s">
        <v>44</v>
      </c>
      <c r="J1082" s="676" t="s">
        <v>85</v>
      </c>
      <c r="K1082" s="676">
        <v>143</v>
      </c>
      <c r="L1082" s="690" t="s">
        <v>54</v>
      </c>
      <c r="M1082" s="691">
        <v>0</v>
      </c>
      <c r="N1082" s="690">
        <v>5</v>
      </c>
      <c r="O1082" s="691">
        <v>0</v>
      </c>
      <c r="P1082" s="690">
        <v>143</v>
      </c>
      <c r="Q1082" s="738">
        <f t="shared" si="144"/>
        <v>0</v>
      </c>
      <c r="R1082" s="677">
        <f t="shared" si="145"/>
        <v>514800</v>
      </c>
      <c r="S1082" s="739">
        <f t="shared" si="146"/>
        <v>514800</v>
      </c>
      <c r="T1082" s="738">
        <v>55.7</v>
      </c>
      <c r="U1082" s="677">
        <f t="shared" si="147"/>
        <v>200520</v>
      </c>
      <c r="V1082" s="739">
        <f t="shared" si="148"/>
        <v>314280</v>
      </c>
      <c r="W1082" s="740">
        <v>55.7</v>
      </c>
      <c r="X1082" s="678">
        <f t="shared" si="149"/>
        <v>200520</v>
      </c>
      <c r="Y1082" s="700">
        <f t="shared" si="150"/>
        <v>314280</v>
      </c>
      <c r="Z1082" s="740">
        <v>55.7</v>
      </c>
      <c r="AA1082" s="678">
        <f t="shared" si="151"/>
        <v>200520</v>
      </c>
      <c r="AB1082" s="741">
        <f t="shared" si="152"/>
        <v>314280</v>
      </c>
      <c r="AC1082" s="714"/>
    </row>
    <row r="1083" spans="1:29" x14ac:dyDescent="0.25">
      <c r="A1083" s="713"/>
      <c r="B1083" s="729" t="s">
        <v>1583</v>
      </c>
      <c r="C1083" s="545" t="s">
        <v>40</v>
      </c>
      <c r="D1083" s="545" t="s">
        <v>404</v>
      </c>
      <c r="E1083" s="681">
        <v>44896</v>
      </c>
      <c r="F1083" s="545">
        <v>744</v>
      </c>
      <c r="G1083" s="545" t="s">
        <v>59</v>
      </c>
      <c r="H1083" s="545" t="s">
        <v>3</v>
      </c>
      <c r="I1083" s="545" t="s">
        <v>44</v>
      </c>
      <c r="J1083" s="545" t="s">
        <v>85</v>
      </c>
      <c r="K1083" s="545">
        <v>143</v>
      </c>
      <c r="L1083" s="725" t="s">
        <v>54</v>
      </c>
      <c r="M1083" s="695">
        <v>0</v>
      </c>
      <c r="N1083" s="725">
        <v>5</v>
      </c>
      <c r="O1083" s="695">
        <v>0</v>
      </c>
      <c r="P1083" s="725">
        <v>143</v>
      </c>
      <c r="Q1083" s="742">
        <f t="shared" si="144"/>
        <v>0</v>
      </c>
      <c r="R1083" s="603">
        <f t="shared" si="145"/>
        <v>531960</v>
      </c>
      <c r="S1083" s="743">
        <f t="shared" si="146"/>
        <v>531960</v>
      </c>
      <c r="T1083" s="742">
        <v>55.7</v>
      </c>
      <c r="U1083" s="603">
        <f t="shared" si="147"/>
        <v>207204</v>
      </c>
      <c r="V1083" s="743">
        <f t="shared" si="148"/>
        <v>324756</v>
      </c>
      <c r="W1083" s="744">
        <v>55.7</v>
      </c>
      <c r="X1083" s="604">
        <f t="shared" si="149"/>
        <v>207204</v>
      </c>
      <c r="Y1083" s="701">
        <f t="shared" si="150"/>
        <v>324756</v>
      </c>
      <c r="Z1083" s="744">
        <v>78.400653594793155</v>
      </c>
      <c r="AA1083" s="604">
        <f t="shared" si="151"/>
        <v>291650.43137263053</v>
      </c>
      <c r="AB1083" s="745">
        <f t="shared" si="152"/>
        <v>240309.56862736947</v>
      </c>
      <c r="AC1083" s="714"/>
    </row>
    <row r="1084" spans="1:29" x14ac:dyDescent="0.25">
      <c r="A1084" s="713"/>
      <c r="B1084" s="731" t="s">
        <v>1584</v>
      </c>
      <c r="C1084" s="547" t="s">
        <v>40</v>
      </c>
      <c r="D1084" s="547" t="s">
        <v>349</v>
      </c>
      <c r="E1084" s="683">
        <v>44805</v>
      </c>
      <c r="F1084" s="547">
        <v>720</v>
      </c>
      <c r="G1084" s="547" t="s">
        <v>59</v>
      </c>
      <c r="H1084" s="547" t="s">
        <v>3</v>
      </c>
      <c r="I1084" s="547" t="s">
        <v>44</v>
      </c>
      <c r="J1084" s="547" t="s">
        <v>85</v>
      </c>
      <c r="K1084" s="547">
        <v>125</v>
      </c>
      <c r="L1084" s="727" t="s">
        <v>54</v>
      </c>
      <c r="M1084" s="697">
        <v>0</v>
      </c>
      <c r="N1084" s="727">
        <v>5</v>
      </c>
      <c r="O1084" s="697">
        <v>0</v>
      </c>
      <c r="P1084" s="727">
        <v>125</v>
      </c>
      <c r="Q1084" s="750">
        <f t="shared" si="144"/>
        <v>0</v>
      </c>
      <c r="R1084" s="608">
        <f t="shared" si="145"/>
        <v>450000</v>
      </c>
      <c r="S1084" s="751">
        <f t="shared" si="146"/>
        <v>450000</v>
      </c>
      <c r="T1084" s="750">
        <v>56.08</v>
      </c>
      <c r="U1084" s="608">
        <f t="shared" si="147"/>
        <v>201888</v>
      </c>
      <c r="V1084" s="751">
        <f t="shared" si="148"/>
        <v>248112</v>
      </c>
      <c r="W1084" s="752">
        <v>56.08</v>
      </c>
      <c r="X1084" s="609">
        <f t="shared" si="149"/>
        <v>201888</v>
      </c>
      <c r="Y1084" s="703">
        <f t="shared" si="150"/>
        <v>248112</v>
      </c>
      <c r="Z1084" s="752">
        <v>56.08</v>
      </c>
      <c r="AA1084" s="609">
        <f t="shared" si="151"/>
        <v>201888</v>
      </c>
      <c r="AB1084" s="753">
        <f t="shared" si="152"/>
        <v>248112</v>
      </c>
      <c r="AC1084" s="714"/>
    </row>
    <row r="1085" spans="1:29" x14ac:dyDescent="0.25">
      <c r="A1085" s="713"/>
      <c r="B1085" s="731" t="s">
        <v>1585</v>
      </c>
      <c r="C1085" s="547" t="s">
        <v>40</v>
      </c>
      <c r="D1085" s="547" t="s">
        <v>465</v>
      </c>
      <c r="E1085" s="683">
        <v>44896</v>
      </c>
      <c r="F1085" s="547">
        <v>744</v>
      </c>
      <c r="G1085" s="547" t="s">
        <v>59</v>
      </c>
      <c r="H1085" s="547" t="s">
        <v>3</v>
      </c>
      <c r="I1085" s="547" t="s">
        <v>44</v>
      </c>
      <c r="J1085" s="547" t="s">
        <v>85</v>
      </c>
      <c r="K1085" s="547">
        <v>138</v>
      </c>
      <c r="L1085" s="727" t="s">
        <v>54</v>
      </c>
      <c r="M1085" s="697">
        <v>0</v>
      </c>
      <c r="N1085" s="727">
        <v>10</v>
      </c>
      <c r="O1085" s="697">
        <v>0</v>
      </c>
      <c r="P1085" s="727">
        <v>138</v>
      </c>
      <c r="Q1085" s="750">
        <f t="shared" si="144"/>
        <v>0</v>
      </c>
      <c r="R1085" s="608">
        <f t="shared" si="145"/>
        <v>1026720</v>
      </c>
      <c r="S1085" s="751">
        <f t="shared" si="146"/>
        <v>1026720</v>
      </c>
      <c r="T1085" s="750">
        <v>55.7</v>
      </c>
      <c r="U1085" s="608">
        <f t="shared" si="147"/>
        <v>414408</v>
      </c>
      <c r="V1085" s="751">
        <f t="shared" si="148"/>
        <v>612312</v>
      </c>
      <c r="W1085" s="752">
        <v>55.7</v>
      </c>
      <c r="X1085" s="609">
        <f t="shared" si="149"/>
        <v>414408</v>
      </c>
      <c r="Y1085" s="703">
        <f t="shared" si="150"/>
        <v>612312</v>
      </c>
      <c r="Z1085" s="752">
        <v>78.400653594793155</v>
      </c>
      <c r="AA1085" s="609">
        <f t="shared" si="151"/>
        <v>583300.86274526105</v>
      </c>
      <c r="AB1085" s="753">
        <f t="shared" si="152"/>
        <v>443419.13725473895</v>
      </c>
      <c r="AC1085" s="714"/>
    </row>
    <row r="1086" spans="1:29" x14ac:dyDescent="0.25">
      <c r="A1086" s="713"/>
      <c r="B1086" s="731" t="s">
        <v>1586</v>
      </c>
      <c r="C1086" s="547" t="s">
        <v>40</v>
      </c>
      <c r="D1086" s="547" t="s">
        <v>471</v>
      </c>
      <c r="E1086" s="683">
        <v>44896</v>
      </c>
      <c r="F1086" s="547">
        <v>744</v>
      </c>
      <c r="G1086" s="547" t="s">
        <v>59</v>
      </c>
      <c r="H1086" s="547" t="s">
        <v>3</v>
      </c>
      <c r="I1086" s="547" t="s">
        <v>44</v>
      </c>
      <c r="J1086" s="547" t="s">
        <v>85</v>
      </c>
      <c r="K1086" s="547">
        <v>138</v>
      </c>
      <c r="L1086" s="727" t="s">
        <v>54</v>
      </c>
      <c r="M1086" s="697">
        <v>0</v>
      </c>
      <c r="N1086" s="727">
        <v>2.5</v>
      </c>
      <c r="O1086" s="697">
        <v>0</v>
      </c>
      <c r="P1086" s="727">
        <v>138</v>
      </c>
      <c r="Q1086" s="750">
        <f t="shared" si="144"/>
        <v>0</v>
      </c>
      <c r="R1086" s="608">
        <f t="shared" si="145"/>
        <v>256680</v>
      </c>
      <c r="S1086" s="751">
        <f t="shared" si="146"/>
        <v>256680</v>
      </c>
      <c r="T1086" s="750">
        <v>55.7</v>
      </c>
      <c r="U1086" s="608">
        <f t="shared" si="147"/>
        <v>103602</v>
      </c>
      <c r="V1086" s="751">
        <f t="shared" si="148"/>
        <v>153078</v>
      </c>
      <c r="W1086" s="752">
        <v>55.7</v>
      </c>
      <c r="X1086" s="609">
        <f t="shared" si="149"/>
        <v>103602</v>
      </c>
      <c r="Y1086" s="703">
        <f t="shared" si="150"/>
        <v>153078</v>
      </c>
      <c r="Z1086" s="752">
        <v>78.400653594793155</v>
      </c>
      <c r="AA1086" s="609">
        <f t="shared" si="151"/>
        <v>145825.21568631526</v>
      </c>
      <c r="AB1086" s="753">
        <f t="shared" si="152"/>
        <v>110854.78431368474</v>
      </c>
      <c r="AC1086" s="714"/>
    </row>
    <row r="1087" spans="1:29" x14ac:dyDescent="0.25">
      <c r="A1087" s="713"/>
      <c r="B1087" s="731" t="s">
        <v>1587</v>
      </c>
      <c r="C1087" s="547" t="s">
        <v>40</v>
      </c>
      <c r="D1087" s="547" t="s">
        <v>465</v>
      </c>
      <c r="E1087" s="683">
        <v>44805</v>
      </c>
      <c r="F1087" s="547">
        <v>720</v>
      </c>
      <c r="G1087" s="547" t="s">
        <v>59</v>
      </c>
      <c r="H1087" s="547" t="s">
        <v>3</v>
      </c>
      <c r="I1087" s="547" t="s">
        <v>44</v>
      </c>
      <c r="J1087" s="547" t="s">
        <v>85</v>
      </c>
      <c r="K1087" s="547">
        <v>125</v>
      </c>
      <c r="L1087" s="727" t="s">
        <v>54</v>
      </c>
      <c r="M1087" s="697">
        <v>0</v>
      </c>
      <c r="N1087" s="727">
        <v>5</v>
      </c>
      <c r="O1087" s="697">
        <v>0</v>
      </c>
      <c r="P1087" s="727">
        <v>125</v>
      </c>
      <c r="Q1087" s="750">
        <f t="shared" si="144"/>
        <v>0</v>
      </c>
      <c r="R1087" s="608">
        <f t="shared" si="145"/>
        <v>450000</v>
      </c>
      <c r="S1087" s="751">
        <f t="shared" si="146"/>
        <v>450000</v>
      </c>
      <c r="T1087" s="750">
        <v>56.08</v>
      </c>
      <c r="U1087" s="608">
        <f t="shared" si="147"/>
        <v>201888</v>
      </c>
      <c r="V1087" s="751">
        <f t="shared" si="148"/>
        <v>248112</v>
      </c>
      <c r="W1087" s="752">
        <v>56.08</v>
      </c>
      <c r="X1087" s="609">
        <f t="shared" si="149"/>
        <v>201888</v>
      </c>
      <c r="Y1087" s="703">
        <f t="shared" si="150"/>
        <v>248112</v>
      </c>
      <c r="Z1087" s="752">
        <v>56.08</v>
      </c>
      <c r="AA1087" s="609">
        <f t="shared" si="151"/>
        <v>201888</v>
      </c>
      <c r="AB1087" s="753">
        <f t="shared" si="152"/>
        <v>248112</v>
      </c>
      <c r="AC1087" s="714"/>
    </row>
    <row r="1088" spans="1:29" x14ac:dyDescent="0.25">
      <c r="A1088" s="713"/>
      <c r="B1088" s="730" t="s">
        <v>1590</v>
      </c>
      <c r="C1088" s="546" t="s">
        <v>40</v>
      </c>
      <c r="D1088" s="546" t="s">
        <v>1167</v>
      </c>
      <c r="E1088" s="682">
        <v>44927</v>
      </c>
      <c r="F1088" s="546">
        <v>744</v>
      </c>
      <c r="G1088" s="546" t="s">
        <v>59</v>
      </c>
      <c r="H1088" s="546" t="s">
        <v>3</v>
      </c>
      <c r="I1088" s="546" t="s">
        <v>44</v>
      </c>
      <c r="J1088" s="546" t="s">
        <v>85</v>
      </c>
      <c r="K1088" s="546">
        <v>197</v>
      </c>
      <c r="L1088" s="726" t="s">
        <v>54</v>
      </c>
      <c r="M1088" s="696">
        <v>0</v>
      </c>
      <c r="N1088" s="726">
        <v>2</v>
      </c>
      <c r="O1088" s="696">
        <v>0</v>
      </c>
      <c r="P1088" s="726">
        <v>201.65218769468942</v>
      </c>
      <c r="Q1088" s="746">
        <f t="shared" si="144"/>
        <v>0</v>
      </c>
      <c r="R1088" s="606">
        <f t="shared" si="145"/>
        <v>300058.45528969786</v>
      </c>
      <c r="S1088" s="747">
        <f t="shared" si="146"/>
        <v>300058.45528969786</v>
      </c>
      <c r="T1088" s="746">
        <v>68.72</v>
      </c>
      <c r="U1088" s="606">
        <f t="shared" si="147"/>
        <v>102255.36</v>
      </c>
      <c r="V1088" s="747">
        <f t="shared" si="148"/>
        <v>197803.09528969787</v>
      </c>
      <c r="W1088" s="748">
        <v>55.7</v>
      </c>
      <c r="X1088" s="607">
        <f t="shared" si="149"/>
        <v>82881.600000000006</v>
      </c>
      <c r="Y1088" s="702">
        <f t="shared" si="150"/>
        <v>217176.85528969785</v>
      </c>
      <c r="Z1088" s="748">
        <v>96.206580759134184</v>
      </c>
      <c r="AA1088" s="607">
        <f t="shared" si="151"/>
        <v>143155.39216959168</v>
      </c>
      <c r="AB1088" s="749">
        <f t="shared" si="152"/>
        <v>156903.06312010618</v>
      </c>
      <c r="AC1088" s="714"/>
    </row>
    <row r="1089" spans="1:29" x14ac:dyDescent="0.25">
      <c r="A1089" s="713"/>
      <c r="B1089" s="714" t="s">
        <v>1590</v>
      </c>
      <c r="C1089" s="676" t="s">
        <v>40</v>
      </c>
      <c r="D1089" s="676" t="s">
        <v>1167</v>
      </c>
      <c r="E1089" s="680">
        <v>44958</v>
      </c>
      <c r="F1089" s="676">
        <v>672</v>
      </c>
      <c r="G1089" s="676" t="s">
        <v>59</v>
      </c>
      <c r="H1089" s="676" t="s">
        <v>3</v>
      </c>
      <c r="I1089" s="676" t="s">
        <v>44</v>
      </c>
      <c r="J1089" s="676" t="s">
        <v>85</v>
      </c>
      <c r="K1089" s="676">
        <v>197</v>
      </c>
      <c r="L1089" s="690" t="s">
        <v>54</v>
      </c>
      <c r="M1089" s="691">
        <v>0</v>
      </c>
      <c r="N1089" s="690">
        <v>2</v>
      </c>
      <c r="O1089" s="691">
        <v>0</v>
      </c>
      <c r="P1089" s="690">
        <v>201.65218769468942</v>
      </c>
      <c r="Q1089" s="738">
        <f t="shared" si="144"/>
        <v>0</v>
      </c>
      <c r="R1089" s="677">
        <f t="shared" si="145"/>
        <v>271020.54026166257</v>
      </c>
      <c r="S1089" s="739">
        <f t="shared" si="146"/>
        <v>271020.54026166257</v>
      </c>
      <c r="T1089" s="738">
        <v>69.25</v>
      </c>
      <c r="U1089" s="677">
        <f t="shared" si="147"/>
        <v>93072</v>
      </c>
      <c r="V1089" s="739">
        <f t="shared" si="148"/>
        <v>177948.54026166257</v>
      </c>
      <c r="W1089" s="740">
        <v>55.7</v>
      </c>
      <c r="X1089" s="678">
        <f t="shared" si="149"/>
        <v>74860.800000000003</v>
      </c>
      <c r="Y1089" s="700">
        <f t="shared" si="150"/>
        <v>196159.74026166258</v>
      </c>
      <c r="Z1089" s="740">
        <v>92.430648861364247</v>
      </c>
      <c r="AA1089" s="678">
        <f t="shared" si="151"/>
        <v>124226.79206967355</v>
      </c>
      <c r="AB1089" s="741">
        <f t="shared" si="152"/>
        <v>146793.74819198903</v>
      </c>
      <c r="AC1089" s="714"/>
    </row>
    <row r="1090" spans="1:29" x14ac:dyDescent="0.25">
      <c r="A1090" s="713"/>
      <c r="B1090" s="729" t="s">
        <v>1590</v>
      </c>
      <c r="C1090" s="545" t="s">
        <v>40</v>
      </c>
      <c r="D1090" s="545" t="s">
        <v>1167</v>
      </c>
      <c r="E1090" s="681">
        <v>44986</v>
      </c>
      <c r="F1090" s="545">
        <v>744</v>
      </c>
      <c r="G1090" s="545" t="s">
        <v>59</v>
      </c>
      <c r="H1090" s="545" t="s">
        <v>3</v>
      </c>
      <c r="I1090" s="545" t="s">
        <v>44</v>
      </c>
      <c r="J1090" s="545" t="s">
        <v>85</v>
      </c>
      <c r="K1090" s="545">
        <v>197</v>
      </c>
      <c r="L1090" s="725" t="s">
        <v>54</v>
      </c>
      <c r="M1090" s="695">
        <v>0</v>
      </c>
      <c r="N1090" s="725">
        <v>2</v>
      </c>
      <c r="O1090" s="695">
        <v>0</v>
      </c>
      <c r="P1090" s="725">
        <v>201.65218769468942</v>
      </c>
      <c r="Q1090" s="742">
        <f t="shared" si="144"/>
        <v>0</v>
      </c>
      <c r="R1090" s="603">
        <f t="shared" si="145"/>
        <v>300058.45528969786</v>
      </c>
      <c r="S1090" s="743">
        <f t="shared" si="146"/>
        <v>300058.45528969786</v>
      </c>
      <c r="T1090" s="742">
        <v>69.3</v>
      </c>
      <c r="U1090" s="603">
        <f t="shared" si="147"/>
        <v>103118.39999999999</v>
      </c>
      <c r="V1090" s="743">
        <f t="shared" si="148"/>
        <v>196940.05528969786</v>
      </c>
      <c r="W1090" s="744">
        <v>55.7</v>
      </c>
      <c r="X1090" s="604">
        <f t="shared" si="149"/>
        <v>82881.600000000006</v>
      </c>
      <c r="Y1090" s="701">
        <f t="shared" si="150"/>
        <v>217176.85528969785</v>
      </c>
      <c r="Z1090" s="744">
        <v>89.053218420260009</v>
      </c>
      <c r="AA1090" s="604">
        <f t="shared" si="151"/>
        <v>132511.18900934688</v>
      </c>
      <c r="AB1090" s="745">
        <f t="shared" si="152"/>
        <v>167547.26628035097</v>
      </c>
      <c r="AC1090" s="714"/>
    </row>
    <row r="1091" spans="1:29" x14ac:dyDescent="0.25">
      <c r="A1091" s="713"/>
      <c r="B1091" s="731" t="s">
        <v>1593</v>
      </c>
      <c r="C1091" s="547" t="s">
        <v>40</v>
      </c>
      <c r="D1091" s="547" t="s">
        <v>1592</v>
      </c>
      <c r="E1091" s="683">
        <v>44743</v>
      </c>
      <c r="F1091" s="547">
        <v>744</v>
      </c>
      <c r="G1091" s="547" t="s">
        <v>58</v>
      </c>
      <c r="H1091" s="547" t="s">
        <v>3</v>
      </c>
      <c r="I1091" s="547" t="s">
        <v>44</v>
      </c>
      <c r="J1091" s="547" t="s">
        <v>84</v>
      </c>
      <c r="K1091" s="547">
        <v>104</v>
      </c>
      <c r="L1091" s="727" t="s">
        <v>54</v>
      </c>
      <c r="M1091" s="697">
        <v>3</v>
      </c>
      <c r="N1091" s="727">
        <v>0</v>
      </c>
      <c r="O1091" s="697">
        <v>104</v>
      </c>
      <c r="P1091" s="727">
        <v>0</v>
      </c>
      <c r="Q1091" s="750">
        <f t="shared" ref="Q1091:Q1154" si="153">(O1091*(M1091*F1091))</f>
        <v>232128</v>
      </c>
      <c r="R1091" s="608">
        <f t="shared" ref="R1091:R1154" si="154">(P1091*(N1091*F1091))</f>
        <v>0</v>
      </c>
      <c r="S1091" s="751">
        <f t="shared" ref="S1091:S1154" si="155">R1091-Q1091</f>
        <v>-232128</v>
      </c>
      <c r="T1091" s="750">
        <v>66.319999999999993</v>
      </c>
      <c r="U1091" s="608">
        <f t="shared" ref="U1091:U1154" si="156">(((F1091*N1091)*T1091)-(T1091*(M1091*F1091)))</f>
        <v>-148026.23999999999</v>
      </c>
      <c r="V1091" s="751">
        <f t="shared" ref="V1091:V1154" si="157">S1091-U1091</f>
        <v>-84101.760000000009</v>
      </c>
      <c r="W1091" s="752">
        <v>66.319999999999993</v>
      </c>
      <c r="X1091" s="609">
        <f t="shared" ref="X1091:X1154" si="158">(((F1091*N1091)*W1091)-(W1091*(M1091*F1091)))</f>
        <v>-148026.23999999999</v>
      </c>
      <c r="Y1091" s="703">
        <f t="shared" ref="Y1091:Y1154" si="159">S1091-X1091</f>
        <v>-84101.760000000009</v>
      </c>
      <c r="Z1091" s="752">
        <v>66.319999999999993</v>
      </c>
      <c r="AA1091" s="609">
        <f t="shared" ref="AA1091:AA1154" si="160">(((F1091*N1091)*Z1091)-(Z1091*(M1091*F1091)))</f>
        <v>-148026.23999999999</v>
      </c>
      <c r="AB1091" s="753">
        <f t="shared" ref="AB1091:AB1154" si="161">S1091-AA1091</f>
        <v>-84101.760000000009</v>
      </c>
      <c r="AC1091" s="714"/>
    </row>
    <row r="1092" spans="1:29" x14ac:dyDescent="0.25">
      <c r="A1092" s="713"/>
      <c r="B1092" s="731" t="s">
        <v>1599</v>
      </c>
      <c r="C1092" s="547" t="s">
        <v>40</v>
      </c>
      <c r="D1092" s="547" t="s">
        <v>405</v>
      </c>
      <c r="E1092" s="683">
        <v>44805</v>
      </c>
      <c r="F1092" s="547">
        <v>720</v>
      </c>
      <c r="G1092" s="547" t="s">
        <v>59</v>
      </c>
      <c r="H1092" s="547" t="s">
        <v>3</v>
      </c>
      <c r="I1092" s="547" t="s">
        <v>44</v>
      </c>
      <c r="J1092" s="547" t="s">
        <v>85</v>
      </c>
      <c r="K1092" s="547">
        <v>136</v>
      </c>
      <c r="L1092" s="727" t="s">
        <v>54</v>
      </c>
      <c r="M1092" s="697">
        <v>0</v>
      </c>
      <c r="N1092" s="727">
        <v>10</v>
      </c>
      <c r="O1092" s="697">
        <v>0</v>
      </c>
      <c r="P1092" s="727">
        <v>136</v>
      </c>
      <c r="Q1092" s="750">
        <f t="shared" si="153"/>
        <v>0</v>
      </c>
      <c r="R1092" s="608">
        <f t="shared" si="154"/>
        <v>979200</v>
      </c>
      <c r="S1092" s="751">
        <f t="shared" si="155"/>
        <v>979200</v>
      </c>
      <c r="T1092" s="750">
        <v>56.08</v>
      </c>
      <c r="U1092" s="608">
        <f t="shared" si="156"/>
        <v>403776</v>
      </c>
      <c r="V1092" s="751">
        <f t="shared" si="157"/>
        <v>575424</v>
      </c>
      <c r="W1092" s="752">
        <v>56.08</v>
      </c>
      <c r="X1092" s="609">
        <f t="shared" si="158"/>
        <v>403776</v>
      </c>
      <c r="Y1092" s="703">
        <f t="shared" si="159"/>
        <v>575424</v>
      </c>
      <c r="Z1092" s="752">
        <v>56.08</v>
      </c>
      <c r="AA1092" s="609">
        <f t="shared" si="160"/>
        <v>403776</v>
      </c>
      <c r="AB1092" s="753">
        <f t="shared" si="161"/>
        <v>575424</v>
      </c>
      <c r="AC1092" s="714"/>
    </row>
    <row r="1093" spans="1:29" x14ac:dyDescent="0.25">
      <c r="A1093" s="713"/>
      <c r="B1093" s="731" t="s">
        <v>1600</v>
      </c>
      <c r="C1093" s="547" t="s">
        <v>40</v>
      </c>
      <c r="D1093" s="547" t="s">
        <v>585</v>
      </c>
      <c r="E1093" s="683">
        <v>44743</v>
      </c>
      <c r="F1093" s="547">
        <v>744</v>
      </c>
      <c r="G1093" s="547" t="s">
        <v>59</v>
      </c>
      <c r="H1093" s="547" t="s">
        <v>3</v>
      </c>
      <c r="I1093" s="547" t="s">
        <v>44</v>
      </c>
      <c r="J1093" s="547" t="s">
        <v>85</v>
      </c>
      <c r="K1093" s="547">
        <v>105</v>
      </c>
      <c r="L1093" s="727" t="s">
        <v>54</v>
      </c>
      <c r="M1093" s="697">
        <v>0</v>
      </c>
      <c r="N1093" s="727">
        <v>5</v>
      </c>
      <c r="O1093" s="697">
        <v>0</v>
      </c>
      <c r="P1093" s="727">
        <v>105</v>
      </c>
      <c r="Q1093" s="750">
        <f t="shared" si="153"/>
        <v>0</v>
      </c>
      <c r="R1093" s="608">
        <f t="shared" si="154"/>
        <v>390600</v>
      </c>
      <c r="S1093" s="751">
        <f t="shared" si="155"/>
        <v>390600</v>
      </c>
      <c r="T1093" s="750">
        <v>66.319999999999993</v>
      </c>
      <c r="U1093" s="608">
        <f t="shared" si="156"/>
        <v>246710.39999999997</v>
      </c>
      <c r="V1093" s="751">
        <f t="shared" si="157"/>
        <v>143889.60000000003</v>
      </c>
      <c r="W1093" s="752">
        <v>66.319999999999993</v>
      </c>
      <c r="X1093" s="609">
        <f t="shared" si="158"/>
        <v>246710.39999999997</v>
      </c>
      <c r="Y1093" s="703">
        <f t="shared" si="159"/>
        <v>143889.60000000003</v>
      </c>
      <c r="Z1093" s="752">
        <v>66.319999999999993</v>
      </c>
      <c r="AA1093" s="609">
        <f t="shared" si="160"/>
        <v>246710.39999999997</v>
      </c>
      <c r="AB1093" s="753">
        <f t="shared" si="161"/>
        <v>143889.60000000003</v>
      </c>
      <c r="AC1093" s="714"/>
    </row>
    <row r="1094" spans="1:29" x14ac:dyDescent="0.25">
      <c r="A1094" s="713"/>
      <c r="B1094" s="731" t="s">
        <v>1601</v>
      </c>
      <c r="C1094" s="547" t="s">
        <v>40</v>
      </c>
      <c r="D1094" s="547" t="s">
        <v>620</v>
      </c>
      <c r="E1094" s="683">
        <v>44743</v>
      </c>
      <c r="F1094" s="547">
        <v>744</v>
      </c>
      <c r="G1094" s="547" t="s">
        <v>58</v>
      </c>
      <c r="H1094" s="547" t="s">
        <v>3</v>
      </c>
      <c r="I1094" s="547" t="s">
        <v>44</v>
      </c>
      <c r="J1094" s="547" t="s">
        <v>84</v>
      </c>
      <c r="K1094" s="547">
        <v>104</v>
      </c>
      <c r="L1094" s="727" t="s">
        <v>54</v>
      </c>
      <c r="M1094" s="697">
        <v>5</v>
      </c>
      <c r="N1094" s="727">
        <v>0</v>
      </c>
      <c r="O1094" s="697">
        <v>104</v>
      </c>
      <c r="P1094" s="727">
        <v>0</v>
      </c>
      <c r="Q1094" s="750">
        <f t="shared" si="153"/>
        <v>386880</v>
      </c>
      <c r="R1094" s="608">
        <f t="shared" si="154"/>
        <v>0</v>
      </c>
      <c r="S1094" s="751">
        <f t="shared" si="155"/>
        <v>-386880</v>
      </c>
      <c r="T1094" s="750">
        <v>66.319999999999993</v>
      </c>
      <c r="U1094" s="608">
        <f t="shared" si="156"/>
        <v>-246710.39999999997</v>
      </c>
      <c r="V1094" s="751">
        <f t="shared" si="157"/>
        <v>-140169.60000000003</v>
      </c>
      <c r="W1094" s="752">
        <v>66.319999999999993</v>
      </c>
      <c r="X1094" s="609">
        <f t="shared" si="158"/>
        <v>-246710.39999999997</v>
      </c>
      <c r="Y1094" s="703">
        <f t="shared" si="159"/>
        <v>-140169.60000000003</v>
      </c>
      <c r="Z1094" s="752">
        <v>66.319999999999993</v>
      </c>
      <c r="AA1094" s="609">
        <f t="shared" si="160"/>
        <v>-246710.39999999997</v>
      </c>
      <c r="AB1094" s="753">
        <f t="shared" si="161"/>
        <v>-140169.60000000003</v>
      </c>
      <c r="AC1094" s="714"/>
    </row>
    <row r="1095" spans="1:29" x14ac:dyDescent="0.25">
      <c r="A1095" s="713"/>
      <c r="B1095" s="731" t="s">
        <v>1602</v>
      </c>
      <c r="C1095" s="547" t="s">
        <v>40</v>
      </c>
      <c r="D1095" s="547" t="s">
        <v>349</v>
      </c>
      <c r="E1095" s="683">
        <v>44743</v>
      </c>
      <c r="F1095" s="547">
        <v>744</v>
      </c>
      <c r="G1095" s="547" t="s">
        <v>58</v>
      </c>
      <c r="H1095" s="547" t="s">
        <v>3</v>
      </c>
      <c r="I1095" s="547" t="s">
        <v>44</v>
      </c>
      <c r="J1095" s="547" t="s">
        <v>84</v>
      </c>
      <c r="K1095" s="547">
        <v>104</v>
      </c>
      <c r="L1095" s="727" t="s">
        <v>54</v>
      </c>
      <c r="M1095" s="697">
        <v>10</v>
      </c>
      <c r="N1095" s="727">
        <v>0</v>
      </c>
      <c r="O1095" s="697">
        <v>104</v>
      </c>
      <c r="P1095" s="727">
        <v>0</v>
      </c>
      <c r="Q1095" s="750">
        <f t="shared" si="153"/>
        <v>773760</v>
      </c>
      <c r="R1095" s="608">
        <f t="shared" si="154"/>
        <v>0</v>
      </c>
      <c r="S1095" s="751">
        <f t="shared" si="155"/>
        <v>-773760</v>
      </c>
      <c r="T1095" s="750">
        <v>66.319999999999993</v>
      </c>
      <c r="U1095" s="608">
        <f t="shared" si="156"/>
        <v>-493420.79999999993</v>
      </c>
      <c r="V1095" s="751">
        <f t="shared" si="157"/>
        <v>-280339.20000000007</v>
      </c>
      <c r="W1095" s="752">
        <v>66.319999999999993</v>
      </c>
      <c r="X1095" s="609">
        <f t="shared" si="158"/>
        <v>-493420.79999999993</v>
      </c>
      <c r="Y1095" s="703">
        <f t="shared" si="159"/>
        <v>-280339.20000000007</v>
      </c>
      <c r="Z1095" s="752">
        <v>66.319999999999993</v>
      </c>
      <c r="AA1095" s="609">
        <f t="shared" si="160"/>
        <v>-493420.79999999993</v>
      </c>
      <c r="AB1095" s="753">
        <f t="shared" si="161"/>
        <v>-280339.20000000007</v>
      </c>
      <c r="AC1095" s="714"/>
    </row>
    <row r="1096" spans="1:29" x14ac:dyDescent="0.25">
      <c r="A1096" s="713"/>
      <c r="B1096" s="731" t="s">
        <v>1603</v>
      </c>
      <c r="C1096" s="547" t="s">
        <v>40</v>
      </c>
      <c r="D1096" s="547" t="s">
        <v>348</v>
      </c>
      <c r="E1096" s="683">
        <v>44743</v>
      </c>
      <c r="F1096" s="547">
        <v>744</v>
      </c>
      <c r="G1096" s="547" t="s">
        <v>58</v>
      </c>
      <c r="H1096" s="547" t="s">
        <v>3</v>
      </c>
      <c r="I1096" s="547" t="s">
        <v>44</v>
      </c>
      <c r="J1096" s="547" t="s">
        <v>84</v>
      </c>
      <c r="K1096" s="547">
        <v>104</v>
      </c>
      <c r="L1096" s="727" t="s">
        <v>54</v>
      </c>
      <c r="M1096" s="697">
        <v>2</v>
      </c>
      <c r="N1096" s="727">
        <v>0</v>
      </c>
      <c r="O1096" s="697">
        <v>104</v>
      </c>
      <c r="P1096" s="727">
        <v>0</v>
      </c>
      <c r="Q1096" s="750">
        <f t="shared" si="153"/>
        <v>154752</v>
      </c>
      <c r="R1096" s="608">
        <f t="shared" si="154"/>
        <v>0</v>
      </c>
      <c r="S1096" s="751">
        <f t="shared" si="155"/>
        <v>-154752</v>
      </c>
      <c r="T1096" s="750">
        <v>66.319999999999993</v>
      </c>
      <c r="U1096" s="608">
        <f t="shared" si="156"/>
        <v>-98684.159999999989</v>
      </c>
      <c r="V1096" s="751">
        <f t="shared" si="157"/>
        <v>-56067.840000000011</v>
      </c>
      <c r="W1096" s="752">
        <v>66.319999999999993</v>
      </c>
      <c r="X1096" s="609">
        <f t="shared" si="158"/>
        <v>-98684.159999999989</v>
      </c>
      <c r="Y1096" s="703">
        <f t="shared" si="159"/>
        <v>-56067.840000000011</v>
      </c>
      <c r="Z1096" s="752">
        <v>66.319999999999993</v>
      </c>
      <c r="AA1096" s="609">
        <f t="shared" si="160"/>
        <v>-98684.159999999989</v>
      </c>
      <c r="AB1096" s="753">
        <f t="shared" si="161"/>
        <v>-56067.840000000011</v>
      </c>
      <c r="AC1096" s="714"/>
    </row>
    <row r="1097" spans="1:29" x14ac:dyDescent="0.25">
      <c r="A1097" s="713"/>
      <c r="B1097" s="731" t="s">
        <v>1605</v>
      </c>
      <c r="C1097" s="547" t="s">
        <v>40</v>
      </c>
      <c r="D1097" s="547" t="s">
        <v>404</v>
      </c>
      <c r="E1097" s="683">
        <v>44805</v>
      </c>
      <c r="F1097" s="547">
        <v>720</v>
      </c>
      <c r="G1097" s="547" t="s">
        <v>59</v>
      </c>
      <c r="H1097" s="547" t="s">
        <v>3</v>
      </c>
      <c r="I1097" s="547" t="s">
        <v>44</v>
      </c>
      <c r="J1097" s="547" t="s">
        <v>85</v>
      </c>
      <c r="K1097" s="547">
        <v>140</v>
      </c>
      <c r="L1097" s="727" t="s">
        <v>54</v>
      </c>
      <c r="M1097" s="697">
        <v>0</v>
      </c>
      <c r="N1097" s="727">
        <v>2</v>
      </c>
      <c r="O1097" s="697">
        <v>0</v>
      </c>
      <c r="P1097" s="727">
        <v>140</v>
      </c>
      <c r="Q1097" s="750">
        <f t="shared" si="153"/>
        <v>0</v>
      </c>
      <c r="R1097" s="608">
        <f t="shared" si="154"/>
        <v>201600</v>
      </c>
      <c r="S1097" s="751">
        <f t="shared" si="155"/>
        <v>201600</v>
      </c>
      <c r="T1097" s="750">
        <v>56.08</v>
      </c>
      <c r="U1097" s="608">
        <f t="shared" si="156"/>
        <v>80755.199999999997</v>
      </c>
      <c r="V1097" s="751">
        <f t="shared" si="157"/>
        <v>120844.8</v>
      </c>
      <c r="W1097" s="752">
        <v>56.08</v>
      </c>
      <c r="X1097" s="609">
        <f t="shared" si="158"/>
        <v>80755.199999999997</v>
      </c>
      <c r="Y1097" s="703">
        <f t="shared" si="159"/>
        <v>120844.8</v>
      </c>
      <c r="Z1097" s="752">
        <v>56.08</v>
      </c>
      <c r="AA1097" s="609">
        <f t="shared" si="160"/>
        <v>80755.199999999997</v>
      </c>
      <c r="AB1097" s="753">
        <f t="shared" si="161"/>
        <v>120844.8</v>
      </c>
      <c r="AC1097" s="714"/>
    </row>
    <row r="1098" spans="1:29" x14ac:dyDescent="0.25">
      <c r="A1098" s="713"/>
      <c r="B1098" s="731" t="s">
        <v>1612</v>
      </c>
      <c r="C1098" s="547" t="s">
        <v>40</v>
      </c>
      <c r="D1098" s="547" t="s">
        <v>502</v>
      </c>
      <c r="E1098" s="683">
        <v>44713</v>
      </c>
      <c r="F1098" s="547">
        <v>720</v>
      </c>
      <c r="G1098" s="547" t="s">
        <v>59</v>
      </c>
      <c r="H1098" s="547" t="s">
        <v>3</v>
      </c>
      <c r="I1098" s="547" t="s">
        <v>44</v>
      </c>
      <c r="J1098" s="547" t="s">
        <v>85</v>
      </c>
      <c r="K1098" s="547">
        <v>75</v>
      </c>
      <c r="L1098" s="727" t="s">
        <v>54</v>
      </c>
      <c r="M1098" s="697">
        <v>0</v>
      </c>
      <c r="N1098" s="727">
        <v>2</v>
      </c>
      <c r="O1098" s="697">
        <v>0</v>
      </c>
      <c r="P1098" s="727">
        <v>75</v>
      </c>
      <c r="Q1098" s="750">
        <f t="shared" si="153"/>
        <v>0</v>
      </c>
      <c r="R1098" s="608">
        <f t="shared" si="154"/>
        <v>108000</v>
      </c>
      <c r="S1098" s="751">
        <f t="shared" si="155"/>
        <v>108000</v>
      </c>
      <c r="T1098" s="750">
        <v>55.71</v>
      </c>
      <c r="U1098" s="608">
        <f t="shared" si="156"/>
        <v>80222.399999999994</v>
      </c>
      <c r="V1098" s="751">
        <f t="shared" si="157"/>
        <v>27777.600000000006</v>
      </c>
      <c r="W1098" s="752">
        <v>55.71</v>
      </c>
      <c r="X1098" s="609">
        <f t="shared" si="158"/>
        <v>80222.399999999994</v>
      </c>
      <c r="Y1098" s="703">
        <f t="shared" si="159"/>
        <v>27777.600000000006</v>
      </c>
      <c r="Z1098" s="752">
        <v>55.71</v>
      </c>
      <c r="AA1098" s="609">
        <f t="shared" si="160"/>
        <v>80222.399999999994</v>
      </c>
      <c r="AB1098" s="753">
        <f t="shared" si="161"/>
        <v>27777.600000000006</v>
      </c>
      <c r="AC1098" s="714"/>
    </row>
    <row r="1099" spans="1:29" x14ac:dyDescent="0.25">
      <c r="A1099" s="713"/>
      <c r="B1099" s="731" t="s">
        <v>1613</v>
      </c>
      <c r="C1099" s="547" t="s">
        <v>40</v>
      </c>
      <c r="D1099" s="547" t="s">
        <v>531</v>
      </c>
      <c r="E1099" s="683">
        <v>44713</v>
      </c>
      <c r="F1099" s="547">
        <v>720</v>
      </c>
      <c r="G1099" s="547" t="s">
        <v>59</v>
      </c>
      <c r="H1099" s="547" t="s">
        <v>3</v>
      </c>
      <c r="I1099" s="547" t="s">
        <v>44</v>
      </c>
      <c r="J1099" s="547" t="s">
        <v>85</v>
      </c>
      <c r="K1099" s="547">
        <v>75</v>
      </c>
      <c r="L1099" s="727" t="s">
        <v>54</v>
      </c>
      <c r="M1099" s="697">
        <v>0</v>
      </c>
      <c r="N1099" s="727">
        <v>4</v>
      </c>
      <c r="O1099" s="697">
        <v>0</v>
      </c>
      <c r="P1099" s="727">
        <v>75</v>
      </c>
      <c r="Q1099" s="750">
        <f t="shared" si="153"/>
        <v>0</v>
      </c>
      <c r="R1099" s="608">
        <f t="shared" si="154"/>
        <v>216000</v>
      </c>
      <c r="S1099" s="751">
        <f t="shared" si="155"/>
        <v>216000</v>
      </c>
      <c r="T1099" s="750">
        <v>55.71</v>
      </c>
      <c r="U1099" s="608">
        <f t="shared" si="156"/>
        <v>160444.79999999999</v>
      </c>
      <c r="V1099" s="751">
        <f t="shared" si="157"/>
        <v>55555.200000000012</v>
      </c>
      <c r="W1099" s="752">
        <v>55.71</v>
      </c>
      <c r="X1099" s="609">
        <f t="shared" si="158"/>
        <v>160444.79999999999</v>
      </c>
      <c r="Y1099" s="703">
        <f t="shared" si="159"/>
        <v>55555.200000000012</v>
      </c>
      <c r="Z1099" s="752">
        <v>55.71</v>
      </c>
      <c r="AA1099" s="609">
        <f t="shared" si="160"/>
        <v>160444.79999999999</v>
      </c>
      <c r="AB1099" s="753">
        <f t="shared" si="161"/>
        <v>55555.200000000012</v>
      </c>
      <c r="AC1099" s="714"/>
    </row>
    <row r="1100" spans="1:29" x14ac:dyDescent="0.25">
      <c r="A1100" s="713"/>
      <c r="B1100" s="731" t="s">
        <v>1614</v>
      </c>
      <c r="C1100" s="547" t="s">
        <v>40</v>
      </c>
      <c r="D1100" s="547" t="s">
        <v>585</v>
      </c>
      <c r="E1100" s="683">
        <v>44805</v>
      </c>
      <c r="F1100" s="547">
        <v>720</v>
      </c>
      <c r="G1100" s="547" t="s">
        <v>59</v>
      </c>
      <c r="H1100" s="547" t="s">
        <v>3</v>
      </c>
      <c r="I1100" s="547" t="s">
        <v>44</v>
      </c>
      <c r="J1100" s="547" t="s">
        <v>85</v>
      </c>
      <c r="K1100" s="547">
        <v>125</v>
      </c>
      <c r="L1100" s="727" t="s">
        <v>54</v>
      </c>
      <c r="M1100" s="697">
        <v>0</v>
      </c>
      <c r="N1100" s="727">
        <v>5</v>
      </c>
      <c r="O1100" s="697">
        <v>0</v>
      </c>
      <c r="P1100" s="727">
        <v>125</v>
      </c>
      <c r="Q1100" s="750">
        <f t="shared" si="153"/>
        <v>0</v>
      </c>
      <c r="R1100" s="608">
        <f t="shared" si="154"/>
        <v>450000</v>
      </c>
      <c r="S1100" s="751">
        <f t="shared" si="155"/>
        <v>450000</v>
      </c>
      <c r="T1100" s="750">
        <v>56.08</v>
      </c>
      <c r="U1100" s="608">
        <f t="shared" si="156"/>
        <v>201888</v>
      </c>
      <c r="V1100" s="751">
        <f t="shared" si="157"/>
        <v>248112</v>
      </c>
      <c r="W1100" s="752">
        <v>56.08</v>
      </c>
      <c r="X1100" s="609">
        <f t="shared" si="158"/>
        <v>201888</v>
      </c>
      <c r="Y1100" s="703">
        <f t="shared" si="159"/>
        <v>248112</v>
      </c>
      <c r="Z1100" s="752">
        <v>56.08</v>
      </c>
      <c r="AA1100" s="609">
        <f t="shared" si="160"/>
        <v>201888</v>
      </c>
      <c r="AB1100" s="753">
        <f t="shared" si="161"/>
        <v>248112</v>
      </c>
      <c r="AC1100" s="714"/>
    </row>
    <row r="1101" spans="1:29" x14ac:dyDescent="0.25">
      <c r="A1101" s="713"/>
      <c r="B1101" s="731" t="s">
        <v>1615</v>
      </c>
      <c r="C1101" s="547" t="s">
        <v>40</v>
      </c>
      <c r="D1101" s="547" t="s">
        <v>531</v>
      </c>
      <c r="E1101" s="683">
        <v>44713</v>
      </c>
      <c r="F1101" s="547">
        <v>720</v>
      </c>
      <c r="G1101" s="547" t="s">
        <v>59</v>
      </c>
      <c r="H1101" s="547" t="s">
        <v>3</v>
      </c>
      <c r="I1101" s="547" t="s">
        <v>44</v>
      </c>
      <c r="J1101" s="547" t="s">
        <v>85</v>
      </c>
      <c r="K1101" s="547">
        <v>75</v>
      </c>
      <c r="L1101" s="727" t="s">
        <v>54</v>
      </c>
      <c r="M1101" s="697">
        <v>0</v>
      </c>
      <c r="N1101" s="727">
        <v>2</v>
      </c>
      <c r="O1101" s="697">
        <v>0</v>
      </c>
      <c r="P1101" s="727">
        <v>75</v>
      </c>
      <c r="Q1101" s="750">
        <f t="shared" si="153"/>
        <v>0</v>
      </c>
      <c r="R1101" s="608">
        <f t="shared" si="154"/>
        <v>108000</v>
      </c>
      <c r="S1101" s="751">
        <f t="shared" si="155"/>
        <v>108000</v>
      </c>
      <c r="T1101" s="750">
        <v>55.71</v>
      </c>
      <c r="U1101" s="608">
        <f t="shared" si="156"/>
        <v>80222.399999999994</v>
      </c>
      <c r="V1101" s="751">
        <f t="shared" si="157"/>
        <v>27777.600000000006</v>
      </c>
      <c r="W1101" s="752">
        <v>55.71</v>
      </c>
      <c r="X1101" s="609">
        <f t="shared" si="158"/>
        <v>80222.399999999994</v>
      </c>
      <c r="Y1101" s="703">
        <f t="shared" si="159"/>
        <v>27777.600000000006</v>
      </c>
      <c r="Z1101" s="752">
        <v>55.71</v>
      </c>
      <c r="AA1101" s="609">
        <f t="shared" si="160"/>
        <v>80222.399999999994</v>
      </c>
      <c r="AB1101" s="753">
        <f t="shared" si="161"/>
        <v>27777.600000000006</v>
      </c>
      <c r="AC1101" s="714"/>
    </row>
    <row r="1102" spans="1:29" x14ac:dyDescent="0.25">
      <c r="A1102" s="713"/>
      <c r="B1102" s="731" t="s">
        <v>1616</v>
      </c>
      <c r="C1102" s="547" t="s">
        <v>40</v>
      </c>
      <c r="D1102" s="547" t="s">
        <v>349</v>
      </c>
      <c r="E1102" s="683">
        <v>44713</v>
      </c>
      <c r="F1102" s="547">
        <v>720</v>
      </c>
      <c r="G1102" s="547" t="s">
        <v>59</v>
      </c>
      <c r="H1102" s="547" t="s">
        <v>3</v>
      </c>
      <c r="I1102" s="547" t="s">
        <v>44</v>
      </c>
      <c r="J1102" s="547" t="s">
        <v>85</v>
      </c>
      <c r="K1102" s="547">
        <v>75</v>
      </c>
      <c r="L1102" s="727" t="s">
        <v>54</v>
      </c>
      <c r="M1102" s="697">
        <v>0</v>
      </c>
      <c r="N1102" s="727">
        <v>10</v>
      </c>
      <c r="O1102" s="697">
        <v>0</v>
      </c>
      <c r="P1102" s="727">
        <v>75</v>
      </c>
      <c r="Q1102" s="750">
        <f t="shared" si="153"/>
        <v>0</v>
      </c>
      <c r="R1102" s="608">
        <f t="shared" si="154"/>
        <v>540000</v>
      </c>
      <c r="S1102" s="751">
        <f t="shared" si="155"/>
        <v>540000</v>
      </c>
      <c r="T1102" s="750">
        <v>55.71</v>
      </c>
      <c r="U1102" s="608">
        <f t="shared" si="156"/>
        <v>401112</v>
      </c>
      <c r="V1102" s="751">
        <f t="shared" si="157"/>
        <v>138888</v>
      </c>
      <c r="W1102" s="752">
        <v>55.71</v>
      </c>
      <c r="X1102" s="609">
        <f t="shared" si="158"/>
        <v>401112</v>
      </c>
      <c r="Y1102" s="703">
        <f t="shared" si="159"/>
        <v>138888</v>
      </c>
      <c r="Z1102" s="752">
        <v>55.71</v>
      </c>
      <c r="AA1102" s="609">
        <f t="shared" si="160"/>
        <v>401112</v>
      </c>
      <c r="AB1102" s="753">
        <f t="shared" si="161"/>
        <v>138888</v>
      </c>
      <c r="AC1102" s="714"/>
    </row>
    <row r="1103" spans="1:29" x14ac:dyDescent="0.25">
      <c r="A1103" s="713"/>
      <c r="B1103" s="731" t="s">
        <v>1617</v>
      </c>
      <c r="C1103" s="547" t="s">
        <v>40</v>
      </c>
      <c r="D1103" s="547" t="s">
        <v>411</v>
      </c>
      <c r="E1103" s="683">
        <v>44713</v>
      </c>
      <c r="F1103" s="547">
        <v>720</v>
      </c>
      <c r="G1103" s="547" t="s">
        <v>59</v>
      </c>
      <c r="H1103" s="547" t="s">
        <v>3</v>
      </c>
      <c r="I1103" s="547" t="s">
        <v>44</v>
      </c>
      <c r="J1103" s="547" t="s">
        <v>85</v>
      </c>
      <c r="K1103" s="547">
        <v>75</v>
      </c>
      <c r="L1103" s="727" t="s">
        <v>54</v>
      </c>
      <c r="M1103" s="697">
        <v>0</v>
      </c>
      <c r="N1103" s="727">
        <v>2</v>
      </c>
      <c r="O1103" s="697">
        <v>0</v>
      </c>
      <c r="P1103" s="727">
        <v>75</v>
      </c>
      <c r="Q1103" s="750">
        <f t="shared" si="153"/>
        <v>0</v>
      </c>
      <c r="R1103" s="608">
        <f t="shared" si="154"/>
        <v>108000</v>
      </c>
      <c r="S1103" s="751">
        <f t="shared" si="155"/>
        <v>108000</v>
      </c>
      <c r="T1103" s="750">
        <v>55.71</v>
      </c>
      <c r="U1103" s="608">
        <f t="shared" si="156"/>
        <v>80222.399999999994</v>
      </c>
      <c r="V1103" s="751">
        <f t="shared" si="157"/>
        <v>27777.600000000006</v>
      </c>
      <c r="W1103" s="752">
        <v>55.71</v>
      </c>
      <c r="X1103" s="609">
        <f t="shared" si="158"/>
        <v>80222.399999999994</v>
      </c>
      <c r="Y1103" s="703">
        <f t="shared" si="159"/>
        <v>27777.600000000006</v>
      </c>
      <c r="Z1103" s="752">
        <v>55.71</v>
      </c>
      <c r="AA1103" s="609">
        <f t="shared" si="160"/>
        <v>80222.399999999994</v>
      </c>
      <c r="AB1103" s="753">
        <f t="shared" si="161"/>
        <v>27777.600000000006</v>
      </c>
      <c r="AC1103" s="714"/>
    </row>
    <row r="1104" spans="1:29" x14ac:dyDescent="0.25">
      <c r="A1104" s="713"/>
      <c r="B1104" s="731" t="s">
        <v>1622</v>
      </c>
      <c r="C1104" s="547" t="s">
        <v>40</v>
      </c>
      <c r="D1104" s="547" t="s">
        <v>1620</v>
      </c>
      <c r="E1104" s="683">
        <v>44652</v>
      </c>
      <c r="F1104" s="547">
        <v>720</v>
      </c>
      <c r="G1104" s="547" t="s">
        <v>59</v>
      </c>
      <c r="H1104" s="547" t="s">
        <v>5</v>
      </c>
      <c r="I1104" s="547" t="s">
        <v>44</v>
      </c>
      <c r="J1104" s="547" t="s">
        <v>85</v>
      </c>
      <c r="K1104" s="547">
        <v>40</v>
      </c>
      <c r="L1104" s="727" t="s">
        <v>92</v>
      </c>
      <c r="M1104" s="697">
        <v>0</v>
      </c>
      <c r="N1104" s="727">
        <v>10</v>
      </c>
      <c r="O1104" s="697">
        <v>0</v>
      </c>
      <c r="P1104" s="727">
        <v>95.7</v>
      </c>
      <c r="Q1104" s="750">
        <f t="shared" si="153"/>
        <v>0</v>
      </c>
      <c r="R1104" s="608">
        <f t="shared" si="154"/>
        <v>689040</v>
      </c>
      <c r="S1104" s="751">
        <f t="shared" si="155"/>
        <v>689040</v>
      </c>
      <c r="T1104" s="750">
        <v>55.7</v>
      </c>
      <c r="U1104" s="608">
        <f t="shared" si="156"/>
        <v>401040</v>
      </c>
      <c r="V1104" s="751">
        <f t="shared" si="157"/>
        <v>288000</v>
      </c>
      <c r="W1104" s="752">
        <v>55.7</v>
      </c>
      <c r="X1104" s="609">
        <f t="shared" si="158"/>
        <v>401040</v>
      </c>
      <c r="Y1104" s="703">
        <f t="shared" si="159"/>
        <v>288000</v>
      </c>
      <c r="Z1104" s="752">
        <v>55.7</v>
      </c>
      <c r="AA1104" s="609">
        <f t="shared" si="160"/>
        <v>401040</v>
      </c>
      <c r="AB1104" s="753">
        <f t="shared" si="161"/>
        <v>288000</v>
      </c>
      <c r="AC1104" s="714"/>
    </row>
    <row r="1105" spans="1:29" x14ac:dyDescent="0.25">
      <c r="A1105" s="713"/>
      <c r="B1105" s="731" t="s">
        <v>1624</v>
      </c>
      <c r="C1105" s="547" t="s">
        <v>40</v>
      </c>
      <c r="D1105" s="547" t="s">
        <v>1167</v>
      </c>
      <c r="E1105" s="683">
        <v>44652</v>
      </c>
      <c r="F1105" s="547">
        <v>720</v>
      </c>
      <c r="G1105" s="547" t="s">
        <v>59</v>
      </c>
      <c r="H1105" s="547" t="s">
        <v>5</v>
      </c>
      <c r="I1105" s="547" t="s">
        <v>44</v>
      </c>
      <c r="J1105" s="547" t="s">
        <v>85</v>
      </c>
      <c r="K1105" s="547">
        <v>40</v>
      </c>
      <c r="L1105" s="727" t="s">
        <v>92</v>
      </c>
      <c r="M1105" s="697">
        <v>0</v>
      </c>
      <c r="N1105" s="727">
        <v>5</v>
      </c>
      <c r="O1105" s="697">
        <v>0</v>
      </c>
      <c r="P1105" s="727">
        <v>95.7</v>
      </c>
      <c r="Q1105" s="750">
        <f t="shared" si="153"/>
        <v>0</v>
      </c>
      <c r="R1105" s="608">
        <f t="shared" si="154"/>
        <v>344520</v>
      </c>
      <c r="S1105" s="751">
        <f t="shared" si="155"/>
        <v>344520</v>
      </c>
      <c r="T1105" s="750">
        <v>55.7</v>
      </c>
      <c r="U1105" s="608">
        <f t="shared" si="156"/>
        <v>200520</v>
      </c>
      <c r="V1105" s="751">
        <f t="shared" si="157"/>
        <v>144000</v>
      </c>
      <c r="W1105" s="752">
        <v>55.7</v>
      </c>
      <c r="X1105" s="609">
        <f t="shared" si="158"/>
        <v>200520</v>
      </c>
      <c r="Y1105" s="703">
        <f t="shared" si="159"/>
        <v>144000</v>
      </c>
      <c r="Z1105" s="752">
        <v>55.7</v>
      </c>
      <c r="AA1105" s="609">
        <f t="shared" si="160"/>
        <v>200520</v>
      </c>
      <c r="AB1105" s="753">
        <f t="shared" si="161"/>
        <v>144000</v>
      </c>
      <c r="AC1105" s="714"/>
    </row>
    <row r="1106" spans="1:29" x14ac:dyDescent="0.25">
      <c r="A1106" s="713"/>
      <c r="B1106" s="731" t="s">
        <v>1628</v>
      </c>
      <c r="C1106" s="547" t="s">
        <v>40</v>
      </c>
      <c r="D1106" s="547" t="s">
        <v>1167</v>
      </c>
      <c r="E1106" s="683">
        <v>44713</v>
      </c>
      <c r="F1106" s="547">
        <v>720</v>
      </c>
      <c r="G1106" s="547" t="s">
        <v>58</v>
      </c>
      <c r="H1106" s="547" t="s">
        <v>3</v>
      </c>
      <c r="I1106" s="547" t="s">
        <v>44</v>
      </c>
      <c r="J1106" s="547" t="s">
        <v>84</v>
      </c>
      <c r="K1106" s="547">
        <v>77</v>
      </c>
      <c r="L1106" s="727" t="s">
        <v>54</v>
      </c>
      <c r="M1106" s="697">
        <v>2</v>
      </c>
      <c r="N1106" s="727">
        <v>0</v>
      </c>
      <c r="O1106" s="697">
        <v>77</v>
      </c>
      <c r="P1106" s="727">
        <v>0</v>
      </c>
      <c r="Q1106" s="750">
        <f t="shared" si="153"/>
        <v>110880</v>
      </c>
      <c r="R1106" s="608">
        <f t="shared" si="154"/>
        <v>0</v>
      </c>
      <c r="S1106" s="751">
        <f t="shared" si="155"/>
        <v>-110880</v>
      </c>
      <c r="T1106" s="750">
        <v>55.71</v>
      </c>
      <c r="U1106" s="608">
        <f t="shared" si="156"/>
        <v>-80222.399999999994</v>
      </c>
      <c r="V1106" s="751">
        <f t="shared" si="157"/>
        <v>-30657.600000000006</v>
      </c>
      <c r="W1106" s="752">
        <v>55.71</v>
      </c>
      <c r="X1106" s="609">
        <f t="shared" si="158"/>
        <v>-80222.399999999994</v>
      </c>
      <c r="Y1106" s="703">
        <f t="shared" si="159"/>
        <v>-30657.600000000006</v>
      </c>
      <c r="Z1106" s="752">
        <v>55.71</v>
      </c>
      <c r="AA1106" s="609">
        <f t="shared" si="160"/>
        <v>-80222.399999999994</v>
      </c>
      <c r="AB1106" s="753">
        <f t="shared" si="161"/>
        <v>-30657.600000000006</v>
      </c>
      <c r="AC1106" s="714"/>
    </row>
    <row r="1107" spans="1:29" x14ac:dyDescent="0.25">
      <c r="A1107" s="713"/>
      <c r="B1107" s="731" t="s">
        <v>1629</v>
      </c>
      <c r="C1107" s="547" t="s">
        <v>40</v>
      </c>
      <c r="D1107" s="547" t="s">
        <v>508</v>
      </c>
      <c r="E1107" s="683">
        <v>44713</v>
      </c>
      <c r="F1107" s="547">
        <v>720</v>
      </c>
      <c r="G1107" s="547" t="s">
        <v>58</v>
      </c>
      <c r="H1107" s="547" t="s">
        <v>3</v>
      </c>
      <c r="I1107" s="547" t="s">
        <v>44</v>
      </c>
      <c r="J1107" s="547" t="s">
        <v>84</v>
      </c>
      <c r="K1107" s="547">
        <v>77</v>
      </c>
      <c r="L1107" s="727" t="s">
        <v>54</v>
      </c>
      <c r="M1107" s="697">
        <v>3</v>
      </c>
      <c r="N1107" s="727">
        <v>0</v>
      </c>
      <c r="O1107" s="697">
        <v>77</v>
      </c>
      <c r="P1107" s="727">
        <v>0</v>
      </c>
      <c r="Q1107" s="750">
        <f t="shared" si="153"/>
        <v>166320</v>
      </c>
      <c r="R1107" s="608">
        <f t="shared" si="154"/>
        <v>0</v>
      </c>
      <c r="S1107" s="751">
        <f t="shared" si="155"/>
        <v>-166320</v>
      </c>
      <c r="T1107" s="750">
        <v>55.71</v>
      </c>
      <c r="U1107" s="608">
        <f t="shared" si="156"/>
        <v>-120333.6</v>
      </c>
      <c r="V1107" s="751">
        <f t="shared" si="157"/>
        <v>-45986.399999999994</v>
      </c>
      <c r="W1107" s="752">
        <v>55.71</v>
      </c>
      <c r="X1107" s="609">
        <f t="shared" si="158"/>
        <v>-120333.6</v>
      </c>
      <c r="Y1107" s="703">
        <f t="shared" si="159"/>
        <v>-45986.399999999994</v>
      </c>
      <c r="Z1107" s="752">
        <v>55.71</v>
      </c>
      <c r="AA1107" s="609">
        <f t="shared" si="160"/>
        <v>-120333.6</v>
      </c>
      <c r="AB1107" s="753">
        <f t="shared" si="161"/>
        <v>-45986.399999999994</v>
      </c>
      <c r="AC1107" s="714"/>
    </row>
    <row r="1108" spans="1:29" x14ac:dyDescent="0.25">
      <c r="A1108" s="713"/>
      <c r="B1108" s="731" t="s">
        <v>1631</v>
      </c>
      <c r="C1108" s="547" t="s">
        <v>40</v>
      </c>
      <c r="D1108" s="547" t="s">
        <v>639</v>
      </c>
      <c r="E1108" s="683">
        <v>44652</v>
      </c>
      <c r="F1108" s="547">
        <v>720</v>
      </c>
      <c r="G1108" s="547" t="s">
        <v>59</v>
      </c>
      <c r="H1108" s="547" t="s">
        <v>5</v>
      </c>
      <c r="I1108" s="547" t="s">
        <v>44</v>
      </c>
      <c r="J1108" s="547" t="s">
        <v>85</v>
      </c>
      <c r="K1108" s="547">
        <v>40</v>
      </c>
      <c r="L1108" s="727" t="s">
        <v>92</v>
      </c>
      <c r="M1108" s="697">
        <v>0</v>
      </c>
      <c r="N1108" s="727">
        <v>2.5</v>
      </c>
      <c r="O1108" s="697">
        <v>0</v>
      </c>
      <c r="P1108" s="727">
        <v>95.7</v>
      </c>
      <c r="Q1108" s="750">
        <f t="shared" si="153"/>
        <v>0</v>
      </c>
      <c r="R1108" s="608">
        <f t="shared" si="154"/>
        <v>172260</v>
      </c>
      <c r="S1108" s="751">
        <f t="shared" si="155"/>
        <v>172260</v>
      </c>
      <c r="T1108" s="750">
        <v>55.7</v>
      </c>
      <c r="U1108" s="608">
        <f t="shared" si="156"/>
        <v>100260</v>
      </c>
      <c r="V1108" s="751">
        <f t="shared" si="157"/>
        <v>72000</v>
      </c>
      <c r="W1108" s="752">
        <v>55.7</v>
      </c>
      <c r="X1108" s="609">
        <f t="shared" si="158"/>
        <v>100260</v>
      </c>
      <c r="Y1108" s="703">
        <f t="shared" si="159"/>
        <v>72000</v>
      </c>
      <c r="Z1108" s="752">
        <v>55.7</v>
      </c>
      <c r="AA1108" s="609">
        <f t="shared" si="160"/>
        <v>100260</v>
      </c>
      <c r="AB1108" s="753">
        <f t="shared" si="161"/>
        <v>72000</v>
      </c>
      <c r="AC1108" s="714"/>
    </row>
    <row r="1109" spans="1:29" x14ac:dyDescent="0.25">
      <c r="A1109" s="713"/>
      <c r="B1109" s="731" t="s">
        <v>1633</v>
      </c>
      <c r="C1109" s="547" t="s">
        <v>40</v>
      </c>
      <c r="D1109" s="547" t="s">
        <v>1103</v>
      </c>
      <c r="E1109" s="683">
        <v>44682</v>
      </c>
      <c r="F1109" s="547">
        <v>744</v>
      </c>
      <c r="G1109" s="547" t="s">
        <v>58</v>
      </c>
      <c r="H1109" s="547" t="s">
        <v>3</v>
      </c>
      <c r="I1109" s="547" t="s">
        <v>44</v>
      </c>
      <c r="J1109" s="547" t="s">
        <v>84</v>
      </c>
      <c r="K1109" s="547">
        <v>59</v>
      </c>
      <c r="L1109" s="727" t="s">
        <v>54</v>
      </c>
      <c r="M1109" s="697">
        <v>3</v>
      </c>
      <c r="N1109" s="727">
        <v>0</v>
      </c>
      <c r="O1109" s="697">
        <v>59</v>
      </c>
      <c r="P1109" s="727">
        <v>0</v>
      </c>
      <c r="Q1109" s="750">
        <f t="shared" si="153"/>
        <v>131688</v>
      </c>
      <c r="R1109" s="608">
        <f t="shared" si="154"/>
        <v>0</v>
      </c>
      <c r="S1109" s="751">
        <f t="shared" si="155"/>
        <v>-131688</v>
      </c>
      <c r="T1109" s="750">
        <v>55.7</v>
      </c>
      <c r="U1109" s="608">
        <f t="shared" si="156"/>
        <v>-124322.40000000001</v>
      </c>
      <c r="V1109" s="751">
        <f t="shared" si="157"/>
        <v>-7365.5999999999913</v>
      </c>
      <c r="W1109" s="752">
        <v>55.7</v>
      </c>
      <c r="X1109" s="609">
        <f t="shared" si="158"/>
        <v>-124322.40000000001</v>
      </c>
      <c r="Y1109" s="703">
        <f t="shared" si="159"/>
        <v>-7365.5999999999913</v>
      </c>
      <c r="Z1109" s="752">
        <v>55.7</v>
      </c>
      <c r="AA1109" s="609">
        <f t="shared" si="160"/>
        <v>-124322.40000000001</v>
      </c>
      <c r="AB1109" s="753">
        <f t="shared" si="161"/>
        <v>-7365.5999999999913</v>
      </c>
      <c r="AC1109" s="714"/>
    </row>
    <row r="1110" spans="1:29" x14ac:dyDescent="0.25">
      <c r="A1110" s="713"/>
      <c r="B1110" s="731" t="s">
        <v>1639</v>
      </c>
      <c r="C1110" s="547" t="s">
        <v>40</v>
      </c>
      <c r="D1110" s="547" t="s">
        <v>409</v>
      </c>
      <c r="E1110" s="683">
        <v>44713</v>
      </c>
      <c r="F1110" s="547">
        <v>720</v>
      </c>
      <c r="G1110" s="547" t="s">
        <v>58</v>
      </c>
      <c r="H1110" s="547" t="s">
        <v>3</v>
      </c>
      <c r="I1110" s="547" t="s">
        <v>44</v>
      </c>
      <c r="J1110" s="547" t="s">
        <v>84</v>
      </c>
      <c r="K1110" s="547">
        <v>80</v>
      </c>
      <c r="L1110" s="727" t="s">
        <v>54</v>
      </c>
      <c r="M1110" s="697">
        <v>5</v>
      </c>
      <c r="N1110" s="727">
        <v>0</v>
      </c>
      <c r="O1110" s="697">
        <v>80</v>
      </c>
      <c r="P1110" s="727">
        <v>0</v>
      </c>
      <c r="Q1110" s="750">
        <f t="shared" si="153"/>
        <v>288000</v>
      </c>
      <c r="R1110" s="608">
        <f t="shared" si="154"/>
        <v>0</v>
      </c>
      <c r="S1110" s="751">
        <f t="shared" si="155"/>
        <v>-288000</v>
      </c>
      <c r="T1110" s="750">
        <v>55.71</v>
      </c>
      <c r="U1110" s="608">
        <f t="shared" si="156"/>
        <v>-200556</v>
      </c>
      <c r="V1110" s="751">
        <f t="shared" si="157"/>
        <v>-87444</v>
      </c>
      <c r="W1110" s="752">
        <v>55.71</v>
      </c>
      <c r="X1110" s="609">
        <f t="shared" si="158"/>
        <v>-200556</v>
      </c>
      <c r="Y1110" s="703">
        <f t="shared" si="159"/>
        <v>-87444</v>
      </c>
      <c r="Z1110" s="752">
        <v>55.71</v>
      </c>
      <c r="AA1110" s="609">
        <f t="shared" si="160"/>
        <v>-200556</v>
      </c>
      <c r="AB1110" s="753">
        <f t="shared" si="161"/>
        <v>-87444</v>
      </c>
      <c r="AC1110" s="714"/>
    </row>
    <row r="1111" spans="1:29" x14ac:dyDescent="0.25">
      <c r="A1111" s="713"/>
      <c r="B1111" s="731" t="s">
        <v>1640</v>
      </c>
      <c r="C1111" s="547" t="s">
        <v>40</v>
      </c>
      <c r="D1111" s="547" t="s">
        <v>411</v>
      </c>
      <c r="E1111" s="683">
        <v>44682</v>
      </c>
      <c r="F1111" s="547">
        <v>744</v>
      </c>
      <c r="G1111" s="547" t="s">
        <v>58</v>
      </c>
      <c r="H1111" s="547" t="s">
        <v>3</v>
      </c>
      <c r="I1111" s="547" t="s">
        <v>44</v>
      </c>
      <c r="J1111" s="547" t="s">
        <v>84</v>
      </c>
      <c r="K1111" s="547">
        <v>59.5</v>
      </c>
      <c r="L1111" s="727" t="s">
        <v>54</v>
      </c>
      <c r="M1111" s="697">
        <v>5</v>
      </c>
      <c r="N1111" s="727">
        <v>0</v>
      </c>
      <c r="O1111" s="697">
        <v>59.5</v>
      </c>
      <c r="P1111" s="727">
        <v>0</v>
      </c>
      <c r="Q1111" s="750">
        <f t="shared" si="153"/>
        <v>221340</v>
      </c>
      <c r="R1111" s="608">
        <f t="shared" si="154"/>
        <v>0</v>
      </c>
      <c r="S1111" s="751">
        <f t="shared" si="155"/>
        <v>-221340</v>
      </c>
      <c r="T1111" s="750">
        <v>55.7</v>
      </c>
      <c r="U1111" s="608">
        <f t="shared" si="156"/>
        <v>-207204</v>
      </c>
      <c r="V1111" s="751">
        <f t="shared" si="157"/>
        <v>-14136</v>
      </c>
      <c r="W1111" s="752">
        <v>55.7</v>
      </c>
      <c r="X1111" s="609">
        <f t="shared" si="158"/>
        <v>-207204</v>
      </c>
      <c r="Y1111" s="703">
        <f t="shared" si="159"/>
        <v>-14136</v>
      </c>
      <c r="Z1111" s="752">
        <v>55.7</v>
      </c>
      <c r="AA1111" s="609">
        <f t="shared" si="160"/>
        <v>-207204</v>
      </c>
      <c r="AB1111" s="753">
        <f t="shared" si="161"/>
        <v>-14136</v>
      </c>
      <c r="AC1111" s="714"/>
    </row>
    <row r="1112" spans="1:29" x14ac:dyDescent="0.25">
      <c r="A1112" s="713"/>
      <c r="B1112" s="731" t="s">
        <v>1642</v>
      </c>
      <c r="C1112" s="547" t="s">
        <v>40</v>
      </c>
      <c r="D1112" s="547" t="s">
        <v>502</v>
      </c>
      <c r="E1112" s="683">
        <v>44652</v>
      </c>
      <c r="F1112" s="547">
        <v>720</v>
      </c>
      <c r="G1112" s="547" t="s">
        <v>59</v>
      </c>
      <c r="H1112" s="547" t="s">
        <v>6</v>
      </c>
      <c r="I1112" s="547" t="s">
        <v>44</v>
      </c>
      <c r="J1112" s="547" t="s">
        <v>85</v>
      </c>
      <c r="K1112" s="547">
        <v>195</v>
      </c>
      <c r="L1112" s="727" t="s">
        <v>92</v>
      </c>
      <c r="M1112" s="697">
        <v>0</v>
      </c>
      <c r="N1112" s="727">
        <v>4</v>
      </c>
      <c r="O1112" s="697">
        <v>0</v>
      </c>
      <c r="P1112" s="727">
        <v>250.7</v>
      </c>
      <c r="Q1112" s="750">
        <f t="shared" si="153"/>
        <v>0</v>
      </c>
      <c r="R1112" s="608">
        <f t="shared" si="154"/>
        <v>722016</v>
      </c>
      <c r="S1112" s="751">
        <f t="shared" si="155"/>
        <v>722016</v>
      </c>
      <c r="T1112" s="750">
        <v>55.7</v>
      </c>
      <c r="U1112" s="608">
        <f t="shared" si="156"/>
        <v>160416</v>
      </c>
      <c r="V1112" s="751">
        <f t="shared" si="157"/>
        <v>561600</v>
      </c>
      <c r="W1112" s="752">
        <v>55.7</v>
      </c>
      <c r="X1112" s="609">
        <f t="shared" si="158"/>
        <v>160416</v>
      </c>
      <c r="Y1112" s="703">
        <f t="shared" si="159"/>
        <v>561600</v>
      </c>
      <c r="Z1112" s="752">
        <v>55.7</v>
      </c>
      <c r="AA1112" s="609">
        <f t="shared" si="160"/>
        <v>160416</v>
      </c>
      <c r="AB1112" s="753">
        <f t="shared" si="161"/>
        <v>561600</v>
      </c>
      <c r="AC1112" s="714"/>
    </row>
    <row r="1113" spans="1:29" x14ac:dyDescent="0.25">
      <c r="A1113" s="713"/>
      <c r="B1113" s="731" t="s">
        <v>1643</v>
      </c>
      <c r="C1113" s="547" t="s">
        <v>40</v>
      </c>
      <c r="D1113" s="547" t="s">
        <v>474</v>
      </c>
      <c r="E1113" s="683">
        <v>44682</v>
      </c>
      <c r="F1113" s="547">
        <v>744</v>
      </c>
      <c r="G1113" s="547" t="s">
        <v>58</v>
      </c>
      <c r="H1113" s="547" t="s">
        <v>3</v>
      </c>
      <c r="I1113" s="547" t="s">
        <v>44</v>
      </c>
      <c r="J1113" s="547" t="s">
        <v>84</v>
      </c>
      <c r="K1113" s="547">
        <v>59.5</v>
      </c>
      <c r="L1113" s="727" t="s">
        <v>54</v>
      </c>
      <c r="M1113" s="697">
        <v>15</v>
      </c>
      <c r="N1113" s="727">
        <v>0</v>
      </c>
      <c r="O1113" s="697">
        <v>59.5</v>
      </c>
      <c r="P1113" s="727">
        <v>0</v>
      </c>
      <c r="Q1113" s="750">
        <f t="shared" si="153"/>
        <v>664020</v>
      </c>
      <c r="R1113" s="608">
        <f t="shared" si="154"/>
        <v>0</v>
      </c>
      <c r="S1113" s="751">
        <f t="shared" si="155"/>
        <v>-664020</v>
      </c>
      <c r="T1113" s="750">
        <v>55.7</v>
      </c>
      <c r="U1113" s="608">
        <f t="shared" si="156"/>
        <v>-621612</v>
      </c>
      <c r="V1113" s="751">
        <f t="shared" si="157"/>
        <v>-42408</v>
      </c>
      <c r="W1113" s="752">
        <v>55.7</v>
      </c>
      <c r="X1113" s="609">
        <f t="shared" si="158"/>
        <v>-621612</v>
      </c>
      <c r="Y1113" s="703">
        <f t="shared" si="159"/>
        <v>-42408</v>
      </c>
      <c r="Z1113" s="752">
        <v>55.7</v>
      </c>
      <c r="AA1113" s="609">
        <f t="shared" si="160"/>
        <v>-621612</v>
      </c>
      <c r="AB1113" s="753">
        <f t="shared" si="161"/>
        <v>-42408</v>
      </c>
      <c r="AC1113" s="714"/>
    </row>
    <row r="1114" spans="1:29" x14ac:dyDescent="0.25">
      <c r="A1114" s="713"/>
      <c r="B1114" s="731" t="s">
        <v>1644</v>
      </c>
      <c r="C1114" s="547" t="s">
        <v>40</v>
      </c>
      <c r="D1114" s="547" t="s">
        <v>476</v>
      </c>
      <c r="E1114" s="683">
        <v>44682</v>
      </c>
      <c r="F1114" s="547">
        <v>744</v>
      </c>
      <c r="G1114" s="547" t="s">
        <v>58</v>
      </c>
      <c r="H1114" s="547" t="s">
        <v>3</v>
      </c>
      <c r="I1114" s="547" t="s">
        <v>44</v>
      </c>
      <c r="J1114" s="547" t="s">
        <v>84</v>
      </c>
      <c r="K1114" s="547">
        <v>59</v>
      </c>
      <c r="L1114" s="727" t="s">
        <v>54</v>
      </c>
      <c r="M1114" s="697">
        <v>5</v>
      </c>
      <c r="N1114" s="727">
        <v>0</v>
      </c>
      <c r="O1114" s="697">
        <v>59</v>
      </c>
      <c r="P1114" s="727">
        <v>0</v>
      </c>
      <c r="Q1114" s="750">
        <f t="shared" si="153"/>
        <v>219480</v>
      </c>
      <c r="R1114" s="608">
        <f t="shared" si="154"/>
        <v>0</v>
      </c>
      <c r="S1114" s="751">
        <f t="shared" si="155"/>
        <v>-219480</v>
      </c>
      <c r="T1114" s="750">
        <v>55.7</v>
      </c>
      <c r="U1114" s="608">
        <f t="shared" si="156"/>
        <v>-207204</v>
      </c>
      <c r="V1114" s="751">
        <f t="shared" si="157"/>
        <v>-12276</v>
      </c>
      <c r="W1114" s="752">
        <v>55.7</v>
      </c>
      <c r="X1114" s="609">
        <f t="shared" si="158"/>
        <v>-207204</v>
      </c>
      <c r="Y1114" s="703">
        <f t="shared" si="159"/>
        <v>-12276</v>
      </c>
      <c r="Z1114" s="752">
        <v>55.7</v>
      </c>
      <c r="AA1114" s="609">
        <f t="shared" si="160"/>
        <v>-207204</v>
      </c>
      <c r="AB1114" s="753">
        <f t="shared" si="161"/>
        <v>-12276</v>
      </c>
      <c r="AC1114" s="714"/>
    </row>
    <row r="1115" spans="1:29" x14ac:dyDescent="0.25">
      <c r="A1115" s="713"/>
      <c r="B1115" s="731" t="s">
        <v>1650</v>
      </c>
      <c r="C1115" s="547" t="s">
        <v>40</v>
      </c>
      <c r="D1115" s="547" t="s">
        <v>620</v>
      </c>
      <c r="E1115" s="683">
        <v>44743</v>
      </c>
      <c r="F1115" s="547">
        <v>744</v>
      </c>
      <c r="G1115" s="547" t="s">
        <v>58</v>
      </c>
      <c r="H1115" s="547" t="s">
        <v>3</v>
      </c>
      <c r="I1115" s="547" t="s">
        <v>44</v>
      </c>
      <c r="J1115" s="547" t="s">
        <v>84</v>
      </c>
      <c r="K1115" s="547">
        <v>109</v>
      </c>
      <c r="L1115" s="727" t="s">
        <v>54</v>
      </c>
      <c r="M1115" s="697">
        <v>10</v>
      </c>
      <c r="N1115" s="727">
        <v>0</v>
      </c>
      <c r="O1115" s="697">
        <v>109</v>
      </c>
      <c r="P1115" s="727">
        <v>0</v>
      </c>
      <c r="Q1115" s="750">
        <f t="shared" si="153"/>
        <v>810960</v>
      </c>
      <c r="R1115" s="608">
        <f t="shared" si="154"/>
        <v>0</v>
      </c>
      <c r="S1115" s="751">
        <f t="shared" si="155"/>
        <v>-810960</v>
      </c>
      <c r="T1115" s="750">
        <v>66.319999999999993</v>
      </c>
      <c r="U1115" s="608">
        <f t="shared" si="156"/>
        <v>-493420.79999999993</v>
      </c>
      <c r="V1115" s="751">
        <f t="shared" si="157"/>
        <v>-317539.20000000007</v>
      </c>
      <c r="W1115" s="752">
        <v>66.319999999999993</v>
      </c>
      <c r="X1115" s="609">
        <f t="shared" si="158"/>
        <v>-493420.79999999993</v>
      </c>
      <c r="Y1115" s="703">
        <f t="shared" si="159"/>
        <v>-317539.20000000007</v>
      </c>
      <c r="Z1115" s="752">
        <v>66.319999999999993</v>
      </c>
      <c r="AA1115" s="609">
        <f t="shared" si="160"/>
        <v>-493420.79999999993</v>
      </c>
      <c r="AB1115" s="753">
        <f t="shared" si="161"/>
        <v>-317539.20000000007</v>
      </c>
      <c r="AC1115" s="714"/>
    </row>
    <row r="1116" spans="1:29" x14ac:dyDescent="0.25">
      <c r="A1116" s="713"/>
      <c r="B1116" s="731" t="s">
        <v>1651</v>
      </c>
      <c r="C1116" s="547" t="s">
        <v>40</v>
      </c>
      <c r="D1116" s="547" t="s">
        <v>464</v>
      </c>
      <c r="E1116" s="683">
        <v>44743</v>
      </c>
      <c r="F1116" s="547">
        <v>744</v>
      </c>
      <c r="G1116" s="547" t="s">
        <v>58</v>
      </c>
      <c r="H1116" s="547" t="s">
        <v>3</v>
      </c>
      <c r="I1116" s="547" t="s">
        <v>44</v>
      </c>
      <c r="J1116" s="547" t="s">
        <v>84</v>
      </c>
      <c r="K1116" s="547">
        <v>109</v>
      </c>
      <c r="L1116" s="727" t="s">
        <v>54</v>
      </c>
      <c r="M1116" s="697">
        <v>2</v>
      </c>
      <c r="N1116" s="727">
        <v>0</v>
      </c>
      <c r="O1116" s="697">
        <v>109</v>
      </c>
      <c r="P1116" s="727">
        <v>0</v>
      </c>
      <c r="Q1116" s="750">
        <f t="shared" si="153"/>
        <v>162192</v>
      </c>
      <c r="R1116" s="608">
        <f t="shared" si="154"/>
        <v>0</v>
      </c>
      <c r="S1116" s="751">
        <f t="shared" si="155"/>
        <v>-162192</v>
      </c>
      <c r="T1116" s="750">
        <v>66.319999999999993</v>
      </c>
      <c r="U1116" s="608">
        <f t="shared" si="156"/>
        <v>-98684.159999999989</v>
      </c>
      <c r="V1116" s="751">
        <f t="shared" si="157"/>
        <v>-63507.840000000011</v>
      </c>
      <c r="W1116" s="752">
        <v>66.319999999999993</v>
      </c>
      <c r="X1116" s="609">
        <f t="shared" si="158"/>
        <v>-98684.159999999989</v>
      </c>
      <c r="Y1116" s="703">
        <f t="shared" si="159"/>
        <v>-63507.840000000011</v>
      </c>
      <c r="Z1116" s="752">
        <v>66.319999999999993</v>
      </c>
      <c r="AA1116" s="609">
        <f t="shared" si="160"/>
        <v>-98684.159999999989</v>
      </c>
      <c r="AB1116" s="753">
        <f t="shared" si="161"/>
        <v>-63507.840000000011</v>
      </c>
      <c r="AC1116" s="714"/>
    </row>
    <row r="1117" spans="1:29" x14ac:dyDescent="0.25">
      <c r="A1117" s="713"/>
      <c r="B1117" s="731" t="s">
        <v>1652</v>
      </c>
      <c r="C1117" s="547" t="s">
        <v>40</v>
      </c>
      <c r="D1117" s="547" t="s">
        <v>476</v>
      </c>
      <c r="E1117" s="683">
        <v>44713</v>
      </c>
      <c r="F1117" s="547">
        <v>720</v>
      </c>
      <c r="G1117" s="547" t="s">
        <v>58</v>
      </c>
      <c r="H1117" s="547" t="s">
        <v>3</v>
      </c>
      <c r="I1117" s="547" t="s">
        <v>44</v>
      </c>
      <c r="J1117" s="547" t="s">
        <v>84</v>
      </c>
      <c r="K1117" s="547">
        <v>81</v>
      </c>
      <c r="L1117" s="727" t="s">
        <v>54</v>
      </c>
      <c r="M1117" s="697">
        <v>5</v>
      </c>
      <c r="N1117" s="727">
        <v>0</v>
      </c>
      <c r="O1117" s="697">
        <v>81</v>
      </c>
      <c r="P1117" s="727">
        <v>0</v>
      </c>
      <c r="Q1117" s="750">
        <f t="shared" si="153"/>
        <v>291600</v>
      </c>
      <c r="R1117" s="608">
        <f t="shared" si="154"/>
        <v>0</v>
      </c>
      <c r="S1117" s="751">
        <f t="shared" si="155"/>
        <v>-291600</v>
      </c>
      <c r="T1117" s="750">
        <v>55.71</v>
      </c>
      <c r="U1117" s="608">
        <f t="shared" si="156"/>
        <v>-200556</v>
      </c>
      <c r="V1117" s="751">
        <f t="shared" si="157"/>
        <v>-91044</v>
      </c>
      <c r="W1117" s="752">
        <v>55.71</v>
      </c>
      <c r="X1117" s="609">
        <f t="shared" si="158"/>
        <v>-200556</v>
      </c>
      <c r="Y1117" s="703">
        <f t="shared" si="159"/>
        <v>-91044</v>
      </c>
      <c r="Z1117" s="752">
        <v>55.71</v>
      </c>
      <c r="AA1117" s="609">
        <f t="shared" si="160"/>
        <v>-200556</v>
      </c>
      <c r="AB1117" s="753">
        <f t="shared" si="161"/>
        <v>-91044</v>
      </c>
      <c r="AC1117" s="714"/>
    </row>
    <row r="1118" spans="1:29" x14ac:dyDescent="0.25">
      <c r="A1118" s="713"/>
      <c r="B1118" s="731" t="s">
        <v>1653</v>
      </c>
      <c r="C1118" s="547" t="s">
        <v>40</v>
      </c>
      <c r="D1118" s="547" t="s">
        <v>1000</v>
      </c>
      <c r="E1118" s="683">
        <v>44713</v>
      </c>
      <c r="F1118" s="547">
        <v>720</v>
      </c>
      <c r="G1118" s="547" t="s">
        <v>58</v>
      </c>
      <c r="H1118" s="547" t="s">
        <v>3</v>
      </c>
      <c r="I1118" s="547" t="s">
        <v>44</v>
      </c>
      <c r="J1118" s="547" t="s">
        <v>84</v>
      </c>
      <c r="K1118" s="547">
        <v>81</v>
      </c>
      <c r="L1118" s="727" t="s">
        <v>54</v>
      </c>
      <c r="M1118" s="697">
        <v>5</v>
      </c>
      <c r="N1118" s="727">
        <v>0</v>
      </c>
      <c r="O1118" s="697">
        <v>81</v>
      </c>
      <c r="P1118" s="727">
        <v>0</v>
      </c>
      <c r="Q1118" s="750">
        <f t="shared" si="153"/>
        <v>291600</v>
      </c>
      <c r="R1118" s="608">
        <f t="shared" si="154"/>
        <v>0</v>
      </c>
      <c r="S1118" s="751">
        <f t="shared" si="155"/>
        <v>-291600</v>
      </c>
      <c r="T1118" s="750">
        <v>55.71</v>
      </c>
      <c r="U1118" s="608">
        <f t="shared" si="156"/>
        <v>-200556</v>
      </c>
      <c r="V1118" s="751">
        <f t="shared" si="157"/>
        <v>-91044</v>
      </c>
      <c r="W1118" s="752">
        <v>55.71</v>
      </c>
      <c r="X1118" s="609">
        <f t="shared" si="158"/>
        <v>-200556</v>
      </c>
      <c r="Y1118" s="703">
        <f t="shared" si="159"/>
        <v>-91044</v>
      </c>
      <c r="Z1118" s="752">
        <v>55.71</v>
      </c>
      <c r="AA1118" s="609">
        <f t="shared" si="160"/>
        <v>-200556</v>
      </c>
      <c r="AB1118" s="753">
        <f t="shared" si="161"/>
        <v>-91044</v>
      </c>
      <c r="AC1118" s="714"/>
    </row>
    <row r="1119" spans="1:29" x14ac:dyDescent="0.25">
      <c r="A1119" s="713"/>
      <c r="B1119" s="731" t="s">
        <v>1656</v>
      </c>
      <c r="C1119" s="547" t="s">
        <v>40</v>
      </c>
      <c r="D1119" s="547" t="s">
        <v>902</v>
      </c>
      <c r="E1119" s="683">
        <v>44774</v>
      </c>
      <c r="F1119" s="547">
        <v>744</v>
      </c>
      <c r="G1119" s="547" t="s">
        <v>58</v>
      </c>
      <c r="H1119" s="547" t="s">
        <v>3</v>
      </c>
      <c r="I1119" s="547" t="s">
        <v>44</v>
      </c>
      <c r="J1119" s="547" t="s">
        <v>84</v>
      </c>
      <c r="K1119" s="547">
        <v>124</v>
      </c>
      <c r="L1119" s="727" t="s">
        <v>54</v>
      </c>
      <c r="M1119" s="697">
        <v>2</v>
      </c>
      <c r="N1119" s="727">
        <v>0</v>
      </c>
      <c r="O1119" s="697">
        <v>124</v>
      </c>
      <c r="P1119" s="727">
        <v>0</v>
      </c>
      <c r="Q1119" s="750">
        <f t="shared" si="153"/>
        <v>184512</v>
      </c>
      <c r="R1119" s="608">
        <f t="shared" si="154"/>
        <v>0</v>
      </c>
      <c r="S1119" s="751">
        <f t="shared" si="155"/>
        <v>-184512</v>
      </c>
      <c r="T1119" s="750">
        <v>76.900000000000006</v>
      </c>
      <c r="U1119" s="608">
        <f t="shared" si="156"/>
        <v>-114427.20000000001</v>
      </c>
      <c r="V1119" s="751">
        <f t="shared" si="157"/>
        <v>-70084.799999999988</v>
      </c>
      <c r="W1119" s="752">
        <v>76.900000000000006</v>
      </c>
      <c r="X1119" s="609">
        <f t="shared" si="158"/>
        <v>-114427.20000000001</v>
      </c>
      <c r="Y1119" s="703">
        <f t="shared" si="159"/>
        <v>-70084.799999999988</v>
      </c>
      <c r="Z1119" s="752">
        <v>76.900000000000006</v>
      </c>
      <c r="AA1119" s="609">
        <f t="shared" si="160"/>
        <v>-114427.20000000001</v>
      </c>
      <c r="AB1119" s="753">
        <f t="shared" si="161"/>
        <v>-70084.799999999988</v>
      </c>
      <c r="AC1119" s="714"/>
    </row>
    <row r="1120" spans="1:29" x14ac:dyDescent="0.25">
      <c r="A1120" s="713"/>
      <c r="B1120" s="731" t="s">
        <v>1658</v>
      </c>
      <c r="C1120" s="547" t="s">
        <v>40</v>
      </c>
      <c r="D1120" s="547" t="s">
        <v>348</v>
      </c>
      <c r="E1120" s="683">
        <v>44774</v>
      </c>
      <c r="F1120" s="547">
        <v>744</v>
      </c>
      <c r="G1120" s="547" t="s">
        <v>58</v>
      </c>
      <c r="H1120" s="547" t="s">
        <v>3</v>
      </c>
      <c r="I1120" s="547" t="s">
        <v>44</v>
      </c>
      <c r="J1120" s="547" t="s">
        <v>84</v>
      </c>
      <c r="K1120" s="547">
        <v>130</v>
      </c>
      <c r="L1120" s="727" t="s">
        <v>54</v>
      </c>
      <c r="M1120" s="697">
        <v>5</v>
      </c>
      <c r="N1120" s="727">
        <v>0</v>
      </c>
      <c r="O1120" s="697">
        <v>130</v>
      </c>
      <c r="P1120" s="727">
        <v>0</v>
      </c>
      <c r="Q1120" s="750">
        <f t="shared" si="153"/>
        <v>483600</v>
      </c>
      <c r="R1120" s="608">
        <f t="shared" si="154"/>
        <v>0</v>
      </c>
      <c r="S1120" s="751">
        <f t="shared" si="155"/>
        <v>-483600</v>
      </c>
      <c r="T1120" s="750">
        <v>76.900000000000006</v>
      </c>
      <c r="U1120" s="608">
        <f t="shared" si="156"/>
        <v>-286068</v>
      </c>
      <c r="V1120" s="751">
        <f t="shared" si="157"/>
        <v>-197532</v>
      </c>
      <c r="W1120" s="752">
        <v>76.900000000000006</v>
      </c>
      <c r="X1120" s="609">
        <f t="shared" si="158"/>
        <v>-286068</v>
      </c>
      <c r="Y1120" s="703">
        <f t="shared" si="159"/>
        <v>-197532</v>
      </c>
      <c r="Z1120" s="752">
        <v>76.900000000000006</v>
      </c>
      <c r="AA1120" s="609">
        <f t="shared" si="160"/>
        <v>-286068</v>
      </c>
      <c r="AB1120" s="753">
        <f t="shared" si="161"/>
        <v>-197532</v>
      </c>
      <c r="AC1120" s="714"/>
    </row>
    <row r="1121" spans="1:29" x14ac:dyDescent="0.25">
      <c r="A1121" s="713"/>
      <c r="B1121" s="730" t="s">
        <v>1667</v>
      </c>
      <c r="C1121" s="546" t="s">
        <v>40</v>
      </c>
      <c r="D1121" s="546" t="s">
        <v>1167</v>
      </c>
      <c r="E1121" s="682">
        <v>44682</v>
      </c>
      <c r="F1121" s="546">
        <v>744</v>
      </c>
      <c r="G1121" s="546" t="s">
        <v>58</v>
      </c>
      <c r="H1121" s="546" t="s">
        <v>3</v>
      </c>
      <c r="I1121" s="546" t="s">
        <v>44</v>
      </c>
      <c r="J1121" s="546" t="s">
        <v>81</v>
      </c>
      <c r="K1121" s="546">
        <v>0</v>
      </c>
      <c r="L1121" s="726" t="s">
        <v>92</v>
      </c>
      <c r="M1121" s="696">
        <v>5.84</v>
      </c>
      <c r="N1121" s="726">
        <v>0</v>
      </c>
      <c r="O1121" s="696">
        <v>55.7</v>
      </c>
      <c r="P1121" s="726">
        <v>0</v>
      </c>
      <c r="Q1121" s="746">
        <f t="shared" si="153"/>
        <v>242014.27200000003</v>
      </c>
      <c r="R1121" s="606">
        <f t="shared" si="154"/>
        <v>0</v>
      </c>
      <c r="S1121" s="747">
        <f t="shared" si="155"/>
        <v>-242014.27200000003</v>
      </c>
      <c r="T1121" s="746">
        <v>55.7</v>
      </c>
      <c r="U1121" s="606">
        <f t="shared" si="156"/>
        <v>-242014.27200000003</v>
      </c>
      <c r="V1121" s="747">
        <f t="shared" si="157"/>
        <v>0</v>
      </c>
      <c r="W1121" s="748">
        <v>55.7</v>
      </c>
      <c r="X1121" s="607">
        <f t="shared" si="158"/>
        <v>-242014.27200000003</v>
      </c>
      <c r="Y1121" s="702">
        <f t="shared" si="159"/>
        <v>0</v>
      </c>
      <c r="Z1121" s="748">
        <v>55.7</v>
      </c>
      <c r="AA1121" s="607">
        <f t="shared" si="160"/>
        <v>-242014.27200000003</v>
      </c>
      <c r="AB1121" s="749">
        <f t="shared" si="161"/>
        <v>0</v>
      </c>
      <c r="AC1121" s="714"/>
    </row>
    <row r="1122" spans="1:29" x14ac:dyDescent="0.25">
      <c r="A1122" s="713"/>
      <c r="B1122" s="714" t="s">
        <v>1667</v>
      </c>
      <c r="C1122" s="676" t="s">
        <v>40</v>
      </c>
      <c r="D1122" s="676" t="s">
        <v>1167</v>
      </c>
      <c r="E1122" s="680">
        <v>44713</v>
      </c>
      <c r="F1122" s="676">
        <v>720</v>
      </c>
      <c r="G1122" s="676" t="s">
        <v>58</v>
      </c>
      <c r="H1122" s="676" t="s">
        <v>3</v>
      </c>
      <c r="I1122" s="676" t="s">
        <v>44</v>
      </c>
      <c r="J1122" s="676" t="s">
        <v>81</v>
      </c>
      <c r="K1122" s="676">
        <v>0</v>
      </c>
      <c r="L1122" s="690" t="s">
        <v>92</v>
      </c>
      <c r="M1122" s="691">
        <v>5.84</v>
      </c>
      <c r="N1122" s="690">
        <v>0</v>
      </c>
      <c r="O1122" s="691">
        <v>55.71</v>
      </c>
      <c r="P1122" s="690">
        <v>0</v>
      </c>
      <c r="Q1122" s="738">
        <f t="shared" si="153"/>
        <v>234249.40800000002</v>
      </c>
      <c r="R1122" s="677">
        <f t="shared" si="154"/>
        <v>0</v>
      </c>
      <c r="S1122" s="739">
        <f t="shared" si="155"/>
        <v>-234249.40800000002</v>
      </c>
      <c r="T1122" s="738">
        <v>55.71</v>
      </c>
      <c r="U1122" s="677">
        <f t="shared" si="156"/>
        <v>-234249.40800000002</v>
      </c>
      <c r="V1122" s="739">
        <f t="shared" si="157"/>
        <v>0</v>
      </c>
      <c r="W1122" s="740">
        <v>55.71</v>
      </c>
      <c r="X1122" s="678">
        <f t="shared" si="158"/>
        <v>-234249.40800000002</v>
      </c>
      <c r="Y1122" s="700">
        <f t="shared" si="159"/>
        <v>0</v>
      </c>
      <c r="Z1122" s="740">
        <v>55.71</v>
      </c>
      <c r="AA1122" s="678">
        <f t="shared" si="160"/>
        <v>-234249.40800000002</v>
      </c>
      <c r="AB1122" s="741">
        <f t="shared" si="161"/>
        <v>0</v>
      </c>
      <c r="AC1122" s="714"/>
    </row>
    <row r="1123" spans="1:29" x14ac:dyDescent="0.25">
      <c r="A1123" s="713"/>
      <c r="B1123" s="714" t="s">
        <v>1667</v>
      </c>
      <c r="C1123" s="676" t="s">
        <v>40</v>
      </c>
      <c r="D1123" s="676" t="s">
        <v>1167</v>
      </c>
      <c r="E1123" s="680">
        <v>44743</v>
      </c>
      <c r="F1123" s="676">
        <v>744</v>
      </c>
      <c r="G1123" s="676" t="s">
        <v>58</v>
      </c>
      <c r="H1123" s="676" t="s">
        <v>3</v>
      </c>
      <c r="I1123" s="676" t="s">
        <v>44</v>
      </c>
      <c r="J1123" s="676" t="s">
        <v>81</v>
      </c>
      <c r="K1123" s="676">
        <v>0</v>
      </c>
      <c r="L1123" s="690" t="s">
        <v>92</v>
      </c>
      <c r="M1123" s="691">
        <v>5.84</v>
      </c>
      <c r="N1123" s="690">
        <v>0</v>
      </c>
      <c r="O1123" s="691">
        <v>66.319999999999993</v>
      </c>
      <c r="P1123" s="690">
        <v>0</v>
      </c>
      <c r="Q1123" s="738">
        <f t="shared" si="153"/>
        <v>288157.74719999998</v>
      </c>
      <c r="R1123" s="677">
        <f t="shared" si="154"/>
        <v>0</v>
      </c>
      <c r="S1123" s="739">
        <f t="shared" si="155"/>
        <v>-288157.74719999998</v>
      </c>
      <c r="T1123" s="738">
        <v>66.319999999999993</v>
      </c>
      <c r="U1123" s="677">
        <f t="shared" si="156"/>
        <v>-288157.74719999998</v>
      </c>
      <c r="V1123" s="739">
        <f t="shared" si="157"/>
        <v>0</v>
      </c>
      <c r="W1123" s="740">
        <v>66.319999999999993</v>
      </c>
      <c r="X1123" s="678">
        <f t="shared" si="158"/>
        <v>-288157.74719999998</v>
      </c>
      <c r="Y1123" s="700">
        <f t="shared" si="159"/>
        <v>0</v>
      </c>
      <c r="Z1123" s="740">
        <v>66.319999999999993</v>
      </c>
      <c r="AA1123" s="678">
        <f t="shared" si="160"/>
        <v>-288157.74719999998</v>
      </c>
      <c r="AB1123" s="741">
        <f t="shared" si="161"/>
        <v>0</v>
      </c>
      <c r="AC1123" s="714"/>
    </row>
    <row r="1124" spans="1:29" x14ac:dyDescent="0.25">
      <c r="A1124" s="713"/>
      <c r="B1124" s="714" t="s">
        <v>1667</v>
      </c>
      <c r="C1124" s="676" t="s">
        <v>40</v>
      </c>
      <c r="D1124" s="676" t="s">
        <v>1167</v>
      </c>
      <c r="E1124" s="680">
        <v>44774</v>
      </c>
      <c r="F1124" s="676">
        <v>744</v>
      </c>
      <c r="G1124" s="676" t="s">
        <v>58</v>
      </c>
      <c r="H1124" s="676" t="s">
        <v>3</v>
      </c>
      <c r="I1124" s="676" t="s">
        <v>44</v>
      </c>
      <c r="J1124" s="676" t="s">
        <v>81</v>
      </c>
      <c r="K1124" s="676">
        <v>0</v>
      </c>
      <c r="L1124" s="690" t="s">
        <v>92</v>
      </c>
      <c r="M1124" s="691">
        <v>5.84</v>
      </c>
      <c r="N1124" s="690">
        <v>0</v>
      </c>
      <c r="O1124" s="691">
        <v>76.900000000000006</v>
      </c>
      <c r="P1124" s="690">
        <v>0</v>
      </c>
      <c r="Q1124" s="738">
        <f t="shared" si="153"/>
        <v>334127.424</v>
      </c>
      <c r="R1124" s="677">
        <f t="shared" si="154"/>
        <v>0</v>
      </c>
      <c r="S1124" s="739">
        <f t="shared" si="155"/>
        <v>-334127.424</v>
      </c>
      <c r="T1124" s="738">
        <v>76.900000000000006</v>
      </c>
      <c r="U1124" s="677">
        <f t="shared" si="156"/>
        <v>-334127.424</v>
      </c>
      <c r="V1124" s="739">
        <f t="shared" si="157"/>
        <v>0</v>
      </c>
      <c r="W1124" s="740">
        <v>76.900000000000006</v>
      </c>
      <c r="X1124" s="678">
        <f t="shared" si="158"/>
        <v>-334127.424</v>
      </c>
      <c r="Y1124" s="700">
        <f t="shared" si="159"/>
        <v>0</v>
      </c>
      <c r="Z1124" s="740">
        <v>76.900000000000006</v>
      </c>
      <c r="AA1124" s="678">
        <f t="shared" si="160"/>
        <v>-334127.424</v>
      </c>
      <c r="AB1124" s="741">
        <f t="shared" si="161"/>
        <v>0</v>
      </c>
      <c r="AC1124" s="714"/>
    </row>
    <row r="1125" spans="1:29" x14ac:dyDescent="0.25">
      <c r="A1125" s="713"/>
      <c r="B1125" s="714" t="s">
        <v>1667</v>
      </c>
      <c r="C1125" s="676" t="s">
        <v>40</v>
      </c>
      <c r="D1125" s="676" t="s">
        <v>1167</v>
      </c>
      <c r="E1125" s="680">
        <v>44805</v>
      </c>
      <c r="F1125" s="676">
        <v>720</v>
      </c>
      <c r="G1125" s="676" t="s">
        <v>58</v>
      </c>
      <c r="H1125" s="676" t="s">
        <v>3</v>
      </c>
      <c r="I1125" s="676" t="s">
        <v>44</v>
      </c>
      <c r="J1125" s="676" t="s">
        <v>81</v>
      </c>
      <c r="K1125" s="676">
        <v>0</v>
      </c>
      <c r="L1125" s="690" t="s">
        <v>92</v>
      </c>
      <c r="M1125" s="691">
        <v>5.84</v>
      </c>
      <c r="N1125" s="690">
        <v>0</v>
      </c>
      <c r="O1125" s="691">
        <v>56.08</v>
      </c>
      <c r="P1125" s="690">
        <v>0</v>
      </c>
      <c r="Q1125" s="738">
        <f t="shared" si="153"/>
        <v>235805.18400000001</v>
      </c>
      <c r="R1125" s="677">
        <f t="shared" si="154"/>
        <v>0</v>
      </c>
      <c r="S1125" s="739">
        <f t="shared" si="155"/>
        <v>-235805.18400000001</v>
      </c>
      <c r="T1125" s="738">
        <v>56.08</v>
      </c>
      <c r="U1125" s="677">
        <f t="shared" si="156"/>
        <v>-235805.18400000001</v>
      </c>
      <c r="V1125" s="739">
        <f t="shared" si="157"/>
        <v>0</v>
      </c>
      <c r="W1125" s="740">
        <v>56.08</v>
      </c>
      <c r="X1125" s="678">
        <f t="shared" si="158"/>
        <v>-235805.18400000001</v>
      </c>
      <c r="Y1125" s="700">
        <f t="shared" si="159"/>
        <v>0</v>
      </c>
      <c r="Z1125" s="740">
        <v>56.08</v>
      </c>
      <c r="AA1125" s="678">
        <f t="shared" si="160"/>
        <v>-235805.18400000001</v>
      </c>
      <c r="AB1125" s="741">
        <f t="shared" si="161"/>
        <v>0</v>
      </c>
      <c r="AC1125" s="714"/>
    </row>
    <row r="1126" spans="1:29" x14ac:dyDescent="0.25">
      <c r="A1126" s="713"/>
      <c r="B1126" s="714" t="s">
        <v>1667</v>
      </c>
      <c r="C1126" s="676" t="s">
        <v>40</v>
      </c>
      <c r="D1126" s="676" t="s">
        <v>1167</v>
      </c>
      <c r="E1126" s="680">
        <v>44835</v>
      </c>
      <c r="F1126" s="676">
        <v>744</v>
      </c>
      <c r="G1126" s="676" t="s">
        <v>58</v>
      </c>
      <c r="H1126" s="676" t="s">
        <v>3</v>
      </c>
      <c r="I1126" s="676" t="s">
        <v>44</v>
      </c>
      <c r="J1126" s="676" t="s">
        <v>81</v>
      </c>
      <c r="K1126" s="676">
        <v>0</v>
      </c>
      <c r="L1126" s="690" t="s">
        <v>92</v>
      </c>
      <c r="M1126" s="691">
        <v>5.84</v>
      </c>
      <c r="N1126" s="690">
        <v>0</v>
      </c>
      <c r="O1126" s="691">
        <v>55.7</v>
      </c>
      <c r="P1126" s="690">
        <v>0</v>
      </c>
      <c r="Q1126" s="738">
        <f t="shared" si="153"/>
        <v>242014.27200000003</v>
      </c>
      <c r="R1126" s="677">
        <f t="shared" si="154"/>
        <v>0</v>
      </c>
      <c r="S1126" s="739">
        <f t="shared" si="155"/>
        <v>-242014.27200000003</v>
      </c>
      <c r="T1126" s="738">
        <v>55.7</v>
      </c>
      <c r="U1126" s="677">
        <f t="shared" si="156"/>
        <v>-242014.27200000003</v>
      </c>
      <c r="V1126" s="739">
        <f t="shared" si="157"/>
        <v>0</v>
      </c>
      <c r="W1126" s="740">
        <v>55.7</v>
      </c>
      <c r="X1126" s="678">
        <f t="shared" si="158"/>
        <v>-242014.27200000003</v>
      </c>
      <c r="Y1126" s="700">
        <f t="shared" si="159"/>
        <v>0</v>
      </c>
      <c r="Z1126" s="740">
        <v>55.7</v>
      </c>
      <c r="AA1126" s="678">
        <f t="shared" si="160"/>
        <v>-242014.27200000003</v>
      </c>
      <c r="AB1126" s="741">
        <f t="shared" si="161"/>
        <v>0</v>
      </c>
      <c r="AC1126" s="714"/>
    </row>
    <row r="1127" spans="1:29" x14ac:dyDescent="0.25">
      <c r="A1127" s="713"/>
      <c r="B1127" s="714" t="s">
        <v>1667</v>
      </c>
      <c r="C1127" s="676" t="s">
        <v>40</v>
      </c>
      <c r="D1127" s="676" t="s">
        <v>1167</v>
      </c>
      <c r="E1127" s="680">
        <v>44866</v>
      </c>
      <c r="F1127" s="676">
        <v>720</v>
      </c>
      <c r="G1127" s="676" t="s">
        <v>58</v>
      </c>
      <c r="H1127" s="676" t="s">
        <v>3</v>
      </c>
      <c r="I1127" s="676" t="s">
        <v>44</v>
      </c>
      <c r="J1127" s="676" t="s">
        <v>81</v>
      </c>
      <c r="K1127" s="676">
        <v>0</v>
      </c>
      <c r="L1127" s="690" t="s">
        <v>92</v>
      </c>
      <c r="M1127" s="691">
        <v>5.84</v>
      </c>
      <c r="N1127" s="690">
        <v>0</v>
      </c>
      <c r="O1127" s="691">
        <v>55.7</v>
      </c>
      <c r="P1127" s="690">
        <v>0</v>
      </c>
      <c r="Q1127" s="738">
        <f t="shared" si="153"/>
        <v>234207.36000000002</v>
      </c>
      <c r="R1127" s="677">
        <f t="shared" si="154"/>
        <v>0</v>
      </c>
      <c r="S1127" s="739">
        <f t="shared" si="155"/>
        <v>-234207.36000000002</v>
      </c>
      <c r="T1127" s="738">
        <v>55.7</v>
      </c>
      <c r="U1127" s="677">
        <f t="shared" si="156"/>
        <v>-234207.36000000002</v>
      </c>
      <c r="V1127" s="739">
        <f t="shared" si="157"/>
        <v>0</v>
      </c>
      <c r="W1127" s="740">
        <v>55.7</v>
      </c>
      <c r="X1127" s="678">
        <f t="shared" si="158"/>
        <v>-234207.36000000002</v>
      </c>
      <c r="Y1127" s="700">
        <f t="shared" si="159"/>
        <v>0</v>
      </c>
      <c r="Z1127" s="740">
        <v>55.7</v>
      </c>
      <c r="AA1127" s="678">
        <f t="shared" si="160"/>
        <v>-234207.36000000002</v>
      </c>
      <c r="AB1127" s="741">
        <f t="shared" si="161"/>
        <v>0</v>
      </c>
      <c r="AC1127" s="714"/>
    </row>
    <row r="1128" spans="1:29" x14ac:dyDescent="0.25">
      <c r="A1128" s="713"/>
      <c r="B1128" s="729" t="s">
        <v>1667</v>
      </c>
      <c r="C1128" s="545" t="s">
        <v>40</v>
      </c>
      <c r="D1128" s="545" t="s">
        <v>1167</v>
      </c>
      <c r="E1128" s="681">
        <v>44896</v>
      </c>
      <c r="F1128" s="545">
        <v>744</v>
      </c>
      <c r="G1128" s="545" t="s">
        <v>58</v>
      </c>
      <c r="H1128" s="545" t="s">
        <v>3</v>
      </c>
      <c r="I1128" s="545" t="s">
        <v>44</v>
      </c>
      <c r="J1128" s="545" t="s">
        <v>81</v>
      </c>
      <c r="K1128" s="545">
        <v>0</v>
      </c>
      <c r="L1128" s="725" t="s">
        <v>92</v>
      </c>
      <c r="M1128" s="695">
        <v>5.84</v>
      </c>
      <c r="N1128" s="725">
        <v>0</v>
      </c>
      <c r="O1128" s="695">
        <v>55.7</v>
      </c>
      <c r="P1128" s="725">
        <v>0</v>
      </c>
      <c r="Q1128" s="742">
        <f t="shared" si="153"/>
        <v>242014.27200000003</v>
      </c>
      <c r="R1128" s="603">
        <f t="shared" si="154"/>
        <v>0</v>
      </c>
      <c r="S1128" s="743">
        <f t="shared" si="155"/>
        <v>-242014.27200000003</v>
      </c>
      <c r="T1128" s="742">
        <v>55.7</v>
      </c>
      <c r="U1128" s="603">
        <f t="shared" si="156"/>
        <v>-242014.27200000003</v>
      </c>
      <c r="V1128" s="743">
        <f t="shared" si="157"/>
        <v>0</v>
      </c>
      <c r="W1128" s="744">
        <v>55.7</v>
      </c>
      <c r="X1128" s="604">
        <f t="shared" si="158"/>
        <v>-242014.27200000003</v>
      </c>
      <c r="Y1128" s="701">
        <f t="shared" si="159"/>
        <v>0</v>
      </c>
      <c r="Z1128" s="744">
        <v>55.7</v>
      </c>
      <c r="AA1128" s="604">
        <f t="shared" si="160"/>
        <v>-242014.27200000003</v>
      </c>
      <c r="AB1128" s="745">
        <f t="shared" si="161"/>
        <v>0</v>
      </c>
      <c r="AC1128" s="714"/>
    </row>
    <row r="1129" spans="1:29" x14ac:dyDescent="0.25">
      <c r="A1129" s="713"/>
      <c r="B1129" s="730" t="s">
        <v>1668</v>
      </c>
      <c r="C1129" s="546" t="s">
        <v>40</v>
      </c>
      <c r="D1129" s="546" t="s">
        <v>1167</v>
      </c>
      <c r="E1129" s="682">
        <v>44682</v>
      </c>
      <c r="F1129" s="546">
        <v>744</v>
      </c>
      <c r="G1129" s="546" t="s">
        <v>59</v>
      </c>
      <c r="H1129" s="546" t="s">
        <v>6</v>
      </c>
      <c r="I1129" s="546" t="s">
        <v>44</v>
      </c>
      <c r="J1129" s="546" t="s">
        <v>81</v>
      </c>
      <c r="K1129" s="546">
        <v>185</v>
      </c>
      <c r="L1129" s="726" t="s">
        <v>92</v>
      </c>
      <c r="M1129" s="696">
        <v>0</v>
      </c>
      <c r="N1129" s="726">
        <v>5.84</v>
      </c>
      <c r="O1129" s="696">
        <v>0</v>
      </c>
      <c r="P1129" s="726">
        <v>240.7</v>
      </c>
      <c r="Q1129" s="746">
        <f t="shared" si="153"/>
        <v>0</v>
      </c>
      <c r="R1129" s="606">
        <f t="shared" si="154"/>
        <v>1045831.872</v>
      </c>
      <c r="S1129" s="747">
        <f t="shared" si="155"/>
        <v>1045831.872</v>
      </c>
      <c r="T1129" s="746">
        <v>55.7</v>
      </c>
      <c r="U1129" s="606">
        <f t="shared" si="156"/>
        <v>242014.27200000003</v>
      </c>
      <c r="V1129" s="747">
        <f t="shared" si="157"/>
        <v>803817.6</v>
      </c>
      <c r="W1129" s="748">
        <v>55.7</v>
      </c>
      <c r="X1129" s="607">
        <f t="shared" si="158"/>
        <v>242014.27200000003</v>
      </c>
      <c r="Y1129" s="702">
        <f t="shared" si="159"/>
        <v>803817.6</v>
      </c>
      <c r="Z1129" s="748">
        <v>55.7</v>
      </c>
      <c r="AA1129" s="607">
        <f t="shared" si="160"/>
        <v>242014.27200000003</v>
      </c>
      <c r="AB1129" s="749">
        <f t="shared" si="161"/>
        <v>803817.6</v>
      </c>
      <c r="AC1129" s="714"/>
    </row>
    <row r="1130" spans="1:29" x14ac:dyDescent="0.25">
      <c r="A1130" s="713"/>
      <c r="B1130" s="714" t="s">
        <v>1668</v>
      </c>
      <c r="C1130" s="676" t="s">
        <v>40</v>
      </c>
      <c r="D1130" s="676" t="s">
        <v>1167</v>
      </c>
      <c r="E1130" s="680">
        <v>44713</v>
      </c>
      <c r="F1130" s="676">
        <v>720</v>
      </c>
      <c r="G1130" s="676" t="s">
        <v>59</v>
      </c>
      <c r="H1130" s="676" t="s">
        <v>6</v>
      </c>
      <c r="I1130" s="676" t="s">
        <v>44</v>
      </c>
      <c r="J1130" s="676" t="s">
        <v>81</v>
      </c>
      <c r="K1130" s="676">
        <v>185</v>
      </c>
      <c r="L1130" s="690" t="s">
        <v>92</v>
      </c>
      <c r="M1130" s="691">
        <v>0</v>
      </c>
      <c r="N1130" s="690">
        <v>5.84</v>
      </c>
      <c r="O1130" s="691">
        <v>0</v>
      </c>
      <c r="P1130" s="690">
        <v>240.71</v>
      </c>
      <c r="Q1130" s="738">
        <f t="shared" si="153"/>
        <v>0</v>
      </c>
      <c r="R1130" s="677">
        <f t="shared" si="154"/>
        <v>1012137.4080000001</v>
      </c>
      <c r="S1130" s="739">
        <f t="shared" si="155"/>
        <v>1012137.4080000001</v>
      </c>
      <c r="T1130" s="738">
        <v>55.71</v>
      </c>
      <c r="U1130" s="677">
        <f t="shared" si="156"/>
        <v>234249.40800000002</v>
      </c>
      <c r="V1130" s="739">
        <f t="shared" si="157"/>
        <v>777888</v>
      </c>
      <c r="W1130" s="740">
        <v>55.71</v>
      </c>
      <c r="X1130" s="678">
        <f t="shared" si="158"/>
        <v>234249.40800000002</v>
      </c>
      <c r="Y1130" s="700">
        <f t="shared" si="159"/>
        <v>777888</v>
      </c>
      <c r="Z1130" s="740">
        <v>55.71</v>
      </c>
      <c r="AA1130" s="678">
        <f t="shared" si="160"/>
        <v>234249.40800000002</v>
      </c>
      <c r="AB1130" s="741">
        <f t="shared" si="161"/>
        <v>777888</v>
      </c>
      <c r="AC1130" s="714"/>
    </row>
    <row r="1131" spans="1:29" x14ac:dyDescent="0.25">
      <c r="A1131" s="713"/>
      <c r="B1131" s="714" t="s">
        <v>1668</v>
      </c>
      <c r="C1131" s="676" t="s">
        <v>40</v>
      </c>
      <c r="D1131" s="676" t="s">
        <v>1167</v>
      </c>
      <c r="E1131" s="680">
        <v>44743</v>
      </c>
      <c r="F1131" s="676">
        <v>744</v>
      </c>
      <c r="G1131" s="676" t="s">
        <v>59</v>
      </c>
      <c r="H1131" s="676" t="s">
        <v>6</v>
      </c>
      <c r="I1131" s="676" t="s">
        <v>44</v>
      </c>
      <c r="J1131" s="676" t="s">
        <v>81</v>
      </c>
      <c r="K1131" s="676">
        <v>185</v>
      </c>
      <c r="L1131" s="690" t="s">
        <v>92</v>
      </c>
      <c r="M1131" s="691">
        <v>0</v>
      </c>
      <c r="N1131" s="690">
        <v>5.84</v>
      </c>
      <c r="O1131" s="691">
        <v>0</v>
      </c>
      <c r="P1131" s="690">
        <v>251.32</v>
      </c>
      <c r="Q1131" s="738">
        <f t="shared" si="153"/>
        <v>0</v>
      </c>
      <c r="R1131" s="677">
        <f t="shared" si="154"/>
        <v>1091975.3472</v>
      </c>
      <c r="S1131" s="739">
        <f t="shared" si="155"/>
        <v>1091975.3472</v>
      </c>
      <c r="T1131" s="738">
        <v>66.319999999999993</v>
      </c>
      <c r="U1131" s="677">
        <f t="shared" si="156"/>
        <v>288157.74719999998</v>
      </c>
      <c r="V1131" s="739">
        <f t="shared" si="157"/>
        <v>803817.6</v>
      </c>
      <c r="W1131" s="740">
        <v>66.319999999999993</v>
      </c>
      <c r="X1131" s="678">
        <f t="shared" si="158"/>
        <v>288157.74719999998</v>
      </c>
      <c r="Y1131" s="700">
        <f t="shared" si="159"/>
        <v>803817.6</v>
      </c>
      <c r="Z1131" s="740">
        <v>66.319999999999993</v>
      </c>
      <c r="AA1131" s="678">
        <f t="shared" si="160"/>
        <v>288157.74719999998</v>
      </c>
      <c r="AB1131" s="741">
        <f t="shared" si="161"/>
        <v>803817.6</v>
      </c>
      <c r="AC1131" s="714"/>
    </row>
    <row r="1132" spans="1:29" x14ac:dyDescent="0.25">
      <c r="A1132" s="713"/>
      <c r="B1132" s="714" t="s">
        <v>1668</v>
      </c>
      <c r="C1132" s="676" t="s">
        <v>40</v>
      </c>
      <c r="D1132" s="676" t="s">
        <v>1167</v>
      </c>
      <c r="E1132" s="680">
        <v>44774</v>
      </c>
      <c r="F1132" s="676">
        <v>744</v>
      </c>
      <c r="G1132" s="676" t="s">
        <v>59</v>
      </c>
      <c r="H1132" s="676" t="s">
        <v>6</v>
      </c>
      <c r="I1132" s="676" t="s">
        <v>44</v>
      </c>
      <c r="J1132" s="676" t="s">
        <v>81</v>
      </c>
      <c r="K1132" s="676">
        <v>185</v>
      </c>
      <c r="L1132" s="690" t="s">
        <v>92</v>
      </c>
      <c r="M1132" s="691">
        <v>0</v>
      </c>
      <c r="N1132" s="690">
        <v>5.84</v>
      </c>
      <c r="O1132" s="691">
        <v>0</v>
      </c>
      <c r="P1132" s="690">
        <v>261.89999999999998</v>
      </c>
      <c r="Q1132" s="738">
        <f t="shared" si="153"/>
        <v>0</v>
      </c>
      <c r="R1132" s="677">
        <f t="shared" si="154"/>
        <v>1137945.024</v>
      </c>
      <c r="S1132" s="739">
        <f t="shared" si="155"/>
        <v>1137945.024</v>
      </c>
      <c r="T1132" s="738">
        <v>76.900000000000006</v>
      </c>
      <c r="U1132" s="677">
        <f t="shared" si="156"/>
        <v>334127.424</v>
      </c>
      <c r="V1132" s="739">
        <f t="shared" si="157"/>
        <v>803817.6</v>
      </c>
      <c r="W1132" s="740">
        <v>76.900000000000006</v>
      </c>
      <c r="X1132" s="678">
        <f t="shared" si="158"/>
        <v>334127.424</v>
      </c>
      <c r="Y1132" s="700">
        <f t="shared" si="159"/>
        <v>803817.6</v>
      </c>
      <c r="Z1132" s="740">
        <v>76.900000000000006</v>
      </c>
      <c r="AA1132" s="678">
        <f t="shared" si="160"/>
        <v>334127.424</v>
      </c>
      <c r="AB1132" s="741">
        <f t="shared" si="161"/>
        <v>803817.6</v>
      </c>
      <c r="AC1132" s="714"/>
    </row>
    <row r="1133" spans="1:29" x14ac:dyDescent="0.25">
      <c r="A1133" s="713"/>
      <c r="B1133" s="714" t="s">
        <v>1668</v>
      </c>
      <c r="C1133" s="676" t="s">
        <v>40</v>
      </c>
      <c r="D1133" s="676" t="s">
        <v>1167</v>
      </c>
      <c r="E1133" s="680">
        <v>44805</v>
      </c>
      <c r="F1133" s="676">
        <v>720</v>
      </c>
      <c r="G1133" s="676" t="s">
        <v>59</v>
      </c>
      <c r="H1133" s="676" t="s">
        <v>6</v>
      </c>
      <c r="I1133" s="676" t="s">
        <v>44</v>
      </c>
      <c r="J1133" s="676" t="s">
        <v>81</v>
      </c>
      <c r="K1133" s="676">
        <v>185</v>
      </c>
      <c r="L1133" s="690" t="s">
        <v>92</v>
      </c>
      <c r="M1133" s="691">
        <v>0</v>
      </c>
      <c r="N1133" s="690">
        <v>5.84</v>
      </c>
      <c r="O1133" s="691">
        <v>0</v>
      </c>
      <c r="P1133" s="690">
        <v>241.07999999999998</v>
      </c>
      <c r="Q1133" s="738">
        <f t="shared" si="153"/>
        <v>0</v>
      </c>
      <c r="R1133" s="677">
        <f t="shared" si="154"/>
        <v>1013693.184</v>
      </c>
      <c r="S1133" s="739">
        <f t="shared" si="155"/>
        <v>1013693.184</v>
      </c>
      <c r="T1133" s="738">
        <v>56.08</v>
      </c>
      <c r="U1133" s="677">
        <f t="shared" si="156"/>
        <v>235805.18400000001</v>
      </c>
      <c r="V1133" s="739">
        <f t="shared" si="157"/>
        <v>777888</v>
      </c>
      <c r="W1133" s="740">
        <v>56.08</v>
      </c>
      <c r="X1133" s="678">
        <f t="shared" si="158"/>
        <v>235805.18400000001</v>
      </c>
      <c r="Y1133" s="700">
        <f t="shared" si="159"/>
        <v>777888</v>
      </c>
      <c r="Z1133" s="740">
        <v>56.08</v>
      </c>
      <c r="AA1133" s="678">
        <f t="shared" si="160"/>
        <v>235805.18400000001</v>
      </c>
      <c r="AB1133" s="741">
        <f t="shared" si="161"/>
        <v>777888</v>
      </c>
      <c r="AC1133" s="714"/>
    </row>
    <row r="1134" spans="1:29" x14ac:dyDescent="0.25">
      <c r="A1134" s="713"/>
      <c r="B1134" s="714" t="s">
        <v>1668</v>
      </c>
      <c r="C1134" s="676" t="s">
        <v>40</v>
      </c>
      <c r="D1134" s="676" t="s">
        <v>1167</v>
      </c>
      <c r="E1134" s="680">
        <v>44835</v>
      </c>
      <c r="F1134" s="676">
        <v>744</v>
      </c>
      <c r="G1134" s="676" t="s">
        <v>59</v>
      </c>
      <c r="H1134" s="676" t="s">
        <v>6</v>
      </c>
      <c r="I1134" s="676" t="s">
        <v>44</v>
      </c>
      <c r="J1134" s="676" t="s">
        <v>81</v>
      </c>
      <c r="K1134" s="676">
        <v>185</v>
      </c>
      <c r="L1134" s="690" t="s">
        <v>92</v>
      </c>
      <c r="M1134" s="691">
        <v>0</v>
      </c>
      <c r="N1134" s="690">
        <v>5.84</v>
      </c>
      <c r="O1134" s="691">
        <v>0</v>
      </c>
      <c r="P1134" s="690">
        <v>240.7</v>
      </c>
      <c r="Q1134" s="738">
        <f t="shared" si="153"/>
        <v>0</v>
      </c>
      <c r="R1134" s="677">
        <f t="shared" si="154"/>
        <v>1045831.872</v>
      </c>
      <c r="S1134" s="739">
        <f t="shared" si="155"/>
        <v>1045831.872</v>
      </c>
      <c r="T1134" s="738">
        <v>55.7</v>
      </c>
      <c r="U1134" s="677">
        <f t="shared" si="156"/>
        <v>242014.27200000003</v>
      </c>
      <c r="V1134" s="739">
        <f t="shared" si="157"/>
        <v>803817.6</v>
      </c>
      <c r="W1134" s="740">
        <v>55.7</v>
      </c>
      <c r="X1134" s="678">
        <f t="shared" si="158"/>
        <v>242014.27200000003</v>
      </c>
      <c r="Y1134" s="700">
        <f t="shared" si="159"/>
        <v>803817.6</v>
      </c>
      <c r="Z1134" s="740">
        <v>55.7</v>
      </c>
      <c r="AA1134" s="678">
        <f t="shared" si="160"/>
        <v>242014.27200000003</v>
      </c>
      <c r="AB1134" s="741">
        <f t="shared" si="161"/>
        <v>803817.6</v>
      </c>
      <c r="AC1134" s="714"/>
    </row>
    <row r="1135" spans="1:29" x14ac:dyDescent="0.25">
      <c r="A1135" s="713"/>
      <c r="B1135" s="714" t="s">
        <v>1668</v>
      </c>
      <c r="C1135" s="676" t="s">
        <v>40</v>
      </c>
      <c r="D1135" s="676" t="s">
        <v>1167</v>
      </c>
      <c r="E1135" s="680">
        <v>44866</v>
      </c>
      <c r="F1135" s="676">
        <v>720</v>
      </c>
      <c r="G1135" s="676" t="s">
        <v>59</v>
      </c>
      <c r="H1135" s="676" t="s">
        <v>6</v>
      </c>
      <c r="I1135" s="676" t="s">
        <v>44</v>
      </c>
      <c r="J1135" s="676" t="s">
        <v>81</v>
      </c>
      <c r="K1135" s="676">
        <v>185</v>
      </c>
      <c r="L1135" s="690" t="s">
        <v>92</v>
      </c>
      <c r="M1135" s="691">
        <v>0</v>
      </c>
      <c r="N1135" s="690">
        <v>5.84</v>
      </c>
      <c r="O1135" s="691">
        <v>0</v>
      </c>
      <c r="P1135" s="690">
        <v>240.7</v>
      </c>
      <c r="Q1135" s="738">
        <f t="shared" si="153"/>
        <v>0</v>
      </c>
      <c r="R1135" s="677">
        <f t="shared" si="154"/>
        <v>1012095.36</v>
      </c>
      <c r="S1135" s="739">
        <f t="shared" si="155"/>
        <v>1012095.36</v>
      </c>
      <c r="T1135" s="738">
        <v>55.7</v>
      </c>
      <c r="U1135" s="677">
        <f t="shared" si="156"/>
        <v>234207.36000000002</v>
      </c>
      <c r="V1135" s="739">
        <f t="shared" si="157"/>
        <v>777888</v>
      </c>
      <c r="W1135" s="740">
        <v>55.7</v>
      </c>
      <c r="X1135" s="678">
        <f t="shared" si="158"/>
        <v>234207.36000000002</v>
      </c>
      <c r="Y1135" s="700">
        <f t="shared" si="159"/>
        <v>777888</v>
      </c>
      <c r="Z1135" s="740">
        <v>55.7</v>
      </c>
      <c r="AA1135" s="678">
        <f t="shared" si="160"/>
        <v>234207.36000000002</v>
      </c>
      <c r="AB1135" s="741">
        <f t="shared" si="161"/>
        <v>777888</v>
      </c>
      <c r="AC1135" s="714"/>
    </row>
    <row r="1136" spans="1:29" x14ac:dyDescent="0.25">
      <c r="A1136" s="713"/>
      <c r="B1136" s="729" t="s">
        <v>1668</v>
      </c>
      <c r="C1136" s="545" t="s">
        <v>40</v>
      </c>
      <c r="D1136" s="545" t="s">
        <v>1167</v>
      </c>
      <c r="E1136" s="681">
        <v>44896</v>
      </c>
      <c r="F1136" s="545">
        <v>744</v>
      </c>
      <c r="G1136" s="545" t="s">
        <v>59</v>
      </c>
      <c r="H1136" s="545" t="s">
        <v>6</v>
      </c>
      <c r="I1136" s="545" t="s">
        <v>44</v>
      </c>
      <c r="J1136" s="545" t="s">
        <v>81</v>
      </c>
      <c r="K1136" s="545">
        <v>185</v>
      </c>
      <c r="L1136" s="725" t="s">
        <v>92</v>
      </c>
      <c r="M1136" s="695">
        <v>0</v>
      </c>
      <c r="N1136" s="725">
        <v>5.84</v>
      </c>
      <c r="O1136" s="695">
        <v>0</v>
      </c>
      <c r="P1136" s="725">
        <v>240.7</v>
      </c>
      <c r="Q1136" s="742">
        <f t="shared" si="153"/>
        <v>0</v>
      </c>
      <c r="R1136" s="603">
        <f t="shared" si="154"/>
        <v>1045831.872</v>
      </c>
      <c r="S1136" s="743">
        <f t="shared" si="155"/>
        <v>1045831.872</v>
      </c>
      <c r="T1136" s="742">
        <v>215.7</v>
      </c>
      <c r="U1136" s="603">
        <f t="shared" si="156"/>
        <v>937207.87199999997</v>
      </c>
      <c r="V1136" s="743">
        <f t="shared" si="157"/>
        <v>108624</v>
      </c>
      <c r="W1136" s="744">
        <v>215.7</v>
      </c>
      <c r="X1136" s="604">
        <f t="shared" si="158"/>
        <v>937207.87199999997</v>
      </c>
      <c r="Y1136" s="701">
        <f t="shared" si="159"/>
        <v>108624</v>
      </c>
      <c r="Z1136" s="744">
        <v>215.7</v>
      </c>
      <c r="AA1136" s="604">
        <f t="shared" si="160"/>
        <v>937207.87199999997</v>
      </c>
      <c r="AB1136" s="745">
        <f t="shared" si="161"/>
        <v>108624</v>
      </c>
      <c r="AC1136" s="714"/>
    </row>
    <row r="1137" spans="1:29" x14ac:dyDescent="0.25">
      <c r="A1137" s="713"/>
      <c r="B1137" s="731" t="s">
        <v>1669</v>
      </c>
      <c r="C1137" s="547" t="s">
        <v>40</v>
      </c>
      <c r="D1137" s="547" t="s">
        <v>875</v>
      </c>
      <c r="E1137" s="683">
        <v>44774</v>
      </c>
      <c r="F1137" s="547">
        <v>744</v>
      </c>
      <c r="G1137" s="547" t="s">
        <v>58</v>
      </c>
      <c r="H1137" s="547" t="s">
        <v>3</v>
      </c>
      <c r="I1137" s="547" t="s">
        <v>44</v>
      </c>
      <c r="J1137" s="547" t="s">
        <v>84</v>
      </c>
      <c r="K1137" s="547">
        <v>131.5</v>
      </c>
      <c r="L1137" s="727" t="s">
        <v>54</v>
      </c>
      <c r="M1137" s="697">
        <v>2</v>
      </c>
      <c r="N1137" s="727">
        <v>0</v>
      </c>
      <c r="O1137" s="697">
        <v>131.5</v>
      </c>
      <c r="P1137" s="727">
        <v>0</v>
      </c>
      <c r="Q1137" s="750">
        <f t="shared" si="153"/>
        <v>195672</v>
      </c>
      <c r="R1137" s="608">
        <f t="shared" si="154"/>
        <v>0</v>
      </c>
      <c r="S1137" s="751">
        <f t="shared" si="155"/>
        <v>-195672</v>
      </c>
      <c r="T1137" s="750">
        <v>76.900000000000006</v>
      </c>
      <c r="U1137" s="608">
        <f t="shared" si="156"/>
        <v>-114427.20000000001</v>
      </c>
      <c r="V1137" s="751">
        <f t="shared" si="157"/>
        <v>-81244.799999999988</v>
      </c>
      <c r="W1137" s="752">
        <v>76.900000000000006</v>
      </c>
      <c r="X1137" s="609">
        <f t="shared" si="158"/>
        <v>-114427.20000000001</v>
      </c>
      <c r="Y1137" s="703">
        <f t="shared" si="159"/>
        <v>-81244.799999999988</v>
      </c>
      <c r="Z1137" s="752">
        <v>76.900000000000006</v>
      </c>
      <c r="AA1137" s="609">
        <f t="shared" si="160"/>
        <v>-114427.20000000001</v>
      </c>
      <c r="AB1137" s="753">
        <f t="shared" si="161"/>
        <v>-81244.799999999988</v>
      </c>
      <c r="AC1137" s="714"/>
    </row>
    <row r="1138" spans="1:29" x14ac:dyDescent="0.25">
      <c r="A1138" s="713"/>
      <c r="B1138" s="731" t="s">
        <v>1670</v>
      </c>
      <c r="C1138" s="547" t="s">
        <v>40</v>
      </c>
      <c r="D1138" s="547" t="s">
        <v>945</v>
      </c>
      <c r="E1138" s="683">
        <v>44774</v>
      </c>
      <c r="F1138" s="547">
        <v>744</v>
      </c>
      <c r="G1138" s="547" t="s">
        <v>58</v>
      </c>
      <c r="H1138" s="547" t="s">
        <v>3</v>
      </c>
      <c r="I1138" s="547" t="s">
        <v>44</v>
      </c>
      <c r="J1138" s="547" t="s">
        <v>84</v>
      </c>
      <c r="K1138" s="547">
        <v>133</v>
      </c>
      <c r="L1138" s="727" t="s">
        <v>54</v>
      </c>
      <c r="M1138" s="697">
        <v>0.4</v>
      </c>
      <c r="N1138" s="727">
        <v>0</v>
      </c>
      <c r="O1138" s="697">
        <v>133</v>
      </c>
      <c r="P1138" s="727">
        <v>0</v>
      </c>
      <c r="Q1138" s="750">
        <f t="shared" si="153"/>
        <v>39580.800000000003</v>
      </c>
      <c r="R1138" s="608">
        <f t="shared" si="154"/>
        <v>0</v>
      </c>
      <c r="S1138" s="751">
        <f t="shared" si="155"/>
        <v>-39580.800000000003</v>
      </c>
      <c r="T1138" s="750">
        <v>76.900000000000006</v>
      </c>
      <c r="U1138" s="608">
        <f t="shared" si="156"/>
        <v>-22885.440000000002</v>
      </c>
      <c r="V1138" s="751">
        <f t="shared" si="157"/>
        <v>-16695.36</v>
      </c>
      <c r="W1138" s="752">
        <v>76.900000000000006</v>
      </c>
      <c r="X1138" s="609">
        <f t="shared" si="158"/>
        <v>-22885.440000000002</v>
      </c>
      <c r="Y1138" s="703">
        <f t="shared" si="159"/>
        <v>-16695.36</v>
      </c>
      <c r="Z1138" s="752">
        <v>76.900000000000006</v>
      </c>
      <c r="AA1138" s="609">
        <f t="shared" si="160"/>
        <v>-22885.440000000002</v>
      </c>
      <c r="AB1138" s="753">
        <f t="shared" si="161"/>
        <v>-16695.36</v>
      </c>
      <c r="AC1138" s="714"/>
    </row>
    <row r="1139" spans="1:29" x14ac:dyDescent="0.25">
      <c r="A1139" s="713"/>
      <c r="B1139" s="731" t="s">
        <v>1671</v>
      </c>
      <c r="C1139" s="547" t="s">
        <v>40</v>
      </c>
      <c r="D1139" s="547" t="s">
        <v>945</v>
      </c>
      <c r="E1139" s="683">
        <v>44774</v>
      </c>
      <c r="F1139" s="547">
        <v>744</v>
      </c>
      <c r="G1139" s="547" t="s">
        <v>58</v>
      </c>
      <c r="H1139" s="547" t="s">
        <v>3</v>
      </c>
      <c r="I1139" s="547" t="s">
        <v>44</v>
      </c>
      <c r="J1139" s="547" t="s">
        <v>84</v>
      </c>
      <c r="K1139" s="547">
        <v>133</v>
      </c>
      <c r="L1139" s="727" t="s">
        <v>54</v>
      </c>
      <c r="M1139" s="697">
        <v>0.1</v>
      </c>
      <c r="N1139" s="727">
        <v>0</v>
      </c>
      <c r="O1139" s="697">
        <v>133</v>
      </c>
      <c r="P1139" s="727">
        <v>0</v>
      </c>
      <c r="Q1139" s="750">
        <f t="shared" si="153"/>
        <v>9895.2000000000007</v>
      </c>
      <c r="R1139" s="608">
        <f t="shared" si="154"/>
        <v>0</v>
      </c>
      <c r="S1139" s="751">
        <f t="shared" si="155"/>
        <v>-9895.2000000000007</v>
      </c>
      <c r="T1139" s="750">
        <v>76.900000000000006</v>
      </c>
      <c r="U1139" s="608">
        <f t="shared" si="156"/>
        <v>-5721.3600000000006</v>
      </c>
      <c r="V1139" s="751">
        <f t="shared" si="157"/>
        <v>-4173.84</v>
      </c>
      <c r="W1139" s="752">
        <v>76.900000000000006</v>
      </c>
      <c r="X1139" s="609">
        <f t="shared" si="158"/>
        <v>-5721.3600000000006</v>
      </c>
      <c r="Y1139" s="703">
        <f t="shared" si="159"/>
        <v>-4173.84</v>
      </c>
      <c r="Z1139" s="752">
        <v>76.900000000000006</v>
      </c>
      <c r="AA1139" s="609">
        <f t="shared" si="160"/>
        <v>-5721.3600000000006</v>
      </c>
      <c r="AB1139" s="753">
        <f t="shared" si="161"/>
        <v>-4173.84</v>
      </c>
      <c r="AC1139" s="714"/>
    </row>
    <row r="1140" spans="1:29" x14ac:dyDescent="0.25">
      <c r="A1140" s="713"/>
      <c r="B1140" s="731" t="s">
        <v>1672</v>
      </c>
      <c r="C1140" s="547" t="s">
        <v>40</v>
      </c>
      <c r="D1140" s="547" t="s">
        <v>945</v>
      </c>
      <c r="E1140" s="683">
        <v>44774</v>
      </c>
      <c r="F1140" s="547">
        <v>744</v>
      </c>
      <c r="G1140" s="547" t="s">
        <v>58</v>
      </c>
      <c r="H1140" s="547" t="s">
        <v>3</v>
      </c>
      <c r="I1140" s="547" t="s">
        <v>44</v>
      </c>
      <c r="J1140" s="547" t="s">
        <v>84</v>
      </c>
      <c r="K1140" s="547">
        <v>135</v>
      </c>
      <c r="L1140" s="727" t="s">
        <v>54</v>
      </c>
      <c r="M1140" s="697">
        <v>0.5</v>
      </c>
      <c r="N1140" s="727">
        <v>0</v>
      </c>
      <c r="O1140" s="697">
        <v>135</v>
      </c>
      <c r="P1140" s="727">
        <v>0</v>
      </c>
      <c r="Q1140" s="750">
        <f t="shared" si="153"/>
        <v>50220</v>
      </c>
      <c r="R1140" s="608">
        <f t="shared" si="154"/>
        <v>0</v>
      </c>
      <c r="S1140" s="751">
        <f t="shared" si="155"/>
        <v>-50220</v>
      </c>
      <c r="T1140" s="750">
        <v>76.900000000000006</v>
      </c>
      <c r="U1140" s="608">
        <f t="shared" si="156"/>
        <v>-28606.800000000003</v>
      </c>
      <c r="V1140" s="751">
        <f t="shared" si="157"/>
        <v>-21613.199999999997</v>
      </c>
      <c r="W1140" s="752">
        <v>76.900000000000006</v>
      </c>
      <c r="X1140" s="609">
        <f t="shared" si="158"/>
        <v>-28606.800000000003</v>
      </c>
      <c r="Y1140" s="703">
        <f t="shared" si="159"/>
        <v>-21613.199999999997</v>
      </c>
      <c r="Z1140" s="752">
        <v>76.900000000000006</v>
      </c>
      <c r="AA1140" s="609">
        <f t="shared" si="160"/>
        <v>-28606.800000000003</v>
      </c>
      <c r="AB1140" s="753">
        <f t="shared" si="161"/>
        <v>-21613.199999999997</v>
      </c>
      <c r="AC1140" s="714"/>
    </row>
    <row r="1141" spans="1:29" x14ac:dyDescent="0.25">
      <c r="A1141" s="713"/>
      <c r="B1141" s="731" t="s">
        <v>1673</v>
      </c>
      <c r="C1141" s="547" t="s">
        <v>40</v>
      </c>
      <c r="D1141" s="547" t="s">
        <v>945</v>
      </c>
      <c r="E1141" s="683">
        <v>44774</v>
      </c>
      <c r="F1141" s="547">
        <v>744</v>
      </c>
      <c r="G1141" s="547" t="s">
        <v>58</v>
      </c>
      <c r="H1141" s="547" t="s">
        <v>3</v>
      </c>
      <c r="I1141" s="547" t="s">
        <v>44</v>
      </c>
      <c r="J1141" s="547" t="s">
        <v>84</v>
      </c>
      <c r="K1141" s="547">
        <v>135</v>
      </c>
      <c r="L1141" s="727" t="s">
        <v>54</v>
      </c>
      <c r="M1141" s="697">
        <v>0.5</v>
      </c>
      <c r="N1141" s="727">
        <v>0</v>
      </c>
      <c r="O1141" s="697">
        <v>135</v>
      </c>
      <c r="P1141" s="727">
        <v>0</v>
      </c>
      <c r="Q1141" s="750">
        <f t="shared" si="153"/>
        <v>50220</v>
      </c>
      <c r="R1141" s="608">
        <f t="shared" si="154"/>
        <v>0</v>
      </c>
      <c r="S1141" s="751">
        <f t="shared" si="155"/>
        <v>-50220</v>
      </c>
      <c r="T1141" s="750">
        <v>76.900000000000006</v>
      </c>
      <c r="U1141" s="608">
        <f t="shared" si="156"/>
        <v>-28606.800000000003</v>
      </c>
      <c r="V1141" s="751">
        <f t="shared" si="157"/>
        <v>-21613.199999999997</v>
      </c>
      <c r="W1141" s="752">
        <v>76.900000000000006</v>
      </c>
      <c r="X1141" s="609">
        <f t="shared" si="158"/>
        <v>-28606.800000000003</v>
      </c>
      <c r="Y1141" s="703">
        <f t="shared" si="159"/>
        <v>-21613.199999999997</v>
      </c>
      <c r="Z1141" s="752">
        <v>76.900000000000006</v>
      </c>
      <c r="AA1141" s="609">
        <f t="shared" si="160"/>
        <v>-28606.800000000003</v>
      </c>
      <c r="AB1141" s="753">
        <f t="shared" si="161"/>
        <v>-21613.199999999997</v>
      </c>
      <c r="AC1141" s="714"/>
    </row>
    <row r="1142" spans="1:29" x14ac:dyDescent="0.25">
      <c r="A1142" s="713"/>
      <c r="B1142" s="731" t="s">
        <v>1674</v>
      </c>
      <c r="C1142" s="547" t="s">
        <v>40</v>
      </c>
      <c r="D1142" s="547" t="s">
        <v>349</v>
      </c>
      <c r="E1142" s="683">
        <v>44774</v>
      </c>
      <c r="F1142" s="547">
        <v>744</v>
      </c>
      <c r="G1142" s="547" t="s">
        <v>58</v>
      </c>
      <c r="H1142" s="547" t="s">
        <v>3</v>
      </c>
      <c r="I1142" s="547" t="s">
        <v>44</v>
      </c>
      <c r="J1142" s="547" t="s">
        <v>84</v>
      </c>
      <c r="K1142" s="547">
        <v>137</v>
      </c>
      <c r="L1142" s="727" t="s">
        <v>54</v>
      </c>
      <c r="M1142" s="697">
        <v>5</v>
      </c>
      <c r="N1142" s="727">
        <v>0</v>
      </c>
      <c r="O1142" s="697">
        <v>137</v>
      </c>
      <c r="P1142" s="727">
        <v>0</v>
      </c>
      <c r="Q1142" s="750">
        <f t="shared" si="153"/>
        <v>509640</v>
      </c>
      <c r="R1142" s="608">
        <f t="shared" si="154"/>
        <v>0</v>
      </c>
      <c r="S1142" s="751">
        <f t="shared" si="155"/>
        <v>-509640</v>
      </c>
      <c r="T1142" s="750">
        <v>76.900000000000006</v>
      </c>
      <c r="U1142" s="608">
        <f t="shared" si="156"/>
        <v>-286068</v>
      </c>
      <c r="V1142" s="751">
        <f t="shared" si="157"/>
        <v>-223572</v>
      </c>
      <c r="W1142" s="752">
        <v>76.900000000000006</v>
      </c>
      <c r="X1142" s="609">
        <f t="shared" si="158"/>
        <v>-286068</v>
      </c>
      <c r="Y1142" s="703">
        <f t="shared" si="159"/>
        <v>-223572</v>
      </c>
      <c r="Z1142" s="752">
        <v>76.900000000000006</v>
      </c>
      <c r="AA1142" s="609">
        <f t="shared" si="160"/>
        <v>-286068</v>
      </c>
      <c r="AB1142" s="753">
        <f t="shared" si="161"/>
        <v>-223572</v>
      </c>
      <c r="AC1142" s="714"/>
    </row>
    <row r="1143" spans="1:29" x14ac:dyDescent="0.25">
      <c r="A1143" s="713"/>
      <c r="B1143" s="731" t="s">
        <v>1682</v>
      </c>
      <c r="C1143" s="547" t="s">
        <v>40</v>
      </c>
      <c r="D1143" s="547" t="s">
        <v>510</v>
      </c>
      <c r="E1143" s="683">
        <v>44743</v>
      </c>
      <c r="F1143" s="547">
        <v>744</v>
      </c>
      <c r="G1143" s="547" t="s">
        <v>59</v>
      </c>
      <c r="H1143" s="547" t="s">
        <v>3</v>
      </c>
      <c r="I1143" s="547" t="s">
        <v>44</v>
      </c>
      <c r="J1143" s="547" t="s">
        <v>85</v>
      </c>
      <c r="K1143" s="547">
        <v>115</v>
      </c>
      <c r="L1143" s="727" t="s">
        <v>54</v>
      </c>
      <c r="M1143" s="697">
        <v>0</v>
      </c>
      <c r="N1143" s="727">
        <v>3</v>
      </c>
      <c r="O1143" s="697">
        <v>0</v>
      </c>
      <c r="P1143" s="727">
        <v>115</v>
      </c>
      <c r="Q1143" s="750">
        <f t="shared" si="153"/>
        <v>0</v>
      </c>
      <c r="R1143" s="608">
        <f t="shared" si="154"/>
        <v>256680</v>
      </c>
      <c r="S1143" s="751">
        <f t="shared" si="155"/>
        <v>256680</v>
      </c>
      <c r="T1143" s="750">
        <v>66.319999999999993</v>
      </c>
      <c r="U1143" s="608">
        <f t="shared" si="156"/>
        <v>148026.23999999999</v>
      </c>
      <c r="V1143" s="751">
        <f t="shared" si="157"/>
        <v>108653.76000000001</v>
      </c>
      <c r="W1143" s="752">
        <v>66.319999999999993</v>
      </c>
      <c r="X1143" s="609">
        <f t="shared" si="158"/>
        <v>148026.23999999999</v>
      </c>
      <c r="Y1143" s="703">
        <f t="shared" si="159"/>
        <v>108653.76000000001</v>
      </c>
      <c r="Z1143" s="752">
        <v>66.319999999999993</v>
      </c>
      <c r="AA1143" s="609">
        <f t="shared" si="160"/>
        <v>148026.23999999999</v>
      </c>
      <c r="AB1143" s="753">
        <f t="shared" si="161"/>
        <v>108653.76000000001</v>
      </c>
      <c r="AC1143" s="714"/>
    </row>
    <row r="1144" spans="1:29" x14ac:dyDescent="0.25">
      <c r="A1144" s="713"/>
      <c r="B1144" s="731" t="s">
        <v>1683</v>
      </c>
      <c r="C1144" s="547" t="s">
        <v>40</v>
      </c>
      <c r="D1144" s="547" t="s">
        <v>510</v>
      </c>
      <c r="E1144" s="683">
        <v>44743</v>
      </c>
      <c r="F1144" s="547">
        <v>744</v>
      </c>
      <c r="G1144" s="547" t="s">
        <v>59</v>
      </c>
      <c r="H1144" s="547" t="s">
        <v>3</v>
      </c>
      <c r="I1144" s="547" t="s">
        <v>44</v>
      </c>
      <c r="J1144" s="547" t="s">
        <v>85</v>
      </c>
      <c r="K1144" s="547">
        <v>115</v>
      </c>
      <c r="L1144" s="727" t="s">
        <v>54</v>
      </c>
      <c r="M1144" s="697">
        <v>0</v>
      </c>
      <c r="N1144" s="727">
        <v>2</v>
      </c>
      <c r="O1144" s="697">
        <v>0</v>
      </c>
      <c r="P1144" s="727">
        <v>115</v>
      </c>
      <c r="Q1144" s="750">
        <f t="shared" si="153"/>
        <v>0</v>
      </c>
      <c r="R1144" s="608">
        <f t="shared" si="154"/>
        <v>171120</v>
      </c>
      <c r="S1144" s="751">
        <f t="shared" si="155"/>
        <v>171120</v>
      </c>
      <c r="T1144" s="750">
        <v>66.319999999999993</v>
      </c>
      <c r="U1144" s="608">
        <f t="shared" si="156"/>
        <v>98684.159999999989</v>
      </c>
      <c r="V1144" s="751">
        <f t="shared" si="157"/>
        <v>72435.840000000011</v>
      </c>
      <c r="W1144" s="752">
        <v>66.319999999999993</v>
      </c>
      <c r="X1144" s="609">
        <f t="shared" si="158"/>
        <v>98684.159999999989</v>
      </c>
      <c r="Y1144" s="703">
        <f t="shared" si="159"/>
        <v>72435.840000000011</v>
      </c>
      <c r="Z1144" s="752">
        <v>66.319999999999993</v>
      </c>
      <c r="AA1144" s="609">
        <f t="shared" si="160"/>
        <v>98684.159999999989</v>
      </c>
      <c r="AB1144" s="753">
        <f t="shared" si="161"/>
        <v>72435.840000000011</v>
      </c>
      <c r="AC1144" s="714"/>
    </row>
    <row r="1145" spans="1:29" x14ac:dyDescent="0.25">
      <c r="A1145" s="713"/>
      <c r="B1145" s="731" t="s">
        <v>1684</v>
      </c>
      <c r="C1145" s="547" t="s">
        <v>40</v>
      </c>
      <c r="D1145" s="547" t="s">
        <v>902</v>
      </c>
      <c r="E1145" s="683">
        <v>44805</v>
      </c>
      <c r="F1145" s="547">
        <v>720</v>
      </c>
      <c r="G1145" s="547" t="s">
        <v>58</v>
      </c>
      <c r="H1145" s="547" t="s">
        <v>3</v>
      </c>
      <c r="I1145" s="547" t="s">
        <v>44</v>
      </c>
      <c r="J1145" s="547" t="s">
        <v>84</v>
      </c>
      <c r="K1145" s="547">
        <v>134</v>
      </c>
      <c r="L1145" s="727" t="s">
        <v>54</v>
      </c>
      <c r="M1145" s="697">
        <v>1.5</v>
      </c>
      <c r="N1145" s="727">
        <v>0</v>
      </c>
      <c r="O1145" s="697">
        <v>134</v>
      </c>
      <c r="P1145" s="727">
        <v>0</v>
      </c>
      <c r="Q1145" s="750">
        <f t="shared" si="153"/>
        <v>144720</v>
      </c>
      <c r="R1145" s="608">
        <f t="shared" si="154"/>
        <v>0</v>
      </c>
      <c r="S1145" s="751">
        <f t="shared" si="155"/>
        <v>-144720</v>
      </c>
      <c r="T1145" s="750">
        <v>56.08</v>
      </c>
      <c r="U1145" s="608">
        <f t="shared" si="156"/>
        <v>-60566.400000000001</v>
      </c>
      <c r="V1145" s="751">
        <f t="shared" si="157"/>
        <v>-84153.600000000006</v>
      </c>
      <c r="W1145" s="752">
        <v>56.08</v>
      </c>
      <c r="X1145" s="609">
        <f t="shared" si="158"/>
        <v>-60566.400000000001</v>
      </c>
      <c r="Y1145" s="703">
        <f t="shared" si="159"/>
        <v>-84153.600000000006</v>
      </c>
      <c r="Z1145" s="752">
        <v>56.08</v>
      </c>
      <c r="AA1145" s="609">
        <f t="shared" si="160"/>
        <v>-60566.400000000001</v>
      </c>
      <c r="AB1145" s="753">
        <f t="shared" si="161"/>
        <v>-84153.600000000006</v>
      </c>
      <c r="AC1145" s="714"/>
    </row>
    <row r="1146" spans="1:29" x14ac:dyDescent="0.25">
      <c r="A1146" s="713"/>
      <c r="B1146" s="731" t="s">
        <v>1685</v>
      </c>
      <c r="C1146" s="547" t="s">
        <v>40</v>
      </c>
      <c r="D1146" s="547" t="s">
        <v>945</v>
      </c>
      <c r="E1146" s="683">
        <v>44805</v>
      </c>
      <c r="F1146" s="547">
        <v>720</v>
      </c>
      <c r="G1146" s="547" t="s">
        <v>58</v>
      </c>
      <c r="H1146" s="547" t="s">
        <v>3</v>
      </c>
      <c r="I1146" s="547" t="s">
        <v>44</v>
      </c>
      <c r="J1146" s="547" t="s">
        <v>84</v>
      </c>
      <c r="K1146" s="547">
        <v>134</v>
      </c>
      <c r="L1146" s="727" t="s">
        <v>54</v>
      </c>
      <c r="M1146" s="697">
        <v>0.5</v>
      </c>
      <c r="N1146" s="727">
        <v>0</v>
      </c>
      <c r="O1146" s="697">
        <v>134</v>
      </c>
      <c r="P1146" s="727">
        <v>0</v>
      </c>
      <c r="Q1146" s="750">
        <f t="shared" si="153"/>
        <v>48240</v>
      </c>
      <c r="R1146" s="608">
        <f t="shared" si="154"/>
        <v>0</v>
      </c>
      <c r="S1146" s="751">
        <f t="shared" si="155"/>
        <v>-48240</v>
      </c>
      <c r="T1146" s="750">
        <v>56.08</v>
      </c>
      <c r="U1146" s="608">
        <f t="shared" si="156"/>
        <v>-20188.8</v>
      </c>
      <c r="V1146" s="751">
        <f t="shared" si="157"/>
        <v>-28051.200000000001</v>
      </c>
      <c r="W1146" s="752">
        <v>56.08</v>
      </c>
      <c r="X1146" s="609">
        <f t="shared" si="158"/>
        <v>-20188.8</v>
      </c>
      <c r="Y1146" s="703">
        <f t="shared" si="159"/>
        <v>-28051.200000000001</v>
      </c>
      <c r="Z1146" s="752">
        <v>56.08</v>
      </c>
      <c r="AA1146" s="609">
        <f t="shared" si="160"/>
        <v>-20188.8</v>
      </c>
      <c r="AB1146" s="753">
        <f t="shared" si="161"/>
        <v>-28051.200000000001</v>
      </c>
      <c r="AC1146" s="714"/>
    </row>
    <row r="1147" spans="1:29" x14ac:dyDescent="0.25">
      <c r="A1147" s="713"/>
      <c r="B1147" s="731" t="s">
        <v>1691</v>
      </c>
      <c r="C1147" s="547" t="s">
        <v>40</v>
      </c>
      <c r="D1147" s="547" t="s">
        <v>945</v>
      </c>
      <c r="E1147" s="683">
        <v>44805</v>
      </c>
      <c r="F1147" s="547">
        <v>720</v>
      </c>
      <c r="G1147" s="547" t="s">
        <v>58</v>
      </c>
      <c r="H1147" s="547" t="s">
        <v>3</v>
      </c>
      <c r="I1147" s="547" t="s">
        <v>44</v>
      </c>
      <c r="J1147" s="547" t="s">
        <v>84</v>
      </c>
      <c r="K1147" s="547">
        <v>133</v>
      </c>
      <c r="L1147" s="727" t="s">
        <v>54</v>
      </c>
      <c r="M1147" s="697">
        <v>1</v>
      </c>
      <c r="N1147" s="727">
        <v>0</v>
      </c>
      <c r="O1147" s="697">
        <v>133</v>
      </c>
      <c r="P1147" s="727">
        <v>0</v>
      </c>
      <c r="Q1147" s="750">
        <f t="shared" si="153"/>
        <v>95760</v>
      </c>
      <c r="R1147" s="608">
        <f t="shared" si="154"/>
        <v>0</v>
      </c>
      <c r="S1147" s="751">
        <f t="shared" si="155"/>
        <v>-95760</v>
      </c>
      <c r="T1147" s="750">
        <v>56.08</v>
      </c>
      <c r="U1147" s="608">
        <f t="shared" si="156"/>
        <v>-40377.599999999999</v>
      </c>
      <c r="V1147" s="751">
        <f t="shared" si="157"/>
        <v>-55382.400000000001</v>
      </c>
      <c r="W1147" s="752">
        <v>56.08</v>
      </c>
      <c r="X1147" s="609">
        <f t="shared" si="158"/>
        <v>-40377.599999999999</v>
      </c>
      <c r="Y1147" s="703">
        <f t="shared" si="159"/>
        <v>-55382.400000000001</v>
      </c>
      <c r="Z1147" s="752">
        <v>56.08</v>
      </c>
      <c r="AA1147" s="609">
        <f t="shared" si="160"/>
        <v>-40377.599999999999</v>
      </c>
      <c r="AB1147" s="753">
        <f t="shared" si="161"/>
        <v>-55382.400000000001</v>
      </c>
      <c r="AC1147" s="714"/>
    </row>
    <row r="1148" spans="1:29" x14ac:dyDescent="0.25">
      <c r="A1148" s="713"/>
      <c r="B1148" s="731" t="s">
        <v>1692</v>
      </c>
      <c r="C1148" s="547" t="s">
        <v>40</v>
      </c>
      <c r="D1148" s="547" t="s">
        <v>474</v>
      </c>
      <c r="E1148" s="683">
        <v>44682</v>
      </c>
      <c r="F1148" s="547">
        <v>744</v>
      </c>
      <c r="G1148" s="547" t="s">
        <v>58</v>
      </c>
      <c r="H1148" s="547" t="s">
        <v>3</v>
      </c>
      <c r="I1148" s="547" t="s">
        <v>44</v>
      </c>
      <c r="J1148" s="547" t="s">
        <v>84</v>
      </c>
      <c r="K1148" s="547">
        <v>59</v>
      </c>
      <c r="L1148" s="727" t="s">
        <v>54</v>
      </c>
      <c r="M1148" s="697">
        <v>4</v>
      </c>
      <c r="N1148" s="727">
        <v>0</v>
      </c>
      <c r="O1148" s="697">
        <v>59</v>
      </c>
      <c r="P1148" s="727">
        <v>0</v>
      </c>
      <c r="Q1148" s="750">
        <f t="shared" si="153"/>
        <v>175584</v>
      </c>
      <c r="R1148" s="608">
        <f t="shared" si="154"/>
        <v>0</v>
      </c>
      <c r="S1148" s="751">
        <f t="shared" si="155"/>
        <v>-175584</v>
      </c>
      <c r="T1148" s="750">
        <v>55.7</v>
      </c>
      <c r="U1148" s="608">
        <f t="shared" si="156"/>
        <v>-165763.20000000001</v>
      </c>
      <c r="V1148" s="751">
        <f t="shared" si="157"/>
        <v>-9820.7999999999884</v>
      </c>
      <c r="W1148" s="752">
        <v>55.7</v>
      </c>
      <c r="X1148" s="609">
        <f t="shared" si="158"/>
        <v>-165763.20000000001</v>
      </c>
      <c r="Y1148" s="703">
        <f t="shared" si="159"/>
        <v>-9820.7999999999884</v>
      </c>
      <c r="Z1148" s="752">
        <v>55.7</v>
      </c>
      <c r="AA1148" s="609">
        <f t="shared" si="160"/>
        <v>-165763.20000000001</v>
      </c>
      <c r="AB1148" s="753">
        <f t="shared" si="161"/>
        <v>-9820.7999999999884</v>
      </c>
      <c r="AC1148" s="714"/>
    </row>
    <row r="1149" spans="1:29" x14ac:dyDescent="0.25">
      <c r="A1149" s="713"/>
      <c r="B1149" s="731" t="s">
        <v>1693</v>
      </c>
      <c r="C1149" s="547" t="s">
        <v>40</v>
      </c>
      <c r="D1149" s="547" t="s">
        <v>474</v>
      </c>
      <c r="E1149" s="683">
        <v>44682</v>
      </c>
      <c r="F1149" s="547">
        <v>744</v>
      </c>
      <c r="G1149" s="547" t="s">
        <v>58</v>
      </c>
      <c r="H1149" s="547" t="s">
        <v>3</v>
      </c>
      <c r="I1149" s="547" t="s">
        <v>44</v>
      </c>
      <c r="J1149" s="547" t="s">
        <v>84</v>
      </c>
      <c r="K1149" s="547">
        <v>59</v>
      </c>
      <c r="L1149" s="727" t="s">
        <v>54</v>
      </c>
      <c r="M1149" s="697">
        <v>1</v>
      </c>
      <c r="N1149" s="727">
        <v>0</v>
      </c>
      <c r="O1149" s="697">
        <v>59</v>
      </c>
      <c r="P1149" s="727">
        <v>0</v>
      </c>
      <c r="Q1149" s="750">
        <f t="shared" si="153"/>
        <v>43896</v>
      </c>
      <c r="R1149" s="608">
        <f t="shared" si="154"/>
        <v>0</v>
      </c>
      <c r="S1149" s="751">
        <f t="shared" si="155"/>
        <v>-43896</v>
      </c>
      <c r="T1149" s="750">
        <v>55.7</v>
      </c>
      <c r="U1149" s="608">
        <f t="shared" si="156"/>
        <v>-41440.800000000003</v>
      </c>
      <c r="V1149" s="751">
        <f t="shared" si="157"/>
        <v>-2455.1999999999971</v>
      </c>
      <c r="W1149" s="752">
        <v>55.7</v>
      </c>
      <c r="X1149" s="609">
        <f t="shared" si="158"/>
        <v>-41440.800000000003</v>
      </c>
      <c r="Y1149" s="703">
        <f t="shared" si="159"/>
        <v>-2455.1999999999971</v>
      </c>
      <c r="Z1149" s="752">
        <v>55.7</v>
      </c>
      <c r="AA1149" s="609">
        <f t="shared" si="160"/>
        <v>-41440.800000000003</v>
      </c>
      <c r="AB1149" s="753">
        <f t="shared" si="161"/>
        <v>-2455.1999999999971</v>
      </c>
      <c r="AC1149" s="714"/>
    </row>
    <row r="1150" spans="1:29" x14ac:dyDescent="0.25">
      <c r="A1150" s="713"/>
      <c r="B1150" s="731" t="s">
        <v>1705</v>
      </c>
      <c r="C1150" s="547" t="s">
        <v>40</v>
      </c>
      <c r="D1150" s="547" t="s">
        <v>477</v>
      </c>
      <c r="E1150" s="683">
        <v>44713</v>
      </c>
      <c r="F1150" s="547">
        <v>720</v>
      </c>
      <c r="G1150" s="547" t="s">
        <v>58</v>
      </c>
      <c r="H1150" s="547" t="s">
        <v>3</v>
      </c>
      <c r="I1150" s="547" t="s">
        <v>44</v>
      </c>
      <c r="J1150" s="547" t="s">
        <v>84</v>
      </c>
      <c r="K1150" s="547">
        <v>80</v>
      </c>
      <c r="L1150" s="727" t="s">
        <v>54</v>
      </c>
      <c r="M1150" s="697">
        <v>4.0999999999999996</v>
      </c>
      <c r="N1150" s="727">
        <v>0</v>
      </c>
      <c r="O1150" s="697">
        <v>80</v>
      </c>
      <c r="P1150" s="727">
        <v>0</v>
      </c>
      <c r="Q1150" s="750">
        <f t="shared" si="153"/>
        <v>236159.99999999997</v>
      </c>
      <c r="R1150" s="608">
        <f t="shared" si="154"/>
        <v>0</v>
      </c>
      <c r="S1150" s="751">
        <f t="shared" si="155"/>
        <v>-236159.99999999997</v>
      </c>
      <c r="T1150" s="750">
        <v>55.71</v>
      </c>
      <c r="U1150" s="608">
        <f t="shared" si="156"/>
        <v>-164455.91999999998</v>
      </c>
      <c r="V1150" s="751">
        <f t="shared" si="157"/>
        <v>-71704.079999999987</v>
      </c>
      <c r="W1150" s="752">
        <v>55.71</v>
      </c>
      <c r="X1150" s="609">
        <f t="shared" si="158"/>
        <v>-164455.91999999998</v>
      </c>
      <c r="Y1150" s="703">
        <f t="shared" si="159"/>
        <v>-71704.079999999987</v>
      </c>
      <c r="Z1150" s="752">
        <v>55.71</v>
      </c>
      <c r="AA1150" s="609">
        <f t="shared" si="160"/>
        <v>-164455.91999999998</v>
      </c>
      <c r="AB1150" s="753">
        <f t="shared" si="161"/>
        <v>-71704.079999999987</v>
      </c>
      <c r="AC1150" s="714"/>
    </row>
    <row r="1151" spans="1:29" x14ac:dyDescent="0.25">
      <c r="A1151" s="713"/>
      <c r="B1151" s="731" t="s">
        <v>1707</v>
      </c>
      <c r="C1151" s="547" t="s">
        <v>40</v>
      </c>
      <c r="D1151" s="547" t="s">
        <v>504</v>
      </c>
      <c r="E1151" s="683">
        <v>44713</v>
      </c>
      <c r="F1151" s="547">
        <v>720</v>
      </c>
      <c r="G1151" s="547" t="s">
        <v>59</v>
      </c>
      <c r="H1151" s="547" t="s">
        <v>3</v>
      </c>
      <c r="I1151" s="547" t="s">
        <v>44</v>
      </c>
      <c r="J1151" s="547" t="s">
        <v>85</v>
      </c>
      <c r="K1151" s="547">
        <v>80</v>
      </c>
      <c r="L1151" s="727" t="s">
        <v>54</v>
      </c>
      <c r="M1151" s="697">
        <v>0</v>
      </c>
      <c r="N1151" s="727">
        <v>3.9</v>
      </c>
      <c r="O1151" s="697">
        <v>0</v>
      </c>
      <c r="P1151" s="727">
        <v>80</v>
      </c>
      <c r="Q1151" s="750">
        <f t="shared" si="153"/>
        <v>0</v>
      </c>
      <c r="R1151" s="608">
        <f t="shared" si="154"/>
        <v>224640</v>
      </c>
      <c r="S1151" s="751">
        <f t="shared" si="155"/>
        <v>224640</v>
      </c>
      <c r="T1151" s="750">
        <v>55.71</v>
      </c>
      <c r="U1151" s="608">
        <f t="shared" si="156"/>
        <v>156433.68</v>
      </c>
      <c r="V1151" s="751">
        <f t="shared" si="157"/>
        <v>68206.320000000007</v>
      </c>
      <c r="W1151" s="752">
        <v>55.71</v>
      </c>
      <c r="X1151" s="609">
        <f t="shared" si="158"/>
        <v>156433.68</v>
      </c>
      <c r="Y1151" s="703">
        <f t="shared" si="159"/>
        <v>68206.320000000007</v>
      </c>
      <c r="Z1151" s="752">
        <v>55.71</v>
      </c>
      <c r="AA1151" s="609">
        <f t="shared" si="160"/>
        <v>156433.68</v>
      </c>
      <c r="AB1151" s="753">
        <f t="shared" si="161"/>
        <v>68206.320000000007</v>
      </c>
      <c r="AC1151" s="714"/>
    </row>
    <row r="1152" spans="1:29" x14ac:dyDescent="0.25">
      <c r="A1152" s="713"/>
      <c r="B1152" s="731" t="s">
        <v>1709</v>
      </c>
      <c r="C1152" s="547" t="s">
        <v>40</v>
      </c>
      <c r="D1152" s="547" t="s">
        <v>504</v>
      </c>
      <c r="E1152" s="683">
        <v>44896</v>
      </c>
      <c r="F1152" s="547">
        <v>744</v>
      </c>
      <c r="G1152" s="547" t="s">
        <v>58</v>
      </c>
      <c r="H1152" s="547" t="s">
        <v>3</v>
      </c>
      <c r="I1152" s="547" t="s">
        <v>44</v>
      </c>
      <c r="J1152" s="547" t="s">
        <v>84</v>
      </c>
      <c r="K1152" s="547">
        <v>145</v>
      </c>
      <c r="L1152" s="727" t="s">
        <v>54</v>
      </c>
      <c r="M1152" s="697">
        <v>3.9</v>
      </c>
      <c r="N1152" s="727">
        <v>0</v>
      </c>
      <c r="O1152" s="697">
        <v>145</v>
      </c>
      <c r="P1152" s="727">
        <v>0</v>
      </c>
      <c r="Q1152" s="750">
        <f t="shared" si="153"/>
        <v>420732</v>
      </c>
      <c r="R1152" s="608">
        <f t="shared" si="154"/>
        <v>0</v>
      </c>
      <c r="S1152" s="751">
        <f t="shared" si="155"/>
        <v>-420732</v>
      </c>
      <c r="T1152" s="750">
        <v>55.7</v>
      </c>
      <c r="U1152" s="608">
        <f t="shared" si="156"/>
        <v>-161619.12</v>
      </c>
      <c r="V1152" s="751">
        <f t="shared" si="157"/>
        <v>-259112.88</v>
      </c>
      <c r="W1152" s="752">
        <v>55.7</v>
      </c>
      <c r="X1152" s="609">
        <f t="shared" si="158"/>
        <v>-161619.12</v>
      </c>
      <c r="Y1152" s="703">
        <f t="shared" si="159"/>
        <v>-259112.88</v>
      </c>
      <c r="Z1152" s="752">
        <v>78.400653594793155</v>
      </c>
      <c r="AA1152" s="609">
        <f t="shared" si="160"/>
        <v>-227487.33647065182</v>
      </c>
      <c r="AB1152" s="753">
        <f t="shared" si="161"/>
        <v>-193244.66352934818</v>
      </c>
      <c r="AC1152" s="714"/>
    </row>
    <row r="1153" spans="1:29" x14ac:dyDescent="0.25">
      <c r="A1153" s="713"/>
      <c r="B1153" s="731" t="s">
        <v>1711</v>
      </c>
      <c r="C1153" s="547" t="s">
        <v>40</v>
      </c>
      <c r="D1153" s="547" t="s">
        <v>477</v>
      </c>
      <c r="E1153" s="683">
        <v>44713</v>
      </c>
      <c r="F1153" s="547">
        <v>720</v>
      </c>
      <c r="G1153" s="547" t="s">
        <v>58</v>
      </c>
      <c r="H1153" s="547" t="s">
        <v>3</v>
      </c>
      <c r="I1153" s="547" t="s">
        <v>44</v>
      </c>
      <c r="J1153" s="547" t="s">
        <v>84</v>
      </c>
      <c r="K1153" s="547">
        <v>80</v>
      </c>
      <c r="L1153" s="727" t="s">
        <v>54</v>
      </c>
      <c r="M1153" s="697">
        <v>6.1</v>
      </c>
      <c r="N1153" s="727">
        <v>0</v>
      </c>
      <c r="O1153" s="697">
        <v>80</v>
      </c>
      <c r="P1153" s="727">
        <v>0</v>
      </c>
      <c r="Q1153" s="750">
        <f t="shared" si="153"/>
        <v>351360</v>
      </c>
      <c r="R1153" s="608">
        <f t="shared" si="154"/>
        <v>0</v>
      </c>
      <c r="S1153" s="751">
        <f t="shared" si="155"/>
        <v>-351360</v>
      </c>
      <c r="T1153" s="750">
        <v>55.71</v>
      </c>
      <c r="U1153" s="608">
        <f t="shared" si="156"/>
        <v>-244678.32</v>
      </c>
      <c r="V1153" s="751">
        <f t="shared" si="157"/>
        <v>-106681.68</v>
      </c>
      <c r="W1153" s="752">
        <v>55.71</v>
      </c>
      <c r="X1153" s="609">
        <f t="shared" si="158"/>
        <v>-244678.32</v>
      </c>
      <c r="Y1153" s="703">
        <f t="shared" si="159"/>
        <v>-106681.68</v>
      </c>
      <c r="Z1153" s="752">
        <v>55.71</v>
      </c>
      <c r="AA1153" s="609">
        <f t="shared" si="160"/>
        <v>-244678.32</v>
      </c>
      <c r="AB1153" s="753">
        <f t="shared" si="161"/>
        <v>-106681.68</v>
      </c>
      <c r="AC1153" s="714"/>
    </row>
    <row r="1154" spans="1:29" x14ac:dyDescent="0.25">
      <c r="A1154" s="713"/>
      <c r="B1154" s="731" t="s">
        <v>1712</v>
      </c>
      <c r="C1154" s="547" t="s">
        <v>40</v>
      </c>
      <c r="D1154" s="547" t="s">
        <v>475</v>
      </c>
      <c r="E1154" s="683">
        <v>44805</v>
      </c>
      <c r="F1154" s="547">
        <v>720</v>
      </c>
      <c r="G1154" s="547" t="s">
        <v>58</v>
      </c>
      <c r="H1154" s="547" t="s">
        <v>3</v>
      </c>
      <c r="I1154" s="547" t="s">
        <v>44</v>
      </c>
      <c r="J1154" s="547" t="s">
        <v>84</v>
      </c>
      <c r="K1154" s="547">
        <v>135</v>
      </c>
      <c r="L1154" s="727" t="s">
        <v>54</v>
      </c>
      <c r="M1154" s="697">
        <v>7</v>
      </c>
      <c r="N1154" s="727">
        <v>0</v>
      </c>
      <c r="O1154" s="697">
        <v>135</v>
      </c>
      <c r="P1154" s="727">
        <v>0</v>
      </c>
      <c r="Q1154" s="750">
        <f t="shared" si="153"/>
        <v>680400</v>
      </c>
      <c r="R1154" s="608">
        <f t="shared" si="154"/>
        <v>0</v>
      </c>
      <c r="S1154" s="751">
        <f t="shared" si="155"/>
        <v>-680400</v>
      </c>
      <c r="T1154" s="750">
        <v>56.08</v>
      </c>
      <c r="U1154" s="608">
        <f t="shared" si="156"/>
        <v>-282643.20000000001</v>
      </c>
      <c r="V1154" s="751">
        <f t="shared" si="157"/>
        <v>-397756.8</v>
      </c>
      <c r="W1154" s="752">
        <v>56.08</v>
      </c>
      <c r="X1154" s="609">
        <f t="shared" si="158"/>
        <v>-282643.20000000001</v>
      </c>
      <c r="Y1154" s="703">
        <f t="shared" si="159"/>
        <v>-397756.8</v>
      </c>
      <c r="Z1154" s="752">
        <v>56.08</v>
      </c>
      <c r="AA1154" s="609">
        <f t="shared" si="160"/>
        <v>-282643.20000000001</v>
      </c>
      <c r="AB1154" s="753">
        <f t="shared" si="161"/>
        <v>-397756.8</v>
      </c>
      <c r="AC1154" s="714"/>
    </row>
    <row r="1155" spans="1:29" x14ac:dyDescent="0.25">
      <c r="A1155" s="713"/>
      <c r="B1155" s="731" t="s">
        <v>1714</v>
      </c>
      <c r="C1155" s="547" t="s">
        <v>40</v>
      </c>
      <c r="D1155" s="547" t="s">
        <v>475</v>
      </c>
      <c r="E1155" s="683">
        <v>44805</v>
      </c>
      <c r="F1155" s="547">
        <v>720</v>
      </c>
      <c r="G1155" s="547" t="s">
        <v>58</v>
      </c>
      <c r="H1155" s="547" t="s">
        <v>3</v>
      </c>
      <c r="I1155" s="547" t="s">
        <v>44</v>
      </c>
      <c r="J1155" s="547" t="s">
        <v>84</v>
      </c>
      <c r="K1155" s="547">
        <v>135</v>
      </c>
      <c r="L1155" s="727" t="s">
        <v>54</v>
      </c>
      <c r="M1155" s="697">
        <v>8.3000000000000007</v>
      </c>
      <c r="N1155" s="727">
        <v>0</v>
      </c>
      <c r="O1155" s="697">
        <v>135</v>
      </c>
      <c r="P1155" s="727">
        <v>0</v>
      </c>
      <c r="Q1155" s="750">
        <f t="shared" ref="Q1155:Q1218" si="162">(O1155*(M1155*F1155))</f>
        <v>806760.00000000012</v>
      </c>
      <c r="R1155" s="608">
        <f t="shared" ref="R1155:R1218" si="163">(P1155*(N1155*F1155))</f>
        <v>0</v>
      </c>
      <c r="S1155" s="751">
        <f t="shared" ref="S1155:S1218" si="164">R1155-Q1155</f>
        <v>-806760.00000000012</v>
      </c>
      <c r="T1155" s="750">
        <v>56.08</v>
      </c>
      <c r="U1155" s="608">
        <f t="shared" ref="U1155:U1218" si="165">(((F1155*N1155)*T1155)-(T1155*(M1155*F1155)))</f>
        <v>-335134.08000000002</v>
      </c>
      <c r="V1155" s="751">
        <f t="shared" ref="V1155:V1218" si="166">S1155-U1155</f>
        <v>-471625.9200000001</v>
      </c>
      <c r="W1155" s="752">
        <v>56.08</v>
      </c>
      <c r="X1155" s="609">
        <f t="shared" ref="X1155:X1218" si="167">(((F1155*N1155)*W1155)-(W1155*(M1155*F1155)))</f>
        <v>-335134.08000000002</v>
      </c>
      <c r="Y1155" s="703">
        <f t="shared" ref="Y1155:Y1218" si="168">S1155-X1155</f>
        <v>-471625.9200000001</v>
      </c>
      <c r="Z1155" s="752">
        <v>56.08</v>
      </c>
      <c r="AA1155" s="609">
        <f t="shared" ref="AA1155:AA1218" si="169">(((F1155*N1155)*Z1155)-(Z1155*(M1155*F1155)))</f>
        <v>-335134.08000000002</v>
      </c>
      <c r="AB1155" s="753">
        <f t="shared" ref="AB1155:AB1218" si="170">S1155-AA1155</f>
        <v>-471625.9200000001</v>
      </c>
      <c r="AC1155" s="714"/>
    </row>
    <row r="1156" spans="1:29" x14ac:dyDescent="0.25">
      <c r="A1156" s="713"/>
      <c r="B1156" s="731" t="s">
        <v>1716</v>
      </c>
      <c r="C1156" s="547" t="s">
        <v>40</v>
      </c>
      <c r="D1156" s="547" t="s">
        <v>475</v>
      </c>
      <c r="E1156" s="683">
        <v>44774</v>
      </c>
      <c r="F1156" s="547">
        <v>744</v>
      </c>
      <c r="G1156" s="547" t="s">
        <v>58</v>
      </c>
      <c r="H1156" s="547" t="s">
        <v>3</v>
      </c>
      <c r="I1156" s="547" t="s">
        <v>44</v>
      </c>
      <c r="J1156" s="547" t="s">
        <v>84</v>
      </c>
      <c r="K1156" s="547">
        <v>129</v>
      </c>
      <c r="L1156" s="727" t="s">
        <v>54</v>
      </c>
      <c r="M1156" s="697">
        <v>11</v>
      </c>
      <c r="N1156" s="727">
        <v>0</v>
      </c>
      <c r="O1156" s="697">
        <v>129</v>
      </c>
      <c r="P1156" s="727">
        <v>0</v>
      </c>
      <c r="Q1156" s="750">
        <f t="shared" si="162"/>
        <v>1055736</v>
      </c>
      <c r="R1156" s="608">
        <f t="shared" si="163"/>
        <v>0</v>
      </c>
      <c r="S1156" s="751">
        <f t="shared" si="164"/>
        <v>-1055736</v>
      </c>
      <c r="T1156" s="750">
        <v>76.900000000000006</v>
      </c>
      <c r="U1156" s="608">
        <f t="shared" si="165"/>
        <v>-629349.60000000009</v>
      </c>
      <c r="V1156" s="751">
        <f t="shared" si="166"/>
        <v>-426386.39999999991</v>
      </c>
      <c r="W1156" s="752">
        <v>76.900000000000006</v>
      </c>
      <c r="X1156" s="609">
        <f t="shared" si="167"/>
        <v>-629349.60000000009</v>
      </c>
      <c r="Y1156" s="703">
        <f t="shared" si="168"/>
        <v>-426386.39999999991</v>
      </c>
      <c r="Z1156" s="752">
        <v>76.900000000000006</v>
      </c>
      <c r="AA1156" s="609">
        <f t="shared" si="169"/>
        <v>-629349.60000000009</v>
      </c>
      <c r="AB1156" s="753">
        <f t="shared" si="170"/>
        <v>-426386.39999999991</v>
      </c>
      <c r="AC1156" s="714"/>
    </row>
    <row r="1157" spans="1:29" x14ac:dyDescent="0.25">
      <c r="A1157" s="713"/>
      <c r="B1157" s="731" t="s">
        <v>1718</v>
      </c>
      <c r="C1157" s="547" t="s">
        <v>40</v>
      </c>
      <c r="D1157" s="547" t="s">
        <v>405</v>
      </c>
      <c r="E1157" s="683">
        <v>44743</v>
      </c>
      <c r="F1157" s="547">
        <v>744</v>
      </c>
      <c r="G1157" s="547" t="s">
        <v>58</v>
      </c>
      <c r="H1157" s="547" t="s">
        <v>3</v>
      </c>
      <c r="I1157" s="547" t="s">
        <v>44</v>
      </c>
      <c r="J1157" s="547" t="s">
        <v>84</v>
      </c>
      <c r="K1157" s="547">
        <v>115</v>
      </c>
      <c r="L1157" s="727" t="s">
        <v>54</v>
      </c>
      <c r="M1157" s="697">
        <v>10.3</v>
      </c>
      <c r="N1157" s="727">
        <v>0</v>
      </c>
      <c r="O1157" s="697">
        <v>115</v>
      </c>
      <c r="P1157" s="727">
        <v>0</v>
      </c>
      <c r="Q1157" s="750">
        <f t="shared" si="162"/>
        <v>881268.00000000012</v>
      </c>
      <c r="R1157" s="608">
        <f t="shared" si="163"/>
        <v>0</v>
      </c>
      <c r="S1157" s="751">
        <f t="shared" si="164"/>
        <v>-881268.00000000012</v>
      </c>
      <c r="T1157" s="750">
        <v>66.319999999999993</v>
      </c>
      <c r="U1157" s="608">
        <f t="shared" si="165"/>
        <v>-508223.424</v>
      </c>
      <c r="V1157" s="751">
        <f t="shared" si="166"/>
        <v>-373044.57600000012</v>
      </c>
      <c r="W1157" s="752">
        <v>66.319999999999993</v>
      </c>
      <c r="X1157" s="609">
        <f t="shared" si="167"/>
        <v>-508223.424</v>
      </c>
      <c r="Y1157" s="703">
        <f t="shared" si="168"/>
        <v>-373044.57600000012</v>
      </c>
      <c r="Z1157" s="752">
        <v>66.319999999999993</v>
      </c>
      <c r="AA1157" s="609">
        <f t="shared" si="169"/>
        <v>-508223.424</v>
      </c>
      <c r="AB1157" s="753">
        <f t="shared" si="170"/>
        <v>-373044.57600000012</v>
      </c>
      <c r="AC1157" s="714"/>
    </row>
    <row r="1158" spans="1:29" x14ac:dyDescent="0.25">
      <c r="A1158" s="713"/>
      <c r="B1158" s="731" t="s">
        <v>1720</v>
      </c>
      <c r="C1158" s="547" t="s">
        <v>40</v>
      </c>
      <c r="D1158" s="547" t="s">
        <v>349</v>
      </c>
      <c r="E1158" s="683">
        <v>44835</v>
      </c>
      <c r="F1158" s="547">
        <v>744</v>
      </c>
      <c r="G1158" s="547" t="s">
        <v>58</v>
      </c>
      <c r="H1158" s="547" t="s">
        <v>3</v>
      </c>
      <c r="I1158" s="547" t="s">
        <v>44</v>
      </c>
      <c r="J1158" s="547" t="s">
        <v>84</v>
      </c>
      <c r="K1158" s="547">
        <v>160</v>
      </c>
      <c r="L1158" s="727" t="s">
        <v>54</v>
      </c>
      <c r="M1158" s="697">
        <v>1</v>
      </c>
      <c r="N1158" s="727">
        <v>0</v>
      </c>
      <c r="O1158" s="697">
        <v>160</v>
      </c>
      <c r="P1158" s="727">
        <v>0</v>
      </c>
      <c r="Q1158" s="750">
        <f t="shared" si="162"/>
        <v>119040</v>
      </c>
      <c r="R1158" s="608">
        <f t="shared" si="163"/>
        <v>0</v>
      </c>
      <c r="S1158" s="751">
        <f t="shared" si="164"/>
        <v>-119040</v>
      </c>
      <c r="T1158" s="750">
        <v>55.7</v>
      </c>
      <c r="U1158" s="608">
        <f t="shared" si="165"/>
        <v>-41440.800000000003</v>
      </c>
      <c r="V1158" s="751">
        <f t="shared" si="166"/>
        <v>-77599.199999999997</v>
      </c>
      <c r="W1158" s="752">
        <v>55.7</v>
      </c>
      <c r="X1158" s="609">
        <f t="shared" si="167"/>
        <v>-41440.800000000003</v>
      </c>
      <c r="Y1158" s="703">
        <f t="shared" si="168"/>
        <v>-77599.199999999997</v>
      </c>
      <c r="Z1158" s="752">
        <v>55.7</v>
      </c>
      <c r="AA1158" s="609">
        <f t="shared" si="169"/>
        <v>-41440.800000000003</v>
      </c>
      <c r="AB1158" s="753">
        <f t="shared" si="170"/>
        <v>-77599.199999999997</v>
      </c>
      <c r="AC1158" s="714"/>
    </row>
    <row r="1159" spans="1:29" x14ac:dyDescent="0.25">
      <c r="A1159" s="713"/>
      <c r="B1159" s="731" t="s">
        <v>1721</v>
      </c>
      <c r="C1159" s="547" t="s">
        <v>40</v>
      </c>
      <c r="D1159" s="547" t="s">
        <v>945</v>
      </c>
      <c r="E1159" s="683">
        <v>44805</v>
      </c>
      <c r="F1159" s="547">
        <v>720</v>
      </c>
      <c r="G1159" s="547" t="s">
        <v>58</v>
      </c>
      <c r="H1159" s="547" t="s">
        <v>3</v>
      </c>
      <c r="I1159" s="547" t="s">
        <v>44</v>
      </c>
      <c r="J1159" s="547" t="s">
        <v>84</v>
      </c>
      <c r="K1159" s="547">
        <v>130</v>
      </c>
      <c r="L1159" s="727" t="s">
        <v>54</v>
      </c>
      <c r="M1159" s="697">
        <v>0.1</v>
      </c>
      <c r="N1159" s="727">
        <v>0</v>
      </c>
      <c r="O1159" s="697">
        <v>130</v>
      </c>
      <c r="P1159" s="727">
        <v>0</v>
      </c>
      <c r="Q1159" s="750">
        <f t="shared" si="162"/>
        <v>9360</v>
      </c>
      <c r="R1159" s="608">
        <f t="shared" si="163"/>
        <v>0</v>
      </c>
      <c r="S1159" s="751">
        <f t="shared" si="164"/>
        <v>-9360</v>
      </c>
      <c r="T1159" s="750">
        <v>56.08</v>
      </c>
      <c r="U1159" s="608">
        <f t="shared" si="165"/>
        <v>-4037.7599999999998</v>
      </c>
      <c r="V1159" s="751">
        <f t="shared" si="166"/>
        <v>-5322.24</v>
      </c>
      <c r="W1159" s="752">
        <v>56.08</v>
      </c>
      <c r="X1159" s="609">
        <f t="shared" si="167"/>
        <v>-4037.7599999999998</v>
      </c>
      <c r="Y1159" s="703">
        <f t="shared" si="168"/>
        <v>-5322.24</v>
      </c>
      <c r="Z1159" s="752">
        <v>56.08</v>
      </c>
      <c r="AA1159" s="609">
        <f t="shared" si="169"/>
        <v>-4037.7599999999998</v>
      </c>
      <c r="AB1159" s="753">
        <f t="shared" si="170"/>
        <v>-5322.24</v>
      </c>
      <c r="AC1159" s="714"/>
    </row>
    <row r="1160" spans="1:29" x14ac:dyDescent="0.25">
      <c r="A1160" s="713"/>
      <c r="B1160" s="731" t="s">
        <v>1725</v>
      </c>
      <c r="C1160" s="547" t="s">
        <v>40</v>
      </c>
      <c r="D1160" s="547" t="s">
        <v>585</v>
      </c>
      <c r="E1160" s="683">
        <v>44835</v>
      </c>
      <c r="F1160" s="547">
        <v>744</v>
      </c>
      <c r="G1160" s="547" t="s">
        <v>58</v>
      </c>
      <c r="H1160" s="547" t="s">
        <v>3</v>
      </c>
      <c r="I1160" s="547" t="s">
        <v>44</v>
      </c>
      <c r="J1160" s="547" t="s">
        <v>84</v>
      </c>
      <c r="K1160" s="547">
        <v>157</v>
      </c>
      <c r="L1160" s="727" t="s">
        <v>54</v>
      </c>
      <c r="M1160" s="697">
        <v>13.6</v>
      </c>
      <c r="N1160" s="727">
        <v>0</v>
      </c>
      <c r="O1160" s="697">
        <v>157</v>
      </c>
      <c r="P1160" s="727">
        <v>0</v>
      </c>
      <c r="Q1160" s="750">
        <f t="shared" si="162"/>
        <v>1588588.8</v>
      </c>
      <c r="R1160" s="608">
        <f t="shared" si="163"/>
        <v>0</v>
      </c>
      <c r="S1160" s="751">
        <f t="shared" si="164"/>
        <v>-1588588.8</v>
      </c>
      <c r="T1160" s="750">
        <v>55.7</v>
      </c>
      <c r="U1160" s="608">
        <f t="shared" si="165"/>
        <v>-563594.88</v>
      </c>
      <c r="V1160" s="751">
        <f t="shared" si="166"/>
        <v>-1024993.92</v>
      </c>
      <c r="W1160" s="752">
        <v>55.7</v>
      </c>
      <c r="X1160" s="609">
        <f t="shared" si="167"/>
        <v>-563594.88</v>
      </c>
      <c r="Y1160" s="703">
        <f t="shared" si="168"/>
        <v>-1024993.92</v>
      </c>
      <c r="Z1160" s="752">
        <v>55.7</v>
      </c>
      <c r="AA1160" s="609">
        <f t="shared" si="169"/>
        <v>-563594.88</v>
      </c>
      <c r="AB1160" s="753">
        <f t="shared" si="170"/>
        <v>-1024993.92</v>
      </c>
      <c r="AC1160" s="714"/>
    </row>
    <row r="1161" spans="1:29" x14ac:dyDescent="0.25">
      <c r="A1161" s="713"/>
      <c r="B1161" s="731" t="s">
        <v>1727</v>
      </c>
      <c r="C1161" s="547" t="s">
        <v>40</v>
      </c>
      <c r="D1161" s="547" t="s">
        <v>902</v>
      </c>
      <c r="E1161" s="683">
        <v>44835</v>
      </c>
      <c r="F1161" s="547">
        <v>744</v>
      </c>
      <c r="G1161" s="547" t="s">
        <v>58</v>
      </c>
      <c r="H1161" s="547" t="s">
        <v>3</v>
      </c>
      <c r="I1161" s="547" t="s">
        <v>44</v>
      </c>
      <c r="J1161" s="547" t="s">
        <v>84</v>
      </c>
      <c r="K1161" s="547">
        <v>151</v>
      </c>
      <c r="L1161" s="727" t="s">
        <v>54</v>
      </c>
      <c r="M1161" s="697">
        <v>3</v>
      </c>
      <c r="N1161" s="727">
        <v>0</v>
      </c>
      <c r="O1161" s="697">
        <v>151</v>
      </c>
      <c r="P1161" s="727">
        <v>0</v>
      </c>
      <c r="Q1161" s="750">
        <f t="shared" si="162"/>
        <v>337032</v>
      </c>
      <c r="R1161" s="608">
        <f t="shared" si="163"/>
        <v>0</v>
      </c>
      <c r="S1161" s="751">
        <f t="shared" si="164"/>
        <v>-337032</v>
      </c>
      <c r="T1161" s="750">
        <v>55.7</v>
      </c>
      <c r="U1161" s="608">
        <f t="shared" si="165"/>
        <v>-124322.40000000001</v>
      </c>
      <c r="V1161" s="751">
        <f t="shared" si="166"/>
        <v>-212709.59999999998</v>
      </c>
      <c r="W1161" s="752">
        <v>55.7</v>
      </c>
      <c r="X1161" s="609">
        <f t="shared" si="167"/>
        <v>-124322.40000000001</v>
      </c>
      <c r="Y1161" s="703">
        <f t="shared" si="168"/>
        <v>-212709.59999999998</v>
      </c>
      <c r="Z1161" s="752">
        <v>55.7</v>
      </c>
      <c r="AA1161" s="609">
        <f t="shared" si="169"/>
        <v>-124322.40000000001</v>
      </c>
      <c r="AB1161" s="753">
        <f t="shared" si="170"/>
        <v>-212709.59999999998</v>
      </c>
      <c r="AC1161" s="714"/>
    </row>
    <row r="1162" spans="1:29" x14ac:dyDescent="0.25">
      <c r="A1162" s="713"/>
      <c r="B1162" s="731" t="s">
        <v>1734</v>
      </c>
      <c r="C1162" s="547" t="s">
        <v>40</v>
      </c>
      <c r="D1162" s="547" t="s">
        <v>902</v>
      </c>
      <c r="E1162" s="683">
        <v>44805</v>
      </c>
      <c r="F1162" s="547">
        <v>720</v>
      </c>
      <c r="G1162" s="547" t="s">
        <v>58</v>
      </c>
      <c r="H1162" s="547" t="s">
        <v>3</v>
      </c>
      <c r="I1162" s="547" t="s">
        <v>44</v>
      </c>
      <c r="J1162" s="547" t="s">
        <v>84</v>
      </c>
      <c r="K1162" s="547">
        <v>123</v>
      </c>
      <c r="L1162" s="727" t="s">
        <v>54</v>
      </c>
      <c r="M1162" s="697">
        <v>4</v>
      </c>
      <c r="N1162" s="727">
        <v>0</v>
      </c>
      <c r="O1162" s="697">
        <v>123</v>
      </c>
      <c r="P1162" s="727">
        <v>0</v>
      </c>
      <c r="Q1162" s="750">
        <f t="shared" si="162"/>
        <v>354240</v>
      </c>
      <c r="R1162" s="608">
        <f t="shared" si="163"/>
        <v>0</v>
      </c>
      <c r="S1162" s="751">
        <f t="shared" si="164"/>
        <v>-354240</v>
      </c>
      <c r="T1162" s="750">
        <v>56.08</v>
      </c>
      <c r="U1162" s="608">
        <f t="shared" si="165"/>
        <v>-161510.39999999999</v>
      </c>
      <c r="V1162" s="751">
        <f t="shared" si="166"/>
        <v>-192729.60000000001</v>
      </c>
      <c r="W1162" s="752">
        <v>56.08</v>
      </c>
      <c r="X1162" s="609">
        <f t="shared" si="167"/>
        <v>-161510.39999999999</v>
      </c>
      <c r="Y1162" s="703">
        <f t="shared" si="168"/>
        <v>-192729.60000000001</v>
      </c>
      <c r="Z1162" s="752">
        <v>56.08</v>
      </c>
      <c r="AA1162" s="609">
        <f t="shared" si="169"/>
        <v>-161510.39999999999</v>
      </c>
      <c r="AB1162" s="753">
        <f t="shared" si="170"/>
        <v>-192729.60000000001</v>
      </c>
      <c r="AC1162" s="714"/>
    </row>
    <row r="1163" spans="1:29" x14ac:dyDescent="0.25">
      <c r="A1163" s="713"/>
      <c r="B1163" s="731" t="s">
        <v>1735</v>
      </c>
      <c r="C1163" s="547" t="s">
        <v>40</v>
      </c>
      <c r="D1163" s="547" t="s">
        <v>902</v>
      </c>
      <c r="E1163" s="683">
        <v>44805</v>
      </c>
      <c r="F1163" s="547">
        <v>720</v>
      </c>
      <c r="G1163" s="547" t="s">
        <v>58</v>
      </c>
      <c r="H1163" s="547" t="s">
        <v>3</v>
      </c>
      <c r="I1163" s="547" t="s">
        <v>44</v>
      </c>
      <c r="J1163" s="547" t="s">
        <v>84</v>
      </c>
      <c r="K1163" s="547">
        <v>123.5</v>
      </c>
      <c r="L1163" s="727" t="s">
        <v>54</v>
      </c>
      <c r="M1163" s="697">
        <v>3</v>
      </c>
      <c r="N1163" s="727">
        <v>0</v>
      </c>
      <c r="O1163" s="697">
        <v>123.5</v>
      </c>
      <c r="P1163" s="727">
        <v>0</v>
      </c>
      <c r="Q1163" s="750">
        <f t="shared" si="162"/>
        <v>266760</v>
      </c>
      <c r="R1163" s="608">
        <f t="shared" si="163"/>
        <v>0</v>
      </c>
      <c r="S1163" s="751">
        <f t="shared" si="164"/>
        <v>-266760</v>
      </c>
      <c r="T1163" s="750">
        <v>56.08</v>
      </c>
      <c r="U1163" s="608">
        <f t="shared" si="165"/>
        <v>-121132.8</v>
      </c>
      <c r="V1163" s="751">
        <f t="shared" si="166"/>
        <v>-145627.20000000001</v>
      </c>
      <c r="W1163" s="752">
        <v>56.08</v>
      </c>
      <c r="X1163" s="609">
        <f t="shared" si="167"/>
        <v>-121132.8</v>
      </c>
      <c r="Y1163" s="703">
        <f t="shared" si="168"/>
        <v>-145627.20000000001</v>
      </c>
      <c r="Z1163" s="752">
        <v>56.08</v>
      </c>
      <c r="AA1163" s="609">
        <f t="shared" si="169"/>
        <v>-121132.8</v>
      </c>
      <c r="AB1163" s="753">
        <f t="shared" si="170"/>
        <v>-145627.20000000001</v>
      </c>
      <c r="AC1163" s="714"/>
    </row>
    <row r="1164" spans="1:29" x14ac:dyDescent="0.25">
      <c r="A1164" s="713"/>
      <c r="B1164" s="731" t="s">
        <v>1736</v>
      </c>
      <c r="C1164" s="547" t="s">
        <v>40</v>
      </c>
      <c r="D1164" s="547" t="s">
        <v>477</v>
      </c>
      <c r="E1164" s="683">
        <v>44805</v>
      </c>
      <c r="F1164" s="547">
        <v>720</v>
      </c>
      <c r="G1164" s="547" t="s">
        <v>58</v>
      </c>
      <c r="H1164" s="547" t="s">
        <v>3</v>
      </c>
      <c r="I1164" s="547" t="s">
        <v>44</v>
      </c>
      <c r="J1164" s="547" t="s">
        <v>84</v>
      </c>
      <c r="K1164" s="547">
        <v>124</v>
      </c>
      <c r="L1164" s="727" t="s">
        <v>54</v>
      </c>
      <c r="M1164" s="697">
        <v>3</v>
      </c>
      <c r="N1164" s="727">
        <v>0</v>
      </c>
      <c r="O1164" s="697">
        <v>124</v>
      </c>
      <c r="P1164" s="727">
        <v>0</v>
      </c>
      <c r="Q1164" s="750">
        <f t="shared" si="162"/>
        <v>267840</v>
      </c>
      <c r="R1164" s="608">
        <f t="shared" si="163"/>
        <v>0</v>
      </c>
      <c r="S1164" s="751">
        <f t="shared" si="164"/>
        <v>-267840</v>
      </c>
      <c r="T1164" s="750">
        <v>56.08</v>
      </c>
      <c r="U1164" s="608">
        <f t="shared" si="165"/>
        <v>-121132.8</v>
      </c>
      <c r="V1164" s="751">
        <f t="shared" si="166"/>
        <v>-146707.20000000001</v>
      </c>
      <c r="W1164" s="752">
        <v>56.08</v>
      </c>
      <c r="X1164" s="609">
        <f t="shared" si="167"/>
        <v>-121132.8</v>
      </c>
      <c r="Y1164" s="703">
        <f t="shared" si="168"/>
        <v>-146707.20000000001</v>
      </c>
      <c r="Z1164" s="752">
        <v>56.08</v>
      </c>
      <c r="AA1164" s="609">
        <f t="shared" si="169"/>
        <v>-121132.8</v>
      </c>
      <c r="AB1164" s="753">
        <f t="shared" si="170"/>
        <v>-146707.20000000001</v>
      </c>
      <c r="AC1164" s="714"/>
    </row>
    <row r="1165" spans="1:29" x14ac:dyDescent="0.25">
      <c r="A1165" s="713"/>
      <c r="B1165" s="731" t="s">
        <v>1737</v>
      </c>
      <c r="C1165" s="547" t="s">
        <v>40</v>
      </c>
      <c r="D1165" s="547" t="s">
        <v>467</v>
      </c>
      <c r="E1165" s="683">
        <v>44774</v>
      </c>
      <c r="F1165" s="547">
        <v>744</v>
      </c>
      <c r="G1165" s="547" t="s">
        <v>58</v>
      </c>
      <c r="H1165" s="547" t="s">
        <v>3</v>
      </c>
      <c r="I1165" s="547" t="s">
        <v>44</v>
      </c>
      <c r="J1165" s="547" t="s">
        <v>84</v>
      </c>
      <c r="K1165" s="547">
        <v>115</v>
      </c>
      <c r="L1165" s="727" t="s">
        <v>54</v>
      </c>
      <c r="M1165" s="697">
        <v>1</v>
      </c>
      <c r="N1165" s="727">
        <v>0</v>
      </c>
      <c r="O1165" s="697">
        <v>115</v>
      </c>
      <c r="P1165" s="727">
        <v>0</v>
      </c>
      <c r="Q1165" s="750">
        <f t="shared" si="162"/>
        <v>85560</v>
      </c>
      <c r="R1165" s="608">
        <f t="shared" si="163"/>
        <v>0</v>
      </c>
      <c r="S1165" s="751">
        <f t="shared" si="164"/>
        <v>-85560</v>
      </c>
      <c r="T1165" s="750">
        <v>76.900000000000006</v>
      </c>
      <c r="U1165" s="608">
        <f t="shared" si="165"/>
        <v>-57213.600000000006</v>
      </c>
      <c r="V1165" s="751">
        <f t="shared" si="166"/>
        <v>-28346.399999999994</v>
      </c>
      <c r="W1165" s="752">
        <v>76.900000000000006</v>
      </c>
      <c r="X1165" s="609">
        <f t="shared" si="167"/>
        <v>-57213.600000000006</v>
      </c>
      <c r="Y1165" s="703">
        <f t="shared" si="168"/>
        <v>-28346.399999999994</v>
      </c>
      <c r="Z1165" s="752">
        <v>76.900000000000006</v>
      </c>
      <c r="AA1165" s="609">
        <f t="shared" si="169"/>
        <v>-57213.600000000006</v>
      </c>
      <c r="AB1165" s="753">
        <f t="shared" si="170"/>
        <v>-28346.399999999994</v>
      </c>
      <c r="AC1165" s="714"/>
    </row>
    <row r="1166" spans="1:29" x14ac:dyDescent="0.25">
      <c r="A1166" s="713"/>
      <c r="B1166" s="731" t="s">
        <v>1738</v>
      </c>
      <c r="C1166" s="547" t="s">
        <v>40</v>
      </c>
      <c r="D1166" s="547" t="s">
        <v>349</v>
      </c>
      <c r="E1166" s="683">
        <v>44805</v>
      </c>
      <c r="F1166" s="547">
        <v>720</v>
      </c>
      <c r="G1166" s="547" t="s">
        <v>58</v>
      </c>
      <c r="H1166" s="547" t="s">
        <v>3</v>
      </c>
      <c r="I1166" s="547" t="s">
        <v>44</v>
      </c>
      <c r="J1166" s="547" t="s">
        <v>84</v>
      </c>
      <c r="K1166" s="547">
        <v>124</v>
      </c>
      <c r="L1166" s="727" t="s">
        <v>54</v>
      </c>
      <c r="M1166" s="697">
        <v>2</v>
      </c>
      <c r="N1166" s="727">
        <v>0</v>
      </c>
      <c r="O1166" s="697">
        <v>124</v>
      </c>
      <c r="P1166" s="727">
        <v>0</v>
      </c>
      <c r="Q1166" s="750">
        <f t="shared" si="162"/>
        <v>178560</v>
      </c>
      <c r="R1166" s="608">
        <f t="shared" si="163"/>
        <v>0</v>
      </c>
      <c r="S1166" s="751">
        <f t="shared" si="164"/>
        <v>-178560</v>
      </c>
      <c r="T1166" s="750">
        <v>56.08</v>
      </c>
      <c r="U1166" s="608">
        <f t="shared" si="165"/>
        <v>-80755.199999999997</v>
      </c>
      <c r="V1166" s="751">
        <f t="shared" si="166"/>
        <v>-97804.800000000003</v>
      </c>
      <c r="W1166" s="752">
        <v>56.08</v>
      </c>
      <c r="X1166" s="609">
        <f t="shared" si="167"/>
        <v>-80755.199999999997</v>
      </c>
      <c r="Y1166" s="703">
        <f t="shared" si="168"/>
        <v>-97804.800000000003</v>
      </c>
      <c r="Z1166" s="752">
        <v>56.08</v>
      </c>
      <c r="AA1166" s="609">
        <f t="shared" si="169"/>
        <v>-80755.199999999997</v>
      </c>
      <c r="AB1166" s="753">
        <f t="shared" si="170"/>
        <v>-97804.800000000003</v>
      </c>
      <c r="AC1166" s="714"/>
    </row>
    <row r="1167" spans="1:29" x14ac:dyDescent="0.25">
      <c r="A1167" s="713"/>
      <c r="B1167" s="731" t="s">
        <v>1739</v>
      </c>
      <c r="C1167" s="547" t="s">
        <v>40</v>
      </c>
      <c r="D1167" s="547" t="s">
        <v>902</v>
      </c>
      <c r="E1167" s="683">
        <v>44805</v>
      </c>
      <c r="F1167" s="547">
        <v>720</v>
      </c>
      <c r="G1167" s="547" t="s">
        <v>58</v>
      </c>
      <c r="H1167" s="547" t="s">
        <v>3</v>
      </c>
      <c r="I1167" s="547" t="s">
        <v>44</v>
      </c>
      <c r="J1167" s="547" t="s">
        <v>84</v>
      </c>
      <c r="K1167" s="547">
        <v>124</v>
      </c>
      <c r="L1167" s="727" t="s">
        <v>54</v>
      </c>
      <c r="M1167" s="697">
        <v>1</v>
      </c>
      <c r="N1167" s="727">
        <v>0</v>
      </c>
      <c r="O1167" s="697">
        <v>124</v>
      </c>
      <c r="P1167" s="727">
        <v>0</v>
      </c>
      <c r="Q1167" s="750">
        <f t="shared" si="162"/>
        <v>89280</v>
      </c>
      <c r="R1167" s="608">
        <f t="shared" si="163"/>
        <v>0</v>
      </c>
      <c r="S1167" s="751">
        <f t="shared" si="164"/>
        <v>-89280</v>
      </c>
      <c r="T1167" s="750">
        <v>56.08</v>
      </c>
      <c r="U1167" s="608">
        <f t="shared" si="165"/>
        <v>-40377.599999999999</v>
      </c>
      <c r="V1167" s="751">
        <f t="shared" si="166"/>
        <v>-48902.400000000001</v>
      </c>
      <c r="W1167" s="752">
        <v>56.08</v>
      </c>
      <c r="X1167" s="609">
        <f t="shared" si="167"/>
        <v>-40377.599999999999</v>
      </c>
      <c r="Y1167" s="703">
        <f t="shared" si="168"/>
        <v>-48902.400000000001</v>
      </c>
      <c r="Z1167" s="752">
        <v>56.08</v>
      </c>
      <c r="AA1167" s="609">
        <f t="shared" si="169"/>
        <v>-40377.599999999999</v>
      </c>
      <c r="AB1167" s="753">
        <f t="shared" si="170"/>
        <v>-48902.400000000001</v>
      </c>
      <c r="AC1167" s="714"/>
    </row>
    <row r="1168" spans="1:29" x14ac:dyDescent="0.25">
      <c r="A1168" s="713"/>
      <c r="B1168" s="731" t="s">
        <v>1749</v>
      </c>
      <c r="C1168" s="547" t="s">
        <v>40</v>
      </c>
      <c r="D1168" s="547" t="s">
        <v>404</v>
      </c>
      <c r="E1168" s="683">
        <v>44896</v>
      </c>
      <c r="F1168" s="547">
        <v>744</v>
      </c>
      <c r="G1168" s="547" t="s">
        <v>58</v>
      </c>
      <c r="H1168" s="547" t="s">
        <v>3</v>
      </c>
      <c r="I1168" s="547" t="s">
        <v>44</v>
      </c>
      <c r="J1168" s="547" t="s">
        <v>84</v>
      </c>
      <c r="K1168" s="547">
        <v>132</v>
      </c>
      <c r="L1168" s="727" t="s">
        <v>54</v>
      </c>
      <c r="M1168" s="697">
        <v>1.5</v>
      </c>
      <c r="N1168" s="727">
        <v>0</v>
      </c>
      <c r="O1168" s="697">
        <v>132</v>
      </c>
      <c r="P1168" s="727">
        <v>0</v>
      </c>
      <c r="Q1168" s="750">
        <f t="shared" si="162"/>
        <v>147312</v>
      </c>
      <c r="R1168" s="608">
        <f t="shared" si="163"/>
        <v>0</v>
      </c>
      <c r="S1168" s="751">
        <f t="shared" si="164"/>
        <v>-147312</v>
      </c>
      <c r="T1168" s="750">
        <v>55.7</v>
      </c>
      <c r="U1168" s="608">
        <f t="shared" si="165"/>
        <v>-62161.200000000004</v>
      </c>
      <c r="V1168" s="751">
        <f t="shared" si="166"/>
        <v>-85150.799999999988</v>
      </c>
      <c r="W1168" s="752">
        <v>55.7</v>
      </c>
      <c r="X1168" s="609">
        <f t="shared" si="167"/>
        <v>-62161.200000000004</v>
      </c>
      <c r="Y1168" s="703">
        <f t="shared" si="168"/>
        <v>-85150.799999999988</v>
      </c>
      <c r="Z1168" s="752">
        <v>78.400653594793155</v>
      </c>
      <c r="AA1168" s="609">
        <f t="shared" si="169"/>
        <v>-87495.129411789167</v>
      </c>
      <c r="AB1168" s="753">
        <f t="shared" si="170"/>
        <v>-59816.870588210833</v>
      </c>
      <c r="AC1168" s="714"/>
    </row>
    <row r="1169" spans="1:29" x14ac:dyDescent="0.25">
      <c r="A1169" s="713"/>
      <c r="B1169" s="730" t="s">
        <v>1750</v>
      </c>
      <c r="C1169" s="546" t="s">
        <v>40</v>
      </c>
      <c r="D1169" s="546" t="s">
        <v>404</v>
      </c>
      <c r="E1169" s="682">
        <v>44835</v>
      </c>
      <c r="F1169" s="546">
        <v>744</v>
      </c>
      <c r="G1169" s="546" t="s">
        <v>58</v>
      </c>
      <c r="H1169" s="546" t="s">
        <v>3</v>
      </c>
      <c r="I1169" s="546" t="s">
        <v>44</v>
      </c>
      <c r="J1169" s="546" t="s">
        <v>84</v>
      </c>
      <c r="K1169" s="546">
        <v>138</v>
      </c>
      <c r="L1169" s="726" t="s">
        <v>54</v>
      </c>
      <c r="M1169" s="696">
        <v>2</v>
      </c>
      <c r="N1169" s="726">
        <v>0</v>
      </c>
      <c r="O1169" s="696">
        <v>138</v>
      </c>
      <c r="P1169" s="726">
        <v>0</v>
      </c>
      <c r="Q1169" s="746">
        <f t="shared" si="162"/>
        <v>205344</v>
      </c>
      <c r="R1169" s="606">
        <f t="shared" si="163"/>
        <v>0</v>
      </c>
      <c r="S1169" s="747">
        <f t="shared" si="164"/>
        <v>-205344</v>
      </c>
      <c r="T1169" s="746">
        <v>55.7</v>
      </c>
      <c r="U1169" s="606">
        <f t="shared" si="165"/>
        <v>-82881.600000000006</v>
      </c>
      <c r="V1169" s="747">
        <f t="shared" si="166"/>
        <v>-122462.39999999999</v>
      </c>
      <c r="W1169" s="748">
        <v>55.7</v>
      </c>
      <c r="X1169" s="607">
        <f t="shared" si="167"/>
        <v>-82881.600000000006</v>
      </c>
      <c r="Y1169" s="702">
        <f t="shared" si="168"/>
        <v>-122462.39999999999</v>
      </c>
      <c r="Z1169" s="748">
        <v>55.7</v>
      </c>
      <c r="AA1169" s="607">
        <f t="shared" si="169"/>
        <v>-82881.600000000006</v>
      </c>
      <c r="AB1169" s="749">
        <f t="shared" si="170"/>
        <v>-122462.39999999999</v>
      </c>
      <c r="AC1169" s="714"/>
    </row>
    <row r="1170" spans="1:29" x14ac:dyDescent="0.25">
      <c r="A1170" s="713"/>
      <c r="B1170" s="714" t="s">
        <v>1750</v>
      </c>
      <c r="C1170" s="676" t="s">
        <v>40</v>
      </c>
      <c r="D1170" s="676" t="s">
        <v>404</v>
      </c>
      <c r="E1170" s="680">
        <v>44866</v>
      </c>
      <c r="F1170" s="676">
        <v>720</v>
      </c>
      <c r="G1170" s="676" t="s">
        <v>58</v>
      </c>
      <c r="H1170" s="676" t="s">
        <v>3</v>
      </c>
      <c r="I1170" s="676" t="s">
        <v>44</v>
      </c>
      <c r="J1170" s="676" t="s">
        <v>84</v>
      </c>
      <c r="K1170" s="676">
        <v>138</v>
      </c>
      <c r="L1170" s="690" t="s">
        <v>54</v>
      </c>
      <c r="M1170" s="691">
        <v>2</v>
      </c>
      <c r="N1170" s="690">
        <v>0</v>
      </c>
      <c r="O1170" s="691">
        <v>138</v>
      </c>
      <c r="P1170" s="690">
        <v>0</v>
      </c>
      <c r="Q1170" s="738">
        <f t="shared" si="162"/>
        <v>198720</v>
      </c>
      <c r="R1170" s="677">
        <f t="shared" si="163"/>
        <v>0</v>
      </c>
      <c r="S1170" s="739">
        <f t="shared" si="164"/>
        <v>-198720</v>
      </c>
      <c r="T1170" s="738">
        <v>55.7</v>
      </c>
      <c r="U1170" s="677">
        <f t="shared" si="165"/>
        <v>-80208</v>
      </c>
      <c r="V1170" s="739">
        <f t="shared" si="166"/>
        <v>-118512</v>
      </c>
      <c r="W1170" s="740">
        <v>55.7</v>
      </c>
      <c r="X1170" s="678">
        <f t="shared" si="167"/>
        <v>-80208</v>
      </c>
      <c r="Y1170" s="700">
        <f t="shared" si="168"/>
        <v>-118512</v>
      </c>
      <c r="Z1170" s="740">
        <v>55.7</v>
      </c>
      <c r="AA1170" s="678">
        <f t="shared" si="169"/>
        <v>-80208</v>
      </c>
      <c r="AB1170" s="741">
        <f t="shared" si="170"/>
        <v>-118512</v>
      </c>
      <c r="AC1170" s="714"/>
    </row>
    <row r="1171" spans="1:29" x14ac:dyDescent="0.25">
      <c r="A1171" s="713"/>
      <c r="B1171" s="729" t="s">
        <v>1750</v>
      </c>
      <c r="C1171" s="545" t="s">
        <v>40</v>
      </c>
      <c r="D1171" s="545" t="s">
        <v>404</v>
      </c>
      <c r="E1171" s="681">
        <v>44896</v>
      </c>
      <c r="F1171" s="545">
        <v>744</v>
      </c>
      <c r="G1171" s="545" t="s">
        <v>58</v>
      </c>
      <c r="H1171" s="545" t="s">
        <v>3</v>
      </c>
      <c r="I1171" s="545" t="s">
        <v>44</v>
      </c>
      <c r="J1171" s="545" t="s">
        <v>84</v>
      </c>
      <c r="K1171" s="545">
        <v>138</v>
      </c>
      <c r="L1171" s="725" t="s">
        <v>54</v>
      </c>
      <c r="M1171" s="695">
        <v>2</v>
      </c>
      <c r="N1171" s="725">
        <v>0</v>
      </c>
      <c r="O1171" s="695">
        <v>138</v>
      </c>
      <c r="P1171" s="725">
        <v>0</v>
      </c>
      <c r="Q1171" s="742">
        <f t="shared" si="162"/>
        <v>205344</v>
      </c>
      <c r="R1171" s="603">
        <f t="shared" si="163"/>
        <v>0</v>
      </c>
      <c r="S1171" s="743">
        <f t="shared" si="164"/>
        <v>-205344</v>
      </c>
      <c r="T1171" s="742">
        <v>55.7</v>
      </c>
      <c r="U1171" s="603">
        <f t="shared" si="165"/>
        <v>-82881.600000000006</v>
      </c>
      <c r="V1171" s="743">
        <f t="shared" si="166"/>
        <v>-122462.39999999999</v>
      </c>
      <c r="W1171" s="744">
        <v>55.7</v>
      </c>
      <c r="X1171" s="604">
        <f t="shared" si="167"/>
        <v>-82881.600000000006</v>
      </c>
      <c r="Y1171" s="701">
        <f t="shared" si="168"/>
        <v>-122462.39999999999</v>
      </c>
      <c r="Z1171" s="744">
        <v>78.400653594793155</v>
      </c>
      <c r="AA1171" s="604">
        <f t="shared" si="169"/>
        <v>-116660.17254905222</v>
      </c>
      <c r="AB1171" s="745">
        <f t="shared" si="170"/>
        <v>-88683.827450947778</v>
      </c>
      <c r="AC1171" s="714"/>
    </row>
    <row r="1172" spans="1:29" x14ac:dyDescent="0.25">
      <c r="A1172" s="713"/>
      <c r="B1172" s="730" t="s">
        <v>1751</v>
      </c>
      <c r="C1172" s="546" t="s">
        <v>40</v>
      </c>
      <c r="D1172" s="546" t="s">
        <v>404</v>
      </c>
      <c r="E1172" s="682">
        <v>44835</v>
      </c>
      <c r="F1172" s="546">
        <v>744</v>
      </c>
      <c r="G1172" s="546" t="s">
        <v>58</v>
      </c>
      <c r="H1172" s="546" t="s">
        <v>3</v>
      </c>
      <c r="I1172" s="546" t="s">
        <v>44</v>
      </c>
      <c r="J1172" s="546" t="s">
        <v>84</v>
      </c>
      <c r="K1172" s="546">
        <v>138.5</v>
      </c>
      <c r="L1172" s="726" t="s">
        <v>54</v>
      </c>
      <c r="M1172" s="696">
        <v>3</v>
      </c>
      <c r="N1172" s="726">
        <v>0</v>
      </c>
      <c r="O1172" s="696">
        <v>138.5</v>
      </c>
      <c r="P1172" s="726">
        <v>0</v>
      </c>
      <c r="Q1172" s="746">
        <f t="shared" si="162"/>
        <v>309132</v>
      </c>
      <c r="R1172" s="606">
        <f t="shared" si="163"/>
        <v>0</v>
      </c>
      <c r="S1172" s="747">
        <f t="shared" si="164"/>
        <v>-309132</v>
      </c>
      <c r="T1172" s="746">
        <v>55.7</v>
      </c>
      <c r="U1172" s="606">
        <f t="shared" si="165"/>
        <v>-124322.40000000001</v>
      </c>
      <c r="V1172" s="747">
        <f t="shared" si="166"/>
        <v>-184809.59999999998</v>
      </c>
      <c r="W1172" s="748">
        <v>55.7</v>
      </c>
      <c r="X1172" s="607">
        <f t="shared" si="167"/>
        <v>-124322.40000000001</v>
      </c>
      <c r="Y1172" s="702">
        <f t="shared" si="168"/>
        <v>-184809.59999999998</v>
      </c>
      <c r="Z1172" s="748">
        <v>55.7</v>
      </c>
      <c r="AA1172" s="607">
        <f t="shared" si="169"/>
        <v>-124322.40000000001</v>
      </c>
      <c r="AB1172" s="749">
        <f t="shared" si="170"/>
        <v>-184809.59999999998</v>
      </c>
      <c r="AC1172" s="714"/>
    </row>
    <row r="1173" spans="1:29" x14ac:dyDescent="0.25">
      <c r="A1173" s="713"/>
      <c r="B1173" s="714" t="s">
        <v>1751</v>
      </c>
      <c r="C1173" s="676" t="s">
        <v>40</v>
      </c>
      <c r="D1173" s="676" t="s">
        <v>404</v>
      </c>
      <c r="E1173" s="680">
        <v>44866</v>
      </c>
      <c r="F1173" s="676">
        <v>720</v>
      </c>
      <c r="G1173" s="676" t="s">
        <v>58</v>
      </c>
      <c r="H1173" s="676" t="s">
        <v>3</v>
      </c>
      <c r="I1173" s="676" t="s">
        <v>44</v>
      </c>
      <c r="J1173" s="676" t="s">
        <v>84</v>
      </c>
      <c r="K1173" s="676">
        <v>138.5</v>
      </c>
      <c r="L1173" s="690" t="s">
        <v>54</v>
      </c>
      <c r="M1173" s="691">
        <v>3</v>
      </c>
      <c r="N1173" s="690">
        <v>0</v>
      </c>
      <c r="O1173" s="691">
        <v>138.5</v>
      </c>
      <c r="P1173" s="690">
        <v>0</v>
      </c>
      <c r="Q1173" s="738">
        <f t="shared" si="162"/>
        <v>299160</v>
      </c>
      <c r="R1173" s="677">
        <f t="shared" si="163"/>
        <v>0</v>
      </c>
      <c r="S1173" s="739">
        <f t="shared" si="164"/>
        <v>-299160</v>
      </c>
      <c r="T1173" s="738">
        <v>55.7</v>
      </c>
      <c r="U1173" s="677">
        <f t="shared" si="165"/>
        <v>-120312</v>
      </c>
      <c r="V1173" s="739">
        <f t="shared" si="166"/>
        <v>-178848</v>
      </c>
      <c r="W1173" s="740">
        <v>55.7</v>
      </c>
      <c r="X1173" s="678">
        <f t="shared" si="167"/>
        <v>-120312</v>
      </c>
      <c r="Y1173" s="700">
        <f t="shared" si="168"/>
        <v>-178848</v>
      </c>
      <c r="Z1173" s="740">
        <v>55.7</v>
      </c>
      <c r="AA1173" s="678">
        <f t="shared" si="169"/>
        <v>-120312</v>
      </c>
      <c r="AB1173" s="741">
        <f t="shared" si="170"/>
        <v>-178848</v>
      </c>
      <c r="AC1173" s="714"/>
    </row>
    <row r="1174" spans="1:29" x14ac:dyDescent="0.25">
      <c r="A1174" s="713"/>
      <c r="B1174" s="729" t="s">
        <v>1751</v>
      </c>
      <c r="C1174" s="545" t="s">
        <v>40</v>
      </c>
      <c r="D1174" s="545" t="s">
        <v>404</v>
      </c>
      <c r="E1174" s="681">
        <v>44896</v>
      </c>
      <c r="F1174" s="545">
        <v>744</v>
      </c>
      <c r="G1174" s="545" t="s">
        <v>58</v>
      </c>
      <c r="H1174" s="545" t="s">
        <v>3</v>
      </c>
      <c r="I1174" s="545" t="s">
        <v>44</v>
      </c>
      <c r="J1174" s="545" t="s">
        <v>84</v>
      </c>
      <c r="K1174" s="545">
        <v>138.5</v>
      </c>
      <c r="L1174" s="725" t="s">
        <v>54</v>
      </c>
      <c r="M1174" s="695">
        <v>3</v>
      </c>
      <c r="N1174" s="725">
        <v>0</v>
      </c>
      <c r="O1174" s="695">
        <v>138.5</v>
      </c>
      <c r="P1174" s="725">
        <v>0</v>
      </c>
      <c r="Q1174" s="742">
        <f t="shared" si="162"/>
        <v>309132</v>
      </c>
      <c r="R1174" s="603">
        <f t="shared" si="163"/>
        <v>0</v>
      </c>
      <c r="S1174" s="743">
        <f t="shared" si="164"/>
        <v>-309132</v>
      </c>
      <c r="T1174" s="742">
        <v>55.7</v>
      </c>
      <c r="U1174" s="603">
        <f t="shared" si="165"/>
        <v>-124322.40000000001</v>
      </c>
      <c r="V1174" s="743">
        <f t="shared" si="166"/>
        <v>-184809.59999999998</v>
      </c>
      <c r="W1174" s="744">
        <v>55.7</v>
      </c>
      <c r="X1174" s="604">
        <f t="shared" si="167"/>
        <v>-124322.40000000001</v>
      </c>
      <c r="Y1174" s="701">
        <f t="shared" si="168"/>
        <v>-184809.59999999998</v>
      </c>
      <c r="Z1174" s="744">
        <v>78.400653594793155</v>
      </c>
      <c r="AA1174" s="604">
        <f t="shared" si="169"/>
        <v>-174990.25882357833</v>
      </c>
      <c r="AB1174" s="745">
        <f t="shared" si="170"/>
        <v>-134141.74117642167</v>
      </c>
      <c r="AC1174" s="714"/>
    </row>
    <row r="1175" spans="1:29" x14ac:dyDescent="0.25">
      <c r="A1175" s="713"/>
      <c r="B1175" s="730" t="s">
        <v>1752</v>
      </c>
      <c r="C1175" s="546" t="s">
        <v>40</v>
      </c>
      <c r="D1175" s="546" t="s">
        <v>404</v>
      </c>
      <c r="E1175" s="682">
        <v>44835</v>
      </c>
      <c r="F1175" s="546">
        <v>744</v>
      </c>
      <c r="G1175" s="546" t="s">
        <v>58</v>
      </c>
      <c r="H1175" s="546" t="s">
        <v>3</v>
      </c>
      <c r="I1175" s="546" t="s">
        <v>44</v>
      </c>
      <c r="J1175" s="546" t="s">
        <v>84</v>
      </c>
      <c r="K1175" s="546">
        <v>138.5</v>
      </c>
      <c r="L1175" s="726" t="s">
        <v>54</v>
      </c>
      <c r="M1175" s="696">
        <v>2</v>
      </c>
      <c r="N1175" s="726">
        <v>0</v>
      </c>
      <c r="O1175" s="696">
        <v>138.5</v>
      </c>
      <c r="P1175" s="726">
        <v>0</v>
      </c>
      <c r="Q1175" s="746">
        <f t="shared" si="162"/>
        <v>206088</v>
      </c>
      <c r="R1175" s="606">
        <f t="shared" si="163"/>
        <v>0</v>
      </c>
      <c r="S1175" s="747">
        <f t="shared" si="164"/>
        <v>-206088</v>
      </c>
      <c r="T1175" s="746">
        <v>55.7</v>
      </c>
      <c r="U1175" s="606">
        <f t="shared" si="165"/>
        <v>-82881.600000000006</v>
      </c>
      <c r="V1175" s="747">
        <f t="shared" si="166"/>
        <v>-123206.39999999999</v>
      </c>
      <c r="W1175" s="748">
        <v>55.7</v>
      </c>
      <c r="X1175" s="607">
        <f t="shared" si="167"/>
        <v>-82881.600000000006</v>
      </c>
      <c r="Y1175" s="702">
        <f t="shared" si="168"/>
        <v>-123206.39999999999</v>
      </c>
      <c r="Z1175" s="748">
        <v>55.7</v>
      </c>
      <c r="AA1175" s="607">
        <f t="shared" si="169"/>
        <v>-82881.600000000006</v>
      </c>
      <c r="AB1175" s="749">
        <f t="shared" si="170"/>
        <v>-123206.39999999999</v>
      </c>
      <c r="AC1175" s="714"/>
    </row>
    <row r="1176" spans="1:29" x14ac:dyDescent="0.25">
      <c r="A1176" s="713"/>
      <c r="B1176" s="714" t="s">
        <v>1752</v>
      </c>
      <c r="C1176" s="676" t="s">
        <v>40</v>
      </c>
      <c r="D1176" s="676" t="s">
        <v>404</v>
      </c>
      <c r="E1176" s="680">
        <v>44866</v>
      </c>
      <c r="F1176" s="676">
        <v>720</v>
      </c>
      <c r="G1176" s="676" t="s">
        <v>58</v>
      </c>
      <c r="H1176" s="676" t="s">
        <v>3</v>
      </c>
      <c r="I1176" s="676" t="s">
        <v>44</v>
      </c>
      <c r="J1176" s="676" t="s">
        <v>84</v>
      </c>
      <c r="K1176" s="676">
        <v>138.5</v>
      </c>
      <c r="L1176" s="690" t="s">
        <v>54</v>
      </c>
      <c r="M1176" s="691">
        <v>2</v>
      </c>
      <c r="N1176" s="690">
        <v>0</v>
      </c>
      <c r="O1176" s="691">
        <v>138.5</v>
      </c>
      <c r="P1176" s="690">
        <v>0</v>
      </c>
      <c r="Q1176" s="738">
        <f t="shared" si="162"/>
        <v>199440</v>
      </c>
      <c r="R1176" s="677">
        <f t="shared" si="163"/>
        <v>0</v>
      </c>
      <c r="S1176" s="739">
        <f t="shared" si="164"/>
        <v>-199440</v>
      </c>
      <c r="T1176" s="738">
        <v>55.7</v>
      </c>
      <c r="U1176" s="677">
        <f t="shared" si="165"/>
        <v>-80208</v>
      </c>
      <c r="V1176" s="739">
        <f t="shared" si="166"/>
        <v>-119232</v>
      </c>
      <c r="W1176" s="740">
        <v>55.7</v>
      </c>
      <c r="X1176" s="678">
        <f t="shared" si="167"/>
        <v>-80208</v>
      </c>
      <c r="Y1176" s="700">
        <f t="shared" si="168"/>
        <v>-119232</v>
      </c>
      <c r="Z1176" s="740">
        <v>55.7</v>
      </c>
      <c r="AA1176" s="678">
        <f t="shared" si="169"/>
        <v>-80208</v>
      </c>
      <c r="AB1176" s="741">
        <f t="shared" si="170"/>
        <v>-119232</v>
      </c>
      <c r="AC1176" s="714"/>
    </row>
    <row r="1177" spans="1:29" x14ac:dyDescent="0.25">
      <c r="A1177" s="713"/>
      <c r="B1177" s="729" t="s">
        <v>1752</v>
      </c>
      <c r="C1177" s="545" t="s">
        <v>40</v>
      </c>
      <c r="D1177" s="545" t="s">
        <v>404</v>
      </c>
      <c r="E1177" s="681">
        <v>44896</v>
      </c>
      <c r="F1177" s="545">
        <v>744</v>
      </c>
      <c r="G1177" s="545" t="s">
        <v>58</v>
      </c>
      <c r="H1177" s="545" t="s">
        <v>3</v>
      </c>
      <c r="I1177" s="545" t="s">
        <v>44</v>
      </c>
      <c r="J1177" s="545" t="s">
        <v>84</v>
      </c>
      <c r="K1177" s="545">
        <v>138.5</v>
      </c>
      <c r="L1177" s="725" t="s">
        <v>54</v>
      </c>
      <c r="M1177" s="695">
        <v>2</v>
      </c>
      <c r="N1177" s="725">
        <v>0</v>
      </c>
      <c r="O1177" s="695">
        <v>138.5</v>
      </c>
      <c r="P1177" s="725">
        <v>0</v>
      </c>
      <c r="Q1177" s="742">
        <f t="shared" si="162"/>
        <v>206088</v>
      </c>
      <c r="R1177" s="603">
        <f t="shared" si="163"/>
        <v>0</v>
      </c>
      <c r="S1177" s="743">
        <f t="shared" si="164"/>
        <v>-206088</v>
      </c>
      <c r="T1177" s="742">
        <v>55.7</v>
      </c>
      <c r="U1177" s="603">
        <f t="shared" si="165"/>
        <v>-82881.600000000006</v>
      </c>
      <c r="V1177" s="743">
        <f t="shared" si="166"/>
        <v>-123206.39999999999</v>
      </c>
      <c r="W1177" s="744">
        <v>55.7</v>
      </c>
      <c r="X1177" s="604">
        <f t="shared" si="167"/>
        <v>-82881.600000000006</v>
      </c>
      <c r="Y1177" s="701">
        <f t="shared" si="168"/>
        <v>-123206.39999999999</v>
      </c>
      <c r="Z1177" s="744">
        <v>78.400653594793155</v>
      </c>
      <c r="AA1177" s="604">
        <f t="shared" si="169"/>
        <v>-116660.17254905222</v>
      </c>
      <c r="AB1177" s="745">
        <f t="shared" si="170"/>
        <v>-89427.827450947778</v>
      </c>
      <c r="AC1177" s="714"/>
    </row>
    <row r="1178" spans="1:29" x14ac:dyDescent="0.25">
      <c r="A1178" s="713"/>
      <c r="B1178" s="731" t="s">
        <v>1753</v>
      </c>
      <c r="C1178" s="547" t="s">
        <v>40</v>
      </c>
      <c r="D1178" s="547" t="s">
        <v>1748</v>
      </c>
      <c r="E1178" s="683">
        <v>44896</v>
      </c>
      <c r="F1178" s="547">
        <v>744</v>
      </c>
      <c r="G1178" s="547" t="s">
        <v>58</v>
      </c>
      <c r="H1178" s="547" t="s">
        <v>3</v>
      </c>
      <c r="I1178" s="547" t="s">
        <v>44</v>
      </c>
      <c r="J1178" s="547" t="s">
        <v>84</v>
      </c>
      <c r="K1178" s="547">
        <v>133</v>
      </c>
      <c r="L1178" s="727" t="s">
        <v>54</v>
      </c>
      <c r="M1178" s="697">
        <v>2</v>
      </c>
      <c r="N1178" s="727">
        <v>0</v>
      </c>
      <c r="O1178" s="697">
        <v>133</v>
      </c>
      <c r="P1178" s="727">
        <v>0</v>
      </c>
      <c r="Q1178" s="750">
        <f t="shared" si="162"/>
        <v>197904</v>
      </c>
      <c r="R1178" s="608">
        <f t="shared" si="163"/>
        <v>0</v>
      </c>
      <c r="S1178" s="751">
        <f t="shared" si="164"/>
        <v>-197904</v>
      </c>
      <c r="T1178" s="750">
        <v>55.7</v>
      </c>
      <c r="U1178" s="608">
        <f t="shared" si="165"/>
        <v>-82881.600000000006</v>
      </c>
      <c r="V1178" s="751">
        <f t="shared" si="166"/>
        <v>-115022.39999999999</v>
      </c>
      <c r="W1178" s="752">
        <v>55.7</v>
      </c>
      <c r="X1178" s="609">
        <f t="shared" si="167"/>
        <v>-82881.600000000006</v>
      </c>
      <c r="Y1178" s="703">
        <f t="shared" si="168"/>
        <v>-115022.39999999999</v>
      </c>
      <c r="Z1178" s="752">
        <v>78.400653594793155</v>
      </c>
      <c r="AA1178" s="609">
        <f t="shared" si="169"/>
        <v>-116660.17254905222</v>
      </c>
      <c r="AB1178" s="753">
        <f t="shared" si="170"/>
        <v>-81243.827450947778</v>
      </c>
      <c r="AC1178" s="714"/>
    </row>
    <row r="1179" spans="1:29" x14ac:dyDescent="0.25">
      <c r="A1179" s="713"/>
      <c r="B1179" s="731" t="s">
        <v>1755</v>
      </c>
      <c r="C1179" s="547" t="s">
        <v>40</v>
      </c>
      <c r="D1179" s="547" t="s">
        <v>902</v>
      </c>
      <c r="E1179" s="683">
        <v>44866</v>
      </c>
      <c r="F1179" s="547">
        <v>720</v>
      </c>
      <c r="G1179" s="547" t="s">
        <v>58</v>
      </c>
      <c r="H1179" s="547" t="s">
        <v>3</v>
      </c>
      <c r="I1179" s="547" t="s">
        <v>44</v>
      </c>
      <c r="J1179" s="547" t="s">
        <v>84</v>
      </c>
      <c r="K1179" s="547">
        <v>139</v>
      </c>
      <c r="L1179" s="727" t="s">
        <v>54</v>
      </c>
      <c r="M1179" s="697">
        <v>0.5</v>
      </c>
      <c r="N1179" s="727">
        <v>0</v>
      </c>
      <c r="O1179" s="697">
        <v>139</v>
      </c>
      <c r="P1179" s="727">
        <v>0</v>
      </c>
      <c r="Q1179" s="750">
        <f t="shared" si="162"/>
        <v>50040</v>
      </c>
      <c r="R1179" s="608">
        <f t="shared" si="163"/>
        <v>0</v>
      </c>
      <c r="S1179" s="751">
        <f t="shared" si="164"/>
        <v>-50040</v>
      </c>
      <c r="T1179" s="750">
        <v>55.7</v>
      </c>
      <c r="U1179" s="608">
        <f t="shared" si="165"/>
        <v>-20052</v>
      </c>
      <c r="V1179" s="751">
        <f t="shared" si="166"/>
        <v>-29988</v>
      </c>
      <c r="W1179" s="752">
        <v>55.7</v>
      </c>
      <c r="X1179" s="609">
        <f t="shared" si="167"/>
        <v>-20052</v>
      </c>
      <c r="Y1179" s="703">
        <f t="shared" si="168"/>
        <v>-29988</v>
      </c>
      <c r="Z1179" s="752">
        <v>55.7</v>
      </c>
      <c r="AA1179" s="609">
        <f t="shared" si="169"/>
        <v>-20052</v>
      </c>
      <c r="AB1179" s="753">
        <f t="shared" si="170"/>
        <v>-29988</v>
      </c>
      <c r="AC1179" s="714"/>
    </row>
    <row r="1180" spans="1:29" x14ac:dyDescent="0.25">
      <c r="A1180" s="713"/>
      <c r="B1180" s="731" t="s">
        <v>1756</v>
      </c>
      <c r="C1180" s="547" t="s">
        <v>40</v>
      </c>
      <c r="D1180" s="547" t="s">
        <v>349</v>
      </c>
      <c r="E1180" s="683">
        <v>44896</v>
      </c>
      <c r="F1180" s="547">
        <v>744</v>
      </c>
      <c r="G1180" s="547" t="s">
        <v>58</v>
      </c>
      <c r="H1180" s="547" t="s">
        <v>3</v>
      </c>
      <c r="I1180" s="547" t="s">
        <v>44</v>
      </c>
      <c r="J1180" s="547" t="s">
        <v>84</v>
      </c>
      <c r="K1180" s="547">
        <v>133</v>
      </c>
      <c r="L1180" s="727" t="s">
        <v>54</v>
      </c>
      <c r="M1180" s="697">
        <v>2</v>
      </c>
      <c r="N1180" s="727">
        <v>0</v>
      </c>
      <c r="O1180" s="697">
        <v>133</v>
      </c>
      <c r="P1180" s="727">
        <v>0</v>
      </c>
      <c r="Q1180" s="750">
        <f t="shared" si="162"/>
        <v>197904</v>
      </c>
      <c r="R1180" s="608">
        <f t="shared" si="163"/>
        <v>0</v>
      </c>
      <c r="S1180" s="751">
        <f t="shared" si="164"/>
        <v>-197904</v>
      </c>
      <c r="T1180" s="750">
        <v>55.7</v>
      </c>
      <c r="U1180" s="608">
        <f t="shared" si="165"/>
        <v>-82881.600000000006</v>
      </c>
      <c r="V1180" s="751">
        <f t="shared" si="166"/>
        <v>-115022.39999999999</v>
      </c>
      <c r="W1180" s="752">
        <v>55.7</v>
      </c>
      <c r="X1180" s="609">
        <f t="shared" si="167"/>
        <v>-82881.600000000006</v>
      </c>
      <c r="Y1180" s="703">
        <f t="shared" si="168"/>
        <v>-115022.39999999999</v>
      </c>
      <c r="Z1180" s="752">
        <v>78.400653594793155</v>
      </c>
      <c r="AA1180" s="609">
        <f t="shared" si="169"/>
        <v>-116660.17254905222</v>
      </c>
      <c r="AB1180" s="753">
        <f t="shared" si="170"/>
        <v>-81243.827450947778</v>
      </c>
      <c r="AC1180" s="714"/>
    </row>
    <row r="1181" spans="1:29" x14ac:dyDescent="0.25">
      <c r="A1181" s="713"/>
      <c r="B1181" s="731" t="s">
        <v>1757</v>
      </c>
      <c r="C1181" s="547" t="s">
        <v>40</v>
      </c>
      <c r="D1181" s="547" t="s">
        <v>348</v>
      </c>
      <c r="E1181" s="683">
        <v>44805</v>
      </c>
      <c r="F1181" s="547">
        <v>720</v>
      </c>
      <c r="G1181" s="547" t="s">
        <v>58</v>
      </c>
      <c r="H1181" s="547" t="s">
        <v>3</v>
      </c>
      <c r="I1181" s="547" t="s">
        <v>44</v>
      </c>
      <c r="J1181" s="547" t="s">
        <v>84</v>
      </c>
      <c r="K1181" s="547">
        <v>120</v>
      </c>
      <c r="L1181" s="727" t="s">
        <v>54</v>
      </c>
      <c r="M1181" s="697">
        <v>1</v>
      </c>
      <c r="N1181" s="727">
        <v>0</v>
      </c>
      <c r="O1181" s="697">
        <v>120</v>
      </c>
      <c r="P1181" s="727">
        <v>0</v>
      </c>
      <c r="Q1181" s="750">
        <f t="shared" si="162"/>
        <v>86400</v>
      </c>
      <c r="R1181" s="608">
        <f t="shared" si="163"/>
        <v>0</v>
      </c>
      <c r="S1181" s="751">
        <f t="shared" si="164"/>
        <v>-86400</v>
      </c>
      <c r="T1181" s="750">
        <v>56.08</v>
      </c>
      <c r="U1181" s="608">
        <f t="shared" si="165"/>
        <v>-40377.599999999999</v>
      </c>
      <c r="V1181" s="751">
        <f t="shared" si="166"/>
        <v>-46022.400000000001</v>
      </c>
      <c r="W1181" s="752">
        <v>56.08</v>
      </c>
      <c r="X1181" s="609">
        <f t="shared" si="167"/>
        <v>-40377.599999999999</v>
      </c>
      <c r="Y1181" s="703">
        <f t="shared" si="168"/>
        <v>-46022.400000000001</v>
      </c>
      <c r="Z1181" s="752">
        <v>56.08</v>
      </c>
      <c r="AA1181" s="609">
        <f t="shared" si="169"/>
        <v>-40377.599999999999</v>
      </c>
      <c r="AB1181" s="753">
        <f t="shared" si="170"/>
        <v>-46022.400000000001</v>
      </c>
      <c r="AC1181" s="714"/>
    </row>
    <row r="1182" spans="1:29" x14ac:dyDescent="0.25">
      <c r="A1182" s="713"/>
      <c r="B1182" s="731" t="s">
        <v>1759</v>
      </c>
      <c r="C1182" s="547" t="s">
        <v>40</v>
      </c>
      <c r="D1182" s="547" t="s">
        <v>472</v>
      </c>
      <c r="E1182" s="683">
        <v>44835</v>
      </c>
      <c r="F1182" s="547">
        <v>744</v>
      </c>
      <c r="G1182" s="547" t="s">
        <v>58</v>
      </c>
      <c r="H1182" s="547" t="s">
        <v>3</v>
      </c>
      <c r="I1182" s="547" t="s">
        <v>44</v>
      </c>
      <c r="J1182" s="547" t="s">
        <v>84</v>
      </c>
      <c r="K1182" s="547">
        <v>137</v>
      </c>
      <c r="L1182" s="727" t="s">
        <v>54</v>
      </c>
      <c r="M1182" s="697">
        <v>2</v>
      </c>
      <c r="N1182" s="727">
        <v>0</v>
      </c>
      <c r="O1182" s="697">
        <v>137</v>
      </c>
      <c r="P1182" s="727">
        <v>0</v>
      </c>
      <c r="Q1182" s="750">
        <f t="shared" si="162"/>
        <v>203856</v>
      </c>
      <c r="R1182" s="608">
        <f t="shared" si="163"/>
        <v>0</v>
      </c>
      <c r="S1182" s="751">
        <f t="shared" si="164"/>
        <v>-203856</v>
      </c>
      <c r="T1182" s="750">
        <v>55.7</v>
      </c>
      <c r="U1182" s="608">
        <f t="shared" si="165"/>
        <v>-82881.600000000006</v>
      </c>
      <c r="V1182" s="751">
        <f t="shared" si="166"/>
        <v>-120974.39999999999</v>
      </c>
      <c r="W1182" s="752">
        <v>55.7</v>
      </c>
      <c r="X1182" s="609">
        <f t="shared" si="167"/>
        <v>-82881.600000000006</v>
      </c>
      <c r="Y1182" s="703">
        <f t="shared" si="168"/>
        <v>-120974.39999999999</v>
      </c>
      <c r="Z1182" s="752">
        <v>55.7</v>
      </c>
      <c r="AA1182" s="609">
        <f t="shared" si="169"/>
        <v>-82881.600000000006</v>
      </c>
      <c r="AB1182" s="753">
        <f t="shared" si="170"/>
        <v>-120974.39999999999</v>
      </c>
      <c r="AC1182" s="714"/>
    </row>
    <row r="1183" spans="1:29" x14ac:dyDescent="0.25">
      <c r="A1183" s="713"/>
      <c r="B1183" s="731" t="s">
        <v>1762</v>
      </c>
      <c r="C1183" s="547" t="s">
        <v>40</v>
      </c>
      <c r="D1183" s="547" t="s">
        <v>585</v>
      </c>
      <c r="E1183" s="683">
        <v>44743</v>
      </c>
      <c r="F1183" s="547">
        <v>744</v>
      </c>
      <c r="G1183" s="547" t="s">
        <v>59</v>
      </c>
      <c r="H1183" s="547" t="s">
        <v>3</v>
      </c>
      <c r="I1183" s="547" t="s">
        <v>44</v>
      </c>
      <c r="J1183" s="547" t="s">
        <v>85</v>
      </c>
      <c r="K1183" s="547">
        <v>86</v>
      </c>
      <c r="L1183" s="727" t="s">
        <v>54</v>
      </c>
      <c r="M1183" s="697">
        <v>0</v>
      </c>
      <c r="N1183" s="727">
        <v>8</v>
      </c>
      <c r="O1183" s="697">
        <v>0</v>
      </c>
      <c r="P1183" s="727">
        <v>86</v>
      </c>
      <c r="Q1183" s="750">
        <f t="shared" si="162"/>
        <v>0</v>
      </c>
      <c r="R1183" s="608">
        <f t="shared" si="163"/>
        <v>511872</v>
      </c>
      <c r="S1183" s="751">
        <f t="shared" si="164"/>
        <v>511872</v>
      </c>
      <c r="T1183" s="750">
        <v>66.319999999999993</v>
      </c>
      <c r="U1183" s="608">
        <f t="shared" si="165"/>
        <v>394736.63999999996</v>
      </c>
      <c r="V1183" s="751">
        <f t="shared" si="166"/>
        <v>117135.36000000004</v>
      </c>
      <c r="W1183" s="752">
        <v>66.319999999999993</v>
      </c>
      <c r="X1183" s="609">
        <f t="shared" si="167"/>
        <v>394736.63999999996</v>
      </c>
      <c r="Y1183" s="703">
        <f t="shared" si="168"/>
        <v>117135.36000000004</v>
      </c>
      <c r="Z1183" s="752">
        <v>66.319999999999993</v>
      </c>
      <c r="AA1183" s="609">
        <f t="shared" si="169"/>
        <v>394736.63999999996</v>
      </c>
      <c r="AB1183" s="753">
        <f t="shared" si="170"/>
        <v>117135.36000000004</v>
      </c>
      <c r="AC1183" s="714"/>
    </row>
    <row r="1184" spans="1:29" x14ac:dyDescent="0.25">
      <c r="A1184" s="713"/>
      <c r="B1184" s="731" t="s">
        <v>1763</v>
      </c>
      <c r="C1184" s="547" t="s">
        <v>40</v>
      </c>
      <c r="D1184" s="547" t="s">
        <v>1167</v>
      </c>
      <c r="E1184" s="683">
        <v>44743</v>
      </c>
      <c r="F1184" s="547">
        <v>744</v>
      </c>
      <c r="G1184" s="547" t="s">
        <v>59</v>
      </c>
      <c r="H1184" s="547" t="s">
        <v>3</v>
      </c>
      <c r="I1184" s="547" t="s">
        <v>44</v>
      </c>
      <c r="J1184" s="547" t="s">
        <v>85</v>
      </c>
      <c r="K1184" s="547">
        <v>86</v>
      </c>
      <c r="L1184" s="727" t="s">
        <v>54</v>
      </c>
      <c r="M1184" s="697">
        <v>0</v>
      </c>
      <c r="N1184" s="727">
        <v>1.5</v>
      </c>
      <c r="O1184" s="697">
        <v>0</v>
      </c>
      <c r="P1184" s="727">
        <v>86</v>
      </c>
      <c r="Q1184" s="750">
        <f t="shared" si="162"/>
        <v>0</v>
      </c>
      <c r="R1184" s="608">
        <f t="shared" si="163"/>
        <v>95976</v>
      </c>
      <c r="S1184" s="751">
        <f t="shared" si="164"/>
        <v>95976</v>
      </c>
      <c r="T1184" s="750">
        <v>66.319999999999993</v>
      </c>
      <c r="U1184" s="608">
        <f t="shared" si="165"/>
        <v>74013.119999999995</v>
      </c>
      <c r="V1184" s="751">
        <f t="shared" si="166"/>
        <v>21962.880000000005</v>
      </c>
      <c r="W1184" s="752">
        <v>66.319999999999993</v>
      </c>
      <c r="X1184" s="609">
        <f t="shared" si="167"/>
        <v>74013.119999999995</v>
      </c>
      <c r="Y1184" s="703">
        <f t="shared" si="168"/>
        <v>21962.880000000005</v>
      </c>
      <c r="Z1184" s="752">
        <v>66.319999999999993</v>
      </c>
      <c r="AA1184" s="609">
        <f t="shared" si="169"/>
        <v>74013.119999999995</v>
      </c>
      <c r="AB1184" s="753">
        <f t="shared" si="170"/>
        <v>21962.880000000005</v>
      </c>
      <c r="AC1184" s="714"/>
    </row>
    <row r="1185" spans="1:29" x14ac:dyDescent="0.25">
      <c r="A1185" s="713"/>
      <c r="B1185" s="731" t="s">
        <v>1767</v>
      </c>
      <c r="C1185" s="547" t="s">
        <v>40</v>
      </c>
      <c r="D1185" s="547" t="s">
        <v>405</v>
      </c>
      <c r="E1185" s="683">
        <v>44805</v>
      </c>
      <c r="F1185" s="547">
        <v>720</v>
      </c>
      <c r="G1185" s="547" t="s">
        <v>58</v>
      </c>
      <c r="H1185" s="547" t="s">
        <v>3</v>
      </c>
      <c r="I1185" s="547" t="s">
        <v>44</v>
      </c>
      <c r="J1185" s="547" t="s">
        <v>84</v>
      </c>
      <c r="K1185" s="547">
        <v>116</v>
      </c>
      <c r="L1185" s="727" t="s">
        <v>54</v>
      </c>
      <c r="M1185" s="697">
        <v>5</v>
      </c>
      <c r="N1185" s="727">
        <v>0</v>
      </c>
      <c r="O1185" s="697">
        <v>116</v>
      </c>
      <c r="P1185" s="727">
        <v>0</v>
      </c>
      <c r="Q1185" s="750">
        <f t="shared" si="162"/>
        <v>417600</v>
      </c>
      <c r="R1185" s="608">
        <f t="shared" si="163"/>
        <v>0</v>
      </c>
      <c r="S1185" s="751">
        <f t="shared" si="164"/>
        <v>-417600</v>
      </c>
      <c r="T1185" s="750">
        <v>56.08</v>
      </c>
      <c r="U1185" s="608">
        <f t="shared" si="165"/>
        <v>-201888</v>
      </c>
      <c r="V1185" s="751">
        <f t="shared" si="166"/>
        <v>-215712</v>
      </c>
      <c r="W1185" s="752">
        <v>56.08</v>
      </c>
      <c r="X1185" s="609">
        <f t="shared" si="167"/>
        <v>-201888</v>
      </c>
      <c r="Y1185" s="703">
        <f t="shared" si="168"/>
        <v>-215712</v>
      </c>
      <c r="Z1185" s="752">
        <v>56.08</v>
      </c>
      <c r="AA1185" s="609">
        <f t="shared" si="169"/>
        <v>-201888</v>
      </c>
      <c r="AB1185" s="753">
        <f t="shared" si="170"/>
        <v>-215712</v>
      </c>
      <c r="AC1185" s="714"/>
    </row>
    <row r="1186" spans="1:29" x14ac:dyDescent="0.25">
      <c r="A1186" s="713"/>
      <c r="B1186" s="730" t="s">
        <v>1768</v>
      </c>
      <c r="C1186" s="546" t="s">
        <v>40</v>
      </c>
      <c r="D1186" s="546" t="s">
        <v>346</v>
      </c>
      <c r="E1186" s="682">
        <v>44682</v>
      </c>
      <c r="F1186" s="546">
        <v>744</v>
      </c>
      <c r="G1186" s="546" t="s">
        <v>59</v>
      </c>
      <c r="H1186" s="546" t="s">
        <v>3</v>
      </c>
      <c r="I1186" s="546" t="s">
        <v>44</v>
      </c>
      <c r="J1186" s="546" t="s">
        <v>81</v>
      </c>
      <c r="K1186" s="546">
        <v>0</v>
      </c>
      <c r="L1186" s="726" t="s">
        <v>92</v>
      </c>
      <c r="M1186" s="696">
        <v>0</v>
      </c>
      <c r="N1186" s="726">
        <v>5.84</v>
      </c>
      <c r="O1186" s="696">
        <v>0</v>
      </c>
      <c r="P1186" s="726">
        <v>55.7</v>
      </c>
      <c r="Q1186" s="746">
        <f t="shared" si="162"/>
        <v>0</v>
      </c>
      <c r="R1186" s="606">
        <f t="shared" si="163"/>
        <v>242014.27200000003</v>
      </c>
      <c r="S1186" s="747">
        <f t="shared" si="164"/>
        <v>242014.27200000003</v>
      </c>
      <c r="T1186" s="746">
        <v>55.7</v>
      </c>
      <c r="U1186" s="606">
        <f t="shared" si="165"/>
        <v>242014.27200000003</v>
      </c>
      <c r="V1186" s="747">
        <f t="shared" si="166"/>
        <v>0</v>
      </c>
      <c r="W1186" s="748">
        <v>55.7</v>
      </c>
      <c r="X1186" s="607">
        <f t="shared" si="167"/>
        <v>242014.27200000003</v>
      </c>
      <c r="Y1186" s="702">
        <f t="shared" si="168"/>
        <v>0</v>
      </c>
      <c r="Z1186" s="748">
        <v>55.7</v>
      </c>
      <c r="AA1186" s="607">
        <f t="shared" si="169"/>
        <v>242014.27200000003</v>
      </c>
      <c r="AB1186" s="749">
        <f t="shared" si="170"/>
        <v>0</v>
      </c>
      <c r="AC1186" s="714"/>
    </row>
    <row r="1187" spans="1:29" x14ac:dyDescent="0.25">
      <c r="A1187" s="713"/>
      <c r="B1187" s="714" t="s">
        <v>1768</v>
      </c>
      <c r="C1187" s="676" t="s">
        <v>40</v>
      </c>
      <c r="D1187" s="676" t="s">
        <v>346</v>
      </c>
      <c r="E1187" s="680">
        <v>44713</v>
      </c>
      <c r="F1187" s="676">
        <v>720</v>
      </c>
      <c r="G1187" s="676" t="s">
        <v>59</v>
      </c>
      <c r="H1187" s="676" t="s">
        <v>3</v>
      </c>
      <c r="I1187" s="676" t="s">
        <v>44</v>
      </c>
      <c r="J1187" s="676" t="s">
        <v>81</v>
      </c>
      <c r="K1187" s="676">
        <v>0</v>
      </c>
      <c r="L1187" s="690" t="s">
        <v>92</v>
      </c>
      <c r="M1187" s="691">
        <v>0</v>
      </c>
      <c r="N1187" s="690">
        <v>5.84</v>
      </c>
      <c r="O1187" s="691">
        <v>0</v>
      </c>
      <c r="P1187" s="690">
        <v>55.71</v>
      </c>
      <c r="Q1187" s="738">
        <f t="shared" si="162"/>
        <v>0</v>
      </c>
      <c r="R1187" s="677">
        <f t="shared" si="163"/>
        <v>234249.40800000002</v>
      </c>
      <c r="S1187" s="739">
        <f t="shared" si="164"/>
        <v>234249.40800000002</v>
      </c>
      <c r="T1187" s="738">
        <v>55.71</v>
      </c>
      <c r="U1187" s="677">
        <f t="shared" si="165"/>
        <v>234249.40800000002</v>
      </c>
      <c r="V1187" s="739">
        <f t="shared" si="166"/>
        <v>0</v>
      </c>
      <c r="W1187" s="740">
        <v>55.71</v>
      </c>
      <c r="X1187" s="678">
        <f t="shared" si="167"/>
        <v>234249.40800000002</v>
      </c>
      <c r="Y1187" s="700">
        <f t="shared" si="168"/>
        <v>0</v>
      </c>
      <c r="Z1187" s="740">
        <v>55.71</v>
      </c>
      <c r="AA1187" s="678">
        <f t="shared" si="169"/>
        <v>234249.40800000002</v>
      </c>
      <c r="AB1187" s="741">
        <f t="shared" si="170"/>
        <v>0</v>
      </c>
      <c r="AC1187" s="714"/>
    </row>
    <row r="1188" spans="1:29" x14ac:dyDescent="0.25">
      <c r="A1188" s="713"/>
      <c r="B1188" s="714" t="s">
        <v>1768</v>
      </c>
      <c r="C1188" s="676" t="s">
        <v>40</v>
      </c>
      <c r="D1188" s="676" t="s">
        <v>346</v>
      </c>
      <c r="E1188" s="680">
        <v>44743</v>
      </c>
      <c r="F1188" s="676">
        <v>744</v>
      </c>
      <c r="G1188" s="676" t="s">
        <v>59</v>
      </c>
      <c r="H1188" s="676" t="s">
        <v>3</v>
      </c>
      <c r="I1188" s="676" t="s">
        <v>44</v>
      </c>
      <c r="J1188" s="676" t="s">
        <v>81</v>
      </c>
      <c r="K1188" s="676">
        <v>0</v>
      </c>
      <c r="L1188" s="690" t="s">
        <v>92</v>
      </c>
      <c r="M1188" s="691">
        <v>0</v>
      </c>
      <c r="N1188" s="690">
        <v>5.84</v>
      </c>
      <c r="O1188" s="691">
        <v>0</v>
      </c>
      <c r="P1188" s="690">
        <v>66.319999999999993</v>
      </c>
      <c r="Q1188" s="738">
        <f t="shared" si="162"/>
        <v>0</v>
      </c>
      <c r="R1188" s="677">
        <f t="shared" si="163"/>
        <v>288157.74719999998</v>
      </c>
      <c r="S1188" s="739">
        <f t="shared" si="164"/>
        <v>288157.74719999998</v>
      </c>
      <c r="T1188" s="738">
        <v>66.319999999999993</v>
      </c>
      <c r="U1188" s="677">
        <f t="shared" si="165"/>
        <v>288157.74719999998</v>
      </c>
      <c r="V1188" s="739">
        <f t="shared" si="166"/>
        <v>0</v>
      </c>
      <c r="W1188" s="740">
        <v>66.319999999999993</v>
      </c>
      <c r="X1188" s="678">
        <f t="shared" si="167"/>
        <v>288157.74719999998</v>
      </c>
      <c r="Y1188" s="700">
        <f t="shared" si="168"/>
        <v>0</v>
      </c>
      <c r="Z1188" s="740">
        <v>66.319999999999993</v>
      </c>
      <c r="AA1188" s="678">
        <f t="shared" si="169"/>
        <v>288157.74719999998</v>
      </c>
      <c r="AB1188" s="741">
        <f t="shared" si="170"/>
        <v>0</v>
      </c>
      <c r="AC1188" s="714"/>
    </row>
    <row r="1189" spans="1:29" x14ac:dyDescent="0.25">
      <c r="A1189" s="713"/>
      <c r="B1189" s="714" t="s">
        <v>1768</v>
      </c>
      <c r="C1189" s="676" t="s">
        <v>40</v>
      </c>
      <c r="D1189" s="676" t="s">
        <v>346</v>
      </c>
      <c r="E1189" s="680">
        <v>44774</v>
      </c>
      <c r="F1189" s="676">
        <v>744</v>
      </c>
      <c r="G1189" s="676" t="s">
        <v>59</v>
      </c>
      <c r="H1189" s="676" t="s">
        <v>3</v>
      </c>
      <c r="I1189" s="676" t="s">
        <v>44</v>
      </c>
      <c r="J1189" s="676" t="s">
        <v>81</v>
      </c>
      <c r="K1189" s="676">
        <v>0</v>
      </c>
      <c r="L1189" s="690" t="s">
        <v>92</v>
      </c>
      <c r="M1189" s="691">
        <v>0</v>
      </c>
      <c r="N1189" s="690">
        <v>5.84</v>
      </c>
      <c r="O1189" s="691">
        <v>0</v>
      </c>
      <c r="P1189" s="690">
        <v>76.900000000000006</v>
      </c>
      <c r="Q1189" s="738">
        <f t="shared" si="162"/>
        <v>0</v>
      </c>
      <c r="R1189" s="677">
        <f t="shared" si="163"/>
        <v>334127.424</v>
      </c>
      <c r="S1189" s="739">
        <f t="shared" si="164"/>
        <v>334127.424</v>
      </c>
      <c r="T1189" s="738">
        <v>76.900000000000006</v>
      </c>
      <c r="U1189" s="677">
        <f t="shared" si="165"/>
        <v>334127.424</v>
      </c>
      <c r="V1189" s="739">
        <f t="shared" si="166"/>
        <v>0</v>
      </c>
      <c r="W1189" s="740">
        <v>76.900000000000006</v>
      </c>
      <c r="X1189" s="678">
        <f t="shared" si="167"/>
        <v>334127.424</v>
      </c>
      <c r="Y1189" s="700">
        <f t="shared" si="168"/>
        <v>0</v>
      </c>
      <c r="Z1189" s="740">
        <v>76.900000000000006</v>
      </c>
      <c r="AA1189" s="678">
        <f t="shared" si="169"/>
        <v>334127.424</v>
      </c>
      <c r="AB1189" s="741">
        <f t="shared" si="170"/>
        <v>0</v>
      </c>
      <c r="AC1189" s="714"/>
    </row>
    <row r="1190" spans="1:29" x14ac:dyDescent="0.25">
      <c r="A1190" s="713"/>
      <c r="B1190" s="714" t="s">
        <v>1768</v>
      </c>
      <c r="C1190" s="676" t="s">
        <v>40</v>
      </c>
      <c r="D1190" s="676" t="s">
        <v>346</v>
      </c>
      <c r="E1190" s="680">
        <v>44805</v>
      </c>
      <c r="F1190" s="676">
        <v>720</v>
      </c>
      <c r="G1190" s="676" t="s">
        <v>59</v>
      </c>
      <c r="H1190" s="676" t="s">
        <v>3</v>
      </c>
      <c r="I1190" s="676" t="s">
        <v>44</v>
      </c>
      <c r="J1190" s="676" t="s">
        <v>81</v>
      </c>
      <c r="K1190" s="676">
        <v>0</v>
      </c>
      <c r="L1190" s="690" t="s">
        <v>92</v>
      </c>
      <c r="M1190" s="691">
        <v>0</v>
      </c>
      <c r="N1190" s="690">
        <v>5.84</v>
      </c>
      <c r="O1190" s="691">
        <v>0</v>
      </c>
      <c r="P1190" s="690">
        <v>56.08</v>
      </c>
      <c r="Q1190" s="738">
        <f t="shared" si="162"/>
        <v>0</v>
      </c>
      <c r="R1190" s="677">
        <f t="shared" si="163"/>
        <v>235805.18400000001</v>
      </c>
      <c r="S1190" s="739">
        <f t="shared" si="164"/>
        <v>235805.18400000001</v>
      </c>
      <c r="T1190" s="738">
        <v>56.08</v>
      </c>
      <c r="U1190" s="677">
        <f t="shared" si="165"/>
        <v>235805.18400000001</v>
      </c>
      <c r="V1190" s="739">
        <f t="shared" si="166"/>
        <v>0</v>
      </c>
      <c r="W1190" s="740">
        <v>56.08</v>
      </c>
      <c r="X1190" s="678">
        <f t="shared" si="167"/>
        <v>235805.18400000001</v>
      </c>
      <c r="Y1190" s="700">
        <f t="shared" si="168"/>
        <v>0</v>
      </c>
      <c r="Z1190" s="740">
        <v>56.08</v>
      </c>
      <c r="AA1190" s="678">
        <f t="shared" si="169"/>
        <v>235805.18400000001</v>
      </c>
      <c r="AB1190" s="741">
        <f t="shared" si="170"/>
        <v>0</v>
      </c>
      <c r="AC1190" s="714"/>
    </row>
    <row r="1191" spans="1:29" x14ac:dyDescent="0.25">
      <c r="A1191" s="713"/>
      <c r="B1191" s="714" t="s">
        <v>1768</v>
      </c>
      <c r="C1191" s="676" t="s">
        <v>40</v>
      </c>
      <c r="D1191" s="676" t="s">
        <v>346</v>
      </c>
      <c r="E1191" s="680">
        <v>44835</v>
      </c>
      <c r="F1191" s="676">
        <v>744</v>
      </c>
      <c r="G1191" s="676" t="s">
        <v>59</v>
      </c>
      <c r="H1191" s="676" t="s">
        <v>3</v>
      </c>
      <c r="I1191" s="676" t="s">
        <v>44</v>
      </c>
      <c r="J1191" s="676" t="s">
        <v>81</v>
      </c>
      <c r="K1191" s="676">
        <v>0</v>
      </c>
      <c r="L1191" s="690" t="s">
        <v>92</v>
      </c>
      <c r="M1191" s="691">
        <v>0</v>
      </c>
      <c r="N1191" s="690">
        <v>5.84</v>
      </c>
      <c r="O1191" s="691">
        <v>0</v>
      </c>
      <c r="P1191" s="690">
        <v>55.7</v>
      </c>
      <c r="Q1191" s="738">
        <f t="shared" si="162"/>
        <v>0</v>
      </c>
      <c r="R1191" s="677">
        <f t="shared" si="163"/>
        <v>242014.27200000003</v>
      </c>
      <c r="S1191" s="739">
        <f t="shared" si="164"/>
        <v>242014.27200000003</v>
      </c>
      <c r="T1191" s="738">
        <v>55.7</v>
      </c>
      <c r="U1191" s="677">
        <f t="shared" si="165"/>
        <v>242014.27200000003</v>
      </c>
      <c r="V1191" s="739">
        <f t="shared" si="166"/>
        <v>0</v>
      </c>
      <c r="W1191" s="740">
        <v>55.7</v>
      </c>
      <c r="X1191" s="678">
        <f t="shared" si="167"/>
        <v>242014.27200000003</v>
      </c>
      <c r="Y1191" s="700">
        <f t="shared" si="168"/>
        <v>0</v>
      </c>
      <c r="Z1191" s="740">
        <v>55.7</v>
      </c>
      <c r="AA1191" s="678">
        <f t="shared" si="169"/>
        <v>242014.27200000003</v>
      </c>
      <c r="AB1191" s="741">
        <f t="shared" si="170"/>
        <v>0</v>
      </c>
      <c r="AC1191" s="714"/>
    </row>
    <row r="1192" spans="1:29" x14ac:dyDescent="0.25">
      <c r="A1192" s="713"/>
      <c r="B1192" s="714" t="s">
        <v>1768</v>
      </c>
      <c r="C1192" s="676" t="s">
        <v>40</v>
      </c>
      <c r="D1192" s="676" t="s">
        <v>346</v>
      </c>
      <c r="E1192" s="680">
        <v>44866</v>
      </c>
      <c r="F1192" s="676">
        <v>720</v>
      </c>
      <c r="G1192" s="676" t="s">
        <v>59</v>
      </c>
      <c r="H1192" s="676" t="s">
        <v>3</v>
      </c>
      <c r="I1192" s="676" t="s">
        <v>44</v>
      </c>
      <c r="J1192" s="676" t="s">
        <v>81</v>
      </c>
      <c r="K1192" s="676">
        <v>0</v>
      </c>
      <c r="L1192" s="690" t="s">
        <v>92</v>
      </c>
      <c r="M1192" s="691">
        <v>0</v>
      </c>
      <c r="N1192" s="690">
        <v>5.84</v>
      </c>
      <c r="O1192" s="691">
        <v>0</v>
      </c>
      <c r="P1192" s="690">
        <v>55.7</v>
      </c>
      <c r="Q1192" s="738">
        <f t="shared" si="162"/>
        <v>0</v>
      </c>
      <c r="R1192" s="677">
        <f t="shared" si="163"/>
        <v>234207.36000000002</v>
      </c>
      <c r="S1192" s="739">
        <f t="shared" si="164"/>
        <v>234207.36000000002</v>
      </c>
      <c r="T1192" s="738">
        <v>55.7</v>
      </c>
      <c r="U1192" s="677">
        <f t="shared" si="165"/>
        <v>234207.36000000002</v>
      </c>
      <c r="V1192" s="739">
        <f t="shared" si="166"/>
        <v>0</v>
      </c>
      <c r="W1192" s="740">
        <v>55.7</v>
      </c>
      <c r="X1192" s="678">
        <f t="shared" si="167"/>
        <v>234207.36000000002</v>
      </c>
      <c r="Y1192" s="700">
        <f t="shared" si="168"/>
        <v>0</v>
      </c>
      <c r="Z1192" s="740">
        <v>55.7</v>
      </c>
      <c r="AA1192" s="678">
        <f t="shared" si="169"/>
        <v>234207.36000000002</v>
      </c>
      <c r="AB1192" s="741">
        <f t="shared" si="170"/>
        <v>0</v>
      </c>
      <c r="AC1192" s="714"/>
    </row>
    <row r="1193" spans="1:29" x14ac:dyDescent="0.25">
      <c r="A1193" s="713"/>
      <c r="B1193" s="729" t="s">
        <v>1768</v>
      </c>
      <c r="C1193" s="545" t="s">
        <v>40</v>
      </c>
      <c r="D1193" s="545" t="s">
        <v>346</v>
      </c>
      <c r="E1193" s="681">
        <v>44896</v>
      </c>
      <c r="F1193" s="545">
        <v>744</v>
      </c>
      <c r="G1193" s="545" t="s">
        <v>59</v>
      </c>
      <c r="H1193" s="545" t="s">
        <v>3</v>
      </c>
      <c r="I1193" s="545" t="s">
        <v>44</v>
      </c>
      <c r="J1193" s="545" t="s">
        <v>81</v>
      </c>
      <c r="K1193" s="545">
        <v>0</v>
      </c>
      <c r="L1193" s="725" t="s">
        <v>92</v>
      </c>
      <c r="M1193" s="695">
        <v>0</v>
      </c>
      <c r="N1193" s="725">
        <v>5.84</v>
      </c>
      <c r="O1193" s="695">
        <v>0</v>
      </c>
      <c r="P1193" s="725">
        <v>55.7</v>
      </c>
      <c r="Q1193" s="742">
        <f t="shared" si="162"/>
        <v>0</v>
      </c>
      <c r="R1193" s="603">
        <f t="shared" si="163"/>
        <v>242014.27200000003</v>
      </c>
      <c r="S1193" s="743">
        <f t="shared" si="164"/>
        <v>242014.27200000003</v>
      </c>
      <c r="T1193" s="742">
        <v>55.7</v>
      </c>
      <c r="U1193" s="603">
        <f t="shared" si="165"/>
        <v>242014.27200000003</v>
      </c>
      <c r="V1193" s="743">
        <f t="shared" si="166"/>
        <v>0</v>
      </c>
      <c r="W1193" s="744">
        <v>55.7</v>
      </c>
      <c r="X1193" s="604">
        <f t="shared" si="167"/>
        <v>242014.27200000003</v>
      </c>
      <c r="Y1193" s="701">
        <f t="shared" si="168"/>
        <v>0</v>
      </c>
      <c r="Z1193" s="744">
        <v>55.7</v>
      </c>
      <c r="AA1193" s="604">
        <f t="shared" si="169"/>
        <v>242014.27200000003</v>
      </c>
      <c r="AB1193" s="745">
        <f t="shared" si="170"/>
        <v>0</v>
      </c>
      <c r="AC1193" s="714"/>
    </row>
    <row r="1194" spans="1:29" x14ac:dyDescent="0.25">
      <c r="A1194" s="713"/>
      <c r="B1194" s="730" t="s">
        <v>1769</v>
      </c>
      <c r="C1194" s="546" t="s">
        <v>40</v>
      </c>
      <c r="D1194" s="546" t="s">
        <v>346</v>
      </c>
      <c r="E1194" s="682">
        <v>44682</v>
      </c>
      <c r="F1194" s="546">
        <v>744</v>
      </c>
      <c r="G1194" s="546" t="s">
        <v>58</v>
      </c>
      <c r="H1194" s="546" t="s">
        <v>6</v>
      </c>
      <c r="I1194" s="546" t="s">
        <v>44</v>
      </c>
      <c r="J1194" s="546" t="s">
        <v>81</v>
      </c>
      <c r="K1194" s="546">
        <v>185</v>
      </c>
      <c r="L1194" s="726" t="s">
        <v>92</v>
      </c>
      <c r="M1194" s="696">
        <v>5.84</v>
      </c>
      <c r="N1194" s="726">
        <v>0</v>
      </c>
      <c r="O1194" s="696">
        <v>240.7</v>
      </c>
      <c r="P1194" s="726">
        <v>0</v>
      </c>
      <c r="Q1194" s="746">
        <f t="shared" si="162"/>
        <v>1045831.872</v>
      </c>
      <c r="R1194" s="606">
        <f t="shared" si="163"/>
        <v>0</v>
      </c>
      <c r="S1194" s="747">
        <f t="shared" si="164"/>
        <v>-1045831.872</v>
      </c>
      <c r="T1194" s="746">
        <v>55.7</v>
      </c>
      <c r="U1194" s="606">
        <f t="shared" si="165"/>
        <v>-242014.27200000003</v>
      </c>
      <c r="V1194" s="747">
        <f t="shared" si="166"/>
        <v>-803817.6</v>
      </c>
      <c r="W1194" s="748">
        <v>55.7</v>
      </c>
      <c r="X1194" s="607">
        <f t="shared" si="167"/>
        <v>-242014.27200000003</v>
      </c>
      <c r="Y1194" s="702">
        <f t="shared" si="168"/>
        <v>-803817.6</v>
      </c>
      <c r="Z1194" s="748">
        <v>55.7</v>
      </c>
      <c r="AA1194" s="607">
        <f t="shared" si="169"/>
        <v>-242014.27200000003</v>
      </c>
      <c r="AB1194" s="749">
        <f t="shared" si="170"/>
        <v>-803817.6</v>
      </c>
      <c r="AC1194" s="714"/>
    </row>
    <row r="1195" spans="1:29" x14ac:dyDescent="0.25">
      <c r="A1195" s="713"/>
      <c r="B1195" s="714" t="s">
        <v>1769</v>
      </c>
      <c r="C1195" s="676" t="s">
        <v>40</v>
      </c>
      <c r="D1195" s="676" t="s">
        <v>346</v>
      </c>
      <c r="E1195" s="680">
        <v>44713</v>
      </c>
      <c r="F1195" s="676">
        <v>720</v>
      </c>
      <c r="G1195" s="676" t="s">
        <v>58</v>
      </c>
      <c r="H1195" s="676" t="s">
        <v>6</v>
      </c>
      <c r="I1195" s="676" t="s">
        <v>44</v>
      </c>
      <c r="J1195" s="676" t="s">
        <v>81</v>
      </c>
      <c r="K1195" s="676">
        <v>185</v>
      </c>
      <c r="L1195" s="690" t="s">
        <v>92</v>
      </c>
      <c r="M1195" s="691">
        <v>5.84</v>
      </c>
      <c r="N1195" s="690">
        <v>0</v>
      </c>
      <c r="O1195" s="691">
        <v>240.71</v>
      </c>
      <c r="P1195" s="690">
        <v>0</v>
      </c>
      <c r="Q1195" s="738">
        <f t="shared" si="162"/>
        <v>1012137.4080000001</v>
      </c>
      <c r="R1195" s="677">
        <f t="shared" si="163"/>
        <v>0</v>
      </c>
      <c r="S1195" s="739">
        <f t="shared" si="164"/>
        <v>-1012137.4080000001</v>
      </c>
      <c r="T1195" s="738">
        <v>55.71</v>
      </c>
      <c r="U1195" s="677">
        <f t="shared" si="165"/>
        <v>-234249.40800000002</v>
      </c>
      <c r="V1195" s="739">
        <f t="shared" si="166"/>
        <v>-777888</v>
      </c>
      <c r="W1195" s="740">
        <v>55.71</v>
      </c>
      <c r="X1195" s="678">
        <f t="shared" si="167"/>
        <v>-234249.40800000002</v>
      </c>
      <c r="Y1195" s="700">
        <f t="shared" si="168"/>
        <v>-777888</v>
      </c>
      <c r="Z1195" s="740">
        <v>55.71</v>
      </c>
      <c r="AA1195" s="678">
        <f t="shared" si="169"/>
        <v>-234249.40800000002</v>
      </c>
      <c r="AB1195" s="741">
        <f t="shared" si="170"/>
        <v>-777888</v>
      </c>
      <c r="AC1195" s="714"/>
    </row>
    <row r="1196" spans="1:29" x14ac:dyDescent="0.25">
      <c r="A1196" s="713"/>
      <c r="B1196" s="714" t="s">
        <v>1769</v>
      </c>
      <c r="C1196" s="676" t="s">
        <v>40</v>
      </c>
      <c r="D1196" s="676" t="s">
        <v>346</v>
      </c>
      <c r="E1196" s="680">
        <v>44743</v>
      </c>
      <c r="F1196" s="676">
        <v>744</v>
      </c>
      <c r="G1196" s="676" t="s">
        <v>58</v>
      </c>
      <c r="H1196" s="676" t="s">
        <v>6</v>
      </c>
      <c r="I1196" s="676" t="s">
        <v>44</v>
      </c>
      <c r="J1196" s="676" t="s">
        <v>81</v>
      </c>
      <c r="K1196" s="676">
        <v>185</v>
      </c>
      <c r="L1196" s="690" t="s">
        <v>92</v>
      </c>
      <c r="M1196" s="691">
        <v>5.84</v>
      </c>
      <c r="N1196" s="690">
        <v>0</v>
      </c>
      <c r="O1196" s="691">
        <v>251.32</v>
      </c>
      <c r="P1196" s="690">
        <v>0</v>
      </c>
      <c r="Q1196" s="738">
        <f t="shared" si="162"/>
        <v>1091975.3472</v>
      </c>
      <c r="R1196" s="677">
        <f t="shared" si="163"/>
        <v>0</v>
      </c>
      <c r="S1196" s="739">
        <f t="shared" si="164"/>
        <v>-1091975.3472</v>
      </c>
      <c r="T1196" s="738">
        <v>66.319999999999993</v>
      </c>
      <c r="U1196" s="677">
        <f t="shared" si="165"/>
        <v>-288157.74719999998</v>
      </c>
      <c r="V1196" s="739">
        <f t="shared" si="166"/>
        <v>-803817.6</v>
      </c>
      <c r="W1196" s="740">
        <v>66.319999999999993</v>
      </c>
      <c r="X1196" s="678">
        <f t="shared" si="167"/>
        <v>-288157.74719999998</v>
      </c>
      <c r="Y1196" s="700">
        <f t="shared" si="168"/>
        <v>-803817.6</v>
      </c>
      <c r="Z1196" s="740">
        <v>66.319999999999993</v>
      </c>
      <c r="AA1196" s="678">
        <f t="shared" si="169"/>
        <v>-288157.74719999998</v>
      </c>
      <c r="AB1196" s="741">
        <f t="shared" si="170"/>
        <v>-803817.6</v>
      </c>
      <c r="AC1196" s="714"/>
    </row>
    <row r="1197" spans="1:29" x14ac:dyDescent="0.25">
      <c r="A1197" s="713"/>
      <c r="B1197" s="714" t="s">
        <v>1769</v>
      </c>
      <c r="C1197" s="676" t="s">
        <v>40</v>
      </c>
      <c r="D1197" s="676" t="s">
        <v>346</v>
      </c>
      <c r="E1197" s="680">
        <v>44774</v>
      </c>
      <c r="F1197" s="676">
        <v>744</v>
      </c>
      <c r="G1197" s="676" t="s">
        <v>58</v>
      </c>
      <c r="H1197" s="676" t="s">
        <v>6</v>
      </c>
      <c r="I1197" s="676" t="s">
        <v>44</v>
      </c>
      <c r="J1197" s="676" t="s">
        <v>81</v>
      </c>
      <c r="K1197" s="676">
        <v>185</v>
      </c>
      <c r="L1197" s="690" t="s">
        <v>92</v>
      </c>
      <c r="M1197" s="691">
        <v>5.84</v>
      </c>
      <c r="N1197" s="690">
        <v>0</v>
      </c>
      <c r="O1197" s="691">
        <v>261.89999999999998</v>
      </c>
      <c r="P1197" s="690">
        <v>0</v>
      </c>
      <c r="Q1197" s="738">
        <f t="shared" si="162"/>
        <v>1137945.024</v>
      </c>
      <c r="R1197" s="677">
        <f t="shared" si="163"/>
        <v>0</v>
      </c>
      <c r="S1197" s="739">
        <f t="shared" si="164"/>
        <v>-1137945.024</v>
      </c>
      <c r="T1197" s="738">
        <v>76.900000000000006</v>
      </c>
      <c r="U1197" s="677">
        <f t="shared" si="165"/>
        <v>-334127.424</v>
      </c>
      <c r="V1197" s="739">
        <f t="shared" si="166"/>
        <v>-803817.6</v>
      </c>
      <c r="W1197" s="740">
        <v>76.900000000000006</v>
      </c>
      <c r="X1197" s="678">
        <f t="shared" si="167"/>
        <v>-334127.424</v>
      </c>
      <c r="Y1197" s="700">
        <f t="shared" si="168"/>
        <v>-803817.6</v>
      </c>
      <c r="Z1197" s="740">
        <v>76.900000000000006</v>
      </c>
      <c r="AA1197" s="678">
        <f t="shared" si="169"/>
        <v>-334127.424</v>
      </c>
      <c r="AB1197" s="741">
        <f t="shared" si="170"/>
        <v>-803817.6</v>
      </c>
      <c r="AC1197" s="714"/>
    </row>
    <row r="1198" spans="1:29" x14ac:dyDescent="0.25">
      <c r="A1198" s="713"/>
      <c r="B1198" s="714" t="s">
        <v>1769</v>
      </c>
      <c r="C1198" s="676" t="s">
        <v>40</v>
      </c>
      <c r="D1198" s="676" t="s">
        <v>346</v>
      </c>
      <c r="E1198" s="680">
        <v>44805</v>
      </c>
      <c r="F1198" s="676">
        <v>720</v>
      </c>
      <c r="G1198" s="676" t="s">
        <v>58</v>
      </c>
      <c r="H1198" s="676" t="s">
        <v>6</v>
      </c>
      <c r="I1198" s="676" t="s">
        <v>44</v>
      </c>
      <c r="J1198" s="676" t="s">
        <v>81</v>
      </c>
      <c r="K1198" s="676">
        <v>185</v>
      </c>
      <c r="L1198" s="690" t="s">
        <v>92</v>
      </c>
      <c r="M1198" s="691">
        <v>5.84</v>
      </c>
      <c r="N1198" s="690">
        <v>0</v>
      </c>
      <c r="O1198" s="691">
        <v>241.07999999999998</v>
      </c>
      <c r="P1198" s="690">
        <v>0</v>
      </c>
      <c r="Q1198" s="738">
        <f t="shared" si="162"/>
        <v>1013693.184</v>
      </c>
      <c r="R1198" s="677">
        <f t="shared" si="163"/>
        <v>0</v>
      </c>
      <c r="S1198" s="739">
        <f t="shared" si="164"/>
        <v>-1013693.184</v>
      </c>
      <c r="T1198" s="738">
        <v>56.08</v>
      </c>
      <c r="U1198" s="677">
        <f t="shared" si="165"/>
        <v>-235805.18400000001</v>
      </c>
      <c r="V1198" s="739">
        <f t="shared" si="166"/>
        <v>-777888</v>
      </c>
      <c r="W1198" s="740">
        <v>56.08</v>
      </c>
      <c r="X1198" s="678">
        <f t="shared" si="167"/>
        <v>-235805.18400000001</v>
      </c>
      <c r="Y1198" s="700">
        <f t="shared" si="168"/>
        <v>-777888</v>
      </c>
      <c r="Z1198" s="740">
        <v>56.08</v>
      </c>
      <c r="AA1198" s="678">
        <f t="shared" si="169"/>
        <v>-235805.18400000001</v>
      </c>
      <c r="AB1198" s="741">
        <f t="shared" si="170"/>
        <v>-777888</v>
      </c>
      <c r="AC1198" s="714"/>
    </row>
    <row r="1199" spans="1:29" x14ac:dyDescent="0.25">
      <c r="A1199" s="713"/>
      <c r="B1199" s="714" t="s">
        <v>1769</v>
      </c>
      <c r="C1199" s="676" t="s">
        <v>40</v>
      </c>
      <c r="D1199" s="676" t="s">
        <v>346</v>
      </c>
      <c r="E1199" s="680">
        <v>44835</v>
      </c>
      <c r="F1199" s="676">
        <v>744</v>
      </c>
      <c r="G1199" s="676" t="s">
        <v>58</v>
      </c>
      <c r="H1199" s="676" t="s">
        <v>6</v>
      </c>
      <c r="I1199" s="676" t="s">
        <v>44</v>
      </c>
      <c r="J1199" s="676" t="s">
        <v>81</v>
      </c>
      <c r="K1199" s="676">
        <v>185</v>
      </c>
      <c r="L1199" s="690" t="s">
        <v>92</v>
      </c>
      <c r="M1199" s="691">
        <v>5.84</v>
      </c>
      <c r="N1199" s="690">
        <v>0</v>
      </c>
      <c r="O1199" s="691">
        <v>240.7</v>
      </c>
      <c r="P1199" s="690">
        <v>0</v>
      </c>
      <c r="Q1199" s="738">
        <f t="shared" si="162"/>
        <v>1045831.872</v>
      </c>
      <c r="R1199" s="677">
        <f t="shared" si="163"/>
        <v>0</v>
      </c>
      <c r="S1199" s="739">
        <f t="shared" si="164"/>
        <v>-1045831.872</v>
      </c>
      <c r="T1199" s="738">
        <v>55.7</v>
      </c>
      <c r="U1199" s="677">
        <f t="shared" si="165"/>
        <v>-242014.27200000003</v>
      </c>
      <c r="V1199" s="739">
        <f t="shared" si="166"/>
        <v>-803817.6</v>
      </c>
      <c r="W1199" s="740">
        <v>55.7</v>
      </c>
      <c r="X1199" s="678">
        <f t="shared" si="167"/>
        <v>-242014.27200000003</v>
      </c>
      <c r="Y1199" s="700">
        <f t="shared" si="168"/>
        <v>-803817.6</v>
      </c>
      <c r="Z1199" s="740">
        <v>55.7</v>
      </c>
      <c r="AA1199" s="678">
        <f t="shared" si="169"/>
        <v>-242014.27200000003</v>
      </c>
      <c r="AB1199" s="741">
        <f t="shared" si="170"/>
        <v>-803817.6</v>
      </c>
      <c r="AC1199" s="714"/>
    </row>
    <row r="1200" spans="1:29" x14ac:dyDescent="0.25">
      <c r="A1200" s="713"/>
      <c r="B1200" s="714" t="s">
        <v>1769</v>
      </c>
      <c r="C1200" s="676" t="s">
        <v>40</v>
      </c>
      <c r="D1200" s="676" t="s">
        <v>346</v>
      </c>
      <c r="E1200" s="680">
        <v>44866</v>
      </c>
      <c r="F1200" s="676">
        <v>720</v>
      </c>
      <c r="G1200" s="676" t="s">
        <v>58</v>
      </c>
      <c r="H1200" s="676" t="s">
        <v>6</v>
      </c>
      <c r="I1200" s="676" t="s">
        <v>44</v>
      </c>
      <c r="J1200" s="676" t="s">
        <v>81</v>
      </c>
      <c r="K1200" s="676">
        <v>185</v>
      </c>
      <c r="L1200" s="690" t="s">
        <v>92</v>
      </c>
      <c r="M1200" s="691">
        <v>5.84</v>
      </c>
      <c r="N1200" s="690">
        <v>0</v>
      </c>
      <c r="O1200" s="691">
        <v>240.7</v>
      </c>
      <c r="P1200" s="690">
        <v>0</v>
      </c>
      <c r="Q1200" s="738">
        <f t="shared" si="162"/>
        <v>1012095.36</v>
      </c>
      <c r="R1200" s="677">
        <f t="shared" si="163"/>
        <v>0</v>
      </c>
      <c r="S1200" s="739">
        <f t="shared" si="164"/>
        <v>-1012095.36</v>
      </c>
      <c r="T1200" s="738">
        <v>55.7</v>
      </c>
      <c r="U1200" s="677">
        <f t="shared" si="165"/>
        <v>-234207.36000000002</v>
      </c>
      <c r="V1200" s="739">
        <f t="shared" si="166"/>
        <v>-777888</v>
      </c>
      <c r="W1200" s="740">
        <v>55.7</v>
      </c>
      <c r="X1200" s="678">
        <f t="shared" si="167"/>
        <v>-234207.36000000002</v>
      </c>
      <c r="Y1200" s="700">
        <f t="shared" si="168"/>
        <v>-777888</v>
      </c>
      <c r="Z1200" s="740">
        <v>55.7</v>
      </c>
      <c r="AA1200" s="678">
        <f t="shared" si="169"/>
        <v>-234207.36000000002</v>
      </c>
      <c r="AB1200" s="741">
        <f t="shared" si="170"/>
        <v>-777888</v>
      </c>
      <c r="AC1200" s="714"/>
    </row>
    <row r="1201" spans="1:29" x14ac:dyDescent="0.25">
      <c r="A1201" s="713"/>
      <c r="B1201" s="729" t="s">
        <v>1769</v>
      </c>
      <c r="C1201" s="545" t="s">
        <v>40</v>
      </c>
      <c r="D1201" s="545" t="s">
        <v>346</v>
      </c>
      <c r="E1201" s="681">
        <v>44896</v>
      </c>
      <c r="F1201" s="545">
        <v>744</v>
      </c>
      <c r="G1201" s="545" t="s">
        <v>58</v>
      </c>
      <c r="H1201" s="545" t="s">
        <v>6</v>
      </c>
      <c r="I1201" s="545" t="s">
        <v>44</v>
      </c>
      <c r="J1201" s="545" t="s">
        <v>81</v>
      </c>
      <c r="K1201" s="545">
        <v>185</v>
      </c>
      <c r="L1201" s="725" t="s">
        <v>92</v>
      </c>
      <c r="M1201" s="695">
        <v>5.84</v>
      </c>
      <c r="N1201" s="725">
        <v>0</v>
      </c>
      <c r="O1201" s="695">
        <v>240.7</v>
      </c>
      <c r="P1201" s="725">
        <v>0</v>
      </c>
      <c r="Q1201" s="742">
        <f t="shared" si="162"/>
        <v>1045831.872</v>
      </c>
      <c r="R1201" s="603">
        <f t="shared" si="163"/>
        <v>0</v>
      </c>
      <c r="S1201" s="743">
        <f t="shared" si="164"/>
        <v>-1045831.872</v>
      </c>
      <c r="T1201" s="742">
        <v>215.7</v>
      </c>
      <c r="U1201" s="603">
        <f t="shared" si="165"/>
        <v>-937207.87199999997</v>
      </c>
      <c r="V1201" s="743">
        <f t="shared" si="166"/>
        <v>-108624</v>
      </c>
      <c r="W1201" s="744">
        <v>215.7</v>
      </c>
      <c r="X1201" s="604">
        <f t="shared" si="167"/>
        <v>-937207.87199999997</v>
      </c>
      <c r="Y1201" s="701">
        <f t="shared" si="168"/>
        <v>-108624</v>
      </c>
      <c r="Z1201" s="744">
        <v>215.7</v>
      </c>
      <c r="AA1201" s="604">
        <f t="shared" si="169"/>
        <v>-937207.87199999997</v>
      </c>
      <c r="AB1201" s="745">
        <f t="shared" si="170"/>
        <v>-108624</v>
      </c>
      <c r="AC1201" s="714"/>
    </row>
    <row r="1202" spans="1:29" x14ac:dyDescent="0.25">
      <c r="A1202" s="713"/>
      <c r="B1202" s="731" t="s">
        <v>1781</v>
      </c>
      <c r="C1202" s="547" t="s">
        <v>40</v>
      </c>
      <c r="D1202" s="547" t="s">
        <v>967</v>
      </c>
      <c r="E1202" s="683">
        <v>44682</v>
      </c>
      <c r="F1202" s="547">
        <v>744</v>
      </c>
      <c r="G1202" s="547" t="s">
        <v>59</v>
      </c>
      <c r="H1202" s="547" t="s">
        <v>6</v>
      </c>
      <c r="I1202" s="547" t="s">
        <v>44</v>
      </c>
      <c r="J1202" s="547" t="s">
        <v>85</v>
      </c>
      <c r="K1202" s="547">
        <v>190</v>
      </c>
      <c r="L1202" s="727" t="s">
        <v>92</v>
      </c>
      <c r="M1202" s="697">
        <v>0</v>
      </c>
      <c r="N1202" s="727">
        <v>3</v>
      </c>
      <c r="O1202" s="697">
        <v>0</v>
      </c>
      <c r="P1202" s="727">
        <v>245.7</v>
      </c>
      <c r="Q1202" s="750">
        <f t="shared" si="162"/>
        <v>0</v>
      </c>
      <c r="R1202" s="608">
        <f t="shared" si="163"/>
        <v>548402.4</v>
      </c>
      <c r="S1202" s="751">
        <f t="shared" si="164"/>
        <v>548402.4</v>
      </c>
      <c r="T1202" s="750">
        <v>55.7</v>
      </c>
      <c r="U1202" s="608">
        <f t="shared" si="165"/>
        <v>124322.40000000001</v>
      </c>
      <c r="V1202" s="751">
        <f t="shared" si="166"/>
        <v>424080</v>
      </c>
      <c r="W1202" s="752">
        <v>55.7</v>
      </c>
      <c r="X1202" s="609">
        <f t="shared" si="167"/>
        <v>124322.40000000001</v>
      </c>
      <c r="Y1202" s="703">
        <f t="shared" si="168"/>
        <v>424080</v>
      </c>
      <c r="Z1202" s="752">
        <v>55.7</v>
      </c>
      <c r="AA1202" s="609">
        <f t="shared" si="169"/>
        <v>124322.40000000001</v>
      </c>
      <c r="AB1202" s="753">
        <f t="shared" si="170"/>
        <v>424080</v>
      </c>
      <c r="AC1202" s="714"/>
    </row>
    <row r="1203" spans="1:29" x14ac:dyDescent="0.25">
      <c r="A1203" s="713"/>
      <c r="B1203" s="731" t="s">
        <v>1782</v>
      </c>
      <c r="C1203" s="547" t="s">
        <v>40</v>
      </c>
      <c r="D1203" s="547" t="s">
        <v>1779</v>
      </c>
      <c r="E1203" s="683">
        <v>44805</v>
      </c>
      <c r="F1203" s="547">
        <v>720</v>
      </c>
      <c r="G1203" s="547" t="s">
        <v>58</v>
      </c>
      <c r="H1203" s="547" t="s">
        <v>3</v>
      </c>
      <c r="I1203" s="547" t="s">
        <v>44</v>
      </c>
      <c r="J1203" s="547" t="s">
        <v>84</v>
      </c>
      <c r="K1203" s="547">
        <v>115</v>
      </c>
      <c r="L1203" s="727" t="s">
        <v>54</v>
      </c>
      <c r="M1203" s="697">
        <v>1</v>
      </c>
      <c r="N1203" s="727">
        <v>0</v>
      </c>
      <c r="O1203" s="697">
        <v>115</v>
      </c>
      <c r="P1203" s="727">
        <v>0</v>
      </c>
      <c r="Q1203" s="750">
        <f t="shared" si="162"/>
        <v>82800</v>
      </c>
      <c r="R1203" s="608">
        <f t="shared" si="163"/>
        <v>0</v>
      </c>
      <c r="S1203" s="751">
        <f t="shared" si="164"/>
        <v>-82800</v>
      </c>
      <c r="T1203" s="750">
        <v>56.08</v>
      </c>
      <c r="U1203" s="608">
        <f t="shared" si="165"/>
        <v>-40377.599999999999</v>
      </c>
      <c r="V1203" s="751">
        <f t="shared" si="166"/>
        <v>-42422.400000000001</v>
      </c>
      <c r="W1203" s="752">
        <v>56.08</v>
      </c>
      <c r="X1203" s="609">
        <f t="shared" si="167"/>
        <v>-40377.599999999999</v>
      </c>
      <c r="Y1203" s="703">
        <f t="shared" si="168"/>
        <v>-42422.400000000001</v>
      </c>
      <c r="Z1203" s="752">
        <v>56.08</v>
      </c>
      <c r="AA1203" s="609">
        <f t="shared" si="169"/>
        <v>-40377.599999999999</v>
      </c>
      <c r="AB1203" s="753">
        <f t="shared" si="170"/>
        <v>-42422.400000000001</v>
      </c>
      <c r="AC1203" s="714"/>
    </row>
    <row r="1204" spans="1:29" x14ac:dyDescent="0.25">
      <c r="A1204" s="713"/>
      <c r="B1204" s="731" t="s">
        <v>1783</v>
      </c>
      <c r="C1204" s="547" t="s">
        <v>40</v>
      </c>
      <c r="D1204" s="547" t="s">
        <v>531</v>
      </c>
      <c r="E1204" s="683">
        <v>44805</v>
      </c>
      <c r="F1204" s="547">
        <v>720</v>
      </c>
      <c r="G1204" s="547" t="s">
        <v>58</v>
      </c>
      <c r="H1204" s="547" t="s">
        <v>3</v>
      </c>
      <c r="I1204" s="547" t="s">
        <v>44</v>
      </c>
      <c r="J1204" s="547" t="s">
        <v>84</v>
      </c>
      <c r="K1204" s="547">
        <v>116</v>
      </c>
      <c r="L1204" s="727" t="s">
        <v>54</v>
      </c>
      <c r="M1204" s="697">
        <v>1.4</v>
      </c>
      <c r="N1204" s="727">
        <v>0</v>
      </c>
      <c r="O1204" s="697">
        <v>116</v>
      </c>
      <c r="P1204" s="727">
        <v>0</v>
      </c>
      <c r="Q1204" s="750">
        <f t="shared" si="162"/>
        <v>116927.99999999999</v>
      </c>
      <c r="R1204" s="608">
        <f t="shared" si="163"/>
        <v>0</v>
      </c>
      <c r="S1204" s="751">
        <f t="shared" si="164"/>
        <v>-116927.99999999999</v>
      </c>
      <c r="T1204" s="750">
        <v>56.08</v>
      </c>
      <c r="U1204" s="608">
        <f t="shared" si="165"/>
        <v>-56528.639999999992</v>
      </c>
      <c r="V1204" s="751">
        <f t="shared" si="166"/>
        <v>-60399.359999999993</v>
      </c>
      <c r="W1204" s="752">
        <v>56.08</v>
      </c>
      <c r="X1204" s="609">
        <f t="shared" si="167"/>
        <v>-56528.639999999992</v>
      </c>
      <c r="Y1204" s="703">
        <f t="shared" si="168"/>
        <v>-60399.359999999993</v>
      </c>
      <c r="Z1204" s="752">
        <v>56.08</v>
      </c>
      <c r="AA1204" s="609">
        <f t="shared" si="169"/>
        <v>-56528.639999999992</v>
      </c>
      <c r="AB1204" s="753">
        <f t="shared" si="170"/>
        <v>-60399.359999999993</v>
      </c>
      <c r="AC1204" s="714"/>
    </row>
    <row r="1205" spans="1:29" x14ac:dyDescent="0.25">
      <c r="A1205" s="713"/>
      <c r="B1205" s="731" t="s">
        <v>1784</v>
      </c>
      <c r="C1205" s="547" t="s">
        <v>40</v>
      </c>
      <c r="D1205" s="547" t="s">
        <v>531</v>
      </c>
      <c r="E1205" s="683">
        <v>44805</v>
      </c>
      <c r="F1205" s="547">
        <v>720</v>
      </c>
      <c r="G1205" s="547" t="s">
        <v>58</v>
      </c>
      <c r="H1205" s="547" t="s">
        <v>3</v>
      </c>
      <c r="I1205" s="547" t="s">
        <v>44</v>
      </c>
      <c r="J1205" s="547" t="s">
        <v>84</v>
      </c>
      <c r="K1205" s="547">
        <v>116</v>
      </c>
      <c r="L1205" s="727" t="s">
        <v>54</v>
      </c>
      <c r="M1205" s="697">
        <v>2</v>
      </c>
      <c r="N1205" s="727">
        <v>0</v>
      </c>
      <c r="O1205" s="697">
        <v>116</v>
      </c>
      <c r="P1205" s="727">
        <v>0</v>
      </c>
      <c r="Q1205" s="750">
        <f t="shared" si="162"/>
        <v>167040</v>
      </c>
      <c r="R1205" s="608">
        <f t="shared" si="163"/>
        <v>0</v>
      </c>
      <c r="S1205" s="751">
        <f t="shared" si="164"/>
        <v>-167040</v>
      </c>
      <c r="T1205" s="750">
        <v>56.08</v>
      </c>
      <c r="U1205" s="608">
        <f t="shared" si="165"/>
        <v>-80755.199999999997</v>
      </c>
      <c r="V1205" s="751">
        <f t="shared" si="166"/>
        <v>-86284.800000000003</v>
      </c>
      <c r="W1205" s="752">
        <v>56.08</v>
      </c>
      <c r="X1205" s="609">
        <f t="shared" si="167"/>
        <v>-80755.199999999997</v>
      </c>
      <c r="Y1205" s="703">
        <f t="shared" si="168"/>
        <v>-86284.800000000003</v>
      </c>
      <c r="Z1205" s="752">
        <v>56.08</v>
      </c>
      <c r="AA1205" s="609">
        <f t="shared" si="169"/>
        <v>-80755.199999999997</v>
      </c>
      <c r="AB1205" s="753">
        <f t="shared" si="170"/>
        <v>-86284.800000000003</v>
      </c>
      <c r="AC1205" s="714"/>
    </row>
    <row r="1206" spans="1:29" x14ac:dyDescent="0.25">
      <c r="A1206" s="713"/>
      <c r="B1206" s="731" t="s">
        <v>1785</v>
      </c>
      <c r="C1206" s="547" t="s">
        <v>40</v>
      </c>
      <c r="D1206" s="547" t="s">
        <v>501</v>
      </c>
      <c r="E1206" s="683">
        <v>44743</v>
      </c>
      <c r="F1206" s="547">
        <v>744</v>
      </c>
      <c r="G1206" s="547" t="s">
        <v>58</v>
      </c>
      <c r="H1206" s="547" t="s">
        <v>3</v>
      </c>
      <c r="I1206" s="547" t="s">
        <v>44</v>
      </c>
      <c r="J1206" s="547" t="s">
        <v>84</v>
      </c>
      <c r="K1206" s="547">
        <v>82</v>
      </c>
      <c r="L1206" s="727" t="s">
        <v>54</v>
      </c>
      <c r="M1206" s="697">
        <v>3</v>
      </c>
      <c r="N1206" s="727">
        <v>0</v>
      </c>
      <c r="O1206" s="697">
        <v>82</v>
      </c>
      <c r="P1206" s="727">
        <v>0</v>
      </c>
      <c r="Q1206" s="750">
        <f t="shared" si="162"/>
        <v>183024</v>
      </c>
      <c r="R1206" s="608">
        <f t="shared" si="163"/>
        <v>0</v>
      </c>
      <c r="S1206" s="751">
        <f t="shared" si="164"/>
        <v>-183024</v>
      </c>
      <c r="T1206" s="750">
        <v>66.319999999999993</v>
      </c>
      <c r="U1206" s="608">
        <f t="shared" si="165"/>
        <v>-148026.23999999999</v>
      </c>
      <c r="V1206" s="751">
        <f t="shared" si="166"/>
        <v>-34997.760000000009</v>
      </c>
      <c r="W1206" s="752">
        <v>66.319999999999993</v>
      </c>
      <c r="X1206" s="609">
        <f t="shared" si="167"/>
        <v>-148026.23999999999</v>
      </c>
      <c r="Y1206" s="703">
        <f t="shared" si="168"/>
        <v>-34997.760000000009</v>
      </c>
      <c r="Z1206" s="752">
        <v>66.319999999999993</v>
      </c>
      <c r="AA1206" s="609">
        <f t="shared" si="169"/>
        <v>-148026.23999999999</v>
      </c>
      <c r="AB1206" s="753">
        <f t="shared" si="170"/>
        <v>-34997.760000000009</v>
      </c>
      <c r="AC1206" s="714"/>
    </row>
    <row r="1207" spans="1:29" x14ac:dyDescent="0.25">
      <c r="A1207" s="713"/>
      <c r="B1207" s="731" t="s">
        <v>1786</v>
      </c>
      <c r="C1207" s="547" t="s">
        <v>40</v>
      </c>
      <c r="D1207" s="547" t="s">
        <v>501</v>
      </c>
      <c r="E1207" s="683">
        <v>44743</v>
      </c>
      <c r="F1207" s="547">
        <v>744</v>
      </c>
      <c r="G1207" s="547" t="s">
        <v>58</v>
      </c>
      <c r="H1207" s="547" t="s">
        <v>3</v>
      </c>
      <c r="I1207" s="547" t="s">
        <v>44</v>
      </c>
      <c r="J1207" s="547" t="s">
        <v>84</v>
      </c>
      <c r="K1207" s="547">
        <v>82</v>
      </c>
      <c r="L1207" s="727" t="s">
        <v>54</v>
      </c>
      <c r="M1207" s="697">
        <v>1</v>
      </c>
      <c r="N1207" s="727">
        <v>0</v>
      </c>
      <c r="O1207" s="697">
        <v>82</v>
      </c>
      <c r="P1207" s="727">
        <v>0</v>
      </c>
      <c r="Q1207" s="750">
        <f t="shared" si="162"/>
        <v>61008</v>
      </c>
      <c r="R1207" s="608">
        <f t="shared" si="163"/>
        <v>0</v>
      </c>
      <c r="S1207" s="751">
        <f t="shared" si="164"/>
        <v>-61008</v>
      </c>
      <c r="T1207" s="750">
        <v>66.319999999999993</v>
      </c>
      <c r="U1207" s="608">
        <f t="shared" si="165"/>
        <v>-49342.079999999994</v>
      </c>
      <c r="V1207" s="751">
        <f t="shared" si="166"/>
        <v>-11665.920000000006</v>
      </c>
      <c r="W1207" s="752">
        <v>66.319999999999993</v>
      </c>
      <c r="X1207" s="609">
        <f t="shared" si="167"/>
        <v>-49342.079999999994</v>
      </c>
      <c r="Y1207" s="703">
        <f t="shared" si="168"/>
        <v>-11665.920000000006</v>
      </c>
      <c r="Z1207" s="752">
        <v>66.319999999999993</v>
      </c>
      <c r="AA1207" s="609">
        <f t="shared" si="169"/>
        <v>-49342.079999999994</v>
      </c>
      <c r="AB1207" s="753">
        <f t="shared" si="170"/>
        <v>-11665.920000000006</v>
      </c>
      <c r="AC1207" s="714"/>
    </row>
    <row r="1208" spans="1:29" x14ac:dyDescent="0.25">
      <c r="A1208" s="713"/>
      <c r="B1208" s="730" t="s">
        <v>1788</v>
      </c>
      <c r="C1208" s="546" t="s">
        <v>40</v>
      </c>
      <c r="D1208" s="546" t="s">
        <v>502</v>
      </c>
      <c r="E1208" s="682">
        <v>44927</v>
      </c>
      <c r="F1208" s="546">
        <v>744</v>
      </c>
      <c r="G1208" s="546" t="s">
        <v>59</v>
      </c>
      <c r="H1208" s="546" t="s">
        <v>3</v>
      </c>
      <c r="I1208" s="546" t="s">
        <v>44</v>
      </c>
      <c r="J1208" s="546" t="s">
        <v>85</v>
      </c>
      <c r="K1208" s="546">
        <v>185</v>
      </c>
      <c r="L1208" s="726" t="s">
        <v>54</v>
      </c>
      <c r="M1208" s="696">
        <v>0</v>
      </c>
      <c r="N1208" s="726">
        <v>5</v>
      </c>
      <c r="O1208" s="696">
        <v>0</v>
      </c>
      <c r="P1208" s="726">
        <v>186.50592573143422</v>
      </c>
      <c r="Q1208" s="746">
        <f t="shared" si="162"/>
        <v>0</v>
      </c>
      <c r="R1208" s="606">
        <f t="shared" si="163"/>
        <v>693802.04372093524</v>
      </c>
      <c r="S1208" s="747">
        <f t="shared" si="164"/>
        <v>693802.04372093524</v>
      </c>
      <c r="T1208" s="746">
        <v>68.72</v>
      </c>
      <c r="U1208" s="606">
        <f t="shared" si="165"/>
        <v>255638.39999999999</v>
      </c>
      <c r="V1208" s="747">
        <f t="shared" si="166"/>
        <v>438163.64372093522</v>
      </c>
      <c r="W1208" s="748">
        <v>55.7</v>
      </c>
      <c r="X1208" s="607">
        <f t="shared" si="167"/>
        <v>207204</v>
      </c>
      <c r="Y1208" s="702">
        <f t="shared" si="168"/>
        <v>486598.04372093524</v>
      </c>
      <c r="Z1208" s="748">
        <v>96.206580759134184</v>
      </c>
      <c r="AA1208" s="607">
        <f t="shared" si="169"/>
        <v>357888.48042397917</v>
      </c>
      <c r="AB1208" s="749">
        <f t="shared" si="170"/>
        <v>335913.56329695607</v>
      </c>
      <c r="AC1208" s="714"/>
    </row>
    <row r="1209" spans="1:29" x14ac:dyDescent="0.25">
      <c r="A1209" s="713"/>
      <c r="B1209" s="714" t="s">
        <v>1788</v>
      </c>
      <c r="C1209" s="676" t="s">
        <v>40</v>
      </c>
      <c r="D1209" s="676" t="s">
        <v>502</v>
      </c>
      <c r="E1209" s="680">
        <v>44958</v>
      </c>
      <c r="F1209" s="676">
        <v>672</v>
      </c>
      <c r="G1209" s="676" t="s">
        <v>59</v>
      </c>
      <c r="H1209" s="676" t="s">
        <v>3</v>
      </c>
      <c r="I1209" s="676" t="s">
        <v>44</v>
      </c>
      <c r="J1209" s="676" t="s">
        <v>85</v>
      </c>
      <c r="K1209" s="676">
        <v>185</v>
      </c>
      <c r="L1209" s="690" t="s">
        <v>54</v>
      </c>
      <c r="M1209" s="691">
        <v>0</v>
      </c>
      <c r="N1209" s="690">
        <v>5</v>
      </c>
      <c r="O1209" s="691">
        <v>0</v>
      </c>
      <c r="P1209" s="690">
        <v>186.50592573143422</v>
      </c>
      <c r="Q1209" s="738">
        <f t="shared" si="162"/>
        <v>0</v>
      </c>
      <c r="R1209" s="677">
        <f t="shared" si="163"/>
        <v>626659.910457619</v>
      </c>
      <c r="S1209" s="739">
        <f t="shared" si="164"/>
        <v>626659.910457619</v>
      </c>
      <c r="T1209" s="738">
        <v>69.25</v>
      </c>
      <c r="U1209" s="677">
        <f t="shared" si="165"/>
        <v>232680</v>
      </c>
      <c r="V1209" s="739">
        <f t="shared" si="166"/>
        <v>393979.910457619</v>
      </c>
      <c r="W1209" s="740">
        <v>55.7</v>
      </c>
      <c r="X1209" s="678">
        <f t="shared" si="167"/>
        <v>187152</v>
      </c>
      <c r="Y1209" s="700">
        <f t="shared" si="168"/>
        <v>439507.910457619</v>
      </c>
      <c r="Z1209" s="740">
        <v>92.430648861364247</v>
      </c>
      <c r="AA1209" s="678">
        <f t="shared" si="169"/>
        <v>310566.98017418385</v>
      </c>
      <c r="AB1209" s="741">
        <f t="shared" si="170"/>
        <v>316092.93028343515</v>
      </c>
      <c r="AC1209" s="714"/>
    </row>
    <row r="1210" spans="1:29" x14ac:dyDescent="0.25">
      <c r="A1210" s="713"/>
      <c r="B1210" s="729" t="s">
        <v>1788</v>
      </c>
      <c r="C1210" s="545" t="s">
        <v>40</v>
      </c>
      <c r="D1210" s="545" t="s">
        <v>502</v>
      </c>
      <c r="E1210" s="681">
        <v>44986</v>
      </c>
      <c r="F1210" s="545">
        <v>744</v>
      </c>
      <c r="G1210" s="545" t="s">
        <v>59</v>
      </c>
      <c r="H1210" s="545" t="s">
        <v>3</v>
      </c>
      <c r="I1210" s="545" t="s">
        <v>44</v>
      </c>
      <c r="J1210" s="545" t="s">
        <v>85</v>
      </c>
      <c r="K1210" s="545">
        <v>185</v>
      </c>
      <c r="L1210" s="725" t="s">
        <v>54</v>
      </c>
      <c r="M1210" s="695">
        <v>0</v>
      </c>
      <c r="N1210" s="725">
        <v>5</v>
      </c>
      <c r="O1210" s="695">
        <v>0</v>
      </c>
      <c r="P1210" s="725">
        <v>186.50592573143422</v>
      </c>
      <c r="Q1210" s="742">
        <f t="shared" si="162"/>
        <v>0</v>
      </c>
      <c r="R1210" s="603">
        <f t="shared" si="163"/>
        <v>693802.04372093524</v>
      </c>
      <c r="S1210" s="743">
        <f t="shared" si="164"/>
        <v>693802.04372093524</v>
      </c>
      <c r="T1210" s="742">
        <v>69.3</v>
      </c>
      <c r="U1210" s="603">
        <f t="shared" si="165"/>
        <v>257796</v>
      </c>
      <c r="V1210" s="743">
        <f t="shared" si="166"/>
        <v>436006.04372093524</v>
      </c>
      <c r="W1210" s="744">
        <v>55.7</v>
      </c>
      <c r="X1210" s="604">
        <f t="shared" si="167"/>
        <v>207204</v>
      </c>
      <c r="Y1210" s="701">
        <f t="shared" si="168"/>
        <v>486598.04372093524</v>
      </c>
      <c r="Z1210" s="744">
        <v>89.053218420260009</v>
      </c>
      <c r="AA1210" s="604">
        <f t="shared" si="169"/>
        <v>331277.97252336721</v>
      </c>
      <c r="AB1210" s="745">
        <f t="shared" si="170"/>
        <v>362524.07119756803</v>
      </c>
      <c r="AC1210" s="714"/>
    </row>
    <row r="1211" spans="1:29" x14ac:dyDescent="0.25">
      <c r="A1211" s="713"/>
      <c r="B1211" s="730" t="s">
        <v>1789</v>
      </c>
      <c r="C1211" s="546" t="s">
        <v>40</v>
      </c>
      <c r="D1211" s="546" t="s">
        <v>1195</v>
      </c>
      <c r="E1211" s="682">
        <v>44835</v>
      </c>
      <c r="F1211" s="546">
        <v>744</v>
      </c>
      <c r="G1211" s="546" t="s">
        <v>58</v>
      </c>
      <c r="H1211" s="546" t="s">
        <v>3</v>
      </c>
      <c r="I1211" s="546" t="s">
        <v>44</v>
      </c>
      <c r="J1211" s="546" t="s">
        <v>84</v>
      </c>
      <c r="K1211" s="546">
        <v>135</v>
      </c>
      <c r="L1211" s="726" t="s">
        <v>54</v>
      </c>
      <c r="M1211" s="696">
        <v>5</v>
      </c>
      <c r="N1211" s="726">
        <v>0</v>
      </c>
      <c r="O1211" s="696">
        <v>135</v>
      </c>
      <c r="P1211" s="726">
        <v>0</v>
      </c>
      <c r="Q1211" s="746">
        <f t="shared" si="162"/>
        <v>502200</v>
      </c>
      <c r="R1211" s="606">
        <f t="shared" si="163"/>
        <v>0</v>
      </c>
      <c r="S1211" s="747">
        <f t="shared" si="164"/>
        <v>-502200</v>
      </c>
      <c r="T1211" s="746">
        <v>55.7</v>
      </c>
      <c r="U1211" s="606">
        <f t="shared" si="165"/>
        <v>-207204</v>
      </c>
      <c r="V1211" s="747">
        <f t="shared" si="166"/>
        <v>-294996</v>
      </c>
      <c r="W1211" s="748">
        <v>55.7</v>
      </c>
      <c r="X1211" s="607">
        <f t="shared" si="167"/>
        <v>-207204</v>
      </c>
      <c r="Y1211" s="702">
        <f t="shared" si="168"/>
        <v>-294996</v>
      </c>
      <c r="Z1211" s="748">
        <v>55.7</v>
      </c>
      <c r="AA1211" s="607">
        <f t="shared" si="169"/>
        <v>-207204</v>
      </c>
      <c r="AB1211" s="749">
        <f t="shared" si="170"/>
        <v>-294996</v>
      </c>
      <c r="AC1211" s="714"/>
    </row>
    <row r="1212" spans="1:29" x14ac:dyDescent="0.25">
      <c r="A1212" s="713"/>
      <c r="B1212" s="714" t="s">
        <v>1789</v>
      </c>
      <c r="C1212" s="676" t="s">
        <v>40</v>
      </c>
      <c r="D1212" s="676" t="s">
        <v>1195</v>
      </c>
      <c r="E1212" s="680">
        <v>44866</v>
      </c>
      <c r="F1212" s="676">
        <v>720</v>
      </c>
      <c r="G1212" s="676" t="s">
        <v>58</v>
      </c>
      <c r="H1212" s="676" t="s">
        <v>3</v>
      </c>
      <c r="I1212" s="676" t="s">
        <v>44</v>
      </c>
      <c r="J1212" s="676" t="s">
        <v>84</v>
      </c>
      <c r="K1212" s="676">
        <v>135</v>
      </c>
      <c r="L1212" s="690" t="s">
        <v>54</v>
      </c>
      <c r="M1212" s="691">
        <v>5</v>
      </c>
      <c r="N1212" s="690">
        <v>0</v>
      </c>
      <c r="O1212" s="691">
        <v>135</v>
      </c>
      <c r="P1212" s="690">
        <v>0</v>
      </c>
      <c r="Q1212" s="738">
        <f t="shared" si="162"/>
        <v>486000</v>
      </c>
      <c r="R1212" s="677">
        <f t="shared" si="163"/>
        <v>0</v>
      </c>
      <c r="S1212" s="739">
        <f t="shared" si="164"/>
        <v>-486000</v>
      </c>
      <c r="T1212" s="738">
        <v>55.7</v>
      </c>
      <c r="U1212" s="677">
        <f t="shared" si="165"/>
        <v>-200520</v>
      </c>
      <c r="V1212" s="739">
        <f t="shared" si="166"/>
        <v>-285480</v>
      </c>
      <c r="W1212" s="740">
        <v>55.7</v>
      </c>
      <c r="X1212" s="678">
        <f t="shared" si="167"/>
        <v>-200520</v>
      </c>
      <c r="Y1212" s="700">
        <f t="shared" si="168"/>
        <v>-285480</v>
      </c>
      <c r="Z1212" s="740">
        <v>55.7</v>
      </c>
      <c r="AA1212" s="678">
        <f t="shared" si="169"/>
        <v>-200520</v>
      </c>
      <c r="AB1212" s="741">
        <f t="shared" si="170"/>
        <v>-285480</v>
      </c>
      <c r="AC1212" s="714"/>
    </row>
    <row r="1213" spans="1:29" x14ac:dyDescent="0.25">
      <c r="A1213" s="713"/>
      <c r="B1213" s="729" t="s">
        <v>1789</v>
      </c>
      <c r="C1213" s="545" t="s">
        <v>40</v>
      </c>
      <c r="D1213" s="545" t="s">
        <v>1195</v>
      </c>
      <c r="E1213" s="681">
        <v>44896</v>
      </c>
      <c r="F1213" s="545">
        <v>744</v>
      </c>
      <c r="G1213" s="545" t="s">
        <v>58</v>
      </c>
      <c r="H1213" s="545" t="s">
        <v>3</v>
      </c>
      <c r="I1213" s="545" t="s">
        <v>44</v>
      </c>
      <c r="J1213" s="545" t="s">
        <v>84</v>
      </c>
      <c r="K1213" s="545">
        <v>135</v>
      </c>
      <c r="L1213" s="725" t="s">
        <v>54</v>
      </c>
      <c r="M1213" s="695">
        <v>5</v>
      </c>
      <c r="N1213" s="725">
        <v>0</v>
      </c>
      <c r="O1213" s="695">
        <v>135</v>
      </c>
      <c r="P1213" s="725">
        <v>0</v>
      </c>
      <c r="Q1213" s="742">
        <f t="shared" si="162"/>
        <v>502200</v>
      </c>
      <c r="R1213" s="603">
        <f t="shared" si="163"/>
        <v>0</v>
      </c>
      <c r="S1213" s="743">
        <f t="shared" si="164"/>
        <v>-502200</v>
      </c>
      <c r="T1213" s="742">
        <v>55.7</v>
      </c>
      <c r="U1213" s="603">
        <f t="shared" si="165"/>
        <v>-207204</v>
      </c>
      <c r="V1213" s="743">
        <f t="shared" si="166"/>
        <v>-294996</v>
      </c>
      <c r="W1213" s="744">
        <v>55.7</v>
      </c>
      <c r="X1213" s="604">
        <f t="shared" si="167"/>
        <v>-207204</v>
      </c>
      <c r="Y1213" s="701">
        <f t="shared" si="168"/>
        <v>-294996</v>
      </c>
      <c r="Z1213" s="744">
        <v>78.400653594793155</v>
      </c>
      <c r="AA1213" s="604">
        <f t="shared" si="169"/>
        <v>-291650.43137263053</v>
      </c>
      <c r="AB1213" s="745">
        <f t="shared" si="170"/>
        <v>-210549.56862736947</v>
      </c>
      <c r="AC1213" s="714"/>
    </row>
    <row r="1214" spans="1:29" x14ac:dyDescent="0.25">
      <c r="A1214" s="713"/>
      <c r="B1214" s="730" t="s">
        <v>1791</v>
      </c>
      <c r="C1214" s="546" t="s">
        <v>40</v>
      </c>
      <c r="D1214" s="546" t="s">
        <v>1195</v>
      </c>
      <c r="E1214" s="682">
        <v>44927</v>
      </c>
      <c r="F1214" s="546">
        <v>744</v>
      </c>
      <c r="G1214" s="546" t="s">
        <v>59</v>
      </c>
      <c r="H1214" s="546" t="s">
        <v>3</v>
      </c>
      <c r="I1214" s="546" t="s">
        <v>44</v>
      </c>
      <c r="J1214" s="546" t="s">
        <v>85</v>
      </c>
      <c r="K1214" s="546">
        <v>180</v>
      </c>
      <c r="L1214" s="726" t="s">
        <v>54</v>
      </c>
      <c r="M1214" s="696">
        <v>0</v>
      </c>
      <c r="N1214" s="726">
        <v>5</v>
      </c>
      <c r="O1214" s="696">
        <v>0</v>
      </c>
      <c r="P1214" s="726">
        <v>181.46522503599004</v>
      </c>
      <c r="Q1214" s="746">
        <f t="shared" si="162"/>
        <v>0</v>
      </c>
      <c r="R1214" s="606">
        <f t="shared" si="163"/>
        <v>675050.63713388296</v>
      </c>
      <c r="S1214" s="747">
        <f t="shared" si="164"/>
        <v>675050.63713388296</v>
      </c>
      <c r="T1214" s="746">
        <v>68.72</v>
      </c>
      <c r="U1214" s="606">
        <f t="shared" si="165"/>
        <v>255638.39999999999</v>
      </c>
      <c r="V1214" s="747">
        <f t="shared" si="166"/>
        <v>419412.23713388294</v>
      </c>
      <c r="W1214" s="748">
        <v>55.7</v>
      </c>
      <c r="X1214" s="607">
        <f t="shared" si="167"/>
        <v>207204</v>
      </c>
      <c r="Y1214" s="702">
        <f t="shared" si="168"/>
        <v>467846.63713388296</v>
      </c>
      <c r="Z1214" s="748">
        <v>96.206580759134184</v>
      </c>
      <c r="AA1214" s="607">
        <f t="shared" si="169"/>
        <v>357888.48042397917</v>
      </c>
      <c r="AB1214" s="749">
        <f t="shared" si="170"/>
        <v>317162.15670990379</v>
      </c>
      <c r="AC1214" s="714"/>
    </row>
    <row r="1215" spans="1:29" x14ac:dyDescent="0.25">
      <c r="A1215" s="713"/>
      <c r="B1215" s="714" t="s">
        <v>1791</v>
      </c>
      <c r="C1215" s="676" t="s">
        <v>40</v>
      </c>
      <c r="D1215" s="676" t="s">
        <v>1195</v>
      </c>
      <c r="E1215" s="680">
        <v>44958</v>
      </c>
      <c r="F1215" s="676">
        <v>672</v>
      </c>
      <c r="G1215" s="676" t="s">
        <v>59</v>
      </c>
      <c r="H1215" s="676" t="s">
        <v>3</v>
      </c>
      <c r="I1215" s="676" t="s">
        <v>44</v>
      </c>
      <c r="J1215" s="676" t="s">
        <v>85</v>
      </c>
      <c r="K1215" s="676">
        <v>180</v>
      </c>
      <c r="L1215" s="690" t="s">
        <v>54</v>
      </c>
      <c r="M1215" s="691">
        <v>0</v>
      </c>
      <c r="N1215" s="690">
        <v>5</v>
      </c>
      <c r="O1215" s="691">
        <v>0</v>
      </c>
      <c r="P1215" s="690">
        <v>181.46522503599004</v>
      </c>
      <c r="Q1215" s="738">
        <f t="shared" si="162"/>
        <v>0</v>
      </c>
      <c r="R1215" s="677">
        <f t="shared" si="163"/>
        <v>609723.15612092661</v>
      </c>
      <c r="S1215" s="739">
        <f t="shared" si="164"/>
        <v>609723.15612092661</v>
      </c>
      <c r="T1215" s="738">
        <v>69.25</v>
      </c>
      <c r="U1215" s="677">
        <f t="shared" si="165"/>
        <v>232680</v>
      </c>
      <c r="V1215" s="739">
        <f t="shared" si="166"/>
        <v>377043.15612092661</v>
      </c>
      <c r="W1215" s="740">
        <v>55.7</v>
      </c>
      <c r="X1215" s="678">
        <f t="shared" si="167"/>
        <v>187152</v>
      </c>
      <c r="Y1215" s="700">
        <f t="shared" si="168"/>
        <v>422571.15612092661</v>
      </c>
      <c r="Z1215" s="740">
        <v>92.430648861364247</v>
      </c>
      <c r="AA1215" s="678">
        <f t="shared" si="169"/>
        <v>310566.98017418385</v>
      </c>
      <c r="AB1215" s="741">
        <f t="shared" si="170"/>
        <v>299156.17594674276</v>
      </c>
      <c r="AC1215" s="714"/>
    </row>
    <row r="1216" spans="1:29" x14ac:dyDescent="0.25">
      <c r="A1216" s="713"/>
      <c r="B1216" s="729" t="s">
        <v>1791</v>
      </c>
      <c r="C1216" s="545" t="s">
        <v>40</v>
      </c>
      <c r="D1216" s="545" t="s">
        <v>1195</v>
      </c>
      <c r="E1216" s="681">
        <v>44986</v>
      </c>
      <c r="F1216" s="545">
        <v>744</v>
      </c>
      <c r="G1216" s="545" t="s">
        <v>59</v>
      </c>
      <c r="H1216" s="545" t="s">
        <v>3</v>
      </c>
      <c r="I1216" s="545" t="s">
        <v>44</v>
      </c>
      <c r="J1216" s="545" t="s">
        <v>85</v>
      </c>
      <c r="K1216" s="545">
        <v>180</v>
      </c>
      <c r="L1216" s="725" t="s">
        <v>54</v>
      </c>
      <c r="M1216" s="695">
        <v>0</v>
      </c>
      <c r="N1216" s="725">
        <v>5</v>
      </c>
      <c r="O1216" s="695">
        <v>0</v>
      </c>
      <c r="P1216" s="725">
        <v>181.46522503599004</v>
      </c>
      <c r="Q1216" s="742">
        <f t="shared" si="162"/>
        <v>0</v>
      </c>
      <c r="R1216" s="603">
        <f t="shared" si="163"/>
        <v>675050.63713388296</v>
      </c>
      <c r="S1216" s="743">
        <f t="shared" si="164"/>
        <v>675050.63713388296</v>
      </c>
      <c r="T1216" s="742">
        <v>69.3</v>
      </c>
      <c r="U1216" s="603">
        <f t="shared" si="165"/>
        <v>257796</v>
      </c>
      <c r="V1216" s="743">
        <f t="shared" si="166"/>
        <v>417254.63713388296</v>
      </c>
      <c r="W1216" s="744">
        <v>55.7</v>
      </c>
      <c r="X1216" s="604">
        <f t="shared" si="167"/>
        <v>207204</v>
      </c>
      <c r="Y1216" s="701">
        <f t="shared" si="168"/>
        <v>467846.63713388296</v>
      </c>
      <c r="Z1216" s="744">
        <v>89.053218420260009</v>
      </c>
      <c r="AA1216" s="604">
        <f t="shared" si="169"/>
        <v>331277.97252336721</v>
      </c>
      <c r="AB1216" s="745">
        <f t="shared" si="170"/>
        <v>343772.66461051576</v>
      </c>
      <c r="AC1216" s="714"/>
    </row>
    <row r="1217" spans="1:29" x14ac:dyDescent="0.25">
      <c r="A1217" s="713"/>
      <c r="B1217" s="730" t="s">
        <v>1797</v>
      </c>
      <c r="C1217" s="546" t="s">
        <v>40</v>
      </c>
      <c r="D1217" s="546" t="s">
        <v>944</v>
      </c>
      <c r="E1217" s="682">
        <v>44927</v>
      </c>
      <c r="F1217" s="546">
        <v>744</v>
      </c>
      <c r="G1217" s="546" t="s">
        <v>59</v>
      </c>
      <c r="H1217" s="546" t="s">
        <v>3</v>
      </c>
      <c r="I1217" s="546" t="s">
        <v>44</v>
      </c>
      <c r="J1217" s="546" t="s">
        <v>85</v>
      </c>
      <c r="K1217" s="546">
        <v>189</v>
      </c>
      <c r="L1217" s="726" t="s">
        <v>54</v>
      </c>
      <c r="M1217" s="696">
        <v>0</v>
      </c>
      <c r="N1217" s="726">
        <v>5</v>
      </c>
      <c r="O1217" s="696">
        <v>0</v>
      </c>
      <c r="P1217" s="726">
        <v>190.53848628778954</v>
      </c>
      <c r="Q1217" s="746">
        <f t="shared" si="162"/>
        <v>0</v>
      </c>
      <c r="R1217" s="606">
        <f t="shared" si="163"/>
        <v>708803.16899057711</v>
      </c>
      <c r="S1217" s="747">
        <f t="shared" si="164"/>
        <v>708803.16899057711</v>
      </c>
      <c r="T1217" s="746">
        <v>68.72</v>
      </c>
      <c r="U1217" s="606">
        <f t="shared" si="165"/>
        <v>255638.39999999999</v>
      </c>
      <c r="V1217" s="747">
        <f t="shared" si="166"/>
        <v>453164.76899057708</v>
      </c>
      <c r="W1217" s="748">
        <v>55.7</v>
      </c>
      <c r="X1217" s="607">
        <f t="shared" si="167"/>
        <v>207204</v>
      </c>
      <c r="Y1217" s="702">
        <f t="shared" si="168"/>
        <v>501599.16899057711</v>
      </c>
      <c r="Z1217" s="748">
        <v>96.206580759134184</v>
      </c>
      <c r="AA1217" s="607">
        <f t="shared" si="169"/>
        <v>357888.48042397917</v>
      </c>
      <c r="AB1217" s="749">
        <f t="shared" si="170"/>
        <v>350914.68856659794</v>
      </c>
      <c r="AC1217" s="714"/>
    </row>
    <row r="1218" spans="1:29" x14ac:dyDescent="0.25">
      <c r="A1218" s="713"/>
      <c r="B1218" s="714" t="s">
        <v>1797</v>
      </c>
      <c r="C1218" s="676" t="s">
        <v>40</v>
      </c>
      <c r="D1218" s="676" t="s">
        <v>944</v>
      </c>
      <c r="E1218" s="680">
        <v>44958</v>
      </c>
      <c r="F1218" s="676">
        <v>672</v>
      </c>
      <c r="G1218" s="676" t="s">
        <v>59</v>
      </c>
      <c r="H1218" s="676" t="s">
        <v>3</v>
      </c>
      <c r="I1218" s="676" t="s">
        <v>44</v>
      </c>
      <c r="J1218" s="676" t="s">
        <v>85</v>
      </c>
      <c r="K1218" s="676">
        <v>189</v>
      </c>
      <c r="L1218" s="690" t="s">
        <v>54</v>
      </c>
      <c r="M1218" s="691">
        <v>0</v>
      </c>
      <c r="N1218" s="690">
        <v>5</v>
      </c>
      <c r="O1218" s="691">
        <v>0</v>
      </c>
      <c r="P1218" s="690">
        <v>190.53848628778954</v>
      </c>
      <c r="Q1218" s="738">
        <f t="shared" si="162"/>
        <v>0</v>
      </c>
      <c r="R1218" s="677">
        <f t="shared" si="163"/>
        <v>640209.3139269728</v>
      </c>
      <c r="S1218" s="739">
        <f t="shared" si="164"/>
        <v>640209.3139269728</v>
      </c>
      <c r="T1218" s="738">
        <v>69.25</v>
      </c>
      <c r="U1218" s="677">
        <f t="shared" si="165"/>
        <v>232680</v>
      </c>
      <c r="V1218" s="739">
        <f t="shared" si="166"/>
        <v>407529.3139269728</v>
      </c>
      <c r="W1218" s="740">
        <v>55.7</v>
      </c>
      <c r="X1218" s="678">
        <f t="shared" si="167"/>
        <v>187152</v>
      </c>
      <c r="Y1218" s="700">
        <f t="shared" si="168"/>
        <v>453057.3139269728</v>
      </c>
      <c r="Z1218" s="740">
        <v>92.430648861364247</v>
      </c>
      <c r="AA1218" s="678">
        <f t="shared" si="169"/>
        <v>310566.98017418385</v>
      </c>
      <c r="AB1218" s="741">
        <f t="shared" si="170"/>
        <v>329642.33375278895</v>
      </c>
      <c r="AC1218" s="714"/>
    </row>
    <row r="1219" spans="1:29" x14ac:dyDescent="0.25">
      <c r="A1219" s="713"/>
      <c r="B1219" s="729" t="s">
        <v>1797</v>
      </c>
      <c r="C1219" s="545" t="s">
        <v>40</v>
      </c>
      <c r="D1219" s="545" t="s">
        <v>944</v>
      </c>
      <c r="E1219" s="681">
        <v>44986</v>
      </c>
      <c r="F1219" s="545">
        <v>744</v>
      </c>
      <c r="G1219" s="545" t="s">
        <v>59</v>
      </c>
      <c r="H1219" s="545" t="s">
        <v>3</v>
      </c>
      <c r="I1219" s="545" t="s">
        <v>44</v>
      </c>
      <c r="J1219" s="545" t="s">
        <v>85</v>
      </c>
      <c r="K1219" s="545">
        <v>189</v>
      </c>
      <c r="L1219" s="725" t="s">
        <v>54</v>
      </c>
      <c r="M1219" s="695">
        <v>0</v>
      </c>
      <c r="N1219" s="725">
        <v>5</v>
      </c>
      <c r="O1219" s="695">
        <v>0</v>
      </c>
      <c r="P1219" s="725">
        <v>190.53848628778954</v>
      </c>
      <c r="Q1219" s="742">
        <f t="shared" ref="Q1219:Q1282" si="171">(O1219*(M1219*F1219))</f>
        <v>0</v>
      </c>
      <c r="R1219" s="603">
        <f t="shared" ref="R1219:R1282" si="172">(P1219*(N1219*F1219))</f>
        <v>708803.16899057711</v>
      </c>
      <c r="S1219" s="743">
        <f t="shared" ref="S1219:S1282" si="173">R1219-Q1219</f>
        <v>708803.16899057711</v>
      </c>
      <c r="T1219" s="742">
        <v>69.3</v>
      </c>
      <c r="U1219" s="603">
        <f t="shared" ref="U1219:U1282" si="174">(((F1219*N1219)*T1219)-(T1219*(M1219*F1219)))</f>
        <v>257796</v>
      </c>
      <c r="V1219" s="743">
        <f t="shared" ref="V1219:V1282" si="175">S1219-U1219</f>
        <v>451007.16899057711</v>
      </c>
      <c r="W1219" s="744">
        <v>55.7</v>
      </c>
      <c r="X1219" s="604">
        <f t="shared" ref="X1219:X1282" si="176">(((F1219*N1219)*W1219)-(W1219*(M1219*F1219)))</f>
        <v>207204</v>
      </c>
      <c r="Y1219" s="701">
        <f t="shared" ref="Y1219:Y1282" si="177">S1219-X1219</f>
        <v>501599.16899057711</v>
      </c>
      <c r="Z1219" s="744">
        <v>89.053218420260009</v>
      </c>
      <c r="AA1219" s="604">
        <f t="shared" ref="AA1219:AA1282" si="178">(((F1219*N1219)*Z1219)-(Z1219*(M1219*F1219)))</f>
        <v>331277.97252336721</v>
      </c>
      <c r="AB1219" s="745">
        <f t="shared" ref="AB1219:AB1282" si="179">S1219-AA1219</f>
        <v>377525.1964672099</v>
      </c>
      <c r="AC1219" s="714"/>
    </row>
    <row r="1220" spans="1:29" x14ac:dyDescent="0.25">
      <c r="A1220" s="713"/>
      <c r="B1220" s="730" t="s">
        <v>1798</v>
      </c>
      <c r="C1220" s="546" t="s">
        <v>40</v>
      </c>
      <c r="D1220" s="546" t="s">
        <v>404</v>
      </c>
      <c r="E1220" s="682">
        <v>44835</v>
      </c>
      <c r="F1220" s="546">
        <v>744</v>
      </c>
      <c r="G1220" s="546" t="s">
        <v>59</v>
      </c>
      <c r="H1220" s="546" t="s">
        <v>3</v>
      </c>
      <c r="I1220" s="546" t="s">
        <v>44</v>
      </c>
      <c r="J1220" s="546" t="s">
        <v>85</v>
      </c>
      <c r="K1220" s="546">
        <v>145</v>
      </c>
      <c r="L1220" s="726" t="s">
        <v>54</v>
      </c>
      <c r="M1220" s="696">
        <v>0</v>
      </c>
      <c r="N1220" s="726">
        <v>2</v>
      </c>
      <c r="O1220" s="696">
        <v>0</v>
      </c>
      <c r="P1220" s="726">
        <v>145</v>
      </c>
      <c r="Q1220" s="746">
        <f t="shared" si="171"/>
        <v>0</v>
      </c>
      <c r="R1220" s="606">
        <f t="shared" si="172"/>
        <v>215760</v>
      </c>
      <c r="S1220" s="747">
        <f t="shared" si="173"/>
        <v>215760</v>
      </c>
      <c r="T1220" s="746">
        <v>55.7</v>
      </c>
      <c r="U1220" s="606">
        <f t="shared" si="174"/>
        <v>82881.600000000006</v>
      </c>
      <c r="V1220" s="747">
        <f t="shared" si="175"/>
        <v>132878.39999999999</v>
      </c>
      <c r="W1220" s="748">
        <v>55.7</v>
      </c>
      <c r="X1220" s="607">
        <f t="shared" si="176"/>
        <v>82881.600000000006</v>
      </c>
      <c r="Y1220" s="702">
        <f t="shared" si="177"/>
        <v>132878.39999999999</v>
      </c>
      <c r="Z1220" s="748">
        <v>55.7</v>
      </c>
      <c r="AA1220" s="607">
        <f t="shared" si="178"/>
        <v>82881.600000000006</v>
      </c>
      <c r="AB1220" s="749">
        <f t="shared" si="179"/>
        <v>132878.39999999999</v>
      </c>
      <c r="AC1220" s="714"/>
    </row>
    <row r="1221" spans="1:29" x14ac:dyDescent="0.25">
      <c r="A1221" s="713"/>
      <c r="B1221" s="714" t="s">
        <v>1798</v>
      </c>
      <c r="C1221" s="676" t="s">
        <v>40</v>
      </c>
      <c r="D1221" s="676" t="s">
        <v>404</v>
      </c>
      <c r="E1221" s="680">
        <v>44866</v>
      </c>
      <c r="F1221" s="676">
        <v>720</v>
      </c>
      <c r="G1221" s="676" t="s">
        <v>59</v>
      </c>
      <c r="H1221" s="676" t="s">
        <v>3</v>
      </c>
      <c r="I1221" s="676" t="s">
        <v>44</v>
      </c>
      <c r="J1221" s="676" t="s">
        <v>85</v>
      </c>
      <c r="K1221" s="676">
        <v>145</v>
      </c>
      <c r="L1221" s="690" t="s">
        <v>54</v>
      </c>
      <c r="M1221" s="691">
        <v>0</v>
      </c>
      <c r="N1221" s="690">
        <v>2</v>
      </c>
      <c r="O1221" s="691">
        <v>0</v>
      </c>
      <c r="P1221" s="690">
        <v>145</v>
      </c>
      <c r="Q1221" s="738">
        <f t="shared" si="171"/>
        <v>0</v>
      </c>
      <c r="R1221" s="677">
        <f t="shared" si="172"/>
        <v>208800</v>
      </c>
      <c r="S1221" s="739">
        <f t="shared" si="173"/>
        <v>208800</v>
      </c>
      <c r="T1221" s="738">
        <v>55.7</v>
      </c>
      <c r="U1221" s="677">
        <f t="shared" si="174"/>
        <v>80208</v>
      </c>
      <c r="V1221" s="739">
        <f t="shared" si="175"/>
        <v>128592</v>
      </c>
      <c r="W1221" s="740">
        <v>55.7</v>
      </c>
      <c r="X1221" s="678">
        <f t="shared" si="176"/>
        <v>80208</v>
      </c>
      <c r="Y1221" s="700">
        <f t="shared" si="177"/>
        <v>128592</v>
      </c>
      <c r="Z1221" s="740">
        <v>55.7</v>
      </c>
      <c r="AA1221" s="678">
        <f t="shared" si="178"/>
        <v>80208</v>
      </c>
      <c r="AB1221" s="741">
        <f t="shared" si="179"/>
        <v>128592</v>
      </c>
      <c r="AC1221" s="714"/>
    </row>
    <row r="1222" spans="1:29" x14ac:dyDescent="0.25">
      <c r="A1222" s="713"/>
      <c r="B1222" s="729" t="s">
        <v>1798</v>
      </c>
      <c r="C1222" s="545" t="s">
        <v>40</v>
      </c>
      <c r="D1222" s="545" t="s">
        <v>404</v>
      </c>
      <c r="E1222" s="681">
        <v>44896</v>
      </c>
      <c r="F1222" s="545">
        <v>744</v>
      </c>
      <c r="G1222" s="545" t="s">
        <v>59</v>
      </c>
      <c r="H1222" s="545" t="s">
        <v>3</v>
      </c>
      <c r="I1222" s="545" t="s">
        <v>44</v>
      </c>
      <c r="J1222" s="545" t="s">
        <v>85</v>
      </c>
      <c r="K1222" s="545">
        <v>145</v>
      </c>
      <c r="L1222" s="725" t="s">
        <v>54</v>
      </c>
      <c r="M1222" s="695">
        <v>0</v>
      </c>
      <c r="N1222" s="725">
        <v>2</v>
      </c>
      <c r="O1222" s="695">
        <v>0</v>
      </c>
      <c r="P1222" s="725">
        <v>145</v>
      </c>
      <c r="Q1222" s="742">
        <f t="shared" si="171"/>
        <v>0</v>
      </c>
      <c r="R1222" s="603">
        <f t="shared" si="172"/>
        <v>215760</v>
      </c>
      <c r="S1222" s="743">
        <f t="shared" si="173"/>
        <v>215760</v>
      </c>
      <c r="T1222" s="742">
        <v>55.7</v>
      </c>
      <c r="U1222" s="603">
        <f t="shared" si="174"/>
        <v>82881.600000000006</v>
      </c>
      <c r="V1222" s="743">
        <f t="shared" si="175"/>
        <v>132878.39999999999</v>
      </c>
      <c r="W1222" s="744">
        <v>55.7</v>
      </c>
      <c r="X1222" s="604">
        <f t="shared" si="176"/>
        <v>82881.600000000006</v>
      </c>
      <c r="Y1222" s="701">
        <f t="shared" si="177"/>
        <v>132878.39999999999</v>
      </c>
      <c r="Z1222" s="744">
        <v>78.400653594793155</v>
      </c>
      <c r="AA1222" s="604">
        <f t="shared" si="178"/>
        <v>116660.17254905222</v>
      </c>
      <c r="AB1222" s="745">
        <f t="shared" si="179"/>
        <v>99099.827450947778</v>
      </c>
      <c r="AC1222" s="714"/>
    </row>
    <row r="1223" spans="1:29" x14ac:dyDescent="0.25">
      <c r="A1223" s="713"/>
      <c r="B1223" s="731" t="s">
        <v>1799</v>
      </c>
      <c r="C1223" s="547" t="s">
        <v>40</v>
      </c>
      <c r="D1223" s="547" t="s">
        <v>1795</v>
      </c>
      <c r="E1223" s="683">
        <v>44835</v>
      </c>
      <c r="F1223" s="547">
        <v>744</v>
      </c>
      <c r="G1223" s="547" t="s">
        <v>59</v>
      </c>
      <c r="H1223" s="547" t="s">
        <v>3</v>
      </c>
      <c r="I1223" s="547" t="s">
        <v>44</v>
      </c>
      <c r="J1223" s="547" t="s">
        <v>85</v>
      </c>
      <c r="K1223" s="547">
        <v>145.5</v>
      </c>
      <c r="L1223" s="727" t="s">
        <v>54</v>
      </c>
      <c r="M1223" s="697">
        <v>0</v>
      </c>
      <c r="N1223" s="727">
        <v>2</v>
      </c>
      <c r="O1223" s="697">
        <v>0</v>
      </c>
      <c r="P1223" s="727">
        <v>145.5</v>
      </c>
      <c r="Q1223" s="750">
        <f t="shared" si="171"/>
        <v>0</v>
      </c>
      <c r="R1223" s="608">
        <f t="shared" si="172"/>
        <v>216504</v>
      </c>
      <c r="S1223" s="751">
        <f t="shared" si="173"/>
        <v>216504</v>
      </c>
      <c r="T1223" s="750">
        <v>55.7</v>
      </c>
      <c r="U1223" s="608">
        <f t="shared" si="174"/>
        <v>82881.600000000006</v>
      </c>
      <c r="V1223" s="751">
        <f t="shared" si="175"/>
        <v>133622.39999999999</v>
      </c>
      <c r="W1223" s="752">
        <v>55.7</v>
      </c>
      <c r="X1223" s="609">
        <f t="shared" si="176"/>
        <v>82881.600000000006</v>
      </c>
      <c r="Y1223" s="703">
        <f t="shared" si="177"/>
        <v>133622.39999999999</v>
      </c>
      <c r="Z1223" s="752">
        <v>55.7</v>
      </c>
      <c r="AA1223" s="609">
        <f t="shared" si="178"/>
        <v>82881.600000000006</v>
      </c>
      <c r="AB1223" s="753">
        <f t="shared" si="179"/>
        <v>133622.39999999999</v>
      </c>
      <c r="AC1223" s="714"/>
    </row>
    <row r="1224" spans="1:29" x14ac:dyDescent="0.25">
      <c r="A1224" s="713"/>
      <c r="B1224" s="730" t="s">
        <v>1805</v>
      </c>
      <c r="C1224" s="546" t="s">
        <v>40</v>
      </c>
      <c r="D1224" s="546" t="s">
        <v>585</v>
      </c>
      <c r="E1224" s="682">
        <v>44927</v>
      </c>
      <c r="F1224" s="546">
        <v>744</v>
      </c>
      <c r="G1224" s="546" t="s">
        <v>59</v>
      </c>
      <c r="H1224" s="546" t="s">
        <v>3</v>
      </c>
      <c r="I1224" s="546" t="s">
        <v>44</v>
      </c>
      <c r="J1224" s="546" t="s">
        <v>85</v>
      </c>
      <c r="K1224" s="546">
        <v>192</v>
      </c>
      <c r="L1224" s="726" t="s">
        <v>54</v>
      </c>
      <c r="M1224" s="696">
        <v>0</v>
      </c>
      <c r="N1224" s="726">
        <v>5</v>
      </c>
      <c r="O1224" s="696">
        <v>0</v>
      </c>
      <c r="P1224" s="726">
        <v>193.56290670505604</v>
      </c>
      <c r="Q1224" s="746">
        <f t="shared" si="171"/>
        <v>0</v>
      </c>
      <c r="R1224" s="606">
        <f t="shared" si="172"/>
        <v>720054.01294280845</v>
      </c>
      <c r="S1224" s="747">
        <f t="shared" si="173"/>
        <v>720054.01294280845</v>
      </c>
      <c r="T1224" s="746">
        <v>68.72</v>
      </c>
      <c r="U1224" s="606">
        <f t="shared" si="174"/>
        <v>255638.39999999999</v>
      </c>
      <c r="V1224" s="747">
        <f t="shared" si="175"/>
        <v>464415.61294280842</v>
      </c>
      <c r="W1224" s="748">
        <v>55.7</v>
      </c>
      <c r="X1224" s="607">
        <f t="shared" si="176"/>
        <v>207204</v>
      </c>
      <c r="Y1224" s="702">
        <f t="shared" si="177"/>
        <v>512850.01294280845</v>
      </c>
      <c r="Z1224" s="748">
        <v>96.206580759134184</v>
      </c>
      <c r="AA1224" s="607">
        <f t="shared" si="178"/>
        <v>357888.48042397917</v>
      </c>
      <c r="AB1224" s="749">
        <f t="shared" si="179"/>
        <v>362165.53251882928</v>
      </c>
      <c r="AC1224" s="714"/>
    </row>
    <row r="1225" spans="1:29" x14ac:dyDescent="0.25">
      <c r="A1225" s="713"/>
      <c r="B1225" s="714" t="s">
        <v>1805</v>
      </c>
      <c r="C1225" s="676" t="s">
        <v>40</v>
      </c>
      <c r="D1225" s="676" t="s">
        <v>585</v>
      </c>
      <c r="E1225" s="680">
        <v>44958</v>
      </c>
      <c r="F1225" s="676">
        <v>672</v>
      </c>
      <c r="G1225" s="676" t="s">
        <v>59</v>
      </c>
      <c r="H1225" s="676" t="s">
        <v>3</v>
      </c>
      <c r="I1225" s="676" t="s">
        <v>44</v>
      </c>
      <c r="J1225" s="676" t="s">
        <v>85</v>
      </c>
      <c r="K1225" s="676">
        <v>192</v>
      </c>
      <c r="L1225" s="690" t="s">
        <v>54</v>
      </c>
      <c r="M1225" s="691">
        <v>0</v>
      </c>
      <c r="N1225" s="690">
        <v>5</v>
      </c>
      <c r="O1225" s="691">
        <v>0</v>
      </c>
      <c r="P1225" s="690">
        <v>193.56290670505604</v>
      </c>
      <c r="Q1225" s="738">
        <f t="shared" si="171"/>
        <v>0</v>
      </c>
      <c r="R1225" s="677">
        <f t="shared" si="172"/>
        <v>650371.36652898823</v>
      </c>
      <c r="S1225" s="739">
        <f t="shared" si="173"/>
        <v>650371.36652898823</v>
      </c>
      <c r="T1225" s="738">
        <v>69.25</v>
      </c>
      <c r="U1225" s="677">
        <f t="shared" si="174"/>
        <v>232680</v>
      </c>
      <c r="V1225" s="739">
        <f t="shared" si="175"/>
        <v>417691.36652898823</v>
      </c>
      <c r="W1225" s="740">
        <v>55.7</v>
      </c>
      <c r="X1225" s="678">
        <f t="shared" si="176"/>
        <v>187152</v>
      </c>
      <c r="Y1225" s="700">
        <f t="shared" si="177"/>
        <v>463219.36652898823</v>
      </c>
      <c r="Z1225" s="740">
        <v>92.430648861364247</v>
      </c>
      <c r="AA1225" s="678">
        <f t="shared" si="178"/>
        <v>310566.98017418385</v>
      </c>
      <c r="AB1225" s="741">
        <f t="shared" si="179"/>
        <v>339804.38635480439</v>
      </c>
      <c r="AC1225" s="714"/>
    </row>
    <row r="1226" spans="1:29" x14ac:dyDescent="0.25">
      <c r="A1226" s="713"/>
      <c r="B1226" s="729" t="s">
        <v>1805</v>
      </c>
      <c r="C1226" s="545" t="s">
        <v>40</v>
      </c>
      <c r="D1226" s="545" t="s">
        <v>585</v>
      </c>
      <c r="E1226" s="681">
        <v>44986</v>
      </c>
      <c r="F1226" s="545">
        <v>744</v>
      </c>
      <c r="G1226" s="545" t="s">
        <v>59</v>
      </c>
      <c r="H1226" s="545" t="s">
        <v>3</v>
      </c>
      <c r="I1226" s="545" t="s">
        <v>44</v>
      </c>
      <c r="J1226" s="545" t="s">
        <v>85</v>
      </c>
      <c r="K1226" s="545">
        <v>192</v>
      </c>
      <c r="L1226" s="725" t="s">
        <v>54</v>
      </c>
      <c r="M1226" s="695">
        <v>0</v>
      </c>
      <c r="N1226" s="725">
        <v>5</v>
      </c>
      <c r="O1226" s="695">
        <v>0</v>
      </c>
      <c r="P1226" s="725">
        <v>193.56290670505604</v>
      </c>
      <c r="Q1226" s="742">
        <f t="shared" si="171"/>
        <v>0</v>
      </c>
      <c r="R1226" s="603">
        <f t="shared" si="172"/>
        <v>720054.01294280845</v>
      </c>
      <c r="S1226" s="743">
        <f t="shared" si="173"/>
        <v>720054.01294280845</v>
      </c>
      <c r="T1226" s="742">
        <v>69.3</v>
      </c>
      <c r="U1226" s="603">
        <f t="shared" si="174"/>
        <v>257796</v>
      </c>
      <c r="V1226" s="743">
        <f t="shared" si="175"/>
        <v>462258.01294280845</v>
      </c>
      <c r="W1226" s="744">
        <v>55.7</v>
      </c>
      <c r="X1226" s="604">
        <f t="shared" si="176"/>
        <v>207204</v>
      </c>
      <c r="Y1226" s="701">
        <f t="shared" si="177"/>
        <v>512850.01294280845</v>
      </c>
      <c r="Z1226" s="744">
        <v>89.053218420260009</v>
      </c>
      <c r="AA1226" s="604">
        <f t="shared" si="178"/>
        <v>331277.97252336721</v>
      </c>
      <c r="AB1226" s="745">
        <f t="shared" si="179"/>
        <v>388776.04041944124</v>
      </c>
      <c r="AC1226" s="714"/>
    </row>
    <row r="1227" spans="1:29" x14ac:dyDescent="0.25">
      <c r="A1227" s="713"/>
      <c r="B1227" s="730" t="s">
        <v>1807</v>
      </c>
      <c r="C1227" s="546" t="s">
        <v>40</v>
      </c>
      <c r="D1227" s="546" t="s">
        <v>475</v>
      </c>
      <c r="E1227" s="682">
        <v>44927</v>
      </c>
      <c r="F1227" s="546">
        <v>744</v>
      </c>
      <c r="G1227" s="546" t="s">
        <v>59</v>
      </c>
      <c r="H1227" s="546" t="s">
        <v>3</v>
      </c>
      <c r="I1227" s="546" t="s">
        <v>44</v>
      </c>
      <c r="J1227" s="546" t="s">
        <v>85</v>
      </c>
      <c r="K1227" s="546">
        <v>190</v>
      </c>
      <c r="L1227" s="726" t="s">
        <v>54</v>
      </c>
      <c r="M1227" s="696">
        <v>0</v>
      </c>
      <c r="N1227" s="726">
        <v>10</v>
      </c>
      <c r="O1227" s="696">
        <v>0</v>
      </c>
      <c r="P1227" s="726">
        <v>191.54662642687839</v>
      </c>
      <c r="Q1227" s="746">
        <f t="shared" si="171"/>
        <v>0</v>
      </c>
      <c r="R1227" s="606">
        <f t="shared" si="172"/>
        <v>1425106.9006159753</v>
      </c>
      <c r="S1227" s="747">
        <f t="shared" si="173"/>
        <v>1425106.9006159753</v>
      </c>
      <c r="T1227" s="746">
        <v>68.72</v>
      </c>
      <c r="U1227" s="606">
        <f t="shared" si="174"/>
        <v>511276.79999999999</v>
      </c>
      <c r="V1227" s="747">
        <f t="shared" si="175"/>
        <v>913830.10061597521</v>
      </c>
      <c r="W1227" s="748">
        <v>55.7</v>
      </c>
      <c r="X1227" s="607">
        <f t="shared" si="176"/>
        <v>414408</v>
      </c>
      <c r="Y1227" s="702">
        <f t="shared" si="177"/>
        <v>1010698.9006159753</v>
      </c>
      <c r="Z1227" s="748">
        <v>96.206580759134184</v>
      </c>
      <c r="AA1227" s="607">
        <f t="shared" si="178"/>
        <v>715776.96084795834</v>
      </c>
      <c r="AB1227" s="749">
        <f t="shared" si="179"/>
        <v>709329.93976801692</v>
      </c>
      <c r="AC1227" s="714"/>
    </row>
    <row r="1228" spans="1:29" x14ac:dyDescent="0.25">
      <c r="A1228" s="713"/>
      <c r="B1228" s="714" t="s">
        <v>1807</v>
      </c>
      <c r="C1228" s="676" t="s">
        <v>40</v>
      </c>
      <c r="D1228" s="676" t="s">
        <v>475</v>
      </c>
      <c r="E1228" s="680">
        <v>44958</v>
      </c>
      <c r="F1228" s="676">
        <v>672</v>
      </c>
      <c r="G1228" s="676" t="s">
        <v>59</v>
      </c>
      <c r="H1228" s="676" t="s">
        <v>3</v>
      </c>
      <c r="I1228" s="676" t="s">
        <v>44</v>
      </c>
      <c r="J1228" s="676" t="s">
        <v>85</v>
      </c>
      <c r="K1228" s="676">
        <v>190</v>
      </c>
      <c r="L1228" s="690" t="s">
        <v>54</v>
      </c>
      <c r="M1228" s="691">
        <v>0</v>
      </c>
      <c r="N1228" s="690">
        <v>10</v>
      </c>
      <c r="O1228" s="691">
        <v>0</v>
      </c>
      <c r="P1228" s="690">
        <v>191.54662642687839</v>
      </c>
      <c r="Q1228" s="738">
        <f t="shared" si="171"/>
        <v>0</v>
      </c>
      <c r="R1228" s="677">
        <f t="shared" si="172"/>
        <v>1287193.3295886228</v>
      </c>
      <c r="S1228" s="739">
        <f t="shared" si="173"/>
        <v>1287193.3295886228</v>
      </c>
      <c r="T1228" s="738">
        <v>69.25</v>
      </c>
      <c r="U1228" s="677">
        <f t="shared" si="174"/>
        <v>465360</v>
      </c>
      <c r="V1228" s="739">
        <f t="shared" si="175"/>
        <v>821833.32958862279</v>
      </c>
      <c r="W1228" s="740">
        <v>55.7</v>
      </c>
      <c r="X1228" s="678">
        <f t="shared" si="176"/>
        <v>374304</v>
      </c>
      <c r="Y1228" s="700">
        <f t="shared" si="177"/>
        <v>912889.32958862279</v>
      </c>
      <c r="Z1228" s="740">
        <v>92.430648861364247</v>
      </c>
      <c r="AA1228" s="678">
        <f t="shared" si="178"/>
        <v>621133.96034836769</v>
      </c>
      <c r="AB1228" s="741">
        <f t="shared" si="179"/>
        <v>666059.3692402551</v>
      </c>
      <c r="AC1228" s="714"/>
    </row>
    <row r="1229" spans="1:29" x14ac:dyDescent="0.25">
      <c r="A1229" s="713"/>
      <c r="B1229" s="729" t="s">
        <v>1807</v>
      </c>
      <c r="C1229" s="545" t="s">
        <v>40</v>
      </c>
      <c r="D1229" s="545" t="s">
        <v>475</v>
      </c>
      <c r="E1229" s="681">
        <v>44986</v>
      </c>
      <c r="F1229" s="545">
        <v>744</v>
      </c>
      <c r="G1229" s="545" t="s">
        <v>59</v>
      </c>
      <c r="H1229" s="545" t="s">
        <v>3</v>
      </c>
      <c r="I1229" s="545" t="s">
        <v>44</v>
      </c>
      <c r="J1229" s="545" t="s">
        <v>85</v>
      </c>
      <c r="K1229" s="545">
        <v>190</v>
      </c>
      <c r="L1229" s="725" t="s">
        <v>54</v>
      </c>
      <c r="M1229" s="695">
        <v>0</v>
      </c>
      <c r="N1229" s="725">
        <v>10</v>
      </c>
      <c r="O1229" s="695">
        <v>0</v>
      </c>
      <c r="P1229" s="725">
        <v>191.54662642687839</v>
      </c>
      <c r="Q1229" s="742">
        <f t="shared" si="171"/>
        <v>0</v>
      </c>
      <c r="R1229" s="603">
        <f t="shared" si="172"/>
        <v>1425106.9006159753</v>
      </c>
      <c r="S1229" s="743">
        <f t="shared" si="173"/>
        <v>1425106.9006159753</v>
      </c>
      <c r="T1229" s="742">
        <v>69.3</v>
      </c>
      <c r="U1229" s="603">
        <f t="shared" si="174"/>
        <v>515592</v>
      </c>
      <c r="V1229" s="743">
        <f t="shared" si="175"/>
        <v>909514.90061597526</v>
      </c>
      <c r="W1229" s="744">
        <v>55.7</v>
      </c>
      <c r="X1229" s="604">
        <f t="shared" si="176"/>
        <v>414408</v>
      </c>
      <c r="Y1229" s="701">
        <f t="shared" si="177"/>
        <v>1010698.9006159753</v>
      </c>
      <c r="Z1229" s="744">
        <v>89.053218420260009</v>
      </c>
      <c r="AA1229" s="604">
        <f t="shared" si="178"/>
        <v>662555.94504673441</v>
      </c>
      <c r="AB1229" s="745">
        <f t="shared" si="179"/>
        <v>762550.95556924085</v>
      </c>
      <c r="AC1229" s="714"/>
    </row>
    <row r="1230" spans="1:29" x14ac:dyDescent="0.25">
      <c r="A1230" s="713"/>
      <c r="B1230" s="730" t="s">
        <v>1809</v>
      </c>
      <c r="C1230" s="546" t="s">
        <v>40</v>
      </c>
      <c r="D1230" s="546" t="s">
        <v>465</v>
      </c>
      <c r="E1230" s="682">
        <v>44927</v>
      </c>
      <c r="F1230" s="546">
        <v>744</v>
      </c>
      <c r="G1230" s="546" t="s">
        <v>59</v>
      </c>
      <c r="H1230" s="546" t="s">
        <v>3</v>
      </c>
      <c r="I1230" s="546" t="s">
        <v>44</v>
      </c>
      <c r="J1230" s="546" t="s">
        <v>85</v>
      </c>
      <c r="K1230" s="546">
        <v>190</v>
      </c>
      <c r="L1230" s="726" t="s">
        <v>54</v>
      </c>
      <c r="M1230" s="696">
        <v>0</v>
      </c>
      <c r="N1230" s="726">
        <v>10</v>
      </c>
      <c r="O1230" s="696">
        <v>0</v>
      </c>
      <c r="P1230" s="726">
        <v>191.54662642687839</v>
      </c>
      <c r="Q1230" s="746">
        <f t="shared" si="171"/>
        <v>0</v>
      </c>
      <c r="R1230" s="606">
        <f t="shared" si="172"/>
        <v>1425106.9006159753</v>
      </c>
      <c r="S1230" s="747">
        <f t="shared" si="173"/>
        <v>1425106.9006159753</v>
      </c>
      <c r="T1230" s="746">
        <v>68.72</v>
      </c>
      <c r="U1230" s="606">
        <f t="shared" si="174"/>
        <v>511276.79999999999</v>
      </c>
      <c r="V1230" s="747">
        <f t="shared" si="175"/>
        <v>913830.10061597521</v>
      </c>
      <c r="W1230" s="748">
        <v>55.7</v>
      </c>
      <c r="X1230" s="607">
        <f t="shared" si="176"/>
        <v>414408</v>
      </c>
      <c r="Y1230" s="702">
        <f t="shared" si="177"/>
        <v>1010698.9006159753</v>
      </c>
      <c r="Z1230" s="748">
        <v>96.206580759134184</v>
      </c>
      <c r="AA1230" s="607">
        <f t="shared" si="178"/>
        <v>715776.96084795834</v>
      </c>
      <c r="AB1230" s="749">
        <f t="shared" si="179"/>
        <v>709329.93976801692</v>
      </c>
      <c r="AC1230" s="714"/>
    </row>
    <row r="1231" spans="1:29" x14ac:dyDescent="0.25">
      <c r="A1231" s="713"/>
      <c r="B1231" s="714" t="s">
        <v>1809</v>
      </c>
      <c r="C1231" s="676" t="s">
        <v>40</v>
      </c>
      <c r="D1231" s="676" t="s">
        <v>465</v>
      </c>
      <c r="E1231" s="680">
        <v>44958</v>
      </c>
      <c r="F1231" s="676">
        <v>672</v>
      </c>
      <c r="G1231" s="676" t="s">
        <v>59</v>
      </c>
      <c r="H1231" s="676" t="s">
        <v>3</v>
      </c>
      <c r="I1231" s="676" t="s">
        <v>44</v>
      </c>
      <c r="J1231" s="676" t="s">
        <v>85</v>
      </c>
      <c r="K1231" s="676">
        <v>190</v>
      </c>
      <c r="L1231" s="690" t="s">
        <v>54</v>
      </c>
      <c r="M1231" s="691">
        <v>0</v>
      </c>
      <c r="N1231" s="690">
        <v>10</v>
      </c>
      <c r="O1231" s="691">
        <v>0</v>
      </c>
      <c r="P1231" s="690">
        <v>191.54662642687839</v>
      </c>
      <c r="Q1231" s="738">
        <f t="shared" si="171"/>
        <v>0</v>
      </c>
      <c r="R1231" s="677">
        <f t="shared" si="172"/>
        <v>1287193.3295886228</v>
      </c>
      <c r="S1231" s="739">
        <f t="shared" si="173"/>
        <v>1287193.3295886228</v>
      </c>
      <c r="T1231" s="738">
        <v>69.25</v>
      </c>
      <c r="U1231" s="677">
        <f t="shared" si="174"/>
        <v>465360</v>
      </c>
      <c r="V1231" s="739">
        <f t="shared" si="175"/>
        <v>821833.32958862279</v>
      </c>
      <c r="W1231" s="740">
        <v>55.7</v>
      </c>
      <c r="X1231" s="678">
        <f t="shared" si="176"/>
        <v>374304</v>
      </c>
      <c r="Y1231" s="700">
        <f t="shared" si="177"/>
        <v>912889.32958862279</v>
      </c>
      <c r="Z1231" s="740">
        <v>92.430648861364247</v>
      </c>
      <c r="AA1231" s="678">
        <f t="shared" si="178"/>
        <v>621133.96034836769</v>
      </c>
      <c r="AB1231" s="741">
        <f t="shared" si="179"/>
        <v>666059.3692402551</v>
      </c>
      <c r="AC1231" s="714"/>
    </row>
    <row r="1232" spans="1:29" x14ac:dyDescent="0.25">
      <c r="A1232" s="713"/>
      <c r="B1232" s="729" t="s">
        <v>1809</v>
      </c>
      <c r="C1232" s="545" t="s">
        <v>40</v>
      </c>
      <c r="D1232" s="545" t="s">
        <v>465</v>
      </c>
      <c r="E1232" s="681">
        <v>44986</v>
      </c>
      <c r="F1232" s="545">
        <v>744</v>
      </c>
      <c r="G1232" s="545" t="s">
        <v>59</v>
      </c>
      <c r="H1232" s="545" t="s">
        <v>3</v>
      </c>
      <c r="I1232" s="545" t="s">
        <v>44</v>
      </c>
      <c r="J1232" s="545" t="s">
        <v>85</v>
      </c>
      <c r="K1232" s="545">
        <v>190</v>
      </c>
      <c r="L1232" s="725" t="s">
        <v>54</v>
      </c>
      <c r="M1232" s="695">
        <v>0</v>
      </c>
      <c r="N1232" s="725">
        <v>10</v>
      </c>
      <c r="O1232" s="695">
        <v>0</v>
      </c>
      <c r="P1232" s="725">
        <v>191.54662642687839</v>
      </c>
      <c r="Q1232" s="742">
        <f t="shared" si="171"/>
        <v>0</v>
      </c>
      <c r="R1232" s="603">
        <f t="shared" si="172"/>
        <v>1425106.9006159753</v>
      </c>
      <c r="S1232" s="743">
        <f t="shared" si="173"/>
        <v>1425106.9006159753</v>
      </c>
      <c r="T1232" s="742">
        <v>69.3</v>
      </c>
      <c r="U1232" s="603">
        <f t="shared" si="174"/>
        <v>515592</v>
      </c>
      <c r="V1232" s="743">
        <f t="shared" si="175"/>
        <v>909514.90061597526</v>
      </c>
      <c r="W1232" s="744">
        <v>55.7</v>
      </c>
      <c r="X1232" s="604">
        <f t="shared" si="176"/>
        <v>414408</v>
      </c>
      <c r="Y1232" s="701">
        <f t="shared" si="177"/>
        <v>1010698.9006159753</v>
      </c>
      <c r="Z1232" s="744">
        <v>89.053218420260009</v>
      </c>
      <c r="AA1232" s="604">
        <f t="shared" si="178"/>
        <v>662555.94504673441</v>
      </c>
      <c r="AB1232" s="745">
        <f t="shared" si="179"/>
        <v>762550.95556924085</v>
      </c>
      <c r="AC1232" s="714"/>
    </row>
    <row r="1233" spans="1:29" x14ac:dyDescent="0.25">
      <c r="A1233" s="713"/>
      <c r="B1233" s="730" t="s">
        <v>1810</v>
      </c>
      <c r="C1233" s="546" t="s">
        <v>40</v>
      </c>
      <c r="D1233" s="546" t="s">
        <v>346</v>
      </c>
      <c r="E1233" s="682">
        <v>44927</v>
      </c>
      <c r="F1233" s="546">
        <v>744</v>
      </c>
      <c r="G1233" s="546" t="s">
        <v>58</v>
      </c>
      <c r="H1233" s="546" t="s">
        <v>3</v>
      </c>
      <c r="I1233" s="546" t="s">
        <v>44</v>
      </c>
      <c r="J1233" s="546" t="s">
        <v>84</v>
      </c>
      <c r="K1233" s="546">
        <v>190</v>
      </c>
      <c r="L1233" s="726" t="s">
        <v>54</v>
      </c>
      <c r="M1233" s="696">
        <v>5</v>
      </c>
      <c r="N1233" s="726">
        <v>0</v>
      </c>
      <c r="O1233" s="696">
        <v>191.54662642687839</v>
      </c>
      <c r="P1233" s="726">
        <v>0</v>
      </c>
      <c r="Q1233" s="746">
        <f t="shared" si="171"/>
        <v>712553.45030798763</v>
      </c>
      <c r="R1233" s="606">
        <f t="shared" si="172"/>
        <v>0</v>
      </c>
      <c r="S1233" s="747">
        <f t="shared" si="173"/>
        <v>-712553.45030798763</v>
      </c>
      <c r="T1233" s="746">
        <v>68.72</v>
      </c>
      <c r="U1233" s="606">
        <f t="shared" si="174"/>
        <v>-255638.39999999999</v>
      </c>
      <c r="V1233" s="747">
        <f t="shared" si="175"/>
        <v>-456915.05030798761</v>
      </c>
      <c r="W1233" s="748">
        <v>55.7</v>
      </c>
      <c r="X1233" s="607">
        <f t="shared" si="176"/>
        <v>-207204</v>
      </c>
      <c r="Y1233" s="702">
        <f t="shared" si="177"/>
        <v>-505349.45030798763</v>
      </c>
      <c r="Z1233" s="748">
        <v>96.206580759134184</v>
      </c>
      <c r="AA1233" s="607">
        <f t="shared" si="178"/>
        <v>-357888.48042397917</v>
      </c>
      <c r="AB1233" s="749">
        <f t="shared" si="179"/>
        <v>-354664.96988400846</v>
      </c>
      <c r="AC1233" s="714"/>
    </row>
    <row r="1234" spans="1:29" x14ac:dyDescent="0.25">
      <c r="A1234" s="713"/>
      <c r="B1234" s="714" t="s">
        <v>1810</v>
      </c>
      <c r="C1234" s="676" t="s">
        <v>40</v>
      </c>
      <c r="D1234" s="676" t="s">
        <v>346</v>
      </c>
      <c r="E1234" s="680">
        <v>44958</v>
      </c>
      <c r="F1234" s="676">
        <v>672</v>
      </c>
      <c r="G1234" s="676" t="s">
        <v>58</v>
      </c>
      <c r="H1234" s="676" t="s">
        <v>3</v>
      </c>
      <c r="I1234" s="676" t="s">
        <v>44</v>
      </c>
      <c r="J1234" s="676" t="s">
        <v>84</v>
      </c>
      <c r="K1234" s="676">
        <v>190</v>
      </c>
      <c r="L1234" s="690" t="s">
        <v>54</v>
      </c>
      <c r="M1234" s="691">
        <v>5</v>
      </c>
      <c r="N1234" s="690">
        <v>0</v>
      </c>
      <c r="O1234" s="691">
        <v>191.54662642687839</v>
      </c>
      <c r="P1234" s="690">
        <v>0</v>
      </c>
      <c r="Q1234" s="738">
        <f t="shared" si="171"/>
        <v>643596.66479431139</v>
      </c>
      <c r="R1234" s="677">
        <f t="shared" si="172"/>
        <v>0</v>
      </c>
      <c r="S1234" s="739">
        <f t="shared" si="173"/>
        <v>-643596.66479431139</v>
      </c>
      <c r="T1234" s="738">
        <v>69.25</v>
      </c>
      <c r="U1234" s="677">
        <f t="shared" si="174"/>
        <v>-232680</v>
      </c>
      <c r="V1234" s="739">
        <f t="shared" si="175"/>
        <v>-410916.66479431139</v>
      </c>
      <c r="W1234" s="740">
        <v>55.7</v>
      </c>
      <c r="X1234" s="678">
        <f t="shared" si="176"/>
        <v>-187152</v>
      </c>
      <c r="Y1234" s="700">
        <f t="shared" si="177"/>
        <v>-456444.66479431139</v>
      </c>
      <c r="Z1234" s="740">
        <v>92.430648861364247</v>
      </c>
      <c r="AA1234" s="678">
        <f t="shared" si="178"/>
        <v>-310566.98017418385</v>
      </c>
      <c r="AB1234" s="741">
        <f t="shared" si="179"/>
        <v>-333029.68462012755</v>
      </c>
      <c r="AC1234" s="714"/>
    </row>
    <row r="1235" spans="1:29" x14ac:dyDescent="0.25">
      <c r="A1235" s="713"/>
      <c r="B1235" s="729" t="s">
        <v>1810</v>
      </c>
      <c r="C1235" s="545" t="s">
        <v>40</v>
      </c>
      <c r="D1235" s="545" t="s">
        <v>346</v>
      </c>
      <c r="E1235" s="681">
        <v>44986</v>
      </c>
      <c r="F1235" s="545">
        <v>744</v>
      </c>
      <c r="G1235" s="545" t="s">
        <v>58</v>
      </c>
      <c r="H1235" s="545" t="s">
        <v>3</v>
      </c>
      <c r="I1235" s="545" t="s">
        <v>44</v>
      </c>
      <c r="J1235" s="545" t="s">
        <v>84</v>
      </c>
      <c r="K1235" s="545">
        <v>190</v>
      </c>
      <c r="L1235" s="725" t="s">
        <v>54</v>
      </c>
      <c r="M1235" s="695">
        <v>5</v>
      </c>
      <c r="N1235" s="725">
        <v>0</v>
      </c>
      <c r="O1235" s="695">
        <v>191.54662642687839</v>
      </c>
      <c r="P1235" s="725">
        <v>0</v>
      </c>
      <c r="Q1235" s="742">
        <f t="shared" si="171"/>
        <v>712553.45030798763</v>
      </c>
      <c r="R1235" s="603">
        <f t="shared" si="172"/>
        <v>0</v>
      </c>
      <c r="S1235" s="743">
        <f t="shared" si="173"/>
        <v>-712553.45030798763</v>
      </c>
      <c r="T1235" s="742">
        <v>69.3</v>
      </c>
      <c r="U1235" s="603">
        <f t="shared" si="174"/>
        <v>-257796</v>
      </c>
      <c r="V1235" s="743">
        <f t="shared" si="175"/>
        <v>-454757.45030798763</v>
      </c>
      <c r="W1235" s="744">
        <v>55.7</v>
      </c>
      <c r="X1235" s="604">
        <f t="shared" si="176"/>
        <v>-207204</v>
      </c>
      <c r="Y1235" s="701">
        <f t="shared" si="177"/>
        <v>-505349.45030798763</v>
      </c>
      <c r="Z1235" s="744">
        <v>89.053218420260009</v>
      </c>
      <c r="AA1235" s="604">
        <f t="shared" si="178"/>
        <v>-331277.97252336721</v>
      </c>
      <c r="AB1235" s="745">
        <f t="shared" si="179"/>
        <v>-381275.47778462042</v>
      </c>
      <c r="AC1235" s="714"/>
    </row>
    <row r="1236" spans="1:29" x14ac:dyDescent="0.25">
      <c r="A1236" s="713"/>
      <c r="B1236" s="731" t="s">
        <v>1816</v>
      </c>
      <c r="C1236" s="547" t="s">
        <v>40</v>
      </c>
      <c r="D1236" s="547" t="s">
        <v>590</v>
      </c>
      <c r="E1236" s="683">
        <v>44805</v>
      </c>
      <c r="F1236" s="547">
        <v>720</v>
      </c>
      <c r="G1236" s="547" t="s">
        <v>58</v>
      </c>
      <c r="H1236" s="547" t="s">
        <v>3</v>
      </c>
      <c r="I1236" s="547" t="s">
        <v>44</v>
      </c>
      <c r="J1236" s="547" t="s">
        <v>84</v>
      </c>
      <c r="K1236" s="547">
        <v>114</v>
      </c>
      <c r="L1236" s="727" t="s">
        <v>54</v>
      </c>
      <c r="M1236" s="697">
        <v>10</v>
      </c>
      <c r="N1236" s="727">
        <v>0</v>
      </c>
      <c r="O1236" s="697">
        <v>114</v>
      </c>
      <c r="P1236" s="727">
        <v>0</v>
      </c>
      <c r="Q1236" s="750">
        <f t="shared" si="171"/>
        <v>820800</v>
      </c>
      <c r="R1236" s="608">
        <f t="shared" si="172"/>
        <v>0</v>
      </c>
      <c r="S1236" s="751">
        <f t="shared" si="173"/>
        <v>-820800</v>
      </c>
      <c r="T1236" s="750">
        <v>56.08</v>
      </c>
      <c r="U1236" s="608">
        <f t="shared" si="174"/>
        <v>-403776</v>
      </c>
      <c r="V1236" s="751">
        <f t="shared" si="175"/>
        <v>-417024</v>
      </c>
      <c r="W1236" s="752">
        <v>56.08</v>
      </c>
      <c r="X1236" s="609">
        <f t="shared" si="176"/>
        <v>-403776</v>
      </c>
      <c r="Y1236" s="703">
        <f t="shared" si="177"/>
        <v>-417024</v>
      </c>
      <c r="Z1236" s="752">
        <v>56.08</v>
      </c>
      <c r="AA1236" s="609">
        <f t="shared" si="178"/>
        <v>-403776</v>
      </c>
      <c r="AB1236" s="753">
        <f t="shared" si="179"/>
        <v>-417024</v>
      </c>
      <c r="AC1236" s="714"/>
    </row>
    <row r="1237" spans="1:29" x14ac:dyDescent="0.25">
      <c r="A1237" s="713"/>
      <c r="B1237" s="730" t="s">
        <v>1817</v>
      </c>
      <c r="C1237" s="546" t="s">
        <v>40</v>
      </c>
      <c r="D1237" s="546" t="s">
        <v>503</v>
      </c>
      <c r="E1237" s="682">
        <v>44835</v>
      </c>
      <c r="F1237" s="546">
        <v>744</v>
      </c>
      <c r="G1237" s="546" t="s">
        <v>58</v>
      </c>
      <c r="H1237" s="546" t="s">
        <v>3</v>
      </c>
      <c r="I1237" s="546" t="s">
        <v>44</v>
      </c>
      <c r="J1237" s="546" t="s">
        <v>84</v>
      </c>
      <c r="K1237" s="546">
        <v>132</v>
      </c>
      <c r="L1237" s="726" t="s">
        <v>54</v>
      </c>
      <c r="M1237" s="696">
        <v>2</v>
      </c>
      <c r="N1237" s="726">
        <v>0</v>
      </c>
      <c r="O1237" s="696">
        <v>132</v>
      </c>
      <c r="P1237" s="726">
        <v>0</v>
      </c>
      <c r="Q1237" s="746">
        <f t="shared" si="171"/>
        <v>196416</v>
      </c>
      <c r="R1237" s="606">
        <f t="shared" si="172"/>
        <v>0</v>
      </c>
      <c r="S1237" s="747">
        <f t="shared" si="173"/>
        <v>-196416</v>
      </c>
      <c r="T1237" s="746">
        <v>55.7</v>
      </c>
      <c r="U1237" s="606">
        <f t="shared" si="174"/>
        <v>-82881.600000000006</v>
      </c>
      <c r="V1237" s="747">
        <f t="shared" si="175"/>
        <v>-113534.39999999999</v>
      </c>
      <c r="W1237" s="748">
        <v>55.7</v>
      </c>
      <c r="X1237" s="607">
        <f t="shared" si="176"/>
        <v>-82881.600000000006</v>
      </c>
      <c r="Y1237" s="702">
        <f t="shared" si="177"/>
        <v>-113534.39999999999</v>
      </c>
      <c r="Z1237" s="748">
        <v>55.7</v>
      </c>
      <c r="AA1237" s="607">
        <f t="shared" si="178"/>
        <v>-82881.600000000006</v>
      </c>
      <c r="AB1237" s="749">
        <f t="shared" si="179"/>
        <v>-113534.39999999999</v>
      </c>
      <c r="AC1237" s="714"/>
    </row>
    <row r="1238" spans="1:29" x14ac:dyDescent="0.25">
      <c r="A1238" s="713"/>
      <c r="B1238" s="714" t="s">
        <v>1817</v>
      </c>
      <c r="C1238" s="676" t="s">
        <v>40</v>
      </c>
      <c r="D1238" s="676" t="s">
        <v>503</v>
      </c>
      <c r="E1238" s="680">
        <v>44866</v>
      </c>
      <c r="F1238" s="676">
        <v>720</v>
      </c>
      <c r="G1238" s="676" t="s">
        <v>58</v>
      </c>
      <c r="H1238" s="676" t="s">
        <v>3</v>
      </c>
      <c r="I1238" s="676" t="s">
        <v>44</v>
      </c>
      <c r="J1238" s="676" t="s">
        <v>84</v>
      </c>
      <c r="K1238" s="676">
        <v>132</v>
      </c>
      <c r="L1238" s="690" t="s">
        <v>54</v>
      </c>
      <c r="M1238" s="691">
        <v>2</v>
      </c>
      <c r="N1238" s="690">
        <v>0</v>
      </c>
      <c r="O1238" s="691">
        <v>132</v>
      </c>
      <c r="P1238" s="690">
        <v>0</v>
      </c>
      <c r="Q1238" s="738">
        <f t="shared" si="171"/>
        <v>190080</v>
      </c>
      <c r="R1238" s="677">
        <f t="shared" si="172"/>
        <v>0</v>
      </c>
      <c r="S1238" s="739">
        <f t="shared" si="173"/>
        <v>-190080</v>
      </c>
      <c r="T1238" s="738">
        <v>55.7</v>
      </c>
      <c r="U1238" s="677">
        <f t="shared" si="174"/>
        <v>-80208</v>
      </c>
      <c r="V1238" s="739">
        <f t="shared" si="175"/>
        <v>-109872</v>
      </c>
      <c r="W1238" s="740">
        <v>55.7</v>
      </c>
      <c r="X1238" s="678">
        <f t="shared" si="176"/>
        <v>-80208</v>
      </c>
      <c r="Y1238" s="700">
        <f t="shared" si="177"/>
        <v>-109872</v>
      </c>
      <c r="Z1238" s="740">
        <v>55.7</v>
      </c>
      <c r="AA1238" s="678">
        <f t="shared" si="178"/>
        <v>-80208</v>
      </c>
      <c r="AB1238" s="741">
        <f t="shared" si="179"/>
        <v>-109872</v>
      </c>
      <c r="AC1238" s="714"/>
    </row>
    <row r="1239" spans="1:29" x14ac:dyDescent="0.25">
      <c r="A1239" s="713"/>
      <c r="B1239" s="729" t="s">
        <v>1817</v>
      </c>
      <c r="C1239" s="545" t="s">
        <v>40</v>
      </c>
      <c r="D1239" s="545" t="s">
        <v>503</v>
      </c>
      <c r="E1239" s="681">
        <v>44896</v>
      </c>
      <c r="F1239" s="545">
        <v>744</v>
      </c>
      <c r="G1239" s="545" t="s">
        <v>58</v>
      </c>
      <c r="H1239" s="545" t="s">
        <v>3</v>
      </c>
      <c r="I1239" s="545" t="s">
        <v>44</v>
      </c>
      <c r="J1239" s="545" t="s">
        <v>84</v>
      </c>
      <c r="K1239" s="545">
        <v>132</v>
      </c>
      <c r="L1239" s="725" t="s">
        <v>54</v>
      </c>
      <c r="M1239" s="695">
        <v>2</v>
      </c>
      <c r="N1239" s="725">
        <v>0</v>
      </c>
      <c r="O1239" s="695">
        <v>132</v>
      </c>
      <c r="P1239" s="725">
        <v>0</v>
      </c>
      <c r="Q1239" s="742">
        <f t="shared" si="171"/>
        <v>196416</v>
      </c>
      <c r="R1239" s="603">
        <f t="shared" si="172"/>
        <v>0</v>
      </c>
      <c r="S1239" s="743">
        <f t="shared" si="173"/>
        <v>-196416</v>
      </c>
      <c r="T1239" s="742">
        <v>55.7</v>
      </c>
      <c r="U1239" s="603">
        <f t="shared" si="174"/>
        <v>-82881.600000000006</v>
      </c>
      <c r="V1239" s="743">
        <f t="shared" si="175"/>
        <v>-113534.39999999999</v>
      </c>
      <c r="W1239" s="744">
        <v>55.7</v>
      </c>
      <c r="X1239" s="604">
        <f t="shared" si="176"/>
        <v>-82881.600000000006</v>
      </c>
      <c r="Y1239" s="701">
        <f t="shared" si="177"/>
        <v>-113534.39999999999</v>
      </c>
      <c r="Z1239" s="744">
        <v>78.400653594793155</v>
      </c>
      <c r="AA1239" s="604">
        <f t="shared" si="178"/>
        <v>-116660.17254905222</v>
      </c>
      <c r="AB1239" s="745">
        <f t="shared" si="179"/>
        <v>-79755.827450947778</v>
      </c>
      <c r="AC1239" s="714"/>
    </row>
    <row r="1240" spans="1:29" x14ac:dyDescent="0.25">
      <c r="A1240" s="713"/>
      <c r="B1240" s="730" t="s">
        <v>1818</v>
      </c>
      <c r="C1240" s="546" t="s">
        <v>40</v>
      </c>
      <c r="D1240" s="546" t="s">
        <v>585</v>
      </c>
      <c r="E1240" s="682">
        <v>44835</v>
      </c>
      <c r="F1240" s="546">
        <v>744</v>
      </c>
      <c r="G1240" s="546" t="s">
        <v>58</v>
      </c>
      <c r="H1240" s="546" t="s">
        <v>3</v>
      </c>
      <c r="I1240" s="546" t="s">
        <v>44</v>
      </c>
      <c r="J1240" s="546" t="s">
        <v>84</v>
      </c>
      <c r="K1240" s="546">
        <v>135</v>
      </c>
      <c r="L1240" s="726" t="s">
        <v>54</v>
      </c>
      <c r="M1240" s="696">
        <v>3</v>
      </c>
      <c r="N1240" s="726">
        <v>0</v>
      </c>
      <c r="O1240" s="696">
        <v>135</v>
      </c>
      <c r="P1240" s="726">
        <v>0</v>
      </c>
      <c r="Q1240" s="746">
        <f t="shared" si="171"/>
        <v>301320</v>
      </c>
      <c r="R1240" s="606">
        <f t="shared" si="172"/>
        <v>0</v>
      </c>
      <c r="S1240" s="747">
        <f t="shared" si="173"/>
        <v>-301320</v>
      </c>
      <c r="T1240" s="746">
        <v>55.7</v>
      </c>
      <c r="U1240" s="606">
        <f t="shared" si="174"/>
        <v>-124322.40000000001</v>
      </c>
      <c r="V1240" s="747">
        <f t="shared" si="175"/>
        <v>-176997.59999999998</v>
      </c>
      <c r="W1240" s="748">
        <v>55.7</v>
      </c>
      <c r="X1240" s="607">
        <f t="shared" si="176"/>
        <v>-124322.40000000001</v>
      </c>
      <c r="Y1240" s="702">
        <f t="shared" si="177"/>
        <v>-176997.59999999998</v>
      </c>
      <c r="Z1240" s="748">
        <v>55.7</v>
      </c>
      <c r="AA1240" s="607">
        <f t="shared" si="178"/>
        <v>-124322.40000000001</v>
      </c>
      <c r="AB1240" s="749">
        <f t="shared" si="179"/>
        <v>-176997.59999999998</v>
      </c>
      <c r="AC1240" s="714"/>
    </row>
    <row r="1241" spans="1:29" x14ac:dyDescent="0.25">
      <c r="A1241" s="713"/>
      <c r="B1241" s="714" t="s">
        <v>1818</v>
      </c>
      <c r="C1241" s="676" t="s">
        <v>40</v>
      </c>
      <c r="D1241" s="676" t="s">
        <v>585</v>
      </c>
      <c r="E1241" s="680">
        <v>44866</v>
      </c>
      <c r="F1241" s="676">
        <v>720</v>
      </c>
      <c r="G1241" s="676" t="s">
        <v>58</v>
      </c>
      <c r="H1241" s="676" t="s">
        <v>3</v>
      </c>
      <c r="I1241" s="676" t="s">
        <v>44</v>
      </c>
      <c r="J1241" s="676" t="s">
        <v>84</v>
      </c>
      <c r="K1241" s="676">
        <v>135</v>
      </c>
      <c r="L1241" s="690" t="s">
        <v>54</v>
      </c>
      <c r="M1241" s="691">
        <v>3</v>
      </c>
      <c r="N1241" s="690">
        <v>0</v>
      </c>
      <c r="O1241" s="691">
        <v>135</v>
      </c>
      <c r="P1241" s="690">
        <v>0</v>
      </c>
      <c r="Q1241" s="738">
        <f t="shared" si="171"/>
        <v>291600</v>
      </c>
      <c r="R1241" s="677">
        <f t="shared" si="172"/>
        <v>0</v>
      </c>
      <c r="S1241" s="739">
        <f t="shared" si="173"/>
        <v>-291600</v>
      </c>
      <c r="T1241" s="738">
        <v>55.7</v>
      </c>
      <c r="U1241" s="677">
        <f t="shared" si="174"/>
        <v>-120312</v>
      </c>
      <c r="V1241" s="739">
        <f t="shared" si="175"/>
        <v>-171288</v>
      </c>
      <c r="W1241" s="740">
        <v>55.7</v>
      </c>
      <c r="X1241" s="678">
        <f t="shared" si="176"/>
        <v>-120312</v>
      </c>
      <c r="Y1241" s="700">
        <f t="shared" si="177"/>
        <v>-171288</v>
      </c>
      <c r="Z1241" s="740">
        <v>55.7</v>
      </c>
      <c r="AA1241" s="678">
        <f t="shared" si="178"/>
        <v>-120312</v>
      </c>
      <c r="AB1241" s="741">
        <f t="shared" si="179"/>
        <v>-171288</v>
      </c>
      <c r="AC1241" s="714"/>
    </row>
    <row r="1242" spans="1:29" x14ac:dyDescent="0.25">
      <c r="A1242" s="713"/>
      <c r="B1242" s="729" t="s">
        <v>1818</v>
      </c>
      <c r="C1242" s="545" t="s">
        <v>40</v>
      </c>
      <c r="D1242" s="545" t="s">
        <v>585</v>
      </c>
      <c r="E1242" s="681">
        <v>44896</v>
      </c>
      <c r="F1242" s="545">
        <v>744</v>
      </c>
      <c r="G1242" s="545" t="s">
        <v>58</v>
      </c>
      <c r="H1242" s="545" t="s">
        <v>3</v>
      </c>
      <c r="I1242" s="545" t="s">
        <v>44</v>
      </c>
      <c r="J1242" s="545" t="s">
        <v>84</v>
      </c>
      <c r="K1242" s="545">
        <v>135</v>
      </c>
      <c r="L1242" s="725" t="s">
        <v>54</v>
      </c>
      <c r="M1242" s="695">
        <v>3</v>
      </c>
      <c r="N1242" s="725">
        <v>0</v>
      </c>
      <c r="O1242" s="695">
        <v>135</v>
      </c>
      <c r="P1242" s="725">
        <v>0</v>
      </c>
      <c r="Q1242" s="742">
        <f t="shared" si="171"/>
        <v>301320</v>
      </c>
      <c r="R1242" s="603">
        <f t="shared" si="172"/>
        <v>0</v>
      </c>
      <c r="S1242" s="743">
        <f t="shared" si="173"/>
        <v>-301320</v>
      </c>
      <c r="T1242" s="742">
        <v>55.7</v>
      </c>
      <c r="U1242" s="603">
        <f t="shared" si="174"/>
        <v>-124322.40000000001</v>
      </c>
      <c r="V1242" s="743">
        <f t="shared" si="175"/>
        <v>-176997.59999999998</v>
      </c>
      <c r="W1242" s="744">
        <v>55.7</v>
      </c>
      <c r="X1242" s="604">
        <f t="shared" si="176"/>
        <v>-124322.40000000001</v>
      </c>
      <c r="Y1242" s="701">
        <f t="shared" si="177"/>
        <v>-176997.59999999998</v>
      </c>
      <c r="Z1242" s="744">
        <v>78.400653594793155</v>
      </c>
      <c r="AA1242" s="604">
        <f t="shared" si="178"/>
        <v>-174990.25882357833</v>
      </c>
      <c r="AB1242" s="745">
        <f t="shared" si="179"/>
        <v>-126329.74117642167</v>
      </c>
      <c r="AC1242" s="714"/>
    </row>
    <row r="1243" spans="1:29" x14ac:dyDescent="0.25">
      <c r="A1243" s="713"/>
      <c r="B1243" s="731" t="s">
        <v>1819</v>
      </c>
      <c r="C1243" s="547" t="s">
        <v>40</v>
      </c>
      <c r="D1243" s="547" t="s">
        <v>464</v>
      </c>
      <c r="E1243" s="683">
        <v>44805</v>
      </c>
      <c r="F1243" s="547">
        <v>720</v>
      </c>
      <c r="G1243" s="547" t="s">
        <v>58</v>
      </c>
      <c r="H1243" s="547" t="s">
        <v>3</v>
      </c>
      <c r="I1243" s="547" t="s">
        <v>44</v>
      </c>
      <c r="J1243" s="547" t="s">
        <v>84</v>
      </c>
      <c r="K1243" s="547">
        <v>113</v>
      </c>
      <c r="L1243" s="727" t="s">
        <v>54</v>
      </c>
      <c r="M1243" s="697">
        <v>2</v>
      </c>
      <c r="N1243" s="727">
        <v>0</v>
      </c>
      <c r="O1243" s="697">
        <v>113</v>
      </c>
      <c r="P1243" s="727">
        <v>0</v>
      </c>
      <c r="Q1243" s="750">
        <f t="shared" si="171"/>
        <v>162720</v>
      </c>
      <c r="R1243" s="608">
        <f t="shared" si="172"/>
        <v>0</v>
      </c>
      <c r="S1243" s="751">
        <f t="shared" si="173"/>
        <v>-162720</v>
      </c>
      <c r="T1243" s="750">
        <v>56.08</v>
      </c>
      <c r="U1243" s="608">
        <f t="shared" si="174"/>
        <v>-80755.199999999997</v>
      </c>
      <c r="V1243" s="751">
        <f t="shared" si="175"/>
        <v>-81964.800000000003</v>
      </c>
      <c r="W1243" s="752">
        <v>56.08</v>
      </c>
      <c r="X1243" s="609">
        <f t="shared" si="176"/>
        <v>-80755.199999999997</v>
      </c>
      <c r="Y1243" s="703">
        <f t="shared" si="177"/>
        <v>-81964.800000000003</v>
      </c>
      <c r="Z1243" s="752">
        <v>56.08</v>
      </c>
      <c r="AA1243" s="609">
        <f t="shared" si="178"/>
        <v>-80755.199999999997</v>
      </c>
      <c r="AB1243" s="753">
        <f t="shared" si="179"/>
        <v>-81964.800000000003</v>
      </c>
      <c r="AC1243" s="714"/>
    </row>
    <row r="1244" spans="1:29" x14ac:dyDescent="0.25">
      <c r="A1244" s="713"/>
      <c r="B1244" s="730" t="s">
        <v>1820</v>
      </c>
      <c r="C1244" s="546" t="s">
        <v>40</v>
      </c>
      <c r="D1244" s="546" t="s">
        <v>585</v>
      </c>
      <c r="E1244" s="682">
        <v>44835</v>
      </c>
      <c r="F1244" s="546">
        <v>744</v>
      </c>
      <c r="G1244" s="546" t="s">
        <v>58</v>
      </c>
      <c r="H1244" s="546" t="s">
        <v>3</v>
      </c>
      <c r="I1244" s="546" t="s">
        <v>44</v>
      </c>
      <c r="J1244" s="546" t="s">
        <v>84</v>
      </c>
      <c r="K1244" s="546">
        <v>135</v>
      </c>
      <c r="L1244" s="726" t="s">
        <v>54</v>
      </c>
      <c r="M1244" s="696">
        <v>2</v>
      </c>
      <c r="N1244" s="726">
        <v>0</v>
      </c>
      <c r="O1244" s="696">
        <v>135</v>
      </c>
      <c r="P1244" s="726">
        <v>0</v>
      </c>
      <c r="Q1244" s="746">
        <f t="shared" si="171"/>
        <v>200880</v>
      </c>
      <c r="R1244" s="606">
        <f t="shared" si="172"/>
        <v>0</v>
      </c>
      <c r="S1244" s="747">
        <f t="shared" si="173"/>
        <v>-200880</v>
      </c>
      <c r="T1244" s="746">
        <v>55.7</v>
      </c>
      <c r="U1244" s="606">
        <f t="shared" si="174"/>
        <v>-82881.600000000006</v>
      </c>
      <c r="V1244" s="747">
        <f t="shared" si="175"/>
        <v>-117998.39999999999</v>
      </c>
      <c r="W1244" s="748">
        <v>55.7</v>
      </c>
      <c r="X1244" s="607">
        <f t="shared" si="176"/>
        <v>-82881.600000000006</v>
      </c>
      <c r="Y1244" s="702">
        <f t="shared" si="177"/>
        <v>-117998.39999999999</v>
      </c>
      <c r="Z1244" s="748">
        <v>55.7</v>
      </c>
      <c r="AA1244" s="607">
        <f t="shared" si="178"/>
        <v>-82881.600000000006</v>
      </c>
      <c r="AB1244" s="749">
        <f t="shared" si="179"/>
        <v>-117998.39999999999</v>
      </c>
      <c r="AC1244" s="714"/>
    </row>
    <row r="1245" spans="1:29" x14ac:dyDescent="0.25">
      <c r="A1245" s="713"/>
      <c r="B1245" s="714" t="s">
        <v>1820</v>
      </c>
      <c r="C1245" s="676" t="s">
        <v>40</v>
      </c>
      <c r="D1245" s="676" t="s">
        <v>585</v>
      </c>
      <c r="E1245" s="680">
        <v>44866</v>
      </c>
      <c r="F1245" s="676">
        <v>720</v>
      </c>
      <c r="G1245" s="676" t="s">
        <v>58</v>
      </c>
      <c r="H1245" s="676" t="s">
        <v>3</v>
      </c>
      <c r="I1245" s="676" t="s">
        <v>44</v>
      </c>
      <c r="J1245" s="676" t="s">
        <v>84</v>
      </c>
      <c r="K1245" s="676">
        <v>135</v>
      </c>
      <c r="L1245" s="690" t="s">
        <v>54</v>
      </c>
      <c r="M1245" s="691">
        <v>2</v>
      </c>
      <c r="N1245" s="690">
        <v>0</v>
      </c>
      <c r="O1245" s="691">
        <v>135</v>
      </c>
      <c r="P1245" s="690">
        <v>0</v>
      </c>
      <c r="Q1245" s="738">
        <f t="shared" si="171"/>
        <v>194400</v>
      </c>
      <c r="R1245" s="677">
        <f t="shared" si="172"/>
        <v>0</v>
      </c>
      <c r="S1245" s="739">
        <f t="shared" si="173"/>
        <v>-194400</v>
      </c>
      <c r="T1245" s="738">
        <v>55.7</v>
      </c>
      <c r="U1245" s="677">
        <f t="shared" si="174"/>
        <v>-80208</v>
      </c>
      <c r="V1245" s="739">
        <f t="shared" si="175"/>
        <v>-114192</v>
      </c>
      <c r="W1245" s="740">
        <v>55.7</v>
      </c>
      <c r="X1245" s="678">
        <f t="shared" si="176"/>
        <v>-80208</v>
      </c>
      <c r="Y1245" s="700">
        <f t="shared" si="177"/>
        <v>-114192</v>
      </c>
      <c r="Z1245" s="740">
        <v>55.7</v>
      </c>
      <c r="AA1245" s="678">
        <f t="shared" si="178"/>
        <v>-80208</v>
      </c>
      <c r="AB1245" s="741">
        <f t="shared" si="179"/>
        <v>-114192</v>
      </c>
      <c r="AC1245" s="714"/>
    </row>
    <row r="1246" spans="1:29" x14ac:dyDescent="0.25">
      <c r="A1246" s="713"/>
      <c r="B1246" s="729" t="s">
        <v>1820</v>
      </c>
      <c r="C1246" s="545" t="s">
        <v>40</v>
      </c>
      <c r="D1246" s="545" t="s">
        <v>585</v>
      </c>
      <c r="E1246" s="681">
        <v>44896</v>
      </c>
      <c r="F1246" s="545">
        <v>744</v>
      </c>
      <c r="G1246" s="545" t="s">
        <v>58</v>
      </c>
      <c r="H1246" s="545" t="s">
        <v>3</v>
      </c>
      <c r="I1246" s="545" t="s">
        <v>44</v>
      </c>
      <c r="J1246" s="545" t="s">
        <v>84</v>
      </c>
      <c r="K1246" s="545">
        <v>135</v>
      </c>
      <c r="L1246" s="725" t="s">
        <v>54</v>
      </c>
      <c r="M1246" s="695">
        <v>2</v>
      </c>
      <c r="N1246" s="725">
        <v>0</v>
      </c>
      <c r="O1246" s="695">
        <v>135</v>
      </c>
      <c r="P1246" s="725">
        <v>0</v>
      </c>
      <c r="Q1246" s="742">
        <f t="shared" si="171"/>
        <v>200880</v>
      </c>
      <c r="R1246" s="603">
        <f t="shared" si="172"/>
        <v>0</v>
      </c>
      <c r="S1246" s="743">
        <f t="shared" si="173"/>
        <v>-200880</v>
      </c>
      <c r="T1246" s="742">
        <v>55.7</v>
      </c>
      <c r="U1246" s="603">
        <f t="shared" si="174"/>
        <v>-82881.600000000006</v>
      </c>
      <c r="V1246" s="743">
        <f t="shared" si="175"/>
        <v>-117998.39999999999</v>
      </c>
      <c r="W1246" s="744">
        <v>55.7</v>
      </c>
      <c r="X1246" s="604">
        <f t="shared" si="176"/>
        <v>-82881.600000000006</v>
      </c>
      <c r="Y1246" s="701">
        <f t="shared" si="177"/>
        <v>-117998.39999999999</v>
      </c>
      <c r="Z1246" s="744">
        <v>78.400653594793155</v>
      </c>
      <c r="AA1246" s="604">
        <f t="shared" si="178"/>
        <v>-116660.17254905222</v>
      </c>
      <c r="AB1246" s="745">
        <f t="shared" si="179"/>
        <v>-84219.827450947778</v>
      </c>
      <c r="AC1246" s="714"/>
    </row>
    <row r="1247" spans="1:29" x14ac:dyDescent="0.25">
      <c r="A1247" s="713"/>
      <c r="B1247" s="731" t="s">
        <v>1823</v>
      </c>
      <c r="C1247" s="547" t="s">
        <v>40</v>
      </c>
      <c r="D1247" s="547" t="s">
        <v>404</v>
      </c>
      <c r="E1247" s="683">
        <v>44805</v>
      </c>
      <c r="F1247" s="547">
        <v>720</v>
      </c>
      <c r="G1247" s="547" t="s">
        <v>58</v>
      </c>
      <c r="H1247" s="547" t="s">
        <v>3</v>
      </c>
      <c r="I1247" s="547" t="s">
        <v>44</v>
      </c>
      <c r="J1247" s="547" t="s">
        <v>84</v>
      </c>
      <c r="K1247" s="547">
        <v>109</v>
      </c>
      <c r="L1247" s="727" t="s">
        <v>54</v>
      </c>
      <c r="M1247" s="697">
        <v>1</v>
      </c>
      <c r="N1247" s="727">
        <v>0</v>
      </c>
      <c r="O1247" s="697">
        <v>109</v>
      </c>
      <c r="P1247" s="727">
        <v>0</v>
      </c>
      <c r="Q1247" s="750">
        <f t="shared" si="171"/>
        <v>78480</v>
      </c>
      <c r="R1247" s="608">
        <f t="shared" si="172"/>
        <v>0</v>
      </c>
      <c r="S1247" s="751">
        <f t="shared" si="173"/>
        <v>-78480</v>
      </c>
      <c r="T1247" s="750">
        <v>56.08</v>
      </c>
      <c r="U1247" s="608">
        <f t="shared" si="174"/>
        <v>-40377.599999999999</v>
      </c>
      <c r="V1247" s="751">
        <f t="shared" si="175"/>
        <v>-38102.400000000001</v>
      </c>
      <c r="W1247" s="752">
        <v>56.08</v>
      </c>
      <c r="X1247" s="609">
        <f t="shared" si="176"/>
        <v>-40377.599999999999</v>
      </c>
      <c r="Y1247" s="703">
        <f t="shared" si="177"/>
        <v>-38102.400000000001</v>
      </c>
      <c r="Z1247" s="752">
        <v>56.08</v>
      </c>
      <c r="AA1247" s="609">
        <f t="shared" si="178"/>
        <v>-40377.599999999999</v>
      </c>
      <c r="AB1247" s="753">
        <f t="shared" si="179"/>
        <v>-38102.400000000001</v>
      </c>
      <c r="AC1247" s="714"/>
    </row>
    <row r="1248" spans="1:29" x14ac:dyDescent="0.25">
      <c r="A1248" s="713"/>
      <c r="B1248" s="731" t="s">
        <v>1827</v>
      </c>
      <c r="C1248" s="547" t="s">
        <v>40</v>
      </c>
      <c r="D1248" s="547" t="s">
        <v>2475</v>
      </c>
      <c r="E1248" s="683">
        <v>44835</v>
      </c>
      <c r="F1248" s="547">
        <v>744</v>
      </c>
      <c r="G1248" s="547" t="s">
        <v>59</v>
      </c>
      <c r="H1248" s="547" t="s">
        <v>3</v>
      </c>
      <c r="I1248" s="547" t="s">
        <v>44</v>
      </c>
      <c r="J1248" s="547" t="s">
        <v>85</v>
      </c>
      <c r="K1248" s="547">
        <v>117</v>
      </c>
      <c r="L1248" s="727" t="s">
        <v>54</v>
      </c>
      <c r="M1248" s="697">
        <v>0</v>
      </c>
      <c r="N1248" s="727">
        <v>3</v>
      </c>
      <c r="O1248" s="697">
        <v>0</v>
      </c>
      <c r="P1248" s="727">
        <v>117</v>
      </c>
      <c r="Q1248" s="750">
        <f t="shared" si="171"/>
        <v>0</v>
      </c>
      <c r="R1248" s="608">
        <f t="shared" si="172"/>
        <v>261144</v>
      </c>
      <c r="S1248" s="751">
        <f t="shared" si="173"/>
        <v>261144</v>
      </c>
      <c r="T1248" s="750">
        <v>55.7</v>
      </c>
      <c r="U1248" s="608">
        <f t="shared" si="174"/>
        <v>124322.40000000001</v>
      </c>
      <c r="V1248" s="751">
        <f t="shared" si="175"/>
        <v>136821.59999999998</v>
      </c>
      <c r="W1248" s="752">
        <v>55.7</v>
      </c>
      <c r="X1248" s="609">
        <f t="shared" si="176"/>
        <v>124322.40000000001</v>
      </c>
      <c r="Y1248" s="703">
        <f t="shared" si="177"/>
        <v>136821.59999999998</v>
      </c>
      <c r="Z1248" s="752">
        <v>55.7</v>
      </c>
      <c r="AA1248" s="609">
        <f t="shared" si="178"/>
        <v>124322.40000000001</v>
      </c>
      <c r="AB1248" s="753">
        <f t="shared" si="179"/>
        <v>136821.59999999998</v>
      </c>
      <c r="AC1248" s="714"/>
    </row>
    <row r="1249" spans="1:29" x14ac:dyDescent="0.25">
      <c r="A1249" s="713"/>
      <c r="B1249" s="731" t="s">
        <v>1828</v>
      </c>
      <c r="C1249" s="547" t="s">
        <v>40</v>
      </c>
      <c r="D1249" s="547" t="s">
        <v>474</v>
      </c>
      <c r="E1249" s="683">
        <v>44835</v>
      </c>
      <c r="F1249" s="547">
        <v>744</v>
      </c>
      <c r="G1249" s="547" t="s">
        <v>59</v>
      </c>
      <c r="H1249" s="547" t="s">
        <v>3</v>
      </c>
      <c r="I1249" s="547" t="s">
        <v>44</v>
      </c>
      <c r="J1249" s="547" t="s">
        <v>85</v>
      </c>
      <c r="K1249" s="547">
        <v>117</v>
      </c>
      <c r="L1249" s="727" t="s">
        <v>54</v>
      </c>
      <c r="M1249" s="697">
        <v>0</v>
      </c>
      <c r="N1249" s="727">
        <v>10</v>
      </c>
      <c r="O1249" s="697">
        <v>0</v>
      </c>
      <c r="P1249" s="727">
        <v>117</v>
      </c>
      <c r="Q1249" s="750">
        <f t="shared" si="171"/>
        <v>0</v>
      </c>
      <c r="R1249" s="608">
        <f t="shared" si="172"/>
        <v>870480</v>
      </c>
      <c r="S1249" s="751">
        <f t="shared" si="173"/>
        <v>870480</v>
      </c>
      <c r="T1249" s="750">
        <v>55.7</v>
      </c>
      <c r="U1249" s="608">
        <f t="shared" si="174"/>
        <v>414408</v>
      </c>
      <c r="V1249" s="751">
        <f t="shared" si="175"/>
        <v>456072</v>
      </c>
      <c r="W1249" s="752">
        <v>55.7</v>
      </c>
      <c r="X1249" s="609">
        <f t="shared" si="176"/>
        <v>414408</v>
      </c>
      <c r="Y1249" s="703">
        <f t="shared" si="177"/>
        <v>456072</v>
      </c>
      <c r="Z1249" s="752">
        <v>55.7</v>
      </c>
      <c r="AA1249" s="609">
        <f t="shared" si="178"/>
        <v>414408</v>
      </c>
      <c r="AB1249" s="753">
        <f t="shared" si="179"/>
        <v>456072</v>
      </c>
      <c r="AC1249" s="714"/>
    </row>
    <row r="1250" spans="1:29" x14ac:dyDescent="0.25">
      <c r="A1250" s="713"/>
      <c r="B1250" s="731" t="s">
        <v>1829</v>
      </c>
      <c r="C1250" s="547" t="s">
        <v>40</v>
      </c>
      <c r="D1250" s="547" t="s">
        <v>405</v>
      </c>
      <c r="E1250" s="683">
        <v>44835</v>
      </c>
      <c r="F1250" s="547">
        <v>744</v>
      </c>
      <c r="G1250" s="547" t="s">
        <v>59</v>
      </c>
      <c r="H1250" s="547" t="s">
        <v>3</v>
      </c>
      <c r="I1250" s="547" t="s">
        <v>44</v>
      </c>
      <c r="J1250" s="547" t="s">
        <v>85</v>
      </c>
      <c r="K1250" s="547">
        <v>117</v>
      </c>
      <c r="L1250" s="727" t="s">
        <v>54</v>
      </c>
      <c r="M1250" s="697">
        <v>0</v>
      </c>
      <c r="N1250" s="727">
        <v>5</v>
      </c>
      <c r="O1250" s="697">
        <v>0</v>
      </c>
      <c r="P1250" s="727">
        <v>117</v>
      </c>
      <c r="Q1250" s="750">
        <f t="shared" si="171"/>
        <v>0</v>
      </c>
      <c r="R1250" s="608">
        <f t="shared" si="172"/>
        <v>435240</v>
      </c>
      <c r="S1250" s="751">
        <f t="shared" si="173"/>
        <v>435240</v>
      </c>
      <c r="T1250" s="750">
        <v>55.7</v>
      </c>
      <c r="U1250" s="608">
        <f t="shared" si="174"/>
        <v>207204</v>
      </c>
      <c r="V1250" s="751">
        <f t="shared" si="175"/>
        <v>228036</v>
      </c>
      <c r="W1250" s="752">
        <v>55.7</v>
      </c>
      <c r="X1250" s="609">
        <f t="shared" si="176"/>
        <v>207204</v>
      </c>
      <c r="Y1250" s="703">
        <f t="shared" si="177"/>
        <v>228036</v>
      </c>
      <c r="Z1250" s="752">
        <v>55.7</v>
      </c>
      <c r="AA1250" s="609">
        <f t="shared" si="178"/>
        <v>207204</v>
      </c>
      <c r="AB1250" s="753">
        <f t="shared" si="179"/>
        <v>228036</v>
      </c>
      <c r="AC1250" s="714"/>
    </row>
    <row r="1251" spans="1:29" x14ac:dyDescent="0.25">
      <c r="A1251" s="713"/>
      <c r="B1251" s="731" t="s">
        <v>1831</v>
      </c>
      <c r="C1251" s="547" t="s">
        <v>40</v>
      </c>
      <c r="D1251" s="547" t="s">
        <v>478</v>
      </c>
      <c r="E1251" s="683">
        <v>44835</v>
      </c>
      <c r="F1251" s="547">
        <v>744</v>
      </c>
      <c r="G1251" s="547" t="s">
        <v>59</v>
      </c>
      <c r="H1251" s="547" t="s">
        <v>3</v>
      </c>
      <c r="I1251" s="547" t="s">
        <v>44</v>
      </c>
      <c r="J1251" s="547" t="s">
        <v>85</v>
      </c>
      <c r="K1251" s="547">
        <v>112</v>
      </c>
      <c r="L1251" s="727" t="s">
        <v>54</v>
      </c>
      <c r="M1251" s="697">
        <v>0</v>
      </c>
      <c r="N1251" s="727">
        <v>5</v>
      </c>
      <c r="O1251" s="697">
        <v>0</v>
      </c>
      <c r="P1251" s="727">
        <v>112</v>
      </c>
      <c r="Q1251" s="750">
        <f t="shared" si="171"/>
        <v>0</v>
      </c>
      <c r="R1251" s="608">
        <f t="shared" si="172"/>
        <v>416640</v>
      </c>
      <c r="S1251" s="751">
        <f t="shared" si="173"/>
        <v>416640</v>
      </c>
      <c r="T1251" s="750">
        <v>55.7</v>
      </c>
      <c r="U1251" s="608">
        <f t="shared" si="174"/>
        <v>207204</v>
      </c>
      <c r="V1251" s="751">
        <f t="shared" si="175"/>
        <v>209436</v>
      </c>
      <c r="W1251" s="752">
        <v>55.7</v>
      </c>
      <c r="X1251" s="609">
        <f t="shared" si="176"/>
        <v>207204</v>
      </c>
      <c r="Y1251" s="703">
        <f t="shared" si="177"/>
        <v>209436</v>
      </c>
      <c r="Z1251" s="752">
        <v>55.7</v>
      </c>
      <c r="AA1251" s="609">
        <f t="shared" si="178"/>
        <v>207204</v>
      </c>
      <c r="AB1251" s="753">
        <f t="shared" si="179"/>
        <v>209436</v>
      </c>
      <c r="AC1251" s="714"/>
    </row>
    <row r="1252" spans="1:29" x14ac:dyDescent="0.25">
      <c r="A1252" s="713"/>
      <c r="B1252" s="731" t="s">
        <v>1833</v>
      </c>
      <c r="C1252" s="547" t="s">
        <v>40</v>
      </c>
      <c r="D1252" s="547" t="s">
        <v>945</v>
      </c>
      <c r="E1252" s="683">
        <v>44835</v>
      </c>
      <c r="F1252" s="547">
        <v>744</v>
      </c>
      <c r="G1252" s="547" t="s">
        <v>58</v>
      </c>
      <c r="H1252" s="547" t="s">
        <v>3</v>
      </c>
      <c r="I1252" s="547" t="s">
        <v>44</v>
      </c>
      <c r="J1252" s="547" t="s">
        <v>84</v>
      </c>
      <c r="K1252" s="547">
        <v>110.5</v>
      </c>
      <c r="L1252" s="727" t="s">
        <v>54</v>
      </c>
      <c r="M1252" s="697">
        <v>0.1</v>
      </c>
      <c r="N1252" s="727">
        <v>0</v>
      </c>
      <c r="O1252" s="697">
        <v>110.5</v>
      </c>
      <c r="P1252" s="727">
        <v>0</v>
      </c>
      <c r="Q1252" s="750">
        <f t="shared" si="171"/>
        <v>8221.2000000000007</v>
      </c>
      <c r="R1252" s="608">
        <f t="shared" si="172"/>
        <v>0</v>
      </c>
      <c r="S1252" s="751">
        <f t="shared" si="173"/>
        <v>-8221.2000000000007</v>
      </c>
      <c r="T1252" s="750">
        <v>55.7</v>
      </c>
      <c r="U1252" s="608">
        <f t="shared" si="174"/>
        <v>-4144.0800000000008</v>
      </c>
      <c r="V1252" s="751">
        <f t="shared" si="175"/>
        <v>-4077.12</v>
      </c>
      <c r="W1252" s="752">
        <v>55.7</v>
      </c>
      <c r="X1252" s="609">
        <f t="shared" si="176"/>
        <v>-4144.0800000000008</v>
      </c>
      <c r="Y1252" s="703">
        <f t="shared" si="177"/>
        <v>-4077.12</v>
      </c>
      <c r="Z1252" s="752">
        <v>55.7</v>
      </c>
      <c r="AA1252" s="609">
        <f t="shared" si="178"/>
        <v>-4144.0800000000008</v>
      </c>
      <c r="AB1252" s="753">
        <f t="shared" si="179"/>
        <v>-4077.12</v>
      </c>
      <c r="AC1252" s="714"/>
    </row>
    <row r="1253" spans="1:29" x14ac:dyDescent="0.25">
      <c r="A1253" s="713"/>
      <c r="B1253" s="731" t="s">
        <v>1835</v>
      </c>
      <c r="C1253" s="547" t="s">
        <v>40</v>
      </c>
      <c r="D1253" s="547" t="s">
        <v>1779</v>
      </c>
      <c r="E1253" s="683">
        <v>44805</v>
      </c>
      <c r="F1253" s="547">
        <v>720</v>
      </c>
      <c r="G1253" s="547" t="s">
        <v>59</v>
      </c>
      <c r="H1253" s="547" t="s">
        <v>3</v>
      </c>
      <c r="I1253" s="547" t="s">
        <v>44</v>
      </c>
      <c r="J1253" s="547" t="s">
        <v>85</v>
      </c>
      <c r="K1253" s="547">
        <v>83</v>
      </c>
      <c r="L1253" s="727" t="s">
        <v>54</v>
      </c>
      <c r="M1253" s="697">
        <v>0</v>
      </c>
      <c r="N1253" s="727">
        <v>5</v>
      </c>
      <c r="O1253" s="697">
        <v>0</v>
      </c>
      <c r="P1253" s="727">
        <v>83</v>
      </c>
      <c r="Q1253" s="750">
        <f t="shared" si="171"/>
        <v>0</v>
      </c>
      <c r="R1253" s="608">
        <f t="shared" si="172"/>
        <v>298800</v>
      </c>
      <c r="S1253" s="751">
        <f t="shared" si="173"/>
        <v>298800</v>
      </c>
      <c r="T1253" s="750">
        <v>56.08</v>
      </c>
      <c r="U1253" s="608">
        <f t="shared" si="174"/>
        <v>201888</v>
      </c>
      <c r="V1253" s="751">
        <f t="shared" si="175"/>
        <v>96912</v>
      </c>
      <c r="W1253" s="752">
        <v>56.08</v>
      </c>
      <c r="X1253" s="609">
        <f t="shared" si="176"/>
        <v>201888</v>
      </c>
      <c r="Y1253" s="703">
        <f t="shared" si="177"/>
        <v>96912</v>
      </c>
      <c r="Z1253" s="752">
        <v>56.08</v>
      </c>
      <c r="AA1253" s="609">
        <f t="shared" si="178"/>
        <v>201888</v>
      </c>
      <c r="AB1253" s="753">
        <f t="shared" si="179"/>
        <v>96912</v>
      </c>
      <c r="AC1253" s="714"/>
    </row>
    <row r="1254" spans="1:29" x14ac:dyDescent="0.25">
      <c r="A1254" s="713"/>
      <c r="B1254" s="731" t="s">
        <v>1840</v>
      </c>
      <c r="C1254" s="547" t="s">
        <v>40</v>
      </c>
      <c r="D1254" s="547" t="s">
        <v>1838</v>
      </c>
      <c r="E1254" s="683">
        <v>44713</v>
      </c>
      <c r="F1254" s="547">
        <v>720</v>
      </c>
      <c r="G1254" s="547" t="s">
        <v>58</v>
      </c>
      <c r="H1254" s="547" t="s">
        <v>5</v>
      </c>
      <c r="I1254" s="547" t="s">
        <v>44</v>
      </c>
      <c r="J1254" s="547" t="s">
        <v>84</v>
      </c>
      <c r="K1254" s="547">
        <v>30</v>
      </c>
      <c r="L1254" s="727" t="s">
        <v>92</v>
      </c>
      <c r="M1254" s="697">
        <v>1</v>
      </c>
      <c r="N1254" s="727">
        <v>0</v>
      </c>
      <c r="O1254" s="697">
        <v>85.710000000000008</v>
      </c>
      <c r="P1254" s="727">
        <v>0</v>
      </c>
      <c r="Q1254" s="750">
        <f t="shared" si="171"/>
        <v>61711.200000000004</v>
      </c>
      <c r="R1254" s="608">
        <f t="shared" si="172"/>
        <v>0</v>
      </c>
      <c r="S1254" s="751">
        <f t="shared" si="173"/>
        <v>-61711.200000000004</v>
      </c>
      <c r="T1254" s="750">
        <v>55.71</v>
      </c>
      <c r="U1254" s="608">
        <f t="shared" si="174"/>
        <v>-40111.199999999997</v>
      </c>
      <c r="V1254" s="751">
        <f t="shared" si="175"/>
        <v>-21600.000000000007</v>
      </c>
      <c r="W1254" s="752">
        <v>55.71</v>
      </c>
      <c r="X1254" s="609">
        <f t="shared" si="176"/>
        <v>-40111.199999999997</v>
      </c>
      <c r="Y1254" s="703">
        <f t="shared" si="177"/>
        <v>-21600.000000000007</v>
      </c>
      <c r="Z1254" s="752">
        <v>55.71</v>
      </c>
      <c r="AA1254" s="609">
        <f t="shared" si="178"/>
        <v>-40111.199999999997</v>
      </c>
      <c r="AB1254" s="753">
        <f t="shared" si="179"/>
        <v>-21600.000000000007</v>
      </c>
      <c r="AC1254" s="714"/>
    </row>
    <row r="1255" spans="1:29" x14ac:dyDescent="0.25">
      <c r="A1255" s="713"/>
      <c r="B1255" s="731" t="s">
        <v>1841</v>
      </c>
      <c r="C1255" s="547" t="s">
        <v>40</v>
      </c>
      <c r="D1255" s="547" t="s">
        <v>1839</v>
      </c>
      <c r="E1255" s="683">
        <v>44896</v>
      </c>
      <c r="F1255" s="547">
        <v>744</v>
      </c>
      <c r="G1255" s="547" t="s">
        <v>58</v>
      </c>
      <c r="H1255" s="547" t="s">
        <v>3</v>
      </c>
      <c r="I1255" s="547" t="s">
        <v>44</v>
      </c>
      <c r="J1255" s="547" t="s">
        <v>84</v>
      </c>
      <c r="K1255" s="547">
        <v>103</v>
      </c>
      <c r="L1255" s="727" t="s">
        <v>54</v>
      </c>
      <c r="M1255" s="697">
        <v>1</v>
      </c>
      <c r="N1255" s="727">
        <v>0</v>
      </c>
      <c r="O1255" s="697">
        <v>103</v>
      </c>
      <c r="P1255" s="727">
        <v>0</v>
      </c>
      <c r="Q1255" s="750">
        <f t="shared" si="171"/>
        <v>76632</v>
      </c>
      <c r="R1255" s="608">
        <f t="shared" si="172"/>
        <v>0</v>
      </c>
      <c r="S1255" s="751">
        <f t="shared" si="173"/>
        <v>-76632</v>
      </c>
      <c r="T1255" s="750">
        <v>55.7</v>
      </c>
      <c r="U1255" s="608">
        <f t="shared" si="174"/>
        <v>-41440.800000000003</v>
      </c>
      <c r="V1255" s="751">
        <f t="shared" si="175"/>
        <v>-35191.199999999997</v>
      </c>
      <c r="W1255" s="752">
        <v>55.7</v>
      </c>
      <c r="X1255" s="609">
        <f t="shared" si="176"/>
        <v>-41440.800000000003</v>
      </c>
      <c r="Y1255" s="703">
        <f t="shared" si="177"/>
        <v>-35191.199999999997</v>
      </c>
      <c r="Z1255" s="752">
        <v>78.400653594793155</v>
      </c>
      <c r="AA1255" s="609">
        <f t="shared" si="178"/>
        <v>-58330.086274526111</v>
      </c>
      <c r="AB1255" s="753">
        <f t="shared" si="179"/>
        <v>-18301.913725473889</v>
      </c>
      <c r="AC1255" s="714"/>
    </row>
    <row r="1256" spans="1:29" x14ac:dyDescent="0.25">
      <c r="A1256" s="713"/>
      <c r="B1256" s="731" t="s">
        <v>1844</v>
      </c>
      <c r="C1256" s="547" t="s">
        <v>40</v>
      </c>
      <c r="D1256" s="547" t="s">
        <v>405</v>
      </c>
      <c r="E1256" s="683">
        <v>44896</v>
      </c>
      <c r="F1256" s="547">
        <v>744</v>
      </c>
      <c r="G1256" s="547" t="s">
        <v>58</v>
      </c>
      <c r="H1256" s="547" t="s">
        <v>3</v>
      </c>
      <c r="I1256" s="547" t="s">
        <v>44</v>
      </c>
      <c r="J1256" s="547" t="s">
        <v>84</v>
      </c>
      <c r="K1256" s="547">
        <v>104</v>
      </c>
      <c r="L1256" s="727" t="s">
        <v>54</v>
      </c>
      <c r="M1256" s="697">
        <v>5.5</v>
      </c>
      <c r="N1256" s="727">
        <v>0</v>
      </c>
      <c r="O1256" s="697">
        <v>104</v>
      </c>
      <c r="P1256" s="727">
        <v>0</v>
      </c>
      <c r="Q1256" s="750">
        <f t="shared" si="171"/>
        <v>425568</v>
      </c>
      <c r="R1256" s="608">
        <f t="shared" si="172"/>
        <v>0</v>
      </c>
      <c r="S1256" s="751">
        <f t="shared" si="173"/>
        <v>-425568</v>
      </c>
      <c r="T1256" s="750">
        <v>55.7</v>
      </c>
      <c r="U1256" s="608">
        <f t="shared" si="174"/>
        <v>-227924.40000000002</v>
      </c>
      <c r="V1256" s="751">
        <f t="shared" si="175"/>
        <v>-197643.59999999998</v>
      </c>
      <c r="W1256" s="752">
        <v>55.7</v>
      </c>
      <c r="X1256" s="609">
        <f t="shared" si="176"/>
        <v>-227924.40000000002</v>
      </c>
      <c r="Y1256" s="703">
        <f t="shared" si="177"/>
        <v>-197643.59999999998</v>
      </c>
      <c r="Z1256" s="752">
        <v>78.400653594793155</v>
      </c>
      <c r="AA1256" s="609">
        <f t="shared" si="178"/>
        <v>-320815.47450989357</v>
      </c>
      <c r="AB1256" s="753">
        <f t="shared" si="179"/>
        <v>-104752.52549010643</v>
      </c>
      <c r="AC1256" s="714"/>
    </row>
    <row r="1257" spans="1:29" x14ac:dyDescent="0.25">
      <c r="A1257" s="713"/>
      <c r="B1257" s="731" t="s">
        <v>1845</v>
      </c>
      <c r="C1257" s="547" t="s">
        <v>40</v>
      </c>
      <c r="D1257" s="547" t="s">
        <v>348</v>
      </c>
      <c r="E1257" s="683">
        <v>44866</v>
      </c>
      <c r="F1257" s="547">
        <v>720</v>
      </c>
      <c r="G1257" s="547" t="s">
        <v>59</v>
      </c>
      <c r="H1257" s="547" t="s">
        <v>3</v>
      </c>
      <c r="I1257" s="547" t="s">
        <v>44</v>
      </c>
      <c r="J1257" s="547" t="s">
        <v>85</v>
      </c>
      <c r="K1257" s="547">
        <v>109.5</v>
      </c>
      <c r="L1257" s="727" t="s">
        <v>54</v>
      </c>
      <c r="M1257" s="697">
        <v>0</v>
      </c>
      <c r="N1257" s="727">
        <v>5</v>
      </c>
      <c r="O1257" s="697">
        <v>0</v>
      </c>
      <c r="P1257" s="727">
        <v>109.5</v>
      </c>
      <c r="Q1257" s="750">
        <f t="shared" si="171"/>
        <v>0</v>
      </c>
      <c r="R1257" s="608">
        <f t="shared" si="172"/>
        <v>394200</v>
      </c>
      <c r="S1257" s="751">
        <f t="shared" si="173"/>
        <v>394200</v>
      </c>
      <c r="T1257" s="750">
        <v>55.7</v>
      </c>
      <c r="U1257" s="608">
        <f t="shared" si="174"/>
        <v>200520</v>
      </c>
      <c r="V1257" s="751">
        <f t="shared" si="175"/>
        <v>193680</v>
      </c>
      <c r="W1257" s="752">
        <v>55.7</v>
      </c>
      <c r="X1257" s="609">
        <f t="shared" si="176"/>
        <v>200520</v>
      </c>
      <c r="Y1257" s="703">
        <f t="shared" si="177"/>
        <v>193680</v>
      </c>
      <c r="Z1257" s="752">
        <v>55.7</v>
      </c>
      <c r="AA1257" s="609">
        <f t="shared" si="178"/>
        <v>200520</v>
      </c>
      <c r="AB1257" s="753">
        <f t="shared" si="179"/>
        <v>193680</v>
      </c>
      <c r="AC1257" s="714"/>
    </row>
    <row r="1258" spans="1:29" x14ac:dyDescent="0.25">
      <c r="A1258" s="713"/>
      <c r="B1258" s="731" t="s">
        <v>1857</v>
      </c>
      <c r="C1258" s="547" t="s">
        <v>40</v>
      </c>
      <c r="D1258" s="547" t="s">
        <v>1854</v>
      </c>
      <c r="E1258" s="683">
        <v>44805</v>
      </c>
      <c r="F1258" s="547">
        <v>720</v>
      </c>
      <c r="G1258" s="547" t="s">
        <v>59</v>
      </c>
      <c r="H1258" s="547" t="s">
        <v>3</v>
      </c>
      <c r="I1258" s="547" t="s">
        <v>44</v>
      </c>
      <c r="J1258" s="547" t="s">
        <v>85</v>
      </c>
      <c r="K1258" s="547">
        <v>78</v>
      </c>
      <c r="L1258" s="727" t="s">
        <v>54</v>
      </c>
      <c r="M1258" s="697">
        <v>0</v>
      </c>
      <c r="N1258" s="727">
        <v>3</v>
      </c>
      <c r="O1258" s="697">
        <v>0</v>
      </c>
      <c r="P1258" s="727">
        <v>78</v>
      </c>
      <c r="Q1258" s="750">
        <f t="shared" si="171"/>
        <v>0</v>
      </c>
      <c r="R1258" s="608">
        <f t="shared" si="172"/>
        <v>168480</v>
      </c>
      <c r="S1258" s="751">
        <f t="shared" si="173"/>
        <v>168480</v>
      </c>
      <c r="T1258" s="750">
        <v>56.08</v>
      </c>
      <c r="U1258" s="608">
        <f t="shared" si="174"/>
        <v>121132.8</v>
      </c>
      <c r="V1258" s="751">
        <f t="shared" si="175"/>
        <v>47347.199999999997</v>
      </c>
      <c r="W1258" s="752">
        <v>56.08</v>
      </c>
      <c r="X1258" s="609">
        <f t="shared" si="176"/>
        <v>121132.8</v>
      </c>
      <c r="Y1258" s="703">
        <f t="shared" si="177"/>
        <v>47347.199999999997</v>
      </c>
      <c r="Z1258" s="752">
        <v>56.08</v>
      </c>
      <c r="AA1258" s="609">
        <f t="shared" si="178"/>
        <v>121132.8</v>
      </c>
      <c r="AB1258" s="753">
        <f t="shared" si="179"/>
        <v>47347.199999999997</v>
      </c>
      <c r="AC1258" s="714"/>
    </row>
    <row r="1259" spans="1:29" x14ac:dyDescent="0.25">
      <c r="A1259" s="713"/>
      <c r="B1259" s="731" t="s">
        <v>1858</v>
      </c>
      <c r="C1259" s="547" t="s">
        <v>40</v>
      </c>
      <c r="D1259" s="547" t="s">
        <v>1855</v>
      </c>
      <c r="E1259" s="683">
        <v>44805</v>
      </c>
      <c r="F1259" s="547">
        <v>720</v>
      </c>
      <c r="G1259" s="547" t="s">
        <v>59</v>
      </c>
      <c r="H1259" s="547" t="s">
        <v>3</v>
      </c>
      <c r="I1259" s="547" t="s">
        <v>44</v>
      </c>
      <c r="J1259" s="547" t="s">
        <v>85</v>
      </c>
      <c r="K1259" s="547">
        <v>79</v>
      </c>
      <c r="L1259" s="727" t="s">
        <v>54</v>
      </c>
      <c r="M1259" s="697">
        <v>0</v>
      </c>
      <c r="N1259" s="727">
        <v>2.4722219999999999</v>
      </c>
      <c r="O1259" s="697">
        <v>0</v>
      </c>
      <c r="P1259" s="727">
        <v>79</v>
      </c>
      <c r="Q1259" s="750">
        <f t="shared" si="171"/>
        <v>0</v>
      </c>
      <c r="R1259" s="608">
        <f t="shared" si="172"/>
        <v>140619.98736</v>
      </c>
      <c r="S1259" s="751">
        <f t="shared" si="173"/>
        <v>140619.98736</v>
      </c>
      <c r="T1259" s="750">
        <v>56.08</v>
      </c>
      <c r="U1259" s="608">
        <f t="shared" si="174"/>
        <v>99822.391027199992</v>
      </c>
      <c r="V1259" s="751">
        <f t="shared" si="175"/>
        <v>40797.596332800007</v>
      </c>
      <c r="W1259" s="752">
        <v>56.08</v>
      </c>
      <c r="X1259" s="609">
        <f t="shared" si="176"/>
        <v>99822.391027199992</v>
      </c>
      <c r="Y1259" s="703">
        <f t="shared" si="177"/>
        <v>40797.596332800007</v>
      </c>
      <c r="Z1259" s="752">
        <v>56.08</v>
      </c>
      <c r="AA1259" s="609">
        <f t="shared" si="178"/>
        <v>99822.391027199992</v>
      </c>
      <c r="AB1259" s="753">
        <f t="shared" si="179"/>
        <v>40797.596332800007</v>
      </c>
      <c r="AC1259" s="714"/>
    </row>
    <row r="1260" spans="1:29" x14ac:dyDescent="0.25">
      <c r="A1260" s="713"/>
      <c r="B1260" s="731" t="s">
        <v>1859</v>
      </c>
      <c r="C1260" s="547" t="s">
        <v>40</v>
      </c>
      <c r="D1260" s="547" t="s">
        <v>507</v>
      </c>
      <c r="E1260" s="683">
        <v>44713</v>
      </c>
      <c r="F1260" s="547">
        <v>720</v>
      </c>
      <c r="G1260" s="547" t="s">
        <v>58</v>
      </c>
      <c r="H1260" s="547" t="s">
        <v>5</v>
      </c>
      <c r="I1260" s="547" t="s">
        <v>44</v>
      </c>
      <c r="J1260" s="547" t="s">
        <v>84</v>
      </c>
      <c r="K1260" s="547">
        <v>31</v>
      </c>
      <c r="L1260" s="727" t="s">
        <v>92</v>
      </c>
      <c r="M1260" s="697">
        <v>3</v>
      </c>
      <c r="N1260" s="727">
        <v>0</v>
      </c>
      <c r="O1260" s="697">
        <v>86.710000000000008</v>
      </c>
      <c r="P1260" s="727">
        <v>0</v>
      </c>
      <c r="Q1260" s="750">
        <f t="shared" si="171"/>
        <v>187293.6</v>
      </c>
      <c r="R1260" s="608">
        <f t="shared" si="172"/>
        <v>0</v>
      </c>
      <c r="S1260" s="751">
        <f t="shared" si="173"/>
        <v>-187293.6</v>
      </c>
      <c r="T1260" s="750">
        <v>55.71</v>
      </c>
      <c r="U1260" s="608">
        <f t="shared" si="174"/>
        <v>-120333.6</v>
      </c>
      <c r="V1260" s="751">
        <f t="shared" si="175"/>
        <v>-66960</v>
      </c>
      <c r="W1260" s="752">
        <v>55.71</v>
      </c>
      <c r="X1260" s="609">
        <f t="shared" si="176"/>
        <v>-120333.6</v>
      </c>
      <c r="Y1260" s="703">
        <f t="shared" si="177"/>
        <v>-66960</v>
      </c>
      <c r="Z1260" s="752">
        <v>55.71</v>
      </c>
      <c r="AA1260" s="609">
        <f t="shared" si="178"/>
        <v>-120333.6</v>
      </c>
      <c r="AB1260" s="753">
        <f t="shared" si="179"/>
        <v>-66960</v>
      </c>
      <c r="AC1260" s="714"/>
    </row>
    <row r="1261" spans="1:29" x14ac:dyDescent="0.25">
      <c r="A1261" s="713"/>
      <c r="B1261" s="731" t="s">
        <v>1860</v>
      </c>
      <c r="C1261" s="547" t="s">
        <v>40</v>
      </c>
      <c r="D1261" s="547" t="s">
        <v>1855</v>
      </c>
      <c r="E1261" s="683">
        <v>44805</v>
      </c>
      <c r="F1261" s="547">
        <v>720</v>
      </c>
      <c r="G1261" s="547" t="s">
        <v>59</v>
      </c>
      <c r="H1261" s="547" t="s">
        <v>3</v>
      </c>
      <c r="I1261" s="547" t="s">
        <v>44</v>
      </c>
      <c r="J1261" s="547" t="s">
        <v>85</v>
      </c>
      <c r="K1261" s="547">
        <v>79</v>
      </c>
      <c r="L1261" s="727" t="s">
        <v>54</v>
      </c>
      <c r="M1261" s="697">
        <v>0</v>
      </c>
      <c r="N1261" s="727">
        <v>1</v>
      </c>
      <c r="O1261" s="697">
        <v>0</v>
      </c>
      <c r="P1261" s="727">
        <v>79</v>
      </c>
      <c r="Q1261" s="750">
        <f t="shared" si="171"/>
        <v>0</v>
      </c>
      <c r="R1261" s="608">
        <f t="shared" si="172"/>
        <v>56880</v>
      </c>
      <c r="S1261" s="751">
        <f t="shared" si="173"/>
        <v>56880</v>
      </c>
      <c r="T1261" s="750">
        <v>56.08</v>
      </c>
      <c r="U1261" s="608">
        <f t="shared" si="174"/>
        <v>40377.599999999999</v>
      </c>
      <c r="V1261" s="751">
        <f t="shared" si="175"/>
        <v>16502.400000000001</v>
      </c>
      <c r="W1261" s="752">
        <v>56.08</v>
      </c>
      <c r="X1261" s="609">
        <f t="shared" si="176"/>
        <v>40377.599999999999</v>
      </c>
      <c r="Y1261" s="703">
        <f t="shared" si="177"/>
        <v>16502.400000000001</v>
      </c>
      <c r="Z1261" s="752">
        <v>56.08</v>
      </c>
      <c r="AA1261" s="609">
        <f t="shared" si="178"/>
        <v>40377.599999999999</v>
      </c>
      <c r="AB1261" s="753">
        <f t="shared" si="179"/>
        <v>16502.400000000001</v>
      </c>
      <c r="AC1261" s="714"/>
    </row>
    <row r="1262" spans="1:29" x14ac:dyDescent="0.25">
      <c r="A1262" s="713"/>
      <c r="B1262" s="731" t="s">
        <v>1861</v>
      </c>
      <c r="C1262" s="547" t="s">
        <v>40</v>
      </c>
      <c r="D1262" s="547" t="s">
        <v>348</v>
      </c>
      <c r="E1262" s="683">
        <v>44866</v>
      </c>
      <c r="F1262" s="547">
        <v>720</v>
      </c>
      <c r="G1262" s="547" t="s">
        <v>59</v>
      </c>
      <c r="H1262" s="547" t="s">
        <v>3</v>
      </c>
      <c r="I1262" s="547" t="s">
        <v>44</v>
      </c>
      <c r="J1262" s="547" t="s">
        <v>85</v>
      </c>
      <c r="K1262" s="547">
        <v>104</v>
      </c>
      <c r="L1262" s="727" t="s">
        <v>54</v>
      </c>
      <c r="M1262" s="697">
        <v>0</v>
      </c>
      <c r="N1262" s="727">
        <v>5</v>
      </c>
      <c r="O1262" s="697">
        <v>0</v>
      </c>
      <c r="P1262" s="727">
        <v>104</v>
      </c>
      <c r="Q1262" s="750">
        <f t="shared" si="171"/>
        <v>0</v>
      </c>
      <c r="R1262" s="608">
        <f t="shared" si="172"/>
        <v>374400</v>
      </c>
      <c r="S1262" s="751">
        <f t="shared" si="173"/>
        <v>374400</v>
      </c>
      <c r="T1262" s="750">
        <v>55.7</v>
      </c>
      <c r="U1262" s="608">
        <f t="shared" si="174"/>
        <v>200520</v>
      </c>
      <c r="V1262" s="751">
        <f t="shared" si="175"/>
        <v>173880</v>
      </c>
      <c r="W1262" s="752">
        <v>55.7</v>
      </c>
      <c r="X1262" s="609">
        <f t="shared" si="176"/>
        <v>200520</v>
      </c>
      <c r="Y1262" s="703">
        <f t="shared" si="177"/>
        <v>173880</v>
      </c>
      <c r="Z1262" s="752">
        <v>55.7</v>
      </c>
      <c r="AA1262" s="609">
        <f t="shared" si="178"/>
        <v>200520</v>
      </c>
      <c r="AB1262" s="753">
        <f t="shared" si="179"/>
        <v>173880</v>
      </c>
      <c r="AC1262" s="714"/>
    </row>
    <row r="1263" spans="1:29" x14ac:dyDescent="0.25">
      <c r="A1263" s="713"/>
      <c r="B1263" s="731" t="s">
        <v>1862</v>
      </c>
      <c r="C1263" s="547" t="s">
        <v>40</v>
      </c>
      <c r="D1263" s="547" t="s">
        <v>1856</v>
      </c>
      <c r="E1263" s="683">
        <v>44713</v>
      </c>
      <c r="F1263" s="547">
        <v>720</v>
      </c>
      <c r="G1263" s="547" t="s">
        <v>58</v>
      </c>
      <c r="H1263" s="547" t="s">
        <v>5</v>
      </c>
      <c r="I1263" s="547" t="s">
        <v>44</v>
      </c>
      <c r="J1263" s="547" t="s">
        <v>84</v>
      </c>
      <c r="K1263" s="547">
        <v>30</v>
      </c>
      <c r="L1263" s="727" t="s">
        <v>92</v>
      </c>
      <c r="M1263" s="697">
        <v>10</v>
      </c>
      <c r="N1263" s="727">
        <v>0</v>
      </c>
      <c r="O1263" s="697">
        <v>85.710000000000008</v>
      </c>
      <c r="P1263" s="727">
        <v>0</v>
      </c>
      <c r="Q1263" s="750">
        <f t="shared" si="171"/>
        <v>617112</v>
      </c>
      <c r="R1263" s="608">
        <f t="shared" si="172"/>
        <v>0</v>
      </c>
      <c r="S1263" s="751">
        <f t="shared" si="173"/>
        <v>-617112</v>
      </c>
      <c r="T1263" s="750">
        <v>55.71</v>
      </c>
      <c r="U1263" s="608">
        <f t="shared" si="174"/>
        <v>-401112</v>
      </c>
      <c r="V1263" s="751">
        <f t="shared" si="175"/>
        <v>-216000</v>
      </c>
      <c r="W1263" s="752">
        <v>55.71</v>
      </c>
      <c r="X1263" s="609">
        <f t="shared" si="176"/>
        <v>-401112</v>
      </c>
      <c r="Y1263" s="703">
        <f t="shared" si="177"/>
        <v>-216000</v>
      </c>
      <c r="Z1263" s="752">
        <v>55.71</v>
      </c>
      <c r="AA1263" s="609">
        <f t="shared" si="178"/>
        <v>-401112</v>
      </c>
      <c r="AB1263" s="753">
        <f t="shared" si="179"/>
        <v>-216000</v>
      </c>
      <c r="AC1263" s="714"/>
    </row>
    <row r="1264" spans="1:29" x14ac:dyDescent="0.25">
      <c r="A1264" s="713"/>
      <c r="B1264" s="731" t="s">
        <v>1863</v>
      </c>
      <c r="C1264" s="547" t="s">
        <v>40</v>
      </c>
      <c r="D1264" s="547" t="s">
        <v>1132</v>
      </c>
      <c r="E1264" s="683">
        <v>44835</v>
      </c>
      <c r="F1264" s="547">
        <v>744</v>
      </c>
      <c r="G1264" s="547" t="s">
        <v>59</v>
      </c>
      <c r="H1264" s="547" t="s">
        <v>3</v>
      </c>
      <c r="I1264" s="547" t="s">
        <v>44</v>
      </c>
      <c r="J1264" s="547" t="s">
        <v>85</v>
      </c>
      <c r="K1264" s="547">
        <v>101</v>
      </c>
      <c r="L1264" s="727" t="s">
        <v>54</v>
      </c>
      <c r="M1264" s="697">
        <v>0</v>
      </c>
      <c r="N1264" s="727">
        <v>1</v>
      </c>
      <c r="O1264" s="697">
        <v>0</v>
      </c>
      <c r="P1264" s="727">
        <v>101</v>
      </c>
      <c r="Q1264" s="750">
        <f t="shared" si="171"/>
        <v>0</v>
      </c>
      <c r="R1264" s="608">
        <f t="shared" si="172"/>
        <v>75144</v>
      </c>
      <c r="S1264" s="751">
        <f t="shared" si="173"/>
        <v>75144</v>
      </c>
      <c r="T1264" s="750">
        <v>55.7</v>
      </c>
      <c r="U1264" s="608">
        <f t="shared" si="174"/>
        <v>41440.800000000003</v>
      </c>
      <c r="V1264" s="751">
        <f t="shared" si="175"/>
        <v>33703.199999999997</v>
      </c>
      <c r="W1264" s="752">
        <v>55.7</v>
      </c>
      <c r="X1264" s="609">
        <f t="shared" si="176"/>
        <v>41440.800000000003</v>
      </c>
      <c r="Y1264" s="703">
        <f t="shared" si="177"/>
        <v>33703.199999999997</v>
      </c>
      <c r="Z1264" s="752">
        <v>55.7</v>
      </c>
      <c r="AA1264" s="609">
        <f t="shared" si="178"/>
        <v>41440.800000000003</v>
      </c>
      <c r="AB1264" s="753">
        <f t="shared" si="179"/>
        <v>33703.199999999997</v>
      </c>
      <c r="AC1264" s="714"/>
    </row>
    <row r="1265" spans="1:29" x14ac:dyDescent="0.25">
      <c r="A1265" s="713"/>
      <c r="B1265" s="731" t="s">
        <v>1864</v>
      </c>
      <c r="C1265" s="547" t="s">
        <v>40</v>
      </c>
      <c r="D1265" s="547" t="s">
        <v>474</v>
      </c>
      <c r="E1265" s="683">
        <v>44835</v>
      </c>
      <c r="F1265" s="547">
        <v>744</v>
      </c>
      <c r="G1265" s="547" t="s">
        <v>59</v>
      </c>
      <c r="H1265" s="547" t="s">
        <v>3</v>
      </c>
      <c r="I1265" s="547" t="s">
        <v>44</v>
      </c>
      <c r="J1265" s="547" t="s">
        <v>85</v>
      </c>
      <c r="K1265" s="547">
        <v>101</v>
      </c>
      <c r="L1265" s="727" t="s">
        <v>54</v>
      </c>
      <c r="M1265" s="697">
        <v>0</v>
      </c>
      <c r="N1265" s="727">
        <v>3</v>
      </c>
      <c r="O1265" s="697">
        <v>0</v>
      </c>
      <c r="P1265" s="727">
        <v>101</v>
      </c>
      <c r="Q1265" s="750">
        <f t="shared" si="171"/>
        <v>0</v>
      </c>
      <c r="R1265" s="608">
        <f t="shared" si="172"/>
        <v>225432</v>
      </c>
      <c r="S1265" s="751">
        <f t="shared" si="173"/>
        <v>225432</v>
      </c>
      <c r="T1265" s="750">
        <v>55.7</v>
      </c>
      <c r="U1265" s="608">
        <f t="shared" si="174"/>
        <v>124322.40000000001</v>
      </c>
      <c r="V1265" s="751">
        <f t="shared" si="175"/>
        <v>101109.59999999999</v>
      </c>
      <c r="W1265" s="752">
        <v>55.7</v>
      </c>
      <c r="X1265" s="609">
        <f t="shared" si="176"/>
        <v>124322.40000000001</v>
      </c>
      <c r="Y1265" s="703">
        <f t="shared" si="177"/>
        <v>101109.59999999999</v>
      </c>
      <c r="Z1265" s="752">
        <v>55.7</v>
      </c>
      <c r="AA1265" s="609">
        <f t="shared" si="178"/>
        <v>124322.40000000001</v>
      </c>
      <c r="AB1265" s="753">
        <f t="shared" si="179"/>
        <v>101109.59999999999</v>
      </c>
      <c r="AC1265" s="714"/>
    </row>
    <row r="1266" spans="1:29" x14ac:dyDescent="0.25">
      <c r="A1266" s="713"/>
      <c r="B1266" s="731" t="s">
        <v>1876</v>
      </c>
      <c r="C1266" s="547" t="s">
        <v>40</v>
      </c>
      <c r="D1266" s="547" t="s">
        <v>354</v>
      </c>
      <c r="E1266" s="683">
        <v>44866</v>
      </c>
      <c r="F1266" s="547">
        <v>720</v>
      </c>
      <c r="G1266" s="547" t="s">
        <v>59</v>
      </c>
      <c r="H1266" s="547" t="s">
        <v>3</v>
      </c>
      <c r="I1266" s="547" t="s">
        <v>44</v>
      </c>
      <c r="J1266" s="547" t="s">
        <v>85</v>
      </c>
      <c r="K1266" s="547">
        <v>98</v>
      </c>
      <c r="L1266" s="727" t="s">
        <v>54</v>
      </c>
      <c r="M1266" s="697">
        <v>0</v>
      </c>
      <c r="N1266" s="727">
        <v>3</v>
      </c>
      <c r="O1266" s="697">
        <v>0</v>
      </c>
      <c r="P1266" s="727">
        <v>98</v>
      </c>
      <c r="Q1266" s="750">
        <f t="shared" si="171"/>
        <v>0</v>
      </c>
      <c r="R1266" s="608">
        <f t="shared" si="172"/>
        <v>211680</v>
      </c>
      <c r="S1266" s="751">
        <f t="shared" si="173"/>
        <v>211680</v>
      </c>
      <c r="T1266" s="750">
        <v>55.7</v>
      </c>
      <c r="U1266" s="608">
        <f t="shared" si="174"/>
        <v>120312</v>
      </c>
      <c r="V1266" s="751">
        <f t="shared" si="175"/>
        <v>91368</v>
      </c>
      <c r="W1266" s="752">
        <v>55.7</v>
      </c>
      <c r="X1266" s="609">
        <f t="shared" si="176"/>
        <v>120312</v>
      </c>
      <c r="Y1266" s="703">
        <f t="shared" si="177"/>
        <v>91368</v>
      </c>
      <c r="Z1266" s="752">
        <v>55.7</v>
      </c>
      <c r="AA1266" s="609">
        <f t="shared" si="178"/>
        <v>120312</v>
      </c>
      <c r="AB1266" s="753">
        <f t="shared" si="179"/>
        <v>91368</v>
      </c>
      <c r="AC1266" s="714"/>
    </row>
    <row r="1267" spans="1:29" x14ac:dyDescent="0.25">
      <c r="A1267" s="713"/>
      <c r="B1267" s="731" t="s">
        <v>1877</v>
      </c>
      <c r="C1267" s="547" t="s">
        <v>40</v>
      </c>
      <c r="D1267" s="547" t="s">
        <v>508</v>
      </c>
      <c r="E1267" s="683">
        <v>44835</v>
      </c>
      <c r="F1267" s="547">
        <v>744</v>
      </c>
      <c r="G1267" s="547" t="s">
        <v>59</v>
      </c>
      <c r="H1267" s="547" t="s">
        <v>3</v>
      </c>
      <c r="I1267" s="547" t="s">
        <v>44</v>
      </c>
      <c r="J1267" s="547" t="s">
        <v>85</v>
      </c>
      <c r="K1267" s="547">
        <v>94</v>
      </c>
      <c r="L1267" s="727" t="s">
        <v>54</v>
      </c>
      <c r="M1267" s="697">
        <v>0</v>
      </c>
      <c r="N1267" s="727">
        <v>3</v>
      </c>
      <c r="O1267" s="697">
        <v>0</v>
      </c>
      <c r="P1267" s="727">
        <v>94</v>
      </c>
      <c r="Q1267" s="750">
        <f t="shared" si="171"/>
        <v>0</v>
      </c>
      <c r="R1267" s="608">
        <f t="shared" si="172"/>
        <v>209808</v>
      </c>
      <c r="S1267" s="751">
        <f t="shared" si="173"/>
        <v>209808</v>
      </c>
      <c r="T1267" s="750">
        <v>55.7</v>
      </c>
      <c r="U1267" s="608">
        <f t="shared" si="174"/>
        <v>124322.40000000001</v>
      </c>
      <c r="V1267" s="751">
        <f t="shared" si="175"/>
        <v>85485.599999999991</v>
      </c>
      <c r="W1267" s="752">
        <v>55.7</v>
      </c>
      <c r="X1267" s="609">
        <f t="shared" si="176"/>
        <v>124322.40000000001</v>
      </c>
      <c r="Y1267" s="703">
        <f t="shared" si="177"/>
        <v>85485.599999999991</v>
      </c>
      <c r="Z1267" s="752">
        <v>55.7</v>
      </c>
      <c r="AA1267" s="609">
        <f t="shared" si="178"/>
        <v>124322.40000000001</v>
      </c>
      <c r="AB1267" s="753">
        <f t="shared" si="179"/>
        <v>85485.599999999991</v>
      </c>
      <c r="AC1267" s="714"/>
    </row>
    <row r="1268" spans="1:29" x14ac:dyDescent="0.25">
      <c r="A1268" s="713"/>
      <c r="B1268" s="731" t="s">
        <v>1878</v>
      </c>
      <c r="C1268" s="547" t="s">
        <v>40</v>
      </c>
      <c r="D1268" s="547" t="s">
        <v>508</v>
      </c>
      <c r="E1268" s="683">
        <v>44866</v>
      </c>
      <c r="F1268" s="547">
        <v>720</v>
      </c>
      <c r="G1268" s="547" t="s">
        <v>59</v>
      </c>
      <c r="H1268" s="547" t="s">
        <v>3</v>
      </c>
      <c r="I1268" s="547" t="s">
        <v>44</v>
      </c>
      <c r="J1268" s="547" t="s">
        <v>85</v>
      </c>
      <c r="K1268" s="547">
        <v>98</v>
      </c>
      <c r="L1268" s="727" t="s">
        <v>54</v>
      </c>
      <c r="M1268" s="697">
        <v>0</v>
      </c>
      <c r="N1268" s="727">
        <v>3</v>
      </c>
      <c r="O1268" s="697">
        <v>0</v>
      </c>
      <c r="P1268" s="727">
        <v>98</v>
      </c>
      <c r="Q1268" s="750">
        <f t="shared" si="171"/>
        <v>0</v>
      </c>
      <c r="R1268" s="608">
        <f t="shared" si="172"/>
        <v>211680</v>
      </c>
      <c r="S1268" s="751">
        <f t="shared" si="173"/>
        <v>211680</v>
      </c>
      <c r="T1268" s="750">
        <v>55.7</v>
      </c>
      <c r="U1268" s="608">
        <f t="shared" si="174"/>
        <v>120312</v>
      </c>
      <c r="V1268" s="751">
        <f t="shared" si="175"/>
        <v>91368</v>
      </c>
      <c r="W1268" s="752">
        <v>55.7</v>
      </c>
      <c r="X1268" s="609">
        <f t="shared" si="176"/>
        <v>120312</v>
      </c>
      <c r="Y1268" s="703">
        <f t="shared" si="177"/>
        <v>91368</v>
      </c>
      <c r="Z1268" s="752">
        <v>55.7</v>
      </c>
      <c r="AA1268" s="609">
        <f t="shared" si="178"/>
        <v>120312</v>
      </c>
      <c r="AB1268" s="753">
        <f t="shared" si="179"/>
        <v>91368</v>
      </c>
      <c r="AC1268" s="714"/>
    </row>
    <row r="1269" spans="1:29" x14ac:dyDescent="0.25">
      <c r="A1269" s="713"/>
      <c r="B1269" s="731" t="s">
        <v>1879</v>
      </c>
      <c r="C1269" s="547" t="s">
        <v>40</v>
      </c>
      <c r="D1269" s="547" t="s">
        <v>405</v>
      </c>
      <c r="E1269" s="683">
        <v>44835</v>
      </c>
      <c r="F1269" s="547">
        <v>744</v>
      </c>
      <c r="G1269" s="547" t="s">
        <v>59</v>
      </c>
      <c r="H1269" s="547" t="s">
        <v>3</v>
      </c>
      <c r="I1269" s="547" t="s">
        <v>44</v>
      </c>
      <c r="J1269" s="547" t="s">
        <v>85</v>
      </c>
      <c r="K1269" s="547">
        <v>93</v>
      </c>
      <c r="L1269" s="727" t="s">
        <v>54</v>
      </c>
      <c r="M1269" s="697">
        <v>0</v>
      </c>
      <c r="N1269" s="727">
        <v>3</v>
      </c>
      <c r="O1269" s="697">
        <v>0</v>
      </c>
      <c r="P1269" s="727">
        <v>93</v>
      </c>
      <c r="Q1269" s="750">
        <f t="shared" si="171"/>
        <v>0</v>
      </c>
      <c r="R1269" s="608">
        <f t="shared" si="172"/>
        <v>207576</v>
      </c>
      <c r="S1269" s="751">
        <f t="shared" si="173"/>
        <v>207576</v>
      </c>
      <c r="T1269" s="750">
        <v>55.7</v>
      </c>
      <c r="U1269" s="608">
        <f t="shared" si="174"/>
        <v>124322.40000000001</v>
      </c>
      <c r="V1269" s="751">
        <f t="shared" si="175"/>
        <v>83253.599999999991</v>
      </c>
      <c r="W1269" s="752">
        <v>55.7</v>
      </c>
      <c r="X1269" s="609">
        <f t="shared" si="176"/>
        <v>124322.40000000001</v>
      </c>
      <c r="Y1269" s="703">
        <f t="shared" si="177"/>
        <v>83253.599999999991</v>
      </c>
      <c r="Z1269" s="752">
        <v>55.7</v>
      </c>
      <c r="AA1269" s="609">
        <f t="shared" si="178"/>
        <v>124322.40000000001</v>
      </c>
      <c r="AB1269" s="753">
        <f t="shared" si="179"/>
        <v>83253.599999999991</v>
      </c>
      <c r="AC1269" s="714"/>
    </row>
    <row r="1270" spans="1:29" x14ac:dyDescent="0.25">
      <c r="A1270" s="713"/>
      <c r="B1270" s="731" t="s">
        <v>1880</v>
      </c>
      <c r="C1270" s="547" t="s">
        <v>40</v>
      </c>
      <c r="D1270" s="547" t="s">
        <v>467</v>
      </c>
      <c r="E1270" s="683">
        <v>44713</v>
      </c>
      <c r="F1270" s="547">
        <v>720</v>
      </c>
      <c r="G1270" s="547" t="s">
        <v>58</v>
      </c>
      <c r="H1270" s="547" t="s">
        <v>5</v>
      </c>
      <c r="I1270" s="547" t="s">
        <v>44</v>
      </c>
      <c r="J1270" s="547" t="s">
        <v>84</v>
      </c>
      <c r="K1270" s="547">
        <v>30.5</v>
      </c>
      <c r="L1270" s="727" t="s">
        <v>92</v>
      </c>
      <c r="M1270" s="697">
        <v>9</v>
      </c>
      <c r="N1270" s="727">
        <v>0</v>
      </c>
      <c r="O1270" s="697">
        <v>86.210000000000008</v>
      </c>
      <c r="P1270" s="727">
        <v>0</v>
      </c>
      <c r="Q1270" s="750">
        <f t="shared" si="171"/>
        <v>558640.80000000005</v>
      </c>
      <c r="R1270" s="608">
        <f t="shared" si="172"/>
        <v>0</v>
      </c>
      <c r="S1270" s="751">
        <f t="shared" si="173"/>
        <v>-558640.80000000005</v>
      </c>
      <c r="T1270" s="750">
        <v>55.71</v>
      </c>
      <c r="U1270" s="608">
        <f t="shared" si="174"/>
        <v>-361000.8</v>
      </c>
      <c r="V1270" s="751">
        <f t="shared" si="175"/>
        <v>-197640.00000000006</v>
      </c>
      <c r="W1270" s="752">
        <v>55.71</v>
      </c>
      <c r="X1270" s="609">
        <f t="shared" si="176"/>
        <v>-361000.8</v>
      </c>
      <c r="Y1270" s="703">
        <f t="shared" si="177"/>
        <v>-197640.00000000006</v>
      </c>
      <c r="Z1270" s="752">
        <v>55.71</v>
      </c>
      <c r="AA1270" s="609">
        <f t="shared" si="178"/>
        <v>-361000.8</v>
      </c>
      <c r="AB1270" s="753">
        <f t="shared" si="179"/>
        <v>-197640.00000000006</v>
      </c>
      <c r="AC1270" s="714"/>
    </row>
    <row r="1271" spans="1:29" x14ac:dyDescent="0.25">
      <c r="A1271" s="713"/>
      <c r="B1271" s="731" t="s">
        <v>1881</v>
      </c>
      <c r="C1271" s="547" t="s">
        <v>40</v>
      </c>
      <c r="D1271" s="547" t="s">
        <v>1838</v>
      </c>
      <c r="E1271" s="683">
        <v>44713</v>
      </c>
      <c r="F1271" s="547">
        <v>720</v>
      </c>
      <c r="G1271" s="547" t="s">
        <v>58</v>
      </c>
      <c r="H1271" s="547" t="s">
        <v>5</v>
      </c>
      <c r="I1271" s="547" t="s">
        <v>44</v>
      </c>
      <c r="J1271" s="547" t="s">
        <v>84</v>
      </c>
      <c r="K1271" s="547">
        <v>30.5</v>
      </c>
      <c r="L1271" s="727" t="s">
        <v>92</v>
      </c>
      <c r="M1271" s="697">
        <v>4</v>
      </c>
      <c r="N1271" s="727">
        <v>0</v>
      </c>
      <c r="O1271" s="697">
        <v>86.210000000000008</v>
      </c>
      <c r="P1271" s="727">
        <v>0</v>
      </c>
      <c r="Q1271" s="750">
        <f t="shared" si="171"/>
        <v>248284.80000000002</v>
      </c>
      <c r="R1271" s="608">
        <f t="shared" si="172"/>
        <v>0</v>
      </c>
      <c r="S1271" s="751">
        <f t="shared" si="173"/>
        <v>-248284.80000000002</v>
      </c>
      <c r="T1271" s="750">
        <v>55.71</v>
      </c>
      <c r="U1271" s="608">
        <f t="shared" si="174"/>
        <v>-160444.79999999999</v>
      </c>
      <c r="V1271" s="751">
        <f t="shared" si="175"/>
        <v>-87840.000000000029</v>
      </c>
      <c r="W1271" s="752">
        <v>55.71</v>
      </c>
      <c r="X1271" s="609">
        <f t="shared" si="176"/>
        <v>-160444.79999999999</v>
      </c>
      <c r="Y1271" s="703">
        <f t="shared" si="177"/>
        <v>-87840.000000000029</v>
      </c>
      <c r="Z1271" s="752">
        <v>55.71</v>
      </c>
      <c r="AA1271" s="609">
        <f t="shared" si="178"/>
        <v>-160444.79999999999</v>
      </c>
      <c r="AB1271" s="753">
        <f t="shared" si="179"/>
        <v>-87840.000000000029</v>
      </c>
      <c r="AC1271" s="714"/>
    </row>
    <row r="1272" spans="1:29" x14ac:dyDescent="0.25">
      <c r="A1272" s="713"/>
      <c r="B1272" s="731" t="s">
        <v>1882</v>
      </c>
      <c r="C1272" s="547" t="s">
        <v>40</v>
      </c>
      <c r="D1272" s="547" t="s">
        <v>1838</v>
      </c>
      <c r="E1272" s="683">
        <v>44713</v>
      </c>
      <c r="F1272" s="547">
        <v>720</v>
      </c>
      <c r="G1272" s="547" t="s">
        <v>58</v>
      </c>
      <c r="H1272" s="547" t="s">
        <v>5</v>
      </c>
      <c r="I1272" s="547" t="s">
        <v>44</v>
      </c>
      <c r="J1272" s="547" t="s">
        <v>84</v>
      </c>
      <c r="K1272" s="547">
        <v>30.5</v>
      </c>
      <c r="L1272" s="727" t="s">
        <v>92</v>
      </c>
      <c r="M1272" s="697">
        <v>1</v>
      </c>
      <c r="N1272" s="727">
        <v>0</v>
      </c>
      <c r="O1272" s="697">
        <v>86.210000000000008</v>
      </c>
      <c r="P1272" s="727">
        <v>0</v>
      </c>
      <c r="Q1272" s="750">
        <f t="shared" si="171"/>
        <v>62071.200000000004</v>
      </c>
      <c r="R1272" s="608">
        <f t="shared" si="172"/>
        <v>0</v>
      </c>
      <c r="S1272" s="751">
        <f t="shared" si="173"/>
        <v>-62071.200000000004</v>
      </c>
      <c r="T1272" s="750">
        <v>55.71</v>
      </c>
      <c r="U1272" s="608">
        <f t="shared" si="174"/>
        <v>-40111.199999999997</v>
      </c>
      <c r="V1272" s="751">
        <f t="shared" si="175"/>
        <v>-21960.000000000007</v>
      </c>
      <c r="W1272" s="752">
        <v>55.71</v>
      </c>
      <c r="X1272" s="609">
        <f t="shared" si="176"/>
        <v>-40111.199999999997</v>
      </c>
      <c r="Y1272" s="703">
        <f t="shared" si="177"/>
        <v>-21960.000000000007</v>
      </c>
      <c r="Z1272" s="752">
        <v>55.71</v>
      </c>
      <c r="AA1272" s="609">
        <f t="shared" si="178"/>
        <v>-40111.199999999997</v>
      </c>
      <c r="AB1272" s="753">
        <f t="shared" si="179"/>
        <v>-21960.000000000007</v>
      </c>
      <c r="AC1272" s="714"/>
    </row>
    <row r="1273" spans="1:29" x14ac:dyDescent="0.25">
      <c r="A1273" s="713"/>
      <c r="B1273" s="731" t="s">
        <v>1883</v>
      </c>
      <c r="C1273" s="547" t="s">
        <v>40</v>
      </c>
      <c r="D1273" s="547" t="s">
        <v>467</v>
      </c>
      <c r="E1273" s="683">
        <v>44713</v>
      </c>
      <c r="F1273" s="547">
        <v>720</v>
      </c>
      <c r="G1273" s="547" t="s">
        <v>58</v>
      </c>
      <c r="H1273" s="547" t="s">
        <v>5</v>
      </c>
      <c r="I1273" s="547" t="s">
        <v>44</v>
      </c>
      <c r="J1273" s="547" t="s">
        <v>84</v>
      </c>
      <c r="K1273" s="547">
        <v>31</v>
      </c>
      <c r="L1273" s="727" t="s">
        <v>92</v>
      </c>
      <c r="M1273" s="697">
        <v>1</v>
      </c>
      <c r="N1273" s="727">
        <v>0</v>
      </c>
      <c r="O1273" s="697">
        <v>86.710000000000008</v>
      </c>
      <c r="P1273" s="727">
        <v>0</v>
      </c>
      <c r="Q1273" s="750">
        <f t="shared" si="171"/>
        <v>62431.200000000004</v>
      </c>
      <c r="R1273" s="608">
        <f t="shared" si="172"/>
        <v>0</v>
      </c>
      <c r="S1273" s="751">
        <f t="shared" si="173"/>
        <v>-62431.200000000004</v>
      </c>
      <c r="T1273" s="750">
        <v>55.71</v>
      </c>
      <c r="U1273" s="608">
        <f t="shared" si="174"/>
        <v>-40111.199999999997</v>
      </c>
      <c r="V1273" s="751">
        <f t="shared" si="175"/>
        <v>-22320.000000000007</v>
      </c>
      <c r="W1273" s="752">
        <v>55.71</v>
      </c>
      <c r="X1273" s="609">
        <f t="shared" si="176"/>
        <v>-40111.199999999997</v>
      </c>
      <c r="Y1273" s="703">
        <f t="shared" si="177"/>
        <v>-22320.000000000007</v>
      </c>
      <c r="Z1273" s="752">
        <v>55.71</v>
      </c>
      <c r="AA1273" s="609">
        <f t="shared" si="178"/>
        <v>-40111.199999999997</v>
      </c>
      <c r="AB1273" s="753">
        <f t="shared" si="179"/>
        <v>-22320.000000000007</v>
      </c>
      <c r="AC1273" s="714"/>
    </row>
    <row r="1274" spans="1:29" x14ac:dyDescent="0.25">
      <c r="A1274" s="713"/>
      <c r="B1274" s="731" t="s">
        <v>1884</v>
      </c>
      <c r="C1274" s="547" t="s">
        <v>40</v>
      </c>
      <c r="D1274" s="547" t="s">
        <v>1875</v>
      </c>
      <c r="E1274" s="683">
        <v>44896</v>
      </c>
      <c r="F1274" s="547">
        <v>744</v>
      </c>
      <c r="G1274" s="547" t="s">
        <v>58</v>
      </c>
      <c r="H1274" s="547" t="s">
        <v>3</v>
      </c>
      <c r="I1274" s="547" t="s">
        <v>44</v>
      </c>
      <c r="J1274" s="547" t="s">
        <v>84</v>
      </c>
      <c r="K1274" s="547">
        <v>95</v>
      </c>
      <c r="L1274" s="727" t="s">
        <v>54</v>
      </c>
      <c r="M1274" s="697">
        <v>20</v>
      </c>
      <c r="N1274" s="727">
        <v>0</v>
      </c>
      <c r="O1274" s="697">
        <v>95</v>
      </c>
      <c r="P1274" s="727">
        <v>0</v>
      </c>
      <c r="Q1274" s="750">
        <f t="shared" si="171"/>
        <v>1413600</v>
      </c>
      <c r="R1274" s="608">
        <f t="shared" si="172"/>
        <v>0</v>
      </c>
      <c r="S1274" s="751">
        <f t="shared" si="173"/>
        <v>-1413600</v>
      </c>
      <c r="T1274" s="750">
        <v>55.7</v>
      </c>
      <c r="U1274" s="608">
        <f t="shared" si="174"/>
        <v>-828816</v>
      </c>
      <c r="V1274" s="751">
        <f t="shared" si="175"/>
        <v>-584784</v>
      </c>
      <c r="W1274" s="752">
        <v>55.7</v>
      </c>
      <c r="X1274" s="609">
        <f t="shared" si="176"/>
        <v>-828816</v>
      </c>
      <c r="Y1274" s="703">
        <f t="shared" si="177"/>
        <v>-584784</v>
      </c>
      <c r="Z1274" s="752">
        <v>78.400653594793155</v>
      </c>
      <c r="AA1274" s="609">
        <f t="shared" si="178"/>
        <v>-1166601.7254905221</v>
      </c>
      <c r="AB1274" s="753">
        <f t="shared" si="179"/>
        <v>-246998.27450947789</v>
      </c>
      <c r="AC1274" s="714"/>
    </row>
    <row r="1275" spans="1:29" x14ac:dyDescent="0.25">
      <c r="A1275" s="713"/>
      <c r="B1275" s="731" t="s">
        <v>1885</v>
      </c>
      <c r="C1275" s="547" t="s">
        <v>40</v>
      </c>
      <c r="D1275" s="547" t="s">
        <v>353</v>
      </c>
      <c r="E1275" s="683">
        <v>44866</v>
      </c>
      <c r="F1275" s="547">
        <v>720</v>
      </c>
      <c r="G1275" s="547" t="s">
        <v>59</v>
      </c>
      <c r="H1275" s="547" t="s">
        <v>3</v>
      </c>
      <c r="I1275" s="547" t="s">
        <v>44</v>
      </c>
      <c r="J1275" s="547" t="s">
        <v>85</v>
      </c>
      <c r="K1275" s="547">
        <v>99</v>
      </c>
      <c r="L1275" s="727" t="s">
        <v>54</v>
      </c>
      <c r="M1275" s="697">
        <v>0</v>
      </c>
      <c r="N1275" s="727">
        <v>10</v>
      </c>
      <c r="O1275" s="697">
        <v>0</v>
      </c>
      <c r="P1275" s="727">
        <v>99</v>
      </c>
      <c r="Q1275" s="750">
        <f t="shared" si="171"/>
        <v>0</v>
      </c>
      <c r="R1275" s="608">
        <f t="shared" si="172"/>
        <v>712800</v>
      </c>
      <c r="S1275" s="751">
        <f t="shared" si="173"/>
        <v>712800</v>
      </c>
      <c r="T1275" s="750">
        <v>55.7</v>
      </c>
      <c r="U1275" s="608">
        <f t="shared" si="174"/>
        <v>401040</v>
      </c>
      <c r="V1275" s="751">
        <f t="shared" si="175"/>
        <v>311760</v>
      </c>
      <c r="W1275" s="752">
        <v>55.7</v>
      </c>
      <c r="X1275" s="609">
        <f t="shared" si="176"/>
        <v>401040</v>
      </c>
      <c r="Y1275" s="703">
        <f t="shared" si="177"/>
        <v>311760</v>
      </c>
      <c r="Z1275" s="752">
        <v>55.7</v>
      </c>
      <c r="AA1275" s="609">
        <f t="shared" si="178"/>
        <v>401040</v>
      </c>
      <c r="AB1275" s="753">
        <f t="shared" si="179"/>
        <v>311760</v>
      </c>
      <c r="AC1275" s="714"/>
    </row>
    <row r="1276" spans="1:29" x14ac:dyDescent="0.25">
      <c r="A1276" s="713"/>
      <c r="B1276" s="730" t="s">
        <v>1886</v>
      </c>
      <c r="C1276" s="546" t="s">
        <v>40</v>
      </c>
      <c r="D1276" s="546" t="s">
        <v>1135</v>
      </c>
      <c r="E1276" s="682">
        <v>44835</v>
      </c>
      <c r="F1276" s="546">
        <v>744</v>
      </c>
      <c r="G1276" s="546" t="s">
        <v>59</v>
      </c>
      <c r="H1276" s="546" t="s">
        <v>3</v>
      </c>
      <c r="I1276" s="546" t="s">
        <v>44</v>
      </c>
      <c r="J1276" s="546" t="s">
        <v>85</v>
      </c>
      <c r="K1276" s="546">
        <v>97</v>
      </c>
      <c r="L1276" s="726" t="s">
        <v>54</v>
      </c>
      <c r="M1276" s="696">
        <v>0</v>
      </c>
      <c r="N1276" s="726">
        <v>10</v>
      </c>
      <c r="O1276" s="696">
        <v>0</v>
      </c>
      <c r="P1276" s="726">
        <v>97</v>
      </c>
      <c r="Q1276" s="746">
        <f t="shared" si="171"/>
        <v>0</v>
      </c>
      <c r="R1276" s="606">
        <f t="shared" si="172"/>
        <v>721680</v>
      </c>
      <c r="S1276" s="747">
        <f t="shared" si="173"/>
        <v>721680</v>
      </c>
      <c r="T1276" s="746">
        <v>55.7</v>
      </c>
      <c r="U1276" s="606">
        <f t="shared" si="174"/>
        <v>414408</v>
      </c>
      <c r="V1276" s="747">
        <f t="shared" si="175"/>
        <v>307272</v>
      </c>
      <c r="W1276" s="748">
        <v>55.7</v>
      </c>
      <c r="X1276" s="607">
        <f t="shared" si="176"/>
        <v>414408</v>
      </c>
      <c r="Y1276" s="702">
        <f t="shared" si="177"/>
        <v>307272</v>
      </c>
      <c r="Z1276" s="748">
        <v>55.7</v>
      </c>
      <c r="AA1276" s="607">
        <f t="shared" si="178"/>
        <v>414408</v>
      </c>
      <c r="AB1276" s="749">
        <f t="shared" si="179"/>
        <v>307272</v>
      </c>
      <c r="AC1276" s="714"/>
    </row>
    <row r="1277" spans="1:29" x14ac:dyDescent="0.25">
      <c r="A1277" s="713"/>
      <c r="B1277" s="714" t="s">
        <v>1886</v>
      </c>
      <c r="C1277" s="676" t="s">
        <v>40</v>
      </c>
      <c r="D1277" s="676" t="s">
        <v>1135</v>
      </c>
      <c r="E1277" s="680">
        <v>44866</v>
      </c>
      <c r="F1277" s="676">
        <v>720</v>
      </c>
      <c r="G1277" s="676" t="s">
        <v>59</v>
      </c>
      <c r="H1277" s="676" t="s">
        <v>3</v>
      </c>
      <c r="I1277" s="676" t="s">
        <v>44</v>
      </c>
      <c r="J1277" s="676" t="s">
        <v>85</v>
      </c>
      <c r="K1277" s="676">
        <v>97</v>
      </c>
      <c r="L1277" s="690" t="s">
        <v>54</v>
      </c>
      <c r="M1277" s="691">
        <v>0</v>
      </c>
      <c r="N1277" s="690">
        <v>10</v>
      </c>
      <c r="O1277" s="691">
        <v>0</v>
      </c>
      <c r="P1277" s="690">
        <v>97</v>
      </c>
      <c r="Q1277" s="738">
        <f t="shared" si="171"/>
        <v>0</v>
      </c>
      <c r="R1277" s="677">
        <f t="shared" si="172"/>
        <v>698400</v>
      </c>
      <c r="S1277" s="739">
        <f t="shared" si="173"/>
        <v>698400</v>
      </c>
      <c r="T1277" s="738">
        <v>55.7</v>
      </c>
      <c r="U1277" s="677">
        <f t="shared" si="174"/>
        <v>401040</v>
      </c>
      <c r="V1277" s="739">
        <f t="shared" si="175"/>
        <v>297360</v>
      </c>
      <c r="W1277" s="740">
        <v>55.7</v>
      </c>
      <c r="X1277" s="678">
        <f t="shared" si="176"/>
        <v>401040</v>
      </c>
      <c r="Y1277" s="700">
        <f t="shared" si="177"/>
        <v>297360</v>
      </c>
      <c r="Z1277" s="740">
        <v>55.7</v>
      </c>
      <c r="AA1277" s="678">
        <f t="shared" si="178"/>
        <v>401040</v>
      </c>
      <c r="AB1277" s="741">
        <f t="shared" si="179"/>
        <v>297360</v>
      </c>
      <c r="AC1277" s="714"/>
    </row>
    <row r="1278" spans="1:29" x14ac:dyDescent="0.25">
      <c r="A1278" s="713"/>
      <c r="B1278" s="729" t="s">
        <v>1886</v>
      </c>
      <c r="C1278" s="545" t="s">
        <v>40</v>
      </c>
      <c r="D1278" s="545" t="s">
        <v>1135</v>
      </c>
      <c r="E1278" s="681">
        <v>44896</v>
      </c>
      <c r="F1278" s="545">
        <v>744</v>
      </c>
      <c r="G1278" s="545" t="s">
        <v>59</v>
      </c>
      <c r="H1278" s="545" t="s">
        <v>3</v>
      </c>
      <c r="I1278" s="545" t="s">
        <v>44</v>
      </c>
      <c r="J1278" s="545" t="s">
        <v>85</v>
      </c>
      <c r="K1278" s="545">
        <v>97</v>
      </c>
      <c r="L1278" s="725" t="s">
        <v>54</v>
      </c>
      <c r="M1278" s="695">
        <v>0</v>
      </c>
      <c r="N1278" s="725">
        <v>10</v>
      </c>
      <c r="O1278" s="695">
        <v>0</v>
      </c>
      <c r="P1278" s="725">
        <v>97</v>
      </c>
      <c r="Q1278" s="742">
        <f t="shared" si="171"/>
        <v>0</v>
      </c>
      <c r="R1278" s="603">
        <f t="shared" si="172"/>
        <v>721680</v>
      </c>
      <c r="S1278" s="743">
        <f t="shared" si="173"/>
        <v>721680</v>
      </c>
      <c r="T1278" s="742">
        <v>55.7</v>
      </c>
      <c r="U1278" s="603">
        <f t="shared" si="174"/>
        <v>414408</v>
      </c>
      <c r="V1278" s="743">
        <f t="shared" si="175"/>
        <v>307272</v>
      </c>
      <c r="W1278" s="744">
        <v>55.7</v>
      </c>
      <c r="X1278" s="604">
        <f t="shared" si="176"/>
        <v>414408</v>
      </c>
      <c r="Y1278" s="701">
        <f t="shared" si="177"/>
        <v>307272</v>
      </c>
      <c r="Z1278" s="744">
        <v>78.400653594793155</v>
      </c>
      <c r="AA1278" s="604">
        <f t="shared" si="178"/>
        <v>583300.86274526105</v>
      </c>
      <c r="AB1278" s="745">
        <f t="shared" si="179"/>
        <v>138379.13725473895</v>
      </c>
      <c r="AC1278" s="714"/>
    </row>
    <row r="1279" spans="1:29" x14ac:dyDescent="0.25">
      <c r="A1279" s="713"/>
      <c r="B1279" s="731" t="s">
        <v>1892</v>
      </c>
      <c r="C1279" s="547" t="s">
        <v>40</v>
      </c>
      <c r="D1279" s="547" t="s">
        <v>355</v>
      </c>
      <c r="E1279" s="683">
        <v>44713</v>
      </c>
      <c r="F1279" s="547">
        <v>720</v>
      </c>
      <c r="G1279" s="547" t="s">
        <v>58</v>
      </c>
      <c r="H1279" s="547" t="s">
        <v>5</v>
      </c>
      <c r="I1279" s="547" t="s">
        <v>44</v>
      </c>
      <c r="J1279" s="547" t="s">
        <v>84</v>
      </c>
      <c r="K1279" s="547">
        <v>30</v>
      </c>
      <c r="L1279" s="727" t="s">
        <v>92</v>
      </c>
      <c r="M1279" s="697">
        <v>3</v>
      </c>
      <c r="N1279" s="727">
        <v>0</v>
      </c>
      <c r="O1279" s="697">
        <v>85.710000000000008</v>
      </c>
      <c r="P1279" s="727">
        <v>0</v>
      </c>
      <c r="Q1279" s="750">
        <f t="shared" si="171"/>
        <v>185133.6</v>
      </c>
      <c r="R1279" s="608">
        <f t="shared" si="172"/>
        <v>0</v>
      </c>
      <c r="S1279" s="751">
        <f t="shared" si="173"/>
        <v>-185133.6</v>
      </c>
      <c r="T1279" s="750">
        <v>55.71</v>
      </c>
      <c r="U1279" s="608">
        <f t="shared" si="174"/>
        <v>-120333.6</v>
      </c>
      <c r="V1279" s="751">
        <f t="shared" si="175"/>
        <v>-64800</v>
      </c>
      <c r="W1279" s="752">
        <v>55.71</v>
      </c>
      <c r="X1279" s="609">
        <f t="shared" si="176"/>
        <v>-120333.6</v>
      </c>
      <c r="Y1279" s="703">
        <f t="shared" si="177"/>
        <v>-64800</v>
      </c>
      <c r="Z1279" s="752">
        <v>55.71</v>
      </c>
      <c r="AA1279" s="609">
        <f t="shared" si="178"/>
        <v>-120333.6</v>
      </c>
      <c r="AB1279" s="753">
        <f t="shared" si="179"/>
        <v>-64800</v>
      </c>
      <c r="AC1279" s="714"/>
    </row>
    <row r="1280" spans="1:29" x14ac:dyDescent="0.25">
      <c r="A1280" s="713"/>
      <c r="B1280" s="731" t="s">
        <v>1894</v>
      </c>
      <c r="C1280" s="547" t="s">
        <v>40</v>
      </c>
      <c r="D1280" s="547" t="s">
        <v>1890</v>
      </c>
      <c r="E1280" s="683">
        <v>44713</v>
      </c>
      <c r="F1280" s="547">
        <v>720</v>
      </c>
      <c r="G1280" s="547" t="s">
        <v>58</v>
      </c>
      <c r="H1280" s="547" t="s">
        <v>5</v>
      </c>
      <c r="I1280" s="547" t="s">
        <v>13</v>
      </c>
      <c r="J1280" s="547" t="s">
        <v>84</v>
      </c>
      <c r="K1280" s="547">
        <v>30.4</v>
      </c>
      <c r="L1280" s="727" t="s">
        <v>92</v>
      </c>
      <c r="M1280" s="697">
        <v>2.82</v>
      </c>
      <c r="N1280" s="727">
        <v>0</v>
      </c>
      <c r="O1280" s="697">
        <v>86.11</v>
      </c>
      <c r="P1280" s="727">
        <v>0</v>
      </c>
      <c r="Q1280" s="750">
        <f t="shared" si="171"/>
        <v>174837.74399999998</v>
      </c>
      <c r="R1280" s="608">
        <f t="shared" si="172"/>
        <v>0</v>
      </c>
      <c r="S1280" s="751">
        <f t="shared" si="173"/>
        <v>-174837.74399999998</v>
      </c>
      <c r="T1280" s="750">
        <v>55.71</v>
      </c>
      <c r="U1280" s="608">
        <f t="shared" si="174"/>
        <v>-113113.58399999999</v>
      </c>
      <c r="V1280" s="751">
        <f t="shared" si="175"/>
        <v>-61724.159999999989</v>
      </c>
      <c r="W1280" s="752">
        <v>55.71</v>
      </c>
      <c r="X1280" s="609">
        <f t="shared" si="176"/>
        <v>-113113.58399999999</v>
      </c>
      <c r="Y1280" s="703">
        <f t="shared" si="177"/>
        <v>-61724.159999999989</v>
      </c>
      <c r="Z1280" s="752">
        <v>55.71</v>
      </c>
      <c r="AA1280" s="609">
        <f t="shared" si="178"/>
        <v>-113113.58399999999</v>
      </c>
      <c r="AB1280" s="753">
        <f t="shared" si="179"/>
        <v>-61724.159999999989</v>
      </c>
      <c r="AC1280" s="714"/>
    </row>
    <row r="1281" spans="1:29" x14ac:dyDescent="0.25">
      <c r="A1281" s="713"/>
      <c r="B1281" s="731" t="s">
        <v>1896</v>
      </c>
      <c r="C1281" s="547" t="s">
        <v>40</v>
      </c>
      <c r="D1281" s="547" t="s">
        <v>464</v>
      </c>
      <c r="E1281" s="683">
        <v>44713</v>
      </c>
      <c r="F1281" s="547">
        <v>720</v>
      </c>
      <c r="G1281" s="547" t="s">
        <v>58</v>
      </c>
      <c r="H1281" s="547" t="s">
        <v>5</v>
      </c>
      <c r="I1281" s="547" t="s">
        <v>44</v>
      </c>
      <c r="J1281" s="547" t="s">
        <v>84</v>
      </c>
      <c r="K1281" s="547">
        <v>30.5</v>
      </c>
      <c r="L1281" s="727" t="s">
        <v>92</v>
      </c>
      <c r="M1281" s="697">
        <v>10</v>
      </c>
      <c r="N1281" s="727">
        <v>0</v>
      </c>
      <c r="O1281" s="697">
        <v>86.210000000000008</v>
      </c>
      <c r="P1281" s="727">
        <v>0</v>
      </c>
      <c r="Q1281" s="750">
        <f t="shared" si="171"/>
        <v>620712</v>
      </c>
      <c r="R1281" s="608">
        <f t="shared" si="172"/>
        <v>0</v>
      </c>
      <c r="S1281" s="751">
        <f t="shared" si="173"/>
        <v>-620712</v>
      </c>
      <c r="T1281" s="750">
        <v>55.71</v>
      </c>
      <c r="U1281" s="608">
        <f t="shared" si="174"/>
        <v>-401112</v>
      </c>
      <c r="V1281" s="751">
        <f t="shared" si="175"/>
        <v>-219600</v>
      </c>
      <c r="W1281" s="752">
        <v>55.71</v>
      </c>
      <c r="X1281" s="609">
        <f t="shared" si="176"/>
        <v>-401112</v>
      </c>
      <c r="Y1281" s="703">
        <f t="shared" si="177"/>
        <v>-219600</v>
      </c>
      <c r="Z1281" s="752">
        <v>55.71</v>
      </c>
      <c r="AA1281" s="609">
        <f t="shared" si="178"/>
        <v>-401112</v>
      </c>
      <c r="AB1281" s="753">
        <f t="shared" si="179"/>
        <v>-219600</v>
      </c>
      <c r="AC1281" s="714"/>
    </row>
    <row r="1282" spans="1:29" x14ac:dyDescent="0.25">
      <c r="A1282" s="713"/>
      <c r="B1282" s="731" t="s">
        <v>1902</v>
      </c>
      <c r="C1282" s="547" t="s">
        <v>40</v>
      </c>
      <c r="D1282" s="547" t="s">
        <v>508</v>
      </c>
      <c r="E1282" s="683">
        <v>44713</v>
      </c>
      <c r="F1282" s="547">
        <v>720</v>
      </c>
      <c r="G1282" s="547" t="s">
        <v>58</v>
      </c>
      <c r="H1282" s="547" t="s">
        <v>5</v>
      </c>
      <c r="I1282" s="547" t="s">
        <v>44</v>
      </c>
      <c r="J1282" s="547" t="s">
        <v>84</v>
      </c>
      <c r="K1282" s="547">
        <v>29.5</v>
      </c>
      <c r="L1282" s="727" t="s">
        <v>92</v>
      </c>
      <c r="M1282" s="697">
        <v>5</v>
      </c>
      <c r="N1282" s="727">
        <v>0</v>
      </c>
      <c r="O1282" s="697">
        <v>85.210000000000008</v>
      </c>
      <c r="P1282" s="727">
        <v>0</v>
      </c>
      <c r="Q1282" s="750">
        <f t="shared" si="171"/>
        <v>306756</v>
      </c>
      <c r="R1282" s="608">
        <f t="shared" si="172"/>
        <v>0</v>
      </c>
      <c r="S1282" s="751">
        <f t="shared" si="173"/>
        <v>-306756</v>
      </c>
      <c r="T1282" s="750">
        <v>55.71</v>
      </c>
      <c r="U1282" s="608">
        <f t="shared" si="174"/>
        <v>-200556</v>
      </c>
      <c r="V1282" s="751">
        <f t="shared" si="175"/>
        <v>-106200</v>
      </c>
      <c r="W1282" s="752">
        <v>55.71</v>
      </c>
      <c r="X1282" s="609">
        <f t="shared" si="176"/>
        <v>-200556</v>
      </c>
      <c r="Y1282" s="703">
        <f t="shared" si="177"/>
        <v>-106200</v>
      </c>
      <c r="Z1282" s="752">
        <v>55.71</v>
      </c>
      <c r="AA1282" s="609">
        <f t="shared" si="178"/>
        <v>-200556</v>
      </c>
      <c r="AB1282" s="753">
        <f t="shared" si="179"/>
        <v>-106200</v>
      </c>
      <c r="AC1282" s="714"/>
    </row>
    <row r="1283" spans="1:29" x14ac:dyDescent="0.25">
      <c r="A1283" s="713"/>
      <c r="B1283" s="731" t="s">
        <v>1904</v>
      </c>
      <c r="C1283" s="547" t="s">
        <v>40</v>
      </c>
      <c r="D1283" s="547" t="s">
        <v>471</v>
      </c>
      <c r="E1283" s="683">
        <v>44713</v>
      </c>
      <c r="F1283" s="547">
        <v>720</v>
      </c>
      <c r="G1283" s="547" t="s">
        <v>58</v>
      </c>
      <c r="H1283" s="547" t="s">
        <v>5</v>
      </c>
      <c r="I1283" s="547" t="s">
        <v>44</v>
      </c>
      <c r="J1283" s="547" t="s">
        <v>84</v>
      </c>
      <c r="K1283" s="547">
        <v>30</v>
      </c>
      <c r="L1283" s="727" t="s">
        <v>92</v>
      </c>
      <c r="M1283" s="697">
        <v>5</v>
      </c>
      <c r="N1283" s="727">
        <v>0</v>
      </c>
      <c r="O1283" s="697">
        <v>85.710000000000008</v>
      </c>
      <c r="P1283" s="727">
        <v>0</v>
      </c>
      <c r="Q1283" s="750">
        <f t="shared" ref="Q1283:Q1346" si="180">(O1283*(M1283*F1283))</f>
        <v>308556</v>
      </c>
      <c r="R1283" s="608">
        <f t="shared" ref="R1283:R1346" si="181">(P1283*(N1283*F1283))</f>
        <v>0</v>
      </c>
      <c r="S1283" s="751">
        <f t="shared" ref="S1283:S1346" si="182">R1283-Q1283</f>
        <v>-308556</v>
      </c>
      <c r="T1283" s="750">
        <v>55.71</v>
      </c>
      <c r="U1283" s="608">
        <f t="shared" ref="U1283:U1346" si="183">(((F1283*N1283)*T1283)-(T1283*(M1283*F1283)))</f>
        <v>-200556</v>
      </c>
      <c r="V1283" s="751">
        <f t="shared" ref="V1283:V1346" si="184">S1283-U1283</f>
        <v>-108000</v>
      </c>
      <c r="W1283" s="752">
        <v>55.71</v>
      </c>
      <c r="X1283" s="609">
        <f t="shared" ref="X1283:X1346" si="185">(((F1283*N1283)*W1283)-(W1283*(M1283*F1283)))</f>
        <v>-200556</v>
      </c>
      <c r="Y1283" s="703">
        <f t="shared" ref="Y1283:Y1346" si="186">S1283-X1283</f>
        <v>-108000</v>
      </c>
      <c r="Z1283" s="752">
        <v>55.71</v>
      </c>
      <c r="AA1283" s="609">
        <f t="shared" ref="AA1283:AA1346" si="187">(((F1283*N1283)*Z1283)-(Z1283*(M1283*F1283)))</f>
        <v>-200556</v>
      </c>
      <c r="AB1283" s="753">
        <f t="shared" ref="AB1283:AB1346" si="188">S1283-AA1283</f>
        <v>-108000</v>
      </c>
      <c r="AC1283" s="714"/>
    </row>
    <row r="1284" spans="1:29" x14ac:dyDescent="0.25">
      <c r="A1284" s="713"/>
      <c r="B1284" s="731" t="s">
        <v>1906</v>
      </c>
      <c r="C1284" s="547" t="s">
        <v>40</v>
      </c>
      <c r="D1284" s="547" t="s">
        <v>1166</v>
      </c>
      <c r="E1284" s="683">
        <v>44713</v>
      </c>
      <c r="F1284" s="547">
        <v>720</v>
      </c>
      <c r="G1284" s="547" t="s">
        <v>58</v>
      </c>
      <c r="H1284" s="547" t="s">
        <v>5</v>
      </c>
      <c r="I1284" s="547" t="s">
        <v>44</v>
      </c>
      <c r="J1284" s="547" t="s">
        <v>84</v>
      </c>
      <c r="K1284" s="547">
        <v>30.2</v>
      </c>
      <c r="L1284" s="727" t="s">
        <v>92</v>
      </c>
      <c r="M1284" s="697">
        <v>5</v>
      </c>
      <c r="N1284" s="727">
        <v>0</v>
      </c>
      <c r="O1284" s="697">
        <v>85.91</v>
      </c>
      <c r="P1284" s="727">
        <v>0</v>
      </c>
      <c r="Q1284" s="750">
        <f t="shared" si="180"/>
        <v>309276</v>
      </c>
      <c r="R1284" s="608">
        <f t="shared" si="181"/>
        <v>0</v>
      </c>
      <c r="S1284" s="751">
        <f t="shared" si="182"/>
        <v>-309276</v>
      </c>
      <c r="T1284" s="750">
        <v>55.71</v>
      </c>
      <c r="U1284" s="608">
        <f t="shared" si="183"/>
        <v>-200556</v>
      </c>
      <c r="V1284" s="751">
        <f t="shared" si="184"/>
        <v>-108720</v>
      </c>
      <c r="W1284" s="752">
        <v>55.71</v>
      </c>
      <c r="X1284" s="609">
        <f t="shared" si="185"/>
        <v>-200556</v>
      </c>
      <c r="Y1284" s="703">
        <f t="shared" si="186"/>
        <v>-108720</v>
      </c>
      <c r="Z1284" s="752">
        <v>55.71</v>
      </c>
      <c r="AA1284" s="609">
        <f t="shared" si="187"/>
        <v>-200556</v>
      </c>
      <c r="AB1284" s="753">
        <f t="shared" si="188"/>
        <v>-108720</v>
      </c>
      <c r="AC1284" s="714"/>
    </row>
    <row r="1285" spans="1:29" x14ac:dyDescent="0.25">
      <c r="A1285" s="713"/>
      <c r="B1285" s="731" t="s">
        <v>1907</v>
      </c>
      <c r="C1285" s="547" t="s">
        <v>40</v>
      </c>
      <c r="D1285" s="547" t="s">
        <v>346</v>
      </c>
      <c r="E1285" s="683">
        <v>44713</v>
      </c>
      <c r="F1285" s="547">
        <v>720</v>
      </c>
      <c r="G1285" s="547" t="s">
        <v>59</v>
      </c>
      <c r="H1285" s="547" t="s">
        <v>5</v>
      </c>
      <c r="I1285" s="547" t="s">
        <v>44</v>
      </c>
      <c r="J1285" s="547" t="s">
        <v>85</v>
      </c>
      <c r="K1285" s="547">
        <v>30.38</v>
      </c>
      <c r="L1285" s="727" t="s">
        <v>92</v>
      </c>
      <c r="M1285" s="697">
        <v>0</v>
      </c>
      <c r="N1285" s="727">
        <v>29</v>
      </c>
      <c r="O1285" s="697">
        <v>0</v>
      </c>
      <c r="P1285" s="727">
        <v>86.09</v>
      </c>
      <c r="Q1285" s="750">
        <f t="shared" si="180"/>
        <v>0</v>
      </c>
      <c r="R1285" s="608">
        <f t="shared" si="181"/>
        <v>1797559.2000000002</v>
      </c>
      <c r="S1285" s="751">
        <f t="shared" si="182"/>
        <v>1797559.2000000002</v>
      </c>
      <c r="T1285" s="750">
        <v>55.71</v>
      </c>
      <c r="U1285" s="608">
        <f t="shared" si="183"/>
        <v>1163224.8</v>
      </c>
      <c r="V1285" s="751">
        <f t="shared" si="184"/>
        <v>634334.40000000014</v>
      </c>
      <c r="W1285" s="752">
        <v>55.71</v>
      </c>
      <c r="X1285" s="609">
        <f t="shared" si="185"/>
        <v>1163224.8</v>
      </c>
      <c r="Y1285" s="703">
        <f t="shared" si="186"/>
        <v>634334.40000000014</v>
      </c>
      <c r="Z1285" s="752">
        <v>55.71</v>
      </c>
      <c r="AA1285" s="609">
        <f t="shared" si="187"/>
        <v>1163224.8</v>
      </c>
      <c r="AB1285" s="753">
        <f t="shared" si="188"/>
        <v>634334.40000000014</v>
      </c>
      <c r="AC1285" s="714"/>
    </row>
    <row r="1286" spans="1:29" x14ac:dyDescent="0.25">
      <c r="A1286" s="713"/>
      <c r="B1286" s="731" t="s">
        <v>1909</v>
      </c>
      <c r="C1286" s="547" t="s">
        <v>40</v>
      </c>
      <c r="D1286" s="547" t="s">
        <v>1073</v>
      </c>
      <c r="E1286" s="683">
        <v>44713</v>
      </c>
      <c r="F1286" s="547">
        <v>720</v>
      </c>
      <c r="G1286" s="547" t="s">
        <v>58</v>
      </c>
      <c r="H1286" s="547" t="s">
        <v>5</v>
      </c>
      <c r="I1286" s="547" t="s">
        <v>44</v>
      </c>
      <c r="J1286" s="547" t="s">
        <v>84</v>
      </c>
      <c r="K1286" s="547">
        <v>31</v>
      </c>
      <c r="L1286" s="727" t="s">
        <v>92</v>
      </c>
      <c r="M1286" s="697">
        <v>10.199999999999999</v>
      </c>
      <c r="N1286" s="727">
        <v>0</v>
      </c>
      <c r="O1286" s="697">
        <v>86.710000000000008</v>
      </c>
      <c r="P1286" s="727">
        <v>0</v>
      </c>
      <c r="Q1286" s="750">
        <f t="shared" si="180"/>
        <v>636798.24</v>
      </c>
      <c r="R1286" s="608">
        <f t="shared" si="181"/>
        <v>0</v>
      </c>
      <c r="S1286" s="751">
        <f t="shared" si="182"/>
        <v>-636798.24</v>
      </c>
      <c r="T1286" s="750">
        <v>55.71</v>
      </c>
      <c r="U1286" s="608">
        <f t="shared" si="183"/>
        <v>-409134.23999999993</v>
      </c>
      <c r="V1286" s="751">
        <f t="shared" si="184"/>
        <v>-227664.00000000006</v>
      </c>
      <c r="W1286" s="752">
        <v>55.71</v>
      </c>
      <c r="X1286" s="609">
        <f t="shared" si="185"/>
        <v>-409134.23999999993</v>
      </c>
      <c r="Y1286" s="703">
        <f t="shared" si="186"/>
        <v>-227664.00000000006</v>
      </c>
      <c r="Z1286" s="752">
        <v>55.71</v>
      </c>
      <c r="AA1286" s="609">
        <f t="shared" si="187"/>
        <v>-409134.23999999993</v>
      </c>
      <c r="AB1286" s="753">
        <f t="shared" si="188"/>
        <v>-227664.00000000006</v>
      </c>
      <c r="AC1286" s="714"/>
    </row>
    <row r="1287" spans="1:29" x14ac:dyDescent="0.25">
      <c r="A1287" s="713"/>
      <c r="B1287" s="731" t="s">
        <v>1922</v>
      </c>
      <c r="C1287" s="547" t="s">
        <v>40</v>
      </c>
      <c r="D1287" s="547" t="s">
        <v>1917</v>
      </c>
      <c r="E1287" s="683">
        <v>44713</v>
      </c>
      <c r="F1287" s="547">
        <v>720</v>
      </c>
      <c r="G1287" s="547" t="s">
        <v>58</v>
      </c>
      <c r="H1287" s="547" t="s">
        <v>5</v>
      </c>
      <c r="I1287" s="547" t="s">
        <v>44</v>
      </c>
      <c r="J1287" s="547" t="s">
        <v>84</v>
      </c>
      <c r="K1287" s="547">
        <v>29.9</v>
      </c>
      <c r="L1287" s="727" t="s">
        <v>92</v>
      </c>
      <c r="M1287" s="697">
        <v>1</v>
      </c>
      <c r="N1287" s="727">
        <v>0</v>
      </c>
      <c r="O1287" s="697">
        <v>85.61</v>
      </c>
      <c r="P1287" s="727">
        <v>0</v>
      </c>
      <c r="Q1287" s="750">
        <f t="shared" si="180"/>
        <v>61639.199999999997</v>
      </c>
      <c r="R1287" s="608">
        <f t="shared" si="181"/>
        <v>0</v>
      </c>
      <c r="S1287" s="751">
        <f t="shared" si="182"/>
        <v>-61639.199999999997</v>
      </c>
      <c r="T1287" s="750">
        <v>55.71</v>
      </c>
      <c r="U1287" s="608">
        <f t="shared" si="183"/>
        <v>-40111.199999999997</v>
      </c>
      <c r="V1287" s="751">
        <f t="shared" si="184"/>
        <v>-21528</v>
      </c>
      <c r="W1287" s="752">
        <v>55.71</v>
      </c>
      <c r="X1287" s="609">
        <f t="shared" si="185"/>
        <v>-40111.199999999997</v>
      </c>
      <c r="Y1287" s="703">
        <f t="shared" si="186"/>
        <v>-21528</v>
      </c>
      <c r="Z1287" s="752">
        <v>55.71</v>
      </c>
      <c r="AA1287" s="609">
        <f t="shared" si="187"/>
        <v>-40111.199999999997</v>
      </c>
      <c r="AB1287" s="753">
        <f t="shared" si="188"/>
        <v>-21528</v>
      </c>
      <c r="AC1287" s="714"/>
    </row>
    <row r="1288" spans="1:29" x14ac:dyDescent="0.25">
      <c r="A1288" s="713"/>
      <c r="B1288" s="731" t="s">
        <v>1924</v>
      </c>
      <c r="C1288" s="547" t="s">
        <v>40</v>
      </c>
      <c r="D1288" s="547" t="s">
        <v>1918</v>
      </c>
      <c r="E1288" s="683">
        <v>44713</v>
      </c>
      <c r="F1288" s="547">
        <v>720</v>
      </c>
      <c r="G1288" s="547" t="s">
        <v>58</v>
      </c>
      <c r="H1288" s="547" t="s">
        <v>5</v>
      </c>
      <c r="I1288" s="547" t="s">
        <v>44</v>
      </c>
      <c r="J1288" s="547" t="s">
        <v>84</v>
      </c>
      <c r="K1288" s="547">
        <v>30</v>
      </c>
      <c r="L1288" s="727" t="s">
        <v>92</v>
      </c>
      <c r="M1288" s="697">
        <v>2</v>
      </c>
      <c r="N1288" s="727">
        <v>0</v>
      </c>
      <c r="O1288" s="697">
        <v>85.710000000000008</v>
      </c>
      <c r="P1288" s="727">
        <v>0</v>
      </c>
      <c r="Q1288" s="750">
        <f t="shared" si="180"/>
        <v>123422.40000000001</v>
      </c>
      <c r="R1288" s="608">
        <f t="shared" si="181"/>
        <v>0</v>
      </c>
      <c r="S1288" s="751">
        <f t="shared" si="182"/>
        <v>-123422.40000000001</v>
      </c>
      <c r="T1288" s="750">
        <v>55.71</v>
      </c>
      <c r="U1288" s="608">
        <f t="shared" si="183"/>
        <v>-80222.399999999994</v>
      </c>
      <c r="V1288" s="751">
        <f t="shared" si="184"/>
        <v>-43200.000000000015</v>
      </c>
      <c r="W1288" s="752">
        <v>55.71</v>
      </c>
      <c r="X1288" s="609">
        <f t="shared" si="185"/>
        <v>-80222.399999999994</v>
      </c>
      <c r="Y1288" s="703">
        <f t="shared" si="186"/>
        <v>-43200.000000000015</v>
      </c>
      <c r="Z1288" s="752">
        <v>55.71</v>
      </c>
      <c r="AA1288" s="609">
        <f t="shared" si="187"/>
        <v>-80222.399999999994</v>
      </c>
      <c r="AB1288" s="753">
        <f t="shared" si="188"/>
        <v>-43200.000000000015</v>
      </c>
      <c r="AC1288" s="714"/>
    </row>
    <row r="1289" spans="1:29" x14ac:dyDescent="0.25">
      <c r="A1289" s="713"/>
      <c r="B1289" s="731" t="s">
        <v>1926</v>
      </c>
      <c r="C1289" s="547" t="s">
        <v>40</v>
      </c>
      <c r="D1289" s="547" t="s">
        <v>469</v>
      </c>
      <c r="E1289" s="683">
        <v>44713</v>
      </c>
      <c r="F1289" s="547">
        <v>720</v>
      </c>
      <c r="G1289" s="547" t="s">
        <v>58</v>
      </c>
      <c r="H1289" s="547" t="s">
        <v>5</v>
      </c>
      <c r="I1289" s="547" t="s">
        <v>44</v>
      </c>
      <c r="J1289" s="547" t="s">
        <v>84</v>
      </c>
      <c r="K1289" s="547">
        <v>29.85</v>
      </c>
      <c r="L1289" s="727" t="s">
        <v>92</v>
      </c>
      <c r="M1289" s="697">
        <v>0.5</v>
      </c>
      <c r="N1289" s="727">
        <v>0</v>
      </c>
      <c r="O1289" s="697">
        <v>85.56</v>
      </c>
      <c r="P1289" s="727">
        <v>0</v>
      </c>
      <c r="Q1289" s="750">
        <f t="shared" si="180"/>
        <v>30801.600000000002</v>
      </c>
      <c r="R1289" s="608">
        <f t="shared" si="181"/>
        <v>0</v>
      </c>
      <c r="S1289" s="751">
        <f t="shared" si="182"/>
        <v>-30801.600000000002</v>
      </c>
      <c r="T1289" s="750">
        <v>55.71</v>
      </c>
      <c r="U1289" s="608">
        <f t="shared" si="183"/>
        <v>-20055.599999999999</v>
      </c>
      <c r="V1289" s="751">
        <f t="shared" si="184"/>
        <v>-10746.000000000004</v>
      </c>
      <c r="W1289" s="752">
        <v>55.71</v>
      </c>
      <c r="X1289" s="609">
        <f t="shared" si="185"/>
        <v>-20055.599999999999</v>
      </c>
      <c r="Y1289" s="703">
        <f t="shared" si="186"/>
        <v>-10746.000000000004</v>
      </c>
      <c r="Z1289" s="752">
        <v>55.71</v>
      </c>
      <c r="AA1289" s="609">
        <f t="shared" si="187"/>
        <v>-20055.599999999999</v>
      </c>
      <c r="AB1289" s="753">
        <f t="shared" si="188"/>
        <v>-10746.000000000004</v>
      </c>
      <c r="AC1289" s="714"/>
    </row>
    <row r="1290" spans="1:29" x14ac:dyDescent="0.25">
      <c r="A1290" s="713"/>
      <c r="B1290" s="731" t="s">
        <v>1928</v>
      </c>
      <c r="C1290" s="547" t="s">
        <v>40</v>
      </c>
      <c r="D1290" s="547" t="s">
        <v>1919</v>
      </c>
      <c r="E1290" s="683">
        <v>44713</v>
      </c>
      <c r="F1290" s="547">
        <v>720</v>
      </c>
      <c r="G1290" s="547" t="s">
        <v>58</v>
      </c>
      <c r="H1290" s="547" t="s">
        <v>5</v>
      </c>
      <c r="I1290" s="547" t="s">
        <v>44</v>
      </c>
      <c r="J1290" s="547" t="s">
        <v>84</v>
      </c>
      <c r="K1290" s="547">
        <v>30</v>
      </c>
      <c r="L1290" s="727" t="s">
        <v>92</v>
      </c>
      <c r="M1290" s="697">
        <v>2</v>
      </c>
      <c r="N1290" s="727">
        <v>0</v>
      </c>
      <c r="O1290" s="697">
        <v>85.710000000000008</v>
      </c>
      <c r="P1290" s="727">
        <v>0</v>
      </c>
      <c r="Q1290" s="750">
        <f t="shared" si="180"/>
        <v>123422.40000000001</v>
      </c>
      <c r="R1290" s="608">
        <f t="shared" si="181"/>
        <v>0</v>
      </c>
      <c r="S1290" s="751">
        <f t="shared" si="182"/>
        <v>-123422.40000000001</v>
      </c>
      <c r="T1290" s="750">
        <v>55.71</v>
      </c>
      <c r="U1290" s="608">
        <f t="shared" si="183"/>
        <v>-80222.399999999994</v>
      </c>
      <c r="V1290" s="751">
        <f t="shared" si="184"/>
        <v>-43200.000000000015</v>
      </c>
      <c r="W1290" s="752">
        <v>55.71</v>
      </c>
      <c r="X1290" s="609">
        <f t="shared" si="185"/>
        <v>-80222.399999999994</v>
      </c>
      <c r="Y1290" s="703">
        <f t="shared" si="186"/>
        <v>-43200.000000000015</v>
      </c>
      <c r="Z1290" s="752">
        <v>55.71</v>
      </c>
      <c r="AA1290" s="609">
        <f t="shared" si="187"/>
        <v>-80222.399999999994</v>
      </c>
      <c r="AB1290" s="753">
        <f t="shared" si="188"/>
        <v>-43200.000000000015</v>
      </c>
      <c r="AC1290" s="714"/>
    </row>
    <row r="1291" spans="1:29" x14ac:dyDescent="0.25">
      <c r="A1291" s="713"/>
      <c r="B1291" s="731" t="s">
        <v>1930</v>
      </c>
      <c r="C1291" s="547" t="s">
        <v>40</v>
      </c>
      <c r="D1291" s="547" t="s">
        <v>469</v>
      </c>
      <c r="E1291" s="683">
        <v>44713</v>
      </c>
      <c r="F1291" s="547">
        <v>720</v>
      </c>
      <c r="G1291" s="547" t="s">
        <v>58</v>
      </c>
      <c r="H1291" s="547" t="s">
        <v>5</v>
      </c>
      <c r="I1291" s="547" t="s">
        <v>44</v>
      </c>
      <c r="J1291" s="547" t="s">
        <v>84</v>
      </c>
      <c r="K1291" s="547">
        <v>29.9</v>
      </c>
      <c r="L1291" s="727" t="s">
        <v>92</v>
      </c>
      <c r="M1291" s="697">
        <v>1</v>
      </c>
      <c r="N1291" s="727">
        <v>0</v>
      </c>
      <c r="O1291" s="697">
        <v>85.61</v>
      </c>
      <c r="P1291" s="727">
        <v>0</v>
      </c>
      <c r="Q1291" s="750">
        <f t="shared" si="180"/>
        <v>61639.199999999997</v>
      </c>
      <c r="R1291" s="608">
        <f t="shared" si="181"/>
        <v>0</v>
      </c>
      <c r="S1291" s="751">
        <f t="shared" si="182"/>
        <v>-61639.199999999997</v>
      </c>
      <c r="T1291" s="750">
        <v>55.71</v>
      </c>
      <c r="U1291" s="608">
        <f t="shared" si="183"/>
        <v>-40111.199999999997</v>
      </c>
      <c r="V1291" s="751">
        <f t="shared" si="184"/>
        <v>-21528</v>
      </c>
      <c r="W1291" s="752">
        <v>55.71</v>
      </c>
      <c r="X1291" s="609">
        <f t="shared" si="185"/>
        <v>-40111.199999999997</v>
      </c>
      <c r="Y1291" s="703">
        <f t="shared" si="186"/>
        <v>-21528</v>
      </c>
      <c r="Z1291" s="752">
        <v>55.71</v>
      </c>
      <c r="AA1291" s="609">
        <f t="shared" si="187"/>
        <v>-40111.199999999997</v>
      </c>
      <c r="AB1291" s="753">
        <f t="shared" si="188"/>
        <v>-21528</v>
      </c>
      <c r="AC1291" s="714"/>
    </row>
    <row r="1292" spans="1:29" x14ac:dyDescent="0.25">
      <c r="A1292" s="713"/>
      <c r="B1292" s="731" t="s">
        <v>1932</v>
      </c>
      <c r="C1292" s="547" t="s">
        <v>40</v>
      </c>
      <c r="D1292" s="547" t="s">
        <v>1795</v>
      </c>
      <c r="E1292" s="683">
        <v>44713</v>
      </c>
      <c r="F1292" s="547">
        <v>720</v>
      </c>
      <c r="G1292" s="547" t="s">
        <v>58</v>
      </c>
      <c r="H1292" s="547" t="s">
        <v>5</v>
      </c>
      <c r="I1292" s="547" t="s">
        <v>44</v>
      </c>
      <c r="J1292" s="547" t="s">
        <v>84</v>
      </c>
      <c r="K1292" s="547">
        <v>30</v>
      </c>
      <c r="L1292" s="727" t="s">
        <v>92</v>
      </c>
      <c r="M1292" s="697">
        <v>10</v>
      </c>
      <c r="N1292" s="727">
        <v>0</v>
      </c>
      <c r="O1292" s="697">
        <v>85.710000000000008</v>
      </c>
      <c r="P1292" s="727">
        <v>0</v>
      </c>
      <c r="Q1292" s="750">
        <f t="shared" si="180"/>
        <v>617112</v>
      </c>
      <c r="R1292" s="608">
        <f t="shared" si="181"/>
        <v>0</v>
      </c>
      <c r="S1292" s="751">
        <f t="shared" si="182"/>
        <v>-617112</v>
      </c>
      <c r="T1292" s="750">
        <v>55.71</v>
      </c>
      <c r="U1292" s="608">
        <f t="shared" si="183"/>
        <v>-401112</v>
      </c>
      <c r="V1292" s="751">
        <f t="shared" si="184"/>
        <v>-216000</v>
      </c>
      <c r="W1292" s="752">
        <v>55.71</v>
      </c>
      <c r="X1292" s="609">
        <f t="shared" si="185"/>
        <v>-401112</v>
      </c>
      <c r="Y1292" s="703">
        <f t="shared" si="186"/>
        <v>-216000</v>
      </c>
      <c r="Z1292" s="752">
        <v>55.71</v>
      </c>
      <c r="AA1292" s="609">
        <f t="shared" si="187"/>
        <v>-401112</v>
      </c>
      <c r="AB1292" s="753">
        <f t="shared" si="188"/>
        <v>-216000</v>
      </c>
      <c r="AC1292" s="714"/>
    </row>
    <row r="1293" spans="1:29" x14ac:dyDescent="0.25">
      <c r="A1293" s="713"/>
      <c r="B1293" s="731" t="s">
        <v>1934</v>
      </c>
      <c r="C1293" s="547" t="s">
        <v>40</v>
      </c>
      <c r="D1293" s="547" t="s">
        <v>1920</v>
      </c>
      <c r="E1293" s="683">
        <v>44713</v>
      </c>
      <c r="F1293" s="547">
        <v>720</v>
      </c>
      <c r="G1293" s="547" t="s">
        <v>58</v>
      </c>
      <c r="H1293" s="547" t="s">
        <v>5</v>
      </c>
      <c r="I1293" s="547" t="s">
        <v>44</v>
      </c>
      <c r="J1293" s="547" t="s">
        <v>84</v>
      </c>
      <c r="K1293" s="547">
        <v>28.5</v>
      </c>
      <c r="L1293" s="727" t="s">
        <v>92</v>
      </c>
      <c r="M1293" s="697">
        <v>1</v>
      </c>
      <c r="N1293" s="727">
        <v>0</v>
      </c>
      <c r="O1293" s="697">
        <v>84.210000000000008</v>
      </c>
      <c r="P1293" s="727">
        <v>0</v>
      </c>
      <c r="Q1293" s="750">
        <f t="shared" si="180"/>
        <v>60631.200000000004</v>
      </c>
      <c r="R1293" s="608">
        <f t="shared" si="181"/>
        <v>0</v>
      </c>
      <c r="S1293" s="751">
        <f t="shared" si="182"/>
        <v>-60631.200000000004</v>
      </c>
      <c r="T1293" s="750">
        <v>55.71</v>
      </c>
      <c r="U1293" s="608">
        <f t="shared" si="183"/>
        <v>-40111.199999999997</v>
      </c>
      <c r="V1293" s="751">
        <f t="shared" si="184"/>
        <v>-20520.000000000007</v>
      </c>
      <c r="W1293" s="752">
        <v>55.71</v>
      </c>
      <c r="X1293" s="609">
        <f t="shared" si="185"/>
        <v>-40111.199999999997</v>
      </c>
      <c r="Y1293" s="703">
        <f t="shared" si="186"/>
        <v>-20520.000000000007</v>
      </c>
      <c r="Z1293" s="752">
        <v>55.71</v>
      </c>
      <c r="AA1293" s="609">
        <f t="shared" si="187"/>
        <v>-40111.199999999997</v>
      </c>
      <c r="AB1293" s="753">
        <f t="shared" si="188"/>
        <v>-20520.000000000007</v>
      </c>
      <c r="AC1293" s="714"/>
    </row>
    <row r="1294" spans="1:29" x14ac:dyDescent="0.25">
      <c r="A1294" s="713"/>
      <c r="B1294" s="731" t="s">
        <v>1946</v>
      </c>
      <c r="C1294" s="547" t="s">
        <v>40</v>
      </c>
      <c r="D1294" s="547" t="s">
        <v>350</v>
      </c>
      <c r="E1294" s="683">
        <v>44713</v>
      </c>
      <c r="F1294" s="547">
        <v>720</v>
      </c>
      <c r="G1294" s="547" t="s">
        <v>58</v>
      </c>
      <c r="H1294" s="547" t="s">
        <v>5</v>
      </c>
      <c r="I1294" s="547" t="s">
        <v>44</v>
      </c>
      <c r="J1294" s="547" t="s">
        <v>84</v>
      </c>
      <c r="K1294" s="547">
        <v>31</v>
      </c>
      <c r="L1294" s="727" t="s">
        <v>92</v>
      </c>
      <c r="M1294" s="697">
        <v>30</v>
      </c>
      <c r="N1294" s="727">
        <v>0</v>
      </c>
      <c r="O1294" s="697">
        <v>86.710000000000008</v>
      </c>
      <c r="P1294" s="727">
        <v>0</v>
      </c>
      <c r="Q1294" s="750">
        <f t="shared" si="180"/>
        <v>1872936.0000000002</v>
      </c>
      <c r="R1294" s="608">
        <f t="shared" si="181"/>
        <v>0</v>
      </c>
      <c r="S1294" s="751">
        <f t="shared" si="182"/>
        <v>-1872936.0000000002</v>
      </c>
      <c r="T1294" s="750">
        <v>55.71</v>
      </c>
      <c r="U1294" s="608">
        <f t="shared" si="183"/>
        <v>-1203336</v>
      </c>
      <c r="V1294" s="751">
        <f t="shared" si="184"/>
        <v>-669600.00000000023</v>
      </c>
      <c r="W1294" s="752">
        <v>55.71</v>
      </c>
      <c r="X1294" s="609">
        <f t="shared" si="185"/>
        <v>-1203336</v>
      </c>
      <c r="Y1294" s="703">
        <f t="shared" si="186"/>
        <v>-669600.00000000023</v>
      </c>
      <c r="Z1294" s="752">
        <v>55.71</v>
      </c>
      <c r="AA1294" s="609">
        <f t="shared" si="187"/>
        <v>-1203336</v>
      </c>
      <c r="AB1294" s="753">
        <f t="shared" si="188"/>
        <v>-669600.00000000023</v>
      </c>
      <c r="AC1294" s="714"/>
    </row>
    <row r="1295" spans="1:29" x14ac:dyDescent="0.25">
      <c r="A1295" s="713"/>
      <c r="B1295" s="731" t="s">
        <v>1948</v>
      </c>
      <c r="C1295" s="547" t="s">
        <v>40</v>
      </c>
      <c r="D1295" s="547" t="s">
        <v>1919</v>
      </c>
      <c r="E1295" s="683">
        <v>44713</v>
      </c>
      <c r="F1295" s="547">
        <v>720</v>
      </c>
      <c r="G1295" s="547" t="s">
        <v>58</v>
      </c>
      <c r="H1295" s="547" t="s">
        <v>5</v>
      </c>
      <c r="I1295" s="547" t="s">
        <v>44</v>
      </c>
      <c r="J1295" s="547" t="s">
        <v>84</v>
      </c>
      <c r="K1295" s="547">
        <v>30.5</v>
      </c>
      <c r="L1295" s="727" t="s">
        <v>92</v>
      </c>
      <c r="M1295" s="697">
        <v>3</v>
      </c>
      <c r="N1295" s="727">
        <v>0</v>
      </c>
      <c r="O1295" s="697">
        <v>86.210000000000008</v>
      </c>
      <c r="P1295" s="727">
        <v>0</v>
      </c>
      <c r="Q1295" s="750">
        <f t="shared" si="180"/>
        <v>186213.6</v>
      </c>
      <c r="R1295" s="608">
        <f t="shared" si="181"/>
        <v>0</v>
      </c>
      <c r="S1295" s="751">
        <f t="shared" si="182"/>
        <v>-186213.6</v>
      </c>
      <c r="T1295" s="750">
        <v>55.71</v>
      </c>
      <c r="U1295" s="608">
        <f t="shared" si="183"/>
        <v>-120333.6</v>
      </c>
      <c r="V1295" s="751">
        <f t="shared" si="184"/>
        <v>-65880</v>
      </c>
      <c r="W1295" s="752">
        <v>55.71</v>
      </c>
      <c r="X1295" s="609">
        <f t="shared" si="185"/>
        <v>-120333.6</v>
      </c>
      <c r="Y1295" s="703">
        <f t="shared" si="186"/>
        <v>-65880</v>
      </c>
      <c r="Z1295" s="752">
        <v>55.71</v>
      </c>
      <c r="AA1295" s="609">
        <f t="shared" si="187"/>
        <v>-120333.6</v>
      </c>
      <c r="AB1295" s="753">
        <f t="shared" si="188"/>
        <v>-65880</v>
      </c>
      <c r="AC1295" s="714"/>
    </row>
    <row r="1296" spans="1:29" x14ac:dyDescent="0.25">
      <c r="A1296" s="713"/>
      <c r="B1296" s="731" t="s">
        <v>1950</v>
      </c>
      <c r="C1296" s="547" t="s">
        <v>40</v>
      </c>
      <c r="D1296" s="547" t="s">
        <v>1919</v>
      </c>
      <c r="E1296" s="683">
        <v>44713</v>
      </c>
      <c r="F1296" s="547">
        <v>720</v>
      </c>
      <c r="G1296" s="547" t="s">
        <v>58</v>
      </c>
      <c r="H1296" s="547" t="s">
        <v>5</v>
      </c>
      <c r="I1296" s="547" t="s">
        <v>44</v>
      </c>
      <c r="J1296" s="547" t="s">
        <v>84</v>
      </c>
      <c r="K1296" s="547">
        <v>30.5</v>
      </c>
      <c r="L1296" s="727" t="s">
        <v>92</v>
      </c>
      <c r="M1296" s="697">
        <v>5</v>
      </c>
      <c r="N1296" s="727">
        <v>0</v>
      </c>
      <c r="O1296" s="697">
        <v>86.210000000000008</v>
      </c>
      <c r="P1296" s="727">
        <v>0</v>
      </c>
      <c r="Q1296" s="750">
        <f t="shared" si="180"/>
        <v>310356</v>
      </c>
      <c r="R1296" s="608">
        <f t="shared" si="181"/>
        <v>0</v>
      </c>
      <c r="S1296" s="751">
        <f t="shared" si="182"/>
        <v>-310356</v>
      </c>
      <c r="T1296" s="750">
        <v>55.71</v>
      </c>
      <c r="U1296" s="608">
        <f t="shared" si="183"/>
        <v>-200556</v>
      </c>
      <c r="V1296" s="751">
        <f t="shared" si="184"/>
        <v>-109800</v>
      </c>
      <c r="W1296" s="752">
        <v>55.71</v>
      </c>
      <c r="X1296" s="609">
        <f t="shared" si="185"/>
        <v>-200556</v>
      </c>
      <c r="Y1296" s="703">
        <f t="shared" si="186"/>
        <v>-109800</v>
      </c>
      <c r="Z1296" s="752">
        <v>55.71</v>
      </c>
      <c r="AA1296" s="609">
        <f t="shared" si="187"/>
        <v>-200556</v>
      </c>
      <c r="AB1296" s="753">
        <f t="shared" si="188"/>
        <v>-109800</v>
      </c>
      <c r="AC1296" s="714"/>
    </row>
    <row r="1297" spans="1:29" x14ac:dyDescent="0.25">
      <c r="A1297" s="713"/>
      <c r="B1297" s="731" t="s">
        <v>1952</v>
      </c>
      <c r="C1297" s="547" t="s">
        <v>40</v>
      </c>
      <c r="D1297" s="547" t="s">
        <v>1838</v>
      </c>
      <c r="E1297" s="683">
        <v>44713</v>
      </c>
      <c r="F1297" s="547">
        <v>720</v>
      </c>
      <c r="G1297" s="547" t="s">
        <v>58</v>
      </c>
      <c r="H1297" s="547" t="s">
        <v>5</v>
      </c>
      <c r="I1297" s="547" t="s">
        <v>44</v>
      </c>
      <c r="J1297" s="547" t="s">
        <v>84</v>
      </c>
      <c r="K1297" s="547">
        <v>30</v>
      </c>
      <c r="L1297" s="727" t="s">
        <v>92</v>
      </c>
      <c r="M1297" s="697">
        <v>3</v>
      </c>
      <c r="N1297" s="727">
        <v>0</v>
      </c>
      <c r="O1297" s="697">
        <v>85.710000000000008</v>
      </c>
      <c r="P1297" s="727">
        <v>0</v>
      </c>
      <c r="Q1297" s="750">
        <f t="shared" si="180"/>
        <v>185133.6</v>
      </c>
      <c r="R1297" s="608">
        <f t="shared" si="181"/>
        <v>0</v>
      </c>
      <c r="S1297" s="751">
        <f t="shared" si="182"/>
        <v>-185133.6</v>
      </c>
      <c r="T1297" s="750">
        <v>55.71</v>
      </c>
      <c r="U1297" s="608">
        <f t="shared" si="183"/>
        <v>-120333.6</v>
      </c>
      <c r="V1297" s="751">
        <f t="shared" si="184"/>
        <v>-64800</v>
      </c>
      <c r="W1297" s="752">
        <v>55.71</v>
      </c>
      <c r="X1297" s="609">
        <f t="shared" si="185"/>
        <v>-120333.6</v>
      </c>
      <c r="Y1297" s="703">
        <f t="shared" si="186"/>
        <v>-64800</v>
      </c>
      <c r="Z1297" s="752">
        <v>55.71</v>
      </c>
      <c r="AA1297" s="609">
        <f t="shared" si="187"/>
        <v>-120333.6</v>
      </c>
      <c r="AB1297" s="753">
        <f t="shared" si="188"/>
        <v>-64800</v>
      </c>
      <c r="AC1297" s="714"/>
    </row>
    <row r="1298" spans="1:29" x14ac:dyDescent="0.25">
      <c r="A1298" s="713"/>
      <c r="B1298" s="731" t="s">
        <v>1954</v>
      </c>
      <c r="C1298" s="547" t="s">
        <v>40</v>
      </c>
      <c r="D1298" s="547" t="s">
        <v>510</v>
      </c>
      <c r="E1298" s="683">
        <v>44713</v>
      </c>
      <c r="F1298" s="547">
        <v>720</v>
      </c>
      <c r="G1298" s="547" t="s">
        <v>58</v>
      </c>
      <c r="H1298" s="547" t="s">
        <v>5</v>
      </c>
      <c r="I1298" s="547" t="s">
        <v>44</v>
      </c>
      <c r="J1298" s="547" t="s">
        <v>84</v>
      </c>
      <c r="K1298" s="547">
        <v>30</v>
      </c>
      <c r="L1298" s="727" t="s">
        <v>92</v>
      </c>
      <c r="M1298" s="697">
        <v>4.5</v>
      </c>
      <c r="N1298" s="727">
        <v>0</v>
      </c>
      <c r="O1298" s="697">
        <v>85.710000000000008</v>
      </c>
      <c r="P1298" s="727">
        <v>0</v>
      </c>
      <c r="Q1298" s="750">
        <f t="shared" si="180"/>
        <v>277700.40000000002</v>
      </c>
      <c r="R1298" s="608">
        <f t="shared" si="181"/>
        <v>0</v>
      </c>
      <c r="S1298" s="751">
        <f t="shared" si="182"/>
        <v>-277700.40000000002</v>
      </c>
      <c r="T1298" s="750">
        <v>55.71</v>
      </c>
      <c r="U1298" s="608">
        <f t="shared" si="183"/>
        <v>-180500.4</v>
      </c>
      <c r="V1298" s="751">
        <f t="shared" si="184"/>
        <v>-97200.000000000029</v>
      </c>
      <c r="W1298" s="752">
        <v>55.71</v>
      </c>
      <c r="X1298" s="609">
        <f t="shared" si="185"/>
        <v>-180500.4</v>
      </c>
      <c r="Y1298" s="703">
        <f t="shared" si="186"/>
        <v>-97200.000000000029</v>
      </c>
      <c r="Z1298" s="752">
        <v>55.71</v>
      </c>
      <c r="AA1298" s="609">
        <f t="shared" si="187"/>
        <v>-180500.4</v>
      </c>
      <c r="AB1298" s="753">
        <f t="shared" si="188"/>
        <v>-97200.000000000029</v>
      </c>
      <c r="AC1298" s="714"/>
    </row>
    <row r="1299" spans="1:29" x14ac:dyDescent="0.25">
      <c r="A1299" s="713"/>
      <c r="B1299" s="731" t="s">
        <v>1956</v>
      </c>
      <c r="C1299" s="547" t="s">
        <v>40</v>
      </c>
      <c r="D1299" s="547" t="s">
        <v>1941</v>
      </c>
      <c r="E1299" s="683">
        <v>44713</v>
      </c>
      <c r="F1299" s="547">
        <v>720</v>
      </c>
      <c r="G1299" s="547" t="s">
        <v>58</v>
      </c>
      <c r="H1299" s="547" t="s">
        <v>5</v>
      </c>
      <c r="I1299" s="547" t="s">
        <v>44</v>
      </c>
      <c r="J1299" s="547" t="s">
        <v>84</v>
      </c>
      <c r="K1299" s="547">
        <v>29.5</v>
      </c>
      <c r="L1299" s="727" t="s">
        <v>92</v>
      </c>
      <c r="M1299" s="697">
        <v>0.11944444444444401</v>
      </c>
      <c r="N1299" s="727">
        <v>0</v>
      </c>
      <c r="O1299" s="697">
        <v>85.210000000000008</v>
      </c>
      <c r="P1299" s="727">
        <v>0</v>
      </c>
      <c r="Q1299" s="750">
        <f t="shared" si="180"/>
        <v>7328.059999999974</v>
      </c>
      <c r="R1299" s="608">
        <f t="shared" si="181"/>
        <v>0</v>
      </c>
      <c r="S1299" s="751">
        <f t="shared" si="182"/>
        <v>-7328.059999999974</v>
      </c>
      <c r="T1299" s="750">
        <v>55.71</v>
      </c>
      <c r="U1299" s="608">
        <f t="shared" si="183"/>
        <v>-4791.0599999999822</v>
      </c>
      <c r="V1299" s="751">
        <f t="shared" si="184"/>
        <v>-2536.9999999999918</v>
      </c>
      <c r="W1299" s="752">
        <v>55.71</v>
      </c>
      <c r="X1299" s="609">
        <f t="shared" si="185"/>
        <v>-4791.0599999999822</v>
      </c>
      <c r="Y1299" s="703">
        <f t="shared" si="186"/>
        <v>-2536.9999999999918</v>
      </c>
      <c r="Z1299" s="752">
        <v>55.71</v>
      </c>
      <c r="AA1299" s="609">
        <f t="shared" si="187"/>
        <v>-4791.0599999999822</v>
      </c>
      <c r="AB1299" s="753">
        <f t="shared" si="188"/>
        <v>-2536.9999999999918</v>
      </c>
      <c r="AC1299" s="714"/>
    </row>
    <row r="1300" spans="1:29" x14ac:dyDescent="0.25">
      <c r="A1300" s="713"/>
      <c r="B1300" s="731" t="s">
        <v>1958</v>
      </c>
      <c r="C1300" s="547" t="s">
        <v>40</v>
      </c>
      <c r="D1300" s="547" t="s">
        <v>1942</v>
      </c>
      <c r="E1300" s="683">
        <v>44713</v>
      </c>
      <c r="F1300" s="547">
        <v>720</v>
      </c>
      <c r="G1300" s="547" t="s">
        <v>58</v>
      </c>
      <c r="H1300" s="547" t="s">
        <v>5</v>
      </c>
      <c r="I1300" s="547" t="s">
        <v>44</v>
      </c>
      <c r="J1300" s="547" t="s">
        <v>84</v>
      </c>
      <c r="K1300" s="547">
        <v>29.5</v>
      </c>
      <c r="L1300" s="727" t="s">
        <v>92</v>
      </c>
      <c r="M1300" s="697">
        <v>2.9013888888888899</v>
      </c>
      <c r="N1300" s="727">
        <v>0</v>
      </c>
      <c r="O1300" s="697">
        <v>85.210000000000008</v>
      </c>
      <c r="P1300" s="727">
        <v>0</v>
      </c>
      <c r="Q1300" s="750">
        <f t="shared" si="180"/>
        <v>178003.69000000009</v>
      </c>
      <c r="R1300" s="608">
        <f t="shared" si="181"/>
        <v>0</v>
      </c>
      <c r="S1300" s="751">
        <f t="shared" si="182"/>
        <v>-178003.69000000009</v>
      </c>
      <c r="T1300" s="750">
        <v>55.71</v>
      </c>
      <c r="U1300" s="608">
        <f t="shared" si="183"/>
        <v>-116378.19000000005</v>
      </c>
      <c r="V1300" s="751">
        <f t="shared" si="184"/>
        <v>-61625.500000000044</v>
      </c>
      <c r="W1300" s="752">
        <v>55.71</v>
      </c>
      <c r="X1300" s="609">
        <f t="shared" si="185"/>
        <v>-116378.19000000005</v>
      </c>
      <c r="Y1300" s="703">
        <f t="shared" si="186"/>
        <v>-61625.500000000044</v>
      </c>
      <c r="Z1300" s="752">
        <v>55.71</v>
      </c>
      <c r="AA1300" s="609">
        <f t="shared" si="187"/>
        <v>-116378.19000000005</v>
      </c>
      <c r="AB1300" s="753">
        <f t="shared" si="188"/>
        <v>-61625.500000000044</v>
      </c>
      <c r="AC1300" s="714"/>
    </row>
    <row r="1301" spans="1:29" x14ac:dyDescent="0.25">
      <c r="A1301" s="713"/>
      <c r="B1301" s="731" t="s">
        <v>1960</v>
      </c>
      <c r="C1301" s="547" t="s">
        <v>40</v>
      </c>
      <c r="D1301" s="547" t="s">
        <v>1943</v>
      </c>
      <c r="E1301" s="683">
        <v>44713</v>
      </c>
      <c r="F1301" s="547">
        <v>720</v>
      </c>
      <c r="G1301" s="547" t="s">
        <v>58</v>
      </c>
      <c r="H1301" s="547" t="s">
        <v>5</v>
      </c>
      <c r="I1301" s="547" t="s">
        <v>44</v>
      </c>
      <c r="J1301" s="547" t="s">
        <v>84</v>
      </c>
      <c r="K1301" s="547">
        <v>29.5</v>
      </c>
      <c r="L1301" s="727" t="s">
        <v>92</v>
      </c>
      <c r="M1301" s="697">
        <v>0.36111111111111099</v>
      </c>
      <c r="N1301" s="727">
        <v>0</v>
      </c>
      <c r="O1301" s="697">
        <v>85.210000000000008</v>
      </c>
      <c r="P1301" s="727">
        <v>0</v>
      </c>
      <c r="Q1301" s="750">
        <f t="shared" si="180"/>
        <v>22154.6</v>
      </c>
      <c r="R1301" s="608">
        <f t="shared" si="181"/>
        <v>0</v>
      </c>
      <c r="S1301" s="751">
        <f t="shared" si="182"/>
        <v>-22154.6</v>
      </c>
      <c r="T1301" s="750">
        <v>55.71</v>
      </c>
      <c r="U1301" s="608">
        <f t="shared" si="183"/>
        <v>-14484.599999999997</v>
      </c>
      <c r="V1301" s="751">
        <f t="shared" si="184"/>
        <v>-7670.0000000000018</v>
      </c>
      <c r="W1301" s="752">
        <v>55.71</v>
      </c>
      <c r="X1301" s="609">
        <f t="shared" si="185"/>
        <v>-14484.599999999997</v>
      </c>
      <c r="Y1301" s="703">
        <f t="shared" si="186"/>
        <v>-7670.0000000000018</v>
      </c>
      <c r="Z1301" s="752">
        <v>55.71</v>
      </c>
      <c r="AA1301" s="609">
        <f t="shared" si="187"/>
        <v>-14484.599999999997</v>
      </c>
      <c r="AB1301" s="753">
        <f t="shared" si="188"/>
        <v>-7670.0000000000018</v>
      </c>
      <c r="AC1301" s="714"/>
    </row>
    <row r="1302" spans="1:29" x14ac:dyDescent="0.25">
      <c r="A1302" s="713"/>
      <c r="B1302" s="731" t="s">
        <v>1962</v>
      </c>
      <c r="C1302" s="547" t="s">
        <v>40</v>
      </c>
      <c r="D1302" s="547" t="s">
        <v>1944</v>
      </c>
      <c r="E1302" s="683">
        <v>44713</v>
      </c>
      <c r="F1302" s="547">
        <v>720</v>
      </c>
      <c r="G1302" s="547" t="s">
        <v>58</v>
      </c>
      <c r="H1302" s="547" t="s">
        <v>5</v>
      </c>
      <c r="I1302" s="547" t="s">
        <v>44</v>
      </c>
      <c r="J1302" s="547" t="s">
        <v>84</v>
      </c>
      <c r="K1302" s="547">
        <v>29.5</v>
      </c>
      <c r="L1302" s="727" t="s">
        <v>92</v>
      </c>
      <c r="M1302" s="697">
        <v>1.2094444444444401</v>
      </c>
      <c r="N1302" s="727">
        <v>0</v>
      </c>
      <c r="O1302" s="697">
        <v>85.210000000000008</v>
      </c>
      <c r="P1302" s="727">
        <v>0</v>
      </c>
      <c r="Q1302" s="750">
        <f t="shared" si="180"/>
        <v>74200.86799999974</v>
      </c>
      <c r="R1302" s="608">
        <f t="shared" si="181"/>
        <v>0</v>
      </c>
      <c r="S1302" s="751">
        <f t="shared" si="182"/>
        <v>-74200.86799999974</v>
      </c>
      <c r="T1302" s="750">
        <v>55.71</v>
      </c>
      <c r="U1302" s="608">
        <f t="shared" si="183"/>
        <v>-48512.267999999829</v>
      </c>
      <c r="V1302" s="751">
        <f t="shared" si="184"/>
        <v>-25688.599999999911</v>
      </c>
      <c r="W1302" s="752">
        <v>55.71</v>
      </c>
      <c r="X1302" s="609">
        <f t="shared" si="185"/>
        <v>-48512.267999999829</v>
      </c>
      <c r="Y1302" s="703">
        <f t="shared" si="186"/>
        <v>-25688.599999999911</v>
      </c>
      <c r="Z1302" s="752">
        <v>55.71</v>
      </c>
      <c r="AA1302" s="609">
        <f t="shared" si="187"/>
        <v>-48512.267999999829</v>
      </c>
      <c r="AB1302" s="753">
        <f t="shared" si="188"/>
        <v>-25688.599999999911</v>
      </c>
      <c r="AC1302" s="714"/>
    </row>
    <row r="1303" spans="1:29" x14ac:dyDescent="0.25">
      <c r="A1303" s="713"/>
      <c r="B1303" s="731" t="s">
        <v>1963</v>
      </c>
      <c r="C1303" s="547" t="s">
        <v>40</v>
      </c>
      <c r="D1303" s="547" t="s">
        <v>876</v>
      </c>
      <c r="E1303" s="683">
        <v>44774</v>
      </c>
      <c r="F1303" s="547">
        <v>744</v>
      </c>
      <c r="G1303" s="547" t="s">
        <v>58</v>
      </c>
      <c r="H1303" s="547" t="s">
        <v>3</v>
      </c>
      <c r="I1303" s="547" t="s">
        <v>44</v>
      </c>
      <c r="J1303" s="547" t="s">
        <v>84</v>
      </c>
      <c r="K1303" s="547">
        <v>83</v>
      </c>
      <c r="L1303" s="727" t="s">
        <v>54</v>
      </c>
      <c r="M1303" s="697">
        <v>10</v>
      </c>
      <c r="N1303" s="727">
        <v>0</v>
      </c>
      <c r="O1303" s="697">
        <v>83</v>
      </c>
      <c r="P1303" s="727">
        <v>0</v>
      </c>
      <c r="Q1303" s="750">
        <f t="shared" si="180"/>
        <v>617520</v>
      </c>
      <c r="R1303" s="608">
        <f t="shared" si="181"/>
        <v>0</v>
      </c>
      <c r="S1303" s="751">
        <f t="shared" si="182"/>
        <v>-617520</v>
      </c>
      <c r="T1303" s="750">
        <v>76.900000000000006</v>
      </c>
      <c r="U1303" s="608">
        <f t="shared" si="183"/>
        <v>-572136</v>
      </c>
      <c r="V1303" s="751">
        <f t="shared" si="184"/>
        <v>-45384</v>
      </c>
      <c r="W1303" s="752">
        <v>76.900000000000006</v>
      </c>
      <c r="X1303" s="609">
        <f t="shared" si="185"/>
        <v>-572136</v>
      </c>
      <c r="Y1303" s="703">
        <f t="shared" si="186"/>
        <v>-45384</v>
      </c>
      <c r="Z1303" s="752">
        <v>76.900000000000006</v>
      </c>
      <c r="AA1303" s="609">
        <f t="shared" si="187"/>
        <v>-572136</v>
      </c>
      <c r="AB1303" s="753">
        <f t="shared" si="188"/>
        <v>-45384</v>
      </c>
      <c r="AC1303" s="714"/>
    </row>
    <row r="1304" spans="1:29" x14ac:dyDescent="0.25">
      <c r="A1304" s="713"/>
      <c r="B1304" s="731" t="s">
        <v>1965</v>
      </c>
      <c r="C1304" s="547" t="s">
        <v>40</v>
      </c>
      <c r="D1304" s="547" t="s">
        <v>405</v>
      </c>
      <c r="E1304" s="683">
        <v>44835</v>
      </c>
      <c r="F1304" s="547">
        <v>744</v>
      </c>
      <c r="G1304" s="547" t="s">
        <v>59</v>
      </c>
      <c r="H1304" s="547" t="s">
        <v>3</v>
      </c>
      <c r="I1304" s="547" t="s">
        <v>44</v>
      </c>
      <c r="J1304" s="547" t="s">
        <v>85</v>
      </c>
      <c r="K1304" s="547">
        <v>95.5</v>
      </c>
      <c r="L1304" s="727" t="s">
        <v>54</v>
      </c>
      <c r="M1304" s="697">
        <v>0</v>
      </c>
      <c r="N1304" s="727">
        <v>5</v>
      </c>
      <c r="O1304" s="697">
        <v>0</v>
      </c>
      <c r="P1304" s="727">
        <v>95.5</v>
      </c>
      <c r="Q1304" s="750">
        <f t="shared" si="180"/>
        <v>0</v>
      </c>
      <c r="R1304" s="608">
        <f t="shared" si="181"/>
        <v>355260</v>
      </c>
      <c r="S1304" s="751">
        <f t="shared" si="182"/>
        <v>355260</v>
      </c>
      <c r="T1304" s="750">
        <v>55.7</v>
      </c>
      <c r="U1304" s="608">
        <f t="shared" si="183"/>
        <v>207204</v>
      </c>
      <c r="V1304" s="751">
        <f t="shared" si="184"/>
        <v>148056</v>
      </c>
      <c r="W1304" s="752">
        <v>55.7</v>
      </c>
      <c r="X1304" s="609">
        <f t="shared" si="185"/>
        <v>207204</v>
      </c>
      <c r="Y1304" s="703">
        <f t="shared" si="186"/>
        <v>148056</v>
      </c>
      <c r="Z1304" s="752">
        <v>55.7</v>
      </c>
      <c r="AA1304" s="609">
        <f t="shared" si="187"/>
        <v>207204</v>
      </c>
      <c r="AB1304" s="753">
        <f t="shared" si="188"/>
        <v>148056</v>
      </c>
      <c r="AC1304" s="714"/>
    </row>
    <row r="1305" spans="1:29" x14ac:dyDescent="0.25">
      <c r="A1305" s="713"/>
      <c r="B1305" s="731" t="s">
        <v>1973</v>
      </c>
      <c r="C1305" s="547" t="s">
        <v>40</v>
      </c>
      <c r="D1305" s="547" t="s">
        <v>409</v>
      </c>
      <c r="E1305" s="683">
        <v>44743</v>
      </c>
      <c r="F1305" s="547">
        <v>744</v>
      </c>
      <c r="G1305" s="547" t="s">
        <v>58</v>
      </c>
      <c r="H1305" s="547" t="s">
        <v>3</v>
      </c>
      <c r="I1305" s="547" t="s">
        <v>44</v>
      </c>
      <c r="J1305" s="547" t="s">
        <v>84</v>
      </c>
      <c r="K1305" s="547">
        <v>62.9</v>
      </c>
      <c r="L1305" s="727" t="s">
        <v>54</v>
      </c>
      <c r="M1305" s="697">
        <v>5</v>
      </c>
      <c r="N1305" s="727">
        <v>0</v>
      </c>
      <c r="O1305" s="697">
        <v>62.9</v>
      </c>
      <c r="P1305" s="727">
        <v>0</v>
      </c>
      <c r="Q1305" s="750">
        <f t="shared" si="180"/>
        <v>233988</v>
      </c>
      <c r="R1305" s="608">
        <f t="shared" si="181"/>
        <v>0</v>
      </c>
      <c r="S1305" s="751">
        <f t="shared" si="182"/>
        <v>-233988</v>
      </c>
      <c r="T1305" s="750">
        <v>66.319999999999993</v>
      </c>
      <c r="U1305" s="608">
        <f t="shared" si="183"/>
        <v>-246710.39999999997</v>
      </c>
      <c r="V1305" s="751">
        <f t="shared" si="184"/>
        <v>12722.399999999965</v>
      </c>
      <c r="W1305" s="752">
        <v>66.319999999999993</v>
      </c>
      <c r="X1305" s="609">
        <f t="shared" si="185"/>
        <v>-246710.39999999997</v>
      </c>
      <c r="Y1305" s="703">
        <f t="shared" si="186"/>
        <v>12722.399999999965</v>
      </c>
      <c r="Z1305" s="752">
        <v>66.319999999999993</v>
      </c>
      <c r="AA1305" s="609">
        <f t="shared" si="187"/>
        <v>-246710.39999999997</v>
      </c>
      <c r="AB1305" s="753">
        <f t="shared" si="188"/>
        <v>12722.399999999965</v>
      </c>
      <c r="AC1305" s="714"/>
    </row>
    <row r="1306" spans="1:29" x14ac:dyDescent="0.25">
      <c r="A1306" s="713"/>
      <c r="B1306" s="731" t="s">
        <v>1974</v>
      </c>
      <c r="C1306" s="547" t="s">
        <v>40</v>
      </c>
      <c r="D1306" s="547" t="s">
        <v>967</v>
      </c>
      <c r="E1306" s="683">
        <v>44835</v>
      </c>
      <c r="F1306" s="547">
        <v>744</v>
      </c>
      <c r="G1306" s="547" t="s">
        <v>59</v>
      </c>
      <c r="H1306" s="547" t="s">
        <v>3</v>
      </c>
      <c r="I1306" s="547" t="s">
        <v>44</v>
      </c>
      <c r="J1306" s="547" t="s">
        <v>85</v>
      </c>
      <c r="K1306" s="547">
        <v>106</v>
      </c>
      <c r="L1306" s="727" t="s">
        <v>54</v>
      </c>
      <c r="M1306" s="697">
        <v>0</v>
      </c>
      <c r="N1306" s="727">
        <v>2</v>
      </c>
      <c r="O1306" s="697">
        <v>0</v>
      </c>
      <c r="P1306" s="727">
        <v>106</v>
      </c>
      <c r="Q1306" s="750">
        <f t="shared" si="180"/>
        <v>0</v>
      </c>
      <c r="R1306" s="608">
        <f t="shared" si="181"/>
        <v>157728</v>
      </c>
      <c r="S1306" s="751">
        <f t="shared" si="182"/>
        <v>157728</v>
      </c>
      <c r="T1306" s="750">
        <v>55.7</v>
      </c>
      <c r="U1306" s="608">
        <f t="shared" si="183"/>
        <v>82881.600000000006</v>
      </c>
      <c r="V1306" s="751">
        <f t="shared" si="184"/>
        <v>74846.399999999994</v>
      </c>
      <c r="W1306" s="752">
        <v>55.7</v>
      </c>
      <c r="X1306" s="609">
        <f t="shared" si="185"/>
        <v>82881.600000000006</v>
      </c>
      <c r="Y1306" s="703">
        <f t="shared" si="186"/>
        <v>74846.399999999994</v>
      </c>
      <c r="Z1306" s="752">
        <v>55.7</v>
      </c>
      <c r="AA1306" s="609">
        <f t="shared" si="187"/>
        <v>82881.600000000006</v>
      </c>
      <c r="AB1306" s="753">
        <f t="shared" si="188"/>
        <v>74846.399999999994</v>
      </c>
      <c r="AC1306" s="714"/>
    </row>
    <row r="1307" spans="1:29" x14ac:dyDescent="0.25">
      <c r="A1307" s="713"/>
      <c r="B1307" s="731" t="s">
        <v>1976</v>
      </c>
      <c r="C1307" s="547" t="s">
        <v>40</v>
      </c>
      <c r="D1307" s="547" t="s">
        <v>409</v>
      </c>
      <c r="E1307" s="683">
        <v>44743</v>
      </c>
      <c r="F1307" s="547">
        <v>744</v>
      </c>
      <c r="G1307" s="547" t="s">
        <v>58</v>
      </c>
      <c r="H1307" s="547" t="s">
        <v>3</v>
      </c>
      <c r="I1307" s="547" t="s">
        <v>44</v>
      </c>
      <c r="J1307" s="547" t="s">
        <v>84</v>
      </c>
      <c r="K1307" s="547">
        <v>62.9</v>
      </c>
      <c r="L1307" s="727" t="s">
        <v>54</v>
      </c>
      <c r="M1307" s="697">
        <v>1</v>
      </c>
      <c r="N1307" s="727">
        <v>0</v>
      </c>
      <c r="O1307" s="697">
        <v>62.9</v>
      </c>
      <c r="P1307" s="727">
        <v>0</v>
      </c>
      <c r="Q1307" s="750">
        <f t="shared" si="180"/>
        <v>46797.599999999999</v>
      </c>
      <c r="R1307" s="608">
        <f t="shared" si="181"/>
        <v>0</v>
      </c>
      <c r="S1307" s="751">
        <f t="shared" si="182"/>
        <v>-46797.599999999999</v>
      </c>
      <c r="T1307" s="750">
        <v>66.319999999999993</v>
      </c>
      <c r="U1307" s="608">
        <f t="shared" si="183"/>
        <v>-49342.079999999994</v>
      </c>
      <c r="V1307" s="751">
        <f t="shared" si="184"/>
        <v>2544.4799999999959</v>
      </c>
      <c r="W1307" s="752">
        <v>66.319999999999993</v>
      </c>
      <c r="X1307" s="609">
        <f t="shared" si="185"/>
        <v>-49342.079999999994</v>
      </c>
      <c r="Y1307" s="703">
        <f t="shared" si="186"/>
        <v>2544.4799999999959</v>
      </c>
      <c r="Z1307" s="752">
        <v>66.319999999999993</v>
      </c>
      <c r="AA1307" s="609">
        <f t="shared" si="187"/>
        <v>-49342.079999999994</v>
      </c>
      <c r="AB1307" s="753">
        <f t="shared" si="188"/>
        <v>2544.4799999999959</v>
      </c>
      <c r="AC1307" s="714"/>
    </row>
    <row r="1308" spans="1:29" x14ac:dyDescent="0.25">
      <c r="A1308" s="713"/>
      <c r="B1308" s="731" t="s">
        <v>1977</v>
      </c>
      <c r="C1308" s="547" t="s">
        <v>40</v>
      </c>
      <c r="D1308" s="547" t="s">
        <v>508</v>
      </c>
      <c r="E1308" s="683">
        <v>44835</v>
      </c>
      <c r="F1308" s="547">
        <v>744</v>
      </c>
      <c r="G1308" s="547" t="s">
        <v>59</v>
      </c>
      <c r="H1308" s="547" t="s">
        <v>3</v>
      </c>
      <c r="I1308" s="547" t="s">
        <v>44</v>
      </c>
      <c r="J1308" s="547" t="s">
        <v>85</v>
      </c>
      <c r="K1308" s="547">
        <v>106</v>
      </c>
      <c r="L1308" s="727" t="s">
        <v>54</v>
      </c>
      <c r="M1308" s="697">
        <v>0</v>
      </c>
      <c r="N1308" s="727">
        <v>3</v>
      </c>
      <c r="O1308" s="697">
        <v>0</v>
      </c>
      <c r="P1308" s="727">
        <v>106</v>
      </c>
      <c r="Q1308" s="750">
        <f t="shared" si="180"/>
        <v>0</v>
      </c>
      <c r="R1308" s="608">
        <f t="shared" si="181"/>
        <v>236592</v>
      </c>
      <c r="S1308" s="751">
        <f t="shared" si="182"/>
        <v>236592</v>
      </c>
      <c r="T1308" s="750">
        <v>55.7</v>
      </c>
      <c r="U1308" s="608">
        <f t="shared" si="183"/>
        <v>124322.40000000001</v>
      </c>
      <c r="V1308" s="751">
        <f t="shared" si="184"/>
        <v>112269.59999999999</v>
      </c>
      <c r="W1308" s="752">
        <v>55.7</v>
      </c>
      <c r="X1308" s="609">
        <f t="shared" si="185"/>
        <v>124322.40000000001</v>
      </c>
      <c r="Y1308" s="703">
        <f t="shared" si="186"/>
        <v>112269.59999999999</v>
      </c>
      <c r="Z1308" s="752">
        <v>55.7</v>
      </c>
      <c r="AA1308" s="609">
        <f t="shared" si="187"/>
        <v>124322.40000000001</v>
      </c>
      <c r="AB1308" s="753">
        <f t="shared" si="188"/>
        <v>112269.59999999999</v>
      </c>
      <c r="AC1308" s="714"/>
    </row>
    <row r="1309" spans="1:29" x14ac:dyDescent="0.25">
      <c r="A1309" s="713"/>
      <c r="B1309" s="731" t="s">
        <v>1978</v>
      </c>
      <c r="C1309" s="547" t="s">
        <v>40</v>
      </c>
      <c r="D1309" s="547" t="s">
        <v>466</v>
      </c>
      <c r="E1309" s="683">
        <v>44835</v>
      </c>
      <c r="F1309" s="547">
        <v>744</v>
      </c>
      <c r="G1309" s="547" t="s">
        <v>59</v>
      </c>
      <c r="H1309" s="547" t="s">
        <v>3</v>
      </c>
      <c r="I1309" s="547" t="s">
        <v>44</v>
      </c>
      <c r="J1309" s="547" t="s">
        <v>85</v>
      </c>
      <c r="K1309" s="547">
        <v>106</v>
      </c>
      <c r="L1309" s="727" t="s">
        <v>54</v>
      </c>
      <c r="M1309" s="697">
        <v>0</v>
      </c>
      <c r="N1309" s="727">
        <v>1</v>
      </c>
      <c r="O1309" s="697">
        <v>0</v>
      </c>
      <c r="P1309" s="727">
        <v>106</v>
      </c>
      <c r="Q1309" s="750">
        <f t="shared" si="180"/>
        <v>0</v>
      </c>
      <c r="R1309" s="608">
        <f t="shared" si="181"/>
        <v>78864</v>
      </c>
      <c r="S1309" s="751">
        <f t="shared" si="182"/>
        <v>78864</v>
      </c>
      <c r="T1309" s="750">
        <v>55.7</v>
      </c>
      <c r="U1309" s="608">
        <f t="shared" si="183"/>
        <v>41440.800000000003</v>
      </c>
      <c r="V1309" s="751">
        <f t="shared" si="184"/>
        <v>37423.199999999997</v>
      </c>
      <c r="W1309" s="752">
        <v>55.7</v>
      </c>
      <c r="X1309" s="609">
        <f t="shared" si="185"/>
        <v>41440.800000000003</v>
      </c>
      <c r="Y1309" s="703">
        <f t="shared" si="186"/>
        <v>37423.199999999997</v>
      </c>
      <c r="Z1309" s="752">
        <v>55.7</v>
      </c>
      <c r="AA1309" s="609">
        <f t="shared" si="187"/>
        <v>41440.800000000003</v>
      </c>
      <c r="AB1309" s="753">
        <f t="shared" si="188"/>
        <v>37423.199999999997</v>
      </c>
      <c r="AC1309" s="714"/>
    </row>
    <row r="1310" spans="1:29" x14ac:dyDescent="0.25">
      <c r="A1310" s="713"/>
      <c r="B1310" s="731" t="s">
        <v>1980</v>
      </c>
      <c r="C1310" s="547" t="s">
        <v>40</v>
      </c>
      <c r="D1310" s="547" t="s">
        <v>1540</v>
      </c>
      <c r="E1310" s="683">
        <v>44774</v>
      </c>
      <c r="F1310" s="547">
        <v>744</v>
      </c>
      <c r="G1310" s="547" t="s">
        <v>58</v>
      </c>
      <c r="H1310" s="547" t="s">
        <v>3</v>
      </c>
      <c r="I1310" s="547" t="s">
        <v>44</v>
      </c>
      <c r="J1310" s="547" t="s">
        <v>84</v>
      </c>
      <c r="K1310" s="547">
        <v>82</v>
      </c>
      <c r="L1310" s="727" t="s">
        <v>54</v>
      </c>
      <c r="M1310" s="697">
        <v>12</v>
      </c>
      <c r="N1310" s="727">
        <v>0</v>
      </c>
      <c r="O1310" s="697">
        <v>82</v>
      </c>
      <c r="P1310" s="727">
        <v>0</v>
      </c>
      <c r="Q1310" s="750">
        <f t="shared" si="180"/>
        <v>732096</v>
      </c>
      <c r="R1310" s="608">
        <f t="shared" si="181"/>
        <v>0</v>
      </c>
      <c r="S1310" s="751">
        <f t="shared" si="182"/>
        <v>-732096</v>
      </c>
      <c r="T1310" s="750">
        <v>76.900000000000006</v>
      </c>
      <c r="U1310" s="608">
        <f t="shared" si="183"/>
        <v>-686563.20000000007</v>
      </c>
      <c r="V1310" s="751">
        <f t="shared" si="184"/>
        <v>-45532.79999999993</v>
      </c>
      <c r="W1310" s="752">
        <v>76.900000000000006</v>
      </c>
      <c r="X1310" s="609">
        <f t="shared" si="185"/>
        <v>-686563.20000000007</v>
      </c>
      <c r="Y1310" s="703">
        <f t="shared" si="186"/>
        <v>-45532.79999999993</v>
      </c>
      <c r="Z1310" s="752">
        <v>76.900000000000006</v>
      </c>
      <c r="AA1310" s="609">
        <f t="shared" si="187"/>
        <v>-686563.20000000007</v>
      </c>
      <c r="AB1310" s="753">
        <f t="shared" si="188"/>
        <v>-45532.79999999993</v>
      </c>
      <c r="AC1310" s="714"/>
    </row>
    <row r="1311" spans="1:29" x14ac:dyDescent="0.25">
      <c r="A1311" s="713"/>
      <c r="B1311" s="731" t="s">
        <v>1983</v>
      </c>
      <c r="C1311" s="547" t="s">
        <v>40</v>
      </c>
      <c r="D1311" s="547" t="s">
        <v>1748</v>
      </c>
      <c r="E1311" s="683">
        <v>44743</v>
      </c>
      <c r="F1311" s="547">
        <v>744</v>
      </c>
      <c r="G1311" s="547" t="s">
        <v>58</v>
      </c>
      <c r="H1311" s="547" t="s">
        <v>3</v>
      </c>
      <c r="I1311" s="547" t="s">
        <v>44</v>
      </c>
      <c r="J1311" s="547" t="s">
        <v>84</v>
      </c>
      <c r="K1311" s="547">
        <v>64</v>
      </c>
      <c r="L1311" s="727" t="s">
        <v>54</v>
      </c>
      <c r="M1311" s="697">
        <v>1</v>
      </c>
      <c r="N1311" s="727">
        <v>0</v>
      </c>
      <c r="O1311" s="697">
        <v>64</v>
      </c>
      <c r="P1311" s="727">
        <v>0</v>
      </c>
      <c r="Q1311" s="750">
        <f t="shared" si="180"/>
        <v>47616</v>
      </c>
      <c r="R1311" s="608">
        <f t="shared" si="181"/>
        <v>0</v>
      </c>
      <c r="S1311" s="751">
        <f t="shared" si="182"/>
        <v>-47616</v>
      </c>
      <c r="T1311" s="750">
        <v>66.319999999999993</v>
      </c>
      <c r="U1311" s="608">
        <f t="shared" si="183"/>
        <v>-49342.079999999994</v>
      </c>
      <c r="V1311" s="751">
        <f t="shared" si="184"/>
        <v>1726.0799999999945</v>
      </c>
      <c r="W1311" s="752">
        <v>66.319999999999993</v>
      </c>
      <c r="X1311" s="609">
        <f t="shared" si="185"/>
        <v>-49342.079999999994</v>
      </c>
      <c r="Y1311" s="703">
        <f t="shared" si="186"/>
        <v>1726.0799999999945</v>
      </c>
      <c r="Z1311" s="752">
        <v>66.319999999999993</v>
      </c>
      <c r="AA1311" s="609">
        <f t="shared" si="187"/>
        <v>-49342.079999999994</v>
      </c>
      <c r="AB1311" s="753">
        <f t="shared" si="188"/>
        <v>1726.0799999999945</v>
      </c>
      <c r="AC1311" s="714"/>
    </row>
    <row r="1312" spans="1:29" x14ac:dyDescent="0.25">
      <c r="A1312" s="713"/>
      <c r="B1312" s="731" t="s">
        <v>1991</v>
      </c>
      <c r="C1312" s="547" t="s">
        <v>40</v>
      </c>
      <c r="D1312" s="547" t="s">
        <v>466</v>
      </c>
      <c r="E1312" s="683">
        <v>44805</v>
      </c>
      <c r="F1312" s="547">
        <v>720</v>
      </c>
      <c r="G1312" s="547" t="s">
        <v>58</v>
      </c>
      <c r="H1312" s="547" t="s">
        <v>3</v>
      </c>
      <c r="I1312" s="547" t="s">
        <v>44</v>
      </c>
      <c r="J1312" s="547" t="s">
        <v>84</v>
      </c>
      <c r="K1312" s="547">
        <v>88</v>
      </c>
      <c r="L1312" s="727" t="s">
        <v>54</v>
      </c>
      <c r="M1312" s="697">
        <v>10</v>
      </c>
      <c r="N1312" s="727">
        <v>0</v>
      </c>
      <c r="O1312" s="697">
        <v>88</v>
      </c>
      <c r="P1312" s="727">
        <v>0</v>
      </c>
      <c r="Q1312" s="750">
        <f t="shared" si="180"/>
        <v>633600</v>
      </c>
      <c r="R1312" s="608">
        <f t="shared" si="181"/>
        <v>0</v>
      </c>
      <c r="S1312" s="751">
        <f t="shared" si="182"/>
        <v>-633600</v>
      </c>
      <c r="T1312" s="750">
        <v>56.08</v>
      </c>
      <c r="U1312" s="608">
        <f t="shared" si="183"/>
        <v>-403776</v>
      </c>
      <c r="V1312" s="751">
        <f t="shared" si="184"/>
        <v>-229824</v>
      </c>
      <c r="W1312" s="752">
        <v>56.08</v>
      </c>
      <c r="X1312" s="609">
        <f t="shared" si="185"/>
        <v>-403776</v>
      </c>
      <c r="Y1312" s="703">
        <f t="shared" si="186"/>
        <v>-229824</v>
      </c>
      <c r="Z1312" s="752">
        <v>56.08</v>
      </c>
      <c r="AA1312" s="609">
        <f t="shared" si="187"/>
        <v>-403776</v>
      </c>
      <c r="AB1312" s="753">
        <f t="shared" si="188"/>
        <v>-229824</v>
      </c>
      <c r="AC1312" s="714"/>
    </row>
    <row r="1313" spans="1:29" x14ac:dyDescent="0.25">
      <c r="A1313" s="713"/>
      <c r="B1313" s="731" t="s">
        <v>1993</v>
      </c>
      <c r="C1313" s="547" t="s">
        <v>40</v>
      </c>
      <c r="D1313" s="547" t="s">
        <v>968</v>
      </c>
      <c r="E1313" s="683">
        <v>44805</v>
      </c>
      <c r="F1313" s="547">
        <v>720</v>
      </c>
      <c r="G1313" s="547" t="s">
        <v>58</v>
      </c>
      <c r="H1313" s="547" t="s">
        <v>3</v>
      </c>
      <c r="I1313" s="547" t="s">
        <v>44</v>
      </c>
      <c r="J1313" s="547" t="s">
        <v>84</v>
      </c>
      <c r="K1313" s="547">
        <v>88</v>
      </c>
      <c r="L1313" s="727" t="s">
        <v>54</v>
      </c>
      <c r="M1313" s="697">
        <v>1</v>
      </c>
      <c r="N1313" s="727">
        <v>0</v>
      </c>
      <c r="O1313" s="697">
        <v>88</v>
      </c>
      <c r="P1313" s="727">
        <v>0</v>
      </c>
      <c r="Q1313" s="750">
        <f t="shared" si="180"/>
        <v>63360</v>
      </c>
      <c r="R1313" s="608">
        <f t="shared" si="181"/>
        <v>0</v>
      </c>
      <c r="S1313" s="751">
        <f t="shared" si="182"/>
        <v>-63360</v>
      </c>
      <c r="T1313" s="750">
        <v>56.08</v>
      </c>
      <c r="U1313" s="608">
        <f t="shared" si="183"/>
        <v>-40377.599999999999</v>
      </c>
      <c r="V1313" s="751">
        <f t="shared" si="184"/>
        <v>-22982.400000000001</v>
      </c>
      <c r="W1313" s="752">
        <v>56.08</v>
      </c>
      <c r="X1313" s="609">
        <f t="shared" si="185"/>
        <v>-40377.599999999999</v>
      </c>
      <c r="Y1313" s="703">
        <f t="shared" si="186"/>
        <v>-22982.400000000001</v>
      </c>
      <c r="Z1313" s="752">
        <v>56.08</v>
      </c>
      <c r="AA1313" s="609">
        <f t="shared" si="187"/>
        <v>-40377.599999999999</v>
      </c>
      <c r="AB1313" s="753">
        <f t="shared" si="188"/>
        <v>-22982.400000000001</v>
      </c>
      <c r="AC1313" s="714"/>
    </row>
    <row r="1314" spans="1:29" x14ac:dyDescent="0.25">
      <c r="A1314" s="713"/>
      <c r="B1314" s="731" t="s">
        <v>1995</v>
      </c>
      <c r="C1314" s="547" t="s">
        <v>40</v>
      </c>
      <c r="D1314" s="547" t="s">
        <v>466</v>
      </c>
      <c r="E1314" s="683">
        <v>44805</v>
      </c>
      <c r="F1314" s="547">
        <v>720</v>
      </c>
      <c r="G1314" s="547" t="s">
        <v>58</v>
      </c>
      <c r="H1314" s="547" t="s">
        <v>3</v>
      </c>
      <c r="I1314" s="547" t="s">
        <v>44</v>
      </c>
      <c r="J1314" s="547" t="s">
        <v>84</v>
      </c>
      <c r="K1314" s="547">
        <v>88</v>
      </c>
      <c r="L1314" s="727" t="s">
        <v>54</v>
      </c>
      <c r="M1314" s="697">
        <v>1</v>
      </c>
      <c r="N1314" s="727">
        <v>0</v>
      </c>
      <c r="O1314" s="697">
        <v>88</v>
      </c>
      <c r="P1314" s="727">
        <v>0</v>
      </c>
      <c r="Q1314" s="750">
        <f t="shared" si="180"/>
        <v>63360</v>
      </c>
      <c r="R1314" s="608">
        <f t="shared" si="181"/>
        <v>0</v>
      </c>
      <c r="S1314" s="751">
        <f t="shared" si="182"/>
        <v>-63360</v>
      </c>
      <c r="T1314" s="750">
        <v>56.08</v>
      </c>
      <c r="U1314" s="608">
        <f t="shared" si="183"/>
        <v>-40377.599999999999</v>
      </c>
      <c r="V1314" s="751">
        <f t="shared" si="184"/>
        <v>-22982.400000000001</v>
      </c>
      <c r="W1314" s="752">
        <v>56.08</v>
      </c>
      <c r="X1314" s="609">
        <f t="shared" si="185"/>
        <v>-40377.599999999999</v>
      </c>
      <c r="Y1314" s="703">
        <f t="shared" si="186"/>
        <v>-22982.400000000001</v>
      </c>
      <c r="Z1314" s="752">
        <v>56.08</v>
      </c>
      <c r="AA1314" s="609">
        <f t="shared" si="187"/>
        <v>-40377.599999999999</v>
      </c>
      <c r="AB1314" s="753">
        <f t="shared" si="188"/>
        <v>-22982.400000000001</v>
      </c>
      <c r="AC1314" s="714"/>
    </row>
    <row r="1315" spans="1:29" x14ac:dyDescent="0.25">
      <c r="A1315" s="713"/>
      <c r="B1315" s="731" t="s">
        <v>1997</v>
      </c>
      <c r="C1315" s="547" t="s">
        <v>40</v>
      </c>
      <c r="D1315" s="547" t="s">
        <v>466</v>
      </c>
      <c r="E1315" s="683">
        <v>44805</v>
      </c>
      <c r="F1315" s="547">
        <v>720</v>
      </c>
      <c r="G1315" s="547" t="s">
        <v>58</v>
      </c>
      <c r="H1315" s="547" t="s">
        <v>3</v>
      </c>
      <c r="I1315" s="547" t="s">
        <v>44</v>
      </c>
      <c r="J1315" s="547" t="s">
        <v>84</v>
      </c>
      <c r="K1315" s="547">
        <v>88</v>
      </c>
      <c r="L1315" s="727" t="s">
        <v>54</v>
      </c>
      <c r="M1315" s="697">
        <v>1</v>
      </c>
      <c r="N1315" s="727">
        <v>0</v>
      </c>
      <c r="O1315" s="697">
        <v>88</v>
      </c>
      <c r="P1315" s="727">
        <v>0</v>
      </c>
      <c r="Q1315" s="750">
        <f t="shared" si="180"/>
        <v>63360</v>
      </c>
      <c r="R1315" s="608">
        <f t="shared" si="181"/>
        <v>0</v>
      </c>
      <c r="S1315" s="751">
        <f t="shared" si="182"/>
        <v>-63360</v>
      </c>
      <c r="T1315" s="750">
        <v>56.08</v>
      </c>
      <c r="U1315" s="608">
        <f t="shared" si="183"/>
        <v>-40377.599999999999</v>
      </c>
      <c r="V1315" s="751">
        <f t="shared" si="184"/>
        <v>-22982.400000000001</v>
      </c>
      <c r="W1315" s="752">
        <v>56.08</v>
      </c>
      <c r="X1315" s="609">
        <f t="shared" si="185"/>
        <v>-40377.599999999999</v>
      </c>
      <c r="Y1315" s="703">
        <f t="shared" si="186"/>
        <v>-22982.400000000001</v>
      </c>
      <c r="Z1315" s="752">
        <v>56.08</v>
      </c>
      <c r="AA1315" s="609">
        <f t="shared" si="187"/>
        <v>-40377.599999999999</v>
      </c>
      <c r="AB1315" s="753">
        <f t="shared" si="188"/>
        <v>-22982.400000000001</v>
      </c>
      <c r="AC1315" s="714"/>
    </row>
    <row r="1316" spans="1:29" x14ac:dyDescent="0.25">
      <c r="A1316" s="713"/>
      <c r="B1316" s="731" t="s">
        <v>1999</v>
      </c>
      <c r="C1316" s="547" t="s">
        <v>40</v>
      </c>
      <c r="D1316" s="547" t="s">
        <v>350</v>
      </c>
      <c r="E1316" s="683">
        <v>44805</v>
      </c>
      <c r="F1316" s="547">
        <v>720</v>
      </c>
      <c r="G1316" s="547" t="s">
        <v>58</v>
      </c>
      <c r="H1316" s="547" t="s">
        <v>3</v>
      </c>
      <c r="I1316" s="547" t="s">
        <v>44</v>
      </c>
      <c r="J1316" s="547" t="s">
        <v>84</v>
      </c>
      <c r="K1316" s="547">
        <v>88</v>
      </c>
      <c r="L1316" s="727" t="s">
        <v>54</v>
      </c>
      <c r="M1316" s="697">
        <v>1</v>
      </c>
      <c r="N1316" s="727">
        <v>0</v>
      </c>
      <c r="O1316" s="697">
        <v>88</v>
      </c>
      <c r="P1316" s="727">
        <v>0</v>
      </c>
      <c r="Q1316" s="750">
        <f t="shared" si="180"/>
        <v>63360</v>
      </c>
      <c r="R1316" s="608">
        <f t="shared" si="181"/>
        <v>0</v>
      </c>
      <c r="S1316" s="751">
        <f t="shared" si="182"/>
        <v>-63360</v>
      </c>
      <c r="T1316" s="750">
        <v>56.08</v>
      </c>
      <c r="U1316" s="608">
        <f t="shared" si="183"/>
        <v>-40377.599999999999</v>
      </c>
      <c r="V1316" s="751">
        <f t="shared" si="184"/>
        <v>-22982.400000000001</v>
      </c>
      <c r="W1316" s="752">
        <v>56.08</v>
      </c>
      <c r="X1316" s="609">
        <f t="shared" si="185"/>
        <v>-40377.599999999999</v>
      </c>
      <c r="Y1316" s="703">
        <f t="shared" si="186"/>
        <v>-22982.400000000001</v>
      </c>
      <c r="Z1316" s="752">
        <v>56.08</v>
      </c>
      <c r="AA1316" s="609">
        <f t="shared" si="187"/>
        <v>-40377.599999999999</v>
      </c>
      <c r="AB1316" s="753">
        <f t="shared" si="188"/>
        <v>-22982.400000000001</v>
      </c>
      <c r="AC1316" s="714"/>
    </row>
    <row r="1317" spans="1:29" x14ac:dyDescent="0.25">
      <c r="A1317" s="713"/>
      <c r="B1317" s="731" t="s">
        <v>2001</v>
      </c>
      <c r="C1317" s="547" t="s">
        <v>40</v>
      </c>
      <c r="D1317" s="547" t="s">
        <v>1748</v>
      </c>
      <c r="E1317" s="683">
        <v>44743</v>
      </c>
      <c r="F1317" s="547">
        <v>744</v>
      </c>
      <c r="G1317" s="547" t="s">
        <v>58</v>
      </c>
      <c r="H1317" s="547" t="s">
        <v>3</v>
      </c>
      <c r="I1317" s="547" t="s">
        <v>44</v>
      </c>
      <c r="J1317" s="547" t="s">
        <v>84</v>
      </c>
      <c r="K1317" s="547">
        <v>64</v>
      </c>
      <c r="L1317" s="727" t="s">
        <v>54</v>
      </c>
      <c r="M1317" s="697">
        <v>13</v>
      </c>
      <c r="N1317" s="727">
        <v>0</v>
      </c>
      <c r="O1317" s="697">
        <v>64</v>
      </c>
      <c r="P1317" s="727">
        <v>0</v>
      </c>
      <c r="Q1317" s="750">
        <f t="shared" si="180"/>
        <v>619008</v>
      </c>
      <c r="R1317" s="608">
        <f t="shared" si="181"/>
        <v>0</v>
      </c>
      <c r="S1317" s="751">
        <f t="shared" si="182"/>
        <v>-619008</v>
      </c>
      <c r="T1317" s="750">
        <v>66.319999999999993</v>
      </c>
      <c r="U1317" s="608">
        <f t="shared" si="183"/>
        <v>-641447.03999999992</v>
      </c>
      <c r="V1317" s="751">
        <f t="shared" si="184"/>
        <v>22439.039999999921</v>
      </c>
      <c r="W1317" s="752">
        <v>66.319999999999993</v>
      </c>
      <c r="X1317" s="609">
        <f t="shared" si="185"/>
        <v>-641447.03999999992</v>
      </c>
      <c r="Y1317" s="703">
        <f t="shared" si="186"/>
        <v>22439.039999999921</v>
      </c>
      <c r="Z1317" s="752">
        <v>66.319999999999993</v>
      </c>
      <c r="AA1317" s="609">
        <f t="shared" si="187"/>
        <v>-641447.03999999992</v>
      </c>
      <c r="AB1317" s="753">
        <f t="shared" si="188"/>
        <v>22439.039999999921</v>
      </c>
      <c r="AC1317" s="714"/>
    </row>
    <row r="1318" spans="1:29" x14ac:dyDescent="0.25">
      <c r="A1318" s="713"/>
      <c r="B1318" s="731" t="s">
        <v>2018</v>
      </c>
      <c r="C1318" s="547" t="s">
        <v>40</v>
      </c>
      <c r="D1318" s="547" t="s">
        <v>2017</v>
      </c>
      <c r="E1318" s="683">
        <v>44866</v>
      </c>
      <c r="F1318" s="547">
        <v>720</v>
      </c>
      <c r="G1318" s="547" t="s">
        <v>59</v>
      </c>
      <c r="H1318" s="547" t="s">
        <v>3</v>
      </c>
      <c r="I1318" s="547" t="s">
        <v>44</v>
      </c>
      <c r="J1318" s="547" t="s">
        <v>85</v>
      </c>
      <c r="K1318" s="547">
        <v>123</v>
      </c>
      <c r="L1318" s="727" t="s">
        <v>54</v>
      </c>
      <c r="M1318" s="697">
        <v>0</v>
      </c>
      <c r="N1318" s="727">
        <v>3.5</v>
      </c>
      <c r="O1318" s="697">
        <v>0</v>
      </c>
      <c r="P1318" s="727">
        <v>123</v>
      </c>
      <c r="Q1318" s="750">
        <f t="shared" si="180"/>
        <v>0</v>
      </c>
      <c r="R1318" s="608">
        <f t="shared" si="181"/>
        <v>309960</v>
      </c>
      <c r="S1318" s="751">
        <f t="shared" si="182"/>
        <v>309960</v>
      </c>
      <c r="T1318" s="750">
        <v>55.7</v>
      </c>
      <c r="U1318" s="608">
        <f t="shared" si="183"/>
        <v>140364</v>
      </c>
      <c r="V1318" s="751">
        <f t="shared" si="184"/>
        <v>169596</v>
      </c>
      <c r="W1318" s="752">
        <v>55.7</v>
      </c>
      <c r="X1318" s="609">
        <f t="shared" si="185"/>
        <v>140364</v>
      </c>
      <c r="Y1318" s="703">
        <f t="shared" si="186"/>
        <v>169596</v>
      </c>
      <c r="Z1318" s="752">
        <v>55.7</v>
      </c>
      <c r="AA1318" s="609">
        <f t="shared" si="187"/>
        <v>140364</v>
      </c>
      <c r="AB1318" s="753">
        <f t="shared" si="188"/>
        <v>169596</v>
      </c>
      <c r="AC1318" s="714"/>
    </row>
    <row r="1319" spans="1:29" x14ac:dyDescent="0.25">
      <c r="A1319" s="713"/>
      <c r="B1319" s="731" t="s">
        <v>2019</v>
      </c>
      <c r="C1319" s="547" t="s">
        <v>40</v>
      </c>
      <c r="D1319" s="547" t="s">
        <v>355</v>
      </c>
      <c r="E1319" s="683">
        <v>44835</v>
      </c>
      <c r="F1319" s="547">
        <v>744</v>
      </c>
      <c r="G1319" s="547" t="s">
        <v>59</v>
      </c>
      <c r="H1319" s="547" t="s">
        <v>3</v>
      </c>
      <c r="I1319" s="547" t="s">
        <v>44</v>
      </c>
      <c r="J1319" s="547" t="s">
        <v>85</v>
      </c>
      <c r="K1319" s="547">
        <v>121</v>
      </c>
      <c r="L1319" s="727" t="s">
        <v>54</v>
      </c>
      <c r="M1319" s="697">
        <v>0</v>
      </c>
      <c r="N1319" s="727">
        <v>5</v>
      </c>
      <c r="O1319" s="697">
        <v>0</v>
      </c>
      <c r="P1319" s="727">
        <v>121</v>
      </c>
      <c r="Q1319" s="750">
        <f t="shared" si="180"/>
        <v>0</v>
      </c>
      <c r="R1319" s="608">
        <f t="shared" si="181"/>
        <v>450120</v>
      </c>
      <c r="S1319" s="751">
        <f t="shared" si="182"/>
        <v>450120</v>
      </c>
      <c r="T1319" s="750">
        <v>55.7</v>
      </c>
      <c r="U1319" s="608">
        <f t="shared" si="183"/>
        <v>207204</v>
      </c>
      <c r="V1319" s="751">
        <f t="shared" si="184"/>
        <v>242916</v>
      </c>
      <c r="W1319" s="752">
        <v>55.7</v>
      </c>
      <c r="X1319" s="609">
        <f t="shared" si="185"/>
        <v>207204</v>
      </c>
      <c r="Y1319" s="703">
        <f t="shared" si="186"/>
        <v>242916</v>
      </c>
      <c r="Z1319" s="752">
        <v>55.7</v>
      </c>
      <c r="AA1319" s="609">
        <f t="shared" si="187"/>
        <v>207204</v>
      </c>
      <c r="AB1319" s="753">
        <f t="shared" si="188"/>
        <v>242916</v>
      </c>
      <c r="AC1319" s="714"/>
    </row>
    <row r="1320" spans="1:29" x14ac:dyDescent="0.25">
      <c r="A1320" s="713"/>
      <c r="B1320" s="731" t="s">
        <v>2021</v>
      </c>
      <c r="C1320" s="547" t="s">
        <v>40</v>
      </c>
      <c r="D1320" s="547" t="s">
        <v>585</v>
      </c>
      <c r="E1320" s="683">
        <v>44743</v>
      </c>
      <c r="F1320" s="547">
        <v>744</v>
      </c>
      <c r="G1320" s="547" t="s">
        <v>58</v>
      </c>
      <c r="H1320" s="547" t="s">
        <v>3</v>
      </c>
      <c r="I1320" s="547" t="s">
        <v>44</v>
      </c>
      <c r="J1320" s="547" t="s">
        <v>84</v>
      </c>
      <c r="K1320" s="547">
        <v>66</v>
      </c>
      <c r="L1320" s="727" t="s">
        <v>54</v>
      </c>
      <c r="M1320" s="697">
        <v>10</v>
      </c>
      <c r="N1320" s="727">
        <v>0</v>
      </c>
      <c r="O1320" s="697">
        <v>66</v>
      </c>
      <c r="P1320" s="727">
        <v>0</v>
      </c>
      <c r="Q1320" s="750">
        <f t="shared" si="180"/>
        <v>491040</v>
      </c>
      <c r="R1320" s="608">
        <f t="shared" si="181"/>
        <v>0</v>
      </c>
      <c r="S1320" s="751">
        <f t="shared" si="182"/>
        <v>-491040</v>
      </c>
      <c r="T1320" s="750">
        <v>66.319999999999993</v>
      </c>
      <c r="U1320" s="608">
        <f t="shared" si="183"/>
        <v>-493420.79999999993</v>
      </c>
      <c r="V1320" s="751">
        <f t="shared" si="184"/>
        <v>2380.7999999999302</v>
      </c>
      <c r="W1320" s="752">
        <v>66.319999999999993</v>
      </c>
      <c r="X1320" s="609">
        <f t="shared" si="185"/>
        <v>-493420.79999999993</v>
      </c>
      <c r="Y1320" s="703">
        <f t="shared" si="186"/>
        <v>2380.7999999999302</v>
      </c>
      <c r="Z1320" s="752">
        <v>66.319999999999993</v>
      </c>
      <c r="AA1320" s="609">
        <f t="shared" si="187"/>
        <v>-493420.79999999993</v>
      </c>
      <c r="AB1320" s="753">
        <f t="shared" si="188"/>
        <v>2380.7999999999302</v>
      </c>
      <c r="AC1320" s="714"/>
    </row>
    <row r="1321" spans="1:29" x14ac:dyDescent="0.25">
      <c r="A1321" s="713"/>
      <c r="B1321" s="731" t="s">
        <v>2030</v>
      </c>
      <c r="C1321" s="547" t="s">
        <v>40</v>
      </c>
      <c r="D1321" s="547" t="s">
        <v>945</v>
      </c>
      <c r="E1321" s="683">
        <v>44835</v>
      </c>
      <c r="F1321" s="547">
        <v>744</v>
      </c>
      <c r="G1321" s="547" t="s">
        <v>58</v>
      </c>
      <c r="H1321" s="547" t="s">
        <v>3</v>
      </c>
      <c r="I1321" s="547" t="s">
        <v>44</v>
      </c>
      <c r="J1321" s="547" t="s">
        <v>84</v>
      </c>
      <c r="K1321" s="547">
        <v>115.5</v>
      </c>
      <c r="L1321" s="727" t="s">
        <v>54</v>
      </c>
      <c r="M1321" s="697">
        <v>1</v>
      </c>
      <c r="N1321" s="727">
        <v>0</v>
      </c>
      <c r="O1321" s="697">
        <v>115.5</v>
      </c>
      <c r="P1321" s="727">
        <v>0</v>
      </c>
      <c r="Q1321" s="750">
        <f t="shared" si="180"/>
        <v>85932</v>
      </c>
      <c r="R1321" s="608">
        <f t="shared" si="181"/>
        <v>0</v>
      </c>
      <c r="S1321" s="751">
        <f t="shared" si="182"/>
        <v>-85932</v>
      </c>
      <c r="T1321" s="750">
        <v>55.7</v>
      </c>
      <c r="U1321" s="608">
        <f t="shared" si="183"/>
        <v>-41440.800000000003</v>
      </c>
      <c r="V1321" s="751">
        <f t="shared" si="184"/>
        <v>-44491.199999999997</v>
      </c>
      <c r="W1321" s="752">
        <v>55.7</v>
      </c>
      <c r="X1321" s="609">
        <f t="shared" si="185"/>
        <v>-41440.800000000003</v>
      </c>
      <c r="Y1321" s="703">
        <f t="shared" si="186"/>
        <v>-44491.199999999997</v>
      </c>
      <c r="Z1321" s="752">
        <v>55.7</v>
      </c>
      <c r="AA1321" s="609">
        <f t="shared" si="187"/>
        <v>-41440.800000000003</v>
      </c>
      <c r="AB1321" s="753">
        <f t="shared" si="188"/>
        <v>-44491.199999999997</v>
      </c>
      <c r="AC1321" s="714"/>
    </row>
    <row r="1322" spans="1:29" x14ac:dyDescent="0.25">
      <c r="A1322" s="713"/>
      <c r="B1322" s="731" t="s">
        <v>2031</v>
      </c>
      <c r="C1322" s="547" t="s">
        <v>40</v>
      </c>
      <c r="D1322" s="547" t="s">
        <v>876</v>
      </c>
      <c r="E1322" s="683">
        <v>44866</v>
      </c>
      <c r="F1322" s="547">
        <v>720</v>
      </c>
      <c r="G1322" s="547" t="s">
        <v>59</v>
      </c>
      <c r="H1322" s="547" t="s">
        <v>3</v>
      </c>
      <c r="I1322" s="547" t="s">
        <v>44</v>
      </c>
      <c r="J1322" s="547" t="s">
        <v>85</v>
      </c>
      <c r="K1322" s="547">
        <v>119</v>
      </c>
      <c r="L1322" s="727" t="s">
        <v>54</v>
      </c>
      <c r="M1322" s="697">
        <v>0</v>
      </c>
      <c r="N1322" s="727">
        <v>1</v>
      </c>
      <c r="O1322" s="697">
        <v>0</v>
      </c>
      <c r="P1322" s="727">
        <v>119</v>
      </c>
      <c r="Q1322" s="750">
        <f t="shared" si="180"/>
        <v>0</v>
      </c>
      <c r="R1322" s="608">
        <f t="shared" si="181"/>
        <v>85680</v>
      </c>
      <c r="S1322" s="751">
        <f t="shared" si="182"/>
        <v>85680</v>
      </c>
      <c r="T1322" s="750">
        <v>55.7</v>
      </c>
      <c r="U1322" s="608">
        <f t="shared" si="183"/>
        <v>40104</v>
      </c>
      <c r="V1322" s="751">
        <f t="shared" si="184"/>
        <v>45576</v>
      </c>
      <c r="W1322" s="752">
        <v>55.7</v>
      </c>
      <c r="X1322" s="609">
        <f t="shared" si="185"/>
        <v>40104</v>
      </c>
      <c r="Y1322" s="703">
        <f t="shared" si="186"/>
        <v>45576</v>
      </c>
      <c r="Z1322" s="752">
        <v>55.7</v>
      </c>
      <c r="AA1322" s="609">
        <f t="shared" si="187"/>
        <v>40104</v>
      </c>
      <c r="AB1322" s="753">
        <f t="shared" si="188"/>
        <v>45576</v>
      </c>
      <c r="AC1322" s="714"/>
    </row>
    <row r="1323" spans="1:29" x14ac:dyDescent="0.25">
      <c r="A1323" s="713"/>
      <c r="B1323" s="731" t="s">
        <v>2032</v>
      </c>
      <c r="C1323" s="547" t="s">
        <v>40</v>
      </c>
      <c r="D1323" s="547" t="s">
        <v>945</v>
      </c>
      <c r="E1323" s="683">
        <v>44866</v>
      </c>
      <c r="F1323" s="547">
        <v>720</v>
      </c>
      <c r="G1323" s="547" t="s">
        <v>58</v>
      </c>
      <c r="H1323" s="547" t="s">
        <v>3</v>
      </c>
      <c r="I1323" s="547" t="s">
        <v>44</v>
      </c>
      <c r="J1323" s="547" t="s">
        <v>84</v>
      </c>
      <c r="K1323" s="547">
        <v>115.5</v>
      </c>
      <c r="L1323" s="727" t="s">
        <v>54</v>
      </c>
      <c r="M1323" s="697">
        <v>0.1</v>
      </c>
      <c r="N1323" s="727">
        <v>0</v>
      </c>
      <c r="O1323" s="697">
        <v>115.5</v>
      </c>
      <c r="P1323" s="727">
        <v>0</v>
      </c>
      <c r="Q1323" s="750">
        <f t="shared" si="180"/>
        <v>8316</v>
      </c>
      <c r="R1323" s="608">
        <f t="shared" si="181"/>
        <v>0</v>
      </c>
      <c r="S1323" s="751">
        <f t="shared" si="182"/>
        <v>-8316</v>
      </c>
      <c r="T1323" s="750">
        <v>55.7</v>
      </c>
      <c r="U1323" s="608">
        <f t="shared" si="183"/>
        <v>-4010.4</v>
      </c>
      <c r="V1323" s="751">
        <f t="shared" si="184"/>
        <v>-4305.6000000000004</v>
      </c>
      <c r="W1323" s="752">
        <v>55.7</v>
      </c>
      <c r="X1323" s="609">
        <f t="shared" si="185"/>
        <v>-4010.4</v>
      </c>
      <c r="Y1323" s="703">
        <f t="shared" si="186"/>
        <v>-4305.6000000000004</v>
      </c>
      <c r="Z1323" s="752">
        <v>55.7</v>
      </c>
      <c r="AA1323" s="609">
        <f t="shared" si="187"/>
        <v>-4010.4</v>
      </c>
      <c r="AB1323" s="753">
        <f t="shared" si="188"/>
        <v>-4305.6000000000004</v>
      </c>
      <c r="AC1323" s="714"/>
    </row>
    <row r="1324" spans="1:29" x14ac:dyDescent="0.25">
      <c r="A1324" s="713"/>
      <c r="B1324" s="731" t="s">
        <v>2033</v>
      </c>
      <c r="C1324" s="547" t="s">
        <v>40</v>
      </c>
      <c r="D1324" s="547" t="s">
        <v>409</v>
      </c>
      <c r="E1324" s="683">
        <v>44866</v>
      </c>
      <c r="F1324" s="547">
        <v>720</v>
      </c>
      <c r="G1324" s="547" t="s">
        <v>59</v>
      </c>
      <c r="H1324" s="547" t="s">
        <v>3</v>
      </c>
      <c r="I1324" s="547" t="s">
        <v>44</v>
      </c>
      <c r="J1324" s="547" t="s">
        <v>85</v>
      </c>
      <c r="K1324" s="547">
        <v>118</v>
      </c>
      <c r="L1324" s="727" t="s">
        <v>54</v>
      </c>
      <c r="M1324" s="697">
        <v>0</v>
      </c>
      <c r="N1324" s="727">
        <v>1.5</v>
      </c>
      <c r="O1324" s="697">
        <v>0</v>
      </c>
      <c r="P1324" s="727">
        <v>118</v>
      </c>
      <c r="Q1324" s="750">
        <f t="shared" si="180"/>
        <v>0</v>
      </c>
      <c r="R1324" s="608">
        <f t="shared" si="181"/>
        <v>127440</v>
      </c>
      <c r="S1324" s="751">
        <f t="shared" si="182"/>
        <v>127440</v>
      </c>
      <c r="T1324" s="750">
        <v>55.7</v>
      </c>
      <c r="U1324" s="608">
        <f t="shared" si="183"/>
        <v>60156</v>
      </c>
      <c r="V1324" s="751">
        <f t="shared" si="184"/>
        <v>67284</v>
      </c>
      <c r="W1324" s="752">
        <v>55.7</v>
      </c>
      <c r="X1324" s="609">
        <f t="shared" si="185"/>
        <v>60156</v>
      </c>
      <c r="Y1324" s="703">
        <f t="shared" si="186"/>
        <v>67284</v>
      </c>
      <c r="Z1324" s="752">
        <v>55.7</v>
      </c>
      <c r="AA1324" s="609">
        <f t="shared" si="187"/>
        <v>60156</v>
      </c>
      <c r="AB1324" s="753">
        <f t="shared" si="188"/>
        <v>67284</v>
      </c>
      <c r="AC1324" s="714"/>
    </row>
    <row r="1325" spans="1:29" x14ac:dyDescent="0.25">
      <c r="A1325" s="713"/>
      <c r="B1325" s="731" t="s">
        <v>2034</v>
      </c>
      <c r="C1325" s="547" t="s">
        <v>40</v>
      </c>
      <c r="D1325" s="547" t="s">
        <v>1134</v>
      </c>
      <c r="E1325" s="683">
        <v>44866</v>
      </c>
      <c r="F1325" s="547">
        <v>720</v>
      </c>
      <c r="G1325" s="547" t="s">
        <v>59</v>
      </c>
      <c r="H1325" s="547" t="s">
        <v>3</v>
      </c>
      <c r="I1325" s="547" t="s">
        <v>44</v>
      </c>
      <c r="J1325" s="547" t="s">
        <v>85</v>
      </c>
      <c r="K1325" s="547">
        <v>118</v>
      </c>
      <c r="L1325" s="727" t="s">
        <v>54</v>
      </c>
      <c r="M1325" s="697">
        <v>0</v>
      </c>
      <c r="N1325" s="727">
        <v>0.5</v>
      </c>
      <c r="O1325" s="697">
        <v>0</v>
      </c>
      <c r="P1325" s="727">
        <v>118</v>
      </c>
      <c r="Q1325" s="750">
        <f t="shared" si="180"/>
        <v>0</v>
      </c>
      <c r="R1325" s="608">
        <f t="shared" si="181"/>
        <v>42480</v>
      </c>
      <c r="S1325" s="751">
        <f t="shared" si="182"/>
        <v>42480</v>
      </c>
      <c r="T1325" s="750">
        <v>55.7</v>
      </c>
      <c r="U1325" s="608">
        <f t="shared" si="183"/>
        <v>20052</v>
      </c>
      <c r="V1325" s="751">
        <f t="shared" si="184"/>
        <v>22428</v>
      </c>
      <c r="W1325" s="752">
        <v>55.7</v>
      </c>
      <c r="X1325" s="609">
        <f t="shared" si="185"/>
        <v>20052</v>
      </c>
      <c r="Y1325" s="703">
        <f t="shared" si="186"/>
        <v>22428</v>
      </c>
      <c r="Z1325" s="752">
        <v>55.7</v>
      </c>
      <c r="AA1325" s="609">
        <f t="shared" si="187"/>
        <v>20052</v>
      </c>
      <c r="AB1325" s="753">
        <f t="shared" si="188"/>
        <v>22428</v>
      </c>
      <c r="AC1325" s="714"/>
    </row>
    <row r="1326" spans="1:29" x14ac:dyDescent="0.25">
      <c r="A1326" s="713"/>
      <c r="B1326" s="731" t="s">
        <v>2035</v>
      </c>
      <c r="C1326" s="547" t="s">
        <v>40</v>
      </c>
      <c r="D1326" s="547" t="s">
        <v>404</v>
      </c>
      <c r="E1326" s="683">
        <v>44866</v>
      </c>
      <c r="F1326" s="547">
        <v>720</v>
      </c>
      <c r="G1326" s="547" t="s">
        <v>59</v>
      </c>
      <c r="H1326" s="547" t="s">
        <v>3</v>
      </c>
      <c r="I1326" s="547" t="s">
        <v>44</v>
      </c>
      <c r="J1326" s="547" t="s">
        <v>85</v>
      </c>
      <c r="K1326" s="547">
        <v>117</v>
      </c>
      <c r="L1326" s="727" t="s">
        <v>54</v>
      </c>
      <c r="M1326" s="697">
        <v>0</v>
      </c>
      <c r="N1326" s="727">
        <v>3</v>
      </c>
      <c r="O1326" s="697">
        <v>0</v>
      </c>
      <c r="P1326" s="727">
        <v>117</v>
      </c>
      <c r="Q1326" s="750">
        <f t="shared" si="180"/>
        <v>0</v>
      </c>
      <c r="R1326" s="608">
        <f t="shared" si="181"/>
        <v>252720</v>
      </c>
      <c r="S1326" s="751">
        <f t="shared" si="182"/>
        <v>252720</v>
      </c>
      <c r="T1326" s="750">
        <v>55.7</v>
      </c>
      <c r="U1326" s="608">
        <f t="shared" si="183"/>
        <v>120312</v>
      </c>
      <c r="V1326" s="751">
        <f t="shared" si="184"/>
        <v>132408</v>
      </c>
      <c r="W1326" s="752">
        <v>55.7</v>
      </c>
      <c r="X1326" s="609">
        <f t="shared" si="185"/>
        <v>120312</v>
      </c>
      <c r="Y1326" s="703">
        <f t="shared" si="186"/>
        <v>132408</v>
      </c>
      <c r="Z1326" s="752">
        <v>55.7</v>
      </c>
      <c r="AA1326" s="609">
        <f t="shared" si="187"/>
        <v>120312</v>
      </c>
      <c r="AB1326" s="753">
        <f t="shared" si="188"/>
        <v>132408</v>
      </c>
      <c r="AC1326" s="714"/>
    </row>
    <row r="1327" spans="1:29" x14ac:dyDescent="0.25">
      <c r="A1327" s="713"/>
      <c r="B1327" s="731" t="s">
        <v>2036</v>
      </c>
      <c r="C1327" s="547" t="s">
        <v>40</v>
      </c>
      <c r="D1327" s="547" t="s">
        <v>531</v>
      </c>
      <c r="E1327" s="683">
        <v>44896</v>
      </c>
      <c r="F1327" s="547">
        <v>744</v>
      </c>
      <c r="G1327" s="547" t="s">
        <v>59</v>
      </c>
      <c r="H1327" s="547" t="s">
        <v>3</v>
      </c>
      <c r="I1327" s="547" t="s">
        <v>44</v>
      </c>
      <c r="J1327" s="547" t="s">
        <v>85</v>
      </c>
      <c r="K1327" s="547">
        <v>110</v>
      </c>
      <c r="L1327" s="727" t="s">
        <v>54</v>
      </c>
      <c r="M1327" s="697">
        <v>0</v>
      </c>
      <c r="N1327" s="727">
        <v>2</v>
      </c>
      <c r="O1327" s="697">
        <v>0</v>
      </c>
      <c r="P1327" s="727">
        <v>110</v>
      </c>
      <c r="Q1327" s="750">
        <f t="shared" si="180"/>
        <v>0</v>
      </c>
      <c r="R1327" s="608">
        <f t="shared" si="181"/>
        <v>163680</v>
      </c>
      <c r="S1327" s="751">
        <f t="shared" si="182"/>
        <v>163680</v>
      </c>
      <c r="T1327" s="750">
        <v>55.7</v>
      </c>
      <c r="U1327" s="608">
        <f t="shared" si="183"/>
        <v>82881.600000000006</v>
      </c>
      <c r="V1327" s="751">
        <f t="shared" si="184"/>
        <v>80798.399999999994</v>
      </c>
      <c r="W1327" s="752">
        <v>55.7</v>
      </c>
      <c r="X1327" s="609">
        <f t="shared" si="185"/>
        <v>82881.600000000006</v>
      </c>
      <c r="Y1327" s="703">
        <f t="shared" si="186"/>
        <v>80798.399999999994</v>
      </c>
      <c r="Z1327" s="752">
        <v>78.400653594793155</v>
      </c>
      <c r="AA1327" s="609">
        <f t="shared" si="187"/>
        <v>116660.17254905222</v>
      </c>
      <c r="AB1327" s="753">
        <f t="shared" si="188"/>
        <v>47019.827450947778</v>
      </c>
      <c r="AC1327" s="714"/>
    </row>
    <row r="1328" spans="1:29" x14ac:dyDescent="0.25">
      <c r="A1328" s="713"/>
      <c r="B1328" s="731" t="s">
        <v>2038</v>
      </c>
      <c r="C1328" s="547" t="s">
        <v>40</v>
      </c>
      <c r="D1328" s="547" t="s">
        <v>1919</v>
      </c>
      <c r="E1328" s="683">
        <v>44743</v>
      </c>
      <c r="F1328" s="547">
        <v>744</v>
      </c>
      <c r="G1328" s="547" t="s">
        <v>58</v>
      </c>
      <c r="H1328" s="547" t="s">
        <v>5</v>
      </c>
      <c r="I1328" s="547" t="s">
        <v>44</v>
      </c>
      <c r="J1328" s="547" t="s">
        <v>84</v>
      </c>
      <c r="K1328" s="547">
        <v>95</v>
      </c>
      <c r="L1328" s="727" t="s">
        <v>54</v>
      </c>
      <c r="M1328" s="697">
        <v>5</v>
      </c>
      <c r="N1328" s="727">
        <v>0</v>
      </c>
      <c r="O1328" s="697">
        <v>95</v>
      </c>
      <c r="P1328" s="727">
        <v>0</v>
      </c>
      <c r="Q1328" s="750">
        <f t="shared" si="180"/>
        <v>353400</v>
      </c>
      <c r="R1328" s="608">
        <f t="shared" si="181"/>
        <v>0</v>
      </c>
      <c r="S1328" s="751">
        <f t="shared" si="182"/>
        <v>-353400</v>
      </c>
      <c r="T1328" s="750">
        <v>66.319999999999993</v>
      </c>
      <c r="U1328" s="608">
        <f t="shared" si="183"/>
        <v>-246710.39999999997</v>
      </c>
      <c r="V1328" s="751">
        <f t="shared" si="184"/>
        <v>-106689.60000000003</v>
      </c>
      <c r="W1328" s="752">
        <v>66.319999999999993</v>
      </c>
      <c r="X1328" s="609">
        <f t="shared" si="185"/>
        <v>-246710.39999999997</v>
      </c>
      <c r="Y1328" s="703">
        <f t="shared" si="186"/>
        <v>-106689.60000000003</v>
      </c>
      <c r="Z1328" s="752">
        <v>66.319999999999993</v>
      </c>
      <c r="AA1328" s="609">
        <f t="shared" si="187"/>
        <v>-246710.39999999997</v>
      </c>
      <c r="AB1328" s="753">
        <f t="shared" si="188"/>
        <v>-106689.60000000003</v>
      </c>
      <c r="AC1328" s="714"/>
    </row>
    <row r="1329" spans="1:29" x14ac:dyDescent="0.25">
      <c r="A1329" s="713"/>
      <c r="B1329" s="731" t="s">
        <v>2041</v>
      </c>
      <c r="C1329" s="547" t="s">
        <v>40</v>
      </c>
      <c r="D1329" s="547" t="s">
        <v>585</v>
      </c>
      <c r="E1329" s="683">
        <v>44743</v>
      </c>
      <c r="F1329" s="547">
        <v>744</v>
      </c>
      <c r="G1329" s="547" t="s">
        <v>58</v>
      </c>
      <c r="H1329" s="547" t="s">
        <v>3</v>
      </c>
      <c r="I1329" s="547" t="s">
        <v>44</v>
      </c>
      <c r="J1329" s="547" t="s">
        <v>84</v>
      </c>
      <c r="K1329" s="547">
        <v>65.5</v>
      </c>
      <c r="L1329" s="727" t="s">
        <v>54</v>
      </c>
      <c r="M1329" s="697">
        <v>15.4</v>
      </c>
      <c r="N1329" s="727">
        <v>0</v>
      </c>
      <c r="O1329" s="697">
        <v>65.5</v>
      </c>
      <c r="P1329" s="727">
        <v>0</v>
      </c>
      <c r="Q1329" s="750">
        <f t="shared" si="180"/>
        <v>750472.8</v>
      </c>
      <c r="R1329" s="608">
        <f t="shared" si="181"/>
        <v>0</v>
      </c>
      <c r="S1329" s="751">
        <f t="shared" si="182"/>
        <v>-750472.8</v>
      </c>
      <c r="T1329" s="750">
        <v>66.319999999999993</v>
      </c>
      <c r="U1329" s="608">
        <f t="shared" si="183"/>
        <v>-759868.03199999989</v>
      </c>
      <c r="V1329" s="751">
        <f t="shared" si="184"/>
        <v>9395.2319999998435</v>
      </c>
      <c r="W1329" s="752">
        <v>66.319999999999993</v>
      </c>
      <c r="X1329" s="609">
        <f t="shared" si="185"/>
        <v>-759868.03199999989</v>
      </c>
      <c r="Y1329" s="703">
        <f t="shared" si="186"/>
        <v>9395.2319999998435</v>
      </c>
      <c r="Z1329" s="752">
        <v>66.319999999999993</v>
      </c>
      <c r="AA1329" s="609">
        <f t="shared" si="187"/>
        <v>-759868.03199999989</v>
      </c>
      <c r="AB1329" s="753">
        <f t="shared" si="188"/>
        <v>9395.2319999998435</v>
      </c>
      <c r="AC1329" s="714"/>
    </row>
    <row r="1330" spans="1:29" x14ac:dyDescent="0.25">
      <c r="A1330" s="713"/>
      <c r="B1330" s="731" t="s">
        <v>2043</v>
      </c>
      <c r="C1330" s="547" t="s">
        <v>40</v>
      </c>
      <c r="D1330" s="547" t="s">
        <v>474</v>
      </c>
      <c r="E1330" s="683">
        <v>44774</v>
      </c>
      <c r="F1330" s="547">
        <v>744</v>
      </c>
      <c r="G1330" s="547" t="s">
        <v>58</v>
      </c>
      <c r="H1330" s="547" t="s">
        <v>3</v>
      </c>
      <c r="I1330" s="547" t="s">
        <v>44</v>
      </c>
      <c r="J1330" s="547" t="s">
        <v>84</v>
      </c>
      <c r="K1330" s="547">
        <v>97</v>
      </c>
      <c r="L1330" s="727" t="s">
        <v>54</v>
      </c>
      <c r="M1330" s="697">
        <v>5</v>
      </c>
      <c r="N1330" s="727">
        <v>0</v>
      </c>
      <c r="O1330" s="697">
        <v>97</v>
      </c>
      <c r="P1330" s="727">
        <v>0</v>
      </c>
      <c r="Q1330" s="750">
        <f t="shared" si="180"/>
        <v>360840</v>
      </c>
      <c r="R1330" s="608">
        <f t="shared" si="181"/>
        <v>0</v>
      </c>
      <c r="S1330" s="751">
        <f t="shared" si="182"/>
        <v>-360840</v>
      </c>
      <c r="T1330" s="750">
        <v>76.900000000000006</v>
      </c>
      <c r="U1330" s="608">
        <f t="shared" si="183"/>
        <v>-286068</v>
      </c>
      <c r="V1330" s="751">
        <f t="shared" si="184"/>
        <v>-74772</v>
      </c>
      <c r="W1330" s="752">
        <v>76.900000000000006</v>
      </c>
      <c r="X1330" s="609">
        <f t="shared" si="185"/>
        <v>-286068</v>
      </c>
      <c r="Y1330" s="703">
        <f t="shared" si="186"/>
        <v>-74772</v>
      </c>
      <c r="Z1330" s="752">
        <v>76.900000000000006</v>
      </c>
      <c r="AA1330" s="609">
        <f t="shared" si="187"/>
        <v>-286068</v>
      </c>
      <c r="AB1330" s="753">
        <f t="shared" si="188"/>
        <v>-74772</v>
      </c>
      <c r="AC1330" s="714"/>
    </row>
    <row r="1331" spans="1:29" x14ac:dyDescent="0.25">
      <c r="A1331" s="713"/>
      <c r="B1331" s="731" t="s">
        <v>2053</v>
      </c>
      <c r="C1331" s="547" t="s">
        <v>40</v>
      </c>
      <c r="D1331" s="547" t="s">
        <v>2050</v>
      </c>
      <c r="E1331" s="683">
        <v>44743</v>
      </c>
      <c r="F1331" s="547">
        <v>744</v>
      </c>
      <c r="G1331" s="547" t="s">
        <v>58</v>
      </c>
      <c r="H1331" s="547" t="s">
        <v>5</v>
      </c>
      <c r="I1331" s="547" t="s">
        <v>44</v>
      </c>
      <c r="J1331" s="547" t="s">
        <v>84</v>
      </c>
      <c r="K1331" s="547">
        <v>30</v>
      </c>
      <c r="L1331" s="727" t="s">
        <v>92</v>
      </c>
      <c r="M1331" s="697">
        <v>3</v>
      </c>
      <c r="N1331" s="727">
        <v>0</v>
      </c>
      <c r="O1331" s="697">
        <v>96.32</v>
      </c>
      <c r="P1331" s="727">
        <v>0</v>
      </c>
      <c r="Q1331" s="750">
        <f t="shared" si="180"/>
        <v>214986.23999999999</v>
      </c>
      <c r="R1331" s="608">
        <f t="shared" si="181"/>
        <v>0</v>
      </c>
      <c r="S1331" s="751">
        <f t="shared" si="182"/>
        <v>-214986.23999999999</v>
      </c>
      <c r="T1331" s="750">
        <v>66.319999999999993</v>
      </c>
      <c r="U1331" s="608">
        <f t="shared" si="183"/>
        <v>-148026.23999999999</v>
      </c>
      <c r="V1331" s="751">
        <f t="shared" si="184"/>
        <v>-66960</v>
      </c>
      <c r="W1331" s="752">
        <v>66.319999999999993</v>
      </c>
      <c r="X1331" s="609">
        <f t="shared" si="185"/>
        <v>-148026.23999999999</v>
      </c>
      <c r="Y1331" s="703">
        <f t="shared" si="186"/>
        <v>-66960</v>
      </c>
      <c r="Z1331" s="752">
        <v>66.319999999999993</v>
      </c>
      <c r="AA1331" s="609">
        <f t="shared" si="187"/>
        <v>-148026.23999999999</v>
      </c>
      <c r="AB1331" s="753">
        <f t="shared" si="188"/>
        <v>-66960</v>
      </c>
      <c r="AC1331" s="714"/>
    </row>
    <row r="1332" spans="1:29" x14ac:dyDescent="0.25">
      <c r="A1332" s="713"/>
      <c r="B1332" s="731" t="s">
        <v>2055</v>
      </c>
      <c r="C1332" s="547" t="s">
        <v>40</v>
      </c>
      <c r="D1332" s="547" t="s">
        <v>2050</v>
      </c>
      <c r="E1332" s="683">
        <v>44743</v>
      </c>
      <c r="F1332" s="547">
        <v>744</v>
      </c>
      <c r="G1332" s="547" t="s">
        <v>58</v>
      </c>
      <c r="H1332" s="547" t="s">
        <v>5</v>
      </c>
      <c r="I1332" s="547" t="s">
        <v>44</v>
      </c>
      <c r="J1332" s="547" t="s">
        <v>84</v>
      </c>
      <c r="K1332" s="547">
        <v>30</v>
      </c>
      <c r="L1332" s="727" t="s">
        <v>92</v>
      </c>
      <c r="M1332" s="697">
        <v>2</v>
      </c>
      <c r="N1332" s="727">
        <v>0</v>
      </c>
      <c r="O1332" s="697">
        <v>96.32</v>
      </c>
      <c r="P1332" s="727">
        <v>0</v>
      </c>
      <c r="Q1332" s="750">
        <f t="shared" si="180"/>
        <v>143324.16</v>
      </c>
      <c r="R1332" s="608">
        <f t="shared" si="181"/>
        <v>0</v>
      </c>
      <c r="S1332" s="751">
        <f t="shared" si="182"/>
        <v>-143324.16</v>
      </c>
      <c r="T1332" s="750">
        <v>66.319999999999993</v>
      </c>
      <c r="U1332" s="608">
        <f t="shared" si="183"/>
        <v>-98684.159999999989</v>
      </c>
      <c r="V1332" s="751">
        <f t="shared" si="184"/>
        <v>-44640.000000000015</v>
      </c>
      <c r="W1332" s="752">
        <v>66.319999999999993</v>
      </c>
      <c r="X1332" s="609">
        <f t="shared" si="185"/>
        <v>-98684.159999999989</v>
      </c>
      <c r="Y1332" s="703">
        <f t="shared" si="186"/>
        <v>-44640.000000000015</v>
      </c>
      <c r="Z1332" s="752">
        <v>66.319999999999993</v>
      </c>
      <c r="AA1332" s="609">
        <f t="shared" si="187"/>
        <v>-98684.159999999989</v>
      </c>
      <c r="AB1332" s="753">
        <f t="shared" si="188"/>
        <v>-44640.000000000015</v>
      </c>
      <c r="AC1332" s="714"/>
    </row>
    <row r="1333" spans="1:29" x14ac:dyDescent="0.25">
      <c r="A1333" s="713"/>
      <c r="B1333" s="731" t="s">
        <v>2057</v>
      </c>
      <c r="C1333" s="547" t="s">
        <v>40</v>
      </c>
      <c r="D1333" s="547" t="s">
        <v>1919</v>
      </c>
      <c r="E1333" s="683">
        <v>44743</v>
      </c>
      <c r="F1333" s="547">
        <v>744</v>
      </c>
      <c r="G1333" s="547" t="s">
        <v>58</v>
      </c>
      <c r="H1333" s="547" t="s">
        <v>5</v>
      </c>
      <c r="I1333" s="547" t="s">
        <v>44</v>
      </c>
      <c r="J1333" s="547" t="s">
        <v>84</v>
      </c>
      <c r="K1333" s="547">
        <v>95.5</v>
      </c>
      <c r="L1333" s="727" t="s">
        <v>54</v>
      </c>
      <c r="M1333" s="697">
        <v>7</v>
      </c>
      <c r="N1333" s="727">
        <v>0</v>
      </c>
      <c r="O1333" s="697">
        <v>95.5</v>
      </c>
      <c r="P1333" s="727">
        <v>0</v>
      </c>
      <c r="Q1333" s="750">
        <f t="shared" si="180"/>
        <v>497364</v>
      </c>
      <c r="R1333" s="608">
        <f t="shared" si="181"/>
        <v>0</v>
      </c>
      <c r="S1333" s="751">
        <f t="shared" si="182"/>
        <v>-497364</v>
      </c>
      <c r="T1333" s="750">
        <v>66.319999999999993</v>
      </c>
      <c r="U1333" s="608">
        <f t="shared" si="183"/>
        <v>-345394.55999999994</v>
      </c>
      <c r="V1333" s="751">
        <f t="shared" si="184"/>
        <v>-151969.44000000006</v>
      </c>
      <c r="W1333" s="752">
        <v>66.319999999999993</v>
      </c>
      <c r="X1333" s="609">
        <f t="shared" si="185"/>
        <v>-345394.55999999994</v>
      </c>
      <c r="Y1333" s="703">
        <f t="shared" si="186"/>
        <v>-151969.44000000006</v>
      </c>
      <c r="Z1333" s="752">
        <v>66.319999999999993</v>
      </c>
      <c r="AA1333" s="609">
        <f t="shared" si="187"/>
        <v>-345394.55999999994</v>
      </c>
      <c r="AB1333" s="753">
        <f t="shared" si="188"/>
        <v>-151969.44000000006</v>
      </c>
      <c r="AC1333" s="714"/>
    </row>
    <row r="1334" spans="1:29" x14ac:dyDescent="0.25">
      <c r="A1334" s="713"/>
      <c r="B1334" s="731" t="s">
        <v>2059</v>
      </c>
      <c r="C1334" s="547" t="s">
        <v>40</v>
      </c>
      <c r="D1334" s="547" t="s">
        <v>2051</v>
      </c>
      <c r="E1334" s="683">
        <v>44743</v>
      </c>
      <c r="F1334" s="547">
        <v>744</v>
      </c>
      <c r="G1334" s="547" t="s">
        <v>58</v>
      </c>
      <c r="H1334" s="547" t="s">
        <v>5</v>
      </c>
      <c r="I1334" s="547" t="s">
        <v>44</v>
      </c>
      <c r="J1334" s="547" t="s">
        <v>84</v>
      </c>
      <c r="K1334" s="547">
        <v>30.3</v>
      </c>
      <c r="L1334" s="727" t="s">
        <v>92</v>
      </c>
      <c r="M1334" s="697">
        <v>15</v>
      </c>
      <c r="N1334" s="727">
        <v>0</v>
      </c>
      <c r="O1334" s="697">
        <v>96.61999999999999</v>
      </c>
      <c r="P1334" s="727">
        <v>0</v>
      </c>
      <c r="Q1334" s="750">
        <f t="shared" si="180"/>
        <v>1078279.2</v>
      </c>
      <c r="R1334" s="608">
        <f t="shared" si="181"/>
        <v>0</v>
      </c>
      <c r="S1334" s="751">
        <f t="shared" si="182"/>
        <v>-1078279.2</v>
      </c>
      <c r="T1334" s="750">
        <v>66.319999999999993</v>
      </c>
      <c r="U1334" s="608">
        <f t="shared" si="183"/>
        <v>-740131.2</v>
      </c>
      <c r="V1334" s="751">
        <f t="shared" si="184"/>
        <v>-338148</v>
      </c>
      <c r="W1334" s="752">
        <v>66.319999999999993</v>
      </c>
      <c r="X1334" s="609">
        <f t="shared" si="185"/>
        <v>-740131.2</v>
      </c>
      <c r="Y1334" s="703">
        <f t="shared" si="186"/>
        <v>-338148</v>
      </c>
      <c r="Z1334" s="752">
        <v>66.319999999999993</v>
      </c>
      <c r="AA1334" s="609">
        <f t="shared" si="187"/>
        <v>-740131.2</v>
      </c>
      <c r="AB1334" s="753">
        <f t="shared" si="188"/>
        <v>-338148</v>
      </c>
      <c r="AC1334" s="714"/>
    </row>
    <row r="1335" spans="1:29" x14ac:dyDescent="0.25">
      <c r="A1335" s="713"/>
      <c r="B1335" s="731" t="s">
        <v>2061</v>
      </c>
      <c r="C1335" s="547" t="s">
        <v>40</v>
      </c>
      <c r="D1335" s="547" t="s">
        <v>875</v>
      </c>
      <c r="E1335" s="683">
        <v>44743</v>
      </c>
      <c r="F1335" s="547">
        <v>744</v>
      </c>
      <c r="G1335" s="547" t="s">
        <v>58</v>
      </c>
      <c r="H1335" s="547" t="s">
        <v>5</v>
      </c>
      <c r="I1335" s="547" t="s">
        <v>44</v>
      </c>
      <c r="J1335" s="547" t="s">
        <v>84</v>
      </c>
      <c r="K1335" s="547">
        <v>30</v>
      </c>
      <c r="L1335" s="727" t="s">
        <v>92</v>
      </c>
      <c r="M1335" s="697">
        <v>1</v>
      </c>
      <c r="N1335" s="727">
        <v>0</v>
      </c>
      <c r="O1335" s="697">
        <v>96.32</v>
      </c>
      <c r="P1335" s="727">
        <v>0</v>
      </c>
      <c r="Q1335" s="750">
        <f t="shared" si="180"/>
        <v>71662.080000000002</v>
      </c>
      <c r="R1335" s="608">
        <f t="shared" si="181"/>
        <v>0</v>
      </c>
      <c r="S1335" s="751">
        <f t="shared" si="182"/>
        <v>-71662.080000000002</v>
      </c>
      <c r="T1335" s="750">
        <v>66.319999999999993</v>
      </c>
      <c r="U1335" s="608">
        <f t="shared" si="183"/>
        <v>-49342.079999999994</v>
      </c>
      <c r="V1335" s="751">
        <f t="shared" si="184"/>
        <v>-22320.000000000007</v>
      </c>
      <c r="W1335" s="752">
        <v>66.319999999999993</v>
      </c>
      <c r="X1335" s="609">
        <f t="shared" si="185"/>
        <v>-49342.079999999994</v>
      </c>
      <c r="Y1335" s="703">
        <f t="shared" si="186"/>
        <v>-22320.000000000007</v>
      </c>
      <c r="Z1335" s="752">
        <v>66.319999999999993</v>
      </c>
      <c r="AA1335" s="609">
        <f t="shared" si="187"/>
        <v>-49342.079999999994</v>
      </c>
      <c r="AB1335" s="753">
        <f t="shared" si="188"/>
        <v>-22320.000000000007</v>
      </c>
      <c r="AC1335" s="714"/>
    </row>
    <row r="1336" spans="1:29" x14ac:dyDescent="0.25">
      <c r="A1336" s="713"/>
      <c r="B1336" s="731" t="s">
        <v>2062</v>
      </c>
      <c r="C1336" s="547" t="s">
        <v>40</v>
      </c>
      <c r="D1336" s="547" t="s">
        <v>346</v>
      </c>
      <c r="E1336" s="683">
        <v>44805</v>
      </c>
      <c r="F1336" s="547">
        <v>720</v>
      </c>
      <c r="G1336" s="547" t="s">
        <v>59</v>
      </c>
      <c r="H1336" s="547" t="s">
        <v>3</v>
      </c>
      <c r="I1336" s="547" t="s">
        <v>44</v>
      </c>
      <c r="J1336" s="547" t="s">
        <v>85</v>
      </c>
      <c r="K1336" s="547">
        <v>91.3</v>
      </c>
      <c r="L1336" s="727" t="s">
        <v>54</v>
      </c>
      <c r="M1336" s="697">
        <v>0</v>
      </c>
      <c r="N1336" s="727">
        <v>10</v>
      </c>
      <c r="O1336" s="697">
        <v>0</v>
      </c>
      <c r="P1336" s="727">
        <v>91.3</v>
      </c>
      <c r="Q1336" s="750">
        <f t="shared" si="180"/>
        <v>0</v>
      </c>
      <c r="R1336" s="608">
        <f t="shared" si="181"/>
        <v>657360</v>
      </c>
      <c r="S1336" s="751">
        <f t="shared" si="182"/>
        <v>657360</v>
      </c>
      <c r="T1336" s="750">
        <v>56.08</v>
      </c>
      <c r="U1336" s="608">
        <f t="shared" si="183"/>
        <v>403776</v>
      </c>
      <c r="V1336" s="751">
        <f t="shared" si="184"/>
        <v>253584</v>
      </c>
      <c r="W1336" s="752">
        <v>56.08</v>
      </c>
      <c r="X1336" s="609">
        <f t="shared" si="185"/>
        <v>403776</v>
      </c>
      <c r="Y1336" s="703">
        <f t="shared" si="186"/>
        <v>253584</v>
      </c>
      <c r="Z1336" s="752">
        <v>56.08</v>
      </c>
      <c r="AA1336" s="609">
        <f t="shared" si="187"/>
        <v>403776</v>
      </c>
      <c r="AB1336" s="753">
        <f t="shared" si="188"/>
        <v>253584</v>
      </c>
      <c r="AC1336" s="714"/>
    </row>
    <row r="1337" spans="1:29" x14ac:dyDescent="0.25">
      <c r="A1337" s="713"/>
      <c r="B1337" s="731" t="s">
        <v>2070</v>
      </c>
      <c r="C1337" s="547" t="s">
        <v>40</v>
      </c>
      <c r="D1337" s="547" t="s">
        <v>355</v>
      </c>
      <c r="E1337" s="683">
        <v>44805</v>
      </c>
      <c r="F1337" s="547">
        <v>720</v>
      </c>
      <c r="G1337" s="547" t="s">
        <v>58</v>
      </c>
      <c r="H1337" s="547" t="s">
        <v>3</v>
      </c>
      <c r="I1337" s="547" t="s">
        <v>44</v>
      </c>
      <c r="J1337" s="547" t="s">
        <v>84</v>
      </c>
      <c r="K1337" s="547">
        <v>86.5</v>
      </c>
      <c r="L1337" s="727" t="s">
        <v>54</v>
      </c>
      <c r="M1337" s="697">
        <v>2</v>
      </c>
      <c r="N1337" s="727">
        <v>0</v>
      </c>
      <c r="O1337" s="697">
        <v>86.5</v>
      </c>
      <c r="P1337" s="727">
        <v>0</v>
      </c>
      <c r="Q1337" s="750">
        <f t="shared" si="180"/>
        <v>124560</v>
      </c>
      <c r="R1337" s="608">
        <f t="shared" si="181"/>
        <v>0</v>
      </c>
      <c r="S1337" s="751">
        <f t="shared" si="182"/>
        <v>-124560</v>
      </c>
      <c r="T1337" s="750">
        <v>56.08</v>
      </c>
      <c r="U1337" s="608">
        <f t="shared" si="183"/>
        <v>-80755.199999999997</v>
      </c>
      <c r="V1337" s="751">
        <f t="shared" si="184"/>
        <v>-43804.800000000003</v>
      </c>
      <c r="W1337" s="752">
        <v>56.08</v>
      </c>
      <c r="X1337" s="609">
        <f t="shared" si="185"/>
        <v>-80755.199999999997</v>
      </c>
      <c r="Y1337" s="703">
        <f t="shared" si="186"/>
        <v>-43804.800000000003</v>
      </c>
      <c r="Z1337" s="752">
        <v>56.08</v>
      </c>
      <c r="AA1337" s="609">
        <f t="shared" si="187"/>
        <v>-80755.199999999997</v>
      </c>
      <c r="AB1337" s="753">
        <f t="shared" si="188"/>
        <v>-43804.800000000003</v>
      </c>
      <c r="AC1337" s="714"/>
    </row>
    <row r="1338" spans="1:29" x14ac:dyDescent="0.25">
      <c r="A1338" s="713"/>
      <c r="B1338" s="731" t="s">
        <v>2072</v>
      </c>
      <c r="C1338" s="547" t="s">
        <v>40</v>
      </c>
      <c r="D1338" s="547" t="s">
        <v>471</v>
      </c>
      <c r="E1338" s="683">
        <v>44805</v>
      </c>
      <c r="F1338" s="547">
        <v>720</v>
      </c>
      <c r="G1338" s="547" t="s">
        <v>58</v>
      </c>
      <c r="H1338" s="547" t="s">
        <v>3</v>
      </c>
      <c r="I1338" s="547" t="s">
        <v>44</v>
      </c>
      <c r="J1338" s="547" t="s">
        <v>84</v>
      </c>
      <c r="K1338" s="547">
        <v>86.5</v>
      </c>
      <c r="L1338" s="727" t="s">
        <v>54</v>
      </c>
      <c r="M1338" s="697">
        <v>5</v>
      </c>
      <c r="N1338" s="727">
        <v>0</v>
      </c>
      <c r="O1338" s="697">
        <v>86.5</v>
      </c>
      <c r="P1338" s="727">
        <v>0</v>
      </c>
      <c r="Q1338" s="750">
        <f t="shared" si="180"/>
        <v>311400</v>
      </c>
      <c r="R1338" s="608">
        <f t="shared" si="181"/>
        <v>0</v>
      </c>
      <c r="S1338" s="751">
        <f t="shared" si="182"/>
        <v>-311400</v>
      </c>
      <c r="T1338" s="750">
        <v>56.08</v>
      </c>
      <c r="U1338" s="608">
        <f t="shared" si="183"/>
        <v>-201888</v>
      </c>
      <c r="V1338" s="751">
        <f t="shared" si="184"/>
        <v>-109512</v>
      </c>
      <c r="W1338" s="752">
        <v>56.08</v>
      </c>
      <c r="X1338" s="609">
        <f t="shared" si="185"/>
        <v>-201888</v>
      </c>
      <c r="Y1338" s="703">
        <f t="shared" si="186"/>
        <v>-109512</v>
      </c>
      <c r="Z1338" s="752">
        <v>56.08</v>
      </c>
      <c r="AA1338" s="609">
        <f t="shared" si="187"/>
        <v>-201888</v>
      </c>
      <c r="AB1338" s="753">
        <f t="shared" si="188"/>
        <v>-109512</v>
      </c>
      <c r="AC1338" s="714"/>
    </row>
    <row r="1339" spans="1:29" x14ac:dyDescent="0.25">
      <c r="A1339" s="713"/>
      <c r="B1339" s="731" t="s">
        <v>2074</v>
      </c>
      <c r="C1339" s="547" t="s">
        <v>40</v>
      </c>
      <c r="D1339" s="547" t="s">
        <v>466</v>
      </c>
      <c r="E1339" s="683">
        <v>44805</v>
      </c>
      <c r="F1339" s="547">
        <v>720</v>
      </c>
      <c r="G1339" s="547" t="s">
        <v>58</v>
      </c>
      <c r="H1339" s="547" t="s">
        <v>3</v>
      </c>
      <c r="I1339" s="547" t="s">
        <v>44</v>
      </c>
      <c r="J1339" s="547" t="s">
        <v>84</v>
      </c>
      <c r="K1339" s="547">
        <v>87</v>
      </c>
      <c r="L1339" s="727" t="s">
        <v>54</v>
      </c>
      <c r="M1339" s="697">
        <v>1</v>
      </c>
      <c r="N1339" s="727">
        <v>0</v>
      </c>
      <c r="O1339" s="697">
        <v>87</v>
      </c>
      <c r="P1339" s="727">
        <v>0</v>
      </c>
      <c r="Q1339" s="750">
        <f t="shared" si="180"/>
        <v>62640</v>
      </c>
      <c r="R1339" s="608">
        <f t="shared" si="181"/>
        <v>0</v>
      </c>
      <c r="S1339" s="751">
        <f t="shared" si="182"/>
        <v>-62640</v>
      </c>
      <c r="T1339" s="750">
        <v>56.08</v>
      </c>
      <c r="U1339" s="608">
        <f t="shared" si="183"/>
        <v>-40377.599999999999</v>
      </c>
      <c r="V1339" s="751">
        <f t="shared" si="184"/>
        <v>-22262.400000000001</v>
      </c>
      <c r="W1339" s="752">
        <v>56.08</v>
      </c>
      <c r="X1339" s="609">
        <f t="shared" si="185"/>
        <v>-40377.599999999999</v>
      </c>
      <c r="Y1339" s="703">
        <f t="shared" si="186"/>
        <v>-22262.400000000001</v>
      </c>
      <c r="Z1339" s="752">
        <v>56.08</v>
      </c>
      <c r="AA1339" s="609">
        <f t="shared" si="187"/>
        <v>-40377.599999999999</v>
      </c>
      <c r="AB1339" s="753">
        <f t="shared" si="188"/>
        <v>-22262.400000000001</v>
      </c>
      <c r="AC1339" s="714"/>
    </row>
    <row r="1340" spans="1:29" x14ac:dyDescent="0.25">
      <c r="A1340" s="713"/>
      <c r="B1340" s="731" t="s">
        <v>2075</v>
      </c>
      <c r="C1340" s="547" t="s">
        <v>40</v>
      </c>
      <c r="D1340" s="547" t="s">
        <v>1540</v>
      </c>
      <c r="E1340" s="683">
        <v>44743</v>
      </c>
      <c r="F1340" s="547">
        <v>744</v>
      </c>
      <c r="G1340" s="547" t="s">
        <v>59</v>
      </c>
      <c r="H1340" s="547" t="s">
        <v>3</v>
      </c>
      <c r="I1340" s="547" t="s">
        <v>44</v>
      </c>
      <c r="J1340" s="547" t="s">
        <v>85</v>
      </c>
      <c r="K1340" s="547">
        <v>0.2</v>
      </c>
      <c r="L1340" s="727" t="s">
        <v>92</v>
      </c>
      <c r="M1340" s="697">
        <v>0</v>
      </c>
      <c r="N1340" s="727">
        <v>10</v>
      </c>
      <c r="O1340" s="697">
        <v>0</v>
      </c>
      <c r="P1340" s="727">
        <v>66.52</v>
      </c>
      <c r="Q1340" s="750">
        <f t="shared" si="180"/>
        <v>0</v>
      </c>
      <c r="R1340" s="608">
        <f t="shared" si="181"/>
        <v>494908.8</v>
      </c>
      <c r="S1340" s="751">
        <f t="shared" si="182"/>
        <v>494908.8</v>
      </c>
      <c r="T1340" s="750">
        <v>66.319999999999993</v>
      </c>
      <c r="U1340" s="608">
        <f t="shared" si="183"/>
        <v>493420.79999999993</v>
      </c>
      <c r="V1340" s="751">
        <f t="shared" si="184"/>
        <v>1488.0000000000582</v>
      </c>
      <c r="W1340" s="752">
        <v>66.319999999999993</v>
      </c>
      <c r="X1340" s="609">
        <f t="shared" si="185"/>
        <v>493420.79999999993</v>
      </c>
      <c r="Y1340" s="703">
        <f t="shared" si="186"/>
        <v>1488.0000000000582</v>
      </c>
      <c r="Z1340" s="752">
        <v>66.319999999999993</v>
      </c>
      <c r="AA1340" s="609">
        <f t="shared" si="187"/>
        <v>493420.79999999993</v>
      </c>
      <c r="AB1340" s="753">
        <f t="shared" si="188"/>
        <v>1488.0000000000582</v>
      </c>
      <c r="AC1340" s="714"/>
    </row>
    <row r="1341" spans="1:29" x14ac:dyDescent="0.25">
      <c r="A1341" s="713"/>
      <c r="B1341" s="731" t="s">
        <v>2076</v>
      </c>
      <c r="C1341" s="547" t="s">
        <v>40</v>
      </c>
      <c r="D1341" s="547" t="s">
        <v>876</v>
      </c>
      <c r="E1341" s="683">
        <v>44743</v>
      </c>
      <c r="F1341" s="547">
        <v>744</v>
      </c>
      <c r="G1341" s="547" t="s">
        <v>58</v>
      </c>
      <c r="H1341" s="547" t="s">
        <v>3</v>
      </c>
      <c r="I1341" s="547" t="s">
        <v>44</v>
      </c>
      <c r="J1341" s="547" t="s">
        <v>84</v>
      </c>
      <c r="K1341" s="547">
        <v>0.2</v>
      </c>
      <c r="L1341" s="727" t="s">
        <v>92</v>
      </c>
      <c r="M1341" s="697">
        <v>10</v>
      </c>
      <c r="N1341" s="727">
        <v>0</v>
      </c>
      <c r="O1341" s="697">
        <v>66.52</v>
      </c>
      <c r="P1341" s="727">
        <v>0</v>
      </c>
      <c r="Q1341" s="750">
        <f t="shared" si="180"/>
        <v>494908.8</v>
      </c>
      <c r="R1341" s="608">
        <f t="shared" si="181"/>
        <v>0</v>
      </c>
      <c r="S1341" s="751">
        <f t="shared" si="182"/>
        <v>-494908.8</v>
      </c>
      <c r="T1341" s="750">
        <v>66.319999999999993</v>
      </c>
      <c r="U1341" s="608">
        <f t="shared" si="183"/>
        <v>-493420.79999999993</v>
      </c>
      <c r="V1341" s="751">
        <f t="shared" si="184"/>
        <v>-1488.0000000000582</v>
      </c>
      <c r="W1341" s="752">
        <v>66.319999999999993</v>
      </c>
      <c r="X1341" s="609">
        <f t="shared" si="185"/>
        <v>-493420.79999999993</v>
      </c>
      <c r="Y1341" s="703">
        <f t="shared" si="186"/>
        <v>-1488.0000000000582</v>
      </c>
      <c r="Z1341" s="752">
        <v>66.319999999999993</v>
      </c>
      <c r="AA1341" s="609">
        <f t="shared" si="187"/>
        <v>-493420.79999999993</v>
      </c>
      <c r="AB1341" s="753">
        <f t="shared" si="188"/>
        <v>-1488.0000000000582</v>
      </c>
      <c r="AC1341" s="714"/>
    </row>
    <row r="1342" spans="1:29" x14ac:dyDescent="0.25">
      <c r="A1342" s="713"/>
      <c r="B1342" s="731" t="s">
        <v>2078</v>
      </c>
      <c r="C1342" s="547" t="s">
        <v>40</v>
      </c>
      <c r="D1342" s="547" t="s">
        <v>1540</v>
      </c>
      <c r="E1342" s="683">
        <v>44743</v>
      </c>
      <c r="F1342" s="547">
        <v>744</v>
      </c>
      <c r="G1342" s="547" t="s">
        <v>58</v>
      </c>
      <c r="H1342" s="547" t="s">
        <v>5</v>
      </c>
      <c r="I1342" s="547" t="s">
        <v>44</v>
      </c>
      <c r="J1342" s="547" t="s">
        <v>84</v>
      </c>
      <c r="K1342" s="547">
        <v>30.2</v>
      </c>
      <c r="L1342" s="727" t="s">
        <v>92</v>
      </c>
      <c r="M1342" s="697">
        <v>10</v>
      </c>
      <c r="N1342" s="727">
        <v>0</v>
      </c>
      <c r="O1342" s="697">
        <v>96.52</v>
      </c>
      <c r="P1342" s="727">
        <v>0</v>
      </c>
      <c r="Q1342" s="750">
        <f t="shared" si="180"/>
        <v>718108.79999999993</v>
      </c>
      <c r="R1342" s="608">
        <f t="shared" si="181"/>
        <v>0</v>
      </c>
      <c r="S1342" s="751">
        <f t="shared" si="182"/>
        <v>-718108.79999999993</v>
      </c>
      <c r="T1342" s="750">
        <v>66.319999999999993</v>
      </c>
      <c r="U1342" s="608">
        <f t="shared" si="183"/>
        <v>-493420.79999999993</v>
      </c>
      <c r="V1342" s="751">
        <f t="shared" si="184"/>
        <v>-224688</v>
      </c>
      <c r="W1342" s="752">
        <v>66.319999999999993</v>
      </c>
      <c r="X1342" s="609">
        <f t="shared" si="185"/>
        <v>-493420.79999999993</v>
      </c>
      <c r="Y1342" s="703">
        <f t="shared" si="186"/>
        <v>-224688</v>
      </c>
      <c r="Z1342" s="752">
        <v>66.319999999999993</v>
      </c>
      <c r="AA1342" s="609">
        <f t="shared" si="187"/>
        <v>-493420.79999999993</v>
      </c>
      <c r="AB1342" s="753">
        <f t="shared" si="188"/>
        <v>-224688</v>
      </c>
      <c r="AC1342" s="714"/>
    </row>
    <row r="1343" spans="1:29" x14ac:dyDescent="0.25">
      <c r="A1343" s="713"/>
      <c r="B1343" s="731" t="s">
        <v>2088</v>
      </c>
      <c r="C1343" s="547" t="s">
        <v>40</v>
      </c>
      <c r="D1343" s="547" t="s">
        <v>1890</v>
      </c>
      <c r="E1343" s="683">
        <v>44743</v>
      </c>
      <c r="F1343" s="547">
        <v>744</v>
      </c>
      <c r="G1343" s="547" t="s">
        <v>58</v>
      </c>
      <c r="H1343" s="547" t="s">
        <v>5</v>
      </c>
      <c r="I1343" s="547" t="s">
        <v>13</v>
      </c>
      <c r="J1343" s="547" t="s">
        <v>84</v>
      </c>
      <c r="K1343" s="547">
        <v>30</v>
      </c>
      <c r="L1343" s="727" t="s">
        <v>92</v>
      </c>
      <c r="M1343" s="697">
        <v>0.55700000000000005</v>
      </c>
      <c r="N1343" s="727">
        <v>0</v>
      </c>
      <c r="O1343" s="697">
        <v>96.32</v>
      </c>
      <c r="P1343" s="727">
        <v>0</v>
      </c>
      <c r="Q1343" s="750">
        <f t="shared" si="180"/>
        <v>39915.778559999999</v>
      </c>
      <c r="R1343" s="608">
        <f t="shared" si="181"/>
        <v>0</v>
      </c>
      <c r="S1343" s="751">
        <f t="shared" si="182"/>
        <v>-39915.778559999999</v>
      </c>
      <c r="T1343" s="750">
        <v>66.319999999999993</v>
      </c>
      <c r="U1343" s="608">
        <f t="shared" si="183"/>
        <v>-27483.538559999997</v>
      </c>
      <c r="V1343" s="751">
        <f t="shared" si="184"/>
        <v>-12432.240000000002</v>
      </c>
      <c r="W1343" s="752">
        <v>66.319999999999993</v>
      </c>
      <c r="X1343" s="609">
        <f t="shared" si="185"/>
        <v>-27483.538559999997</v>
      </c>
      <c r="Y1343" s="703">
        <f t="shared" si="186"/>
        <v>-12432.240000000002</v>
      </c>
      <c r="Z1343" s="752">
        <v>66.319999999999993</v>
      </c>
      <c r="AA1343" s="609">
        <f t="shared" si="187"/>
        <v>-27483.538559999997</v>
      </c>
      <c r="AB1343" s="753">
        <f t="shared" si="188"/>
        <v>-12432.240000000002</v>
      </c>
      <c r="AC1343" s="714"/>
    </row>
    <row r="1344" spans="1:29" x14ac:dyDescent="0.25">
      <c r="A1344" s="713"/>
      <c r="B1344" s="731" t="s">
        <v>2090</v>
      </c>
      <c r="C1344" s="547" t="s">
        <v>40</v>
      </c>
      <c r="D1344" s="547" t="s">
        <v>2085</v>
      </c>
      <c r="E1344" s="683">
        <v>44743</v>
      </c>
      <c r="F1344" s="547">
        <v>744</v>
      </c>
      <c r="G1344" s="547" t="s">
        <v>58</v>
      </c>
      <c r="H1344" s="547" t="s">
        <v>5</v>
      </c>
      <c r="I1344" s="547" t="s">
        <v>44</v>
      </c>
      <c r="J1344" s="547" t="s">
        <v>84</v>
      </c>
      <c r="K1344" s="547">
        <v>96.52</v>
      </c>
      <c r="L1344" s="727" t="s">
        <v>54</v>
      </c>
      <c r="M1344" s="697">
        <v>15</v>
      </c>
      <c r="N1344" s="727">
        <v>0</v>
      </c>
      <c r="O1344" s="697">
        <v>96.52</v>
      </c>
      <c r="P1344" s="727">
        <v>0</v>
      </c>
      <c r="Q1344" s="750">
        <f t="shared" si="180"/>
        <v>1077163.2</v>
      </c>
      <c r="R1344" s="608">
        <f t="shared" si="181"/>
        <v>0</v>
      </c>
      <c r="S1344" s="751">
        <f t="shared" si="182"/>
        <v>-1077163.2</v>
      </c>
      <c r="T1344" s="750">
        <v>66.319999999999993</v>
      </c>
      <c r="U1344" s="608">
        <f t="shared" si="183"/>
        <v>-740131.2</v>
      </c>
      <c r="V1344" s="751">
        <f t="shared" si="184"/>
        <v>-337032</v>
      </c>
      <c r="W1344" s="752">
        <v>66.319999999999993</v>
      </c>
      <c r="X1344" s="609">
        <f t="shared" si="185"/>
        <v>-740131.2</v>
      </c>
      <c r="Y1344" s="703">
        <f t="shared" si="186"/>
        <v>-337032</v>
      </c>
      <c r="Z1344" s="752">
        <v>66.319999999999993</v>
      </c>
      <c r="AA1344" s="609">
        <f t="shared" si="187"/>
        <v>-740131.2</v>
      </c>
      <c r="AB1344" s="753">
        <f t="shared" si="188"/>
        <v>-337032</v>
      </c>
      <c r="AC1344" s="714"/>
    </row>
    <row r="1345" spans="1:29" x14ac:dyDescent="0.25">
      <c r="A1345" s="713"/>
      <c r="B1345" s="731" t="s">
        <v>2091</v>
      </c>
      <c r="C1345" s="547" t="s">
        <v>40</v>
      </c>
      <c r="D1345" s="547" t="s">
        <v>502</v>
      </c>
      <c r="E1345" s="683">
        <v>44774</v>
      </c>
      <c r="F1345" s="547">
        <v>744</v>
      </c>
      <c r="G1345" s="547" t="s">
        <v>59</v>
      </c>
      <c r="H1345" s="547" t="s">
        <v>3</v>
      </c>
      <c r="I1345" s="547" t="s">
        <v>44</v>
      </c>
      <c r="J1345" s="547" t="s">
        <v>85</v>
      </c>
      <c r="K1345" s="547">
        <v>94</v>
      </c>
      <c r="L1345" s="727" t="s">
        <v>54</v>
      </c>
      <c r="M1345" s="697">
        <v>0</v>
      </c>
      <c r="N1345" s="727">
        <v>5</v>
      </c>
      <c r="O1345" s="697">
        <v>0</v>
      </c>
      <c r="P1345" s="727">
        <v>94</v>
      </c>
      <c r="Q1345" s="750">
        <f t="shared" si="180"/>
        <v>0</v>
      </c>
      <c r="R1345" s="608">
        <f t="shared" si="181"/>
        <v>349680</v>
      </c>
      <c r="S1345" s="751">
        <f t="shared" si="182"/>
        <v>349680</v>
      </c>
      <c r="T1345" s="750">
        <v>76.900000000000006</v>
      </c>
      <c r="U1345" s="608">
        <f t="shared" si="183"/>
        <v>286068</v>
      </c>
      <c r="V1345" s="751">
        <f t="shared" si="184"/>
        <v>63612</v>
      </c>
      <c r="W1345" s="752">
        <v>76.900000000000006</v>
      </c>
      <c r="X1345" s="609">
        <f t="shared" si="185"/>
        <v>286068</v>
      </c>
      <c r="Y1345" s="703">
        <f t="shared" si="186"/>
        <v>63612</v>
      </c>
      <c r="Z1345" s="752">
        <v>76.900000000000006</v>
      </c>
      <c r="AA1345" s="609">
        <f t="shared" si="187"/>
        <v>286068</v>
      </c>
      <c r="AB1345" s="753">
        <f t="shared" si="188"/>
        <v>63612</v>
      </c>
      <c r="AC1345" s="714"/>
    </row>
    <row r="1346" spans="1:29" x14ac:dyDescent="0.25">
      <c r="A1346" s="713"/>
      <c r="B1346" s="731" t="s">
        <v>2092</v>
      </c>
      <c r="C1346" s="547" t="s">
        <v>40</v>
      </c>
      <c r="D1346" s="547" t="s">
        <v>474</v>
      </c>
      <c r="E1346" s="683">
        <v>44774</v>
      </c>
      <c r="F1346" s="547">
        <v>744</v>
      </c>
      <c r="G1346" s="547" t="s">
        <v>59</v>
      </c>
      <c r="H1346" s="547" t="s">
        <v>3</v>
      </c>
      <c r="I1346" s="547" t="s">
        <v>44</v>
      </c>
      <c r="J1346" s="547" t="s">
        <v>85</v>
      </c>
      <c r="K1346" s="547">
        <v>94</v>
      </c>
      <c r="L1346" s="727" t="s">
        <v>54</v>
      </c>
      <c r="M1346" s="697">
        <v>0</v>
      </c>
      <c r="N1346" s="727">
        <v>5</v>
      </c>
      <c r="O1346" s="697">
        <v>0</v>
      </c>
      <c r="P1346" s="727">
        <v>94</v>
      </c>
      <c r="Q1346" s="750">
        <f t="shared" si="180"/>
        <v>0</v>
      </c>
      <c r="R1346" s="608">
        <f t="shared" si="181"/>
        <v>349680</v>
      </c>
      <c r="S1346" s="751">
        <f t="shared" si="182"/>
        <v>349680</v>
      </c>
      <c r="T1346" s="750">
        <v>76.900000000000006</v>
      </c>
      <c r="U1346" s="608">
        <f t="shared" si="183"/>
        <v>286068</v>
      </c>
      <c r="V1346" s="751">
        <f t="shared" si="184"/>
        <v>63612</v>
      </c>
      <c r="W1346" s="752">
        <v>76.900000000000006</v>
      </c>
      <c r="X1346" s="609">
        <f t="shared" si="185"/>
        <v>286068</v>
      </c>
      <c r="Y1346" s="703">
        <f t="shared" si="186"/>
        <v>63612</v>
      </c>
      <c r="Z1346" s="752">
        <v>76.900000000000006</v>
      </c>
      <c r="AA1346" s="609">
        <f t="shared" si="187"/>
        <v>286068</v>
      </c>
      <c r="AB1346" s="753">
        <f t="shared" si="188"/>
        <v>63612</v>
      </c>
      <c r="AC1346" s="714"/>
    </row>
    <row r="1347" spans="1:29" x14ac:dyDescent="0.25">
      <c r="A1347" s="713"/>
      <c r="B1347" s="731" t="s">
        <v>2093</v>
      </c>
      <c r="C1347" s="547" t="s">
        <v>40</v>
      </c>
      <c r="D1347" s="547" t="s">
        <v>876</v>
      </c>
      <c r="E1347" s="683">
        <v>44866</v>
      </c>
      <c r="F1347" s="547">
        <v>720</v>
      </c>
      <c r="G1347" s="547" t="s">
        <v>59</v>
      </c>
      <c r="H1347" s="547" t="s">
        <v>3</v>
      </c>
      <c r="I1347" s="547" t="s">
        <v>44</v>
      </c>
      <c r="J1347" s="547" t="s">
        <v>85</v>
      </c>
      <c r="K1347" s="547">
        <v>113</v>
      </c>
      <c r="L1347" s="727" t="s">
        <v>54</v>
      </c>
      <c r="M1347" s="697">
        <v>0</v>
      </c>
      <c r="N1347" s="727">
        <v>2</v>
      </c>
      <c r="O1347" s="697">
        <v>0</v>
      </c>
      <c r="P1347" s="727">
        <v>113</v>
      </c>
      <c r="Q1347" s="750">
        <f t="shared" ref="Q1347:Q1410" si="189">(O1347*(M1347*F1347))</f>
        <v>0</v>
      </c>
      <c r="R1347" s="608">
        <f t="shared" ref="R1347:R1410" si="190">(P1347*(N1347*F1347))</f>
        <v>162720</v>
      </c>
      <c r="S1347" s="751">
        <f t="shared" ref="S1347:S1410" si="191">R1347-Q1347</f>
        <v>162720</v>
      </c>
      <c r="T1347" s="750">
        <v>55.7</v>
      </c>
      <c r="U1347" s="608">
        <f t="shared" ref="U1347:U1410" si="192">(((F1347*N1347)*T1347)-(T1347*(M1347*F1347)))</f>
        <v>80208</v>
      </c>
      <c r="V1347" s="751">
        <f t="shared" ref="V1347:V1410" si="193">S1347-U1347</f>
        <v>82512</v>
      </c>
      <c r="W1347" s="752">
        <v>55.7</v>
      </c>
      <c r="X1347" s="609">
        <f t="shared" ref="X1347:X1410" si="194">(((F1347*N1347)*W1347)-(W1347*(M1347*F1347)))</f>
        <v>80208</v>
      </c>
      <c r="Y1347" s="703">
        <f t="shared" ref="Y1347:Y1410" si="195">S1347-X1347</f>
        <v>82512</v>
      </c>
      <c r="Z1347" s="752">
        <v>55.7</v>
      </c>
      <c r="AA1347" s="609">
        <f t="shared" ref="AA1347:AA1410" si="196">(((F1347*N1347)*Z1347)-(Z1347*(M1347*F1347)))</f>
        <v>80208</v>
      </c>
      <c r="AB1347" s="753">
        <f t="shared" ref="AB1347:AB1410" si="197">S1347-AA1347</f>
        <v>82512</v>
      </c>
      <c r="AC1347" s="714"/>
    </row>
    <row r="1348" spans="1:29" x14ac:dyDescent="0.25">
      <c r="A1348" s="713"/>
      <c r="B1348" s="731" t="s">
        <v>2094</v>
      </c>
      <c r="C1348" s="547" t="s">
        <v>40</v>
      </c>
      <c r="D1348" s="547" t="s">
        <v>510</v>
      </c>
      <c r="E1348" s="683">
        <v>44774</v>
      </c>
      <c r="F1348" s="547">
        <v>744</v>
      </c>
      <c r="G1348" s="547" t="s">
        <v>59</v>
      </c>
      <c r="H1348" s="547" t="s">
        <v>3</v>
      </c>
      <c r="I1348" s="547" t="s">
        <v>44</v>
      </c>
      <c r="J1348" s="547" t="s">
        <v>85</v>
      </c>
      <c r="K1348" s="547">
        <v>93</v>
      </c>
      <c r="L1348" s="727" t="s">
        <v>54</v>
      </c>
      <c r="M1348" s="697">
        <v>0</v>
      </c>
      <c r="N1348" s="727">
        <v>5</v>
      </c>
      <c r="O1348" s="697">
        <v>0</v>
      </c>
      <c r="P1348" s="727">
        <v>93</v>
      </c>
      <c r="Q1348" s="750">
        <f t="shared" si="189"/>
        <v>0</v>
      </c>
      <c r="R1348" s="608">
        <f t="shared" si="190"/>
        <v>345960</v>
      </c>
      <c r="S1348" s="751">
        <f t="shared" si="191"/>
        <v>345960</v>
      </c>
      <c r="T1348" s="750">
        <v>76.900000000000006</v>
      </c>
      <c r="U1348" s="608">
        <f t="shared" si="192"/>
        <v>286068</v>
      </c>
      <c r="V1348" s="751">
        <f t="shared" si="193"/>
        <v>59892</v>
      </c>
      <c r="W1348" s="752">
        <v>76.900000000000006</v>
      </c>
      <c r="X1348" s="609">
        <f t="shared" si="194"/>
        <v>286068</v>
      </c>
      <c r="Y1348" s="703">
        <f t="shared" si="195"/>
        <v>59892</v>
      </c>
      <c r="Z1348" s="752">
        <v>76.900000000000006</v>
      </c>
      <c r="AA1348" s="609">
        <f t="shared" si="196"/>
        <v>286068</v>
      </c>
      <c r="AB1348" s="753">
        <f t="shared" si="197"/>
        <v>59892</v>
      </c>
      <c r="AC1348" s="714"/>
    </row>
    <row r="1349" spans="1:29" x14ac:dyDescent="0.25">
      <c r="A1349" s="713"/>
      <c r="B1349" s="731" t="s">
        <v>2096</v>
      </c>
      <c r="C1349" s="547" t="s">
        <v>40</v>
      </c>
      <c r="D1349" s="547" t="s">
        <v>2086</v>
      </c>
      <c r="E1349" s="683">
        <v>44743</v>
      </c>
      <c r="F1349" s="547">
        <v>744</v>
      </c>
      <c r="G1349" s="547" t="s">
        <v>58</v>
      </c>
      <c r="H1349" s="547" t="s">
        <v>5</v>
      </c>
      <c r="I1349" s="547" t="s">
        <v>44</v>
      </c>
      <c r="J1349" s="547" t="s">
        <v>84</v>
      </c>
      <c r="K1349" s="547">
        <v>30</v>
      </c>
      <c r="L1349" s="727" t="s">
        <v>92</v>
      </c>
      <c r="M1349" s="697">
        <v>7</v>
      </c>
      <c r="N1349" s="727">
        <v>0</v>
      </c>
      <c r="O1349" s="697">
        <v>96.32</v>
      </c>
      <c r="P1349" s="727">
        <v>0</v>
      </c>
      <c r="Q1349" s="750">
        <f t="shared" si="189"/>
        <v>501634.55999999994</v>
      </c>
      <c r="R1349" s="608">
        <f t="shared" si="190"/>
        <v>0</v>
      </c>
      <c r="S1349" s="751">
        <f t="shared" si="191"/>
        <v>-501634.55999999994</v>
      </c>
      <c r="T1349" s="750">
        <v>66.319999999999993</v>
      </c>
      <c r="U1349" s="608">
        <f t="shared" si="192"/>
        <v>-345394.55999999994</v>
      </c>
      <c r="V1349" s="751">
        <f t="shared" si="193"/>
        <v>-156240</v>
      </c>
      <c r="W1349" s="752">
        <v>66.319999999999993</v>
      </c>
      <c r="X1349" s="609">
        <f t="shared" si="194"/>
        <v>-345394.55999999994</v>
      </c>
      <c r="Y1349" s="703">
        <f t="shared" si="195"/>
        <v>-156240</v>
      </c>
      <c r="Z1349" s="752">
        <v>66.319999999999993</v>
      </c>
      <c r="AA1349" s="609">
        <f t="shared" si="196"/>
        <v>-345394.55999999994</v>
      </c>
      <c r="AB1349" s="753">
        <f t="shared" si="197"/>
        <v>-156240</v>
      </c>
      <c r="AC1349" s="714"/>
    </row>
    <row r="1350" spans="1:29" x14ac:dyDescent="0.25">
      <c r="A1350" s="713"/>
      <c r="B1350" s="731" t="s">
        <v>2107</v>
      </c>
      <c r="C1350" s="547" t="s">
        <v>40</v>
      </c>
      <c r="D1350" s="547" t="s">
        <v>2104</v>
      </c>
      <c r="E1350" s="683">
        <v>44743</v>
      </c>
      <c r="F1350" s="547">
        <v>744</v>
      </c>
      <c r="G1350" s="547" t="s">
        <v>58</v>
      </c>
      <c r="H1350" s="547" t="s">
        <v>5</v>
      </c>
      <c r="I1350" s="547" t="s">
        <v>44</v>
      </c>
      <c r="J1350" s="547" t="s">
        <v>84</v>
      </c>
      <c r="K1350" s="547">
        <v>29.7</v>
      </c>
      <c r="L1350" s="727" t="s">
        <v>92</v>
      </c>
      <c r="M1350" s="697">
        <v>2</v>
      </c>
      <c r="N1350" s="727">
        <v>0</v>
      </c>
      <c r="O1350" s="697">
        <v>96.02</v>
      </c>
      <c r="P1350" s="727">
        <v>0</v>
      </c>
      <c r="Q1350" s="750">
        <f t="shared" si="189"/>
        <v>142877.75999999998</v>
      </c>
      <c r="R1350" s="608">
        <f t="shared" si="190"/>
        <v>0</v>
      </c>
      <c r="S1350" s="751">
        <f t="shared" si="191"/>
        <v>-142877.75999999998</v>
      </c>
      <c r="T1350" s="750">
        <v>66.319999999999993</v>
      </c>
      <c r="U1350" s="608">
        <f t="shared" si="192"/>
        <v>-98684.159999999989</v>
      </c>
      <c r="V1350" s="751">
        <f t="shared" si="193"/>
        <v>-44193.599999999991</v>
      </c>
      <c r="W1350" s="752">
        <v>66.319999999999993</v>
      </c>
      <c r="X1350" s="609">
        <f t="shared" si="194"/>
        <v>-98684.159999999989</v>
      </c>
      <c r="Y1350" s="703">
        <f t="shared" si="195"/>
        <v>-44193.599999999991</v>
      </c>
      <c r="Z1350" s="752">
        <v>66.319999999999993</v>
      </c>
      <c r="AA1350" s="609">
        <f t="shared" si="196"/>
        <v>-98684.159999999989</v>
      </c>
      <c r="AB1350" s="753">
        <f t="shared" si="197"/>
        <v>-44193.599999999991</v>
      </c>
      <c r="AC1350" s="714"/>
    </row>
    <row r="1351" spans="1:29" x14ac:dyDescent="0.25">
      <c r="A1351" s="713"/>
      <c r="B1351" s="731" t="s">
        <v>2109</v>
      </c>
      <c r="C1351" s="547" t="s">
        <v>40</v>
      </c>
      <c r="D1351" s="547" t="s">
        <v>502</v>
      </c>
      <c r="E1351" s="683">
        <v>44743</v>
      </c>
      <c r="F1351" s="547">
        <v>744</v>
      </c>
      <c r="G1351" s="547" t="s">
        <v>58</v>
      </c>
      <c r="H1351" s="547" t="s">
        <v>5</v>
      </c>
      <c r="I1351" s="547" t="s">
        <v>44</v>
      </c>
      <c r="J1351" s="547" t="s">
        <v>84</v>
      </c>
      <c r="K1351" s="547">
        <v>30</v>
      </c>
      <c r="L1351" s="727" t="s">
        <v>92</v>
      </c>
      <c r="M1351" s="697">
        <v>4</v>
      </c>
      <c r="N1351" s="727">
        <v>0</v>
      </c>
      <c r="O1351" s="697">
        <v>96.32</v>
      </c>
      <c r="P1351" s="727">
        <v>0</v>
      </c>
      <c r="Q1351" s="750">
        <f t="shared" si="189"/>
        <v>286648.32000000001</v>
      </c>
      <c r="R1351" s="608">
        <f t="shared" si="190"/>
        <v>0</v>
      </c>
      <c r="S1351" s="751">
        <f t="shared" si="191"/>
        <v>-286648.32000000001</v>
      </c>
      <c r="T1351" s="750">
        <v>66.319999999999993</v>
      </c>
      <c r="U1351" s="608">
        <f t="shared" si="192"/>
        <v>-197368.31999999998</v>
      </c>
      <c r="V1351" s="751">
        <f t="shared" si="193"/>
        <v>-89280.000000000029</v>
      </c>
      <c r="W1351" s="752">
        <v>66.319999999999993</v>
      </c>
      <c r="X1351" s="609">
        <f t="shared" si="194"/>
        <v>-197368.31999999998</v>
      </c>
      <c r="Y1351" s="703">
        <f t="shared" si="195"/>
        <v>-89280.000000000029</v>
      </c>
      <c r="Z1351" s="752">
        <v>66.319999999999993</v>
      </c>
      <c r="AA1351" s="609">
        <f t="shared" si="196"/>
        <v>-197368.31999999998</v>
      </c>
      <c r="AB1351" s="753">
        <f t="shared" si="197"/>
        <v>-89280.000000000029</v>
      </c>
      <c r="AC1351" s="714"/>
    </row>
    <row r="1352" spans="1:29" x14ac:dyDescent="0.25">
      <c r="A1352" s="713"/>
      <c r="B1352" s="731" t="s">
        <v>2111</v>
      </c>
      <c r="C1352" s="547" t="s">
        <v>40</v>
      </c>
      <c r="D1352" s="547" t="s">
        <v>2017</v>
      </c>
      <c r="E1352" s="683">
        <v>44743</v>
      </c>
      <c r="F1352" s="547">
        <v>744</v>
      </c>
      <c r="G1352" s="547" t="s">
        <v>58</v>
      </c>
      <c r="H1352" s="547" t="s">
        <v>5</v>
      </c>
      <c r="I1352" s="547" t="s">
        <v>44</v>
      </c>
      <c r="J1352" s="547" t="s">
        <v>84</v>
      </c>
      <c r="K1352" s="547">
        <v>30</v>
      </c>
      <c r="L1352" s="727" t="s">
        <v>92</v>
      </c>
      <c r="M1352" s="697">
        <v>5</v>
      </c>
      <c r="N1352" s="727">
        <v>0</v>
      </c>
      <c r="O1352" s="697">
        <v>96.32</v>
      </c>
      <c r="P1352" s="727">
        <v>0</v>
      </c>
      <c r="Q1352" s="750">
        <f t="shared" si="189"/>
        <v>358310.39999999997</v>
      </c>
      <c r="R1352" s="608">
        <f t="shared" si="190"/>
        <v>0</v>
      </c>
      <c r="S1352" s="751">
        <f t="shared" si="191"/>
        <v>-358310.39999999997</v>
      </c>
      <c r="T1352" s="750">
        <v>66.319999999999993</v>
      </c>
      <c r="U1352" s="608">
        <f t="shared" si="192"/>
        <v>-246710.39999999997</v>
      </c>
      <c r="V1352" s="751">
        <f t="shared" si="193"/>
        <v>-111600</v>
      </c>
      <c r="W1352" s="752">
        <v>66.319999999999993</v>
      </c>
      <c r="X1352" s="609">
        <f t="shared" si="194"/>
        <v>-246710.39999999997</v>
      </c>
      <c r="Y1352" s="703">
        <f t="shared" si="195"/>
        <v>-111600</v>
      </c>
      <c r="Z1352" s="752">
        <v>66.319999999999993</v>
      </c>
      <c r="AA1352" s="609">
        <f t="shared" si="196"/>
        <v>-246710.39999999997</v>
      </c>
      <c r="AB1352" s="753">
        <f t="shared" si="197"/>
        <v>-111600</v>
      </c>
      <c r="AC1352" s="714"/>
    </row>
    <row r="1353" spans="1:29" x14ac:dyDescent="0.25">
      <c r="A1353" s="713"/>
      <c r="B1353" s="731" t="s">
        <v>2113</v>
      </c>
      <c r="C1353" s="547" t="s">
        <v>40</v>
      </c>
      <c r="D1353" s="547" t="s">
        <v>2105</v>
      </c>
      <c r="E1353" s="683">
        <v>44743</v>
      </c>
      <c r="F1353" s="547">
        <v>744</v>
      </c>
      <c r="G1353" s="547" t="s">
        <v>58</v>
      </c>
      <c r="H1353" s="547" t="s">
        <v>5</v>
      </c>
      <c r="I1353" s="547" t="s">
        <v>44</v>
      </c>
      <c r="J1353" s="547" t="s">
        <v>84</v>
      </c>
      <c r="K1353" s="547">
        <v>30</v>
      </c>
      <c r="L1353" s="727" t="s">
        <v>92</v>
      </c>
      <c r="M1353" s="697">
        <v>10</v>
      </c>
      <c r="N1353" s="727">
        <v>0</v>
      </c>
      <c r="O1353" s="697">
        <v>96.32</v>
      </c>
      <c r="P1353" s="727">
        <v>0</v>
      </c>
      <c r="Q1353" s="750">
        <f t="shared" si="189"/>
        <v>716620.79999999993</v>
      </c>
      <c r="R1353" s="608">
        <f t="shared" si="190"/>
        <v>0</v>
      </c>
      <c r="S1353" s="751">
        <f t="shared" si="191"/>
        <v>-716620.79999999993</v>
      </c>
      <c r="T1353" s="750">
        <v>66.319999999999993</v>
      </c>
      <c r="U1353" s="608">
        <f t="shared" si="192"/>
        <v>-493420.79999999993</v>
      </c>
      <c r="V1353" s="751">
        <f t="shared" si="193"/>
        <v>-223200</v>
      </c>
      <c r="W1353" s="752">
        <v>66.319999999999993</v>
      </c>
      <c r="X1353" s="609">
        <f t="shared" si="194"/>
        <v>-493420.79999999993</v>
      </c>
      <c r="Y1353" s="703">
        <f t="shared" si="195"/>
        <v>-223200</v>
      </c>
      <c r="Z1353" s="752">
        <v>66.319999999999993</v>
      </c>
      <c r="AA1353" s="609">
        <f t="shared" si="196"/>
        <v>-493420.79999999993</v>
      </c>
      <c r="AB1353" s="753">
        <f t="shared" si="197"/>
        <v>-223200</v>
      </c>
      <c r="AC1353" s="714"/>
    </row>
    <row r="1354" spans="1:29" x14ac:dyDescent="0.25">
      <c r="A1354" s="713"/>
      <c r="B1354" s="731" t="s">
        <v>2115</v>
      </c>
      <c r="C1354" s="547" t="s">
        <v>40</v>
      </c>
      <c r="D1354" s="547" t="s">
        <v>471</v>
      </c>
      <c r="E1354" s="683">
        <v>44743</v>
      </c>
      <c r="F1354" s="547">
        <v>744</v>
      </c>
      <c r="G1354" s="547" t="s">
        <v>58</v>
      </c>
      <c r="H1354" s="547" t="s">
        <v>5</v>
      </c>
      <c r="I1354" s="547" t="s">
        <v>44</v>
      </c>
      <c r="J1354" s="547" t="s">
        <v>84</v>
      </c>
      <c r="K1354" s="547">
        <v>30.3</v>
      </c>
      <c r="L1354" s="727" t="s">
        <v>92</v>
      </c>
      <c r="M1354" s="697">
        <v>10</v>
      </c>
      <c r="N1354" s="727">
        <v>0</v>
      </c>
      <c r="O1354" s="697">
        <v>96.61999999999999</v>
      </c>
      <c r="P1354" s="727">
        <v>0</v>
      </c>
      <c r="Q1354" s="750">
        <f t="shared" si="189"/>
        <v>718852.79999999993</v>
      </c>
      <c r="R1354" s="608">
        <f t="shared" si="190"/>
        <v>0</v>
      </c>
      <c r="S1354" s="751">
        <f t="shared" si="191"/>
        <v>-718852.79999999993</v>
      </c>
      <c r="T1354" s="750">
        <v>66.319999999999993</v>
      </c>
      <c r="U1354" s="608">
        <f t="shared" si="192"/>
        <v>-493420.79999999993</v>
      </c>
      <c r="V1354" s="751">
        <f t="shared" si="193"/>
        <v>-225432</v>
      </c>
      <c r="W1354" s="752">
        <v>66.319999999999993</v>
      </c>
      <c r="X1354" s="609">
        <f t="shared" si="194"/>
        <v>-493420.79999999993</v>
      </c>
      <c r="Y1354" s="703">
        <f t="shared" si="195"/>
        <v>-225432</v>
      </c>
      <c r="Z1354" s="752">
        <v>66.319999999999993</v>
      </c>
      <c r="AA1354" s="609">
        <f t="shared" si="196"/>
        <v>-493420.79999999993</v>
      </c>
      <c r="AB1354" s="753">
        <f t="shared" si="197"/>
        <v>-225432</v>
      </c>
      <c r="AC1354" s="714"/>
    </row>
    <row r="1355" spans="1:29" x14ac:dyDescent="0.25">
      <c r="A1355" s="713"/>
      <c r="B1355" s="731" t="s">
        <v>2117</v>
      </c>
      <c r="C1355" s="547" t="s">
        <v>40</v>
      </c>
      <c r="D1355" s="547" t="s">
        <v>1838</v>
      </c>
      <c r="E1355" s="683">
        <v>44743</v>
      </c>
      <c r="F1355" s="547">
        <v>744</v>
      </c>
      <c r="G1355" s="547" t="s">
        <v>58</v>
      </c>
      <c r="H1355" s="547" t="s">
        <v>5</v>
      </c>
      <c r="I1355" s="547" t="s">
        <v>44</v>
      </c>
      <c r="J1355" s="547" t="s">
        <v>84</v>
      </c>
      <c r="K1355" s="547">
        <v>30</v>
      </c>
      <c r="L1355" s="727" t="s">
        <v>92</v>
      </c>
      <c r="M1355" s="697">
        <v>2</v>
      </c>
      <c r="N1355" s="727">
        <v>0</v>
      </c>
      <c r="O1355" s="697">
        <v>96.32</v>
      </c>
      <c r="P1355" s="727">
        <v>0</v>
      </c>
      <c r="Q1355" s="750">
        <f t="shared" si="189"/>
        <v>143324.16</v>
      </c>
      <c r="R1355" s="608">
        <f t="shared" si="190"/>
        <v>0</v>
      </c>
      <c r="S1355" s="751">
        <f t="shared" si="191"/>
        <v>-143324.16</v>
      </c>
      <c r="T1355" s="750">
        <v>66.319999999999993</v>
      </c>
      <c r="U1355" s="608">
        <f t="shared" si="192"/>
        <v>-98684.159999999989</v>
      </c>
      <c r="V1355" s="751">
        <f t="shared" si="193"/>
        <v>-44640.000000000015</v>
      </c>
      <c r="W1355" s="752">
        <v>66.319999999999993</v>
      </c>
      <c r="X1355" s="609">
        <f t="shared" si="194"/>
        <v>-98684.159999999989</v>
      </c>
      <c r="Y1355" s="703">
        <f t="shared" si="195"/>
        <v>-44640.000000000015</v>
      </c>
      <c r="Z1355" s="752">
        <v>66.319999999999993</v>
      </c>
      <c r="AA1355" s="609">
        <f t="shared" si="196"/>
        <v>-98684.159999999989</v>
      </c>
      <c r="AB1355" s="753">
        <f t="shared" si="197"/>
        <v>-44640.000000000015</v>
      </c>
      <c r="AC1355" s="714"/>
    </row>
    <row r="1356" spans="1:29" x14ac:dyDescent="0.25">
      <c r="A1356" s="713"/>
      <c r="B1356" s="731" t="s">
        <v>2119</v>
      </c>
      <c r="C1356" s="547" t="s">
        <v>40</v>
      </c>
      <c r="D1356" s="547" t="s">
        <v>2085</v>
      </c>
      <c r="E1356" s="683">
        <v>44743</v>
      </c>
      <c r="F1356" s="547">
        <v>744</v>
      </c>
      <c r="G1356" s="547" t="s">
        <v>58</v>
      </c>
      <c r="H1356" s="547" t="s">
        <v>5</v>
      </c>
      <c r="I1356" s="547" t="s">
        <v>44</v>
      </c>
      <c r="J1356" s="547" t="s">
        <v>84</v>
      </c>
      <c r="K1356" s="547">
        <v>96.62</v>
      </c>
      <c r="L1356" s="727" t="s">
        <v>54</v>
      </c>
      <c r="M1356" s="697">
        <v>19</v>
      </c>
      <c r="N1356" s="727">
        <v>0</v>
      </c>
      <c r="O1356" s="697">
        <v>96.62</v>
      </c>
      <c r="P1356" s="727">
        <v>0</v>
      </c>
      <c r="Q1356" s="750">
        <f t="shared" si="189"/>
        <v>1365820.32</v>
      </c>
      <c r="R1356" s="608">
        <f t="shared" si="190"/>
        <v>0</v>
      </c>
      <c r="S1356" s="751">
        <f t="shared" si="191"/>
        <v>-1365820.32</v>
      </c>
      <c r="T1356" s="750">
        <v>66.319999999999993</v>
      </c>
      <c r="U1356" s="608">
        <f t="shared" si="192"/>
        <v>-937499.5199999999</v>
      </c>
      <c r="V1356" s="751">
        <f t="shared" si="193"/>
        <v>-428320.80000000016</v>
      </c>
      <c r="W1356" s="752">
        <v>66.319999999999993</v>
      </c>
      <c r="X1356" s="609">
        <f t="shared" si="194"/>
        <v>-937499.5199999999</v>
      </c>
      <c r="Y1356" s="703">
        <f t="shared" si="195"/>
        <v>-428320.80000000016</v>
      </c>
      <c r="Z1356" s="752">
        <v>66.319999999999993</v>
      </c>
      <c r="AA1356" s="609">
        <f t="shared" si="196"/>
        <v>-937499.5199999999</v>
      </c>
      <c r="AB1356" s="753">
        <f t="shared" si="197"/>
        <v>-428320.80000000016</v>
      </c>
      <c r="AC1356" s="714"/>
    </row>
    <row r="1357" spans="1:29" x14ac:dyDescent="0.25">
      <c r="A1357" s="713"/>
      <c r="B1357" s="731" t="s">
        <v>2123</v>
      </c>
      <c r="C1357" s="547" t="s">
        <v>40</v>
      </c>
      <c r="D1357" s="547" t="s">
        <v>2121</v>
      </c>
      <c r="E1357" s="683">
        <v>44743</v>
      </c>
      <c r="F1357" s="547">
        <v>744</v>
      </c>
      <c r="G1357" s="547" t="s">
        <v>58</v>
      </c>
      <c r="H1357" s="547" t="s">
        <v>5</v>
      </c>
      <c r="I1357" s="547" t="s">
        <v>44</v>
      </c>
      <c r="J1357" s="547" t="s">
        <v>84</v>
      </c>
      <c r="K1357" s="547">
        <v>29</v>
      </c>
      <c r="L1357" s="727" t="s">
        <v>92</v>
      </c>
      <c r="M1357" s="697">
        <v>2</v>
      </c>
      <c r="N1357" s="727">
        <v>0</v>
      </c>
      <c r="O1357" s="697">
        <v>95.32</v>
      </c>
      <c r="P1357" s="727">
        <v>0</v>
      </c>
      <c r="Q1357" s="750">
        <f t="shared" si="189"/>
        <v>141836.16</v>
      </c>
      <c r="R1357" s="608">
        <f t="shared" si="190"/>
        <v>0</v>
      </c>
      <c r="S1357" s="751">
        <f t="shared" si="191"/>
        <v>-141836.16</v>
      </c>
      <c r="T1357" s="750">
        <v>66.319999999999993</v>
      </c>
      <c r="U1357" s="608">
        <f t="shared" si="192"/>
        <v>-98684.159999999989</v>
      </c>
      <c r="V1357" s="751">
        <f t="shared" si="193"/>
        <v>-43152.000000000015</v>
      </c>
      <c r="W1357" s="752">
        <v>66.319999999999993</v>
      </c>
      <c r="X1357" s="609">
        <f t="shared" si="194"/>
        <v>-98684.159999999989</v>
      </c>
      <c r="Y1357" s="703">
        <f t="shared" si="195"/>
        <v>-43152.000000000015</v>
      </c>
      <c r="Z1357" s="752">
        <v>66.319999999999993</v>
      </c>
      <c r="AA1357" s="609">
        <f t="shared" si="196"/>
        <v>-98684.159999999989</v>
      </c>
      <c r="AB1357" s="753">
        <f t="shared" si="197"/>
        <v>-43152.000000000015</v>
      </c>
      <c r="AC1357" s="714"/>
    </row>
    <row r="1358" spans="1:29" x14ac:dyDescent="0.25">
      <c r="A1358" s="713"/>
      <c r="B1358" s="731" t="s">
        <v>2125</v>
      </c>
      <c r="C1358" s="547" t="s">
        <v>40</v>
      </c>
      <c r="D1358" s="547" t="s">
        <v>1919</v>
      </c>
      <c r="E1358" s="683">
        <v>44743</v>
      </c>
      <c r="F1358" s="547">
        <v>744</v>
      </c>
      <c r="G1358" s="547" t="s">
        <v>58</v>
      </c>
      <c r="H1358" s="547" t="s">
        <v>5</v>
      </c>
      <c r="I1358" s="547" t="s">
        <v>12</v>
      </c>
      <c r="J1358" s="547" t="s">
        <v>84</v>
      </c>
      <c r="K1358" s="547">
        <v>29.23</v>
      </c>
      <c r="L1358" s="727" t="s">
        <v>92</v>
      </c>
      <c r="M1358" s="697">
        <v>20</v>
      </c>
      <c r="N1358" s="727">
        <v>0</v>
      </c>
      <c r="O1358" s="697">
        <v>95.55</v>
      </c>
      <c r="P1358" s="727">
        <v>0</v>
      </c>
      <c r="Q1358" s="750">
        <f t="shared" si="189"/>
        <v>1421784</v>
      </c>
      <c r="R1358" s="608">
        <f t="shared" si="190"/>
        <v>0</v>
      </c>
      <c r="S1358" s="751">
        <f t="shared" si="191"/>
        <v>-1421784</v>
      </c>
      <c r="T1358" s="750">
        <v>66.319999999999993</v>
      </c>
      <c r="U1358" s="608">
        <f t="shared" si="192"/>
        <v>-986841.59999999986</v>
      </c>
      <c r="V1358" s="751">
        <f t="shared" si="193"/>
        <v>-434942.40000000014</v>
      </c>
      <c r="W1358" s="752">
        <v>66.319999999999993</v>
      </c>
      <c r="X1358" s="609">
        <f t="shared" si="194"/>
        <v>-986841.59999999986</v>
      </c>
      <c r="Y1358" s="703">
        <f t="shared" si="195"/>
        <v>-434942.40000000014</v>
      </c>
      <c r="Z1358" s="752">
        <v>66.319999999999993</v>
      </c>
      <c r="AA1358" s="609">
        <f t="shared" si="196"/>
        <v>-986841.59999999986</v>
      </c>
      <c r="AB1358" s="753">
        <f t="shared" si="197"/>
        <v>-434942.40000000014</v>
      </c>
      <c r="AC1358" s="714"/>
    </row>
    <row r="1359" spans="1:29" x14ac:dyDescent="0.25">
      <c r="A1359" s="713"/>
      <c r="B1359" s="731" t="s">
        <v>2129</v>
      </c>
      <c r="C1359" s="547" t="s">
        <v>40</v>
      </c>
      <c r="D1359" s="547" t="s">
        <v>2017</v>
      </c>
      <c r="E1359" s="683">
        <v>44927</v>
      </c>
      <c r="F1359" s="547">
        <v>744</v>
      </c>
      <c r="G1359" s="547" t="s">
        <v>59</v>
      </c>
      <c r="H1359" s="547" t="s">
        <v>3</v>
      </c>
      <c r="I1359" s="547" t="s">
        <v>44</v>
      </c>
      <c r="J1359" s="547" t="s">
        <v>85</v>
      </c>
      <c r="K1359" s="547">
        <v>163</v>
      </c>
      <c r="L1359" s="727" t="s">
        <v>54</v>
      </c>
      <c r="M1359" s="697">
        <v>0</v>
      </c>
      <c r="N1359" s="727">
        <v>14</v>
      </c>
      <c r="O1359" s="697">
        <v>0</v>
      </c>
      <c r="P1359" s="727">
        <v>164.35067691280813</v>
      </c>
      <c r="Q1359" s="750">
        <f t="shared" si="189"/>
        <v>0</v>
      </c>
      <c r="R1359" s="608">
        <f t="shared" si="190"/>
        <v>1711876.6507238094</v>
      </c>
      <c r="S1359" s="751">
        <f t="shared" si="191"/>
        <v>1711876.6507238094</v>
      </c>
      <c r="T1359" s="750">
        <v>68.72</v>
      </c>
      <c r="U1359" s="608">
        <f t="shared" si="192"/>
        <v>715787.52</v>
      </c>
      <c r="V1359" s="751">
        <f t="shared" si="193"/>
        <v>996089.13072380936</v>
      </c>
      <c r="W1359" s="752">
        <v>55.7</v>
      </c>
      <c r="X1359" s="609">
        <f t="shared" si="194"/>
        <v>580171.20000000007</v>
      </c>
      <c r="Y1359" s="703">
        <f t="shared" si="195"/>
        <v>1131705.4507238092</v>
      </c>
      <c r="Z1359" s="752">
        <v>96.206580759134184</v>
      </c>
      <c r="AA1359" s="609">
        <f t="shared" si="196"/>
        <v>1002087.7451871417</v>
      </c>
      <c r="AB1359" s="753">
        <f t="shared" si="197"/>
        <v>709788.90553666768</v>
      </c>
      <c r="AC1359" s="714"/>
    </row>
    <row r="1360" spans="1:29" x14ac:dyDescent="0.25">
      <c r="A1360" s="713"/>
      <c r="B1360" s="731" t="s">
        <v>2131</v>
      </c>
      <c r="C1360" s="547" t="s">
        <v>40</v>
      </c>
      <c r="D1360" s="547" t="s">
        <v>2017</v>
      </c>
      <c r="E1360" s="683">
        <v>44958</v>
      </c>
      <c r="F1360" s="547">
        <v>672</v>
      </c>
      <c r="G1360" s="547" t="s">
        <v>58</v>
      </c>
      <c r="H1360" s="547" t="s">
        <v>3</v>
      </c>
      <c r="I1360" s="547" t="s">
        <v>44</v>
      </c>
      <c r="J1360" s="547" t="s">
        <v>84</v>
      </c>
      <c r="K1360" s="547">
        <v>163</v>
      </c>
      <c r="L1360" s="727" t="s">
        <v>54</v>
      </c>
      <c r="M1360" s="697">
        <v>14</v>
      </c>
      <c r="N1360" s="727">
        <v>0</v>
      </c>
      <c r="O1360" s="697">
        <v>164.35067691280813</v>
      </c>
      <c r="P1360" s="727">
        <v>0</v>
      </c>
      <c r="Q1360" s="750">
        <f t="shared" si="189"/>
        <v>1546211.1683956988</v>
      </c>
      <c r="R1360" s="608">
        <f t="shared" si="190"/>
        <v>0</v>
      </c>
      <c r="S1360" s="751">
        <f t="shared" si="191"/>
        <v>-1546211.1683956988</v>
      </c>
      <c r="T1360" s="750">
        <v>69.25</v>
      </c>
      <c r="U1360" s="608">
        <f t="shared" si="192"/>
        <v>-651504</v>
      </c>
      <c r="V1360" s="751">
        <f t="shared" si="193"/>
        <v>-894707.16839569877</v>
      </c>
      <c r="W1360" s="752">
        <v>55.7</v>
      </c>
      <c r="X1360" s="609">
        <f t="shared" si="194"/>
        <v>-524025.60000000003</v>
      </c>
      <c r="Y1360" s="703">
        <f t="shared" si="195"/>
        <v>-1022185.5683956987</v>
      </c>
      <c r="Z1360" s="752">
        <v>92.430648861364247</v>
      </c>
      <c r="AA1360" s="609">
        <f t="shared" si="196"/>
        <v>-869587.54448771488</v>
      </c>
      <c r="AB1360" s="753">
        <f t="shared" si="197"/>
        <v>-676623.62390798389</v>
      </c>
      <c r="AC1360" s="714"/>
    </row>
    <row r="1361" spans="1:29" x14ac:dyDescent="0.25">
      <c r="A1361" s="713"/>
      <c r="B1361" s="731" t="s">
        <v>2134</v>
      </c>
      <c r="C1361" s="547" t="s">
        <v>40</v>
      </c>
      <c r="D1361" s="547" t="s">
        <v>2105</v>
      </c>
      <c r="E1361" s="683">
        <v>44805</v>
      </c>
      <c r="F1361" s="547">
        <v>720</v>
      </c>
      <c r="G1361" s="547" t="s">
        <v>58</v>
      </c>
      <c r="H1361" s="547" t="s">
        <v>3</v>
      </c>
      <c r="I1361" s="547" t="s">
        <v>44</v>
      </c>
      <c r="J1361" s="547" t="s">
        <v>84</v>
      </c>
      <c r="K1361" s="547">
        <v>80</v>
      </c>
      <c r="L1361" s="727" t="s">
        <v>54</v>
      </c>
      <c r="M1361" s="697">
        <v>4</v>
      </c>
      <c r="N1361" s="727">
        <v>0</v>
      </c>
      <c r="O1361" s="697">
        <v>80</v>
      </c>
      <c r="P1361" s="727">
        <v>0</v>
      </c>
      <c r="Q1361" s="750">
        <f t="shared" si="189"/>
        <v>230400</v>
      </c>
      <c r="R1361" s="608">
        <f t="shared" si="190"/>
        <v>0</v>
      </c>
      <c r="S1361" s="751">
        <f t="shared" si="191"/>
        <v>-230400</v>
      </c>
      <c r="T1361" s="750">
        <v>56.08</v>
      </c>
      <c r="U1361" s="608">
        <f t="shared" si="192"/>
        <v>-161510.39999999999</v>
      </c>
      <c r="V1361" s="751">
        <f t="shared" si="193"/>
        <v>-68889.600000000006</v>
      </c>
      <c r="W1361" s="752">
        <v>56.08</v>
      </c>
      <c r="X1361" s="609">
        <f t="shared" si="194"/>
        <v>-161510.39999999999</v>
      </c>
      <c r="Y1361" s="703">
        <f t="shared" si="195"/>
        <v>-68889.600000000006</v>
      </c>
      <c r="Z1361" s="752">
        <v>56.08</v>
      </c>
      <c r="AA1361" s="609">
        <f t="shared" si="196"/>
        <v>-161510.39999999999</v>
      </c>
      <c r="AB1361" s="753">
        <f t="shared" si="197"/>
        <v>-68889.600000000006</v>
      </c>
      <c r="AC1361" s="714"/>
    </row>
    <row r="1362" spans="1:29" x14ac:dyDescent="0.25">
      <c r="A1362" s="713"/>
      <c r="B1362" s="731" t="s">
        <v>2139</v>
      </c>
      <c r="C1362" s="547" t="s">
        <v>40</v>
      </c>
      <c r="D1362" s="547" t="s">
        <v>2137</v>
      </c>
      <c r="E1362" s="683">
        <v>44805</v>
      </c>
      <c r="F1362" s="547">
        <v>720</v>
      </c>
      <c r="G1362" s="547" t="s">
        <v>58</v>
      </c>
      <c r="H1362" s="547" t="s">
        <v>3</v>
      </c>
      <c r="I1362" s="547" t="s">
        <v>44</v>
      </c>
      <c r="J1362" s="547" t="s">
        <v>84</v>
      </c>
      <c r="K1362" s="547">
        <v>79</v>
      </c>
      <c r="L1362" s="727" t="s">
        <v>54</v>
      </c>
      <c r="M1362" s="697">
        <v>2</v>
      </c>
      <c r="N1362" s="727">
        <v>0</v>
      </c>
      <c r="O1362" s="697">
        <v>79</v>
      </c>
      <c r="P1362" s="727">
        <v>0</v>
      </c>
      <c r="Q1362" s="750">
        <f t="shared" si="189"/>
        <v>113760</v>
      </c>
      <c r="R1362" s="608">
        <f t="shared" si="190"/>
        <v>0</v>
      </c>
      <c r="S1362" s="751">
        <f t="shared" si="191"/>
        <v>-113760</v>
      </c>
      <c r="T1362" s="750">
        <v>56.08</v>
      </c>
      <c r="U1362" s="608">
        <f t="shared" si="192"/>
        <v>-80755.199999999997</v>
      </c>
      <c r="V1362" s="751">
        <f t="shared" si="193"/>
        <v>-33004.800000000003</v>
      </c>
      <c r="W1362" s="752">
        <v>56.08</v>
      </c>
      <c r="X1362" s="609">
        <f t="shared" si="194"/>
        <v>-80755.199999999997</v>
      </c>
      <c r="Y1362" s="703">
        <f t="shared" si="195"/>
        <v>-33004.800000000003</v>
      </c>
      <c r="Z1362" s="752">
        <v>56.08</v>
      </c>
      <c r="AA1362" s="609">
        <f t="shared" si="196"/>
        <v>-80755.199999999997</v>
      </c>
      <c r="AB1362" s="753">
        <f t="shared" si="197"/>
        <v>-33004.800000000003</v>
      </c>
      <c r="AC1362" s="714"/>
    </row>
    <row r="1363" spans="1:29" x14ac:dyDescent="0.25">
      <c r="A1363" s="713"/>
      <c r="B1363" s="731" t="s">
        <v>2141</v>
      </c>
      <c r="C1363" s="547" t="s">
        <v>40</v>
      </c>
      <c r="D1363" s="547" t="s">
        <v>2137</v>
      </c>
      <c r="E1363" s="683">
        <v>44805</v>
      </c>
      <c r="F1363" s="547">
        <v>720</v>
      </c>
      <c r="G1363" s="547" t="s">
        <v>58</v>
      </c>
      <c r="H1363" s="547" t="s">
        <v>3</v>
      </c>
      <c r="I1363" s="547" t="s">
        <v>44</v>
      </c>
      <c r="J1363" s="547" t="s">
        <v>84</v>
      </c>
      <c r="K1363" s="547">
        <v>79.5</v>
      </c>
      <c r="L1363" s="727" t="s">
        <v>54</v>
      </c>
      <c r="M1363" s="697">
        <v>2</v>
      </c>
      <c r="N1363" s="727">
        <v>0</v>
      </c>
      <c r="O1363" s="697">
        <v>79.5</v>
      </c>
      <c r="P1363" s="727">
        <v>0</v>
      </c>
      <c r="Q1363" s="750">
        <f t="shared" si="189"/>
        <v>114480</v>
      </c>
      <c r="R1363" s="608">
        <f t="shared" si="190"/>
        <v>0</v>
      </c>
      <c r="S1363" s="751">
        <f t="shared" si="191"/>
        <v>-114480</v>
      </c>
      <c r="T1363" s="750">
        <v>56.08</v>
      </c>
      <c r="U1363" s="608">
        <f t="shared" si="192"/>
        <v>-80755.199999999997</v>
      </c>
      <c r="V1363" s="751">
        <f t="shared" si="193"/>
        <v>-33724.800000000003</v>
      </c>
      <c r="W1363" s="752">
        <v>56.08</v>
      </c>
      <c r="X1363" s="609">
        <f t="shared" si="194"/>
        <v>-80755.199999999997</v>
      </c>
      <c r="Y1363" s="703">
        <f t="shared" si="195"/>
        <v>-33724.800000000003</v>
      </c>
      <c r="Z1363" s="752">
        <v>56.08</v>
      </c>
      <c r="AA1363" s="609">
        <f t="shared" si="196"/>
        <v>-80755.199999999997</v>
      </c>
      <c r="AB1363" s="753">
        <f t="shared" si="197"/>
        <v>-33724.800000000003</v>
      </c>
      <c r="AC1363" s="714"/>
    </row>
    <row r="1364" spans="1:29" x14ac:dyDescent="0.25">
      <c r="A1364" s="713"/>
      <c r="B1364" s="731" t="s">
        <v>2150</v>
      </c>
      <c r="C1364" s="547" t="s">
        <v>40</v>
      </c>
      <c r="D1364" s="547" t="s">
        <v>981</v>
      </c>
      <c r="E1364" s="683">
        <v>44774</v>
      </c>
      <c r="F1364" s="547">
        <v>744</v>
      </c>
      <c r="G1364" s="547" t="s">
        <v>58</v>
      </c>
      <c r="H1364" s="547" t="s">
        <v>3</v>
      </c>
      <c r="I1364" s="547" t="s">
        <v>44</v>
      </c>
      <c r="J1364" s="547" t="s">
        <v>84</v>
      </c>
      <c r="K1364" s="547">
        <v>81.599999999999994</v>
      </c>
      <c r="L1364" s="727" t="s">
        <v>54</v>
      </c>
      <c r="M1364" s="697">
        <v>3</v>
      </c>
      <c r="N1364" s="727">
        <v>0</v>
      </c>
      <c r="O1364" s="697">
        <v>81.599999999999994</v>
      </c>
      <c r="P1364" s="727">
        <v>0</v>
      </c>
      <c r="Q1364" s="750">
        <f t="shared" si="189"/>
        <v>182131.19999999998</v>
      </c>
      <c r="R1364" s="608">
        <f t="shared" si="190"/>
        <v>0</v>
      </c>
      <c r="S1364" s="751">
        <f t="shared" si="191"/>
        <v>-182131.19999999998</v>
      </c>
      <c r="T1364" s="750">
        <v>76.900000000000006</v>
      </c>
      <c r="U1364" s="608">
        <f t="shared" si="192"/>
        <v>-171640.80000000002</v>
      </c>
      <c r="V1364" s="751">
        <f t="shared" si="193"/>
        <v>-10490.399999999965</v>
      </c>
      <c r="W1364" s="752">
        <v>76.900000000000006</v>
      </c>
      <c r="X1364" s="609">
        <f t="shared" si="194"/>
        <v>-171640.80000000002</v>
      </c>
      <c r="Y1364" s="703">
        <f t="shared" si="195"/>
        <v>-10490.399999999965</v>
      </c>
      <c r="Z1364" s="752">
        <v>76.900000000000006</v>
      </c>
      <c r="AA1364" s="609">
        <f t="shared" si="196"/>
        <v>-171640.80000000002</v>
      </c>
      <c r="AB1364" s="753">
        <f t="shared" si="197"/>
        <v>-10490.399999999965</v>
      </c>
      <c r="AC1364" s="714"/>
    </row>
    <row r="1365" spans="1:29" x14ac:dyDescent="0.25">
      <c r="A1365" s="713"/>
      <c r="B1365" s="731" t="s">
        <v>2152</v>
      </c>
      <c r="C1365" s="547" t="s">
        <v>40</v>
      </c>
      <c r="D1365" s="547" t="s">
        <v>981</v>
      </c>
      <c r="E1365" s="683">
        <v>44774</v>
      </c>
      <c r="F1365" s="547">
        <v>744</v>
      </c>
      <c r="G1365" s="547" t="s">
        <v>58</v>
      </c>
      <c r="H1365" s="547" t="s">
        <v>3</v>
      </c>
      <c r="I1365" s="547" t="s">
        <v>44</v>
      </c>
      <c r="J1365" s="547" t="s">
        <v>84</v>
      </c>
      <c r="K1365" s="547">
        <v>82</v>
      </c>
      <c r="L1365" s="727" t="s">
        <v>54</v>
      </c>
      <c r="M1365" s="697">
        <v>2</v>
      </c>
      <c r="N1365" s="727">
        <v>0</v>
      </c>
      <c r="O1365" s="697">
        <v>82</v>
      </c>
      <c r="P1365" s="727">
        <v>0</v>
      </c>
      <c r="Q1365" s="750">
        <f t="shared" si="189"/>
        <v>122016</v>
      </c>
      <c r="R1365" s="608">
        <f t="shared" si="190"/>
        <v>0</v>
      </c>
      <c r="S1365" s="751">
        <f t="shared" si="191"/>
        <v>-122016</v>
      </c>
      <c r="T1365" s="750">
        <v>76.900000000000006</v>
      </c>
      <c r="U1365" s="608">
        <f t="shared" si="192"/>
        <v>-114427.20000000001</v>
      </c>
      <c r="V1365" s="751">
        <f t="shared" si="193"/>
        <v>-7588.7999999999884</v>
      </c>
      <c r="W1365" s="752">
        <v>76.900000000000006</v>
      </c>
      <c r="X1365" s="609">
        <f t="shared" si="194"/>
        <v>-114427.20000000001</v>
      </c>
      <c r="Y1365" s="703">
        <f t="shared" si="195"/>
        <v>-7588.7999999999884</v>
      </c>
      <c r="Z1365" s="752">
        <v>76.900000000000006</v>
      </c>
      <c r="AA1365" s="609">
        <f t="shared" si="196"/>
        <v>-114427.20000000001</v>
      </c>
      <c r="AB1365" s="753">
        <f t="shared" si="197"/>
        <v>-7588.7999999999884</v>
      </c>
      <c r="AC1365" s="714"/>
    </row>
    <row r="1366" spans="1:29" x14ac:dyDescent="0.25">
      <c r="A1366" s="713"/>
      <c r="B1366" s="731" t="s">
        <v>2154</v>
      </c>
      <c r="C1366" s="547" t="s">
        <v>40</v>
      </c>
      <c r="D1366" s="547" t="s">
        <v>2147</v>
      </c>
      <c r="E1366" s="683">
        <v>44774</v>
      </c>
      <c r="F1366" s="547">
        <v>744</v>
      </c>
      <c r="G1366" s="547" t="s">
        <v>58</v>
      </c>
      <c r="H1366" s="547" t="s">
        <v>3</v>
      </c>
      <c r="I1366" s="547" t="s">
        <v>44</v>
      </c>
      <c r="J1366" s="547" t="s">
        <v>84</v>
      </c>
      <c r="K1366" s="547">
        <v>82</v>
      </c>
      <c r="L1366" s="727" t="s">
        <v>54</v>
      </c>
      <c r="M1366" s="697">
        <v>2</v>
      </c>
      <c r="N1366" s="727">
        <v>0</v>
      </c>
      <c r="O1366" s="697">
        <v>82</v>
      </c>
      <c r="P1366" s="727">
        <v>0</v>
      </c>
      <c r="Q1366" s="750">
        <f t="shared" si="189"/>
        <v>122016</v>
      </c>
      <c r="R1366" s="608">
        <f t="shared" si="190"/>
        <v>0</v>
      </c>
      <c r="S1366" s="751">
        <f t="shared" si="191"/>
        <v>-122016</v>
      </c>
      <c r="T1366" s="750">
        <v>76.900000000000006</v>
      </c>
      <c r="U1366" s="608">
        <f t="shared" si="192"/>
        <v>-114427.20000000001</v>
      </c>
      <c r="V1366" s="751">
        <f t="shared" si="193"/>
        <v>-7588.7999999999884</v>
      </c>
      <c r="W1366" s="752">
        <v>76.900000000000006</v>
      </c>
      <c r="X1366" s="609">
        <f t="shared" si="194"/>
        <v>-114427.20000000001</v>
      </c>
      <c r="Y1366" s="703">
        <f t="shared" si="195"/>
        <v>-7588.7999999999884</v>
      </c>
      <c r="Z1366" s="752">
        <v>76.900000000000006</v>
      </c>
      <c r="AA1366" s="609">
        <f t="shared" si="196"/>
        <v>-114427.20000000001</v>
      </c>
      <c r="AB1366" s="753">
        <f t="shared" si="197"/>
        <v>-7588.7999999999884</v>
      </c>
      <c r="AC1366" s="714"/>
    </row>
    <row r="1367" spans="1:29" x14ac:dyDescent="0.25">
      <c r="A1367" s="713"/>
      <c r="B1367" s="730" t="s">
        <v>2156</v>
      </c>
      <c r="C1367" s="546" t="s">
        <v>40</v>
      </c>
      <c r="D1367" s="546" t="s">
        <v>590</v>
      </c>
      <c r="E1367" s="682">
        <v>45017</v>
      </c>
      <c r="F1367" s="546">
        <v>720</v>
      </c>
      <c r="G1367" s="546" t="s">
        <v>59</v>
      </c>
      <c r="H1367" s="546" t="s">
        <v>3</v>
      </c>
      <c r="I1367" s="546" t="s">
        <v>44</v>
      </c>
      <c r="J1367" s="546" t="s">
        <v>85</v>
      </c>
      <c r="K1367" s="546">
        <v>125</v>
      </c>
      <c r="L1367" s="726" t="s">
        <v>54</v>
      </c>
      <c r="M1367" s="696">
        <v>0</v>
      </c>
      <c r="N1367" s="726">
        <v>10</v>
      </c>
      <c r="O1367" s="696">
        <v>0</v>
      </c>
      <c r="P1367" s="726">
        <v>126.03579517853383</v>
      </c>
      <c r="Q1367" s="746">
        <f t="shared" si="189"/>
        <v>0</v>
      </c>
      <c r="R1367" s="606">
        <f t="shared" si="190"/>
        <v>907457.72528544359</v>
      </c>
      <c r="S1367" s="747">
        <f t="shared" si="191"/>
        <v>907457.72528544359</v>
      </c>
      <c r="T1367" s="746">
        <v>69.8</v>
      </c>
      <c r="U1367" s="606">
        <f t="shared" si="192"/>
        <v>502560</v>
      </c>
      <c r="V1367" s="747">
        <f t="shared" si="193"/>
        <v>404897.72528544359</v>
      </c>
      <c r="W1367" s="748">
        <v>55.7</v>
      </c>
      <c r="X1367" s="607">
        <f t="shared" si="194"/>
        <v>401040</v>
      </c>
      <c r="Y1367" s="702">
        <f t="shared" si="195"/>
        <v>506417.72528544359</v>
      </c>
      <c r="Z1367" s="748">
        <v>85.732008718771311</v>
      </c>
      <c r="AA1367" s="607">
        <f t="shared" si="196"/>
        <v>617270.46277515346</v>
      </c>
      <c r="AB1367" s="749">
        <f t="shared" si="197"/>
        <v>290187.26251029014</v>
      </c>
      <c r="AC1367" s="714"/>
    </row>
    <row r="1368" spans="1:29" x14ac:dyDescent="0.25">
      <c r="A1368" s="713"/>
      <c r="B1368" s="714" t="s">
        <v>2156</v>
      </c>
      <c r="C1368" s="676" t="s">
        <v>40</v>
      </c>
      <c r="D1368" s="676" t="s">
        <v>590</v>
      </c>
      <c r="E1368" s="680">
        <v>45047</v>
      </c>
      <c r="F1368" s="676">
        <v>744</v>
      </c>
      <c r="G1368" s="676" t="s">
        <v>59</v>
      </c>
      <c r="H1368" s="676" t="s">
        <v>3</v>
      </c>
      <c r="I1368" s="676" t="s">
        <v>44</v>
      </c>
      <c r="J1368" s="676" t="s">
        <v>85</v>
      </c>
      <c r="K1368" s="676">
        <v>125</v>
      </c>
      <c r="L1368" s="690" t="s">
        <v>54</v>
      </c>
      <c r="M1368" s="691">
        <v>0</v>
      </c>
      <c r="N1368" s="690">
        <v>10</v>
      </c>
      <c r="O1368" s="691">
        <v>0</v>
      </c>
      <c r="P1368" s="690">
        <v>126.03579517853383</v>
      </c>
      <c r="Q1368" s="738">
        <f t="shared" si="189"/>
        <v>0</v>
      </c>
      <c r="R1368" s="677">
        <f t="shared" si="190"/>
        <v>937706.31612829166</v>
      </c>
      <c r="S1368" s="739">
        <f t="shared" si="191"/>
        <v>937706.31612829166</v>
      </c>
      <c r="T1368" s="738">
        <v>70.2</v>
      </c>
      <c r="U1368" s="677">
        <f t="shared" si="192"/>
        <v>522288</v>
      </c>
      <c r="V1368" s="739">
        <f t="shared" si="193"/>
        <v>415418.31612829166</v>
      </c>
      <c r="W1368" s="740">
        <v>55.7</v>
      </c>
      <c r="X1368" s="678">
        <f t="shared" si="194"/>
        <v>414408</v>
      </c>
      <c r="Y1368" s="700">
        <f t="shared" si="195"/>
        <v>523298.31612829166</v>
      </c>
      <c r="Z1368" s="740">
        <v>86.223309628334476</v>
      </c>
      <c r="AA1368" s="678">
        <f t="shared" si="196"/>
        <v>641501.42363480851</v>
      </c>
      <c r="AB1368" s="741">
        <f t="shared" si="197"/>
        <v>296204.89249348314</v>
      </c>
      <c r="AC1368" s="714"/>
    </row>
    <row r="1369" spans="1:29" x14ac:dyDescent="0.25">
      <c r="A1369" s="713"/>
      <c r="B1369" s="729" t="s">
        <v>2156</v>
      </c>
      <c r="C1369" s="545" t="s">
        <v>40</v>
      </c>
      <c r="D1369" s="545" t="s">
        <v>590</v>
      </c>
      <c r="E1369" s="681">
        <v>45078</v>
      </c>
      <c r="F1369" s="545">
        <v>720</v>
      </c>
      <c r="G1369" s="545" t="s">
        <v>59</v>
      </c>
      <c r="H1369" s="545" t="s">
        <v>3</v>
      </c>
      <c r="I1369" s="545" t="s">
        <v>44</v>
      </c>
      <c r="J1369" s="545" t="s">
        <v>85</v>
      </c>
      <c r="K1369" s="545">
        <v>125</v>
      </c>
      <c r="L1369" s="725" t="s">
        <v>54</v>
      </c>
      <c r="M1369" s="695">
        <v>0</v>
      </c>
      <c r="N1369" s="725">
        <v>10</v>
      </c>
      <c r="O1369" s="695">
        <v>0</v>
      </c>
      <c r="P1369" s="725">
        <v>126.03579517853383</v>
      </c>
      <c r="Q1369" s="742">
        <f t="shared" si="189"/>
        <v>0</v>
      </c>
      <c r="R1369" s="603">
        <f t="shared" si="190"/>
        <v>907457.72528544359</v>
      </c>
      <c r="S1369" s="743">
        <f t="shared" si="191"/>
        <v>907457.72528544359</v>
      </c>
      <c r="T1369" s="742">
        <v>72.400000000000006</v>
      </c>
      <c r="U1369" s="603">
        <f t="shared" si="192"/>
        <v>521280.00000000006</v>
      </c>
      <c r="V1369" s="743">
        <f t="shared" si="193"/>
        <v>386177.72528544354</v>
      </c>
      <c r="W1369" s="744">
        <v>55.874535369068141</v>
      </c>
      <c r="X1369" s="604">
        <f t="shared" si="194"/>
        <v>402296.65465729061</v>
      </c>
      <c r="Y1369" s="701">
        <f t="shared" si="195"/>
        <v>505161.07062815299</v>
      </c>
      <c r="Z1369" s="744">
        <v>88.925464630931856</v>
      </c>
      <c r="AA1369" s="604">
        <f t="shared" si="196"/>
        <v>640263.34534270933</v>
      </c>
      <c r="AB1369" s="745">
        <f t="shared" si="197"/>
        <v>267194.37994273426</v>
      </c>
      <c r="AC1369" s="714"/>
    </row>
    <row r="1370" spans="1:29" x14ac:dyDescent="0.25">
      <c r="A1370" s="713"/>
      <c r="B1370" s="731" t="s">
        <v>2162</v>
      </c>
      <c r="C1370" s="547" t="s">
        <v>40</v>
      </c>
      <c r="D1370" s="547" t="s">
        <v>981</v>
      </c>
      <c r="E1370" s="683">
        <v>44774</v>
      </c>
      <c r="F1370" s="547">
        <v>744</v>
      </c>
      <c r="G1370" s="547" t="s">
        <v>58</v>
      </c>
      <c r="H1370" s="547" t="s">
        <v>3</v>
      </c>
      <c r="I1370" s="547" t="s">
        <v>44</v>
      </c>
      <c r="J1370" s="547" t="s">
        <v>84</v>
      </c>
      <c r="K1370" s="547">
        <v>80</v>
      </c>
      <c r="L1370" s="727" t="s">
        <v>54</v>
      </c>
      <c r="M1370" s="697">
        <v>6</v>
      </c>
      <c r="N1370" s="727">
        <v>0</v>
      </c>
      <c r="O1370" s="697">
        <v>80</v>
      </c>
      <c r="P1370" s="727">
        <v>0</v>
      </c>
      <c r="Q1370" s="750">
        <f t="shared" si="189"/>
        <v>357120</v>
      </c>
      <c r="R1370" s="608">
        <f t="shared" si="190"/>
        <v>0</v>
      </c>
      <c r="S1370" s="751">
        <f t="shared" si="191"/>
        <v>-357120</v>
      </c>
      <c r="T1370" s="750">
        <v>76.900000000000006</v>
      </c>
      <c r="U1370" s="608">
        <f t="shared" si="192"/>
        <v>-343281.60000000003</v>
      </c>
      <c r="V1370" s="751">
        <f t="shared" si="193"/>
        <v>-13838.399999999965</v>
      </c>
      <c r="W1370" s="752">
        <v>76.900000000000006</v>
      </c>
      <c r="X1370" s="609">
        <f t="shared" si="194"/>
        <v>-343281.60000000003</v>
      </c>
      <c r="Y1370" s="703">
        <f t="shared" si="195"/>
        <v>-13838.399999999965</v>
      </c>
      <c r="Z1370" s="752">
        <v>76.900000000000006</v>
      </c>
      <c r="AA1370" s="609">
        <f t="shared" si="196"/>
        <v>-343281.60000000003</v>
      </c>
      <c r="AB1370" s="753">
        <f t="shared" si="197"/>
        <v>-13838.399999999965</v>
      </c>
      <c r="AC1370" s="714"/>
    </row>
    <row r="1371" spans="1:29" x14ac:dyDescent="0.25">
      <c r="A1371" s="713"/>
      <c r="B1371" s="731" t="s">
        <v>2164</v>
      </c>
      <c r="C1371" s="547" t="s">
        <v>40</v>
      </c>
      <c r="D1371" s="547" t="s">
        <v>2147</v>
      </c>
      <c r="E1371" s="683">
        <v>44774</v>
      </c>
      <c r="F1371" s="547">
        <v>744</v>
      </c>
      <c r="G1371" s="547" t="s">
        <v>58</v>
      </c>
      <c r="H1371" s="547" t="s">
        <v>3</v>
      </c>
      <c r="I1371" s="547" t="s">
        <v>44</v>
      </c>
      <c r="J1371" s="547" t="s">
        <v>84</v>
      </c>
      <c r="K1371" s="547">
        <v>79</v>
      </c>
      <c r="L1371" s="727" t="s">
        <v>54</v>
      </c>
      <c r="M1371" s="697">
        <v>2</v>
      </c>
      <c r="N1371" s="727">
        <v>0</v>
      </c>
      <c r="O1371" s="697">
        <v>79</v>
      </c>
      <c r="P1371" s="727">
        <v>0</v>
      </c>
      <c r="Q1371" s="750">
        <f t="shared" si="189"/>
        <v>117552</v>
      </c>
      <c r="R1371" s="608">
        <f t="shared" si="190"/>
        <v>0</v>
      </c>
      <c r="S1371" s="751">
        <f t="shared" si="191"/>
        <v>-117552</v>
      </c>
      <c r="T1371" s="750">
        <v>76.900000000000006</v>
      </c>
      <c r="U1371" s="608">
        <f t="shared" si="192"/>
        <v>-114427.20000000001</v>
      </c>
      <c r="V1371" s="751">
        <f t="shared" si="193"/>
        <v>-3124.7999999999884</v>
      </c>
      <c r="W1371" s="752">
        <v>76.900000000000006</v>
      </c>
      <c r="X1371" s="609">
        <f t="shared" si="194"/>
        <v>-114427.20000000001</v>
      </c>
      <c r="Y1371" s="703">
        <f t="shared" si="195"/>
        <v>-3124.7999999999884</v>
      </c>
      <c r="Z1371" s="752">
        <v>76.900000000000006</v>
      </c>
      <c r="AA1371" s="609">
        <f t="shared" si="196"/>
        <v>-114427.20000000001</v>
      </c>
      <c r="AB1371" s="753">
        <f t="shared" si="197"/>
        <v>-3124.7999999999884</v>
      </c>
      <c r="AC1371" s="714"/>
    </row>
    <row r="1372" spans="1:29" x14ac:dyDescent="0.25">
      <c r="A1372" s="713"/>
      <c r="B1372" s="730" t="s">
        <v>2165</v>
      </c>
      <c r="C1372" s="546" t="s">
        <v>40</v>
      </c>
      <c r="D1372" s="546" t="s">
        <v>346</v>
      </c>
      <c r="E1372" s="682">
        <v>45292</v>
      </c>
      <c r="F1372" s="546">
        <v>744</v>
      </c>
      <c r="G1372" s="546" t="s">
        <v>59</v>
      </c>
      <c r="H1372" s="546" t="s">
        <v>3</v>
      </c>
      <c r="I1372" s="546" t="s">
        <v>44</v>
      </c>
      <c r="J1372" s="546" t="s">
        <v>85</v>
      </c>
      <c r="K1372" s="546">
        <v>187</v>
      </c>
      <c r="L1372" s="726" t="s">
        <v>54</v>
      </c>
      <c r="M1372" s="696">
        <v>0</v>
      </c>
      <c r="N1372" s="726">
        <v>10</v>
      </c>
      <c r="O1372" s="696">
        <v>0</v>
      </c>
      <c r="P1372" s="726">
        <v>187.26740622457459</v>
      </c>
      <c r="Q1372" s="746">
        <f t="shared" si="189"/>
        <v>0</v>
      </c>
      <c r="R1372" s="606">
        <f t="shared" si="190"/>
        <v>1393269.5023108348</v>
      </c>
      <c r="S1372" s="747">
        <f t="shared" si="191"/>
        <v>1393269.5023108348</v>
      </c>
      <c r="T1372" s="746">
        <v>100.1</v>
      </c>
      <c r="U1372" s="606">
        <f t="shared" si="192"/>
        <v>744744</v>
      </c>
      <c r="V1372" s="747">
        <f t="shared" si="193"/>
        <v>648525.50231083483</v>
      </c>
      <c r="W1372" s="748">
        <v>92.278761745078526</v>
      </c>
      <c r="X1372" s="607">
        <f t="shared" si="194"/>
        <v>686553.98738338426</v>
      </c>
      <c r="Y1372" s="702">
        <f t="shared" si="195"/>
        <v>706715.51492745057</v>
      </c>
      <c r="Z1372" s="748">
        <v>107.92123825492146</v>
      </c>
      <c r="AA1372" s="607">
        <f t="shared" si="196"/>
        <v>802934.01261661563</v>
      </c>
      <c r="AB1372" s="749">
        <f t="shared" si="197"/>
        <v>590335.4896942192</v>
      </c>
      <c r="AC1372" s="714"/>
    </row>
    <row r="1373" spans="1:29" x14ac:dyDescent="0.25">
      <c r="A1373" s="713"/>
      <c r="B1373" s="714" t="s">
        <v>2165</v>
      </c>
      <c r="C1373" s="676" t="s">
        <v>40</v>
      </c>
      <c r="D1373" s="676" t="s">
        <v>346</v>
      </c>
      <c r="E1373" s="680">
        <v>45323</v>
      </c>
      <c r="F1373" s="676">
        <v>696</v>
      </c>
      <c r="G1373" s="676" t="s">
        <v>59</v>
      </c>
      <c r="H1373" s="676" t="s">
        <v>3</v>
      </c>
      <c r="I1373" s="676" t="s">
        <v>44</v>
      </c>
      <c r="J1373" s="676" t="s">
        <v>85</v>
      </c>
      <c r="K1373" s="676">
        <v>187</v>
      </c>
      <c r="L1373" s="690" t="s">
        <v>54</v>
      </c>
      <c r="M1373" s="691">
        <v>0</v>
      </c>
      <c r="N1373" s="690">
        <v>10</v>
      </c>
      <c r="O1373" s="691">
        <v>0</v>
      </c>
      <c r="P1373" s="690">
        <v>187.26740622457459</v>
      </c>
      <c r="Q1373" s="738">
        <f t="shared" si="189"/>
        <v>0</v>
      </c>
      <c r="R1373" s="677">
        <f t="shared" si="190"/>
        <v>1303381.1473230391</v>
      </c>
      <c r="S1373" s="739">
        <f t="shared" si="191"/>
        <v>1303381.1473230391</v>
      </c>
      <c r="T1373" s="738">
        <v>100.1</v>
      </c>
      <c r="U1373" s="677">
        <f t="shared" si="192"/>
        <v>696696</v>
      </c>
      <c r="V1373" s="739">
        <f t="shared" si="193"/>
        <v>606685.14732303913</v>
      </c>
      <c r="W1373" s="740">
        <v>92.278761745078526</v>
      </c>
      <c r="X1373" s="678">
        <f t="shared" si="194"/>
        <v>642260.18174574652</v>
      </c>
      <c r="Y1373" s="700">
        <f t="shared" si="195"/>
        <v>661120.96557729261</v>
      </c>
      <c r="Z1373" s="740">
        <v>107.92123825492146</v>
      </c>
      <c r="AA1373" s="678">
        <f t="shared" si="196"/>
        <v>751131.81825425336</v>
      </c>
      <c r="AB1373" s="741">
        <f t="shared" si="197"/>
        <v>552249.32906878577</v>
      </c>
      <c r="AC1373" s="714"/>
    </row>
    <row r="1374" spans="1:29" x14ac:dyDescent="0.25">
      <c r="A1374" s="713"/>
      <c r="B1374" s="714" t="s">
        <v>2165</v>
      </c>
      <c r="C1374" s="676" t="s">
        <v>40</v>
      </c>
      <c r="D1374" s="676" t="s">
        <v>346</v>
      </c>
      <c r="E1374" s="680">
        <v>45352</v>
      </c>
      <c r="F1374" s="676">
        <v>744</v>
      </c>
      <c r="G1374" s="676" t="s">
        <v>59</v>
      </c>
      <c r="H1374" s="676" t="s">
        <v>3</v>
      </c>
      <c r="I1374" s="676" t="s">
        <v>44</v>
      </c>
      <c r="J1374" s="676" t="s">
        <v>85</v>
      </c>
      <c r="K1374" s="676">
        <v>187</v>
      </c>
      <c r="L1374" s="690" t="s">
        <v>54</v>
      </c>
      <c r="M1374" s="691">
        <v>0</v>
      </c>
      <c r="N1374" s="690">
        <v>10</v>
      </c>
      <c r="O1374" s="691">
        <v>0</v>
      </c>
      <c r="P1374" s="690">
        <v>187.26740622457459</v>
      </c>
      <c r="Q1374" s="738">
        <f t="shared" si="189"/>
        <v>0</v>
      </c>
      <c r="R1374" s="677">
        <f t="shared" si="190"/>
        <v>1393269.5023108348</v>
      </c>
      <c r="S1374" s="739">
        <f t="shared" si="191"/>
        <v>1393269.5023108348</v>
      </c>
      <c r="T1374" s="738">
        <v>100.1</v>
      </c>
      <c r="U1374" s="677">
        <f t="shared" si="192"/>
        <v>744744</v>
      </c>
      <c r="V1374" s="739">
        <f t="shared" si="193"/>
        <v>648525.50231083483</v>
      </c>
      <c r="W1374" s="740">
        <v>92.278761745078526</v>
      </c>
      <c r="X1374" s="678">
        <f t="shared" si="194"/>
        <v>686553.98738338426</v>
      </c>
      <c r="Y1374" s="700">
        <f t="shared" si="195"/>
        <v>706715.51492745057</v>
      </c>
      <c r="Z1374" s="740">
        <v>107.92123825492146</v>
      </c>
      <c r="AA1374" s="678">
        <f t="shared" si="196"/>
        <v>802934.01261661563</v>
      </c>
      <c r="AB1374" s="741">
        <f t="shared" si="197"/>
        <v>590335.4896942192</v>
      </c>
      <c r="AC1374" s="714"/>
    </row>
    <row r="1375" spans="1:29" x14ac:dyDescent="0.25">
      <c r="A1375" s="713"/>
      <c r="B1375" s="714" t="s">
        <v>2165</v>
      </c>
      <c r="C1375" s="676" t="s">
        <v>40</v>
      </c>
      <c r="D1375" s="676" t="s">
        <v>346</v>
      </c>
      <c r="E1375" s="680">
        <v>45383</v>
      </c>
      <c r="F1375" s="676">
        <v>720</v>
      </c>
      <c r="G1375" s="676" t="s">
        <v>59</v>
      </c>
      <c r="H1375" s="676" t="s">
        <v>3</v>
      </c>
      <c r="I1375" s="676" t="s">
        <v>44</v>
      </c>
      <c r="J1375" s="676" t="s">
        <v>85</v>
      </c>
      <c r="K1375" s="676">
        <v>187</v>
      </c>
      <c r="L1375" s="690" t="s">
        <v>54</v>
      </c>
      <c r="M1375" s="691">
        <v>0</v>
      </c>
      <c r="N1375" s="690">
        <v>10</v>
      </c>
      <c r="O1375" s="691">
        <v>0</v>
      </c>
      <c r="P1375" s="690">
        <v>187.26740622457459</v>
      </c>
      <c r="Q1375" s="738">
        <f t="shared" si="189"/>
        <v>0</v>
      </c>
      <c r="R1375" s="677">
        <f t="shared" si="190"/>
        <v>1348325.3248169371</v>
      </c>
      <c r="S1375" s="739">
        <f t="shared" si="191"/>
        <v>1348325.3248169371</v>
      </c>
      <c r="T1375" s="738">
        <v>100.1</v>
      </c>
      <c r="U1375" s="677">
        <f t="shared" si="192"/>
        <v>720720</v>
      </c>
      <c r="V1375" s="739">
        <f t="shared" si="193"/>
        <v>627605.32481693709</v>
      </c>
      <c r="W1375" s="740">
        <v>92.278761745078526</v>
      </c>
      <c r="X1375" s="678">
        <f t="shared" si="194"/>
        <v>664407.08456456533</v>
      </c>
      <c r="Y1375" s="700">
        <f t="shared" si="195"/>
        <v>683918.24025237176</v>
      </c>
      <c r="Z1375" s="740">
        <v>107.92123825492146</v>
      </c>
      <c r="AA1375" s="678">
        <f t="shared" si="196"/>
        <v>777032.91543543455</v>
      </c>
      <c r="AB1375" s="741">
        <f t="shared" si="197"/>
        <v>571292.40938150254</v>
      </c>
      <c r="AC1375" s="714"/>
    </row>
    <row r="1376" spans="1:29" x14ac:dyDescent="0.25">
      <c r="A1376" s="713"/>
      <c r="B1376" s="714" t="s">
        <v>2165</v>
      </c>
      <c r="C1376" s="676" t="s">
        <v>40</v>
      </c>
      <c r="D1376" s="676" t="s">
        <v>346</v>
      </c>
      <c r="E1376" s="680">
        <v>45413</v>
      </c>
      <c r="F1376" s="676">
        <v>744</v>
      </c>
      <c r="G1376" s="676" t="s">
        <v>59</v>
      </c>
      <c r="H1376" s="676" t="s">
        <v>3</v>
      </c>
      <c r="I1376" s="676" t="s">
        <v>44</v>
      </c>
      <c r="J1376" s="676" t="s">
        <v>85</v>
      </c>
      <c r="K1376" s="676">
        <v>187</v>
      </c>
      <c r="L1376" s="690" t="s">
        <v>54</v>
      </c>
      <c r="M1376" s="691">
        <v>0</v>
      </c>
      <c r="N1376" s="690">
        <v>10</v>
      </c>
      <c r="O1376" s="691">
        <v>0</v>
      </c>
      <c r="P1376" s="690">
        <v>187.26740622457459</v>
      </c>
      <c r="Q1376" s="738">
        <f t="shared" si="189"/>
        <v>0</v>
      </c>
      <c r="R1376" s="677">
        <f t="shared" si="190"/>
        <v>1393269.5023108348</v>
      </c>
      <c r="S1376" s="739">
        <f t="shared" si="191"/>
        <v>1393269.5023108348</v>
      </c>
      <c r="T1376" s="738">
        <v>100.1</v>
      </c>
      <c r="U1376" s="677">
        <f t="shared" si="192"/>
        <v>744744</v>
      </c>
      <c r="V1376" s="739">
        <f t="shared" si="193"/>
        <v>648525.50231083483</v>
      </c>
      <c r="W1376" s="740">
        <v>92.278761745078526</v>
      </c>
      <c r="X1376" s="678">
        <f t="shared" si="194"/>
        <v>686553.98738338426</v>
      </c>
      <c r="Y1376" s="700">
        <f t="shared" si="195"/>
        <v>706715.51492745057</v>
      </c>
      <c r="Z1376" s="740">
        <v>107.92123825492146</v>
      </c>
      <c r="AA1376" s="678">
        <f t="shared" si="196"/>
        <v>802934.01261661563</v>
      </c>
      <c r="AB1376" s="741">
        <f t="shared" si="197"/>
        <v>590335.4896942192</v>
      </c>
      <c r="AC1376" s="714"/>
    </row>
    <row r="1377" spans="1:29" x14ac:dyDescent="0.25">
      <c r="A1377" s="713"/>
      <c r="B1377" s="714" t="s">
        <v>2165</v>
      </c>
      <c r="C1377" s="676" t="s">
        <v>40</v>
      </c>
      <c r="D1377" s="676" t="s">
        <v>346</v>
      </c>
      <c r="E1377" s="680">
        <v>45444</v>
      </c>
      <c r="F1377" s="676">
        <v>720</v>
      </c>
      <c r="G1377" s="676" t="s">
        <v>59</v>
      </c>
      <c r="H1377" s="676" t="s">
        <v>3</v>
      </c>
      <c r="I1377" s="676" t="s">
        <v>44</v>
      </c>
      <c r="J1377" s="676" t="s">
        <v>85</v>
      </c>
      <c r="K1377" s="676">
        <v>187</v>
      </c>
      <c r="L1377" s="690" t="s">
        <v>54</v>
      </c>
      <c r="M1377" s="691">
        <v>0</v>
      </c>
      <c r="N1377" s="690">
        <v>10</v>
      </c>
      <c r="O1377" s="691">
        <v>0</v>
      </c>
      <c r="P1377" s="690">
        <v>187.26740622457459</v>
      </c>
      <c r="Q1377" s="738">
        <f t="shared" si="189"/>
        <v>0</v>
      </c>
      <c r="R1377" s="677">
        <f t="shared" si="190"/>
        <v>1348325.3248169371</v>
      </c>
      <c r="S1377" s="739">
        <f t="shared" si="191"/>
        <v>1348325.3248169371</v>
      </c>
      <c r="T1377" s="738">
        <v>100.1</v>
      </c>
      <c r="U1377" s="677">
        <f t="shared" si="192"/>
        <v>720720</v>
      </c>
      <c r="V1377" s="739">
        <f t="shared" si="193"/>
        <v>627605.32481693709</v>
      </c>
      <c r="W1377" s="740">
        <v>92.278761745078526</v>
      </c>
      <c r="X1377" s="678">
        <f t="shared" si="194"/>
        <v>664407.08456456533</v>
      </c>
      <c r="Y1377" s="700">
        <f t="shared" si="195"/>
        <v>683918.24025237176</v>
      </c>
      <c r="Z1377" s="740">
        <v>107.92123825492146</v>
      </c>
      <c r="AA1377" s="678">
        <f t="shared" si="196"/>
        <v>777032.91543543455</v>
      </c>
      <c r="AB1377" s="741">
        <f t="shared" si="197"/>
        <v>571292.40938150254</v>
      </c>
      <c r="AC1377" s="714"/>
    </row>
    <row r="1378" spans="1:29" x14ac:dyDescent="0.25">
      <c r="A1378" s="713"/>
      <c r="B1378" s="714" t="s">
        <v>2165</v>
      </c>
      <c r="C1378" s="676" t="s">
        <v>40</v>
      </c>
      <c r="D1378" s="676" t="s">
        <v>346</v>
      </c>
      <c r="E1378" s="680">
        <v>45474</v>
      </c>
      <c r="F1378" s="676">
        <v>744</v>
      </c>
      <c r="G1378" s="676" t="s">
        <v>59</v>
      </c>
      <c r="H1378" s="676" t="s">
        <v>3</v>
      </c>
      <c r="I1378" s="676" t="s">
        <v>44</v>
      </c>
      <c r="J1378" s="676" t="s">
        <v>85</v>
      </c>
      <c r="K1378" s="676">
        <v>187</v>
      </c>
      <c r="L1378" s="690" t="s">
        <v>54</v>
      </c>
      <c r="M1378" s="691">
        <v>0</v>
      </c>
      <c r="N1378" s="690">
        <v>10</v>
      </c>
      <c r="O1378" s="691">
        <v>0</v>
      </c>
      <c r="P1378" s="690">
        <v>187.26740622457459</v>
      </c>
      <c r="Q1378" s="738">
        <f t="shared" si="189"/>
        <v>0</v>
      </c>
      <c r="R1378" s="677">
        <f t="shared" si="190"/>
        <v>1393269.5023108348</v>
      </c>
      <c r="S1378" s="739">
        <f t="shared" si="191"/>
        <v>1393269.5023108348</v>
      </c>
      <c r="T1378" s="738">
        <v>100.1</v>
      </c>
      <c r="U1378" s="677">
        <f t="shared" si="192"/>
        <v>744744</v>
      </c>
      <c r="V1378" s="739">
        <f t="shared" si="193"/>
        <v>648525.50231083483</v>
      </c>
      <c r="W1378" s="740">
        <v>92.278761745078526</v>
      </c>
      <c r="X1378" s="678">
        <f t="shared" si="194"/>
        <v>686553.98738338426</v>
      </c>
      <c r="Y1378" s="700">
        <f t="shared" si="195"/>
        <v>706715.51492745057</v>
      </c>
      <c r="Z1378" s="740">
        <v>107.92123825492146</v>
      </c>
      <c r="AA1378" s="678">
        <f t="shared" si="196"/>
        <v>802934.01261661563</v>
      </c>
      <c r="AB1378" s="741">
        <f t="shared" si="197"/>
        <v>590335.4896942192</v>
      </c>
      <c r="AC1378" s="714"/>
    </row>
    <row r="1379" spans="1:29" x14ac:dyDescent="0.25">
      <c r="A1379" s="713"/>
      <c r="B1379" s="714" t="s">
        <v>2165</v>
      </c>
      <c r="C1379" s="676" t="s">
        <v>40</v>
      </c>
      <c r="D1379" s="676" t="s">
        <v>346</v>
      </c>
      <c r="E1379" s="680">
        <v>45505</v>
      </c>
      <c r="F1379" s="676">
        <v>744</v>
      </c>
      <c r="G1379" s="676" t="s">
        <v>59</v>
      </c>
      <c r="H1379" s="676" t="s">
        <v>3</v>
      </c>
      <c r="I1379" s="676" t="s">
        <v>44</v>
      </c>
      <c r="J1379" s="676" t="s">
        <v>85</v>
      </c>
      <c r="K1379" s="676">
        <v>187</v>
      </c>
      <c r="L1379" s="690" t="s">
        <v>54</v>
      </c>
      <c r="M1379" s="691">
        <v>0</v>
      </c>
      <c r="N1379" s="690">
        <v>10</v>
      </c>
      <c r="O1379" s="691">
        <v>0</v>
      </c>
      <c r="P1379" s="690">
        <v>187.26740622457459</v>
      </c>
      <c r="Q1379" s="738">
        <f t="shared" si="189"/>
        <v>0</v>
      </c>
      <c r="R1379" s="677">
        <f t="shared" si="190"/>
        <v>1393269.5023108348</v>
      </c>
      <c r="S1379" s="739">
        <f t="shared" si="191"/>
        <v>1393269.5023108348</v>
      </c>
      <c r="T1379" s="738">
        <v>100.1</v>
      </c>
      <c r="U1379" s="677">
        <f t="shared" si="192"/>
        <v>744744</v>
      </c>
      <c r="V1379" s="739">
        <f t="shared" si="193"/>
        <v>648525.50231083483</v>
      </c>
      <c r="W1379" s="740">
        <v>92.278761745078526</v>
      </c>
      <c r="X1379" s="678">
        <f t="shared" si="194"/>
        <v>686553.98738338426</v>
      </c>
      <c r="Y1379" s="700">
        <f t="shared" si="195"/>
        <v>706715.51492745057</v>
      </c>
      <c r="Z1379" s="740">
        <v>107.92123825492146</v>
      </c>
      <c r="AA1379" s="678">
        <f t="shared" si="196"/>
        <v>802934.01261661563</v>
      </c>
      <c r="AB1379" s="741">
        <f t="shared" si="197"/>
        <v>590335.4896942192</v>
      </c>
      <c r="AC1379" s="714"/>
    </row>
    <row r="1380" spans="1:29" x14ac:dyDescent="0.25">
      <c r="A1380" s="713"/>
      <c r="B1380" s="714" t="s">
        <v>2165</v>
      </c>
      <c r="C1380" s="676" t="s">
        <v>40</v>
      </c>
      <c r="D1380" s="676" t="s">
        <v>346</v>
      </c>
      <c r="E1380" s="680">
        <v>45536</v>
      </c>
      <c r="F1380" s="676">
        <v>720</v>
      </c>
      <c r="G1380" s="676" t="s">
        <v>59</v>
      </c>
      <c r="H1380" s="676" t="s">
        <v>3</v>
      </c>
      <c r="I1380" s="676" t="s">
        <v>44</v>
      </c>
      <c r="J1380" s="676" t="s">
        <v>85</v>
      </c>
      <c r="K1380" s="676">
        <v>187</v>
      </c>
      <c r="L1380" s="690" t="s">
        <v>54</v>
      </c>
      <c r="M1380" s="691">
        <v>0</v>
      </c>
      <c r="N1380" s="690">
        <v>10</v>
      </c>
      <c r="O1380" s="691">
        <v>0</v>
      </c>
      <c r="P1380" s="690">
        <v>187.26740622457459</v>
      </c>
      <c r="Q1380" s="738">
        <f t="shared" si="189"/>
        <v>0</v>
      </c>
      <c r="R1380" s="677">
        <f t="shared" si="190"/>
        <v>1348325.3248169371</v>
      </c>
      <c r="S1380" s="739">
        <f t="shared" si="191"/>
        <v>1348325.3248169371</v>
      </c>
      <c r="T1380" s="738">
        <v>100.1</v>
      </c>
      <c r="U1380" s="677">
        <f t="shared" si="192"/>
        <v>720720</v>
      </c>
      <c r="V1380" s="739">
        <f t="shared" si="193"/>
        <v>627605.32481693709</v>
      </c>
      <c r="W1380" s="740">
        <v>92.278761745078526</v>
      </c>
      <c r="X1380" s="678">
        <f t="shared" si="194"/>
        <v>664407.08456456533</v>
      </c>
      <c r="Y1380" s="700">
        <f t="shared" si="195"/>
        <v>683918.24025237176</v>
      </c>
      <c r="Z1380" s="740">
        <v>107.92123825492146</v>
      </c>
      <c r="AA1380" s="678">
        <f t="shared" si="196"/>
        <v>777032.91543543455</v>
      </c>
      <c r="AB1380" s="741">
        <f t="shared" si="197"/>
        <v>571292.40938150254</v>
      </c>
      <c r="AC1380" s="714"/>
    </row>
    <row r="1381" spans="1:29" x14ac:dyDescent="0.25">
      <c r="A1381" s="713"/>
      <c r="B1381" s="714" t="s">
        <v>2165</v>
      </c>
      <c r="C1381" s="676" t="s">
        <v>40</v>
      </c>
      <c r="D1381" s="676" t="s">
        <v>346</v>
      </c>
      <c r="E1381" s="680">
        <v>45566</v>
      </c>
      <c r="F1381" s="676">
        <v>744</v>
      </c>
      <c r="G1381" s="676" t="s">
        <v>59</v>
      </c>
      <c r="H1381" s="676" t="s">
        <v>3</v>
      </c>
      <c r="I1381" s="676" t="s">
        <v>44</v>
      </c>
      <c r="J1381" s="676" t="s">
        <v>85</v>
      </c>
      <c r="K1381" s="676">
        <v>187</v>
      </c>
      <c r="L1381" s="690" t="s">
        <v>54</v>
      </c>
      <c r="M1381" s="691">
        <v>0</v>
      </c>
      <c r="N1381" s="690">
        <v>10</v>
      </c>
      <c r="O1381" s="691">
        <v>0</v>
      </c>
      <c r="P1381" s="690">
        <v>187.26740622457459</v>
      </c>
      <c r="Q1381" s="738">
        <f t="shared" si="189"/>
        <v>0</v>
      </c>
      <c r="R1381" s="677">
        <f t="shared" si="190"/>
        <v>1393269.5023108348</v>
      </c>
      <c r="S1381" s="739">
        <f t="shared" si="191"/>
        <v>1393269.5023108348</v>
      </c>
      <c r="T1381" s="738">
        <v>100.1</v>
      </c>
      <c r="U1381" s="677">
        <f t="shared" si="192"/>
        <v>744744</v>
      </c>
      <c r="V1381" s="739">
        <f t="shared" si="193"/>
        <v>648525.50231083483</v>
      </c>
      <c r="W1381" s="740">
        <v>92.278761745078526</v>
      </c>
      <c r="X1381" s="678">
        <f t="shared" si="194"/>
        <v>686553.98738338426</v>
      </c>
      <c r="Y1381" s="700">
        <f t="shared" si="195"/>
        <v>706715.51492745057</v>
      </c>
      <c r="Z1381" s="740">
        <v>107.92123825492146</v>
      </c>
      <c r="AA1381" s="678">
        <f t="shared" si="196"/>
        <v>802934.01261661563</v>
      </c>
      <c r="AB1381" s="741">
        <f t="shared" si="197"/>
        <v>590335.4896942192</v>
      </c>
      <c r="AC1381" s="714"/>
    </row>
    <row r="1382" spans="1:29" x14ac:dyDescent="0.25">
      <c r="A1382" s="713"/>
      <c r="B1382" s="714" t="s">
        <v>2165</v>
      </c>
      <c r="C1382" s="676" t="s">
        <v>40</v>
      </c>
      <c r="D1382" s="676" t="s">
        <v>346</v>
      </c>
      <c r="E1382" s="680">
        <v>45597</v>
      </c>
      <c r="F1382" s="676">
        <v>720</v>
      </c>
      <c r="G1382" s="676" t="s">
        <v>59</v>
      </c>
      <c r="H1382" s="676" t="s">
        <v>3</v>
      </c>
      <c r="I1382" s="676" t="s">
        <v>44</v>
      </c>
      <c r="J1382" s="676" t="s">
        <v>85</v>
      </c>
      <c r="K1382" s="676">
        <v>187</v>
      </c>
      <c r="L1382" s="690" t="s">
        <v>54</v>
      </c>
      <c r="M1382" s="691">
        <v>0</v>
      </c>
      <c r="N1382" s="690">
        <v>10</v>
      </c>
      <c r="O1382" s="691">
        <v>0</v>
      </c>
      <c r="P1382" s="690">
        <v>187.26740622457459</v>
      </c>
      <c r="Q1382" s="738">
        <f t="shared" si="189"/>
        <v>0</v>
      </c>
      <c r="R1382" s="677">
        <f t="shared" si="190"/>
        <v>1348325.3248169371</v>
      </c>
      <c r="S1382" s="739">
        <f t="shared" si="191"/>
        <v>1348325.3248169371</v>
      </c>
      <c r="T1382" s="738">
        <v>100.1</v>
      </c>
      <c r="U1382" s="677">
        <f t="shared" si="192"/>
        <v>720720</v>
      </c>
      <c r="V1382" s="739">
        <f t="shared" si="193"/>
        <v>627605.32481693709</v>
      </c>
      <c r="W1382" s="740">
        <v>92.278761745078526</v>
      </c>
      <c r="X1382" s="678">
        <f t="shared" si="194"/>
        <v>664407.08456456533</v>
      </c>
      <c r="Y1382" s="700">
        <f t="shared" si="195"/>
        <v>683918.24025237176</v>
      </c>
      <c r="Z1382" s="740">
        <v>107.92123825492146</v>
      </c>
      <c r="AA1382" s="678">
        <f t="shared" si="196"/>
        <v>777032.91543543455</v>
      </c>
      <c r="AB1382" s="741">
        <f t="shared" si="197"/>
        <v>571292.40938150254</v>
      </c>
      <c r="AC1382" s="714"/>
    </row>
    <row r="1383" spans="1:29" x14ac:dyDescent="0.25">
      <c r="A1383" s="713"/>
      <c r="B1383" s="729" t="s">
        <v>2165</v>
      </c>
      <c r="C1383" s="545" t="s">
        <v>40</v>
      </c>
      <c r="D1383" s="545" t="s">
        <v>346</v>
      </c>
      <c r="E1383" s="681">
        <v>45627</v>
      </c>
      <c r="F1383" s="545">
        <v>744</v>
      </c>
      <c r="G1383" s="545" t="s">
        <v>59</v>
      </c>
      <c r="H1383" s="545" t="s">
        <v>3</v>
      </c>
      <c r="I1383" s="545" t="s">
        <v>44</v>
      </c>
      <c r="J1383" s="545" t="s">
        <v>85</v>
      </c>
      <c r="K1383" s="545">
        <v>187</v>
      </c>
      <c r="L1383" s="725" t="s">
        <v>54</v>
      </c>
      <c r="M1383" s="695">
        <v>0</v>
      </c>
      <c r="N1383" s="725">
        <v>10</v>
      </c>
      <c r="O1383" s="695">
        <v>0</v>
      </c>
      <c r="P1383" s="725">
        <v>187.26740622457459</v>
      </c>
      <c r="Q1383" s="742">
        <f t="shared" si="189"/>
        <v>0</v>
      </c>
      <c r="R1383" s="603">
        <f t="shared" si="190"/>
        <v>1393269.5023108348</v>
      </c>
      <c r="S1383" s="743">
        <f t="shared" si="191"/>
        <v>1393269.5023108348</v>
      </c>
      <c r="T1383" s="742">
        <v>100.1</v>
      </c>
      <c r="U1383" s="603">
        <f t="shared" si="192"/>
        <v>744744</v>
      </c>
      <c r="V1383" s="743">
        <f t="shared" si="193"/>
        <v>648525.50231083483</v>
      </c>
      <c r="W1383" s="744">
        <v>92.278761745078526</v>
      </c>
      <c r="X1383" s="604">
        <f t="shared" si="194"/>
        <v>686553.98738338426</v>
      </c>
      <c r="Y1383" s="701">
        <f t="shared" si="195"/>
        <v>706715.51492745057</v>
      </c>
      <c r="Z1383" s="744">
        <v>107.92123825492146</v>
      </c>
      <c r="AA1383" s="604">
        <f t="shared" si="196"/>
        <v>802934.01261661563</v>
      </c>
      <c r="AB1383" s="745">
        <f t="shared" si="197"/>
        <v>590335.4896942192</v>
      </c>
      <c r="AC1383" s="714"/>
    </row>
    <row r="1384" spans="1:29" x14ac:dyDescent="0.25">
      <c r="A1384" s="713"/>
      <c r="B1384" s="731" t="s">
        <v>2178</v>
      </c>
      <c r="C1384" s="547" t="s">
        <v>40</v>
      </c>
      <c r="D1384" s="547" t="s">
        <v>349</v>
      </c>
      <c r="E1384" s="683">
        <v>45261</v>
      </c>
      <c r="F1384" s="547">
        <v>744</v>
      </c>
      <c r="G1384" s="547" t="s">
        <v>59</v>
      </c>
      <c r="H1384" s="547" t="s">
        <v>3</v>
      </c>
      <c r="I1384" s="547" t="s">
        <v>44</v>
      </c>
      <c r="J1384" s="547" t="s">
        <v>85</v>
      </c>
      <c r="K1384" s="547">
        <v>163</v>
      </c>
      <c r="L1384" s="727" t="s">
        <v>54</v>
      </c>
      <c r="M1384" s="697">
        <v>0</v>
      </c>
      <c r="N1384" s="727">
        <v>12</v>
      </c>
      <c r="O1384" s="697">
        <v>0</v>
      </c>
      <c r="P1384" s="727">
        <v>164.35067691280813</v>
      </c>
      <c r="Q1384" s="750">
        <f t="shared" si="189"/>
        <v>0</v>
      </c>
      <c r="R1384" s="608">
        <f t="shared" si="190"/>
        <v>1467322.8434775509</v>
      </c>
      <c r="S1384" s="751">
        <f t="shared" si="191"/>
        <v>1467322.8434775509</v>
      </c>
      <c r="T1384" s="750">
        <v>80.45</v>
      </c>
      <c r="U1384" s="608">
        <f t="shared" si="192"/>
        <v>718257.6</v>
      </c>
      <c r="V1384" s="751">
        <f t="shared" si="193"/>
        <v>749065.24347755092</v>
      </c>
      <c r="W1384" s="752">
        <v>62.087104564109552</v>
      </c>
      <c r="X1384" s="609">
        <f t="shared" si="194"/>
        <v>554313.66954837006</v>
      </c>
      <c r="Y1384" s="703">
        <f t="shared" si="195"/>
        <v>913009.17392918083</v>
      </c>
      <c r="Z1384" s="752">
        <v>98.812895435890439</v>
      </c>
      <c r="AA1384" s="609">
        <f t="shared" si="196"/>
        <v>882201.53045162989</v>
      </c>
      <c r="AB1384" s="753">
        <f t="shared" si="197"/>
        <v>585121.313025921</v>
      </c>
      <c r="AC1384" s="714"/>
    </row>
    <row r="1385" spans="1:29" x14ac:dyDescent="0.25">
      <c r="A1385" s="713"/>
      <c r="B1385" s="730" t="s">
        <v>2180</v>
      </c>
      <c r="C1385" s="546" t="s">
        <v>40</v>
      </c>
      <c r="D1385" s="546" t="s">
        <v>349</v>
      </c>
      <c r="E1385" s="682">
        <v>44927</v>
      </c>
      <c r="F1385" s="546">
        <v>744</v>
      </c>
      <c r="G1385" s="546" t="s">
        <v>59</v>
      </c>
      <c r="H1385" s="546" t="s">
        <v>3</v>
      </c>
      <c r="I1385" s="546" t="s">
        <v>44</v>
      </c>
      <c r="J1385" s="546" t="s">
        <v>85</v>
      </c>
      <c r="K1385" s="546">
        <v>147</v>
      </c>
      <c r="L1385" s="726" t="s">
        <v>54</v>
      </c>
      <c r="M1385" s="696">
        <v>0</v>
      </c>
      <c r="N1385" s="726">
        <v>16</v>
      </c>
      <c r="O1385" s="696">
        <v>0</v>
      </c>
      <c r="P1385" s="726">
        <v>148.2180951299558</v>
      </c>
      <c r="Q1385" s="746">
        <f t="shared" si="189"/>
        <v>0</v>
      </c>
      <c r="R1385" s="606">
        <f t="shared" si="190"/>
        <v>1764388.2044269938</v>
      </c>
      <c r="S1385" s="747">
        <f t="shared" si="191"/>
        <v>1764388.2044269938</v>
      </c>
      <c r="T1385" s="746">
        <v>68.72</v>
      </c>
      <c r="U1385" s="606">
        <f t="shared" si="192"/>
        <v>818042.88</v>
      </c>
      <c r="V1385" s="747">
        <f t="shared" si="193"/>
        <v>946345.32442699384</v>
      </c>
      <c r="W1385" s="748">
        <v>55.7</v>
      </c>
      <c r="X1385" s="607">
        <f t="shared" si="194"/>
        <v>663052.80000000005</v>
      </c>
      <c r="Y1385" s="702">
        <f t="shared" si="195"/>
        <v>1101335.4044269938</v>
      </c>
      <c r="Z1385" s="748">
        <v>96.206580759134184</v>
      </c>
      <c r="AA1385" s="607">
        <f t="shared" si="196"/>
        <v>1145243.1373567334</v>
      </c>
      <c r="AB1385" s="749">
        <f t="shared" si="197"/>
        <v>619145.06707026041</v>
      </c>
      <c r="AC1385" s="714"/>
    </row>
    <row r="1386" spans="1:29" x14ac:dyDescent="0.25">
      <c r="A1386" s="713"/>
      <c r="B1386" s="714" t="s">
        <v>2180</v>
      </c>
      <c r="C1386" s="676" t="s">
        <v>40</v>
      </c>
      <c r="D1386" s="676" t="s">
        <v>349</v>
      </c>
      <c r="E1386" s="680">
        <v>44958</v>
      </c>
      <c r="F1386" s="676">
        <v>672</v>
      </c>
      <c r="G1386" s="676" t="s">
        <v>59</v>
      </c>
      <c r="H1386" s="676" t="s">
        <v>3</v>
      </c>
      <c r="I1386" s="676" t="s">
        <v>44</v>
      </c>
      <c r="J1386" s="676" t="s">
        <v>85</v>
      </c>
      <c r="K1386" s="676">
        <v>147</v>
      </c>
      <c r="L1386" s="690" t="s">
        <v>54</v>
      </c>
      <c r="M1386" s="691">
        <v>0</v>
      </c>
      <c r="N1386" s="690">
        <v>16</v>
      </c>
      <c r="O1386" s="691">
        <v>0</v>
      </c>
      <c r="P1386" s="690">
        <v>148.2180951299558</v>
      </c>
      <c r="Q1386" s="738">
        <f t="shared" si="189"/>
        <v>0</v>
      </c>
      <c r="R1386" s="677">
        <f t="shared" si="190"/>
        <v>1593640.9588372847</v>
      </c>
      <c r="S1386" s="739">
        <f t="shared" si="191"/>
        <v>1593640.9588372847</v>
      </c>
      <c r="T1386" s="738">
        <v>69.25</v>
      </c>
      <c r="U1386" s="677">
        <f t="shared" si="192"/>
        <v>744576</v>
      </c>
      <c r="V1386" s="739">
        <f t="shared" si="193"/>
        <v>849064.95883728471</v>
      </c>
      <c r="W1386" s="740">
        <v>55.7</v>
      </c>
      <c r="X1386" s="678">
        <f t="shared" si="194"/>
        <v>598886.40000000002</v>
      </c>
      <c r="Y1386" s="700">
        <f t="shared" si="195"/>
        <v>994754.55883728468</v>
      </c>
      <c r="Z1386" s="740">
        <v>92.430648861364247</v>
      </c>
      <c r="AA1386" s="678">
        <f t="shared" si="196"/>
        <v>993814.33655738842</v>
      </c>
      <c r="AB1386" s="741">
        <f t="shared" si="197"/>
        <v>599826.62227989628</v>
      </c>
      <c r="AC1386" s="714"/>
    </row>
    <row r="1387" spans="1:29" x14ac:dyDescent="0.25">
      <c r="A1387" s="713"/>
      <c r="B1387" s="729" t="s">
        <v>2180</v>
      </c>
      <c r="C1387" s="545" t="s">
        <v>40</v>
      </c>
      <c r="D1387" s="545" t="s">
        <v>349</v>
      </c>
      <c r="E1387" s="681">
        <v>44986</v>
      </c>
      <c r="F1387" s="545">
        <v>744</v>
      </c>
      <c r="G1387" s="545" t="s">
        <v>59</v>
      </c>
      <c r="H1387" s="545" t="s">
        <v>3</v>
      </c>
      <c r="I1387" s="545" t="s">
        <v>44</v>
      </c>
      <c r="J1387" s="545" t="s">
        <v>85</v>
      </c>
      <c r="K1387" s="545">
        <v>147</v>
      </c>
      <c r="L1387" s="725" t="s">
        <v>54</v>
      </c>
      <c r="M1387" s="695">
        <v>0</v>
      </c>
      <c r="N1387" s="725">
        <v>16</v>
      </c>
      <c r="O1387" s="695">
        <v>0</v>
      </c>
      <c r="P1387" s="725">
        <v>148.2180951299558</v>
      </c>
      <c r="Q1387" s="742">
        <f t="shared" si="189"/>
        <v>0</v>
      </c>
      <c r="R1387" s="603">
        <f t="shared" si="190"/>
        <v>1764388.2044269938</v>
      </c>
      <c r="S1387" s="743">
        <f t="shared" si="191"/>
        <v>1764388.2044269938</v>
      </c>
      <c r="T1387" s="742">
        <v>69.3</v>
      </c>
      <c r="U1387" s="603">
        <f t="shared" si="192"/>
        <v>824947.19999999995</v>
      </c>
      <c r="V1387" s="743">
        <f t="shared" si="193"/>
        <v>939441.0044269939</v>
      </c>
      <c r="W1387" s="744">
        <v>55.7</v>
      </c>
      <c r="X1387" s="604">
        <f t="shared" si="194"/>
        <v>663052.80000000005</v>
      </c>
      <c r="Y1387" s="701">
        <f t="shared" si="195"/>
        <v>1101335.4044269938</v>
      </c>
      <c r="Z1387" s="744">
        <v>89.053218420260009</v>
      </c>
      <c r="AA1387" s="604">
        <f t="shared" si="196"/>
        <v>1060089.5120747751</v>
      </c>
      <c r="AB1387" s="745">
        <f t="shared" si="197"/>
        <v>704298.69235221879</v>
      </c>
      <c r="AC1387" s="714"/>
    </row>
    <row r="1388" spans="1:29" x14ac:dyDescent="0.25">
      <c r="A1388" s="713"/>
      <c r="B1388" s="730" t="s">
        <v>2182</v>
      </c>
      <c r="C1388" s="546" t="s">
        <v>40</v>
      </c>
      <c r="D1388" s="546" t="s">
        <v>478</v>
      </c>
      <c r="E1388" s="682">
        <v>44927</v>
      </c>
      <c r="F1388" s="546">
        <v>744</v>
      </c>
      <c r="G1388" s="546" t="s">
        <v>59</v>
      </c>
      <c r="H1388" s="546" t="s">
        <v>3</v>
      </c>
      <c r="I1388" s="546" t="s">
        <v>44</v>
      </c>
      <c r="J1388" s="546" t="s">
        <v>85</v>
      </c>
      <c r="K1388" s="546">
        <v>146</v>
      </c>
      <c r="L1388" s="726" t="s">
        <v>54</v>
      </c>
      <c r="M1388" s="696">
        <v>0</v>
      </c>
      <c r="N1388" s="726">
        <v>3</v>
      </c>
      <c r="O1388" s="696">
        <v>0</v>
      </c>
      <c r="P1388" s="726">
        <v>147.20980876852752</v>
      </c>
      <c r="Q1388" s="746">
        <f t="shared" si="189"/>
        <v>0</v>
      </c>
      <c r="R1388" s="606">
        <f t="shared" si="190"/>
        <v>328572.29317135341</v>
      </c>
      <c r="S1388" s="747">
        <f t="shared" si="191"/>
        <v>328572.29317135341</v>
      </c>
      <c r="T1388" s="746">
        <v>68.72</v>
      </c>
      <c r="U1388" s="606">
        <f t="shared" si="192"/>
        <v>153383.04000000001</v>
      </c>
      <c r="V1388" s="747">
        <f t="shared" si="193"/>
        <v>175189.2531713534</v>
      </c>
      <c r="W1388" s="748">
        <v>55.7</v>
      </c>
      <c r="X1388" s="607">
        <f t="shared" si="194"/>
        <v>124322.40000000001</v>
      </c>
      <c r="Y1388" s="702">
        <f t="shared" si="195"/>
        <v>204249.89317135338</v>
      </c>
      <c r="Z1388" s="748">
        <v>96.206580759134184</v>
      </c>
      <c r="AA1388" s="607">
        <f t="shared" si="196"/>
        <v>214733.08825438749</v>
      </c>
      <c r="AB1388" s="749">
        <f t="shared" si="197"/>
        <v>113839.20491696591</v>
      </c>
      <c r="AC1388" s="714"/>
    </row>
    <row r="1389" spans="1:29" x14ac:dyDescent="0.25">
      <c r="A1389" s="713"/>
      <c r="B1389" s="714" t="s">
        <v>2182</v>
      </c>
      <c r="C1389" s="676" t="s">
        <v>40</v>
      </c>
      <c r="D1389" s="676" t="s">
        <v>478</v>
      </c>
      <c r="E1389" s="680">
        <v>44958</v>
      </c>
      <c r="F1389" s="676">
        <v>672</v>
      </c>
      <c r="G1389" s="676" t="s">
        <v>59</v>
      </c>
      <c r="H1389" s="676" t="s">
        <v>3</v>
      </c>
      <c r="I1389" s="676" t="s">
        <v>44</v>
      </c>
      <c r="J1389" s="676" t="s">
        <v>85</v>
      </c>
      <c r="K1389" s="676">
        <v>146</v>
      </c>
      <c r="L1389" s="690" t="s">
        <v>54</v>
      </c>
      <c r="M1389" s="691">
        <v>0</v>
      </c>
      <c r="N1389" s="690">
        <v>3</v>
      </c>
      <c r="O1389" s="691">
        <v>0</v>
      </c>
      <c r="P1389" s="690">
        <v>147.20980876852752</v>
      </c>
      <c r="Q1389" s="738">
        <f t="shared" si="189"/>
        <v>0</v>
      </c>
      <c r="R1389" s="677">
        <f t="shared" si="190"/>
        <v>296774.97447735147</v>
      </c>
      <c r="S1389" s="739">
        <f t="shared" si="191"/>
        <v>296774.97447735147</v>
      </c>
      <c r="T1389" s="738">
        <v>69.25</v>
      </c>
      <c r="U1389" s="677">
        <f t="shared" si="192"/>
        <v>139608</v>
      </c>
      <c r="V1389" s="739">
        <f t="shared" si="193"/>
        <v>157166.97447735147</v>
      </c>
      <c r="W1389" s="740">
        <v>55.7</v>
      </c>
      <c r="X1389" s="678">
        <f t="shared" si="194"/>
        <v>112291.20000000001</v>
      </c>
      <c r="Y1389" s="700">
        <f t="shared" si="195"/>
        <v>184483.77447735146</v>
      </c>
      <c r="Z1389" s="740">
        <v>92.430648861364247</v>
      </c>
      <c r="AA1389" s="678">
        <f t="shared" si="196"/>
        <v>186340.18810451034</v>
      </c>
      <c r="AB1389" s="741">
        <f t="shared" si="197"/>
        <v>110434.78637284113</v>
      </c>
      <c r="AC1389" s="714"/>
    </row>
    <row r="1390" spans="1:29" x14ac:dyDescent="0.25">
      <c r="A1390" s="713"/>
      <c r="B1390" s="729" t="s">
        <v>2182</v>
      </c>
      <c r="C1390" s="545" t="s">
        <v>40</v>
      </c>
      <c r="D1390" s="545" t="s">
        <v>478</v>
      </c>
      <c r="E1390" s="681">
        <v>44986</v>
      </c>
      <c r="F1390" s="545">
        <v>744</v>
      </c>
      <c r="G1390" s="545" t="s">
        <v>59</v>
      </c>
      <c r="H1390" s="545" t="s">
        <v>3</v>
      </c>
      <c r="I1390" s="545" t="s">
        <v>44</v>
      </c>
      <c r="J1390" s="545" t="s">
        <v>85</v>
      </c>
      <c r="K1390" s="545">
        <v>146</v>
      </c>
      <c r="L1390" s="725" t="s">
        <v>54</v>
      </c>
      <c r="M1390" s="695">
        <v>0</v>
      </c>
      <c r="N1390" s="725">
        <v>3</v>
      </c>
      <c r="O1390" s="695">
        <v>0</v>
      </c>
      <c r="P1390" s="725">
        <v>147.20980876852752</v>
      </c>
      <c r="Q1390" s="742">
        <f t="shared" si="189"/>
        <v>0</v>
      </c>
      <c r="R1390" s="603">
        <f t="shared" si="190"/>
        <v>328572.29317135341</v>
      </c>
      <c r="S1390" s="743">
        <f t="shared" si="191"/>
        <v>328572.29317135341</v>
      </c>
      <c r="T1390" s="742">
        <v>69.3</v>
      </c>
      <c r="U1390" s="603">
        <f t="shared" si="192"/>
        <v>154677.6</v>
      </c>
      <c r="V1390" s="743">
        <f t="shared" si="193"/>
        <v>173894.6931713534</v>
      </c>
      <c r="W1390" s="744">
        <v>55.7</v>
      </c>
      <c r="X1390" s="604">
        <f t="shared" si="194"/>
        <v>124322.40000000001</v>
      </c>
      <c r="Y1390" s="701">
        <f t="shared" si="195"/>
        <v>204249.89317135338</v>
      </c>
      <c r="Z1390" s="744">
        <v>89.053218420260009</v>
      </c>
      <c r="AA1390" s="604">
        <f t="shared" si="196"/>
        <v>198766.78351402035</v>
      </c>
      <c r="AB1390" s="745">
        <f t="shared" si="197"/>
        <v>129805.50965733305</v>
      </c>
      <c r="AC1390" s="714"/>
    </row>
    <row r="1391" spans="1:29" x14ac:dyDescent="0.25">
      <c r="A1391" s="713"/>
      <c r="B1391" s="730" t="s">
        <v>2184</v>
      </c>
      <c r="C1391" s="546" t="s">
        <v>40</v>
      </c>
      <c r="D1391" s="546" t="s">
        <v>2175</v>
      </c>
      <c r="E1391" s="682">
        <v>44927</v>
      </c>
      <c r="F1391" s="546">
        <v>744</v>
      </c>
      <c r="G1391" s="546" t="s">
        <v>59</v>
      </c>
      <c r="H1391" s="546" t="s">
        <v>3</v>
      </c>
      <c r="I1391" s="546" t="s">
        <v>44</v>
      </c>
      <c r="J1391" s="546" t="s">
        <v>85</v>
      </c>
      <c r="K1391" s="546">
        <v>145.5</v>
      </c>
      <c r="L1391" s="726" t="s">
        <v>54</v>
      </c>
      <c r="M1391" s="696">
        <v>0</v>
      </c>
      <c r="N1391" s="726">
        <v>20</v>
      </c>
      <c r="O1391" s="696">
        <v>0</v>
      </c>
      <c r="P1391" s="726">
        <v>146.70566558781337</v>
      </c>
      <c r="Q1391" s="746">
        <f t="shared" si="189"/>
        <v>0</v>
      </c>
      <c r="R1391" s="606">
        <f t="shared" si="190"/>
        <v>2182980.3039466632</v>
      </c>
      <c r="S1391" s="747">
        <f t="shared" si="191"/>
        <v>2182980.3039466632</v>
      </c>
      <c r="T1391" s="746">
        <v>68.72</v>
      </c>
      <c r="U1391" s="606">
        <f t="shared" si="192"/>
        <v>1022553.6</v>
      </c>
      <c r="V1391" s="747">
        <f t="shared" si="193"/>
        <v>1160426.7039466631</v>
      </c>
      <c r="W1391" s="748">
        <v>55.7</v>
      </c>
      <c r="X1391" s="607">
        <f t="shared" si="194"/>
        <v>828816</v>
      </c>
      <c r="Y1391" s="702">
        <f t="shared" si="195"/>
        <v>1354164.3039466632</v>
      </c>
      <c r="Z1391" s="748">
        <v>96.206580759134184</v>
      </c>
      <c r="AA1391" s="607">
        <f t="shared" si="196"/>
        <v>1431553.9216959167</v>
      </c>
      <c r="AB1391" s="749">
        <f t="shared" si="197"/>
        <v>751426.38225074648</v>
      </c>
      <c r="AC1391" s="714"/>
    </row>
    <row r="1392" spans="1:29" x14ac:dyDescent="0.25">
      <c r="A1392" s="713"/>
      <c r="B1392" s="714" t="s">
        <v>2184</v>
      </c>
      <c r="C1392" s="676" t="s">
        <v>40</v>
      </c>
      <c r="D1392" s="676" t="s">
        <v>2175</v>
      </c>
      <c r="E1392" s="680">
        <v>44958</v>
      </c>
      <c r="F1392" s="676">
        <v>672</v>
      </c>
      <c r="G1392" s="676" t="s">
        <v>59</v>
      </c>
      <c r="H1392" s="676" t="s">
        <v>3</v>
      </c>
      <c r="I1392" s="676" t="s">
        <v>44</v>
      </c>
      <c r="J1392" s="676" t="s">
        <v>85</v>
      </c>
      <c r="K1392" s="676">
        <v>145.5</v>
      </c>
      <c r="L1392" s="690" t="s">
        <v>54</v>
      </c>
      <c r="M1392" s="691">
        <v>0</v>
      </c>
      <c r="N1392" s="690">
        <v>20</v>
      </c>
      <c r="O1392" s="691">
        <v>0</v>
      </c>
      <c r="P1392" s="690">
        <v>146.70566558781337</v>
      </c>
      <c r="Q1392" s="738">
        <f t="shared" si="189"/>
        <v>0</v>
      </c>
      <c r="R1392" s="677">
        <f t="shared" si="190"/>
        <v>1971724.1455002117</v>
      </c>
      <c r="S1392" s="739">
        <f t="shared" si="191"/>
        <v>1971724.1455002117</v>
      </c>
      <c r="T1392" s="738">
        <v>69.25</v>
      </c>
      <c r="U1392" s="677">
        <f t="shared" si="192"/>
        <v>930720</v>
      </c>
      <c r="V1392" s="739">
        <f t="shared" si="193"/>
        <v>1041004.1455002117</v>
      </c>
      <c r="W1392" s="740">
        <v>55.7</v>
      </c>
      <c r="X1392" s="678">
        <f t="shared" si="194"/>
        <v>748608</v>
      </c>
      <c r="Y1392" s="700">
        <f t="shared" si="195"/>
        <v>1223116.1455002117</v>
      </c>
      <c r="Z1392" s="740">
        <v>92.430648861364247</v>
      </c>
      <c r="AA1392" s="678">
        <f t="shared" si="196"/>
        <v>1242267.9206967354</v>
      </c>
      <c r="AB1392" s="741">
        <f t="shared" si="197"/>
        <v>729456.22480347636</v>
      </c>
      <c r="AC1392" s="714"/>
    </row>
    <row r="1393" spans="1:29" x14ac:dyDescent="0.25">
      <c r="A1393" s="713"/>
      <c r="B1393" s="729" t="s">
        <v>2184</v>
      </c>
      <c r="C1393" s="545" t="s">
        <v>40</v>
      </c>
      <c r="D1393" s="545" t="s">
        <v>2175</v>
      </c>
      <c r="E1393" s="681">
        <v>44986</v>
      </c>
      <c r="F1393" s="545">
        <v>744</v>
      </c>
      <c r="G1393" s="545" t="s">
        <v>59</v>
      </c>
      <c r="H1393" s="545" t="s">
        <v>3</v>
      </c>
      <c r="I1393" s="545" t="s">
        <v>44</v>
      </c>
      <c r="J1393" s="545" t="s">
        <v>85</v>
      </c>
      <c r="K1393" s="545">
        <v>145.5</v>
      </c>
      <c r="L1393" s="725" t="s">
        <v>54</v>
      </c>
      <c r="M1393" s="695">
        <v>0</v>
      </c>
      <c r="N1393" s="725">
        <v>20</v>
      </c>
      <c r="O1393" s="695">
        <v>0</v>
      </c>
      <c r="P1393" s="725">
        <v>146.70566558781337</v>
      </c>
      <c r="Q1393" s="742">
        <f t="shared" si="189"/>
        <v>0</v>
      </c>
      <c r="R1393" s="603">
        <f t="shared" si="190"/>
        <v>2182980.3039466632</v>
      </c>
      <c r="S1393" s="743">
        <f t="shared" si="191"/>
        <v>2182980.3039466632</v>
      </c>
      <c r="T1393" s="742">
        <v>69.3</v>
      </c>
      <c r="U1393" s="603">
        <f t="shared" si="192"/>
        <v>1031184</v>
      </c>
      <c r="V1393" s="743">
        <f t="shared" si="193"/>
        <v>1151796.3039466632</v>
      </c>
      <c r="W1393" s="744">
        <v>55.7</v>
      </c>
      <c r="X1393" s="604">
        <f t="shared" si="194"/>
        <v>828816</v>
      </c>
      <c r="Y1393" s="701">
        <f t="shared" si="195"/>
        <v>1354164.3039466632</v>
      </c>
      <c r="Z1393" s="744">
        <v>89.053218420260009</v>
      </c>
      <c r="AA1393" s="604">
        <f t="shared" si="196"/>
        <v>1325111.8900934688</v>
      </c>
      <c r="AB1393" s="745">
        <f t="shared" si="197"/>
        <v>857868.41385319433</v>
      </c>
      <c r="AC1393" s="714"/>
    </row>
    <row r="1394" spans="1:29" x14ac:dyDescent="0.25">
      <c r="A1394" s="713"/>
      <c r="B1394" s="731" t="s">
        <v>2191</v>
      </c>
      <c r="C1394" s="547" t="s">
        <v>40</v>
      </c>
      <c r="D1394" s="547" t="s">
        <v>2147</v>
      </c>
      <c r="E1394" s="683">
        <v>44805</v>
      </c>
      <c r="F1394" s="547">
        <v>720</v>
      </c>
      <c r="G1394" s="547" t="s">
        <v>58</v>
      </c>
      <c r="H1394" s="547" t="s">
        <v>3</v>
      </c>
      <c r="I1394" s="547" t="s">
        <v>44</v>
      </c>
      <c r="J1394" s="547" t="s">
        <v>84</v>
      </c>
      <c r="K1394" s="547">
        <v>71</v>
      </c>
      <c r="L1394" s="727" t="s">
        <v>54</v>
      </c>
      <c r="M1394" s="697">
        <v>1</v>
      </c>
      <c r="N1394" s="727">
        <v>0</v>
      </c>
      <c r="O1394" s="697">
        <v>71</v>
      </c>
      <c r="P1394" s="727">
        <v>0</v>
      </c>
      <c r="Q1394" s="750">
        <f t="shared" si="189"/>
        <v>51120</v>
      </c>
      <c r="R1394" s="608">
        <f t="shared" si="190"/>
        <v>0</v>
      </c>
      <c r="S1394" s="751">
        <f t="shared" si="191"/>
        <v>-51120</v>
      </c>
      <c r="T1394" s="750">
        <v>56.08</v>
      </c>
      <c r="U1394" s="608">
        <f t="shared" si="192"/>
        <v>-40377.599999999999</v>
      </c>
      <c r="V1394" s="751">
        <f t="shared" si="193"/>
        <v>-10742.400000000001</v>
      </c>
      <c r="W1394" s="752">
        <v>56.08</v>
      </c>
      <c r="X1394" s="609">
        <f t="shared" si="194"/>
        <v>-40377.599999999999</v>
      </c>
      <c r="Y1394" s="703">
        <f t="shared" si="195"/>
        <v>-10742.400000000001</v>
      </c>
      <c r="Z1394" s="752">
        <v>56.08</v>
      </c>
      <c r="AA1394" s="609">
        <f t="shared" si="196"/>
        <v>-40377.599999999999</v>
      </c>
      <c r="AB1394" s="753">
        <f t="shared" si="197"/>
        <v>-10742.400000000001</v>
      </c>
      <c r="AC1394" s="714"/>
    </row>
    <row r="1395" spans="1:29" x14ac:dyDescent="0.25">
      <c r="A1395" s="713"/>
      <c r="B1395" s="731" t="s">
        <v>2192</v>
      </c>
      <c r="C1395" s="547" t="s">
        <v>40</v>
      </c>
      <c r="D1395" s="547" t="s">
        <v>513</v>
      </c>
      <c r="E1395" s="683">
        <v>44805</v>
      </c>
      <c r="F1395" s="547">
        <v>720</v>
      </c>
      <c r="G1395" s="547" t="s">
        <v>58</v>
      </c>
      <c r="H1395" s="547" t="s">
        <v>3</v>
      </c>
      <c r="I1395" s="547" t="s">
        <v>44</v>
      </c>
      <c r="J1395" s="547" t="s">
        <v>84</v>
      </c>
      <c r="K1395" s="547">
        <v>73</v>
      </c>
      <c r="L1395" s="727" t="s">
        <v>54</v>
      </c>
      <c r="M1395" s="697">
        <v>2</v>
      </c>
      <c r="N1395" s="727">
        <v>0</v>
      </c>
      <c r="O1395" s="697">
        <v>73</v>
      </c>
      <c r="P1395" s="727">
        <v>0</v>
      </c>
      <c r="Q1395" s="750">
        <f t="shared" si="189"/>
        <v>105120</v>
      </c>
      <c r="R1395" s="608">
        <f t="shared" si="190"/>
        <v>0</v>
      </c>
      <c r="S1395" s="751">
        <f t="shared" si="191"/>
        <v>-105120</v>
      </c>
      <c r="T1395" s="750">
        <v>56.08</v>
      </c>
      <c r="U1395" s="608">
        <f t="shared" si="192"/>
        <v>-80755.199999999997</v>
      </c>
      <c r="V1395" s="751">
        <f t="shared" si="193"/>
        <v>-24364.800000000003</v>
      </c>
      <c r="W1395" s="752">
        <v>56.08</v>
      </c>
      <c r="X1395" s="609">
        <f t="shared" si="194"/>
        <v>-80755.199999999997</v>
      </c>
      <c r="Y1395" s="703">
        <f t="shared" si="195"/>
        <v>-24364.800000000003</v>
      </c>
      <c r="Z1395" s="752">
        <v>56.08</v>
      </c>
      <c r="AA1395" s="609">
        <f t="shared" si="196"/>
        <v>-80755.199999999997</v>
      </c>
      <c r="AB1395" s="753">
        <f t="shared" si="197"/>
        <v>-24364.800000000003</v>
      </c>
      <c r="AC1395" s="714"/>
    </row>
    <row r="1396" spans="1:29" x14ac:dyDescent="0.25">
      <c r="A1396" s="713"/>
      <c r="B1396" s="731" t="s">
        <v>2194</v>
      </c>
      <c r="C1396" s="547" t="s">
        <v>40</v>
      </c>
      <c r="D1396" s="547" t="s">
        <v>2017</v>
      </c>
      <c r="E1396" s="683">
        <v>44774</v>
      </c>
      <c r="F1396" s="547">
        <v>744</v>
      </c>
      <c r="G1396" s="547" t="s">
        <v>58</v>
      </c>
      <c r="H1396" s="547" t="s">
        <v>3</v>
      </c>
      <c r="I1396" s="547" t="s">
        <v>44</v>
      </c>
      <c r="J1396" s="547" t="s">
        <v>84</v>
      </c>
      <c r="K1396" s="547">
        <v>79</v>
      </c>
      <c r="L1396" s="727" t="s">
        <v>54</v>
      </c>
      <c r="M1396" s="697">
        <v>5</v>
      </c>
      <c r="N1396" s="727">
        <v>0</v>
      </c>
      <c r="O1396" s="697">
        <v>79</v>
      </c>
      <c r="P1396" s="727">
        <v>0</v>
      </c>
      <c r="Q1396" s="750">
        <f t="shared" si="189"/>
        <v>293880</v>
      </c>
      <c r="R1396" s="608">
        <f t="shared" si="190"/>
        <v>0</v>
      </c>
      <c r="S1396" s="751">
        <f t="shared" si="191"/>
        <v>-293880</v>
      </c>
      <c r="T1396" s="750">
        <v>76.900000000000006</v>
      </c>
      <c r="U1396" s="608">
        <f t="shared" si="192"/>
        <v>-286068</v>
      </c>
      <c r="V1396" s="751">
        <f t="shared" si="193"/>
        <v>-7812</v>
      </c>
      <c r="W1396" s="752">
        <v>76.900000000000006</v>
      </c>
      <c r="X1396" s="609">
        <f t="shared" si="194"/>
        <v>-286068</v>
      </c>
      <c r="Y1396" s="703">
        <f t="shared" si="195"/>
        <v>-7812</v>
      </c>
      <c r="Z1396" s="752">
        <v>76.900000000000006</v>
      </c>
      <c r="AA1396" s="609">
        <f t="shared" si="196"/>
        <v>-286068</v>
      </c>
      <c r="AB1396" s="753">
        <f t="shared" si="197"/>
        <v>-7812</v>
      </c>
      <c r="AC1396" s="714"/>
    </row>
    <row r="1397" spans="1:29" x14ac:dyDescent="0.25">
      <c r="A1397" s="713"/>
      <c r="B1397" s="731" t="s">
        <v>2195</v>
      </c>
      <c r="C1397" s="547" t="s">
        <v>40</v>
      </c>
      <c r="D1397" s="547" t="s">
        <v>2147</v>
      </c>
      <c r="E1397" s="683">
        <v>44805</v>
      </c>
      <c r="F1397" s="547">
        <v>720</v>
      </c>
      <c r="G1397" s="547" t="s">
        <v>58</v>
      </c>
      <c r="H1397" s="547" t="s">
        <v>3</v>
      </c>
      <c r="I1397" s="547" t="s">
        <v>44</v>
      </c>
      <c r="J1397" s="547" t="s">
        <v>84</v>
      </c>
      <c r="K1397" s="547">
        <v>73</v>
      </c>
      <c r="L1397" s="727" t="s">
        <v>54</v>
      </c>
      <c r="M1397" s="697">
        <v>1</v>
      </c>
      <c r="N1397" s="727">
        <v>0</v>
      </c>
      <c r="O1397" s="697">
        <v>73</v>
      </c>
      <c r="P1397" s="727">
        <v>0</v>
      </c>
      <c r="Q1397" s="750">
        <f t="shared" si="189"/>
        <v>52560</v>
      </c>
      <c r="R1397" s="608">
        <f t="shared" si="190"/>
        <v>0</v>
      </c>
      <c r="S1397" s="751">
        <f t="shared" si="191"/>
        <v>-52560</v>
      </c>
      <c r="T1397" s="750">
        <v>56.08</v>
      </c>
      <c r="U1397" s="608">
        <f t="shared" si="192"/>
        <v>-40377.599999999999</v>
      </c>
      <c r="V1397" s="751">
        <f t="shared" si="193"/>
        <v>-12182.400000000001</v>
      </c>
      <c r="W1397" s="752">
        <v>56.08</v>
      </c>
      <c r="X1397" s="609">
        <f t="shared" si="194"/>
        <v>-40377.599999999999</v>
      </c>
      <c r="Y1397" s="703">
        <f t="shared" si="195"/>
        <v>-12182.400000000001</v>
      </c>
      <c r="Z1397" s="752">
        <v>56.08</v>
      </c>
      <c r="AA1397" s="609">
        <f t="shared" si="196"/>
        <v>-40377.599999999999</v>
      </c>
      <c r="AB1397" s="753">
        <f t="shared" si="197"/>
        <v>-12182.400000000001</v>
      </c>
      <c r="AC1397" s="714"/>
    </row>
    <row r="1398" spans="1:29" x14ac:dyDescent="0.25">
      <c r="A1398" s="713"/>
      <c r="B1398" s="731" t="s">
        <v>2199</v>
      </c>
      <c r="C1398" s="547" t="s">
        <v>40</v>
      </c>
      <c r="D1398" s="547" t="s">
        <v>2175</v>
      </c>
      <c r="E1398" s="683">
        <v>44805</v>
      </c>
      <c r="F1398" s="547">
        <v>720</v>
      </c>
      <c r="G1398" s="547" t="s">
        <v>58</v>
      </c>
      <c r="H1398" s="547" t="s">
        <v>3</v>
      </c>
      <c r="I1398" s="547" t="s">
        <v>44</v>
      </c>
      <c r="J1398" s="547" t="s">
        <v>84</v>
      </c>
      <c r="K1398" s="547">
        <v>69</v>
      </c>
      <c r="L1398" s="727" t="s">
        <v>54</v>
      </c>
      <c r="M1398" s="697">
        <v>5</v>
      </c>
      <c r="N1398" s="727">
        <v>0</v>
      </c>
      <c r="O1398" s="697">
        <v>69</v>
      </c>
      <c r="P1398" s="727">
        <v>0</v>
      </c>
      <c r="Q1398" s="750">
        <f t="shared" si="189"/>
        <v>248400</v>
      </c>
      <c r="R1398" s="608">
        <f t="shared" si="190"/>
        <v>0</v>
      </c>
      <c r="S1398" s="751">
        <f t="shared" si="191"/>
        <v>-248400</v>
      </c>
      <c r="T1398" s="750">
        <v>56.08</v>
      </c>
      <c r="U1398" s="608">
        <f t="shared" si="192"/>
        <v>-201888</v>
      </c>
      <c r="V1398" s="751">
        <f t="shared" si="193"/>
        <v>-46512</v>
      </c>
      <c r="W1398" s="752">
        <v>56.08</v>
      </c>
      <c r="X1398" s="609">
        <f t="shared" si="194"/>
        <v>-201888</v>
      </c>
      <c r="Y1398" s="703">
        <f t="shared" si="195"/>
        <v>-46512</v>
      </c>
      <c r="Z1398" s="752">
        <v>56.08</v>
      </c>
      <c r="AA1398" s="609">
        <f t="shared" si="196"/>
        <v>-201888</v>
      </c>
      <c r="AB1398" s="753">
        <f t="shared" si="197"/>
        <v>-46512</v>
      </c>
      <c r="AC1398" s="714"/>
    </row>
    <row r="1399" spans="1:29" x14ac:dyDescent="0.25">
      <c r="A1399" s="713"/>
      <c r="B1399" s="730" t="s">
        <v>2200</v>
      </c>
      <c r="C1399" s="546" t="s">
        <v>40</v>
      </c>
      <c r="D1399" s="546" t="s">
        <v>404</v>
      </c>
      <c r="E1399" s="682">
        <v>44927</v>
      </c>
      <c r="F1399" s="546">
        <v>744</v>
      </c>
      <c r="G1399" s="546" t="s">
        <v>59</v>
      </c>
      <c r="H1399" s="546" t="s">
        <v>3</v>
      </c>
      <c r="I1399" s="546" t="s">
        <v>44</v>
      </c>
      <c r="J1399" s="546" t="s">
        <v>85</v>
      </c>
      <c r="K1399" s="546">
        <v>131</v>
      </c>
      <c r="L1399" s="726" t="s">
        <v>54</v>
      </c>
      <c r="M1399" s="696">
        <v>0</v>
      </c>
      <c r="N1399" s="726">
        <v>5</v>
      </c>
      <c r="O1399" s="696">
        <v>0</v>
      </c>
      <c r="P1399" s="726">
        <v>132.08551334710344</v>
      </c>
      <c r="Q1399" s="746">
        <f t="shared" si="189"/>
        <v>0</v>
      </c>
      <c r="R1399" s="606">
        <f t="shared" si="190"/>
        <v>491358.1096512248</v>
      </c>
      <c r="S1399" s="747">
        <f t="shared" si="191"/>
        <v>491358.1096512248</v>
      </c>
      <c r="T1399" s="746">
        <v>68.72</v>
      </c>
      <c r="U1399" s="606">
        <f t="shared" si="192"/>
        <v>255638.39999999999</v>
      </c>
      <c r="V1399" s="747">
        <f t="shared" si="193"/>
        <v>235719.70965122481</v>
      </c>
      <c r="W1399" s="748">
        <v>55.7</v>
      </c>
      <c r="X1399" s="607">
        <f t="shared" si="194"/>
        <v>207204</v>
      </c>
      <c r="Y1399" s="702">
        <f t="shared" si="195"/>
        <v>284154.1096512248</v>
      </c>
      <c r="Z1399" s="748">
        <v>96.206580759134184</v>
      </c>
      <c r="AA1399" s="607">
        <f t="shared" si="196"/>
        <v>357888.48042397917</v>
      </c>
      <c r="AB1399" s="749">
        <f t="shared" si="197"/>
        <v>133469.62922724563</v>
      </c>
      <c r="AC1399" s="714"/>
    </row>
    <row r="1400" spans="1:29" x14ac:dyDescent="0.25">
      <c r="A1400" s="713"/>
      <c r="B1400" s="714" t="s">
        <v>2200</v>
      </c>
      <c r="C1400" s="676" t="s">
        <v>40</v>
      </c>
      <c r="D1400" s="676" t="s">
        <v>404</v>
      </c>
      <c r="E1400" s="680">
        <v>44958</v>
      </c>
      <c r="F1400" s="676">
        <v>672</v>
      </c>
      <c r="G1400" s="676" t="s">
        <v>59</v>
      </c>
      <c r="H1400" s="676" t="s">
        <v>3</v>
      </c>
      <c r="I1400" s="676" t="s">
        <v>44</v>
      </c>
      <c r="J1400" s="676" t="s">
        <v>85</v>
      </c>
      <c r="K1400" s="676">
        <v>131</v>
      </c>
      <c r="L1400" s="690" t="s">
        <v>54</v>
      </c>
      <c r="M1400" s="691">
        <v>0</v>
      </c>
      <c r="N1400" s="690">
        <v>5</v>
      </c>
      <c r="O1400" s="691">
        <v>0</v>
      </c>
      <c r="P1400" s="690">
        <v>132.08551334710344</v>
      </c>
      <c r="Q1400" s="738">
        <f t="shared" si="189"/>
        <v>0</v>
      </c>
      <c r="R1400" s="677">
        <f t="shared" si="190"/>
        <v>443807.32484626758</v>
      </c>
      <c r="S1400" s="739">
        <f t="shared" si="191"/>
        <v>443807.32484626758</v>
      </c>
      <c r="T1400" s="738">
        <v>69.25</v>
      </c>
      <c r="U1400" s="677">
        <f t="shared" si="192"/>
        <v>232680</v>
      </c>
      <c r="V1400" s="739">
        <f t="shared" si="193"/>
        <v>211127.32484626758</v>
      </c>
      <c r="W1400" s="740">
        <v>55.7</v>
      </c>
      <c r="X1400" s="678">
        <f t="shared" si="194"/>
        <v>187152</v>
      </c>
      <c r="Y1400" s="700">
        <f t="shared" si="195"/>
        <v>256655.32484626758</v>
      </c>
      <c r="Z1400" s="740">
        <v>92.430648861364247</v>
      </c>
      <c r="AA1400" s="678">
        <f t="shared" si="196"/>
        <v>310566.98017418385</v>
      </c>
      <c r="AB1400" s="741">
        <f t="shared" si="197"/>
        <v>133240.34467208374</v>
      </c>
      <c r="AC1400" s="714"/>
    </row>
    <row r="1401" spans="1:29" x14ac:dyDescent="0.25">
      <c r="A1401" s="713"/>
      <c r="B1401" s="714" t="s">
        <v>2200</v>
      </c>
      <c r="C1401" s="676" t="s">
        <v>40</v>
      </c>
      <c r="D1401" s="676" t="s">
        <v>404</v>
      </c>
      <c r="E1401" s="680">
        <v>44986</v>
      </c>
      <c r="F1401" s="676">
        <v>744</v>
      </c>
      <c r="G1401" s="676" t="s">
        <v>59</v>
      </c>
      <c r="H1401" s="676" t="s">
        <v>3</v>
      </c>
      <c r="I1401" s="676" t="s">
        <v>44</v>
      </c>
      <c r="J1401" s="676" t="s">
        <v>85</v>
      </c>
      <c r="K1401" s="676">
        <v>131</v>
      </c>
      <c r="L1401" s="690" t="s">
        <v>54</v>
      </c>
      <c r="M1401" s="691">
        <v>0</v>
      </c>
      <c r="N1401" s="690">
        <v>5</v>
      </c>
      <c r="O1401" s="691">
        <v>0</v>
      </c>
      <c r="P1401" s="690">
        <v>132.08551334710344</v>
      </c>
      <c r="Q1401" s="738">
        <f t="shared" si="189"/>
        <v>0</v>
      </c>
      <c r="R1401" s="677">
        <f t="shared" si="190"/>
        <v>491358.1096512248</v>
      </c>
      <c r="S1401" s="739">
        <f t="shared" si="191"/>
        <v>491358.1096512248</v>
      </c>
      <c r="T1401" s="738">
        <v>69.3</v>
      </c>
      <c r="U1401" s="677">
        <f t="shared" si="192"/>
        <v>257796</v>
      </c>
      <c r="V1401" s="739">
        <f t="shared" si="193"/>
        <v>233562.1096512248</v>
      </c>
      <c r="W1401" s="740">
        <v>55.7</v>
      </c>
      <c r="X1401" s="678">
        <f t="shared" si="194"/>
        <v>207204</v>
      </c>
      <c r="Y1401" s="700">
        <f t="shared" si="195"/>
        <v>284154.1096512248</v>
      </c>
      <c r="Z1401" s="740">
        <v>89.053218420260009</v>
      </c>
      <c r="AA1401" s="678">
        <f t="shared" si="196"/>
        <v>331277.97252336721</v>
      </c>
      <c r="AB1401" s="741">
        <f t="shared" si="197"/>
        <v>160080.1371278576</v>
      </c>
      <c r="AC1401" s="714"/>
    </row>
    <row r="1402" spans="1:29" x14ac:dyDescent="0.25">
      <c r="A1402" s="713"/>
      <c r="B1402" s="714" t="s">
        <v>2200</v>
      </c>
      <c r="C1402" s="676" t="s">
        <v>40</v>
      </c>
      <c r="D1402" s="676" t="s">
        <v>404</v>
      </c>
      <c r="E1402" s="680">
        <v>45017</v>
      </c>
      <c r="F1402" s="676">
        <v>720</v>
      </c>
      <c r="G1402" s="676" t="s">
        <v>59</v>
      </c>
      <c r="H1402" s="676" t="s">
        <v>3</v>
      </c>
      <c r="I1402" s="676" t="s">
        <v>44</v>
      </c>
      <c r="J1402" s="676" t="s">
        <v>85</v>
      </c>
      <c r="K1402" s="676">
        <v>131</v>
      </c>
      <c r="L1402" s="690" t="s">
        <v>54</v>
      </c>
      <c r="M1402" s="691">
        <v>0</v>
      </c>
      <c r="N1402" s="690">
        <v>5</v>
      </c>
      <c r="O1402" s="691">
        <v>0</v>
      </c>
      <c r="P1402" s="690">
        <v>132.08551334710344</v>
      </c>
      <c r="Q1402" s="738">
        <f t="shared" si="189"/>
        <v>0</v>
      </c>
      <c r="R1402" s="677">
        <f t="shared" si="190"/>
        <v>475507.84804957238</v>
      </c>
      <c r="S1402" s="739">
        <f t="shared" si="191"/>
        <v>475507.84804957238</v>
      </c>
      <c r="T1402" s="738">
        <v>69.8</v>
      </c>
      <c r="U1402" s="677">
        <f t="shared" si="192"/>
        <v>251280</v>
      </c>
      <c r="V1402" s="739">
        <f t="shared" si="193"/>
        <v>224227.84804957238</v>
      </c>
      <c r="W1402" s="740">
        <v>55.7</v>
      </c>
      <c r="X1402" s="678">
        <f t="shared" si="194"/>
        <v>200520</v>
      </c>
      <c r="Y1402" s="700">
        <f t="shared" si="195"/>
        <v>274987.84804957238</v>
      </c>
      <c r="Z1402" s="740">
        <v>85.732008718771311</v>
      </c>
      <c r="AA1402" s="678">
        <f t="shared" si="196"/>
        <v>308635.23138757673</v>
      </c>
      <c r="AB1402" s="741">
        <f t="shared" si="197"/>
        <v>166872.61666199565</v>
      </c>
      <c r="AC1402" s="714"/>
    </row>
    <row r="1403" spans="1:29" x14ac:dyDescent="0.25">
      <c r="A1403" s="713"/>
      <c r="B1403" s="714" t="s">
        <v>2200</v>
      </c>
      <c r="C1403" s="676" t="s">
        <v>40</v>
      </c>
      <c r="D1403" s="676" t="s">
        <v>404</v>
      </c>
      <c r="E1403" s="680">
        <v>45047</v>
      </c>
      <c r="F1403" s="676">
        <v>744</v>
      </c>
      <c r="G1403" s="676" t="s">
        <v>59</v>
      </c>
      <c r="H1403" s="676" t="s">
        <v>3</v>
      </c>
      <c r="I1403" s="676" t="s">
        <v>44</v>
      </c>
      <c r="J1403" s="676" t="s">
        <v>85</v>
      </c>
      <c r="K1403" s="676">
        <v>131</v>
      </c>
      <c r="L1403" s="690" t="s">
        <v>54</v>
      </c>
      <c r="M1403" s="691">
        <v>0</v>
      </c>
      <c r="N1403" s="690">
        <v>5</v>
      </c>
      <c r="O1403" s="691">
        <v>0</v>
      </c>
      <c r="P1403" s="690">
        <v>132.08551334710344</v>
      </c>
      <c r="Q1403" s="738">
        <f t="shared" si="189"/>
        <v>0</v>
      </c>
      <c r="R1403" s="677">
        <f t="shared" si="190"/>
        <v>491358.1096512248</v>
      </c>
      <c r="S1403" s="739">
        <f t="shared" si="191"/>
        <v>491358.1096512248</v>
      </c>
      <c r="T1403" s="738">
        <v>70.2</v>
      </c>
      <c r="U1403" s="677">
        <f t="shared" si="192"/>
        <v>261144</v>
      </c>
      <c r="V1403" s="739">
        <f t="shared" si="193"/>
        <v>230214.1096512248</v>
      </c>
      <c r="W1403" s="740">
        <v>55.7</v>
      </c>
      <c r="X1403" s="678">
        <f t="shared" si="194"/>
        <v>207204</v>
      </c>
      <c r="Y1403" s="700">
        <f t="shared" si="195"/>
        <v>284154.1096512248</v>
      </c>
      <c r="Z1403" s="740">
        <v>86.223309628334476</v>
      </c>
      <c r="AA1403" s="678">
        <f t="shared" si="196"/>
        <v>320750.71181740426</v>
      </c>
      <c r="AB1403" s="741">
        <f t="shared" si="197"/>
        <v>170607.39783382055</v>
      </c>
      <c r="AC1403" s="714"/>
    </row>
    <row r="1404" spans="1:29" x14ac:dyDescent="0.25">
      <c r="A1404" s="713"/>
      <c r="B1404" s="729" t="s">
        <v>2200</v>
      </c>
      <c r="C1404" s="545" t="s">
        <v>40</v>
      </c>
      <c r="D1404" s="545" t="s">
        <v>404</v>
      </c>
      <c r="E1404" s="681">
        <v>45078</v>
      </c>
      <c r="F1404" s="545">
        <v>720</v>
      </c>
      <c r="G1404" s="545" t="s">
        <v>59</v>
      </c>
      <c r="H1404" s="545" t="s">
        <v>3</v>
      </c>
      <c r="I1404" s="545" t="s">
        <v>44</v>
      </c>
      <c r="J1404" s="545" t="s">
        <v>85</v>
      </c>
      <c r="K1404" s="545">
        <v>131</v>
      </c>
      <c r="L1404" s="725" t="s">
        <v>54</v>
      </c>
      <c r="M1404" s="695">
        <v>0</v>
      </c>
      <c r="N1404" s="725">
        <v>5</v>
      </c>
      <c r="O1404" s="695">
        <v>0</v>
      </c>
      <c r="P1404" s="725">
        <v>132.08551334710344</v>
      </c>
      <c r="Q1404" s="742">
        <f t="shared" si="189"/>
        <v>0</v>
      </c>
      <c r="R1404" s="603">
        <f t="shared" si="190"/>
        <v>475507.84804957238</v>
      </c>
      <c r="S1404" s="743">
        <f t="shared" si="191"/>
        <v>475507.84804957238</v>
      </c>
      <c r="T1404" s="742">
        <v>72.400000000000006</v>
      </c>
      <c r="U1404" s="603">
        <f t="shared" si="192"/>
        <v>260640.00000000003</v>
      </c>
      <c r="V1404" s="743">
        <f t="shared" si="193"/>
        <v>214867.84804957235</v>
      </c>
      <c r="W1404" s="744">
        <v>55.874535369068141</v>
      </c>
      <c r="X1404" s="604">
        <f t="shared" si="194"/>
        <v>201148.3273286453</v>
      </c>
      <c r="Y1404" s="701">
        <f t="shared" si="195"/>
        <v>274359.52072092704</v>
      </c>
      <c r="Z1404" s="744">
        <v>88.925464630931856</v>
      </c>
      <c r="AA1404" s="604">
        <f t="shared" si="196"/>
        <v>320131.67267135467</v>
      </c>
      <c r="AB1404" s="745">
        <f t="shared" si="197"/>
        <v>155376.17537821771</v>
      </c>
      <c r="AC1404" s="714"/>
    </row>
    <row r="1405" spans="1:29" x14ac:dyDescent="0.25">
      <c r="A1405" s="713"/>
      <c r="B1405" s="731" t="s">
        <v>2211</v>
      </c>
      <c r="C1405" s="547" t="s">
        <v>40</v>
      </c>
      <c r="D1405" s="547" t="s">
        <v>1132</v>
      </c>
      <c r="E1405" s="683">
        <v>44866</v>
      </c>
      <c r="F1405" s="547">
        <v>720</v>
      </c>
      <c r="G1405" s="547" t="s">
        <v>59</v>
      </c>
      <c r="H1405" s="547" t="s">
        <v>3</v>
      </c>
      <c r="I1405" s="547" t="s">
        <v>44</v>
      </c>
      <c r="J1405" s="547" t="s">
        <v>85</v>
      </c>
      <c r="K1405" s="547">
        <v>96</v>
      </c>
      <c r="L1405" s="727" t="s">
        <v>54</v>
      </c>
      <c r="M1405" s="697">
        <v>0</v>
      </c>
      <c r="N1405" s="727">
        <v>1</v>
      </c>
      <c r="O1405" s="697">
        <v>0</v>
      </c>
      <c r="P1405" s="727">
        <v>96</v>
      </c>
      <c r="Q1405" s="750">
        <f t="shared" si="189"/>
        <v>0</v>
      </c>
      <c r="R1405" s="608">
        <f t="shared" si="190"/>
        <v>69120</v>
      </c>
      <c r="S1405" s="751">
        <f t="shared" si="191"/>
        <v>69120</v>
      </c>
      <c r="T1405" s="750">
        <v>55.7</v>
      </c>
      <c r="U1405" s="608">
        <f t="shared" si="192"/>
        <v>40104</v>
      </c>
      <c r="V1405" s="751">
        <f t="shared" si="193"/>
        <v>29016</v>
      </c>
      <c r="W1405" s="752">
        <v>55.7</v>
      </c>
      <c r="X1405" s="609">
        <f t="shared" si="194"/>
        <v>40104</v>
      </c>
      <c r="Y1405" s="703">
        <f t="shared" si="195"/>
        <v>29016</v>
      </c>
      <c r="Z1405" s="752">
        <v>55.7</v>
      </c>
      <c r="AA1405" s="609">
        <f t="shared" si="196"/>
        <v>40104</v>
      </c>
      <c r="AB1405" s="753">
        <f t="shared" si="197"/>
        <v>29016</v>
      </c>
      <c r="AC1405" s="714"/>
    </row>
    <row r="1406" spans="1:29" x14ac:dyDescent="0.25">
      <c r="A1406" s="713"/>
      <c r="B1406" s="731" t="s">
        <v>2212</v>
      </c>
      <c r="C1406" s="547" t="s">
        <v>40</v>
      </c>
      <c r="D1406" s="547" t="s">
        <v>2207</v>
      </c>
      <c r="E1406" s="683">
        <v>44805</v>
      </c>
      <c r="F1406" s="547">
        <v>720</v>
      </c>
      <c r="G1406" s="547" t="s">
        <v>58</v>
      </c>
      <c r="H1406" s="547" t="s">
        <v>3</v>
      </c>
      <c r="I1406" s="547" t="s">
        <v>44</v>
      </c>
      <c r="J1406" s="547" t="s">
        <v>84</v>
      </c>
      <c r="K1406" s="547">
        <v>69</v>
      </c>
      <c r="L1406" s="727" t="s">
        <v>54</v>
      </c>
      <c r="M1406" s="697">
        <v>3</v>
      </c>
      <c r="N1406" s="727">
        <v>0</v>
      </c>
      <c r="O1406" s="697">
        <v>69</v>
      </c>
      <c r="P1406" s="727">
        <v>0</v>
      </c>
      <c r="Q1406" s="750">
        <f t="shared" si="189"/>
        <v>149040</v>
      </c>
      <c r="R1406" s="608">
        <f t="shared" si="190"/>
        <v>0</v>
      </c>
      <c r="S1406" s="751">
        <f t="shared" si="191"/>
        <v>-149040</v>
      </c>
      <c r="T1406" s="750">
        <v>56.08</v>
      </c>
      <c r="U1406" s="608">
        <f t="shared" si="192"/>
        <v>-121132.8</v>
      </c>
      <c r="V1406" s="751">
        <f t="shared" si="193"/>
        <v>-27907.199999999997</v>
      </c>
      <c r="W1406" s="752">
        <v>56.08</v>
      </c>
      <c r="X1406" s="609">
        <f t="shared" si="194"/>
        <v>-121132.8</v>
      </c>
      <c r="Y1406" s="703">
        <f t="shared" si="195"/>
        <v>-27907.199999999997</v>
      </c>
      <c r="Z1406" s="752">
        <v>56.08</v>
      </c>
      <c r="AA1406" s="609">
        <f t="shared" si="196"/>
        <v>-121132.8</v>
      </c>
      <c r="AB1406" s="753">
        <f t="shared" si="197"/>
        <v>-27907.199999999997</v>
      </c>
      <c r="AC1406" s="714"/>
    </row>
    <row r="1407" spans="1:29" x14ac:dyDescent="0.25">
      <c r="A1407" s="713"/>
      <c r="B1407" s="730" t="s">
        <v>2214</v>
      </c>
      <c r="C1407" s="546" t="s">
        <v>40</v>
      </c>
      <c r="D1407" s="546" t="s">
        <v>590</v>
      </c>
      <c r="E1407" s="682">
        <v>45017</v>
      </c>
      <c r="F1407" s="546">
        <v>720</v>
      </c>
      <c r="G1407" s="546" t="s">
        <v>59</v>
      </c>
      <c r="H1407" s="546" t="s">
        <v>3</v>
      </c>
      <c r="I1407" s="546" t="s">
        <v>44</v>
      </c>
      <c r="J1407" s="546" t="s">
        <v>85</v>
      </c>
      <c r="K1407" s="546">
        <v>121</v>
      </c>
      <c r="L1407" s="726" t="s">
        <v>54</v>
      </c>
      <c r="M1407" s="696">
        <v>0</v>
      </c>
      <c r="N1407" s="726">
        <v>5</v>
      </c>
      <c r="O1407" s="696">
        <v>0</v>
      </c>
      <c r="P1407" s="726">
        <v>122.00264973282076</v>
      </c>
      <c r="Q1407" s="746">
        <f t="shared" si="189"/>
        <v>0</v>
      </c>
      <c r="R1407" s="606">
        <f t="shared" si="190"/>
        <v>439209.5390381547</v>
      </c>
      <c r="S1407" s="747">
        <f t="shared" si="191"/>
        <v>439209.5390381547</v>
      </c>
      <c r="T1407" s="746">
        <v>69.8</v>
      </c>
      <c r="U1407" s="606">
        <f t="shared" si="192"/>
        <v>251280</v>
      </c>
      <c r="V1407" s="747">
        <f t="shared" si="193"/>
        <v>187929.5390381547</v>
      </c>
      <c r="W1407" s="748">
        <v>55.7</v>
      </c>
      <c r="X1407" s="607">
        <f t="shared" si="194"/>
        <v>200520</v>
      </c>
      <c r="Y1407" s="702">
        <f t="shared" si="195"/>
        <v>238689.5390381547</v>
      </c>
      <c r="Z1407" s="748">
        <v>85.732008718771311</v>
      </c>
      <c r="AA1407" s="607">
        <f t="shared" si="196"/>
        <v>308635.23138757673</v>
      </c>
      <c r="AB1407" s="749">
        <f t="shared" si="197"/>
        <v>130574.30765057798</v>
      </c>
      <c r="AC1407" s="714"/>
    </row>
    <row r="1408" spans="1:29" x14ac:dyDescent="0.25">
      <c r="A1408" s="713"/>
      <c r="B1408" s="714" t="s">
        <v>2214</v>
      </c>
      <c r="C1408" s="676" t="s">
        <v>40</v>
      </c>
      <c r="D1408" s="676" t="s">
        <v>590</v>
      </c>
      <c r="E1408" s="680">
        <v>45047</v>
      </c>
      <c r="F1408" s="676">
        <v>744</v>
      </c>
      <c r="G1408" s="676" t="s">
        <v>59</v>
      </c>
      <c r="H1408" s="676" t="s">
        <v>3</v>
      </c>
      <c r="I1408" s="676" t="s">
        <v>44</v>
      </c>
      <c r="J1408" s="676" t="s">
        <v>85</v>
      </c>
      <c r="K1408" s="676">
        <v>121</v>
      </c>
      <c r="L1408" s="690" t="s">
        <v>54</v>
      </c>
      <c r="M1408" s="691">
        <v>0</v>
      </c>
      <c r="N1408" s="690">
        <v>5</v>
      </c>
      <c r="O1408" s="691">
        <v>0</v>
      </c>
      <c r="P1408" s="690">
        <v>122.00264973282076</v>
      </c>
      <c r="Q1408" s="738">
        <f t="shared" si="189"/>
        <v>0</v>
      </c>
      <c r="R1408" s="677">
        <f t="shared" si="190"/>
        <v>453849.8570060932</v>
      </c>
      <c r="S1408" s="739">
        <f t="shared" si="191"/>
        <v>453849.8570060932</v>
      </c>
      <c r="T1408" s="738">
        <v>70.2</v>
      </c>
      <c r="U1408" s="677">
        <f t="shared" si="192"/>
        <v>261144</v>
      </c>
      <c r="V1408" s="739">
        <f t="shared" si="193"/>
        <v>192705.8570060932</v>
      </c>
      <c r="W1408" s="740">
        <v>55.7</v>
      </c>
      <c r="X1408" s="678">
        <f t="shared" si="194"/>
        <v>207204</v>
      </c>
      <c r="Y1408" s="700">
        <f t="shared" si="195"/>
        <v>246645.8570060932</v>
      </c>
      <c r="Z1408" s="740">
        <v>86.223309628334476</v>
      </c>
      <c r="AA1408" s="678">
        <f t="shared" si="196"/>
        <v>320750.71181740426</v>
      </c>
      <c r="AB1408" s="741">
        <f t="shared" si="197"/>
        <v>133099.14518868894</v>
      </c>
      <c r="AC1408" s="714"/>
    </row>
    <row r="1409" spans="1:29" x14ac:dyDescent="0.25">
      <c r="A1409" s="713"/>
      <c r="B1409" s="729" t="s">
        <v>2214</v>
      </c>
      <c r="C1409" s="545" t="s">
        <v>40</v>
      </c>
      <c r="D1409" s="545" t="s">
        <v>590</v>
      </c>
      <c r="E1409" s="681">
        <v>45078</v>
      </c>
      <c r="F1409" s="545">
        <v>720</v>
      </c>
      <c r="G1409" s="545" t="s">
        <v>59</v>
      </c>
      <c r="H1409" s="545" t="s">
        <v>3</v>
      </c>
      <c r="I1409" s="545" t="s">
        <v>44</v>
      </c>
      <c r="J1409" s="545" t="s">
        <v>85</v>
      </c>
      <c r="K1409" s="545">
        <v>121</v>
      </c>
      <c r="L1409" s="725" t="s">
        <v>54</v>
      </c>
      <c r="M1409" s="695">
        <v>0</v>
      </c>
      <c r="N1409" s="725">
        <v>5</v>
      </c>
      <c r="O1409" s="695">
        <v>0</v>
      </c>
      <c r="P1409" s="725">
        <v>122.00264973282076</v>
      </c>
      <c r="Q1409" s="742">
        <f t="shared" si="189"/>
        <v>0</v>
      </c>
      <c r="R1409" s="603">
        <f t="shared" si="190"/>
        <v>439209.5390381547</v>
      </c>
      <c r="S1409" s="743">
        <f t="shared" si="191"/>
        <v>439209.5390381547</v>
      </c>
      <c r="T1409" s="742">
        <v>72.400000000000006</v>
      </c>
      <c r="U1409" s="603">
        <f t="shared" si="192"/>
        <v>260640.00000000003</v>
      </c>
      <c r="V1409" s="743">
        <f t="shared" si="193"/>
        <v>178569.53903815467</v>
      </c>
      <c r="W1409" s="744">
        <v>55.874535369068141</v>
      </c>
      <c r="X1409" s="604">
        <f t="shared" si="194"/>
        <v>201148.3273286453</v>
      </c>
      <c r="Y1409" s="701">
        <f t="shared" si="195"/>
        <v>238061.2117095094</v>
      </c>
      <c r="Z1409" s="744">
        <v>88.925464630931856</v>
      </c>
      <c r="AA1409" s="604">
        <f t="shared" si="196"/>
        <v>320131.67267135467</v>
      </c>
      <c r="AB1409" s="745">
        <f t="shared" si="197"/>
        <v>119077.86636680004</v>
      </c>
      <c r="AC1409" s="714"/>
    </row>
    <row r="1410" spans="1:29" x14ac:dyDescent="0.25">
      <c r="A1410" s="713"/>
      <c r="B1410" s="730" t="s">
        <v>2216</v>
      </c>
      <c r="C1410" s="546" t="s">
        <v>40</v>
      </c>
      <c r="D1410" s="546" t="s">
        <v>508</v>
      </c>
      <c r="E1410" s="682">
        <v>45017</v>
      </c>
      <c r="F1410" s="546">
        <v>720</v>
      </c>
      <c r="G1410" s="546" t="s">
        <v>59</v>
      </c>
      <c r="H1410" s="546" t="s">
        <v>3</v>
      </c>
      <c r="I1410" s="546" t="s">
        <v>44</v>
      </c>
      <c r="J1410" s="546" t="s">
        <v>85</v>
      </c>
      <c r="K1410" s="546">
        <v>120</v>
      </c>
      <c r="L1410" s="726" t="s">
        <v>54</v>
      </c>
      <c r="M1410" s="696">
        <v>0</v>
      </c>
      <c r="N1410" s="726">
        <v>3</v>
      </c>
      <c r="O1410" s="696">
        <v>0</v>
      </c>
      <c r="P1410" s="726">
        <v>120.99436337139248</v>
      </c>
      <c r="Q1410" s="746">
        <f t="shared" si="189"/>
        <v>0</v>
      </c>
      <c r="R1410" s="606">
        <f t="shared" si="190"/>
        <v>261347.82488220776</v>
      </c>
      <c r="S1410" s="747">
        <f t="shared" si="191"/>
        <v>261347.82488220776</v>
      </c>
      <c r="T1410" s="746">
        <v>69.8</v>
      </c>
      <c r="U1410" s="606">
        <f t="shared" si="192"/>
        <v>150768</v>
      </c>
      <c r="V1410" s="747">
        <f t="shared" si="193"/>
        <v>110579.82488220776</v>
      </c>
      <c r="W1410" s="748">
        <v>55.7</v>
      </c>
      <c r="X1410" s="607">
        <f t="shared" si="194"/>
        <v>120312</v>
      </c>
      <c r="Y1410" s="702">
        <f t="shared" si="195"/>
        <v>141035.82488220776</v>
      </c>
      <c r="Z1410" s="748">
        <v>85.732008718771311</v>
      </c>
      <c r="AA1410" s="607">
        <f t="shared" si="196"/>
        <v>185181.13883254604</v>
      </c>
      <c r="AB1410" s="749">
        <f t="shared" si="197"/>
        <v>76166.686049661716</v>
      </c>
      <c r="AC1410" s="714"/>
    </row>
    <row r="1411" spans="1:29" x14ac:dyDescent="0.25">
      <c r="A1411" s="713"/>
      <c r="B1411" s="714" t="s">
        <v>2216</v>
      </c>
      <c r="C1411" s="676" t="s">
        <v>40</v>
      </c>
      <c r="D1411" s="676" t="s">
        <v>508</v>
      </c>
      <c r="E1411" s="680">
        <v>45047</v>
      </c>
      <c r="F1411" s="676">
        <v>744</v>
      </c>
      <c r="G1411" s="676" t="s">
        <v>59</v>
      </c>
      <c r="H1411" s="676" t="s">
        <v>3</v>
      </c>
      <c r="I1411" s="676" t="s">
        <v>44</v>
      </c>
      <c r="J1411" s="676" t="s">
        <v>85</v>
      </c>
      <c r="K1411" s="676">
        <v>120</v>
      </c>
      <c r="L1411" s="690" t="s">
        <v>54</v>
      </c>
      <c r="M1411" s="691">
        <v>0</v>
      </c>
      <c r="N1411" s="690">
        <v>3</v>
      </c>
      <c r="O1411" s="691">
        <v>0</v>
      </c>
      <c r="P1411" s="690">
        <v>120.99436337139248</v>
      </c>
      <c r="Q1411" s="738">
        <f t="shared" ref="Q1411:Q1474" si="198">(O1411*(M1411*F1411))</f>
        <v>0</v>
      </c>
      <c r="R1411" s="677">
        <f t="shared" ref="R1411:R1474" si="199">(P1411*(N1411*F1411))</f>
        <v>270059.41904494801</v>
      </c>
      <c r="S1411" s="739">
        <f t="shared" ref="S1411:S1474" si="200">R1411-Q1411</f>
        <v>270059.41904494801</v>
      </c>
      <c r="T1411" s="738">
        <v>70.2</v>
      </c>
      <c r="U1411" s="677">
        <f t="shared" ref="U1411:U1474" si="201">(((F1411*N1411)*T1411)-(T1411*(M1411*F1411)))</f>
        <v>156686.39999999999</v>
      </c>
      <c r="V1411" s="739">
        <f t="shared" ref="V1411:V1474" si="202">S1411-U1411</f>
        <v>113373.01904494801</v>
      </c>
      <c r="W1411" s="740">
        <v>55.7</v>
      </c>
      <c r="X1411" s="678">
        <f t="shared" ref="X1411:X1474" si="203">(((F1411*N1411)*W1411)-(W1411*(M1411*F1411)))</f>
        <v>124322.40000000001</v>
      </c>
      <c r="Y1411" s="700">
        <f t="shared" ref="Y1411:Y1474" si="204">S1411-X1411</f>
        <v>145737.01904494799</v>
      </c>
      <c r="Z1411" s="740">
        <v>86.223309628334476</v>
      </c>
      <c r="AA1411" s="678">
        <f t="shared" ref="AA1411:AA1474" si="205">(((F1411*N1411)*Z1411)-(Z1411*(M1411*F1411)))</f>
        <v>192450.42709044256</v>
      </c>
      <c r="AB1411" s="741">
        <f t="shared" ref="AB1411:AB1474" si="206">S1411-AA1411</f>
        <v>77608.991954505444</v>
      </c>
      <c r="AC1411" s="714"/>
    </row>
    <row r="1412" spans="1:29" x14ac:dyDescent="0.25">
      <c r="A1412" s="713"/>
      <c r="B1412" s="729" t="s">
        <v>2216</v>
      </c>
      <c r="C1412" s="545" t="s">
        <v>40</v>
      </c>
      <c r="D1412" s="545" t="s">
        <v>508</v>
      </c>
      <c r="E1412" s="681">
        <v>45078</v>
      </c>
      <c r="F1412" s="545">
        <v>720</v>
      </c>
      <c r="G1412" s="545" t="s">
        <v>59</v>
      </c>
      <c r="H1412" s="545" t="s">
        <v>3</v>
      </c>
      <c r="I1412" s="545" t="s">
        <v>44</v>
      </c>
      <c r="J1412" s="545" t="s">
        <v>85</v>
      </c>
      <c r="K1412" s="545">
        <v>120</v>
      </c>
      <c r="L1412" s="725" t="s">
        <v>54</v>
      </c>
      <c r="M1412" s="695">
        <v>0</v>
      </c>
      <c r="N1412" s="725">
        <v>3</v>
      </c>
      <c r="O1412" s="695">
        <v>0</v>
      </c>
      <c r="P1412" s="725">
        <v>120.99436337139248</v>
      </c>
      <c r="Q1412" s="742">
        <f t="shared" si="198"/>
        <v>0</v>
      </c>
      <c r="R1412" s="603">
        <f t="shared" si="199"/>
        <v>261347.82488220776</v>
      </c>
      <c r="S1412" s="743">
        <f t="shared" si="200"/>
        <v>261347.82488220776</v>
      </c>
      <c r="T1412" s="742">
        <v>72.400000000000006</v>
      </c>
      <c r="U1412" s="603">
        <f t="shared" si="201"/>
        <v>156384</v>
      </c>
      <c r="V1412" s="743">
        <f t="shared" si="202"/>
        <v>104963.82488220776</v>
      </c>
      <c r="W1412" s="744">
        <v>55.874535369068141</v>
      </c>
      <c r="X1412" s="604">
        <f t="shared" si="203"/>
        <v>120688.99639718719</v>
      </c>
      <c r="Y1412" s="701">
        <f t="shared" si="204"/>
        <v>140658.82848502055</v>
      </c>
      <c r="Z1412" s="744">
        <v>88.925464630931856</v>
      </c>
      <c r="AA1412" s="604">
        <f t="shared" si="205"/>
        <v>192079.00360281282</v>
      </c>
      <c r="AB1412" s="745">
        <f t="shared" si="206"/>
        <v>69268.821279394935</v>
      </c>
      <c r="AC1412" s="714"/>
    </row>
    <row r="1413" spans="1:29" x14ac:dyDescent="0.25">
      <c r="A1413" s="713"/>
      <c r="B1413" s="730" t="s">
        <v>2218</v>
      </c>
      <c r="C1413" s="546" t="s">
        <v>40</v>
      </c>
      <c r="D1413" s="546" t="s">
        <v>1620</v>
      </c>
      <c r="E1413" s="682">
        <v>44927</v>
      </c>
      <c r="F1413" s="546">
        <v>744</v>
      </c>
      <c r="G1413" s="546" t="s">
        <v>59</v>
      </c>
      <c r="H1413" s="546" t="s">
        <v>3</v>
      </c>
      <c r="I1413" s="546" t="s">
        <v>44</v>
      </c>
      <c r="J1413" s="546" t="s">
        <v>85</v>
      </c>
      <c r="K1413" s="546">
        <v>140</v>
      </c>
      <c r="L1413" s="726" t="s">
        <v>54</v>
      </c>
      <c r="M1413" s="696">
        <v>0</v>
      </c>
      <c r="N1413" s="726">
        <v>5</v>
      </c>
      <c r="O1413" s="696">
        <v>0</v>
      </c>
      <c r="P1413" s="726">
        <v>141.1600905999579</v>
      </c>
      <c r="Q1413" s="746">
        <f t="shared" si="198"/>
        <v>0</v>
      </c>
      <c r="R1413" s="606">
        <f t="shared" si="199"/>
        <v>525115.53703184333</v>
      </c>
      <c r="S1413" s="747">
        <f t="shared" si="200"/>
        <v>525115.53703184333</v>
      </c>
      <c r="T1413" s="746">
        <v>68.72</v>
      </c>
      <c r="U1413" s="606">
        <f t="shared" si="201"/>
        <v>255638.39999999999</v>
      </c>
      <c r="V1413" s="747">
        <f t="shared" si="202"/>
        <v>269477.1370318433</v>
      </c>
      <c r="W1413" s="748">
        <v>55.7</v>
      </c>
      <c r="X1413" s="607">
        <f t="shared" si="203"/>
        <v>207204</v>
      </c>
      <c r="Y1413" s="702">
        <f t="shared" si="204"/>
        <v>317911.53703184333</v>
      </c>
      <c r="Z1413" s="748">
        <v>96.206580759134184</v>
      </c>
      <c r="AA1413" s="607">
        <f t="shared" si="205"/>
        <v>357888.48042397917</v>
      </c>
      <c r="AB1413" s="749">
        <f t="shared" si="206"/>
        <v>167227.05660786416</v>
      </c>
      <c r="AC1413" s="714"/>
    </row>
    <row r="1414" spans="1:29" x14ac:dyDescent="0.25">
      <c r="A1414" s="713"/>
      <c r="B1414" s="714" t="s">
        <v>2218</v>
      </c>
      <c r="C1414" s="676" t="s">
        <v>40</v>
      </c>
      <c r="D1414" s="676" t="s">
        <v>1620</v>
      </c>
      <c r="E1414" s="680">
        <v>44958</v>
      </c>
      <c r="F1414" s="676">
        <v>672</v>
      </c>
      <c r="G1414" s="676" t="s">
        <v>59</v>
      </c>
      <c r="H1414" s="676" t="s">
        <v>3</v>
      </c>
      <c r="I1414" s="676" t="s">
        <v>44</v>
      </c>
      <c r="J1414" s="676" t="s">
        <v>85</v>
      </c>
      <c r="K1414" s="676">
        <v>140</v>
      </c>
      <c r="L1414" s="690" t="s">
        <v>54</v>
      </c>
      <c r="M1414" s="691">
        <v>0</v>
      </c>
      <c r="N1414" s="690">
        <v>5</v>
      </c>
      <c r="O1414" s="691">
        <v>0</v>
      </c>
      <c r="P1414" s="690">
        <v>141.1600905999579</v>
      </c>
      <c r="Q1414" s="738">
        <f t="shared" si="198"/>
        <v>0</v>
      </c>
      <c r="R1414" s="677">
        <f t="shared" si="199"/>
        <v>474297.90441585856</v>
      </c>
      <c r="S1414" s="739">
        <f t="shared" si="200"/>
        <v>474297.90441585856</v>
      </c>
      <c r="T1414" s="738">
        <v>69.25</v>
      </c>
      <c r="U1414" s="677">
        <f t="shared" si="201"/>
        <v>232680</v>
      </c>
      <c r="V1414" s="739">
        <f t="shared" si="202"/>
        <v>241617.90441585856</v>
      </c>
      <c r="W1414" s="740">
        <v>55.7</v>
      </c>
      <c r="X1414" s="678">
        <f t="shared" si="203"/>
        <v>187152</v>
      </c>
      <c r="Y1414" s="700">
        <f t="shared" si="204"/>
        <v>287145.90441585856</v>
      </c>
      <c r="Z1414" s="740">
        <v>92.430648861364247</v>
      </c>
      <c r="AA1414" s="678">
        <f t="shared" si="205"/>
        <v>310566.98017418385</v>
      </c>
      <c r="AB1414" s="741">
        <f t="shared" si="206"/>
        <v>163730.92424167471</v>
      </c>
      <c r="AC1414" s="714"/>
    </row>
    <row r="1415" spans="1:29" x14ac:dyDescent="0.25">
      <c r="A1415" s="713"/>
      <c r="B1415" s="729" t="s">
        <v>2218</v>
      </c>
      <c r="C1415" s="545" t="s">
        <v>40</v>
      </c>
      <c r="D1415" s="545" t="s">
        <v>1620</v>
      </c>
      <c r="E1415" s="681">
        <v>44986</v>
      </c>
      <c r="F1415" s="545">
        <v>744</v>
      </c>
      <c r="G1415" s="545" t="s">
        <v>59</v>
      </c>
      <c r="H1415" s="545" t="s">
        <v>3</v>
      </c>
      <c r="I1415" s="545" t="s">
        <v>44</v>
      </c>
      <c r="J1415" s="545" t="s">
        <v>85</v>
      </c>
      <c r="K1415" s="545">
        <v>140</v>
      </c>
      <c r="L1415" s="725" t="s">
        <v>54</v>
      </c>
      <c r="M1415" s="695">
        <v>0</v>
      </c>
      <c r="N1415" s="725">
        <v>5</v>
      </c>
      <c r="O1415" s="695">
        <v>0</v>
      </c>
      <c r="P1415" s="725">
        <v>141.1600905999579</v>
      </c>
      <c r="Q1415" s="742">
        <f t="shared" si="198"/>
        <v>0</v>
      </c>
      <c r="R1415" s="603">
        <f t="shared" si="199"/>
        <v>525115.53703184333</v>
      </c>
      <c r="S1415" s="743">
        <f t="shared" si="200"/>
        <v>525115.53703184333</v>
      </c>
      <c r="T1415" s="742">
        <v>69.3</v>
      </c>
      <c r="U1415" s="603">
        <f t="shared" si="201"/>
        <v>257796</v>
      </c>
      <c r="V1415" s="743">
        <f t="shared" si="202"/>
        <v>267319.53703184333</v>
      </c>
      <c r="W1415" s="744">
        <v>55.7</v>
      </c>
      <c r="X1415" s="604">
        <f t="shared" si="203"/>
        <v>207204</v>
      </c>
      <c r="Y1415" s="701">
        <f t="shared" si="204"/>
        <v>317911.53703184333</v>
      </c>
      <c r="Z1415" s="744">
        <v>89.053218420260009</v>
      </c>
      <c r="AA1415" s="604">
        <f t="shared" si="205"/>
        <v>331277.97252336721</v>
      </c>
      <c r="AB1415" s="745">
        <f t="shared" si="206"/>
        <v>193837.56450847612</v>
      </c>
      <c r="AC1415" s="714"/>
    </row>
    <row r="1416" spans="1:29" x14ac:dyDescent="0.25">
      <c r="A1416" s="713"/>
      <c r="B1416" s="730" t="s">
        <v>2221</v>
      </c>
      <c r="C1416" s="546" t="s">
        <v>40</v>
      </c>
      <c r="D1416" s="546" t="s">
        <v>1195</v>
      </c>
      <c r="E1416" s="682">
        <v>45108</v>
      </c>
      <c r="F1416" s="546">
        <v>744</v>
      </c>
      <c r="G1416" s="546" t="s">
        <v>59</v>
      </c>
      <c r="H1416" s="546" t="s">
        <v>3</v>
      </c>
      <c r="I1416" s="546" t="s">
        <v>44</v>
      </c>
      <c r="J1416" s="546" t="s">
        <v>85</v>
      </c>
      <c r="K1416" s="546">
        <v>173.25</v>
      </c>
      <c r="L1416" s="726" t="s">
        <v>54</v>
      </c>
      <c r="M1416" s="696">
        <v>0</v>
      </c>
      <c r="N1416" s="726">
        <v>5</v>
      </c>
      <c r="O1416" s="696">
        <v>0</v>
      </c>
      <c r="P1416" s="726">
        <v>175.31666955447051</v>
      </c>
      <c r="Q1416" s="746">
        <f t="shared" si="198"/>
        <v>0</v>
      </c>
      <c r="R1416" s="606">
        <f t="shared" si="199"/>
        <v>652178.01074263034</v>
      </c>
      <c r="S1416" s="747">
        <f t="shared" si="200"/>
        <v>652178.01074263034</v>
      </c>
      <c r="T1416" s="746">
        <v>77.150000000000006</v>
      </c>
      <c r="U1416" s="606">
        <f t="shared" si="201"/>
        <v>286998</v>
      </c>
      <c r="V1416" s="747">
        <f t="shared" si="202"/>
        <v>365180.01074263034</v>
      </c>
      <c r="W1416" s="748">
        <v>59.54033706800562</v>
      </c>
      <c r="X1416" s="607">
        <f t="shared" si="203"/>
        <v>221490.05389298091</v>
      </c>
      <c r="Y1416" s="702">
        <f t="shared" si="204"/>
        <v>430687.95684964943</v>
      </c>
      <c r="Z1416" s="748">
        <v>94.759662931994384</v>
      </c>
      <c r="AA1416" s="607">
        <f t="shared" si="205"/>
        <v>352505.94610701909</v>
      </c>
      <c r="AB1416" s="749">
        <f t="shared" si="206"/>
        <v>299672.06463561126</v>
      </c>
      <c r="AC1416" s="714"/>
    </row>
    <row r="1417" spans="1:29" x14ac:dyDescent="0.25">
      <c r="A1417" s="713"/>
      <c r="B1417" s="714" t="s">
        <v>2221</v>
      </c>
      <c r="C1417" s="676" t="s">
        <v>40</v>
      </c>
      <c r="D1417" s="676" t="s">
        <v>1195</v>
      </c>
      <c r="E1417" s="680">
        <v>45139</v>
      </c>
      <c r="F1417" s="676">
        <v>744</v>
      </c>
      <c r="G1417" s="676" t="s">
        <v>59</v>
      </c>
      <c r="H1417" s="676" t="s">
        <v>3</v>
      </c>
      <c r="I1417" s="676" t="s">
        <v>44</v>
      </c>
      <c r="J1417" s="676" t="s">
        <v>85</v>
      </c>
      <c r="K1417" s="676">
        <v>173.25</v>
      </c>
      <c r="L1417" s="690" t="s">
        <v>54</v>
      </c>
      <c r="M1417" s="691">
        <v>0</v>
      </c>
      <c r="N1417" s="690">
        <v>5</v>
      </c>
      <c r="O1417" s="691">
        <v>0</v>
      </c>
      <c r="P1417" s="690">
        <v>175.31666955447051</v>
      </c>
      <c r="Q1417" s="738">
        <f t="shared" si="198"/>
        <v>0</v>
      </c>
      <c r="R1417" s="677">
        <f t="shared" si="199"/>
        <v>652178.01074263034</v>
      </c>
      <c r="S1417" s="739">
        <f t="shared" si="200"/>
        <v>652178.01074263034</v>
      </c>
      <c r="T1417" s="738">
        <v>77.150000000000006</v>
      </c>
      <c r="U1417" s="677">
        <f t="shared" si="201"/>
        <v>286998</v>
      </c>
      <c r="V1417" s="739">
        <f t="shared" si="202"/>
        <v>365180.01074263034</v>
      </c>
      <c r="W1417" s="740">
        <v>59.54033706800562</v>
      </c>
      <c r="X1417" s="678">
        <f t="shared" si="203"/>
        <v>221490.05389298091</v>
      </c>
      <c r="Y1417" s="700">
        <f t="shared" si="204"/>
        <v>430687.95684964943</v>
      </c>
      <c r="Z1417" s="740">
        <v>94.759662931994384</v>
      </c>
      <c r="AA1417" s="678">
        <f t="shared" si="205"/>
        <v>352505.94610701909</v>
      </c>
      <c r="AB1417" s="741">
        <f t="shared" si="206"/>
        <v>299672.06463561126</v>
      </c>
      <c r="AC1417" s="714"/>
    </row>
    <row r="1418" spans="1:29" x14ac:dyDescent="0.25">
      <c r="A1418" s="713"/>
      <c r="B1418" s="714" t="s">
        <v>2221</v>
      </c>
      <c r="C1418" s="676" t="s">
        <v>40</v>
      </c>
      <c r="D1418" s="676" t="s">
        <v>1195</v>
      </c>
      <c r="E1418" s="680">
        <v>45170</v>
      </c>
      <c r="F1418" s="676">
        <v>720</v>
      </c>
      <c r="G1418" s="676" t="s">
        <v>59</v>
      </c>
      <c r="H1418" s="676" t="s">
        <v>3</v>
      </c>
      <c r="I1418" s="676" t="s">
        <v>44</v>
      </c>
      <c r="J1418" s="676" t="s">
        <v>85</v>
      </c>
      <c r="K1418" s="676">
        <v>173.25</v>
      </c>
      <c r="L1418" s="690" t="s">
        <v>54</v>
      </c>
      <c r="M1418" s="691">
        <v>0</v>
      </c>
      <c r="N1418" s="690">
        <v>5</v>
      </c>
      <c r="O1418" s="691">
        <v>0</v>
      </c>
      <c r="P1418" s="690">
        <v>175.31666955447051</v>
      </c>
      <c r="Q1418" s="738">
        <f t="shared" si="198"/>
        <v>0</v>
      </c>
      <c r="R1418" s="677">
        <f t="shared" si="199"/>
        <v>631140.01039609383</v>
      </c>
      <c r="S1418" s="739">
        <f t="shared" si="200"/>
        <v>631140.01039609383</v>
      </c>
      <c r="T1418" s="738">
        <v>77.150000000000006</v>
      </c>
      <c r="U1418" s="677">
        <f t="shared" si="201"/>
        <v>277740</v>
      </c>
      <c r="V1418" s="739">
        <f t="shared" si="202"/>
        <v>353400.01039609383</v>
      </c>
      <c r="W1418" s="740">
        <v>59.54033706800562</v>
      </c>
      <c r="X1418" s="678">
        <f t="shared" si="203"/>
        <v>214345.21344482023</v>
      </c>
      <c r="Y1418" s="700">
        <f t="shared" si="204"/>
        <v>416794.79695127357</v>
      </c>
      <c r="Z1418" s="740">
        <v>94.759662931994384</v>
      </c>
      <c r="AA1418" s="678">
        <f t="shared" si="205"/>
        <v>341134.7865551798</v>
      </c>
      <c r="AB1418" s="741">
        <f t="shared" si="206"/>
        <v>290005.22384091403</v>
      </c>
      <c r="AC1418" s="714"/>
    </row>
    <row r="1419" spans="1:29" x14ac:dyDescent="0.25">
      <c r="A1419" s="713"/>
      <c r="B1419" s="714" t="s">
        <v>2221</v>
      </c>
      <c r="C1419" s="676" t="s">
        <v>40</v>
      </c>
      <c r="D1419" s="676" t="s">
        <v>1195</v>
      </c>
      <c r="E1419" s="680">
        <v>45200</v>
      </c>
      <c r="F1419" s="676">
        <v>744</v>
      </c>
      <c r="G1419" s="676" t="s">
        <v>59</v>
      </c>
      <c r="H1419" s="676" t="s">
        <v>3</v>
      </c>
      <c r="I1419" s="676" t="s">
        <v>44</v>
      </c>
      <c r="J1419" s="676" t="s">
        <v>85</v>
      </c>
      <c r="K1419" s="676">
        <v>173.25</v>
      </c>
      <c r="L1419" s="690" t="s">
        <v>54</v>
      </c>
      <c r="M1419" s="691">
        <v>0</v>
      </c>
      <c r="N1419" s="690">
        <v>5</v>
      </c>
      <c r="O1419" s="691">
        <v>0</v>
      </c>
      <c r="P1419" s="690">
        <v>175.31666955447051</v>
      </c>
      <c r="Q1419" s="738">
        <f t="shared" si="198"/>
        <v>0</v>
      </c>
      <c r="R1419" s="677">
        <f t="shared" si="199"/>
        <v>652178.01074263034</v>
      </c>
      <c r="S1419" s="739">
        <f t="shared" si="200"/>
        <v>652178.01074263034</v>
      </c>
      <c r="T1419" s="738">
        <v>80.45</v>
      </c>
      <c r="U1419" s="677">
        <f t="shared" si="201"/>
        <v>299274</v>
      </c>
      <c r="V1419" s="739">
        <f t="shared" si="202"/>
        <v>352904.01074263034</v>
      </c>
      <c r="W1419" s="740">
        <v>62.087104564109552</v>
      </c>
      <c r="X1419" s="678">
        <f t="shared" si="203"/>
        <v>230964.02897848753</v>
      </c>
      <c r="Y1419" s="700">
        <f t="shared" si="204"/>
        <v>421213.98176414281</v>
      </c>
      <c r="Z1419" s="740">
        <v>98.812895435890439</v>
      </c>
      <c r="AA1419" s="678">
        <f t="shared" si="205"/>
        <v>367583.97102151241</v>
      </c>
      <c r="AB1419" s="741">
        <f t="shared" si="206"/>
        <v>284594.03972111794</v>
      </c>
      <c r="AC1419" s="714"/>
    </row>
    <row r="1420" spans="1:29" x14ac:dyDescent="0.25">
      <c r="A1420" s="713"/>
      <c r="B1420" s="714" t="s">
        <v>2221</v>
      </c>
      <c r="C1420" s="676" t="s">
        <v>40</v>
      </c>
      <c r="D1420" s="676" t="s">
        <v>1195</v>
      </c>
      <c r="E1420" s="680">
        <v>45231</v>
      </c>
      <c r="F1420" s="676">
        <v>720</v>
      </c>
      <c r="G1420" s="676" t="s">
        <v>59</v>
      </c>
      <c r="H1420" s="676" t="s">
        <v>3</v>
      </c>
      <c r="I1420" s="676" t="s">
        <v>44</v>
      </c>
      <c r="J1420" s="676" t="s">
        <v>85</v>
      </c>
      <c r="K1420" s="676">
        <v>173.25</v>
      </c>
      <c r="L1420" s="690" t="s">
        <v>54</v>
      </c>
      <c r="M1420" s="691">
        <v>0</v>
      </c>
      <c r="N1420" s="690">
        <v>5</v>
      </c>
      <c r="O1420" s="691">
        <v>0</v>
      </c>
      <c r="P1420" s="690">
        <v>175.31666955447051</v>
      </c>
      <c r="Q1420" s="738">
        <f t="shared" si="198"/>
        <v>0</v>
      </c>
      <c r="R1420" s="677">
        <f t="shared" si="199"/>
        <v>631140.01039609383</v>
      </c>
      <c r="S1420" s="739">
        <f t="shared" si="200"/>
        <v>631140.01039609383</v>
      </c>
      <c r="T1420" s="738">
        <v>80.45</v>
      </c>
      <c r="U1420" s="677">
        <f t="shared" si="201"/>
        <v>289620</v>
      </c>
      <c r="V1420" s="739">
        <f t="shared" si="202"/>
        <v>341520.01039609383</v>
      </c>
      <c r="W1420" s="740">
        <v>62.087104564109552</v>
      </c>
      <c r="X1420" s="678">
        <f t="shared" si="203"/>
        <v>223513.57643079438</v>
      </c>
      <c r="Y1420" s="700">
        <f t="shared" si="204"/>
        <v>407626.43396529945</v>
      </c>
      <c r="Z1420" s="740">
        <v>98.812895435890439</v>
      </c>
      <c r="AA1420" s="678">
        <f t="shared" si="205"/>
        <v>355726.42356920557</v>
      </c>
      <c r="AB1420" s="741">
        <f t="shared" si="206"/>
        <v>275413.58682688826</v>
      </c>
      <c r="AC1420" s="714"/>
    </row>
    <row r="1421" spans="1:29" x14ac:dyDescent="0.25">
      <c r="A1421" s="713"/>
      <c r="B1421" s="729" t="s">
        <v>2221</v>
      </c>
      <c r="C1421" s="545" t="s">
        <v>40</v>
      </c>
      <c r="D1421" s="545" t="s">
        <v>1195</v>
      </c>
      <c r="E1421" s="681">
        <v>45261</v>
      </c>
      <c r="F1421" s="545">
        <v>744</v>
      </c>
      <c r="G1421" s="545" t="s">
        <v>59</v>
      </c>
      <c r="H1421" s="545" t="s">
        <v>3</v>
      </c>
      <c r="I1421" s="545" t="s">
        <v>44</v>
      </c>
      <c r="J1421" s="545" t="s">
        <v>85</v>
      </c>
      <c r="K1421" s="545">
        <v>173.25</v>
      </c>
      <c r="L1421" s="725" t="s">
        <v>54</v>
      </c>
      <c r="M1421" s="695">
        <v>0</v>
      </c>
      <c r="N1421" s="725">
        <v>5</v>
      </c>
      <c r="O1421" s="695">
        <v>0</v>
      </c>
      <c r="P1421" s="725">
        <v>175.31666955447051</v>
      </c>
      <c r="Q1421" s="742">
        <f t="shared" si="198"/>
        <v>0</v>
      </c>
      <c r="R1421" s="603">
        <f t="shared" si="199"/>
        <v>652178.01074263034</v>
      </c>
      <c r="S1421" s="743">
        <f t="shared" si="200"/>
        <v>652178.01074263034</v>
      </c>
      <c r="T1421" s="742">
        <v>80.45</v>
      </c>
      <c r="U1421" s="603">
        <f t="shared" si="201"/>
        <v>299274</v>
      </c>
      <c r="V1421" s="743">
        <f t="shared" si="202"/>
        <v>352904.01074263034</v>
      </c>
      <c r="W1421" s="744">
        <v>62.087104564109552</v>
      </c>
      <c r="X1421" s="604">
        <f t="shared" si="203"/>
        <v>230964.02897848753</v>
      </c>
      <c r="Y1421" s="701">
        <f t="shared" si="204"/>
        <v>421213.98176414281</v>
      </c>
      <c r="Z1421" s="744">
        <v>98.812895435890439</v>
      </c>
      <c r="AA1421" s="604">
        <f t="shared" si="205"/>
        <v>367583.97102151241</v>
      </c>
      <c r="AB1421" s="745">
        <f t="shared" si="206"/>
        <v>284594.03972111794</v>
      </c>
      <c r="AC1421" s="714"/>
    </row>
    <row r="1422" spans="1:29" x14ac:dyDescent="0.25">
      <c r="A1422" s="713"/>
      <c r="B1422" s="730" t="s">
        <v>2227</v>
      </c>
      <c r="C1422" s="546" t="s">
        <v>40</v>
      </c>
      <c r="D1422" s="546" t="s">
        <v>981</v>
      </c>
      <c r="E1422" s="682">
        <v>45017</v>
      </c>
      <c r="F1422" s="546">
        <v>720</v>
      </c>
      <c r="G1422" s="546" t="s">
        <v>59</v>
      </c>
      <c r="H1422" s="546" t="s">
        <v>3</v>
      </c>
      <c r="I1422" s="546" t="s">
        <v>44</v>
      </c>
      <c r="J1422" s="546" t="s">
        <v>85</v>
      </c>
      <c r="K1422" s="546">
        <v>120</v>
      </c>
      <c r="L1422" s="726" t="s">
        <v>54</v>
      </c>
      <c r="M1422" s="696">
        <v>0</v>
      </c>
      <c r="N1422" s="726">
        <v>12</v>
      </c>
      <c r="O1422" s="696">
        <v>0</v>
      </c>
      <c r="P1422" s="726">
        <v>120.99436337139248</v>
      </c>
      <c r="Q1422" s="746">
        <f t="shared" si="198"/>
        <v>0</v>
      </c>
      <c r="R1422" s="606">
        <f t="shared" si="199"/>
        <v>1045391.299528831</v>
      </c>
      <c r="S1422" s="747">
        <f t="shared" si="200"/>
        <v>1045391.299528831</v>
      </c>
      <c r="T1422" s="746">
        <v>69.8</v>
      </c>
      <c r="U1422" s="606">
        <f t="shared" si="201"/>
        <v>603072</v>
      </c>
      <c r="V1422" s="747">
        <f t="shared" si="202"/>
        <v>442319.29952883103</v>
      </c>
      <c r="W1422" s="748">
        <v>55.7</v>
      </c>
      <c r="X1422" s="607">
        <f t="shared" si="203"/>
        <v>481248</v>
      </c>
      <c r="Y1422" s="702">
        <f t="shared" si="204"/>
        <v>564143.29952883103</v>
      </c>
      <c r="Z1422" s="748">
        <v>85.732008718771311</v>
      </c>
      <c r="AA1422" s="607">
        <f t="shared" si="205"/>
        <v>740724.55533018417</v>
      </c>
      <c r="AB1422" s="749">
        <f t="shared" si="206"/>
        <v>304666.74419864686</v>
      </c>
      <c r="AC1422" s="714"/>
    </row>
    <row r="1423" spans="1:29" x14ac:dyDescent="0.25">
      <c r="A1423" s="713"/>
      <c r="B1423" s="714" t="s">
        <v>2227</v>
      </c>
      <c r="C1423" s="676" t="s">
        <v>40</v>
      </c>
      <c r="D1423" s="676" t="s">
        <v>981</v>
      </c>
      <c r="E1423" s="680">
        <v>45047</v>
      </c>
      <c r="F1423" s="676">
        <v>744</v>
      </c>
      <c r="G1423" s="676" t="s">
        <v>59</v>
      </c>
      <c r="H1423" s="676" t="s">
        <v>3</v>
      </c>
      <c r="I1423" s="676" t="s">
        <v>44</v>
      </c>
      <c r="J1423" s="676" t="s">
        <v>85</v>
      </c>
      <c r="K1423" s="676">
        <v>120</v>
      </c>
      <c r="L1423" s="690" t="s">
        <v>54</v>
      </c>
      <c r="M1423" s="691">
        <v>0</v>
      </c>
      <c r="N1423" s="690">
        <v>12</v>
      </c>
      <c r="O1423" s="691">
        <v>0</v>
      </c>
      <c r="P1423" s="690">
        <v>120.99436337139248</v>
      </c>
      <c r="Q1423" s="738">
        <f t="shared" si="198"/>
        <v>0</v>
      </c>
      <c r="R1423" s="677">
        <f t="shared" si="199"/>
        <v>1080237.676179792</v>
      </c>
      <c r="S1423" s="739">
        <f t="shared" si="200"/>
        <v>1080237.676179792</v>
      </c>
      <c r="T1423" s="738">
        <v>70.2</v>
      </c>
      <c r="U1423" s="677">
        <f t="shared" si="201"/>
        <v>626745.59999999998</v>
      </c>
      <c r="V1423" s="739">
        <f t="shared" si="202"/>
        <v>453492.07617979206</v>
      </c>
      <c r="W1423" s="740">
        <v>55.7</v>
      </c>
      <c r="X1423" s="678">
        <f t="shared" si="203"/>
        <v>497289.60000000003</v>
      </c>
      <c r="Y1423" s="700">
        <f t="shared" si="204"/>
        <v>582948.07617979194</v>
      </c>
      <c r="Z1423" s="740">
        <v>86.223309628334476</v>
      </c>
      <c r="AA1423" s="678">
        <f t="shared" si="205"/>
        <v>769801.70836177026</v>
      </c>
      <c r="AB1423" s="741">
        <f t="shared" si="206"/>
        <v>310435.96781802177</v>
      </c>
      <c r="AC1423" s="714"/>
    </row>
    <row r="1424" spans="1:29" x14ac:dyDescent="0.25">
      <c r="A1424" s="713"/>
      <c r="B1424" s="729" t="s">
        <v>2227</v>
      </c>
      <c r="C1424" s="545" t="s">
        <v>40</v>
      </c>
      <c r="D1424" s="545" t="s">
        <v>981</v>
      </c>
      <c r="E1424" s="681">
        <v>45078</v>
      </c>
      <c r="F1424" s="545">
        <v>720</v>
      </c>
      <c r="G1424" s="545" t="s">
        <v>59</v>
      </c>
      <c r="H1424" s="545" t="s">
        <v>3</v>
      </c>
      <c r="I1424" s="545" t="s">
        <v>44</v>
      </c>
      <c r="J1424" s="545" t="s">
        <v>85</v>
      </c>
      <c r="K1424" s="545">
        <v>120</v>
      </c>
      <c r="L1424" s="725" t="s">
        <v>54</v>
      </c>
      <c r="M1424" s="695">
        <v>0</v>
      </c>
      <c r="N1424" s="725">
        <v>12</v>
      </c>
      <c r="O1424" s="695">
        <v>0</v>
      </c>
      <c r="P1424" s="725">
        <v>120.99436337139248</v>
      </c>
      <c r="Q1424" s="742">
        <f t="shared" si="198"/>
        <v>0</v>
      </c>
      <c r="R1424" s="603">
        <f t="shared" si="199"/>
        <v>1045391.299528831</v>
      </c>
      <c r="S1424" s="743">
        <f t="shared" si="200"/>
        <v>1045391.299528831</v>
      </c>
      <c r="T1424" s="742">
        <v>72.400000000000006</v>
      </c>
      <c r="U1424" s="603">
        <f t="shared" si="201"/>
        <v>625536</v>
      </c>
      <c r="V1424" s="743">
        <f t="shared" si="202"/>
        <v>419855.29952883103</v>
      </c>
      <c r="W1424" s="744">
        <v>55.874535369068141</v>
      </c>
      <c r="X1424" s="604">
        <f t="shared" si="203"/>
        <v>482755.98558874876</v>
      </c>
      <c r="Y1424" s="701">
        <f t="shared" si="204"/>
        <v>562635.31394008221</v>
      </c>
      <c r="Z1424" s="744">
        <v>88.925464630931856</v>
      </c>
      <c r="AA1424" s="604">
        <f t="shared" si="205"/>
        <v>768316.01441125129</v>
      </c>
      <c r="AB1424" s="745">
        <f t="shared" si="206"/>
        <v>277075.28511757974</v>
      </c>
      <c r="AC1424" s="714"/>
    </row>
    <row r="1425" spans="1:29" x14ac:dyDescent="0.25">
      <c r="A1425" s="713"/>
      <c r="B1425" s="730" t="s">
        <v>2229</v>
      </c>
      <c r="C1425" s="546" t="s">
        <v>40</v>
      </c>
      <c r="D1425" s="546" t="s">
        <v>2224</v>
      </c>
      <c r="E1425" s="682">
        <v>45017</v>
      </c>
      <c r="F1425" s="546">
        <v>720</v>
      </c>
      <c r="G1425" s="546" t="s">
        <v>59</v>
      </c>
      <c r="H1425" s="546" t="s">
        <v>3</v>
      </c>
      <c r="I1425" s="546" t="s">
        <v>44</v>
      </c>
      <c r="J1425" s="546" t="s">
        <v>85</v>
      </c>
      <c r="K1425" s="546">
        <v>111.5</v>
      </c>
      <c r="L1425" s="726" t="s">
        <v>54</v>
      </c>
      <c r="M1425" s="696">
        <v>0</v>
      </c>
      <c r="N1425" s="726">
        <v>5</v>
      </c>
      <c r="O1425" s="696">
        <v>0</v>
      </c>
      <c r="P1425" s="726">
        <v>112.42392929925218</v>
      </c>
      <c r="Q1425" s="746">
        <f t="shared" si="198"/>
        <v>0</v>
      </c>
      <c r="R1425" s="606">
        <f t="shared" si="199"/>
        <v>404726.14547730784</v>
      </c>
      <c r="S1425" s="747">
        <f t="shared" si="200"/>
        <v>404726.14547730784</v>
      </c>
      <c r="T1425" s="746">
        <v>69.8</v>
      </c>
      <c r="U1425" s="606">
        <f t="shared" si="201"/>
        <v>251280</v>
      </c>
      <c r="V1425" s="747">
        <f t="shared" si="202"/>
        <v>153446.14547730784</v>
      </c>
      <c r="W1425" s="748">
        <v>55.7</v>
      </c>
      <c r="X1425" s="607">
        <f t="shared" si="203"/>
        <v>200520</v>
      </c>
      <c r="Y1425" s="702">
        <f t="shared" si="204"/>
        <v>204206.14547730784</v>
      </c>
      <c r="Z1425" s="748">
        <v>85.732008718771311</v>
      </c>
      <c r="AA1425" s="607">
        <f t="shared" si="205"/>
        <v>308635.23138757673</v>
      </c>
      <c r="AB1425" s="749">
        <f t="shared" si="206"/>
        <v>96090.914089731115</v>
      </c>
      <c r="AC1425" s="714"/>
    </row>
    <row r="1426" spans="1:29" x14ac:dyDescent="0.25">
      <c r="A1426" s="713"/>
      <c r="B1426" s="729" t="s">
        <v>2229</v>
      </c>
      <c r="C1426" s="545" t="s">
        <v>40</v>
      </c>
      <c r="D1426" s="545" t="s">
        <v>2224</v>
      </c>
      <c r="E1426" s="681">
        <v>45047</v>
      </c>
      <c r="F1426" s="545">
        <v>744</v>
      </c>
      <c r="G1426" s="545" t="s">
        <v>59</v>
      </c>
      <c r="H1426" s="545" t="s">
        <v>3</v>
      </c>
      <c r="I1426" s="545" t="s">
        <v>44</v>
      </c>
      <c r="J1426" s="545" t="s">
        <v>85</v>
      </c>
      <c r="K1426" s="545">
        <v>111.5</v>
      </c>
      <c r="L1426" s="725" t="s">
        <v>54</v>
      </c>
      <c r="M1426" s="695">
        <v>0</v>
      </c>
      <c r="N1426" s="725">
        <v>5</v>
      </c>
      <c r="O1426" s="695">
        <v>0</v>
      </c>
      <c r="P1426" s="725">
        <v>112.42392929925218</v>
      </c>
      <c r="Q1426" s="742">
        <f t="shared" si="198"/>
        <v>0</v>
      </c>
      <c r="R1426" s="603">
        <f t="shared" si="199"/>
        <v>418217.0169932181</v>
      </c>
      <c r="S1426" s="743">
        <f t="shared" si="200"/>
        <v>418217.0169932181</v>
      </c>
      <c r="T1426" s="742">
        <v>70.2</v>
      </c>
      <c r="U1426" s="603">
        <f t="shared" si="201"/>
        <v>261144</v>
      </c>
      <c r="V1426" s="743">
        <f t="shared" si="202"/>
        <v>157073.0169932181</v>
      </c>
      <c r="W1426" s="744">
        <v>55.7</v>
      </c>
      <c r="X1426" s="604">
        <f t="shared" si="203"/>
        <v>207204</v>
      </c>
      <c r="Y1426" s="701">
        <f t="shared" si="204"/>
        <v>211013.0169932181</v>
      </c>
      <c r="Z1426" s="744">
        <v>86.223309628334476</v>
      </c>
      <c r="AA1426" s="604">
        <f t="shared" si="205"/>
        <v>320750.71181740426</v>
      </c>
      <c r="AB1426" s="745">
        <f t="shared" si="206"/>
        <v>97466.305175813846</v>
      </c>
      <c r="AC1426" s="714"/>
    </row>
    <row r="1427" spans="1:29" x14ac:dyDescent="0.25">
      <c r="A1427" s="713"/>
      <c r="B1427" s="731" t="s">
        <v>2235</v>
      </c>
      <c r="C1427" s="547" t="s">
        <v>40</v>
      </c>
      <c r="D1427" s="547" t="s">
        <v>467</v>
      </c>
      <c r="E1427" s="683">
        <v>44835</v>
      </c>
      <c r="F1427" s="547">
        <v>744</v>
      </c>
      <c r="G1427" s="547" t="s">
        <v>58</v>
      </c>
      <c r="H1427" s="547" t="s">
        <v>3</v>
      </c>
      <c r="I1427" s="547" t="s">
        <v>44</v>
      </c>
      <c r="J1427" s="547" t="s">
        <v>84</v>
      </c>
      <c r="K1427" s="547">
        <v>94.5</v>
      </c>
      <c r="L1427" s="727" t="s">
        <v>54</v>
      </c>
      <c r="M1427" s="697">
        <v>2</v>
      </c>
      <c r="N1427" s="727">
        <v>0</v>
      </c>
      <c r="O1427" s="697">
        <v>94.5</v>
      </c>
      <c r="P1427" s="727">
        <v>0</v>
      </c>
      <c r="Q1427" s="750">
        <f t="shared" si="198"/>
        <v>140616</v>
      </c>
      <c r="R1427" s="608">
        <f t="shared" si="199"/>
        <v>0</v>
      </c>
      <c r="S1427" s="751">
        <f t="shared" si="200"/>
        <v>-140616</v>
      </c>
      <c r="T1427" s="750">
        <v>55.7</v>
      </c>
      <c r="U1427" s="608">
        <f t="shared" si="201"/>
        <v>-82881.600000000006</v>
      </c>
      <c r="V1427" s="751">
        <f t="shared" si="202"/>
        <v>-57734.399999999994</v>
      </c>
      <c r="W1427" s="752">
        <v>55.7</v>
      </c>
      <c r="X1427" s="609">
        <f t="shared" si="203"/>
        <v>-82881.600000000006</v>
      </c>
      <c r="Y1427" s="703">
        <f t="shared" si="204"/>
        <v>-57734.399999999994</v>
      </c>
      <c r="Z1427" s="752">
        <v>55.7</v>
      </c>
      <c r="AA1427" s="609">
        <f t="shared" si="205"/>
        <v>-82881.600000000006</v>
      </c>
      <c r="AB1427" s="753">
        <f t="shared" si="206"/>
        <v>-57734.399999999994</v>
      </c>
      <c r="AC1427" s="714"/>
    </row>
    <row r="1428" spans="1:29" x14ac:dyDescent="0.25">
      <c r="A1428" s="713"/>
      <c r="B1428" s="731" t="s">
        <v>2236</v>
      </c>
      <c r="C1428" s="547" t="s">
        <v>40</v>
      </c>
      <c r="D1428" s="547" t="s">
        <v>473</v>
      </c>
      <c r="E1428" s="683">
        <v>44835</v>
      </c>
      <c r="F1428" s="547">
        <v>744</v>
      </c>
      <c r="G1428" s="547" t="s">
        <v>58</v>
      </c>
      <c r="H1428" s="547" t="s">
        <v>3</v>
      </c>
      <c r="I1428" s="547" t="s">
        <v>44</v>
      </c>
      <c r="J1428" s="547" t="s">
        <v>84</v>
      </c>
      <c r="K1428" s="547">
        <v>95</v>
      </c>
      <c r="L1428" s="727" t="s">
        <v>54</v>
      </c>
      <c r="M1428" s="697">
        <v>4</v>
      </c>
      <c r="N1428" s="727">
        <v>0</v>
      </c>
      <c r="O1428" s="697">
        <v>95</v>
      </c>
      <c r="P1428" s="727">
        <v>0</v>
      </c>
      <c r="Q1428" s="750">
        <f t="shared" si="198"/>
        <v>282720</v>
      </c>
      <c r="R1428" s="608">
        <f t="shared" si="199"/>
        <v>0</v>
      </c>
      <c r="S1428" s="751">
        <f t="shared" si="200"/>
        <v>-282720</v>
      </c>
      <c r="T1428" s="750">
        <v>55.7</v>
      </c>
      <c r="U1428" s="608">
        <f t="shared" si="201"/>
        <v>-165763.20000000001</v>
      </c>
      <c r="V1428" s="751">
        <f t="shared" si="202"/>
        <v>-116956.79999999999</v>
      </c>
      <c r="W1428" s="752">
        <v>55.7</v>
      </c>
      <c r="X1428" s="609">
        <f t="shared" si="203"/>
        <v>-165763.20000000001</v>
      </c>
      <c r="Y1428" s="703">
        <f t="shared" si="204"/>
        <v>-116956.79999999999</v>
      </c>
      <c r="Z1428" s="752">
        <v>55.7</v>
      </c>
      <c r="AA1428" s="609">
        <f t="shared" si="205"/>
        <v>-165763.20000000001</v>
      </c>
      <c r="AB1428" s="753">
        <f t="shared" si="206"/>
        <v>-116956.79999999999</v>
      </c>
      <c r="AC1428" s="714"/>
    </row>
    <row r="1429" spans="1:29" x14ac:dyDescent="0.25">
      <c r="A1429" s="713"/>
      <c r="B1429" s="731" t="s">
        <v>2237</v>
      </c>
      <c r="C1429" s="547" t="s">
        <v>40</v>
      </c>
      <c r="D1429" s="547" t="s">
        <v>2147</v>
      </c>
      <c r="E1429" s="683">
        <v>44835</v>
      </c>
      <c r="F1429" s="547">
        <v>744</v>
      </c>
      <c r="G1429" s="547" t="s">
        <v>58</v>
      </c>
      <c r="H1429" s="547" t="s">
        <v>3</v>
      </c>
      <c r="I1429" s="547" t="s">
        <v>44</v>
      </c>
      <c r="J1429" s="547" t="s">
        <v>84</v>
      </c>
      <c r="K1429" s="547">
        <v>95</v>
      </c>
      <c r="L1429" s="727" t="s">
        <v>54</v>
      </c>
      <c r="M1429" s="697">
        <v>2</v>
      </c>
      <c r="N1429" s="727">
        <v>0</v>
      </c>
      <c r="O1429" s="697">
        <v>95</v>
      </c>
      <c r="P1429" s="727">
        <v>0</v>
      </c>
      <c r="Q1429" s="750">
        <f t="shared" si="198"/>
        <v>141360</v>
      </c>
      <c r="R1429" s="608">
        <f t="shared" si="199"/>
        <v>0</v>
      </c>
      <c r="S1429" s="751">
        <f t="shared" si="200"/>
        <v>-141360</v>
      </c>
      <c r="T1429" s="750">
        <v>55.7</v>
      </c>
      <c r="U1429" s="608">
        <f t="shared" si="201"/>
        <v>-82881.600000000006</v>
      </c>
      <c r="V1429" s="751">
        <f t="shared" si="202"/>
        <v>-58478.399999999994</v>
      </c>
      <c r="W1429" s="752">
        <v>55.7</v>
      </c>
      <c r="X1429" s="609">
        <f t="shared" si="203"/>
        <v>-82881.600000000006</v>
      </c>
      <c r="Y1429" s="703">
        <f t="shared" si="204"/>
        <v>-58478.399999999994</v>
      </c>
      <c r="Z1429" s="752">
        <v>55.7</v>
      </c>
      <c r="AA1429" s="609">
        <f t="shared" si="205"/>
        <v>-82881.600000000006</v>
      </c>
      <c r="AB1429" s="753">
        <f t="shared" si="206"/>
        <v>-58478.399999999994</v>
      </c>
      <c r="AC1429" s="714"/>
    </row>
    <row r="1430" spans="1:29" x14ac:dyDescent="0.25">
      <c r="A1430" s="713"/>
      <c r="B1430" s="731" t="s">
        <v>2248</v>
      </c>
      <c r="C1430" s="547" t="s">
        <v>40</v>
      </c>
      <c r="D1430" s="547" t="s">
        <v>471</v>
      </c>
      <c r="E1430" s="683">
        <v>44774</v>
      </c>
      <c r="F1430" s="547">
        <v>744</v>
      </c>
      <c r="G1430" s="547" t="s">
        <v>58</v>
      </c>
      <c r="H1430" s="547" t="s">
        <v>5</v>
      </c>
      <c r="I1430" s="547" t="s">
        <v>44</v>
      </c>
      <c r="J1430" s="547" t="s">
        <v>84</v>
      </c>
      <c r="K1430" s="547">
        <v>29</v>
      </c>
      <c r="L1430" s="727" t="s">
        <v>92</v>
      </c>
      <c r="M1430" s="697">
        <v>3</v>
      </c>
      <c r="N1430" s="727">
        <v>0</v>
      </c>
      <c r="O1430" s="697">
        <v>105.9</v>
      </c>
      <c r="P1430" s="727">
        <v>0</v>
      </c>
      <c r="Q1430" s="750">
        <f t="shared" si="198"/>
        <v>236368.80000000002</v>
      </c>
      <c r="R1430" s="608">
        <f t="shared" si="199"/>
        <v>0</v>
      </c>
      <c r="S1430" s="751">
        <f t="shared" si="200"/>
        <v>-236368.80000000002</v>
      </c>
      <c r="T1430" s="750">
        <v>76.900000000000006</v>
      </c>
      <c r="U1430" s="608">
        <f t="shared" si="201"/>
        <v>-171640.80000000002</v>
      </c>
      <c r="V1430" s="751">
        <f t="shared" si="202"/>
        <v>-64728</v>
      </c>
      <c r="W1430" s="752">
        <v>76.900000000000006</v>
      </c>
      <c r="X1430" s="609">
        <f t="shared" si="203"/>
        <v>-171640.80000000002</v>
      </c>
      <c r="Y1430" s="703">
        <f t="shared" si="204"/>
        <v>-64728</v>
      </c>
      <c r="Z1430" s="752">
        <v>76.900000000000006</v>
      </c>
      <c r="AA1430" s="609">
        <f t="shared" si="205"/>
        <v>-171640.80000000002</v>
      </c>
      <c r="AB1430" s="753">
        <f t="shared" si="206"/>
        <v>-64728</v>
      </c>
      <c r="AC1430" s="714"/>
    </row>
    <row r="1431" spans="1:29" x14ac:dyDescent="0.25">
      <c r="A1431" s="713"/>
      <c r="B1431" s="731" t="s">
        <v>2249</v>
      </c>
      <c r="C1431" s="547" t="s">
        <v>40</v>
      </c>
      <c r="D1431" s="547" t="s">
        <v>467</v>
      </c>
      <c r="E1431" s="683">
        <v>44835</v>
      </c>
      <c r="F1431" s="547">
        <v>744</v>
      </c>
      <c r="G1431" s="547" t="s">
        <v>58</v>
      </c>
      <c r="H1431" s="547" t="s">
        <v>3</v>
      </c>
      <c r="I1431" s="547" t="s">
        <v>44</v>
      </c>
      <c r="J1431" s="547" t="s">
        <v>84</v>
      </c>
      <c r="K1431" s="547">
        <v>85.01</v>
      </c>
      <c r="L1431" s="727" t="s">
        <v>54</v>
      </c>
      <c r="M1431" s="697">
        <v>2</v>
      </c>
      <c r="N1431" s="727">
        <v>0</v>
      </c>
      <c r="O1431" s="697">
        <v>85.01</v>
      </c>
      <c r="P1431" s="727">
        <v>0</v>
      </c>
      <c r="Q1431" s="750">
        <f t="shared" si="198"/>
        <v>126494.88</v>
      </c>
      <c r="R1431" s="608">
        <f t="shared" si="199"/>
        <v>0</v>
      </c>
      <c r="S1431" s="751">
        <f t="shared" si="200"/>
        <v>-126494.88</v>
      </c>
      <c r="T1431" s="750">
        <v>55.7</v>
      </c>
      <c r="U1431" s="608">
        <f t="shared" si="201"/>
        <v>-82881.600000000006</v>
      </c>
      <c r="V1431" s="751">
        <f t="shared" si="202"/>
        <v>-43613.279999999999</v>
      </c>
      <c r="W1431" s="752">
        <v>55.7</v>
      </c>
      <c r="X1431" s="609">
        <f t="shared" si="203"/>
        <v>-82881.600000000006</v>
      </c>
      <c r="Y1431" s="703">
        <f t="shared" si="204"/>
        <v>-43613.279999999999</v>
      </c>
      <c r="Z1431" s="752">
        <v>55.7</v>
      </c>
      <c r="AA1431" s="609">
        <f t="shared" si="205"/>
        <v>-82881.600000000006</v>
      </c>
      <c r="AB1431" s="753">
        <f t="shared" si="206"/>
        <v>-43613.279999999999</v>
      </c>
      <c r="AC1431" s="714"/>
    </row>
    <row r="1432" spans="1:29" x14ac:dyDescent="0.25">
      <c r="A1432" s="713"/>
      <c r="B1432" s="731" t="s">
        <v>2250</v>
      </c>
      <c r="C1432" s="547" t="s">
        <v>40</v>
      </c>
      <c r="D1432" s="547" t="s">
        <v>2121</v>
      </c>
      <c r="E1432" s="683">
        <v>44835</v>
      </c>
      <c r="F1432" s="547">
        <v>744</v>
      </c>
      <c r="G1432" s="547" t="s">
        <v>58</v>
      </c>
      <c r="H1432" s="547" t="s">
        <v>3</v>
      </c>
      <c r="I1432" s="547" t="s">
        <v>44</v>
      </c>
      <c r="J1432" s="547" t="s">
        <v>84</v>
      </c>
      <c r="K1432" s="547">
        <v>86</v>
      </c>
      <c r="L1432" s="727" t="s">
        <v>54</v>
      </c>
      <c r="M1432" s="697">
        <v>2</v>
      </c>
      <c r="N1432" s="727">
        <v>0</v>
      </c>
      <c r="O1432" s="697">
        <v>86</v>
      </c>
      <c r="P1432" s="727">
        <v>0</v>
      </c>
      <c r="Q1432" s="750">
        <f t="shared" si="198"/>
        <v>127968</v>
      </c>
      <c r="R1432" s="608">
        <f t="shared" si="199"/>
        <v>0</v>
      </c>
      <c r="S1432" s="751">
        <f t="shared" si="200"/>
        <v>-127968</v>
      </c>
      <c r="T1432" s="750">
        <v>55.7</v>
      </c>
      <c r="U1432" s="608">
        <f t="shared" si="201"/>
        <v>-82881.600000000006</v>
      </c>
      <c r="V1432" s="751">
        <f t="shared" si="202"/>
        <v>-45086.399999999994</v>
      </c>
      <c r="W1432" s="752">
        <v>55.7</v>
      </c>
      <c r="X1432" s="609">
        <f t="shared" si="203"/>
        <v>-82881.600000000006</v>
      </c>
      <c r="Y1432" s="703">
        <f t="shared" si="204"/>
        <v>-45086.399999999994</v>
      </c>
      <c r="Z1432" s="752">
        <v>55.7</v>
      </c>
      <c r="AA1432" s="609">
        <f t="shared" si="205"/>
        <v>-82881.600000000006</v>
      </c>
      <c r="AB1432" s="753">
        <f t="shared" si="206"/>
        <v>-45086.399999999994</v>
      </c>
      <c r="AC1432" s="714"/>
    </row>
    <row r="1433" spans="1:29" x14ac:dyDescent="0.25">
      <c r="A1433" s="713"/>
      <c r="B1433" s="731" t="s">
        <v>2251</v>
      </c>
      <c r="C1433" s="547" t="s">
        <v>40</v>
      </c>
      <c r="D1433" s="547" t="s">
        <v>1917</v>
      </c>
      <c r="E1433" s="683">
        <v>44835</v>
      </c>
      <c r="F1433" s="547">
        <v>744</v>
      </c>
      <c r="G1433" s="547" t="s">
        <v>58</v>
      </c>
      <c r="H1433" s="547" t="s">
        <v>3</v>
      </c>
      <c r="I1433" s="547" t="s">
        <v>44</v>
      </c>
      <c r="J1433" s="547" t="s">
        <v>84</v>
      </c>
      <c r="K1433" s="547">
        <v>86</v>
      </c>
      <c r="L1433" s="727" t="s">
        <v>54</v>
      </c>
      <c r="M1433" s="697">
        <v>2</v>
      </c>
      <c r="N1433" s="727">
        <v>0</v>
      </c>
      <c r="O1433" s="697">
        <v>86</v>
      </c>
      <c r="P1433" s="727">
        <v>0</v>
      </c>
      <c r="Q1433" s="750">
        <f t="shared" si="198"/>
        <v>127968</v>
      </c>
      <c r="R1433" s="608">
        <f t="shared" si="199"/>
        <v>0</v>
      </c>
      <c r="S1433" s="751">
        <f t="shared" si="200"/>
        <v>-127968</v>
      </c>
      <c r="T1433" s="750">
        <v>55.7</v>
      </c>
      <c r="U1433" s="608">
        <f t="shared" si="201"/>
        <v>-82881.600000000006</v>
      </c>
      <c r="V1433" s="751">
        <f t="shared" si="202"/>
        <v>-45086.399999999994</v>
      </c>
      <c r="W1433" s="752">
        <v>55.7</v>
      </c>
      <c r="X1433" s="609">
        <f t="shared" si="203"/>
        <v>-82881.600000000006</v>
      </c>
      <c r="Y1433" s="703">
        <f t="shared" si="204"/>
        <v>-45086.399999999994</v>
      </c>
      <c r="Z1433" s="752">
        <v>55.7</v>
      </c>
      <c r="AA1433" s="609">
        <f t="shared" si="205"/>
        <v>-82881.600000000006</v>
      </c>
      <c r="AB1433" s="753">
        <f t="shared" si="206"/>
        <v>-45086.399999999994</v>
      </c>
      <c r="AC1433" s="714"/>
    </row>
    <row r="1434" spans="1:29" x14ac:dyDescent="0.25">
      <c r="A1434" s="713"/>
      <c r="B1434" s="731" t="s">
        <v>2252</v>
      </c>
      <c r="C1434" s="547" t="s">
        <v>40</v>
      </c>
      <c r="D1434" s="547" t="s">
        <v>2147</v>
      </c>
      <c r="E1434" s="683">
        <v>44805</v>
      </c>
      <c r="F1434" s="547">
        <v>720</v>
      </c>
      <c r="G1434" s="547" t="s">
        <v>58</v>
      </c>
      <c r="H1434" s="547" t="s">
        <v>3</v>
      </c>
      <c r="I1434" s="547" t="s">
        <v>44</v>
      </c>
      <c r="J1434" s="547" t="s">
        <v>84</v>
      </c>
      <c r="K1434" s="547">
        <v>62</v>
      </c>
      <c r="L1434" s="727" t="s">
        <v>54</v>
      </c>
      <c r="M1434" s="697">
        <v>1.2</v>
      </c>
      <c r="N1434" s="727">
        <v>0</v>
      </c>
      <c r="O1434" s="697">
        <v>62</v>
      </c>
      <c r="P1434" s="727">
        <v>0</v>
      </c>
      <c r="Q1434" s="750">
        <f t="shared" si="198"/>
        <v>53568</v>
      </c>
      <c r="R1434" s="608">
        <f t="shared" si="199"/>
        <v>0</v>
      </c>
      <c r="S1434" s="751">
        <f t="shared" si="200"/>
        <v>-53568</v>
      </c>
      <c r="T1434" s="750">
        <v>56.08</v>
      </c>
      <c r="U1434" s="608">
        <f t="shared" si="201"/>
        <v>-48453.119999999995</v>
      </c>
      <c r="V1434" s="751">
        <f t="shared" si="202"/>
        <v>-5114.8800000000047</v>
      </c>
      <c r="W1434" s="752">
        <v>56.08</v>
      </c>
      <c r="X1434" s="609">
        <f t="shared" si="203"/>
        <v>-48453.119999999995</v>
      </c>
      <c r="Y1434" s="703">
        <f t="shared" si="204"/>
        <v>-5114.8800000000047</v>
      </c>
      <c r="Z1434" s="752">
        <v>56.08</v>
      </c>
      <c r="AA1434" s="609">
        <f t="shared" si="205"/>
        <v>-48453.119999999995</v>
      </c>
      <c r="AB1434" s="753">
        <f t="shared" si="206"/>
        <v>-5114.8800000000047</v>
      </c>
      <c r="AC1434" s="714"/>
    </row>
    <row r="1435" spans="1:29" x14ac:dyDescent="0.25">
      <c r="A1435" s="713"/>
      <c r="B1435" s="731" t="s">
        <v>2253</v>
      </c>
      <c r="C1435" s="547" t="s">
        <v>40</v>
      </c>
      <c r="D1435" s="547" t="s">
        <v>1132</v>
      </c>
      <c r="E1435" s="683">
        <v>44835</v>
      </c>
      <c r="F1435" s="547">
        <v>744</v>
      </c>
      <c r="G1435" s="547" t="s">
        <v>58</v>
      </c>
      <c r="H1435" s="547" t="s">
        <v>3</v>
      </c>
      <c r="I1435" s="547" t="s">
        <v>44</v>
      </c>
      <c r="J1435" s="547" t="s">
        <v>84</v>
      </c>
      <c r="K1435" s="547">
        <v>86</v>
      </c>
      <c r="L1435" s="727" t="s">
        <v>54</v>
      </c>
      <c r="M1435" s="697">
        <v>2</v>
      </c>
      <c r="N1435" s="727">
        <v>0</v>
      </c>
      <c r="O1435" s="697">
        <v>86</v>
      </c>
      <c r="P1435" s="727">
        <v>0</v>
      </c>
      <c r="Q1435" s="750">
        <f t="shared" si="198"/>
        <v>127968</v>
      </c>
      <c r="R1435" s="608">
        <f t="shared" si="199"/>
        <v>0</v>
      </c>
      <c r="S1435" s="751">
        <f t="shared" si="200"/>
        <v>-127968</v>
      </c>
      <c r="T1435" s="750">
        <v>55.7</v>
      </c>
      <c r="U1435" s="608">
        <f t="shared" si="201"/>
        <v>-82881.600000000006</v>
      </c>
      <c r="V1435" s="751">
        <f t="shared" si="202"/>
        <v>-45086.399999999994</v>
      </c>
      <c r="W1435" s="752">
        <v>55.7</v>
      </c>
      <c r="X1435" s="609">
        <f t="shared" si="203"/>
        <v>-82881.600000000006</v>
      </c>
      <c r="Y1435" s="703">
        <f t="shared" si="204"/>
        <v>-45086.399999999994</v>
      </c>
      <c r="Z1435" s="752">
        <v>55.7</v>
      </c>
      <c r="AA1435" s="609">
        <f t="shared" si="205"/>
        <v>-82881.600000000006</v>
      </c>
      <c r="AB1435" s="753">
        <f t="shared" si="206"/>
        <v>-45086.399999999994</v>
      </c>
      <c r="AC1435" s="714"/>
    </row>
    <row r="1436" spans="1:29" x14ac:dyDescent="0.25">
      <c r="A1436" s="713"/>
      <c r="B1436" s="731" t="s">
        <v>2260</v>
      </c>
      <c r="C1436" s="547" t="s">
        <v>40</v>
      </c>
      <c r="D1436" s="547" t="s">
        <v>471</v>
      </c>
      <c r="E1436" s="683">
        <v>44774</v>
      </c>
      <c r="F1436" s="547">
        <v>744</v>
      </c>
      <c r="G1436" s="547" t="s">
        <v>58</v>
      </c>
      <c r="H1436" s="547" t="s">
        <v>5</v>
      </c>
      <c r="I1436" s="547" t="s">
        <v>44</v>
      </c>
      <c r="J1436" s="547" t="s">
        <v>84</v>
      </c>
      <c r="K1436" s="547">
        <v>29</v>
      </c>
      <c r="L1436" s="727" t="s">
        <v>92</v>
      </c>
      <c r="M1436" s="697">
        <v>3</v>
      </c>
      <c r="N1436" s="727">
        <v>0</v>
      </c>
      <c r="O1436" s="697">
        <v>105.9</v>
      </c>
      <c r="P1436" s="727">
        <v>0</v>
      </c>
      <c r="Q1436" s="750">
        <f t="shared" si="198"/>
        <v>236368.80000000002</v>
      </c>
      <c r="R1436" s="608">
        <f t="shared" si="199"/>
        <v>0</v>
      </c>
      <c r="S1436" s="751">
        <f t="shared" si="200"/>
        <v>-236368.80000000002</v>
      </c>
      <c r="T1436" s="750">
        <v>76.900000000000006</v>
      </c>
      <c r="U1436" s="608">
        <f t="shared" si="201"/>
        <v>-171640.80000000002</v>
      </c>
      <c r="V1436" s="751">
        <f t="shared" si="202"/>
        <v>-64728</v>
      </c>
      <c r="W1436" s="752">
        <v>76.900000000000006</v>
      </c>
      <c r="X1436" s="609">
        <f t="shared" si="203"/>
        <v>-171640.80000000002</v>
      </c>
      <c r="Y1436" s="703">
        <f t="shared" si="204"/>
        <v>-64728</v>
      </c>
      <c r="Z1436" s="752">
        <v>76.900000000000006</v>
      </c>
      <c r="AA1436" s="609">
        <f t="shared" si="205"/>
        <v>-171640.80000000002</v>
      </c>
      <c r="AB1436" s="753">
        <f t="shared" si="206"/>
        <v>-64728</v>
      </c>
      <c r="AC1436" s="714"/>
    </row>
    <row r="1437" spans="1:29" x14ac:dyDescent="0.25">
      <c r="A1437" s="713"/>
      <c r="B1437" s="731" t="s">
        <v>2262</v>
      </c>
      <c r="C1437" s="547" t="s">
        <v>40</v>
      </c>
      <c r="D1437" s="547" t="s">
        <v>2050</v>
      </c>
      <c r="E1437" s="683">
        <v>44774</v>
      </c>
      <c r="F1437" s="547">
        <v>744</v>
      </c>
      <c r="G1437" s="547" t="s">
        <v>58</v>
      </c>
      <c r="H1437" s="547" t="s">
        <v>5</v>
      </c>
      <c r="I1437" s="547" t="s">
        <v>44</v>
      </c>
      <c r="J1437" s="547" t="s">
        <v>84</v>
      </c>
      <c r="K1437" s="547">
        <v>29</v>
      </c>
      <c r="L1437" s="727" t="s">
        <v>92</v>
      </c>
      <c r="M1437" s="697">
        <v>10</v>
      </c>
      <c r="N1437" s="727">
        <v>0</v>
      </c>
      <c r="O1437" s="697">
        <v>105.9</v>
      </c>
      <c r="P1437" s="727">
        <v>0</v>
      </c>
      <c r="Q1437" s="750">
        <f t="shared" si="198"/>
        <v>787896</v>
      </c>
      <c r="R1437" s="608">
        <f t="shared" si="199"/>
        <v>0</v>
      </c>
      <c r="S1437" s="751">
        <f t="shared" si="200"/>
        <v>-787896</v>
      </c>
      <c r="T1437" s="750">
        <v>76.900000000000006</v>
      </c>
      <c r="U1437" s="608">
        <f t="shared" si="201"/>
        <v>-572136</v>
      </c>
      <c r="V1437" s="751">
        <f t="shared" si="202"/>
        <v>-215760</v>
      </c>
      <c r="W1437" s="752">
        <v>76.900000000000006</v>
      </c>
      <c r="X1437" s="609">
        <f t="shared" si="203"/>
        <v>-572136</v>
      </c>
      <c r="Y1437" s="703">
        <f t="shared" si="204"/>
        <v>-215760</v>
      </c>
      <c r="Z1437" s="752">
        <v>76.900000000000006</v>
      </c>
      <c r="AA1437" s="609">
        <f t="shared" si="205"/>
        <v>-572136</v>
      </c>
      <c r="AB1437" s="753">
        <f t="shared" si="206"/>
        <v>-215760</v>
      </c>
      <c r="AC1437" s="714"/>
    </row>
    <row r="1438" spans="1:29" x14ac:dyDescent="0.25">
      <c r="A1438" s="713"/>
      <c r="B1438" s="731" t="s">
        <v>2264</v>
      </c>
      <c r="C1438" s="547" t="s">
        <v>40</v>
      </c>
      <c r="D1438" s="547" t="s">
        <v>2085</v>
      </c>
      <c r="E1438" s="683">
        <v>44774</v>
      </c>
      <c r="F1438" s="547">
        <v>744</v>
      </c>
      <c r="G1438" s="547" t="s">
        <v>58</v>
      </c>
      <c r="H1438" s="547" t="s">
        <v>5</v>
      </c>
      <c r="I1438" s="547" t="s">
        <v>44</v>
      </c>
      <c r="J1438" s="547" t="s">
        <v>84</v>
      </c>
      <c r="K1438" s="547">
        <v>106</v>
      </c>
      <c r="L1438" s="727" t="s">
        <v>54</v>
      </c>
      <c r="M1438" s="697">
        <v>9</v>
      </c>
      <c r="N1438" s="727">
        <v>0</v>
      </c>
      <c r="O1438" s="697">
        <v>106</v>
      </c>
      <c r="P1438" s="727">
        <v>0</v>
      </c>
      <c r="Q1438" s="750">
        <f t="shared" si="198"/>
        <v>709776</v>
      </c>
      <c r="R1438" s="608">
        <f t="shared" si="199"/>
        <v>0</v>
      </c>
      <c r="S1438" s="751">
        <f t="shared" si="200"/>
        <v>-709776</v>
      </c>
      <c r="T1438" s="750">
        <v>76.900000000000006</v>
      </c>
      <c r="U1438" s="608">
        <f t="shared" si="201"/>
        <v>-514922.4</v>
      </c>
      <c r="V1438" s="751">
        <f t="shared" si="202"/>
        <v>-194853.59999999998</v>
      </c>
      <c r="W1438" s="752">
        <v>76.900000000000006</v>
      </c>
      <c r="X1438" s="609">
        <f t="shared" si="203"/>
        <v>-514922.4</v>
      </c>
      <c r="Y1438" s="703">
        <f t="shared" si="204"/>
        <v>-194853.59999999998</v>
      </c>
      <c r="Z1438" s="752">
        <v>76.900000000000006</v>
      </c>
      <c r="AA1438" s="609">
        <f t="shared" si="205"/>
        <v>-514922.4</v>
      </c>
      <c r="AB1438" s="753">
        <f t="shared" si="206"/>
        <v>-194853.59999999998</v>
      </c>
      <c r="AC1438" s="714"/>
    </row>
    <row r="1439" spans="1:29" x14ac:dyDescent="0.25">
      <c r="A1439" s="713"/>
      <c r="B1439" s="731" t="s">
        <v>2269</v>
      </c>
      <c r="C1439" s="547" t="s">
        <v>40</v>
      </c>
      <c r="D1439" s="547" t="s">
        <v>478</v>
      </c>
      <c r="E1439" s="683">
        <v>44835</v>
      </c>
      <c r="F1439" s="547">
        <v>744</v>
      </c>
      <c r="G1439" s="547" t="s">
        <v>58</v>
      </c>
      <c r="H1439" s="547" t="s">
        <v>3</v>
      </c>
      <c r="I1439" s="547" t="s">
        <v>44</v>
      </c>
      <c r="J1439" s="547" t="s">
        <v>84</v>
      </c>
      <c r="K1439" s="547">
        <v>83.5</v>
      </c>
      <c r="L1439" s="727" t="s">
        <v>54</v>
      </c>
      <c r="M1439" s="697">
        <v>3</v>
      </c>
      <c r="N1439" s="727">
        <v>0</v>
      </c>
      <c r="O1439" s="697">
        <v>83.5</v>
      </c>
      <c r="P1439" s="727">
        <v>0</v>
      </c>
      <c r="Q1439" s="750">
        <f t="shared" si="198"/>
        <v>186372</v>
      </c>
      <c r="R1439" s="608">
        <f t="shared" si="199"/>
        <v>0</v>
      </c>
      <c r="S1439" s="751">
        <f t="shared" si="200"/>
        <v>-186372</v>
      </c>
      <c r="T1439" s="750">
        <v>55.7</v>
      </c>
      <c r="U1439" s="608">
        <f t="shared" si="201"/>
        <v>-124322.40000000001</v>
      </c>
      <c r="V1439" s="751">
        <f t="shared" si="202"/>
        <v>-62049.599999999991</v>
      </c>
      <c r="W1439" s="752">
        <v>55.7</v>
      </c>
      <c r="X1439" s="609">
        <f t="shared" si="203"/>
        <v>-124322.40000000001</v>
      </c>
      <c r="Y1439" s="703">
        <f t="shared" si="204"/>
        <v>-62049.599999999991</v>
      </c>
      <c r="Z1439" s="752">
        <v>55.7</v>
      </c>
      <c r="AA1439" s="609">
        <f t="shared" si="205"/>
        <v>-124322.40000000001</v>
      </c>
      <c r="AB1439" s="753">
        <f t="shared" si="206"/>
        <v>-62049.599999999991</v>
      </c>
      <c r="AC1439" s="714"/>
    </row>
    <row r="1440" spans="1:29" x14ac:dyDescent="0.25">
      <c r="A1440" s="713"/>
      <c r="B1440" s="731" t="s">
        <v>2270</v>
      </c>
      <c r="C1440" s="547" t="s">
        <v>40</v>
      </c>
      <c r="D1440" s="547" t="s">
        <v>2267</v>
      </c>
      <c r="E1440" s="683">
        <v>44835</v>
      </c>
      <c r="F1440" s="547">
        <v>744</v>
      </c>
      <c r="G1440" s="547" t="s">
        <v>58</v>
      </c>
      <c r="H1440" s="547" t="s">
        <v>3</v>
      </c>
      <c r="I1440" s="547" t="s">
        <v>44</v>
      </c>
      <c r="J1440" s="547" t="s">
        <v>84</v>
      </c>
      <c r="K1440" s="547">
        <v>84</v>
      </c>
      <c r="L1440" s="727" t="s">
        <v>54</v>
      </c>
      <c r="M1440" s="697">
        <v>1</v>
      </c>
      <c r="N1440" s="727">
        <v>0</v>
      </c>
      <c r="O1440" s="697">
        <v>84</v>
      </c>
      <c r="P1440" s="727">
        <v>0</v>
      </c>
      <c r="Q1440" s="750">
        <f t="shared" si="198"/>
        <v>62496</v>
      </c>
      <c r="R1440" s="608">
        <f t="shared" si="199"/>
        <v>0</v>
      </c>
      <c r="S1440" s="751">
        <f t="shared" si="200"/>
        <v>-62496</v>
      </c>
      <c r="T1440" s="750">
        <v>55.7</v>
      </c>
      <c r="U1440" s="608">
        <f t="shared" si="201"/>
        <v>-41440.800000000003</v>
      </c>
      <c r="V1440" s="751">
        <f t="shared" si="202"/>
        <v>-21055.199999999997</v>
      </c>
      <c r="W1440" s="752">
        <v>55.7</v>
      </c>
      <c r="X1440" s="609">
        <f t="shared" si="203"/>
        <v>-41440.800000000003</v>
      </c>
      <c r="Y1440" s="703">
        <f t="shared" si="204"/>
        <v>-21055.199999999997</v>
      </c>
      <c r="Z1440" s="752">
        <v>55.7</v>
      </c>
      <c r="AA1440" s="609">
        <f t="shared" si="205"/>
        <v>-41440.800000000003</v>
      </c>
      <c r="AB1440" s="753">
        <f t="shared" si="206"/>
        <v>-21055.199999999997</v>
      </c>
      <c r="AC1440" s="714"/>
    </row>
    <row r="1441" spans="1:29" x14ac:dyDescent="0.25">
      <c r="A1441" s="713"/>
      <c r="B1441" s="731" t="s">
        <v>2277</v>
      </c>
      <c r="C1441" s="547" t="s">
        <v>40</v>
      </c>
      <c r="D1441" s="547" t="s">
        <v>471</v>
      </c>
      <c r="E1441" s="683">
        <v>44774</v>
      </c>
      <c r="F1441" s="547">
        <v>744</v>
      </c>
      <c r="G1441" s="547" t="s">
        <v>58</v>
      </c>
      <c r="H1441" s="547" t="s">
        <v>5</v>
      </c>
      <c r="I1441" s="547" t="s">
        <v>44</v>
      </c>
      <c r="J1441" s="547" t="s">
        <v>84</v>
      </c>
      <c r="K1441" s="547">
        <v>28</v>
      </c>
      <c r="L1441" s="727" t="s">
        <v>92</v>
      </c>
      <c r="M1441" s="697">
        <v>1.9</v>
      </c>
      <c r="N1441" s="727">
        <v>0</v>
      </c>
      <c r="O1441" s="697">
        <v>104.9</v>
      </c>
      <c r="P1441" s="727">
        <v>0</v>
      </c>
      <c r="Q1441" s="750">
        <f t="shared" si="198"/>
        <v>148286.63999999998</v>
      </c>
      <c r="R1441" s="608">
        <f t="shared" si="199"/>
        <v>0</v>
      </c>
      <c r="S1441" s="751">
        <f t="shared" si="200"/>
        <v>-148286.63999999998</v>
      </c>
      <c r="T1441" s="750">
        <v>76.900000000000006</v>
      </c>
      <c r="U1441" s="608">
        <f t="shared" si="201"/>
        <v>-108705.84</v>
      </c>
      <c r="V1441" s="751">
        <f t="shared" si="202"/>
        <v>-39580.799999999988</v>
      </c>
      <c r="W1441" s="752">
        <v>76.900000000000006</v>
      </c>
      <c r="X1441" s="609">
        <f t="shared" si="203"/>
        <v>-108705.84</v>
      </c>
      <c r="Y1441" s="703">
        <f t="shared" si="204"/>
        <v>-39580.799999999988</v>
      </c>
      <c r="Z1441" s="752">
        <v>76.900000000000006</v>
      </c>
      <c r="AA1441" s="609">
        <f t="shared" si="205"/>
        <v>-108705.84</v>
      </c>
      <c r="AB1441" s="753">
        <f t="shared" si="206"/>
        <v>-39580.799999999988</v>
      </c>
      <c r="AC1441" s="714"/>
    </row>
    <row r="1442" spans="1:29" x14ac:dyDescent="0.25">
      <c r="A1442" s="713"/>
      <c r="B1442" s="731" t="s">
        <v>2278</v>
      </c>
      <c r="C1442" s="547" t="s">
        <v>40</v>
      </c>
      <c r="D1442" s="547" t="s">
        <v>2147</v>
      </c>
      <c r="E1442" s="683">
        <v>44835</v>
      </c>
      <c r="F1442" s="547">
        <v>744</v>
      </c>
      <c r="G1442" s="547" t="s">
        <v>58</v>
      </c>
      <c r="H1442" s="547" t="s">
        <v>3</v>
      </c>
      <c r="I1442" s="547" t="s">
        <v>44</v>
      </c>
      <c r="J1442" s="547" t="s">
        <v>84</v>
      </c>
      <c r="K1442" s="547">
        <v>76</v>
      </c>
      <c r="L1442" s="727" t="s">
        <v>54</v>
      </c>
      <c r="M1442" s="697">
        <v>2</v>
      </c>
      <c r="N1442" s="727">
        <v>0</v>
      </c>
      <c r="O1442" s="697">
        <v>76</v>
      </c>
      <c r="P1442" s="727">
        <v>0</v>
      </c>
      <c r="Q1442" s="750">
        <f t="shared" si="198"/>
        <v>113088</v>
      </c>
      <c r="R1442" s="608">
        <f t="shared" si="199"/>
        <v>0</v>
      </c>
      <c r="S1442" s="751">
        <f t="shared" si="200"/>
        <v>-113088</v>
      </c>
      <c r="T1442" s="750">
        <v>55.7</v>
      </c>
      <c r="U1442" s="608">
        <f t="shared" si="201"/>
        <v>-82881.600000000006</v>
      </c>
      <c r="V1442" s="751">
        <f t="shared" si="202"/>
        <v>-30206.399999999994</v>
      </c>
      <c r="W1442" s="752">
        <v>55.7</v>
      </c>
      <c r="X1442" s="609">
        <f t="shared" si="203"/>
        <v>-82881.600000000006</v>
      </c>
      <c r="Y1442" s="703">
        <f t="shared" si="204"/>
        <v>-30206.399999999994</v>
      </c>
      <c r="Z1442" s="752">
        <v>55.7</v>
      </c>
      <c r="AA1442" s="609">
        <f t="shared" si="205"/>
        <v>-82881.600000000006</v>
      </c>
      <c r="AB1442" s="753">
        <f t="shared" si="206"/>
        <v>-30206.399999999994</v>
      </c>
      <c r="AC1442" s="714"/>
    </row>
    <row r="1443" spans="1:29" x14ac:dyDescent="0.25">
      <c r="A1443" s="713"/>
      <c r="B1443" s="731" t="s">
        <v>2279</v>
      </c>
      <c r="C1443" s="547" t="s">
        <v>40</v>
      </c>
      <c r="D1443" s="547" t="s">
        <v>2147</v>
      </c>
      <c r="E1443" s="683">
        <v>44866</v>
      </c>
      <c r="F1443" s="547">
        <v>720</v>
      </c>
      <c r="G1443" s="547" t="s">
        <v>58</v>
      </c>
      <c r="H1443" s="547" t="s">
        <v>3</v>
      </c>
      <c r="I1443" s="547" t="s">
        <v>44</v>
      </c>
      <c r="J1443" s="547" t="s">
        <v>84</v>
      </c>
      <c r="K1443" s="547">
        <v>81.5</v>
      </c>
      <c r="L1443" s="727" t="s">
        <v>54</v>
      </c>
      <c r="M1443" s="697">
        <v>2</v>
      </c>
      <c r="N1443" s="727">
        <v>0</v>
      </c>
      <c r="O1443" s="697">
        <v>81.5</v>
      </c>
      <c r="P1443" s="727">
        <v>0</v>
      </c>
      <c r="Q1443" s="750">
        <f t="shared" si="198"/>
        <v>117360</v>
      </c>
      <c r="R1443" s="608">
        <f t="shared" si="199"/>
        <v>0</v>
      </c>
      <c r="S1443" s="751">
        <f t="shared" si="200"/>
        <v>-117360</v>
      </c>
      <c r="T1443" s="750">
        <v>55.7</v>
      </c>
      <c r="U1443" s="608">
        <f t="shared" si="201"/>
        <v>-80208</v>
      </c>
      <c r="V1443" s="751">
        <f t="shared" si="202"/>
        <v>-37152</v>
      </c>
      <c r="W1443" s="752">
        <v>55.7</v>
      </c>
      <c r="X1443" s="609">
        <f t="shared" si="203"/>
        <v>-80208</v>
      </c>
      <c r="Y1443" s="703">
        <f t="shared" si="204"/>
        <v>-37152</v>
      </c>
      <c r="Z1443" s="752">
        <v>55.7</v>
      </c>
      <c r="AA1443" s="609">
        <f t="shared" si="205"/>
        <v>-80208</v>
      </c>
      <c r="AB1443" s="753">
        <f t="shared" si="206"/>
        <v>-37152</v>
      </c>
      <c r="AC1443" s="714"/>
    </row>
    <row r="1444" spans="1:29" x14ac:dyDescent="0.25">
      <c r="A1444" s="713"/>
      <c r="B1444" s="731" t="s">
        <v>2280</v>
      </c>
      <c r="C1444" s="547" t="s">
        <v>40</v>
      </c>
      <c r="D1444" s="547" t="s">
        <v>404</v>
      </c>
      <c r="E1444" s="683">
        <v>44835</v>
      </c>
      <c r="F1444" s="547">
        <v>744</v>
      </c>
      <c r="G1444" s="547" t="s">
        <v>58</v>
      </c>
      <c r="H1444" s="547" t="s">
        <v>3</v>
      </c>
      <c r="I1444" s="547" t="s">
        <v>44</v>
      </c>
      <c r="J1444" s="547" t="s">
        <v>84</v>
      </c>
      <c r="K1444" s="547">
        <v>76.5</v>
      </c>
      <c r="L1444" s="727" t="s">
        <v>54</v>
      </c>
      <c r="M1444" s="697">
        <v>3</v>
      </c>
      <c r="N1444" s="727">
        <v>0</v>
      </c>
      <c r="O1444" s="697">
        <v>76.5</v>
      </c>
      <c r="P1444" s="727">
        <v>0</v>
      </c>
      <c r="Q1444" s="750">
        <f t="shared" si="198"/>
        <v>170748</v>
      </c>
      <c r="R1444" s="608">
        <f t="shared" si="199"/>
        <v>0</v>
      </c>
      <c r="S1444" s="751">
        <f t="shared" si="200"/>
        <v>-170748</v>
      </c>
      <c r="T1444" s="750">
        <v>55.7</v>
      </c>
      <c r="U1444" s="608">
        <f t="shared" si="201"/>
        <v>-124322.40000000001</v>
      </c>
      <c r="V1444" s="751">
        <f t="shared" si="202"/>
        <v>-46425.599999999991</v>
      </c>
      <c r="W1444" s="752">
        <v>55.7</v>
      </c>
      <c r="X1444" s="609">
        <f t="shared" si="203"/>
        <v>-124322.40000000001</v>
      </c>
      <c r="Y1444" s="703">
        <f t="shared" si="204"/>
        <v>-46425.599999999991</v>
      </c>
      <c r="Z1444" s="752">
        <v>55.7</v>
      </c>
      <c r="AA1444" s="609">
        <f t="shared" si="205"/>
        <v>-124322.40000000001</v>
      </c>
      <c r="AB1444" s="753">
        <f t="shared" si="206"/>
        <v>-46425.599999999991</v>
      </c>
      <c r="AC1444" s="714"/>
    </row>
    <row r="1445" spans="1:29" x14ac:dyDescent="0.25">
      <c r="A1445" s="713"/>
      <c r="B1445" s="731" t="s">
        <v>2281</v>
      </c>
      <c r="C1445" s="547" t="s">
        <v>40</v>
      </c>
      <c r="D1445" s="547" t="s">
        <v>1132</v>
      </c>
      <c r="E1445" s="683">
        <v>44866</v>
      </c>
      <c r="F1445" s="547">
        <v>720</v>
      </c>
      <c r="G1445" s="547" t="s">
        <v>58</v>
      </c>
      <c r="H1445" s="547" t="s">
        <v>3</v>
      </c>
      <c r="I1445" s="547" t="s">
        <v>44</v>
      </c>
      <c r="J1445" s="547" t="s">
        <v>84</v>
      </c>
      <c r="K1445" s="547">
        <v>83.1</v>
      </c>
      <c r="L1445" s="727" t="s">
        <v>54</v>
      </c>
      <c r="M1445" s="697">
        <v>2</v>
      </c>
      <c r="N1445" s="727">
        <v>0</v>
      </c>
      <c r="O1445" s="697">
        <v>83.1</v>
      </c>
      <c r="P1445" s="727">
        <v>0</v>
      </c>
      <c r="Q1445" s="750">
        <f t="shared" si="198"/>
        <v>119663.99999999999</v>
      </c>
      <c r="R1445" s="608">
        <f t="shared" si="199"/>
        <v>0</v>
      </c>
      <c r="S1445" s="751">
        <f t="shared" si="200"/>
        <v>-119663.99999999999</v>
      </c>
      <c r="T1445" s="750">
        <v>55.7</v>
      </c>
      <c r="U1445" s="608">
        <f t="shared" si="201"/>
        <v>-80208</v>
      </c>
      <c r="V1445" s="751">
        <f t="shared" si="202"/>
        <v>-39455.999999999985</v>
      </c>
      <c r="W1445" s="752">
        <v>55.7</v>
      </c>
      <c r="X1445" s="609">
        <f t="shared" si="203"/>
        <v>-80208</v>
      </c>
      <c r="Y1445" s="703">
        <f t="shared" si="204"/>
        <v>-39455.999999999985</v>
      </c>
      <c r="Z1445" s="752">
        <v>55.7</v>
      </c>
      <c r="AA1445" s="609">
        <f t="shared" si="205"/>
        <v>-80208</v>
      </c>
      <c r="AB1445" s="753">
        <f t="shared" si="206"/>
        <v>-39455.999999999985</v>
      </c>
      <c r="AC1445" s="714"/>
    </row>
    <row r="1446" spans="1:29" x14ac:dyDescent="0.25">
      <c r="A1446" s="713"/>
      <c r="B1446" s="731" t="s">
        <v>2285</v>
      </c>
      <c r="C1446" s="547" t="s">
        <v>40</v>
      </c>
      <c r="D1446" s="547" t="s">
        <v>1854</v>
      </c>
      <c r="E1446" s="683">
        <v>44866</v>
      </c>
      <c r="F1446" s="547">
        <v>720</v>
      </c>
      <c r="G1446" s="547" t="s">
        <v>59</v>
      </c>
      <c r="H1446" s="547" t="s">
        <v>3</v>
      </c>
      <c r="I1446" s="547" t="s">
        <v>44</v>
      </c>
      <c r="J1446" s="547" t="s">
        <v>85</v>
      </c>
      <c r="K1446" s="547">
        <v>76</v>
      </c>
      <c r="L1446" s="727" t="s">
        <v>54</v>
      </c>
      <c r="M1446" s="697">
        <v>0</v>
      </c>
      <c r="N1446" s="727">
        <v>4</v>
      </c>
      <c r="O1446" s="697">
        <v>0</v>
      </c>
      <c r="P1446" s="727">
        <v>76</v>
      </c>
      <c r="Q1446" s="750">
        <f t="shared" si="198"/>
        <v>0</v>
      </c>
      <c r="R1446" s="608">
        <f t="shared" si="199"/>
        <v>218880</v>
      </c>
      <c r="S1446" s="751">
        <f t="shared" si="200"/>
        <v>218880</v>
      </c>
      <c r="T1446" s="750">
        <v>55.7</v>
      </c>
      <c r="U1446" s="608">
        <f t="shared" si="201"/>
        <v>160416</v>
      </c>
      <c r="V1446" s="751">
        <f t="shared" si="202"/>
        <v>58464</v>
      </c>
      <c r="W1446" s="752">
        <v>55.7</v>
      </c>
      <c r="X1446" s="609">
        <f t="shared" si="203"/>
        <v>160416</v>
      </c>
      <c r="Y1446" s="703">
        <f t="shared" si="204"/>
        <v>58464</v>
      </c>
      <c r="Z1446" s="752">
        <v>55.7</v>
      </c>
      <c r="AA1446" s="609">
        <f t="shared" si="205"/>
        <v>160416</v>
      </c>
      <c r="AB1446" s="753">
        <f t="shared" si="206"/>
        <v>58464</v>
      </c>
      <c r="AC1446" s="714"/>
    </row>
    <row r="1447" spans="1:29" x14ac:dyDescent="0.25">
      <c r="A1447" s="713"/>
      <c r="B1447" s="731" t="s">
        <v>2286</v>
      </c>
      <c r="C1447" s="547" t="s">
        <v>40</v>
      </c>
      <c r="D1447" s="547" t="s">
        <v>2267</v>
      </c>
      <c r="E1447" s="683">
        <v>45047</v>
      </c>
      <c r="F1447" s="547">
        <v>744</v>
      </c>
      <c r="G1447" s="547" t="s">
        <v>59</v>
      </c>
      <c r="H1447" s="547" t="s">
        <v>3</v>
      </c>
      <c r="I1447" s="547" t="s">
        <v>44</v>
      </c>
      <c r="J1447" s="547" t="s">
        <v>85</v>
      </c>
      <c r="K1447" s="547">
        <v>109</v>
      </c>
      <c r="L1447" s="727" t="s">
        <v>54</v>
      </c>
      <c r="M1447" s="697">
        <v>0</v>
      </c>
      <c r="N1447" s="727">
        <v>15</v>
      </c>
      <c r="O1447" s="697">
        <v>0</v>
      </c>
      <c r="P1447" s="727">
        <v>110.30024231709832</v>
      </c>
      <c r="Q1447" s="750">
        <f t="shared" si="198"/>
        <v>0</v>
      </c>
      <c r="R1447" s="608">
        <f t="shared" si="199"/>
        <v>1230950.7042588172</v>
      </c>
      <c r="S1447" s="751">
        <f t="shared" si="200"/>
        <v>1230950.7042588172</v>
      </c>
      <c r="T1447" s="750">
        <v>70.2</v>
      </c>
      <c r="U1447" s="608">
        <f t="shared" si="201"/>
        <v>783432</v>
      </c>
      <c r="V1447" s="751">
        <f t="shared" si="202"/>
        <v>447518.70425881725</v>
      </c>
      <c r="W1447" s="752">
        <v>55.7</v>
      </c>
      <c r="X1447" s="609">
        <f t="shared" si="203"/>
        <v>621612</v>
      </c>
      <c r="Y1447" s="703">
        <f t="shared" si="204"/>
        <v>609338.70425881725</v>
      </c>
      <c r="Z1447" s="752">
        <v>86.223309628334476</v>
      </c>
      <c r="AA1447" s="609">
        <f t="shared" si="205"/>
        <v>962252.13545221277</v>
      </c>
      <c r="AB1447" s="753">
        <f t="shared" si="206"/>
        <v>268698.56880660448</v>
      </c>
      <c r="AC1447" s="714"/>
    </row>
    <row r="1448" spans="1:29" x14ac:dyDescent="0.25">
      <c r="A1448" s="713"/>
      <c r="B1448" s="731" t="s">
        <v>2287</v>
      </c>
      <c r="C1448" s="547" t="s">
        <v>40</v>
      </c>
      <c r="D1448" s="547" t="s">
        <v>346</v>
      </c>
      <c r="E1448" s="683">
        <v>45047</v>
      </c>
      <c r="F1448" s="547">
        <v>744</v>
      </c>
      <c r="G1448" s="547" t="s">
        <v>58</v>
      </c>
      <c r="H1448" s="547" t="s">
        <v>3</v>
      </c>
      <c r="I1448" s="547" t="s">
        <v>44</v>
      </c>
      <c r="J1448" s="547" t="s">
        <v>84</v>
      </c>
      <c r="K1448" s="547">
        <v>109</v>
      </c>
      <c r="L1448" s="727" t="s">
        <v>54</v>
      </c>
      <c r="M1448" s="697">
        <v>11</v>
      </c>
      <c r="N1448" s="727">
        <v>0</v>
      </c>
      <c r="O1448" s="697">
        <v>110.30024231709832</v>
      </c>
      <c r="P1448" s="727">
        <v>0</v>
      </c>
      <c r="Q1448" s="750">
        <f t="shared" si="198"/>
        <v>902697.18312313268</v>
      </c>
      <c r="R1448" s="608">
        <f t="shared" si="199"/>
        <v>0</v>
      </c>
      <c r="S1448" s="751">
        <f t="shared" si="200"/>
        <v>-902697.18312313268</v>
      </c>
      <c r="T1448" s="750">
        <v>70.2</v>
      </c>
      <c r="U1448" s="608">
        <f t="shared" si="201"/>
        <v>-574516.80000000005</v>
      </c>
      <c r="V1448" s="751">
        <f t="shared" si="202"/>
        <v>-328180.38312313263</v>
      </c>
      <c r="W1448" s="752">
        <v>55.7</v>
      </c>
      <c r="X1448" s="609">
        <f t="shared" si="203"/>
        <v>-455848.80000000005</v>
      </c>
      <c r="Y1448" s="703">
        <f t="shared" si="204"/>
        <v>-446848.38312313263</v>
      </c>
      <c r="Z1448" s="752">
        <v>86.223309628334476</v>
      </c>
      <c r="AA1448" s="609">
        <f t="shared" si="205"/>
        <v>-705651.56599828938</v>
      </c>
      <c r="AB1448" s="753">
        <f t="shared" si="206"/>
        <v>-197045.61712484329</v>
      </c>
      <c r="AC1448" s="714"/>
    </row>
    <row r="1449" spans="1:29" x14ac:dyDescent="0.25">
      <c r="A1449" s="713"/>
      <c r="B1449" s="731" t="s">
        <v>2291</v>
      </c>
      <c r="C1449" s="547" t="s">
        <v>40</v>
      </c>
      <c r="D1449" s="547" t="s">
        <v>508</v>
      </c>
      <c r="E1449" s="683">
        <v>44927</v>
      </c>
      <c r="F1449" s="547">
        <v>744</v>
      </c>
      <c r="G1449" s="547" t="s">
        <v>59</v>
      </c>
      <c r="H1449" s="547" t="s">
        <v>3</v>
      </c>
      <c r="I1449" s="547" t="s">
        <v>44</v>
      </c>
      <c r="J1449" s="547" t="s">
        <v>85</v>
      </c>
      <c r="K1449" s="547">
        <v>120</v>
      </c>
      <c r="L1449" s="727" t="s">
        <v>54</v>
      </c>
      <c r="M1449" s="697">
        <v>0</v>
      </c>
      <c r="N1449" s="727">
        <v>3</v>
      </c>
      <c r="O1449" s="697">
        <v>0</v>
      </c>
      <c r="P1449" s="727">
        <v>121.43145943166788</v>
      </c>
      <c r="Q1449" s="750">
        <f t="shared" si="198"/>
        <v>0</v>
      </c>
      <c r="R1449" s="608">
        <f t="shared" si="199"/>
        <v>271035.01745148271</v>
      </c>
      <c r="S1449" s="751">
        <f t="shared" si="200"/>
        <v>271035.01745148271</v>
      </c>
      <c r="T1449" s="750">
        <v>68.72</v>
      </c>
      <c r="U1449" s="608">
        <f t="shared" si="201"/>
        <v>153383.04000000001</v>
      </c>
      <c r="V1449" s="751">
        <f t="shared" si="202"/>
        <v>117651.9774514827</v>
      </c>
      <c r="W1449" s="752">
        <v>55.7</v>
      </c>
      <c r="X1449" s="609">
        <f t="shared" si="203"/>
        <v>124322.40000000001</v>
      </c>
      <c r="Y1449" s="703">
        <f t="shared" si="204"/>
        <v>146712.61745148269</v>
      </c>
      <c r="Z1449" s="752">
        <v>96.206580759134184</v>
      </c>
      <c r="AA1449" s="609">
        <f t="shared" si="205"/>
        <v>214733.08825438749</v>
      </c>
      <c r="AB1449" s="753">
        <f t="shared" si="206"/>
        <v>56301.929197095218</v>
      </c>
      <c r="AC1449" s="714"/>
    </row>
    <row r="1450" spans="1:29" x14ac:dyDescent="0.25">
      <c r="A1450" s="713"/>
      <c r="B1450" s="731" t="s">
        <v>2292</v>
      </c>
      <c r="C1450" s="547" t="s">
        <v>40</v>
      </c>
      <c r="D1450" s="547" t="s">
        <v>467</v>
      </c>
      <c r="E1450" s="683">
        <v>44866</v>
      </c>
      <c r="F1450" s="547">
        <v>720</v>
      </c>
      <c r="G1450" s="547" t="s">
        <v>59</v>
      </c>
      <c r="H1450" s="547" t="s">
        <v>3</v>
      </c>
      <c r="I1450" s="547" t="s">
        <v>44</v>
      </c>
      <c r="J1450" s="547" t="s">
        <v>85</v>
      </c>
      <c r="K1450" s="547">
        <v>81.5</v>
      </c>
      <c r="L1450" s="727" t="s">
        <v>54</v>
      </c>
      <c r="M1450" s="697">
        <v>0</v>
      </c>
      <c r="N1450" s="727">
        <v>5</v>
      </c>
      <c r="O1450" s="697">
        <v>0</v>
      </c>
      <c r="P1450" s="727">
        <v>81.5</v>
      </c>
      <c r="Q1450" s="750">
        <f t="shared" si="198"/>
        <v>0</v>
      </c>
      <c r="R1450" s="608">
        <f t="shared" si="199"/>
        <v>293400</v>
      </c>
      <c r="S1450" s="751">
        <f t="shared" si="200"/>
        <v>293400</v>
      </c>
      <c r="T1450" s="750">
        <v>55.7</v>
      </c>
      <c r="U1450" s="608">
        <f t="shared" si="201"/>
        <v>200520</v>
      </c>
      <c r="V1450" s="751">
        <f t="shared" si="202"/>
        <v>92880</v>
      </c>
      <c r="W1450" s="752">
        <v>55.7</v>
      </c>
      <c r="X1450" s="609">
        <f t="shared" si="203"/>
        <v>200520</v>
      </c>
      <c r="Y1450" s="703">
        <f t="shared" si="204"/>
        <v>92880</v>
      </c>
      <c r="Z1450" s="752">
        <v>55.7</v>
      </c>
      <c r="AA1450" s="609">
        <f t="shared" si="205"/>
        <v>200520</v>
      </c>
      <c r="AB1450" s="753">
        <f t="shared" si="206"/>
        <v>92880</v>
      </c>
      <c r="AC1450" s="714"/>
    </row>
    <row r="1451" spans="1:29" x14ac:dyDescent="0.25">
      <c r="A1451" s="713"/>
      <c r="B1451" s="731" t="s">
        <v>2293</v>
      </c>
      <c r="C1451" s="547" t="s">
        <v>40</v>
      </c>
      <c r="D1451" s="547" t="s">
        <v>471</v>
      </c>
      <c r="E1451" s="683">
        <v>44774</v>
      </c>
      <c r="F1451" s="547">
        <v>744</v>
      </c>
      <c r="G1451" s="547" t="s">
        <v>58</v>
      </c>
      <c r="H1451" s="547" t="s">
        <v>5</v>
      </c>
      <c r="I1451" s="547" t="s">
        <v>44</v>
      </c>
      <c r="J1451" s="547" t="s">
        <v>84</v>
      </c>
      <c r="K1451" s="547">
        <v>24.5</v>
      </c>
      <c r="L1451" s="727" t="s">
        <v>92</v>
      </c>
      <c r="M1451" s="697">
        <v>10</v>
      </c>
      <c r="N1451" s="727">
        <v>0</v>
      </c>
      <c r="O1451" s="697">
        <v>101.4</v>
      </c>
      <c r="P1451" s="727">
        <v>0</v>
      </c>
      <c r="Q1451" s="750">
        <f t="shared" si="198"/>
        <v>754416</v>
      </c>
      <c r="R1451" s="608">
        <f t="shared" si="199"/>
        <v>0</v>
      </c>
      <c r="S1451" s="751">
        <f t="shared" si="200"/>
        <v>-754416</v>
      </c>
      <c r="T1451" s="750">
        <v>76.900000000000006</v>
      </c>
      <c r="U1451" s="608">
        <f t="shared" si="201"/>
        <v>-572136</v>
      </c>
      <c r="V1451" s="751">
        <f t="shared" si="202"/>
        <v>-182280</v>
      </c>
      <c r="W1451" s="752">
        <v>76.900000000000006</v>
      </c>
      <c r="X1451" s="609">
        <f t="shared" si="203"/>
        <v>-572136</v>
      </c>
      <c r="Y1451" s="703">
        <f t="shared" si="204"/>
        <v>-182280</v>
      </c>
      <c r="Z1451" s="752">
        <v>76.900000000000006</v>
      </c>
      <c r="AA1451" s="609">
        <f t="shared" si="205"/>
        <v>-572136</v>
      </c>
      <c r="AB1451" s="753">
        <f t="shared" si="206"/>
        <v>-182280</v>
      </c>
      <c r="AC1451" s="714"/>
    </row>
    <row r="1452" spans="1:29" x14ac:dyDescent="0.25">
      <c r="A1452" s="713"/>
      <c r="B1452" s="731" t="s">
        <v>2296</v>
      </c>
      <c r="C1452" s="547" t="s">
        <v>40</v>
      </c>
      <c r="D1452" s="547" t="s">
        <v>2267</v>
      </c>
      <c r="E1452" s="683">
        <v>45017</v>
      </c>
      <c r="F1452" s="547">
        <v>720</v>
      </c>
      <c r="G1452" s="547" t="s">
        <v>59</v>
      </c>
      <c r="H1452" s="547" t="s">
        <v>3</v>
      </c>
      <c r="I1452" s="547" t="s">
        <v>44</v>
      </c>
      <c r="J1452" s="547" t="s">
        <v>85</v>
      </c>
      <c r="K1452" s="547">
        <v>104</v>
      </c>
      <c r="L1452" s="727" t="s">
        <v>54</v>
      </c>
      <c r="M1452" s="697">
        <v>0</v>
      </c>
      <c r="N1452" s="727">
        <v>10</v>
      </c>
      <c r="O1452" s="697">
        <v>0</v>
      </c>
      <c r="P1452" s="727">
        <v>105.24059817411216</v>
      </c>
      <c r="Q1452" s="750">
        <f t="shared" si="198"/>
        <v>0</v>
      </c>
      <c r="R1452" s="608">
        <f t="shared" si="199"/>
        <v>757732.30685360753</v>
      </c>
      <c r="S1452" s="751">
        <f t="shared" si="200"/>
        <v>757732.30685360753</v>
      </c>
      <c r="T1452" s="750">
        <v>69.8</v>
      </c>
      <c r="U1452" s="608">
        <f t="shared" si="201"/>
        <v>502560</v>
      </c>
      <c r="V1452" s="751">
        <f t="shared" si="202"/>
        <v>255172.30685360753</v>
      </c>
      <c r="W1452" s="752">
        <v>55.7</v>
      </c>
      <c r="X1452" s="609">
        <f t="shared" si="203"/>
        <v>401040</v>
      </c>
      <c r="Y1452" s="703">
        <f t="shared" si="204"/>
        <v>356692.30685360753</v>
      </c>
      <c r="Z1452" s="752">
        <v>85.732008718771311</v>
      </c>
      <c r="AA1452" s="609">
        <f t="shared" si="205"/>
        <v>617270.46277515346</v>
      </c>
      <c r="AB1452" s="753">
        <f t="shared" si="206"/>
        <v>140461.84407845407</v>
      </c>
      <c r="AC1452" s="714"/>
    </row>
    <row r="1453" spans="1:29" x14ac:dyDescent="0.25">
      <c r="A1453" s="713"/>
      <c r="B1453" s="731" t="s">
        <v>2297</v>
      </c>
      <c r="C1453" s="547" t="s">
        <v>40</v>
      </c>
      <c r="D1453" s="547" t="s">
        <v>349</v>
      </c>
      <c r="E1453" s="683">
        <v>45047</v>
      </c>
      <c r="F1453" s="547">
        <v>744</v>
      </c>
      <c r="G1453" s="547" t="s">
        <v>59</v>
      </c>
      <c r="H1453" s="547" t="s">
        <v>3</v>
      </c>
      <c r="I1453" s="547" t="s">
        <v>44</v>
      </c>
      <c r="J1453" s="547" t="s">
        <v>85</v>
      </c>
      <c r="K1453" s="547">
        <v>108</v>
      </c>
      <c r="L1453" s="727" t="s">
        <v>54</v>
      </c>
      <c r="M1453" s="697">
        <v>0</v>
      </c>
      <c r="N1453" s="727">
        <v>20</v>
      </c>
      <c r="O1453" s="697">
        <v>0</v>
      </c>
      <c r="P1453" s="727">
        <v>109.28831348850109</v>
      </c>
      <c r="Q1453" s="750">
        <f t="shared" si="198"/>
        <v>0</v>
      </c>
      <c r="R1453" s="608">
        <f t="shared" si="199"/>
        <v>1626210.1047088963</v>
      </c>
      <c r="S1453" s="751">
        <f t="shared" si="200"/>
        <v>1626210.1047088963</v>
      </c>
      <c r="T1453" s="750">
        <v>70.2</v>
      </c>
      <c r="U1453" s="608">
        <f t="shared" si="201"/>
        <v>1044576</v>
      </c>
      <c r="V1453" s="751">
        <f t="shared" si="202"/>
        <v>581634.10470889625</v>
      </c>
      <c r="W1453" s="752">
        <v>55.7</v>
      </c>
      <c r="X1453" s="609">
        <f t="shared" si="203"/>
        <v>828816</v>
      </c>
      <c r="Y1453" s="703">
        <f t="shared" si="204"/>
        <v>797394.10470889625</v>
      </c>
      <c r="Z1453" s="752">
        <v>86.223309628334476</v>
      </c>
      <c r="AA1453" s="609">
        <f t="shared" si="205"/>
        <v>1283002.847269617</v>
      </c>
      <c r="AB1453" s="753">
        <f t="shared" si="206"/>
        <v>343207.25743927923</v>
      </c>
      <c r="AC1453" s="714"/>
    </row>
    <row r="1454" spans="1:29" x14ac:dyDescent="0.25">
      <c r="A1454" s="713"/>
      <c r="B1454" s="731" t="s">
        <v>2304</v>
      </c>
      <c r="C1454" s="547" t="s">
        <v>40</v>
      </c>
      <c r="D1454" s="547" t="s">
        <v>2267</v>
      </c>
      <c r="E1454" s="683">
        <v>44835</v>
      </c>
      <c r="F1454" s="547">
        <v>744</v>
      </c>
      <c r="G1454" s="547" t="s">
        <v>58</v>
      </c>
      <c r="H1454" s="547" t="s">
        <v>3</v>
      </c>
      <c r="I1454" s="547" t="s">
        <v>44</v>
      </c>
      <c r="J1454" s="547" t="s">
        <v>84</v>
      </c>
      <c r="K1454" s="547">
        <v>70.5</v>
      </c>
      <c r="L1454" s="727" t="s">
        <v>54</v>
      </c>
      <c r="M1454" s="697">
        <v>2</v>
      </c>
      <c r="N1454" s="727">
        <v>0</v>
      </c>
      <c r="O1454" s="697">
        <v>70.5</v>
      </c>
      <c r="P1454" s="727">
        <v>0</v>
      </c>
      <c r="Q1454" s="750">
        <f t="shared" si="198"/>
        <v>104904</v>
      </c>
      <c r="R1454" s="608">
        <f t="shared" si="199"/>
        <v>0</v>
      </c>
      <c r="S1454" s="751">
        <f t="shared" si="200"/>
        <v>-104904</v>
      </c>
      <c r="T1454" s="750">
        <v>55.7</v>
      </c>
      <c r="U1454" s="608">
        <f t="shared" si="201"/>
        <v>-82881.600000000006</v>
      </c>
      <c r="V1454" s="751">
        <f t="shared" si="202"/>
        <v>-22022.399999999994</v>
      </c>
      <c r="W1454" s="752">
        <v>55.7</v>
      </c>
      <c r="X1454" s="609">
        <f t="shared" si="203"/>
        <v>-82881.600000000006</v>
      </c>
      <c r="Y1454" s="703">
        <f t="shared" si="204"/>
        <v>-22022.399999999994</v>
      </c>
      <c r="Z1454" s="752">
        <v>55.7</v>
      </c>
      <c r="AA1454" s="609">
        <f t="shared" si="205"/>
        <v>-82881.600000000006</v>
      </c>
      <c r="AB1454" s="753">
        <f t="shared" si="206"/>
        <v>-22022.399999999994</v>
      </c>
      <c r="AC1454" s="714"/>
    </row>
    <row r="1455" spans="1:29" x14ac:dyDescent="0.25">
      <c r="A1455" s="713"/>
      <c r="B1455" s="731" t="s">
        <v>2305</v>
      </c>
      <c r="C1455" s="547" t="s">
        <v>40</v>
      </c>
      <c r="D1455" s="547" t="s">
        <v>2267</v>
      </c>
      <c r="E1455" s="683">
        <v>44835</v>
      </c>
      <c r="F1455" s="547">
        <v>744</v>
      </c>
      <c r="G1455" s="547" t="s">
        <v>58</v>
      </c>
      <c r="H1455" s="547" t="s">
        <v>3</v>
      </c>
      <c r="I1455" s="547" t="s">
        <v>44</v>
      </c>
      <c r="J1455" s="547" t="s">
        <v>84</v>
      </c>
      <c r="K1455" s="547">
        <v>70.5</v>
      </c>
      <c r="L1455" s="727" t="s">
        <v>54</v>
      </c>
      <c r="M1455" s="697">
        <v>3</v>
      </c>
      <c r="N1455" s="727">
        <v>0</v>
      </c>
      <c r="O1455" s="697">
        <v>70.5</v>
      </c>
      <c r="P1455" s="727">
        <v>0</v>
      </c>
      <c r="Q1455" s="750">
        <f t="shared" si="198"/>
        <v>157356</v>
      </c>
      <c r="R1455" s="608">
        <f t="shared" si="199"/>
        <v>0</v>
      </c>
      <c r="S1455" s="751">
        <f t="shared" si="200"/>
        <v>-157356</v>
      </c>
      <c r="T1455" s="750">
        <v>55.7</v>
      </c>
      <c r="U1455" s="608">
        <f t="shared" si="201"/>
        <v>-124322.40000000001</v>
      </c>
      <c r="V1455" s="751">
        <f t="shared" si="202"/>
        <v>-33033.599999999991</v>
      </c>
      <c r="W1455" s="752">
        <v>55.7</v>
      </c>
      <c r="X1455" s="609">
        <f t="shared" si="203"/>
        <v>-124322.40000000001</v>
      </c>
      <c r="Y1455" s="703">
        <f t="shared" si="204"/>
        <v>-33033.599999999991</v>
      </c>
      <c r="Z1455" s="752">
        <v>55.7</v>
      </c>
      <c r="AA1455" s="609">
        <f t="shared" si="205"/>
        <v>-124322.40000000001</v>
      </c>
      <c r="AB1455" s="753">
        <f t="shared" si="206"/>
        <v>-33033.599999999991</v>
      </c>
      <c r="AC1455" s="714"/>
    </row>
    <row r="1456" spans="1:29" x14ac:dyDescent="0.25">
      <c r="A1456" s="713"/>
      <c r="B1456" s="731" t="s">
        <v>2306</v>
      </c>
      <c r="C1456" s="547" t="s">
        <v>40</v>
      </c>
      <c r="D1456" s="547" t="s">
        <v>2147</v>
      </c>
      <c r="E1456" s="683">
        <v>44866</v>
      </c>
      <c r="F1456" s="547">
        <v>720</v>
      </c>
      <c r="G1456" s="547" t="s">
        <v>58</v>
      </c>
      <c r="H1456" s="547" t="s">
        <v>3</v>
      </c>
      <c r="I1456" s="547" t="s">
        <v>44</v>
      </c>
      <c r="J1456" s="547" t="s">
        <v>84</v>
      </c>
      <c r="K1456" s="547">
        <v>74</v>
      </c>
      <c r="L1456" s="727" t="s">
        <v>54</v>
      </c>
      <c r="M1456" s="697">
        <v>2</v>
      </c>
      <c r="N1456" s="727">
        <v>0</v>
      </c>
      <c r="O1456" s="697">
        <v>74</v>
      </c>
      <c r="P1456" s="727">
        <v>0</v>
      </c>
      <c r="Q1456" s="750">
        <f t="shared" si="198"/>
        <v>106560</v>
      </c>
      <c r="R1456" s="608">
        <f t="shared" si="199"/>
        <v>0</v>
      </c>
      <c r="S1456" s="751">
        <f t="shared" si="200"/>
        <v>-106560</v>
      </c>
      <c r="T1456" s="750">
        <v>55.7</v>
      </c>
      <c r="U1456" s="608">
        <f t="shared" si="201"/>
        <v>-80208</v>
      </c>
      <c r="V1456" s="751">
        <f t="shared" si="202"/>
        <v>-26352</v>
      </c>
      <c r="W1456" s="752">
        <v>55.7</v>
      </c>
      <c r="X1456" s="609">
        <f t="shared" si="203"/>
        <v>-80208</v>
      </c>
      <c r="Y1456" s="703">
        <f t="shared" si="204"/>
        <v>-26352</v>
      </c>
      <c r="Z1456" s="752">
        <v>55.7</v>
      </c>
      <c r="AA1456" s="609">
        <f t="shared" si="205"/>
        <v>-80208</v>
      </c>
      <c r="AB1456" s="753">
        <f t="shared" si="206"/>
        <v>-26352</v>
      </c>
      <c r="AC1456" s="714"/>
    </row>
    <row r="1457" spans="1:29" x14ac:dyDescent="0.25">
      <c r="A1457" s="713"/>
      <c r="B1457" s="731" t="s">
        <v>2307</v>
      </c>
      <c r="C1457" s="547" t="s">
        <v>40</v>
      </c>
      <c r="D1457" s="547" t="s">
        <v>2147</v>
      </c>
      <c r="E1457" s="683">
        <v>44866</v>
      </c>
      <c r="F1457" s="547">
        <v>720</v>
      </c>
      <c r="G1457" s="547" t="s">
        <v>58</v>
      </c>
      <c r="H1457" s="547" t="s">
        <v>3</v>
      </c>
      <c r="I1457" s="547" t="s">
        <v>44</v>
      </c>
      <c r="J1457" s="547" t="s">
        <v>84</v>
      </c>
      <c r="K1457" s="547">
        <v>74.099999999999994</v>
      </c>
      <c r="L1457" s="727" t="s">
        <v>54</v>
      </c>
      <c r="M1457" s="697">
        <v>2</v>
      </c>
      <c r="N1457" s="727">
        <v>0</v>
      </c>
      <c r="O1457" s="697">
        <v>74.099999999999994</v>
      </c>
      <c r="P1457" s="727">
        <v>0</v>
      </c>
      <c r="Q1457" s="750">
        <f t="shared" si="198"/>
        <v>106703.99999999999</v>
      </c>
      <c r="R1457" s="608">
        <f t="shared" si="199"/>
        <v>0</v>
      </c>
      <c r="S1457" s="751">
        <f t="shared" si="200"/>
        <v>-106703.99999999999</v>
      </c>
      <c r="T1457" s="750">
        <v>55.7</v>
      </c>
      <c r="U1457" s="608">
        <f t="shared" si="201"/>
        <v>-80208</v>
      </c>
      <c r="V1457" s="751">
        <f t="shared" si="202"/>
        <v>-26495.999999999985</v>
      </c>
      <c r="W1457" s="752">
        <v>55.7</v>
      </c>
      <c r="X1457" s="609">
        <f t="shared" si="203"/>
        <v>-80208</v>
      </c>
      <c r="Y1457" s="703">
        <f t="shared" si="204"/>
        <v>-26495.999999999985</v>
      </c>
      <c r="Z1457" s="752">
        <v>55.7</v>
      </c>
      <c r="AA1457" s="609">
        <f t="shared" si="205"/>
        <v>-80208</v>
      </c>
      <c r="AB1457" s="753">
        <f t="shared" si="206"/>
        <v>-26495.999999999985</v>
      </c>
      <c r="AC1457" s="714"/>
    </row>
    <row r="1458" spans="1:29" x14ac:dyDescent="0.25">
      <c r="A1458" s="713"/>
      <c r="B1458" s="731" t="s">
        <v>2308</v>
      </c>
      <c r="C1458" s="547" t="s">
        <v>40</v>
      </c>
      <c r="D1458" s="547" t="s">
        <v>478</v>
      </c>
      <c r="E1458" s="683">
        <v>44866</v>
      </c>
      <c r="F1458" s="547">
        <v>720</v>
      </c>
      <c r="G1458" s="547" t="s">
        <v>58</v>
      </c>
      <c r="H1458" s="547" t="s">
        <v>3</v>
      </c>
      <c r="I1458" s="547" t="s">
        <v>44</v>
      </c>
      <c r="J1458" s="547" t="s">
        <v>84</v>
      </c>
      <c r="K1458" s="547">
        <v>75</v>
      </c>
      <c r="L1458" s="727" t="s">
        <v>54</v>
      </c>
      <c r="M1458" s="697">
        <v>3</v>
      </c>
      <c r="N1458" s="727">
        <v>0</v>
      </c>
      <c r="O1458" s="697">
        <v>75</v>
      </c>
      <c r="P1458" s="727">
        <v>0</v>
      </c>
      <c r="Q1458" s="750">
        <f t="shared" si="198"/>
        <v>162000</v>
      </c>
      <c r="R1458" s="608">
        <f t="shared" si="199"/>
        <v>0</v>
      </c>
      <c r="S1458" s="751">
        <f t="shared" si="200"/>
        <v>-162000</v>
      </c>
      <c r="T1458" s="750">
        <v>55.7</v>
      </c>
      <c r="U1458" s="608">
        <f t="shared" si="201"/>
        <v>-120312</v>
      </c>
      <c r="V1458" s="751">
        <f t="shared" si="202"/>
        <v>-41688</v>
      </c>
      <c r="W1458" s="752">
        <v>55.7</v>
      </c>
      <c r="X1458" s="609">
        <f t="shared" si="203"/>
        <v>-120312</v>
      </c>
      <c r="Y1458" s="703">
        <f t="shared" si="204"/>
        <v>-41688</v>
      </c>
      <c r="Z1458" s="752">
        <v>55.7</v>
      </c>
      <c r="AA1458" s="609">
        <f t="shared" si="205"/>
        <v>-120312</v>
      </c>
      <c r="AB1458" s="753">
        <f t="shared" si="206"/>
        <v>-41688</v>
      </c>
      <c r="AC1458" s="714"/>
    </row>
    <row r="1459" spans="1:29" x14ac:dyDescent="0.25">
      <c r="A1459" s="713"/>
      <c r="B1459" s="731" t="s">
        <v>2309</v>
      </c>
      <c r="C1459" s="547" t="s">
        <v>40</v>
      </c>
      <c r="D1459" s="547" t="s">
        <v>2267</v>
      </c>
      <c r="E1459" s="683">
        <v>44805</v>
      </c>
      <c r="F1459" s="547">
        <v>720</v>
      </c>
      <c r="G1459" s="547" t="s">
        <v>59</v>
      </c>
      <c r="H1459" s="547" t="s">
        <v>3</v>
      </c>
      <c r="I1459" s="547" t="s">
        <v>44</v>
      </c>
      <c r="J1459" s="547" t="s">
        <v>85</v>
      </c>
      <c r="K1459" s="547">
        <v>57.5</v>
      </c>
      <c r="L1459" s="727" t="s">
        <v>54</v>
      </c>
      <c r="M1459" s="697">
        <v>0</v>
      </c>
      <c r="N1459" s="727">
        <v>1</v>
      </c>
      <c r="O1459" s="697">
        <v>0</v>
      </c>
      <c r="P1459" s="727">
        <v>57.5</v>
      </c>
      <c r="Q1459" s="750">
        <f t="shared" si="198"/>
        <v>0</v>
      </c>
      <c r="R1459" s="608">
        <f t="shared" si="199"/>
        <v>41400</v>
      </c>
      <c r="S1459" s="751">
        <f t="shared" si="200"/>
        <v>41400</v>
      </c>
      <c r="T1459" s="750">
        <v>56.08</v>
      </c>
      <c r="U1459" s="608">
        <f t="shared" si="201"/>
        <v>40377.599999999999</v>
      </c>
      <c r="V1459" s="751">
        <f t="shared" si="202"/>
        <v>1022.4000000000015</v>
      </c>
      <c r="W1459" s="752">
        <v>56.08</v>
      </c>
      <c r="X1459" s="609">
        <f t="shared" si="203"/>
        <v>40377.599999999999</v>
      </c>
      <c r="Y1459" s="703">
        <f t="shared" si="204"/>
        <v>1022.4000000000015</v>
      </c>
      <c r="Z1459" s="752">
        <v>56.08</v>
      </c>
      <c r="AA1459" s="609">
        <f t="shared" si="205"/>
        <v>40377.599999999999</v>
      </c>
      <c r="AB1459" s="753">
        <f t="shared" si="206"/>
        <v>1022.4000000000015</v>
      </c>
      <c r="AC1459" s="714"/>
    </row>
    <row r="1460" spans="1:29" x14ac:dyDescent="0.25">
      <c r="A1460" s="713"/>
      <c r="B1460" s="730" t="s">
        <v>2317</v>
      </c>
      <c r="C1460" s="546" t="s">
        <v>40</v>
      </c>
      <c r="D1460" s="546" t="s">
        <v>501</v>
      </c>
      <c r="E1460" s="682">
        <v>44927</v>
      </c>
      <c r="F1460" s="546">
        <v>744</v>
      </c>
      <c r="G1460" s="546" t="s">
        <v>58</v>
      </c>
      <c r="H1460" s="546" t="s">
        <v>3</v>
      </c>
      <c r="I1460" s="546" t="s">
        <v>44</v>
      </c>
      <c r="J1460" s="546" t="s">
        <v>84</v>
      </c>
      <c r="K1460" s="546">
        <v>118</v>
      </c>
      <c r="L1460" s="726" t="s">
        <v>54</v>
      </c>
      <c r="M1460" s="696">
        <v>1</v>
      </c>
      <c r="N1460" s="726">
        <v>0</v>
      </c>
      <c r="O1460" s="696">
        <v>119.40760177447342</v>
      </c>
      <c r="P1460" s="726">
        <v>0</v>
      </c>
      <c r="Q1460" s="746">
        <f t="shared" si="198"/>
        <v>88839.255720208224</v>
      </c>
      <c r="R1460" s="606">
        <f t="shared" si="199"/>
        <v>0</v>
      </c>
      <c r="S1460" s="747">
        <f t="shared" si="200"/>
        <v>-88839.255720208224</v>
      </c>
      <c r="T1460" s="746">
        <v>68.72</v>
      </c>
      <c r="U1460" s="606">
        <f t="shared" si="201"/>
        <v>-51127.68</v>
      </c>
      <c r="V1460" s="747">
        <f t="shared" si="202"/>
        <v>-37711.575720208224</v>
      </c>
      <c r="W1460" s="748">
        <v>55.7</v>
      </c>
      <c r="X1460" s="607">
        <f t="shared" si="203"/>
        <v>-41440.800000000003</v>
      </c>
      <c r="Y1460" s="702">
        <f t="shared" si="204"/>
        <v>-47398.455720208221</v>
      </c>
      <c r="Z1460" s="748">
        <v>96.206580759134184</v>
      </c>
      <c r="AA1460" s="607">
        <f t="shared" si="205"/>
        <v>-71577.69608479584</v>
      </c>
      <c r="AB1460" s="749">
        <f t="shared" si="206"/>
        <v>-17261.559635412385</v>
      </c>
      <c r="AC1460" s="714"/>
    </row>
    <row r="1461" spans="1:29" x14ac:dyDescent="0.25">
      <c r="A1461" s="713"/>
      <c r="B1461" s="714" t="s">
        <v>2317</v>
      </c>
      <c r="C1461" s="676" t="s">
        <v>40</v>
      </c>
      <c r="D1461" s="676" t="s">
        <v>501</v>
      </c>
      <c r="E1461" s="680">
        <v>44958</v>
      </c>
      <c r="F1461" s="676">
        <v>672</v>
      </c>
      <c r="G1461" s="676" t="s">
        <v>58</v>
      </c>
      <c r="H1461" s="676" t="s">
        <v>3</v>
      </c>
      <c r="I1461" s="676" t="s">
        <v>44</v>
      </c>
      <c r="J1461" s="676" t="s">
        <v>84</v>
      </c>
      <c r="K1461" s="676">
        <v>118</v>
      </c>
      <c r="L1461" s="690" t="s">
        <v>54</v>
      </c>
      <c r="M1461" s="691">
        <v>1</v>
      </c>
      <c r="N1461" s="690">
        <v>0</v>
      </c>
      <c r="O1461" s="691">
        <v>119.40760177447342</v>
      </c>
      <c r="P1461" s="690">
        <v>0</v>
      </c>
      <c r="Q1461" s="738">
        <f t="shared" si="198"/>
        <v>80241.908392446145</v>
      </c>
      <c r="R1461" s="677">
        <f t="shared" si="199"/>
        <v>0</v>
      </c>
      <c r="S1461" s="739">
        <f t="shared" si="200"/>
        <v>-80241.908392446145</v>
      </c>
      <c r="T1461" s="738">
        <v>69.25</v>
      </c>
      <c r="U1461" s="677">
        <f t="shared" si="201"/>
        <v>-46536</v>
      </c>
      <c r="V1461" s="739">
        <f t="shared" si="202"/>
        <v>-33705.908392446145</v>
      </c>
      <c r="W1461" s="740">
        <v>55.7</v>
      </c>
      <c r="X1461" s="678">
        <f t="shared" si="203"/>
        <v>-37430.400000000001</v>
      </c>
      <c r="Y1461" s="700">
        <f t="shared" si="204"/>
        <v>-42811.508392446143</v>
      </c>
      <c r="Z1461" s="740">
        <v>92.430648861364247</v>
      </c>
      <c r="AA1461" s="678">
        <f t="shared" si="205"/>
        <v>-62113.396034836776</v>
      </c>
      <c r="AB1461" s="741">
        <f t="shared" si="206"/>
        <v>-18128.512357609368</v>
      </c>
      <c r="AC1461" s="714"/>
    </row>
    <row r="1462" spans="1:29" x14ac:dyDescent="0.25">
      <c r="A1462" s="713"/>
      <c r="B1462" s="729" t="s">
        <v>2317</v>
      </c>
      <c r="C1462" s="545" t="s">
        <v>40</v>
      </c>
      <c r="D1462" s="545" t="s">
        <v>501</v>
      </c>
      <c r="E1462" s="681">
        <v>44986</v>
      </c>
      <c r="F1462" s="545">
        <v>744</v>
      </c>
      <c r="G1462" s="545" t="s">
        <v>58</v>
      </c>
      <c r="H1462" s="545" t="s">
        <v>3</v>
      </c>
      <c r="I1462" s="545" t="s">
        <v>44</v>
      </c>
      <c r="J1462" s="545" t="s">
        <v>84</v>
      </c>
      <c r="K1462" s="545">
        <v>118</v>
      </c>
      <c r="L1462" s="725" t="s">
        <v>54</v>
      </c>
      <c r="M1462" s="695">
        <v>1</v>
      </c>
      <c r="N1462" s="725">
        <v>0</v>
      </c>
      <c r="O1462" s="695">
        <v>119.40760177447342</v>
      </c>
      <c r="P1462" s="725">
        <v>0</v>
      </c>
      <c r="Q1462" s="742">
        <f t="shared" si="198"/>
        <v>88839.255720208224</v>
      </c>
      <c r="R1462" s="603">
        <f t="shared" si="199"/>
        <v>0</v>
      </c>
      <c r="S1462" s="743">
        <f t="shared" si="200"/>
        <v>-88839.255720208224</v>
      </c>
      <c r="T1462" s="742">
        <v>69.3</v>
      </c>
      <c r="U1462" s="603">
        <f t="shared" si="201"/>
        <v>-51559.199999999997</v>
      </c>
      <c r="V1462" s="743">
        <f t="shared" si="202"/>
        <v>-37280.055720208227</v>
      </c>
      <c r="W1462" s="744">
        <v>55.7</v>
      </c>
      <c r="X1462" s="604">
        <f t="shared" si="203"/>
        <v>-41440.800000000003</v>
      </c>
      <c r="Y1462" s="701">
        <f t="shared" si="204"/>
        <v>-47398.455720208221</v>
      </c>
      <c r="Z1462" s="744">
        <v>89.053218420260009</v>
      </c>
      <c r="AA1462" s="604">
        <f t="shared" si="205"/>
        <v>-66255.594504673441</v>
      </c>
      <c r="AB1462" s="745">
        <f t="shared" si="206"/>
        <v>-22583.661215534783</v>
      </c>
      <c r="AC1462" s="714"/>
    </row>
    <row r="1463" spans="1:29" x14ac:dyDescent="0.25">
      <c r="A1463" s="713"/>
      <c r="B1463" s="731" t="s">
        <v>2318</v>
      </c>
      <c r="C1463" s="547" t="s">
        <v>40</v>
      </c>
      <c r="D1463" s="547" t="s">
        <v>1854</v>
      </c>
      <c r="E1463" s="683">
        <v>44927</v>
      </c>
      <c r="F1463" s="547">
        <v>744</v>
      </c>
      <c r="G1463" s="547" t="s">
        <v>59</v>
      </c>
      <c r="H1463" s="547" t="s">
        <v>3</v>
      </c>
      <c r="I1463" s="547" t="s">
        <v>44</v>
      </c>
      <c r="J1463" s="547" t="s">
        <v>85</v>
      </c>
      <c r="K1463" s="547">
        <v>111</v>
      </c>
      <c r="L1463" s="727" t="s">
        <v>54</v>
      </c>
      <c r="M1463" s="697">
        <v>0</v>
      </c>
      <c r="N1463" s="727">
        <v>7</v>
      </c>
      <c r="O1463" s="697">
        <v>0</v>
      </c>
      <c r="P1463" s="727">
        <v>112.32409997429279</v>
      </c>
      <c r="Q1463" s="750">
        <f t="shared" si="198"/>
        <v>0</v>
      </c>
      <c r="R1463" s="608">
        <f t="shared" si="199"/>
        <v>584983.91266611684</v>
      </c>
      <c r="S1463" s="751">
        <f t="shared" si="200"/>
        <v>584983.91266611684</v>
      </c>
      <c r="T1463" s="750">
        <v>68.72</v>
      </c>
      <c r="U1463" s="608">
        <f t="shared" si="201"/>
        <v>357893.76</v>
      </c>
      <c r="V1463" s="751">
        <f t="shared" si="202"/>
        <v>227090.15266611683</v>
      </c>
      <c r="W1463" s="752">
        <v>55.7</v>
      </c>
      <c r="X1463" s="609">
        <f t="shared" si="203"/>
        <v>290085.60000000003</v>
      </c>
      <c r="Y1463" s="703">
        <f t="shared" si="204"/>
        <v>294898.31266611681</v>
      </c>
      <c r="Z1463" s="752">
        <v>96.206580759134184</v>
      </c>
      <c r="AA1463" s="609">
        <f t="shared" si="205"/>
        <v>501043.87259357085</v>
      </c>
      <c r="AB1463" s="753">
        <f t="shared" si="206"/>
        <v>83940.040072545991</v>
      </c>
      <c r="AC1463" s="714"/>
    </row>
    <row r="1464" spans="1:29" x14ac:dyDescent="0.25">
      <c r="A1464" s="713"/>
      <c r="B1464" s="731" t="s">
        <v>2319</v>
      </c>
      <c r="C1464" s="547" t="s">
        <v>40</v>
      </c>
      <c r="D1464" s="547" t="s">
        <v>2315</v>
      </c>
      <c r="E1464" s="683">
        <v>44927</v>
      </c>
      <c r="F1464" s="547">
        <v>744</v>
      </c>
      <c r="G1464" s="547" t="s">
        <v>59</v>
      </c>
      <c r="H1464" s="547" t="s">
        <v>3</v>
      </c>
      <c r="I1464" s="547" t="s">
        <v>44</v>
      </c>
      <c r="J1464" s="547" t="s">
        <v>85</v>
      </c>
      <c r="K1464" s="547">
        <v>112</v>
      </c>
      <c r="L1464" s="727" t="s">
        <v>54</v>
      </c>
      <c r="M1464" s="697">
        <v>0</v>
      </c>
      <c r="N1464" s="727">
        <v>1.5</v>
      </c>
      <c r="O1464" s="697">
        <v>0</v>
      </c>
      <c r="P1464" s="727">
        <v>113.33602880289001</v>
      </c>
      <c r="Q1464" s="750">
        <f t="shared" si="198"/>
        <v>0</v>
      </c>
      <c r="R1464" s="608">
        <f t="shared" si="199"/>
        <v>126483.00814402525</v>
      </c>
      <c r="S1464" s="751">
        <f t="shared" si="200"/>
        <v>126483.00814402525</v>
      </c>
      <c r="T1464" s="750">
        <v>68.72</v>
      </c>
      <c r="U1464" s="608">
        <f t="shared" si="201"/>
        <v>76691.520000000004</v>
      </c>
      <c r="V1464" s="751">
        <f t="shared" si="202"/>
        <v>49791.48814402525</v>
      </c>
      <c r="W1464" s="752">
        <v>55.7</v>
      </c>
      <c r="X1464" s="609">
        <f t="shared" si="203"/>
        <v>62161.200000000004</v>
      </c>
      <c r="Y1464" s="703">
        <f t="shared" si="204"/>
        <v>64321.80814402525</v>
      </c>
      <c r="Z1464" s="752">
        <v>96.206580759134184</v>
      </c>
      <c r="AA1464" s="609">
        <f t="shared" si="205"/>
        <v>107366.54412719375</v>
      </c>
      <c r="AB1464" s="753">
        <f t="shared" si="206"/>
        <v>19116.464016831509</v>
      </c>
      <c r="AC1464" s="714"/>
    </row>
    <row r="1465" spans="1:29" x14ac:dyDescent="0.25">
      <c r="A1465" s="713"/>
      <c r="B1465" s="730" t="s">
        <v>2320</v>
      </c>
      <c r="C1465" s="546" t="s">
        <v>40</v>
      </c>
      <c r="D1465" s="546" t="s">
        <v>902</v>
      </c>
      <c r="E1465" s="682">
        <v>44927</v>
      </c>
      <c r="F1465" s="546">
        <v>744</v>
      </c>
      <c r="G1465" s="546" t="s">
        <v>59</v>
      </c>
      <c r="H1465" s="546" t="s">
        <v>3</v>
      </c>
      <c r="I1465" s="546" t="s">
        <v>44</v>
      </c>
      <c r="J1465" s="546" t="s">
        <v>85</v>
      </c>
      <c r="K1465" s="546">
        <v>119</v>
      </c>
      <c r="L1465" s="726" t="s">
        <v>54</v>
      </c>
      <c r="M1465" s="696">
        <v>0</v>
      </c>
      <c r="N1465" s="726">
        <v>2</v>
      </c>
      <c r="O1465" s="696">
        <v>0</v>
      </c>
      <c r="P1465" s="726">
        <v>120.41953060307064</v>
      </c>
      <c r="Q1465" s="746">
        <f t="shared" si="198"/>
        <v>0</v>
      </c>
      <c r="R1465" s="606">
        <f t="shared" si="199"/>
        <v>179184.26153736911</v>
      </c>
      <c r="S1465" s="747">
        <f t="shared" si="200"/>
        <v>179184.26153736911</v>
      </c>
      <c r="T1465" s="746">
        <v>68.72</v>
      </c>
      <c r="U1465" s="606">
        <f t="shared" si="201"/>
        <v>102255.36</v>
      </c>
      <c r="V1465" s="747">
        <f t="shared" si="202"/>
        <v>76928.901537369107</v>
      </c>
      <c r="W1465" s="748">
        <v>55.7</v>
      </c>
      <c r="X1465" s="607">
        <f t="shared" si="203"/>
        <v>82881.600000000006</v>
      </c>
      <c r="Y1465" s="702">
        <f t="shared" si="204"/>
        <v>96302.661537369102</v>
      </c>
      <c r="Z1465" s="748">
        <v>96.206580759134184</v>
      </c>
      <c r="AA1465" s="607">
        <f t="shared" si="205"/>
        <v>143155.39216959168</v>
      </c>
      <c r="AB1465" s="749">
        <f t="shared" si="206"/>
        <v>36028.869367777428</v>
      </c>
      <c r="AC1465" s="714"/>
    </row>
    <row r="1466" spans="1:29" x14ac:dyDescent="0.25">
      <c r="A1466" s="713"/>
      <c r="B1466" s="714" t="s">
        <v>2320</v>
      </c>
      <c r="C1466" s="676" t="s">
        <v>40</v>
      </c>
      <c r="D1466" s="676" t="s">
        <v>902</v>
      </c>
      <c r="E1466" s="680">
        <v>44958</v>
      </c>
      <c r="F1466" s="676">
        <v>672</v>
      </c>
      <c r="G1466" s="676" t="s">
        <v>59</v>
      </c>
      <c r="H1466" s="676" t="s">
        <v>3</v>
      </c>
      <c r="I1466" s="676" t="s">
        <v>44</v>
      </c>
      <c r="J1466" s="676" t="s">
        <v>85</v>
      </c>
      <c r="K1466" s="676">
        <v>119</v>
      </c>
      <c r="L1466" s="690" t="s">
        <v>54</v>
      </c>
      <c r="M1466" s="691">
        <v>0</v>
      </c>
      <c r="N1466" s="690">
        <v>2</v>
      </c>
      <c r="O1466" s="691">
        <v>0</v>
      </c>
      <c r="P1466" s="690">
        <v>120.41953060307064</v>
      </c>
      <c r="Q1466" s="738">
        <f t="shared" si="198"/>
        <v>0</v>
      </c>
      <c r="R1466" s="677">
        <f t="shared" si="199"/>
        <v>161843.84913052694</v>
      </c>
      <c r="S1466" s="739">
        <f t="shared" si="200"/>
        <v>161843.84913052694</v>
      </c>
      <c r="T1466" s="738">
        <v>69.25</v>
      </c>
      <c r="U1466" s="677">
        <f t="shared" si="201"/>
        <v>93072</v>
      </c>
      <c r="V1466" s="739">
        <f t="shared" si="202"/>
        <v>68771.849130526942</v>
      </c>
      <c r="W1466" s="740">
        <v>55.7</v>
      </c>
      <c r="X1466" s="678">
        <f t="shared" si="203"/>
        <v>74860.800000000003</v>
      </c>
      <c r="Y1466" s="700">
        <f t="shared" si="204"/>
        <v>86983.049130526939</v>
      </c>
      <c r="Z1466" s="740">
        <v>92.430648861364247</v>
      </c>
      <c r="AA1466" s="678">
        <f t="shared" si="205"/>
        <v>124226.79206967355</v>
      </c>
      <c r="AB1466" s="741">
        <f t="shared" si="206"/>
        <v>37617.057060853389</v>
      </c>
      <c r="AC1466" s="714"/>
    </row>
    <row r="1467" spans="1:29" x14ac:dyDescent="0.25">
      <c r="A1467" s="713"/>
      <c r="B1467" s="729" t="s">
        <v>2320</v>
      </c>
      <c r="C1467" s="545" t="s">
        <v>40</v>
      </c>
      <c r="D1467" s="545" t="s">
        <v>902</v>
      </c>
      <c r="E1467" s="681">
        <v>44986</v>
      </c>
      <c r="F1467" s="545">
        <v>744</v>
      </c>
      <c r="G1467" s="545" t="s">
        <v>59</v>
      </c>
      <c r="H1467" s="545" t="s">
        <v>3</v>
      </c>
      <c r="I1467" s="545" t="s">
        <v>44</v>
      </c>
      <c r="J1467" s="545" t="s">
        <v>85</v>
      </c>
      <c r="K1467" s="545">
        <v>119</v>
      </c>
      <c r="L1467" s="725" t="s">
        <v>54</v>
      </c>
      <c r="M1467" s="695">
        <v>0</v>
      </c>
      <c r="N1467" s="725">
        <v>2</v>
      </c>
      <c r="O1467" s="695">
        <v>0</v>
      </c>
      <c r="P1467" s="725">
        <v>120.41953060307064</v>
      </c>
      <c r="Q1467" s="742">
        <f t="shared" si="198"/>
        <v>0</v>
      </c>
      <c r="R1467" s="603">
        <f t="shared" si="199"/>
        <v>179184.26153736911</v>
      </c>
      <c r="S1467" s="743">
        <f t="shared" si="200"/>
        <v>179184.26153736911</v>
      </c>
      <c r="T1467" s="742">
        <v>69.3</v>
      </c>
      <c r="U1467" s="603">
        <f t="shared" si="201"/>
        <v>103118.39999999999</v>
      </c>
      <c r="V1467" s="743">
        <f t="shared" si="202"/>
        <v>76065.861537369114</v>
      </c>
      <c r="W1467" s="744">
        <v>55.7</v>
      </c>
      <c r="X1467" s="604">
        <f t="shared" si="203"/>
        <v>82881.600000000006</v>
      </c>
      <c r="Y1467" s="701">
        <f t="shared" si="204"/>
        <v>96302.661537369102</v>
      </c>
      <c r="Z1467" s="744">
        <v>89.053218420260009</v>
      </c>
      <c r="AA1467" s="604">
        <f t="shared" si="205"/>
        <v>132511.18900934688</v>
      </c>
      <c r="AB1467" s="745">
        <f t="shared" si="206"/>
        <v>46673.072528022225</v>
      </c>
      <c r="AC1467" s="714"/>
    </row>
    <row r="1468" spans="1:29" x14ac:dyDescent="0.25">
      <c r="A1468" s="713"/>
      <c r="B1468" s="730" t="s">
        <v>2330</v>
      </c>
      <c r="C1468" s="546" t="s">
        <v>40</v>
      </c>
      <c r="D1468" s="546" t="s">
        <v>405</v>
      </c>
      <c r="E1468" s="682">
        <v>45108</v>
      </c>
      <c r="F1468" s="546">
        <v>744</v>
      </c>
      <c r="G1468" s="546" t="s">
        <v>59</v>
      </c>
      <c r="H1468" s="546" t="s">
        <v>3</v>
      </c>
      <c r="I1468" s="546" t="s">
        <v>44</v>
      </c>
      <c r="J1468" s="546" t="s">
        <v>85</v>
      </c>
      <c r="K1468" s="546">
        <v>160</v>
      </c>
      <c r="L1468" s="726" t="s">
        <v>54</v>
      </c>
      <c r="M1468" s="696">
        <v>0</v>
      </c>
      <c r="N1468" s="726">
        <v>5</v>
      </c>
      <c r="O1468" s="696">
        <v>0</v>
      </c>
      <c r="P1468" s="726">
        <v>161.90861257555719</v>
      </c>
      <c r="Q1468" s="746">
        <f t="shared" si="198"/>
        <v>0</v>
      </c>
      <c r="R1468" s="606">
        <f t="shared" si="199"/>
        <v>602300.03878107271</v>
      </c>
      <c r="S1468" s="747">
        <f t="shared" si="200"/>
        <v>602300.03878107271</v>
      </c>
      <c r="T1468" s="746">
        <v>77.150000000000006</v>
      </c>
      <c r="U1468" s="606">
        <f t="shared" si="201"/>
        <v>286998</v>
      </c>
      <c r="V1468" s="747">
        <f t="shared" si="202"/>
        <v>315302.03878107271</v>
      </c>
      <c r="W1468" s="748">
        <v>59.54033706800562</v>
      </c>
      <c r="X1468" s="607">
        <f t="shared" si="203"/>
        <v>221490.05389298091</v>
      </c>
      <c r="Y1468" s="702">
        <f t="shared" si="204"/>
        <v>380809.9848880918</v>
      </c>
      <c r="Z1468" s="748">
        <v>94.759662931994384</v>
      </c>
      <c r="AA1468" s="607">
        <f t="shared" si="205"/>
        <v>352505.94610701909</v>
      </c>
      <c r="AB1468" s="749">
        <f t="shared" si="206"/>
        <v>249794.09267405362</v>
      </c>
      <c r="AC1468" s="714"/>
    </row>
    <row r="1469" spans="1:29" x14ac:dyDescent="0.25">
      <c r="A1469" s="713"/>
      <c r="B1469" s="714" t="s">
        <v>2330</v>
      </c>
      <c r="C1469" s="676" t="s">
        <v>40</v>
      </c>
      <c r="D1469" s="676" t="s">
        <v>405</v>
      </c>
      <c r="E1469" s="680">
        <v>45139</v>
      </c>
      <c r="F1469" s="676">
        <v>744</v>
      </c>
      <c r="G1469" s="676" t="s">
        <v>59</v>
      </c>
      <c r="H1469" s="676" t="s">
        <v>3</v>
      </c>
      <c r="I1469" s="676" t="s">
        <v>44</v>
      </c>
      <c r="J1469" s="676" t="s">
        <v>85</v>
      </c>
      <c r="K1469" s="676">
        <v>160</v>
      </c>
      <c r="L1469" s="690" t="s">
        <v>54</v>
      </c>
      <c r="M1469" s="691">
        <v>0</v>
      </c>
      <c r="N1469" s="690">
        <v>5</v>
      </c>
      <c r="O1469" s="691">
        <v>0</v>
      </c>
      <c r="P1469" s="690">
        <v>161.90861257555719</v>
      </c>
      <c r="Q1469" s="738">
        <f t="shared" si="198"/>
        <v>0</v>
      </c>
      <c r="R1469" s="677">
        <f t="shared" si="199"/>
        <v>602300.03878107271</v>
      </c>
      <c r="S1469" s="739">
        <f t="shared" si="200"/>
        <v>602300.03878107271</v>
      </c>
      <c r="T1469" s="738">
        <v>77.150000000000006</v>
      </c>
      <c r="U1469" s="677">
        <f t="shared" si="201"/>
        <v>286998</v>
      </c>
      <c r="V1469" s="739">
        <f t="shared" si="202"/>
        <v>315302.03878107271</v>
      </c>
      <c r="W1469" s="740">
        <v>59.54033706800562</v>
      </c>
      <c r="X1469" s="678">
        <f t="shared" si="203"/>
        <v>221490.05389298091</v>
      </c>
      <c r="Y1469" s="700">
        <f t="shared" si="204"/>
        <v>380809.9848880918</v>
      </c>
      <c r="Z1469" s="740">
        <v>94.759662931994384</v>
      </c>
      <c r="AA1469" s="678">
        <f t="shared" si="205"/>
        <v>352505.94610701909</v>
      </c>
      <c r="AB1469" s="741">
        <f t="shared" si="206"/>
        <v>249794.09267405362</v>
      </c>
      <c r="AC1469" s="714"/>
    </row>
    <row r="1470" spans="1:29" x14ac:dyDescent="0.25">
      <c r="A1470" s="713"/>
      <c r="B1470" s="714" t="s">
        <v>2330</v>
      </c>
      <c r="C1470" s="676" t="s">
        <v>40</v>
      </c>
      <c r="D1470" s="676" t="s">
        <v>405</v>
      </c>
      <c r="E1470" s="680">
        <v>45170</v>
      </c>
      <c r="F1470" s="676">
        <v>720</v>
      </c>
      <c r="G1470" s="676" t="s">
        <v>59</v>
      </c>
      <c r="H1470" s="676" t="s">
        <v>3</v>
      </c>
      <c r="I1470" s="676" t="s">
        <v>44</v>
      </c>
      <c r="J1470" s="676" t="s">
        <v>85</v>
      </c>
      <c r="K1470" s="676">
        <v>160</v>
      </c>
      <c r="L1470" s="690" t="s">
        <v>54</v>
      </c>
      <c r="M1470" s="691">
        <v>0</v>
      </c>
      <c r="N1470" s="690">
        <v>5</v>
      </c>
      <c r="O1470" s="691">
        <v>0</v>
      </c>
      <c r="P1470" s="690">
        <v>161.90861257555719</v>
      </c>
      <c r="Q1470" s="738">
        <f t="shared" si="198"/>
        <v>0</v>
      </c>
      <c r="R1470" s="677">
        <f t="shared" si="199"/>
        <v>582871.00527200592</v>
      </c>
      <c r="S1470" s="739">
        <f t="shared" si="200"/>
        <v>582871.00527200592</v>
      </c>
      <c r="T1470" s="738">
        <v>77.150000000000006</v>
      </c>
      <c r="U1470" s="677">
        <f t="shared" si="201"/>
        <v>277740</v>
      </c>
      <c r="V1470" s="739">
        <f t="shared" si="202"/>
        <v>305131.00527200592</v>
      </c>
      <c r="W1470" s="740">
        <v>59.54033706800562</v>
      </c>
      <c r="X1470" s="678">
        <f t="shared" si="203"/>
        <v>214345.21344482023</v>
      </c>
      <c r="Y1470" s="700">
        <f t="shared" si="204"/>
        <v>368525.79182718566</v>
      </c>
      <c r="Z1470" s="740">
        <v>94.759662931994384</v>
      </c>
      <c r="AA1470" s="678">
        <f t="shared" si="205"/>
        <v>341134.7865551798</v>
      </c>
      <c r="AB1470" s="741">
        <f t="shared" si="206"/>
        <v>241736.21871682612</v>
      </c>
      <c r="AC1470" s="714"/>
    </row>
    <row r="1471" spans="1:29" x14ac:dyDescent="0.25">
      <c r="A1471" s="713"/>
      <c r="B1471" s="714" t="s">
        <v>2330</v>
      </c>
      <c r="C1471" s="676" t="s">
        <v>40</v>
      </c>
      <c r="D1471" s="676" t="s">
        <v>405</v>
      </c>
      <c r="E1471" s="680">
        <v>45200</v>
      </c>
      <c r="F1471" s="676">
        <v>744</v>
      </c>
      <c r="G1471" s="676" t="s">
        <v>59</v>
      </c>
      <c r="H1471" s="676" t="s">
        <v>3</v>
      </c>
      <c r="I1471" s="676" t="s">
        <v>44</v>
      </c>
      <c r="J1471" s="676" t="s">
        <v>85</v>
      </c>
      <c r="K1471" s="676">
        <v>160</v>
      </c>
      <c r="L1471" s="690" t="s">
        <v>54</v>
      </c>
      <c r="M1471" s="691">
        <v>0</v>
      </c>
      <c r="N1471" s="690">
        <v>5</v>
      </c>
      <c r="O1471" s="691">
        <v>0</v>
      </c>
      <c r="P1471" s="690">
        <v>161.90861257555719</v>
      </c>
      <c r="Q1471" s="738">
        <f t="shared" si="198"/>
        <v>0</v>
      </c>
      <c r="R1471" s="677">
        <f t="shared" si="199"/>
        <v>602300.03878107271</v>
      </c>
      <c r="S1471" s="739">
        <f t="shared" si="200"/>
        <v>602300.03878107271</v>
      </c>
      <c r="T1471" s="738">
        <v>80.45</v>
      </c>
      <c r="U1471" s="677">
        <f t="shared" si="201"/>
        <v>299274</v>
      </c>
      <c r="V1471" s="739">
        <f t="shared" si="202"/>
        <v>303026.03878107271</v>
      </c>
      <c r="W1471" s="740">
        <v>62.087104564109552</v>
      </c>
      <c r="X1471" s="678">
        <f t="shared" si="203"/>
        <v>230964.02897848753</v>
      </c>
      <c r="Y1471" s="700">
        <f t="shared" si="204"/>
        <v>371336.00980258518</v>
      </c>
      <c r="Z1471" s="740">
        <v>98.812895435890439</v>
      </c>
      <c r="AA1471" s="678">
        <f t="shared" si="205"/>
        <v>367583.97102151241</v>
      </c>
      <c r="AB1471" s="741">
        <f t="shared" si="206"/>
        <v>234716.0677595603</v>
      </c>
      <c r="AC1471" s="714"/>
    </row>
    <row r="1472" spans="1:29" x14ac:dyDescent="0.25">
      <c r="A1472" s="713"/>
      <c r="B1472" s="714" t="s">
        <v>2330</v>
      </c>
      <c r="C1472" s="676" t="s">
        <v>40</v>
      </c>
      <c r="D1472" s="676" t="s">
        <v>405</v>
      </c>
      <c r="E1472" s="680">
        <v>45231</v>
      </c>
      <c r="F1472" s="676">
        <v>720</v>
      </c>
      <c r="G1472" s="676" t="s">
        <v>59</v>
      </c>
      <c r="H1472" s="676" t="s">
        <v>3</v>
      </c>
      <c r="I1472" s="676" t="s">
        <v>44</v>
      </c>
      <c r="J1472" s="676" t="s">
        <v>85</v>
      </c>
      <c r="K1472" s="676">
        <v>160</v>
      </c>
      <c r="L1472" s="690" t="s">
        <v>54</v>
      </c>
      <c r="M1472" s="691">
        <v>0</v>
      </c>
      <c r="N1472" s="690">
        <v>5</v>
      </c>
      <c r="O1472" s="691">
        <v>0</v>
      </c>
      <c r="P1472" s="690">
        <v>161.90861257555719</v>
      </c>
      <c r="Q1472" s="738">
        <f t="shared" si="198"/>
        <v>0</v>
      </c>
      <c r="R1472" s="677">
        <f t="shared" si="199"/>
        <v>582871.00527200592</v>
      </c>
      <c r="S1472" s="739">
        <f t="shared" si="200"/>
        <v>582871.00527200592</v>
      </c>
      <c r="T1472" s="738">
        <v>80.45</v>
      </c>
      <c r="U1472" s="677">
        <f t="shared" si="201"/>
        <v>289620</v>
      </c>
      <c r="V1472" s="739">
        <f t="shared" si="202"/>
        <v>293251.00527200592</v>
      </c>
      <c r="W1472" s="740">
        <v>62.087104564109552</v>
      </c>
      <c r="X1472" s="678">
        <f t="shared" si="203"/>
        <v>223513.57643079438</v>
      </c>
      <c r="Y1472" s="700">
        <f t="shared" si="204"/>
        <v>359357.42884121154</v>
      </c>
      <c r="Z1472" s="740">
        <v>98.812895435890439</v>
      </c>
      <c r="AA1472" s="678">
        <f t="shared" si="205"/>
        <v>355726.42356920557</v>
      </c>
      <c r="AB1472" s="741">
        <f t="shared" si="206"/>
        <v>227144.58170280035</v>
      </c>
      <c r="AC1472" s="714"/>
    </row>
    <row r="1473" spans="1:29" x14ac:dyDescent="0.25">
      <c r="A1473" s="713"/>
      <c r="B1473" s="729" t="s">
        <v>2330</v>
      </c>
      <c r="C1473" s="545" t="s">
        <v>40</v>
      </c>
      <c r="D1473" s="545" t="s">
        <v>405</v>
      </c>
      <c r="E1473" s="681">
        <v>45261</v>
      </c>
      <c r="F1473" s="545">
        <v>744</v>
      </c>
      <c r="G1473" s="545" t="s">
        <v>59</v>
      </c>
      <c r="H1473" s="545" t="s">
        <v>3</v>
      </c>
      <c r="I1473" s="545" t="s">
        <v>44</v>
      </c>
      <c r="J1473" s="545" t="s">
        <v>85</v>
      </c>
      <c r="K1473" s="545">
        <v>160</v>
      </c>
      <c r="L1473" s="725" t="s">
        <v>54</v>
      </c>
      <c r="M1473" s="695">
        <v>0</v>
      </c>
      <c r="N1473" s="725">
        <v>5</v>
      </c>
      <c r="O1473" s="695">
        <v>0</v>
      </c>
      <c r="P1473" s="725">
        <v>161.90861257555719</v>
      </c>
      <c r="Q1473" s="742">
        <f t="shared" si="198"/>
        <v>0</v>
      </c>
      <c r="R1473" s="603">
        <f t="shared" si="199"/>
        <v>602300.03878107271</v>
      </c>
      <c r="S1473" s="743">
        <f t="shared" si="200"/>
        <v>602300.03878107271</v>
      </c>
      <c r="T1473" s="742">
        <v>80.45</v>
      </c>
      <c r="U1473" s="603">
        <f t="shared" si="201"/>
        <v>299274</v>
      </c>
      <c r="V1473" s="743">
        <f t="shared" si="202"/>
        <v>303026.03878107271</v>
      </c>
      <c r="W1473" s="744">
        <v>62.087104564109552</v>
      </c>
      <c r="X1473" s="604">
        <f t="shared" si="203"/>
        <v>230964.02897848753</v>
      </c>
      <c r="Y1473" s="701">
        <f t="shared" si="204"/>
        <v>371336.00980258518</v>
      </c>
      <c r="Z1473" s="744">
        <v>98.812895435890439</v>
      </c>
      <c r="AA1473" s="604">
        <f t="shared" si="205"/>
        <v>367583.97102151241</v>
      </c>
      <c r="AB1473" s="745">
        <f t="shared" si="206"/>
        <v>234716.0677595603</v>
      </c>
      <c r="AC1473" s="714"/>
    </row>
    <row r="1474" spans="1:29" x14ac:dyDescent="0.25">
      <c r="A1474" s="713"/>
      <c r="B1474" s="731" t="s">
        <v>2331</v>
      </c>
      <c r="C1474" s="547" t="s">
        <v>40</v>
      </c>
      <c r="D1474" s="547" t="s">
        <v>981</v>
      </c>
      <c r="E1474" s="683">
        <v>44927</v>
      </c>
      <c r="F1474" s="547">
        <v>744</v>
      </c>
      <c r="G1474" s="547" t="s">
        <v>58</v>
      </c>
      <c r="H1474" s="547" t="s">
        <v>3</v>
      </c>
      <c r="I1474" s="547" t="s">
        <v>44</v>
      </c>
      <c r="J1474" s="547" t="s">
        <v>84</v>
      </c>
      <c r="K1474" s="547">
        <v>102</v>
      </c>
      <c r="L1474" s="727" t="s">
        <v>54</v>
      </c>
      <c r="M1474" s="697">
        <v>3</v>
      </c>
      <c r="N1474" s="727">
        <v>0</v>
      </c>
      <c r="O1474" s="697">
        <v>103.2167405169177</v>
      </c>
      <c r="P1474" s="727">
        <v>0</v>
      </c>
      <c r="Q1474" s="750">
        <f t="shared" si="198"/>
        <v>230379.7648337603</v>
      </c>
      <c r="R1474" s="608">
        <f t="shared" si="199"/>
        <v>0</v>
      </c>
      <c r="S1474" s="751">
        <f t="shared" si="200"/>
        <v>-230379.7648337603</v>
      </c>
      <c r="T1474" s="750">
        <v>68.72</v>
      </c>
      <c r="U1474" s="608">
        <f t="shared" si="201"/>
        <v>-153383.04000000001</v>
      </c>
      <c r="V1474" s="751">
        <f t="shared" si="202"/>
        <v>-76996.724833760294</v>
      </c>
      <c r="W1474" s="752">
        <v>55.7</v>
      </c>
      <c r="X1474" s="609">
        <f t="shared" si="203"/>
        <v>-124322.40000000001</v>
      </c>
      <c r="Y1474" s="703">
        <f t="shared" si="204"/>
        <v>-106057.36483376029</v>
      </c>
      <c r="Z1474" s="752">
        <v>96.206580759134184</v>
      </c>
      <c r="AA1474" s="609">
        <f t="shared" si="205"/>
        <v>-214733.08825438749</v>
      </c>
      <c r="AB1474" s="753">
        <f t="shared" si="206"/>
        <v>-15646.676579372812</v>
      </c>
      <c r="AC1474" s="714"/>
    </row>
    <row r="1475" spans="1:29" x14ac:dyDescent="0.25">
      <c r="A1475" s="713"/>
      <c r="B1475" s="731" t="s">
        <v>2332</v>
      </c>
      <c r="C1475" s="547" t="s">
        <v>40</v>
      </c>
      <c r="D1475" s="547" t="s">
        <v>968</v>
      </c>
      <c r="E1475" s="683">
        <v>44866</v>
      </c>
      <c r="F1475" s="547">
        <v>720</v>
      </c>
      <c r="G1475" s="547" t="s">
        <v>58</v>
      </c>
      <c r="H1475" s="547" t="s">
        <v>3</v>
      </c>
      <c r="I1475" s="547" t="s">
        <v>44</v>
      </c>
      <c r="J1475" s="547" t="s">
        <v>84</v>
      </c>
      <c r="K1475" s="547">
        <v>65</v>
      </c>
      <c r="L1475" s="727" t="s">
        <v>54</v>
      </c>
      <c r="M1475" s="697">
        <v>3.5</v>
      </c>
      <c r="N1475" s="727">
        <v>0</v>
      </c>
      <c r="O1475" s="697">
        <v>65</v>
      </c>
      <c r="P1475" s="727">
        <v>0</v>
      </c>
      <c r="Q1475" s="750">
        <f t="shared" ref="Q1475:Q1538" si="207">(O1475*(M1475*F1475))</f>
        <v>163800</v>
      </c>
      <c r="R1475" s="608">
        <f t="shared" ref="R1475:R1538" si="208">(P1475*(N1475*F1475))</f>
        <v>0</v>
      </c>
      <c r="S1475" s="751">
        <f t="shared" ref="S1475:S1538" si="209">R1475-Q1475</f>
        <v>-163800</v>
      </c>
      <c r="T1475" s="750">
        <v>55.7</v>
      </c>
      <c r="U1475" s="608">
        <f t="shared" ref="U1475:U1538" si="210">(((F1475*N1475)*T1475)-(T1475*(M1475*F1475)))</f>
        <v>-140364</v>
      </c>
      <c r="V1475" s="751">
        <f t="shared" ref="V1475:V1538" si="211">S1475-U1475</f>
        <v>-23436</v>
      </c>
      <c r="W1475" s="752">
        <v>55.7</v>
      </c>
      <c r="X1475" s="609">
        <f t="shared" ref="X1475:X1538" si="212">(((F1475*N1475)*W1475)-(W1475*(M1475*F1475)))</f>
        <v>-140364</v>
      </c>
      <c r="Y1475" s="703">
        <f t="shared" ref="Y1475:Y1538" si="213">S1475-X1475</f>
        <v>-23436</v>
      </c>
      <c r="Z1475" s="752">
        <v>55.7</v>
      </c>
      <c r="AA1475" s="609">
        <f t="shared" ref="AA1475:AA1538" si="214">(((F1475*N1475)*Z1475)-(Z1475*(M1475*F1475)))</f>
        <v>-140364</v>
      </c>
      <c r="AB1475" s="753">
        <f t="shared" ref="AB1475:AB1538" si="215">S1475-AA1475</f>
        <v>-23436</v>
      </c>
      <c r="AC1475" s="714"/>
    </row>
    <row r="1476" spans="1:29" x14ac:dyDescent="0.25">
      <c r="A1476" s="713"/>
      <c r="B1476" s="731" t="s">
        <v>2333</v>
      </c>
      <c r="C1476" s="547" t="s">
        <v>40</v>
      </c>
      <c r="D1476" s="547" t="s">
        <v>2328</v>
      </c>
      <c r="E1476" s="683">
        <v>44866</v>
      </c>
      <c r="F1476" s="547">
        <v>720</v>
      </c>
      <c r="G1476" s="547" t="s">
        <v>58</v>
      </c>
      <c r="H1476" s="547" t="s">
        <v>3</v>
      </c>
      <c r="I1476" s="547" t="s">
        <v>44</v>
      </c>
      <c r="J1476" s="547" t="s">
        <v>84</v>
      </c>
      <c r="K1476" s="547">
        <v>65.5</v>
      </c>
      <c r="L1476" s="727" t="s">
        <v>54</v>
      </c>
      <c r="M1476" s="697">
        <v>5</v>
      </c>
      <c r="N1476" s="727">
        <v>0</v>
      </c>
      <c r="O1476" s="697">
        <v>65.5</v>
      </c>
      <c r="P1476" s="727">
        <v>0</v>
      </c>
      <c r="Q1476" s="750">
        <f t="shared" si="207"/>
        <v>235800</v>
      </c>
      <c r="R1476" s="608">
        <f t="shared" si="208"/>
        <v>0</v>
      </c>
      <c r="S1476" s="751">
        <f t="shared" si="209"/>
        <v>-235800</v>
      </c>
      <c r="T1476" s="750">
        <v>55.7</v>
      </c>
      <c r="U1476" s="608">
        <f t="shared" si="210"/>
        <v>-200520</v>
      </c>
      <c r="V1476" s="751">
        <f t="shared" si="211"/>
        <v>-35280</v>
      </c>
      <c r="W1476" s="752">
        <v>55.7</v>
      </c>
      <c r="X1476" s="609">
        <f t="shared" si="212"/>
        <v>-200520</v>
      </c>
      <c r="Y1476" s="703">
        <f t="shared" si="213"/>
        <v>-35280</v>
      </c>
      <c r="Z1476" s="752">
        <v>55.7</v>
      </c>
      <c r="AA1476" s="609">
        <f t="shared" si="214"/>
        <v>-200520</v>
      </c>
      <c r="AB1476" s="753">
        <f t="shared" si="215"/>
        <v>-35280</v>
      </c>
      <c r="AC1476" s="714"/>
    </row>
    <row r="1477" spans="1:29" x14ac:dyDescent="0.25">
      <c r="A1477" s="713"/>
      <c r="B1477" s="731" t="s">
        <v>2342</v>
      </c>
      <c r="C1477" s="547" t="s">
        <v>40</v>
      </c>
      <c r="D1477" s="547" t="s">
        <v>2340</v>
      </c>
      <c r="E1477" s="683">
        <v>44866</v>
      </c>
      <c r="F1477" s="547">
        <v>720</v>
      </c>
      <c r="G1477" s="547" t="s">
        <v>59</v>
      </c>
      <c r="H1477" s="547" t="s">
        <v>3</v>
      </c>
      <c r="I1477" s="547" t="s">
        <v>44</v>
      </c>
      <c r="J1477" s="547" t="s">
        <v>85</v>
      </c>
      <c r="K1477" s="547">
        <v>65</v>
      </c>
      <c r="L1477" s="727" t="s">
        <v>54</v>
      </c>
      <c r="M1477" s="697">
        <v>0</v>
      </c>
      <c r="N1477" s="727">
        <v>3</v>
      </c>
      <c r="O1477" s="697">
        <v>0</v>
      </c>
      <c r="P1477" s="727">
        <v>65</v>
      </c>
      <c r="Q1477" s="750">
        <f t="shared" si="207"/>
        <v>0</v>
      </c>
      <c r="R1477" s="608">
        <f t="shared" si="208"/>
        <v>140400</v>
      </c>
      <c r="S1477" s="751">
        <f t="shared" si="209"/>
        <v>140400</v>
      </c>
      <c r="T1477" s="750">
        <v>55.7</v>
      </c>
      <c r="U1477" s="608">
        <f t="shared" si="210"/>
        <v>120312</v>
      </c>
      <c r="V1477" s="751">
        <f t="shared" si="211"/>
        <v>20088</v>
      </c>
      <c r="W1477" s="752">
        <v>55.7</v>
      </c>
      <c r="X1477" s="609">
        <f t="shared" si="212"/>
        <v>120312</v>
      </c>
      <c r="Y1477" s="703">
        <f t="shared" si="213"/>
        <v>20088</v>
      </c>
      <c r="Z1477" s="752">
        <v>55.7</v>
      </c>
      <c r="AA1477" s="609">
        <f t="shared" si="214"/>
        <v>120312</v>
      </c>
      <c r="AB1477" s="753">
        <f t="shared" si="215"/>
        <v>20088</v>
      </c>
      <c r="AC1477" s="714"/>
    </row>
    <row r="1478" spans="1:29" x14ac:dyDescent="0.25">
      <c r="A1478" s="713"/>
      <c r="B1478" s="731" t="s">
        <v>2343</v>
      </c>
      <c r="C1478" s="547" t="s">
        <v>40</v>
      </c>
      <c r="D1478" s="547" t="s">
        <v>2340</v>
      </c>
      <c r="E1478" s="683">
        <v>44866</v>
      </c>
      <c r="F1478" s="547">
        <v>720</v>
      </c>
      <c r="G1478" s="547" t="s">
        <v>59</v>
      </c>
      <c r="H1478" s="547" t="s">
        <v>3</v>
      </c>
      <c r="I1478" s="547" t="s">
        <v>44</v>
      </c>
      <c r="J1478" s="547" t="s">
        <v>85</v>
      </c>
      <c r="K1478" s="547">
        <v>65</v>
      </c>
      <c r="L1478" s="727" t="s">
        <v>54</v>
      </c>
      <c r="M1478" s="697">
        <v>0</v>
      </c>
      <c r="N1478" s="727">
        <v>2</v>
      </c>
      <c r="O1478" s="697">
        <v>0</v>
      </c>
      <c r="P1478" s="727">
        <v>65</v>
      </c>
      <c r="Q1478" s="750">
        <f t="shared" si="207"/>
        <v>0</v>
      </c>
      <c r="R1478" s="608">
        <f t="shared" si="208"/>
        <v>93600</v>
      </c>
      <c r="S1478" s="751">
        <f t="shared" si="209"/>
        <v>93600</v>
      </c>
      <c r="T1478" s="750">
        <v>55.7</v>
      </c>
      <c r="U1478" s="608">
        <f t="shared" si="210"/>
        <v>80208</v>
      </c>
      <c r="V1478" s="751">
        <f t="shared" si="211"/>
        <v>13392</v>
      </c>
      <c r="W1478" s="752">
        <v>55.7</v>
      </c>
      <c r="X1478" s="609">
        <f t="shared" si="212"/>
        <v>80208</v>
      </c>
      <c r="Y1478" s="703">
        <f t="shared" si="213"/>
        <v>13392</v>
      </c>
      <c r="Z1478" s="752">
        <v>55.7</v>
      </c>
      <c r="AA1478" s="609">
        <f t="shared" si="214"/>
        <v>80208</v>
      </c>
      <c r="AB1478" s="753">
        <f t="shared" si="215"/>
        <v>13392</v>
      </c>
      <c r="AC1478" s="714"/>
    </row>
    <row r="1479" spans="1:29" x14ac:dyDescent="0.25">
      <c r="A1479" s="713"/>
      <c r="B1479" s="731" t="s">
        <v>2344</v>
      </c>
      <c r="C1479" s="547" t="s">
        <v>40</v>
      </c>
      <c r="D1479" s="547" t="s">
        <v>945</v>
      </c>
      <c r="E1479" s="683">
        <v>44835</v>
      </c>
      <c r="F1479" s="547">
        <v>744</v>
      </c>
      <c r="G1479" s="547" t="s">
        <v>58</v>
      </c>
      <c r="H1479" s="547" t="s">
        <v>3</v>
      </c>
      <c r="I1479" s="547" t="s">
        <v>44</v>
      </c>
      <c r="J1479" s="547" t="s">
        <v>84</v>
      </c>
      <c r="K1479" s="547">
        <v>59.5</v>
      </c>
      <c r="L1479" s="727" t="s">
        <v>54</v>
      </c>
      <c r="M1479" s="697">
        <v>3</v>
      </c>
      <c r="N1479" s="727">
        <v>0</v>
      </c>
      <c r="O1479" s="697">
        <v>59.5</v>
      </c>
      <c r="P1479" s="727">
        <v>0</v>
      </c>
      <c r="Q1479" s="750">
        <f t="shared" si="207"/>
        <v>132804</v>
      </c>
      <c r="R1479" s="608">
        <f t="shared" si="208"/>
        <v>0</v>
      </c>
      <c r="S1479" s="751">
        <f t="shared" si="209"/>
        <v>-132804</v>
      </c>
      <c r="T1479" s="750">
        <v>55.7</v>
      </c>
      <c r="U1479" s="608">
        <f t="shared" si="210"/>
        <v>-124322.40000000001</v>
      </c>
      <c r="V1479" s="751">
        <f t="shared" si="211"/>
        <v>-8481.5999999999913</v>
      </c>
      <c r="W1479" s="752">
        <v>55.7</v>
      </c>
      <c r="X1479" s="609">
        <f t="shared" si="212"/>
        <v>-124322.40000000001</v>
      </c>
      <c r="Y1479" s="703">
        <f t="shared" si="213"/>
        <v>-8481.5999999999913</v>
      </c>
      <c r="Z1479" s="752">
        <v>55.7</v>
      </c>
      <c r="AA1479" s="609">
        <f t="shared" si="214"/>
        <v>-124322.40000000001</v>
      </c>
      <c r="AB1479" s="753">
        <f t="shared" si="215"/>
        <v>-8481.5999999999913</v>
      </c>
      <c r="AC1479" s="714"/>
    </row>
    <row r="1480" spans="1:29" x14ac:dyDescent="0.25">
      <c r="A1480" s="713"/>
      <c r="B1480" s="731" t="s">
        <v>2345</v>
      </c>
      <c r="C1480" s="547" t="s">
        <v>40</v>
      </c>
      <c r="D1480" s="547" t="s">
        <v>2147</v>
      </c>
      <c r="E1480" s="683">
        <v>44866</v>
      </c>
      <c r="F1480" s="547">
        <v>720</v>
      </c>
      <c r="G1480" s="547" t="s">
        <v>58</v>
      </c>
      <c r="H1480" s="547" t="s">
        <v>3</v>
      </c>
      <c r="I1480" s="547" t="s">
        <v>44</v>
      </c>
      <c r="J1480" s="547" t="s">
        <v>84</v>
      </c>
      <c r="K1480" s="547">
        <v>63.5</v>
      </c>
      <c r="L1480" s="727" t="s">
        <v>54</v>
      </c>
      <c r="M1480" s="697">
        <v>2</v>
      </c>
      <c r="N1480" s="727">
        <v>0</v>
      </c>
      <c r="O1480" s="697">
        <v>63.5</v>
      </c>
      <c r="P1480" s="727">
        <v>0</v>
      </c>
      <c r="Q1480" s="750">
        <f t="shared" si="207"/>
        <v>91440</v>
      </c>
      <c r="R1480" s="608">
        <f t="shared" si="208"/>
        <v>0</v>
      </c>
      <c r="S1480" s="751">
        <f t="shared" si="209"/>
        <v>-91440</v>
      </c>
      <c r="T1480" s="750">
        <v>55.7</v>
      </c>
      <c r="U1480" s="608">
        <f t="shared" si="210"/>
        <v>-80208</v>
      </c>
      <c r="V1480" s="751">
        <f t="shared" si="211"/>
        <v>-11232</v>
      </c>
      <c r="W1480" s="752">
        <v>55.7</v>
      </c>
      <c r="X1480" s="609">
        <f t="shared" si="212"/>
        <v>-80208</v>
      </c>
      <c r="Y1480" s="703">
        <f t="shared" si="213"/>
        <v>-11232</v>
      </c>
      <c r="Z1480" s="752">
        <v>55.7</v>
      </c>
      <c r="AA1480" s="609">
        <f t="shared" si="214"/>
        <v>-80208</v>
      </c>
      <c r="AB1480" s="753">
        <f t="shared" si="215"/>
        <v>-11232</v>
      </c>
      <c r="AC1480" s="714"/>
    </row>
    <row r="1481" spans="1:29" x14ac:dyDescent="0.25">
      <c r="A1481" s="713"/>
      <c r="B1481" s="731" t="s">
        <v>2346</v>
      </c>
      <c r="C1481" s="547" t="s">
        <v>40</v>
      </c>
      <c r="D1481" s="547" t="s">
        <v>2017</v>
      </c>
      <c r="E1481" s="683">
        <v>44835</v>
      </c>
      <c r="F1481" s="547">
        <v>744</v>
      </c>
      <c r="G1481" s="547" t="s">
        <v>58</v>
      </c>
      <c r="H1481" s="547" t="s">
        <v>3</v>
      </c>
      <c r="I1481" s="547" t="s">
        <v>44</v>
      </c>
      <c r="J1481" s="547" t="s">
        <v>84</v>
      </c>
      <c r="K1481" s="547">
        <v>60</v>
      </c>
      <c r="L1481" s="727" t="s">
        <v>54</v>
      </c>
      <c r="M1481" s="697">
        <v>5</v>
      </c>
      <c r="N1481" s="727">
        <v>0</v>
      </c>
      <c r="O1481" s="697">
        <v>60</v>
      </c>
      <c r="P1481" s="727">
        <v>0</v>
      </c>
      <c r="Q1481" s="750">
        <f t="shared" si="207"/>
        <v>223200</v>
      </c>
      <c r="R1481" s="608">
        <f t="shared" si="208"/>
        <v>0</v>
      </c>
      <c r="S1481" s="751">
        <f t="shared" si="209"/>
        <v>-223200</v>
      </c>
      <c r="T1481" s="750">
        <v>55.7</v>
      </c>
      <c r="U1481" s="608">
        <f t="shared" si="210"/>
        <v>-207204</v>
      </c>
      <c r="V1481" s="751">
        <f t="shared" si="211"/>
        <v>-15996</v>
      </c>
      <c r="W1481" s="752">
        <v>55.7</v>
      </c>
      <c r="X1481" s="609">
        <f t="shared" si="212"/>
        <v>-207204</v>
      </c>
      <c r="Y1481" s="703">
        <f t="shared" si="213"/>
        <v>-15996</v>
      </c>
      <c r="Z1481" s="752">
        <v>55.7</v>
      </c>
      <c r="AA1481" s="609">
        <f t="shared" si="214"/>
        <v>-207204</v>
      </c>
      <c r="AB1481" s="753">
        <f t="shared" si="215"/>
        <v>-15996</v>
      </c>
      <c r="AC1481" s="714"/>
    </row>
    <row r="1482" spans="1:29" x14ac:dyDescent="0.25">
      <c r="A1482" s="713"/>
      <c r="B1482" s="731" t="s">
        <v>2347</v>
      </c>
      <c r="C1482" s="547" t="s">
        <v>40</v>
      </c>
      <c r="D1482" s="547" t="s">
        <v>2017</v>
      </c>
      <c r="E1482" s="683">
        <v>44835</v>
      </c>
      <c r="F1482" s="547">
        <v>744</v>
      </c>
      <c r="G1482" s="547" t="s">
        <v>58</v>
      </c>
      <c r="H1482" s="547" t="s">
        <v>3</v>
      </c>
      <c r="I1482" s="547" t="s">
        <v>44</v>
      </c>
      <c r="J1482" s="547" t="s">
        <v>84</v>
      </c>
      <c r="K1482" s="547">
        <v>60</v>
      </c>
      <c r="L1482" s="727" t="s">
        <v>54</v>
      </c>
      <c r="M1482" s="697">
        <v>1</v>
      </c>
      <c r="N1482" s="727">
        <v>0</v>
      </c>
      <c r="O1482" s="697">
        <v>60</v>
      </c>
      <c r="P1482" s="727">
        <v>0</v>
      </c>
      <c r="Q1482" s="750">
        <f t="shared" si="207"/>
        <v>44640</v>
      </c>
      <c r="R1482" s="608">
        <f t="shared" si="208"/>
        <v>0</v>
      </c>
      <c r="S1482" s="751">
        <f t="shared" si="209"/>
        <v>-44640</v>
      </c>
      <c r="T1482" s="750">
        <v>55.7</v>
      </c>
      <c r="U1482" s="608">
        <f t="shared" si="210"/>
        <v>-41440.800000000003</v>
      </c>
      <c r="V1482" s="751">
        <f t="shared" si="211"/>
        <v>-3199.1999999999971</v>
      </c>
      <c r="W1482" s="752">
        <v>55.7</v>
      </c>
      <c r="X1482" s="609">
        <f t="shared" si="212"/>
        <v>-41440.800000000003</v>
      </c>
      <c r="Y1482" s="703">
        <f t="shared" si="213"/>
        <v>-3199.1999999999971</v>
      </c>
      <c r="Z1482" s="752">
        <v>55.7</v>
      </c>
      <c r="AA1482" s="609">
        <f t="shared" si="214"/>
        <v>-41440.800000000003</v>
      </c>
      <c r="AB1482" s="753">
        <f t="shared" si="215"/>
        <v>-3199.1999999999971</v>
      </c>
      <c r="AC1482" s="714"/>
    </row>
    <row r="1483" spans="1:29" x14ac:dyDescent="0.25">
      <c r="A1483" s="713"/>
      <c r="B1483" s="731" t="s">
        <v>2353</v>
      </c>
      <c r="C1483" s="547" t="s">
        <v>40</v>
      </c>
      <c r="D1483" s="547" t="s">
        <v>2351</v>
      </c>
      <c r="E1483" s="683">
        <v>44927</v>
      </c>
      <c r="F1483" s="547">
        <v>744</v>
      </c>
      <c r="G1483" s="547" t="s">
        <v>59</v>
      </c>
      <c r="H1483" s="547" t="s">
        <v>3</v>
      </c>
      <c r="I1483" s="547" t="s">
        <v>44</v>
      </c>
      <c r="J1483" s="547" t="s">
        <v>85</v>
      </c>
      <c r="K1483" s="547">
        <v>90</v>
      </c>
      <c r="L1483" s="727" t="s">
        <v>54</v>
      </c>
      <c r="M1483" s="697">
        <v>0</v>
      </c>
      <c r="N1483" s="727">
        <v>5</v>
      </c>
      <c r="O1483" s="697">
        <v>0</v>
      </c>
      <c r="P1483" s="727">
        <v>91.07359457375091</v>
      </c>
      <c r="Q1483" s="750">
        <f t="shared" si="207"/>
        <v>0</v>
      </c>
      <c r="R1483" s="608">
        <f t="shared" si="208"/>
        <v>338793.77181435336</v>
      </c>
      <c r="S1483" s="751">
        <f t="shared" si="209"/>
        <v>338793.77181435336</v>
      </c>
      <c r="T1483" s="750">
        <v>68.72</v>
      </c>
      <c r="U1483" s="608">
        <f t="shared" si="210"/>
        <v>255638.39999999999</v>
      </c>
      <c r="V1483" s="751">
        <f t="shared" si="211"/>
        <v>83155.371814353362</v>
      </c>
      <c r="W1483" s="752">
        <v>55.7</v>
      </c>
      <c r="X1483" s="609">
        <f t="shared" si="212"/>
        <v>207204</v>
      </c>
      <c r="Y1483" s="703">
        <f t="shared" si="213"/>
        <v>131589.77181435336</v>
      </c>
      <c r="Z1483" s="752">
        <v>96.206580759134184</v>
      </c>
      <c r="AA1483" s="609">
        <f t="shared" si="214"/>
        <v>357888.48042397917</v>
      </c>
      <c r="AB1483" s="753">
        <f t="shared" si="215"/>
        <v>-19094.708609625814</v>
      </c>
      <c r="AC1483" s="714"/>
    </row>
    <row r="1484" spans="1:29" x14ac:dyDescent="0.25">
      <c r="A1484" s="713"/>
      <c r="B1484" s="731" t="s">
        <v>2354</v>
      </c>
      <c r="C1484" s="547" t="s">
        <v>40</v>
      </c>
      <c r="D1484" s="547" t="s">
        <v>2351</v>
      </c>
      <c r="E1484" s="683">
        <v>44927</v>
      </c>
      <c r="F1484" s="547">
        <v>744</v>
      </c>
      <c r="G1484" s="547" t="s">
        <v>59</v>
      </c>
      <c r="H1484" s="547" t="s">
        <v>3</v>
      </c>
      <c r="I1484" s="547" t="s">
        <v>44</v>
      </c>
      <c r="J1484" s="547" t="s">
        <v>85</v>
      </c>
      <c r="K1484" s="547">
        <v>90</v>
      </c>
      <c r="L1484" s="727" t="s">
        <v>54</v>
      </c>
      <c r="M1484" s="697">
        <v>0</v>
      </c>
      <c r="N1484" s="727">
        <v>5</v>
      </c>
      <c r="O1484" s="697">
        <v>0</v>
      </c>
      <c r="P1484" s="727">
        <v>91.07359457375091</v>
      </c>
      <c r="Q1484" s="750">
        <f t="shared" si="207"/>
        <v>0</v>
      </c>
      <c r="R1484" s="608">
        <f t="shared" si="208"/>
        <v>338793.77181435336</v>
      </c>
      <c r="S1484" s="751">
        <f t="shared" si="209"/>
        <v>338793.77181435336</v>
      </c>
      <c r="T1484" s="750">
        <v>68.72</v>
      </c>
      <c r="U1484" s="608">
        <f t="shared" si="210"/>
        <v>255638.39999999999</v>
      </c>
      <c r="V1484" s="751">
        <f t="shared" si="211"/>
        <v>83155.371814353362</v>
      </c>
      <c r="W1484" s="752">
        <v>55.7</v>
      </c>
      <c r="X1484" s="609">
        <f t="shared" si="212"/>
        <v>207204</v>
      </c>
      <c r="Y1484" s="703">
        <f t="shared" si="213"/>
        <v>131589.77181435336</v>
      </c>
      <c r="Z1484" s="752">
        <v>96.206580759134184</v>
      </c>
      <c r="AA1484" s="609">
        <f t="shared" si="214"/>
        <v>357888.48042397917</v>
      </c>
      <c r="AB1484" s="753">
        <f t="shared" si="215"/>
        <v>-19094.708609625814</v>
      </c>
      <c r="AC1484" s="714"/>
    </row>
    <row r="1485" spans="1:29" x14ac:dyDescent="0.25">
      <c r="A1485" s="713"/>
      <c r="B1485" s="730" t="s">
        <v>2355</v>
      </c>
      <c r="C1485" s="546" t="s">
        <v>40</v>
      </c>
      <c r="D1485" s="546" t="s">
        <v>478</v>
      </c>
      <c r="E1485" s="682">
        <v>45017</v>
      </c>
      <c r="F1485" s="546">
        <v>720</v>
      </c>
      <c r="G1485" s="546" t="s">
        <v>59</v>
      </c>
      <c r="H1485" s="546" t="s">
        <v>3</v>
      </c>
      <c r="I1485" s="546" t="s">
        <v>44</v>
      </c>
      <c r="J1485" s="546" t="s">
        <v>85</v>
      </c>
      <c r="K1485" s="546">
        <v>94.5</v>
      </c>
      <c r="L1485" s="726" t="s">
        <v>54</v>
      </c>
      <c r="M1485" s="696">
        <v>0</v>
      </c>
      <c r="N1485" s="726">
        <v>3</v>
      </c>
      <c r="O1485" s="696">
        <v>0</v>
      </c>
      <c r="P1485" s="726">
        <v>95.627274302438451</v>
      </c>
      <c r="Q1485" s="746">
        <f t="shared" si="207"/>
        <v>0</v>
      </c>
      <c r="R1485" s="606">
        <f t="shared" si="208"/>
        <v>206554.91249326707</v>
      </c>
      <c r="S1485" s="747">
        <f t="shared" si="209"/>
        <v>206554.91249326707</v>
      </c>
      <c r="T1485" s="746">
        <v>69.8</v>
      </c>
      <c r="U1485" s="606">
        <f t="shared" si="210"/>
        <v>150768</v>
      </c>
      <c r="V1485" s="747">
        <f t="shared" si="211"/>
        <v>55786.912493267067</v>
      </c>
      <c r="W1485" s="748">
        <v>55.7</v>
      </c>
      <c r="X1485" s="607">
        <f t="shared" si="212"/>
        <v>120312</v>
      </c>
      <c r="Y1485" s="702">
        <f t="shared" si="213"/>
        <v>86242.912493267067</v>
      </c>
      <c r="Z1485" s="748">
        <v>85.732008718771311</v>
      </c>
      <c r="AA1485" s="607">
        <f t="shared" si="214"/>
        <v>185181.13883254604</v>
      </c>
      <c r="AB1485" s="749">
        <f t="shared" si="215"/>
        <v>21373.773660721024</v>
      </c>
      <c r="AC1485" s="714"/>
    </row>
    <row r="1486" spans="1:29" x14ac:dyDescent="0.25">
      <c r="A1486" s="713"/>
      <c r="B1486" s="714" t="s">
        <v>2355</v>
      </c>
      <c r="C1486" s="676" t="s">
        <v>40</v>
      </c>
      <c r="D1486" s="676" t="s">
        <v>478</v>
      </c>
      <c r="E1486" s="680">
        <v>45047</v>
      </c>
      <c r="F1486" s="676">
        <v>744</v>
      </c>
      <c r="G1486" s="676" t="s">
        <v>59</v>
      </c>
      <c r="H1486" s="676" t="s">
        <v>3</v>
      </c>
      <c r="I1486" s="676" t="s">
        <v>44</v>
      </c>
      <c r="J1486" s="676" t="s">
        <v>85</v>
      </c>
      <c r="K1486" s="676">
        <v>94.5</v>
      </c>
      <c r="L1486" s="690" t="s">
        <v>54</v>
      </c>
      <c r="M1486" s="691">
        <v>0</v>
      </c>
      <c r="N1486" s="690">
        <v>3</v>
      </c>
      <c r="O1486" s="691">
        <v>0</v>
      </c>
      <c r="P1486" s="690">
        <v>95.627274302438451</v>
      </c>
      <c r="Q1486" s="738">
        <f t="shared" si="207"/>
        <v>0</v>
      </c>
      <c r="R1486" s="677">
        <f t="shared" si="208"/>
        <v>213440.07624304263</v>
      </c>
      <c r="S1486" s="739">
        <f t="shared" si="209"/>
        <v>213440.07624304263</v>
      </c>
      <c r="T1486" s="738">
        <v>70.2</v>
      </c>
      <c r="U1486" s="677">
        <f t="shared" si="210"/>
        <v>156686.39999999999</v>
      </c>
      <c r="V1486" s="739">
        <f t="shared" si="211"/>
        <v>56753.676243042632</v>
      </c>
      <c r="W1486" s="740">
        <v>55.7</v>
      </c>
      <c r="X1486" s="678">
        <f t="shared" si="212"/>
        <v>124322.40000000001</v>
      </c>
      <c r="Y1486" s="700">
        <f t="shared" si="213"/>
        <v>89117.676243042617</v>
      </c>
      <c r="Z1486" s="740">
        <v>86.223309628334476</v>
      </c>
      <c r="AA1486" s="678">
        <f t="shared" si="214"/>
        <v>192450.42709044256</v>
      </c>
      <c r="AB1486" s="741">
        <f t="shared" si="215"/>
        <v>20989.649152600061</v>
      </c>
      <c r="AC1486" s="714"/>
    </row>
    <row r="1487" spans="1:29" x14ac:dyDescent="0.25">
      <c r="A1487" s="713"/>
      <c r="B1487" s="729" t="s">
        <v>2355</v>
      </c>
      <c r="C1487" s="545" t="s">
        <v>40</v>
      </c>
      <c r="D1487" s="545" t="s">
        <v>478</v>
      </c>
      <c r="E1487" s="681">
        <v>45078</v>
      </c>
      <c r="F1487" s="545">
        <v>720</v>
      </c>
      <c r="G1487" s="545" t="s">
        <v>59</v>
      </c>
      <c r="H1487" s="545" t="s">
        <v>3</v>
      </c>
      <c r="I1487" s="545" t="s">
        <v>44</v>
      </c>
      <c r="J1487" s="545" t="s">
        <v>85</v>
      </c>
      <c r="K1487" s="545">
        <v>94.5</v>
      </c>
      <c r="L1487" s="725" t="s">
        <v>54</v>
      </c>
      <c r="M1487" s="695">
        <v>0</v>
      </c>
      <c r="N1487" s="725">
        <v>3</v>
      </c>
      <c r="O1487" s="695">
        <v>0</v>
      </c>
      <c r="P1487" s="725">
        <v>95.627274302438451</v>
      </c>
      <c r="Q1487" s="742">
        <f t="shared" si="207"/>
        <v>0</v>
      </c>
      <c r="R1487" s="603">
        <f t="shared" si="208"/>
        <v>206554.91249326707</v>
      </c>
      <c r="S1487" s="743">
        <f t="shared" si="209"/>
        <v>206554.91249326707</v>
      </c>
      <c r="T1487" s="742">
        <v>72.400000000000006</v>
      </c>
      <c r="U1487" s="603">
        <f t="shared" si="210"/>
        <v>156384</v>
      </c>
      <c r="V1487" s="743">
        <f t="shared" si="211"/>
        <v>50170.912493267067</v>
      </c>
      <c r="W1487" s="744">
        <v>55.874535369068141</v>
      </c>
      <c r="X1487" s="604">
        <f t="shared" si="212"/>
        <v>120688.99639718719</v>
      </c>
      <c r="Y1487" s="701">
        <f t="shared" si="213"/>
        <v>85865.916096079876</v>
      </c>
      <c r="Z1487" s="744">
        <v>88.925464630931856</v>
      </c>
      <c r="AA1487" s="604">
        <f t="shared" si="214"/>
        <v>192079.00360281282</v>
      </c>
      <c r="AB1487" s="745">
        <f t="shared" si="215"/>
        <v>14475.908890454244</v>
      </c>
      <c r="AC1487" s="714"/>
    </row>
    <row r="1488" spans="1:29" x14ac:dyDescent="0.25">
      <c r="A1488" s="713"/>
      <c r="B1488" s="731" t="s">
        <v>2357</v>
      </c>
      <c r="C1488" s="547" t="s">
        <v>40</v>
      </c>
      <c r="D1488" s="547" t="s">
        <v>1195</v>
      </c>
      <c r="E1488" s="683">
        <v>44896</v>
      </c>
      <c r="F1488" s="547">
        <v>744</v>
      </c>
      <c r="G1488" s="547" t="s">
        <v>59</v>
      </c>
      <c r="H1488" s="547" t="s">
        <v>3</v>
      </c>
      <c r="I1488" s="547" t="s">
        <v>44</v>
      </c>
      <c r="J1488" s="547" t="s">
        <v>85</v>
      </c>
      <c r="K1488" s="547">
        <v>62</v>
      </c>
      <c r="L1488" s="727" t="s">
        <v>54</v>
      </c>
      <c r="M1488" s="697">
        <v>0</v>
      </c>
      <c r="N1488" s="727">
        <v>5</v>
      </c>
      <c r="O1488" s="697">
        <v>0</v>
      </c>
      <c r="P1488" s="727">
        <v>62</v>
      </c>
      <c r="Q1488" s="750">
        <f t="shared" si="207"/>
        <v>0</v>
      </c>
      <c r="R1488" s="608">
        <f t="shared" si="208"/>
        <v>230640</v>
      </c>
      <c r="S1488" s="751">
        <f t="shared" si="209"/>
        <v>230640</v>
      </c>
      <c r="T1488" s="750">
        <v>55.7</v>
      </c>
      <c r="U1488" s="608">
        <f t="shared" si="210"/>
        <v>207204</v>
      </c>
      <c r="V1488" s="751">
        <f t="shared" si="211"/>
        <v>23436</v>
      </c>
      <c r="W1488" s="752">
        <v>55.7</v>
      </c>
      <c r="X1488" s="609">
        <f t="shared" si="212"/>
        <v>207204</v>
      </c>
      <c r="Y1488" s="703">
        <f t="shared" si="213"/>
        <v>23436</v>
      </c>
      <c r="Z1488" s="752">
        <v>78.400653594793155</v>
      </c>
      <c r="AA1488" s="609">
        <f t="shared" si="214"/>
        <v>291650.43137263053</v>
      </c>
      <c r="AB1488" s="753">
        <f t="shared" si="215"/>
        <v>-61010.431372630526</v>
      </c>
      <c r="AC1488" s="714"/>
    </row>
    <row r="1489" spans="1:29" x14ac:dyDescent="0.25">
      <c r="A1489" s="713"/>
      <c r="B1489" s="731" t="s">
        <v>2359</v>
      </c>
      <c r="C1489" s="547" t="s">
        <v>40</v>
      </c>
      <c r="D1489" s="547" t="s">
        <v>2267</v>
      </c>
      <c r="E1489" s="683">
        <v>44805</v>
      </c>
      <c r="F1489" s="547">
        <v>720</v>
      </c>
      <c r="G1489" s="547" t="s">
        <v>58</v>
      </c>
      <c r="H1489" s="547" t="s">
        <v>3</v>
      </c>
      <c r="I1489" s="547" t="s">
        <v>44</v>
      </c>
      <c r="J1489" s="547" t="s">
        <v>84</v>
      </c>
      <c r="K1489" s="547">
        <v>-0.35</v>
      </c>
      <c r="L1489" s="727" t="s">
        <v>92</v>
      </c>
      <c r="M1489" s="697">
        <v>1</v>
      </c>
      <c r="N1489" s="727">
        <v>0</v>
      </c>
      <c r="O1489" s="697">
        <v>55.73</v>
      </c>
      <c r="P1489" s="727">
        <v>0</v>
      </c>
      <c r="Q1489" s="750">
        <f t="shared" si="207"/>
        <v>40125.599999999999</v>
      </c>
      <c r="R1489" s="608">
        <f t="shared" si="208"/>
        <v>0</v>
      </c>
      <c r="S1489" s="751">
        <f t="shared" si="209"/>
        <v>-40125.599999999999</v>
      </c>
      <c r="T1489" s="750">
        <v>56.08</v>
      </c>
      <c r="U1489" s="608">
        <f t="shared" si="210"/>
        <v>-40377.599999999999</v>
      </c>
      <c r="V1489" s="751">
        <f t="shared" si="211"/>
        <v>252</v>
      </c>
      <c r="W1489" s="752">
        <v>56.08</v>
      </c>
      <c r="X1489" s="609">
        <f t="shared" si="212"/>
        <v>-40377.599999999999</v>
      </c>
      <c r="Y1489" s="703">
        <f t="shared" si="213"/>
        <v>252</v>
      </c>
      <c r="Z1489" s="752">
        <v>56.08</v>
      </c>
      <c r="AA1489" s="609">
        <f t="shared" si="214"/>
        <v>-40377.599999999999</v>
      </c>
      <c r="AB1489" s="753">
        <f t="shared" si="215"/>
        <v>252</v>
      </c>
      <c r="AC1489" s="714"/>
    </row>
    <row r="1490" spans="1:29" x14ac:dyDescent="0.25">
      <c r="A1490" s="713"/>
      <c r="B1490" s="731" t="s">
        <v>2362</v>
      </c>
      <c r="C1490" s="547" t="s">
        <v>40</v>
      </c>
      <c r="D1490" s="547" t="s">
        <v>464</v>
      </c>
      <c r="E1490" s="683">
        <v>44805</v>
      </c>
      <c r="F1490" s="547">
        <v>720</v>
      </c>
      <c r="G1490" s="547" t="s">
        <v>58</v>
      </c>
      <c r="H1490" s="547" t="s">
        <v>3</v>
      </c>
      <c r="I1490" s="547" t="s">
        <v>44</v>
      </c>
      <c r="J1490" s="547" t="s">
        <v>84</v>
      </c>
      <c r="K1490" s="547">
        <v>-0.1</v>
      </c>
      <c r="L1490" s="727" t="s">
        <v>92</v>
      </c>
      <c r="M1490" s="697">
        <v>5</v>
      </c>
      <c r="N1490" s="727">
        <v>0</v>
      </c>
      <c r="O1490" s="697">
        <v>55.98</v>
      </c>
      <c r="P1490" s="727">
        <v>0</v>
      </c>
      <c r="Q1490" s="750">
        <f t="shared" si="207"/>
        <v>201528</v>
      </c>
      <c r="R1490" s="608">
        <f t="shared" si="208"/>
        <v>0</v>
      </c>
      <c r="S1490" s="751">
        <f t="shared" si="209"/>
        <v>-201528</v>
      </c>
      <c r="T1490" s="750">
        <v>56.08</v>
      </c>
      <c r="U1490" s="608">
        <f t="shared" si="210"/>
        <v>-201888</v>
      </c>
      <c r="V1490" s="751">
        <f t="shared" si="211"/>
        <v>360</v>
      </c>
      <c r="W1490" s="752">
        <v>56.08</v>
      </c>
      <c r="X1490" s="609">
        <f t="shared" si="212"/>
        <v>-201888</v>
      </c>
      <c r="Y1490" s="703">
        <f t="shared" si="213"/>
        <v>360</v>
      </c>
      <c r="Z1490" s="752">
        <v>56.08</v>
      </c>
      <c r="AA1490" s="609">
        <f t="shared" si="214"/>
        <v>-201888</v>
      </c>
      <c r="AB1490" s="753">
        <f t="shared" si="215"/>
        <v>360</v>
      </c>
      <c r="AC1490" s="714"/>
    </row>
    <row r="1491" spans="1:29" x14ac:dyDescent="0.25">
      <c r="A1491" s="713"/>
      <c r="B1491" s="730" t="s">
        <v>2372</v>
      </c>
      <c r="C1491" s="546" t="s">
        <v>40</v>
      </c>
      <c r="D1491" s="546" t="s">
        <v>876</v>
      </c>
      <c r="E1491" s="682">
        <v>45017</v>
      </c>
      <c r="F1491" s="546">
        <v>720</v>
      </c>
      <c r="G1491" s="546" t="s">
        <v>58</v>
      </c>
      <c r="H1491" s="546" t="s">
        <v>3</v>
      </c>
      <c r="I1491" s="546" t="s">
        <v>44</v>
      </c>
      <c r="J1491" s="546" t="s">
        <v>84</v>
      </c>
      <c r="K1491" s="546">
        <v>75</v>
      </c>
      <c r="L1491" s="726" t="s">
        <v>54</v>
      </c>
      <c r="M1491" s="696">
        <v>1.7</v>
      </c>
      <c r="N1491" s="726">
        <v>0</v>
      </c>
      <c r="O1491" s="696">
        <v>75</v>
      </c>
      <c r="P1491" s="726">
        <v>0</v>
      </c>
      <c r="Q1491" s="746">
        <f t="shared" si="207"/>
        <v>91800</v>
      </c>
      <c r="R1491" s="606">
        <f t="shared" si="208"/>
        <v>0</v>
      </c>
      <c r="S1491" s="747">
        <f t="shared" si="209"/>
        <v>-91800</v>
      </c>
      <c r="T1491" s="746">
        <v>69.8</v>
      </c>
      <c r="U1491" s="606">
        <f t="shared" si="210"/>
        <v>-85435.199999999997</v>
      </c>
      <c r="V1491" s="747">
        <f t="shared" si="211"/>
        <v>-6364.8000000000029</v>
      </c>
      <c r="W1491" s="748">
        <v>55.7</v>
      </c>
      <c r="X1491" s="607">
        <f t="shared" si="212"/>
        <v>-68176.800000000003</v>
      </c>
      <c r="Y1491" s="702">
        <f t="shared" si="213"/>
        <v>-23623.199999999997</v>
      </c>
      <c r="Z1491" s="748">
        <v>85.732008718771311</v>
      </c>
      <c r="AA1491" s="607">
        <f t="shared" si="214"/>
        <v>-104935.97867177609</v>
      </c>
      <c r="AB1491" s="749">
        <f t="shared" si="215"/>
        <v>13135.978671776087</v>
      </c>
      <c r="AC1491" s="714"/>
    </row>
    <row r="1492" spans="1:29" x14ac:dyDescent="0.25">
      <c r="A1492" s="713"/>
      <c r="B1492" s="714" t="s">
        <v>2372</v>
      </c>
      <c r="C1492" s="676" t="s">
        <v>40</v>
      </c>
      <c r="D1492" s="676" t="s">
        <v>876</v>
      </c>
      <c r="E1492" s="680">
        <v>45047</v>
      </c>
      <c r="F1492" s="676">
        <v>744</v>
      </c>
      <c r="G1492" s="676" t="s">
        <v>58</v>
      </c>
      <c r="H1492" s="676" t="s">
        <v>3</v>
      </c>
      <c r="I1492" s="676" t="s">
        <v>44</v>
      </c>
      <c r="J1492" s="676" t="s">
        <v>84</v>
      </c>
      <c r="K1492" s="676">
        <v>75</v>
      </c>
      <c r="L1492" s="690" t="s">
        <v>54</v>
      </c>
      <c r="M1492" s="691">
        <v>1.7</v>
      </c>
      <c r="N1492" s="690">
        <v>0</v>
      </c>
      <c r="O1492" s="691">
        <v>75</v>
      </c>
      <c r="P1492" s="690">
        <v>0</v>
      </c>
      <c r="Q1492" s="738">
        <f t="shared" si="207"/>
        <v>94860</v>
      </c>
      <c r="R1492" s="677">
        <f t="shared" si="208"/>
        <v>0</v>
      </c>
      <c r="S1492" s="739">
        <f t="shared" si="209"/>
        <v>-94860</v>
      </c>
      <c r="T1492" s="738">
        <v>70.2</v>
      </c>
      <c r="U1492" s="677">
        <f t="shared" si="210"/>
        <v>-88788.96</v>
      </c>
      <c r="V1492" s="739">
        <f t="shared" si="211"/>
        <v>-6071.0399999999936</v>
      </c>
      <c r="W1492" s="740">
        <v>55.7</v>
      </c>
      <c r="X1492" s="678">
        <f t="shared" si="212"/>
        <v>-70449.36</v>
      </c>
      <c r="Y1492" s="700">
        <f t="shared" si="213"/>
        <v>-24410.639999999999</v>
      </c>
      <c r="Z1492" s="740">
        <v>86.223309628334476</v>
      </c>
      <c r="AA1492" s="678">
        <f t="shared" si="214"/>
        <v>-109055.24201791744</v>
      </c>
      <c r="AB1492" s="741">
        <f t="shared" si="215"/>
        <v>14195.242017917437</v>
      </c>
      <c r="AC1492" s="714"/>
    </row>
    <row r="1493" spans="1:29" x14ac:dyDescent="0.25">
      <c r="A1493" s="713"/>
      <c r="B1493" s="729" t="s">
        <v>2372</v>
      </c>
      <c r="C1493" s="545" t="s">
        <v>40</v>
      </c>
      <c r="D1493" s="545" t="s">
        <v>876</v>
      </c>
      <c r="E1493" s="681">
        <v>45078</v>
      </c>
      <c r="F1493" s="545">
        <v>720</v>
      </c>
      <c r="G1493" s="545" t="s">
        <v>58</v>
      </c>
      <c r="H1493" s="545" t="s">
        <v>3</v>
      </c>
      <c r="I1493" s="545" t="s">
        <v>44</v>
      </c>
      <c r="J1493" s="545" t="s">
        <v>84</v>
      </c>
      <c r="K1493" s="545">
        <v>75</v>
      </c>
      <c r="L1493" s="725" t="s">
        <v>54</v>
      </c>
      <c r="M1493" s="695">
        <v>1.7</v>
      </c>
      <c r="N1493" s="725">
        <v>0</v>
      </c>
      <c r="O1493" s="695">
        <v>75</v>
      </c>
      <c r="P1493" s="725">
        <v>0</v>
      </c>
      <c r="Q1493" s="742">
        <f t="shared" si="207"/>
        <v>91800</v>
      </c>
      <c r="R1493" s="603">
        <f t="shared" si="208"/>
        <v>0</v>
      </c>
      <c r="S1493" s="743">
        <f t="shared" si="209"/>
        <v>-91800</v>
      </c>
      <c r="T1493" s="742">
        <v>72.400000000000006</v>
      </c>
      <c r="U1493" s="603">
        <f t="shared" si="210"/>
        <v>-88617.600000000006</v>
      </c>
      <c r="V1493" s="743">
        <f t="shared" si="211"/>
        <v>-3182.3999999999942</v>
      </c>
      <c r="W1493" s="744">
        <v>55.874535369068141</v>
      </c>
      <c r="X1493" s="604">
        <f t="shared" si="212"/>
        <v>-68390.431291739398</v>
      </c>
      <c r="Y1493" s="701">
        <f t="shared" si="213"/>
        <v>-23409.568708260602</v>
      </c>
      <c r="Z1493" s="744">
        <v>88.925464630931856</v>
      </c>
      <c r="AA1493" s="604">
        <f t="shared" si="214"/>
        <v>-108844.76870826058</v>
      </c>
      <c r="AB1493" s="745">
        <f t="shared" si="215"/>
        <v>17044.768708260584</v>
      </c>
      <c r="AC1493" s="714"/>
    </row>
    <row r="1494" spans="1:29" x14ac:dyDescent="0.25">
      <c r="A1494" s="713"/>
      <c r="B1494" s="730" t="s">
        <v>2374</v>
      </c>
      <c r="C1494" s="546" t="s">
        <v>40</v>
      </c>
      <c r="D1494" s="546" t="s">
        <v>2369</v>
      </c>
      <c r="E1494" s="682">
        <v>44927</v>
      </c>
      <c r="F1494" s="546">
        <v>744</v>
      </c>
      <c r="G1494" s="546" t="s">
        <v>58</v>
      </c>
      <c r="H1494" s="546" t="s">
        <v>3</v>
      </c>
      <c r="I1494" s="546" t="s">
        <v>44</v>
      </c>
      <c r="J1494" s="546" t="s">
        <v>84</v>
      </c>
      <c r="K1494" s="546">
        <v>74</v>
      </c>
      <c r="L1494" s="726" t="s">
        <v>54</v>
      </c>
      <c r="M1494" s="696">
        <v>5</v>
      </c>
      <c r="N1494" s="726">
        <v>0</v>
      </c>
      <c r="O1494" s="696">
        <v>74</v>
      </c>
      <c r="P1494" s="726">
        <v>0</v>
      </c>
      <c r="Q1494" s="746">
        <f t="shared" si="207"/>
        <v>275280</v>
      </c>
      <c r="R1494" s="606">
        <f t="shared" si="208"/>
        <v>0</v>
      </c>
      <c r="S1494" s="747">
        <f t="shared" si="209"/>
        <v>-275280</v>
      </c>
      <c r="T1494" s="746">
        <v>68.72</v>
      </c>
      <c r="U1494" s="606">
        <f t="shared" si="210"/>
        <v>-255638.39999999999</v>
      </c>
      <c r="V1494" s="747">
        <f t="shared" si="211"/>
        <v>-19641.600000000006</v>
      </c>
      <c r="W1494" s="748">
        <v>55.7</v>
      </c>
      <c r="X1494" s="607">
        <f t="shared" si="212"/>
        <v>-207204</v>
      </c>
      <c r="Y1494" s="702">
        <f t="shared" si="213"/>
        <v>-68076</v>
      </c>
      <c r="Z1494" s="748">
        <v>96.206580759134184</v>
      </c>
      <c r="AA1494" s="607">
        <f t="shared" si="214"/>
        <v>-357888.48042397917</v>
      </c>
      <c r="AB1494" s="749">
        <f t="shared" si="215"/>
        <v>82608.48042397917</v>
      </c>
      <c r="AC1494" s="714"/>
    </row>
    <row r="1495" spans="1:29" x14ac:dyDescent="0.25">
      <c r="A1495" s="713"/>
      <c r="B1495" s="714" t="s">
        <v>2374</v>
      </c>
      <c r="C1495" s="676" t="s">
        <v>40</v>
      </c>
      <c r="D1495" s="676" t="s">
        <v>2369</v>
      </c>
      <c r="E1495" s="680">
        <v>44958</v>
      </c>
      <c r="F1495" s="676">
        <v>672</v>
      </c>
      <c r="G1495" s="676" t="s">
        <v>58</v>
      </c>
      <c r="H1495" s="676" t="s">
        <v>3</v>
      </c>
      <c r="I1495" s="676" t="s">
        <v>44</v>
      </c>
      <c r="J1495" s="676" t="s">
        <v>84</v>
      </c>
      <c r="K1495" s="676">
        <v>74</v>
      </c>
      <c r="L1495" s="690" t="s">
        <v>54</v>
      </c>
      <c r="M1495" s="691">
        <v>5</v>
      </c>
      <c r="N1495" s="690">
        <v>0</v>
      </c>
      <c r="O1495" s="691">
        <v>74</v>
      </c>
      <c r="P1495" s="690">
        <v>0</v>
      </c>
      <c r="Q1495" s="738">
        <f t="shared" si="207"/>
        <v>248640</v>
      </c>
      <c r="R1495" s="677">
        <f t="shared" si="208"/>
        <v>0</v>
      </c>
      <c r="S1495" s="739">
        <f t="shared" si="209"/>
        <v>-248640</v>
      </c>
      <c r="T1495" s="738">
        <v>69.25</v>
      </c>
      <c r="U1495" s="677">
        <f t="shared" si="210"/>
        <v>-232680</v>
      </c>
      <c r="V1495" s="739">
        <f t="shared" si="211"/>
        <v>-15960</v>
      </c>
      <c r="W1495" s="740">
        <v>55.7</v>
      </c>
      <c r="X1495" s="678">
        <f t="shared" si="212"/>
        <v>-187152</v>
      </c>
      <c r="Y1495" s="700">
        <f t="shared" si="213"/>
        <v>-61488</v>
      </c>
      <c r="Z1495" s="740">
        <v>92.430648861364247</v>
      </c>
      <c r="AA1495" s="678">
        <f t="shared" si="214"/>
        <v>-310566.98017418385</v>
      </c>
      <c r="AB1495" s="741">
        <f t="shared" si="215"/>
        <v>61926.980174183846</v>
      </c>
      <c r="AC1495" s="714"/>
    </row>
    <row r="1496" spans="1:29" x14ac:dyDescent="0.25">
      <c r="A1496" s="713"/>
      <c r="B1496" s="729" t="s">
        <v>2374</v>
      </c>
      <c r="C1496" s="545" t="s">
        <v>40</v>
      </c>
      <c r="D1496" s="545" t="s">
        <v>2369</v>
      </c>
      <c r="E1496" s="681">
        <v>44986</v>
      </c>
      <c r="F1496" s="545">
        <v>744</v>
      </c>
      <c r="G1496" s="545" t="s">
        <v>58</v>
      </c>
      <c r="H1496" s="545" t="s">
        <v>3</v>
      </c>
      <c r="I1496" s="545" t="s">
        <v>44</v>
      </c>
      <c r="J1496" s="545" t="s">
        <v>84</v>
      </c>
      <c r="K1496" s="545">
        <v>74</v>
      </c>
      <c r="L1496" s="725" t="s">
        <v>54</v>
      </c>
      <c r="M1496" s="695">
        <v>5</v>
      </c>
      <c r="N1496" s="725">
        <v>0</v>
      </c>
      <c r="O1496" s="695">
        <v>74</v>
      </c>
      <c r="P1496" s="725">
        <v>0</v>
      </c>
      <c r="Q1496" s="742">
        <f t="shared" si="207"/>
        <v>275280</v>
      </c>
      <c r="R1496" s="603">
        <f t="shared" si="208"/>
        <v>0</v>
      </c>
      <c r="S1496" s="743">
        <f t="shared" si="209"/>
        <v>-275280</v>
      </c>
      <c r="T1496" s="742">
        <v>69.3</v>
      </c>
      <c r="U1496" s="603">
        <f t="shared" si="210"/>
        <v>-257796</v>
      </c>
      <c r="V1496" s="743">
        <f t="shared" si="211"/>
        <v>-17484</v>
      </c>
      <c r="W1496" s="744">
        <v>55.7</v>
      </c>
      <c r="X1496" s="604">
        <f t="shared" si="212"/>
        <v>-207204</v>
      </c>
      <c r="Y1496" s="701">
        <f t="shared" si="213"/>
        <v>-68076</v>
      </c>
      <c r="Z1496" s="744">
        <v>89.053218420260009</v>
      </c>
      <c r="AA1496" s="604">
        <f t="shared" si="214"/>
        <v>-331277.97252336721</v>
      </c>
      <c r="AB1496" s="745">
        <f t="shared" si="215"/>
        <v>55997.972523367207</v>
      </c>
      <c r="AC1496" s="714"/>
    </row>
    <row r="1497" spans="1:29" x14ac:dyDescent="0.25">
      <c r="A1497" s="713"/>
      <c r="B1497" s="730" t="s">
        <v>2376</v>
      </c>
      <c r="C1497" s="546" t="s">
        <v>40</v>
      </c>
      <c r="D1497" s="546" t="s">
        <v>1917</v>
      </c>
      <c r="E1497" s="682">
        <v>45017</v>
      </c>
      <c r="F1497" s="546">
        <v>720</v>
      </c>
      <c r="G1497" s="546" t="s">
        <v>58</v>
      </c>
      <c r="H1497" s="546" t="s">
        <v>3</v>
      </c>
      <c r="I1497" s="546" t="s">
        <v>44</v>
      </c>
      <c r="J1497" s="546" t="s">
        <v>84</v>
      </c>
      <c r="K1497" s="546">
        <v>75</v>
      </c>
      <c r="L1497" s="726" t="s">
        <v>54</v>
      </c>
      <c r="M1497" s="696">
        <v>1</v>
      </c>
      <c r="N1497" s="726">
        <v>0</v>
      </c>
      <c r="O1497" s="696">
        <v>75</v>
      </c>
      <c r="P1497" s="726">
        <v>0</v>
      </c>
      <c r="Q1497" s="746">
        <f t="shared" si="207"/>
        <v>54000</v>
      </c>
      <c r="R1497" s="606">
        <f t="shared" si="208"/>
        <v>0</v>
      </c>
      <c r="S1497" s="747">
        <f t="shared" si="209"/>
        <v>-54000</v>
      </c>
      <c r="T1497" s="746">
        <v>69.8</v>
      </c>
      <c r="U1497" s="606">
        <f t="shared" si="210"/>
        <v>-50256</v>
      </c>
      <c r="V1497" s="747">
        <f t="shared" si="211"/>
        <v>-3744</v>
      </c>
      <c r="W1497" s="748">
        <v>55.7</v>
      </c>
      <c r="X1497" s="607">
        <f t="shared" si="212"/>
        <v>-40104</v>
      </c>
      <c r="Y1497" s="702">
        <f t="shared" si="213"/>
        <v>-13896</v>
      </c>
      <c r="Z1497" s="748">
        <v>85.732008718771311</v>
      </c>
      <c r="AA1497" s="607">
        <f t="shared" si="214"/>
        <v>-61727.046277515343</v>
      </c>
      <c r="AB1497" s="749">
        <f t="shared" si="215"/>
        <v>7727.0462775153428</v>
      </c>
      <c r="AC1497" s="714"/>
    </row>
    <row r="1498" spans="1:29" x14ac:dyDescent="0.25">
      <c r="A1498" s="713"/>
      <c r="B1498" s="714" t="s">
        <v>2376</v>
      </c>
      <c r="C1498" s="676" t="s">
        <v>40</v>
      </c>
      <c r="D1498" s="676" t="s">
        <v>1917</v>
      </c>
      <c r="E1498" s="680">
        <v>45047</v>
      </c>
      <c r="F1498" s="676">
        <v>744</v>
      </c>
      <c r="G1498" s="676" t="s">
        <v>58</v>
      </c>
      <c r="H1498" s="676" t="s">
        <v>3</v>
      </c>
      <c r="I1498" s="676" t="s">
        <v>44</v>
      </c>
      <c r="J1498" s="676" t="s">
        <v>84</v>
      </c>
      <c r="K1498" s="676">
        <v>75</v>
      </c>
      <c r="L1498" s="690" t="s">
        <v>54</v>
      </c>
      <c r="M1498" s="691">
        <v>1</v>
      </c>
      <c r="N1498" s="690">
        <v>0</v>
      </c>
      <c r="O1498" s="691">
        <v>75</v>
      </c>
      <c r="P1498" s="690">
        <v>0</v>
      </c>
      <c r="Q1498" s="738">
        <f t="shared" si="207"/>
        <v>55800</v>
      </c>
      <c r="R1498" s="677">
        <f t="shared" si="208"/>
        <v>0</v>
      </c>
      <c r="S1498" s="739">
        <f t="shared" si="209"/>
        <v>-55800</v>
      </c>
      <c r="T1498" s="738">
        <v>70.2</v>
      </c>
      <c r="U1498" s="677">
        <f t="shared" si="210"/>
        <v>-52228.800000000003</v>
      </c>
      <c r="V1498" s="739">
        <f t="shared" si="211"/>
        <v>-3571.1999999999971</v>
      </c>
      <c r="W1498" s="740">
        <v>55.7</v>
      </c>
      <c r="X1498" s="678">
        <f t="shared" si="212"/>
        <v>-41440.800000000003</v>
      </c>
      <c r="Y1498" s="700">
        <f t="shared" si="213"/>
        <v>-14359.199999999997</v>
      </c>
      <c r="Z1498" s="740">
        <v>86.223309628334476</v>
      </c>
      <c r="AA1498" s="678">
        <f t="shared" si="214"/>
        <v>-64150.142363480853</v>
      </c>
      <c r="AB1498" s="741">
        <f t="shared" si="215"/>
        <v>8350.1423634808525</v>
      </c>
      <c r="AC1498" s="714"/>
    </row>
    <row r="1499" spans="1:29" x14ac:dyDescent="0.25">
      <c r="A1499" s="713"/>
      <c r="B1499" s="729" t="s">
        <v>2376</v>
      </c>
      <c r="C1499" s="545" t="s">
        <v>40</v>
      </c>
      <c r="D1499" s="545" t="s">
        <v>1917</v>
      </c>
      <c r="E1499" s="681">
        <v>45078</v>
      </c>
      <c r="F1499" s="545">
        <v>720</v>
      </c>
      <c r="G1499" s="545" t="s">
        <v>58</v>
      </c>
      <c r="H1499" s="545" t="s">
        <v>3</v>
      </c>
      <c r="I1499" s="545" t="s">
        <v>44</v>
      </c>
      <c r="J1499" s="545" t="s">
        <v>84</v>
      </c>
      <c r="K1499" s="545">
        <v>75</v>
      </c>
      <c r="L1499" s="725" t="s">
        <v>54</v>
      </c>
      <c r="M1499" s="695">
        <v>1</v>
      </c>
      <c r="N1499" s="725">
        <v>0</v>
      </c>
      <c r="O1499" s="695">
        <v>75</v>
      </c>
      <c r="P1499" s="725">
        <v>0</v>
      </c>
      <c r="Q1499" s="742">
        <f t="shared" si="207"/>
        <v>54000</v>
      </c>
      <c r="R1499" s="603">
        <f t="shared" si="208"/>
        <v>0</v>
      </c>
      <c r="S1499" s="743">
        <f t="shared" si="209"/>
        <v>-54000</v>
      </c>
      <c r="T1499" s="742">
        <v>72.400000000000006</v>
      </c>
      <c r="U1499" s="603">
        <f t="shared" si="210"/>
        <v>-52128.000000000007</v>
      </c>
      <c r="V1499" s="743">
        <f t="shared" si="211"/>
        <v>-1871.9999999999927</v>
      </c>
      <c r="W1499" s="744">
        <v>55.874535369068141</v>
      </c>
      <c r="X1499" s="604">
        <f t="shared" si="212"/>
        <v>-40229.665465729064</v>
      </c>
      <c r="Y1499" s="701">
        <f t="shared" si="213"/>
        <v>-13770.334534270936</v>
      </c>
      <c r="Z1499" s="744">
        <v>88.925464630931856</v>
      </c>
      <c r="AA1499" s="604">
        <f t="shared" si="214"/>
        <v>-64026.334534270936</v>
      </c>
      <c r="AB1499" s="745">
        <f t="shared" si="215"/>
        <v>10026.334534270936</v>
      </c>
      <c r="AC1499" s="714"/>
    </row>
    <row r="1500" spans="1:29" x14ac:dyDescent="0.25">
      <c r="A1500" s="713"/>
      <c r="B1500" s="730" t="s">
        <v>2378</v>
      </c>
      <c r="C1500" s="546" t="s">
        <v>40</v>
      </c>
      <c r="D1500" s="546" t="s">
        <v>876</v>
      </c>
      <c r="E1500" s="682">
        <v>45017</v>
      </c>
      <c r="F1500" s="546">
        <v>720</v>
      </c>
      <c r="G1500" s="546" t="s">
        <v>58</v>
      </c>
      <c r="H1500" s="546" t="s">
        <v>3</v>
      </c>
      <c r="I1500" s="546" t="s">
        <v>44</v>
      </c>
      <c r="J1500" s="546" t="s">
        <v>84</v>
      </c>
      <c r="K1500" s="546">
        <v>75</v>
      </c>
      <c r="L1500" s="726" t="s">
        <v>54</v>
      </c>
      <c r="M1500" s="696">
        <v>1.3</v>
      </c>
      <c r="N1500" s="726">
        <v>0</v>
      </c>
      <c r="O1500" s="696">
        <v>75</v>
      </c>
      <c r="P1500" s="726">
        <v>0</v>
      </c>
      <c r="Q1500" s="746">
        <f t="shared" si="207"/>
        <v>70200</v>
      </c>
      <c r="R1500" s="606">
        <f t="shared" si="208"/>
        <v>0</v>
      </c>
      <c r="S1500" s="747">
        <f t="shared" si="209"/>
        <v>-70200</v>
      </c>
      <c r="T1500" s="746">
        <v>69.8</v>
      </c>
      <c r="U1500" s="606">
        <f t="shared" si="210"/>
        <v>-65332.799999999996</v>
      </c>
      <c r="V1500" s="747">
        <f t="shared" si="211"/>
        <v>-4867.2000000000044</v>
      </c>
      <c r="W1500" s="748">
        <v>55.7</v>
      </c>
      <c r="X1500" s="607">
        <f t="shared" si="212"/>
        <v>-52135.200000000004</v>
      </c>
      <c r="Y1500" s="702">
        <f t="shared" si="213"/>
        <v>-18064.799999999996</v>
      </c>
      <c r="Z1500" s="748">
        <v>85.732008718771311</v>
      </c>
      <c r="AA1500" s="607">
        <f t="shared" si="214"/>
        <v>-80245.160160769941</v>
      </c>
      <c r="AB1500" s="749">
        <f t="shared" si="215"/>
        <v>10045.160160769941</v>
      </c>
      <c r="AC1500" s="714"/>
    </row>
    <row r="1501" spans="1:29" x14ac:dyDescent="0.25">
      <c r="A1501" s="713"/>
      <c r="B1501" s="714" t="s">
        <v>2378</v>
      </c>
      <c r="C1501" s="676" t="s">
        <v>40</v>
      </c>
      <c r="D1501" s="676" t="s">
        <v>876</v>
      </c>
      <c r="E1501" s="680">
        <v>45047</v>
      </c>
      <c r="F1501" s="676">
        <v>744</v>
      </c>
      <c r="G1501" s="676" t="s">
        <v>58</v>
      </c>
      <c r="H1501" s="676" t="s">
        <v>3</v>
      </c>
      <c r="I1501" s="676" t="s">
        <v>44</v>
      </c>
      <c r="J1501" s="676" t="s">
        <v>84</v>
      </c>
      <c r="K1501" s="676">
        <v>75</v>
      </c>
      <c r="L1501" s="690" t="s">
        <v>54</v>
      </c>
      <c r="M1501" s="691">
        <v>1.3</v>
      </c>
      <c r="N1501" s="690">
        <v>0</v>
      </c>
      <c r="O1501" s="691">
        <v>75</v>
      </c>
      <c r="P1501" s="690">
        <v>0</v>
      </c>
      <c r="Q1501" s="738">
        <f t="shared" si="207"/>
        <v>72540</v>
      </c>
      <c r="R1501" s="677">
        <f t="shared" si="208"/>
        <v>0</v>
      </c>
      <c r="S1501" s="739">
        <f t="shared" si="209"/>
        <v>-72540</v>
      </c>
      <c r="T1501" s="738">
        <v>70.2</v>
      </c>
      <c r="U1501" s="677">
        <f t="shared" si="210"/>
        <v>-67897.440000000002</v>
      </c>
      <c r="V1501" s="739">
        <f t="shared" si="211"/>
        <v>-4642.5599999999977</v>
      </c>
      <c r="W1501" s="740">
        <v>55.7</v>
      </c>
      <c r="X1501" s="678">
        <f t="shared" si="212"/>
        <v>-53873.040000000008</v>
      </c>
      <c r="Y1501" s="700">
        <f t="shared" si="213"/>
        <v>-18666.959999999992</v>
      </c>
      <c r="Z1501" s="740">
        <v>86.223309628334476</v>
      </c>
      <c r="AA1501" s="678">
        <f t="shared" si="214"/>
        <v>-83395.185072525113</v>
      </c>
      <c r="AB1501" s="741">
        <f t="shared" si="215"/>
        <v>10855.185072525113</v>
      </c>
      <c r="AC1501" s="714"/>
    </row>
    <row r="1502" spans="1:29" x14ac:dyDescent="0.25">
      <c r="A1502" s="713"/>
      <c r="B1502" s="729" t="s">
        <v>2378</v>
      </c>
      <c r="C1502" s="545" t="s">
        <v>40</v>
      </c>
      <c r="D1502" s="545" t="s">
        <v>876</v>
      </c>
      <c r="E1502" s="681">
        <v>45078</v>
      </c>
      <c r="F1502" s="545">
        <v>720</v>
      </c>
      <c r="G1502" s="545" t="s">
        <v>58</v>
      </c>
      <c r="H1502" s="545" t="s">
        <v>3</v>
      </c>
      <c r="I1502" s="545" t="s">
        <v>44</v>
      </c>
      <c r="J1502" s="545" t="s">
        <v>84</v>
      </c>
      <c r="K1502" s="545">
        <v>75</v>
      </c>
      <c r="L1502" s="725" t="s">
        <v>54</v>
      </c>
      <c r="M1502" s="695">
        <v>1.3</v>
      </c>
      <c r="N1502" s="725">
        <v>0</v>
      </c>
      <c r="O1502" s="695">
        <v>75</v>
      </c>
      <c r="P1502" s="725">
        <v>0</v>
      </c>
      <c r="Q1502" s="742">
        <f t="shared" si="207"/>
        <v>70200</v>
      </c>
      <c r="R1502" s="603">
        <f t="shared" si="208"/>
        <v>0</v>
      </c>
      <c r="S1502" s="743">
        <f t="shared" si="209"/>
        <v>-70200</v>
      </c>
      <c r="T1502" s="742">
        <v>72.400000000000006</v>
      </c>
      <c r="U1502" s="603">
        <f t="shared" si="210"/>
        <v>-67766.400000000009</v>
      </c>
      <c r="V1502" s="743">
        <f t="shared" si="211"/>
        <v>-2433.5999999999913</v>
      </c>
      <c r="W1502" s="744">
        <v>55.874535369068141</v>
      </c>
      <c r="X1502" s="604">
        <f t="shared" si="212"/>
        <v>-52298.565105447778</v>
      </c>
      <c r="Y1502" s="701">
        <f t="shared" si="213"/>
        <v>-17901.434894552222</v>
      </c>
      <c r="Z1502" s="744">
        <v>88.925464630931856</v>
      </c>
      <c r="AA1502" s="604">
        <f t="shared" si="214"/>
        <v>-83234.23489455221</v>
      </c>
      <c r="AB1502" s="745">
        <f t="shared" si="215"/>
        <v>13034.23489455221</v>
      </c>
      <c r="AC1502" s="714"/>
    </row>
    <row r="1503" spans="1:29" x14ac:dyDescent="0.25">
      <c r="A1503" s="713"/>
      <c r="B1503" s="731" t="s">
        <v>2379</v>
      </c>
      <c r="C1503" s="547" t="s">
        <v>40</v>
      </c>
      <c r="D1503" s="547" t="s">
        <v>464</v>
      </c>
      <c r="E1503" s="683">
        <v>44958</v>
      </c>
      <c r="F1503" s="547">
        <v>672</v>
      </c>
      <c r="G1503" s="547" t="s">
        <v>59</v>
      </c>
      <c r="H1503" s="547" t="s">
        <v>3</v>
      </c>
      <c r="I1503" s="547" t="s">
        <v>44</v>
      </c>
      <c r="J1503" s="547" t="s">
        <v>85</v>
      </c>
      <c r="K1503" s="547">
        <v>76</v>
      </c>
      <c r="L1503" s="727" t="s">
        <v>54</v>
      </c>
      <c r="M1503" s="697">
        <v>0</v>
      </c>
      <c r="N1503" s="727">
        <v>3</v>
      </c>
      <c r="O1503" s="697">
        <v>0</v>
      </c>
      <c r="P1503" s="727">
        <v>76</v>
      </c>
      <c r="Q1503" s="750">
        <f t="shared" si="207"/>
        <v>0</v>
      </c>
      <c r="R1503" s="608">
        <f t="shared" si="208"/>
        <v>153216</v>
      </c>
      <c r="S1503" s="751">
        <f t="shared" si="209"/>
        <v>153216</v>
      </c>
      <c r="T1503" s="750">
        <v>69.25</v>
      </c>
      <c r="U1503" s="608">
        <f t="shared" si="210"/>
        <v>139608</v>
      </c>
      <c r="V1503" s="751">
        <f t="shared" si="211"/>
        <v>13608</v>
      </c>
      <c r="W1503" s="752">
        <v>55.7</v>
      </c>
      <c r="X1503" s="609">
        <f t="shared" si="212"/>
        <v>112291.20000000001</v>
      </c>
      <c r="Y1503" s="703">
        <f t="shared" si="213"/>
        <v>40924.799999999988</v>
      </c>
      <c r="Z1503" s="752">
        <v>92.430648861364247</v>
      </c>
      <c r="AA1503" s="609">
        <f t="shared" si="214"/>
        <v>186340.18810451034</v>
      </c>
      <c r="AB1503" s="753">
        <f t="shared" si="215"/>
        <v>-33124.188104510336</v>
      </c>
      <c r="AC1503" s="714"/>
    </row>
    <row r="1504" spans="1:29" x14ac:dyDescent="0.25">
      <c r="A1504" s="713"/>
      <c r="B1504" s="730" t="s">
        <v>2381</v>
      </c>
      <c r="C1504" s="546" t="s">
        <v>40</v>
      </c>
      <c r="D1504" s="546" t="s">
        <v>876</v>
      </c>
      <c r="E1504" s="682">
        <v>45108</v>
      </c>
      <c r="F1504" s="546">
        <v>744</v>
      </c>
      <c r="G1504" s="546" t="s">
        <v>59</v>
      </c>
      <c r="H1504" s="546" t="s">
        <v>3</v>
      </c>
      <c r="I1504" s="546" t="s">
        <v>44</v>
      </c>
      <c r="J1504" s="546" t="s">
        <v>85</v>
      </c>
      <c r="K1504" s="546">
        <v>127</v>
      </c>
      <c r="L1504" s="726" t="s">
        <v>54</v>
      </c>
      <c r="M1504" s="696">
        <v>0</v>
      </c>
      <c r="N1504" s="726">
        <v>30</v>
      </c>
      <c r="O1504" s="696">
        <v>0</v>
      </c>
      <c r="P1504" s="726">
        <v>127</v>
      </c>
      <c r="Q1504" s="746">
        <f t="shared" si="207"/>
        <v>0</v>
      </c>
      <c r="R1504" s="606">
        <f t="shared" si="208"/>
        <v>2834640</v>
      </c>
      <c r="S1504" s="747">
        <f t="shared" si="209"/>
        <v>2834640</v>
      </c>
      <c r="T1504" s="746">
        <v>77.150000000000006</v>
      </c>
      <c r="U1504" s="606">
        <f t="shared" si="210"/>
        <v>1721988.0000000002</v>
      </c>
      <c r="V1504" s="747">
        <f t="shared" si="211"/>
        <v>1112651.9999999998</v>
      </c>
      <c r="W1504" s="748">
        <v>59.54033706800562</v>
      </c>
      <c r="X1504" s="607">
        <f t="shared" si="212"/>
        <v>1328940.3233578855</v>
      </c>
      <c r="Y1504" s="702">
        <f t="shared" si="213"/>
        <v>1505699.6766421145</v>
      </c>
      <c r="Z1504" s="748">
        <v>94.759662931994384</v>
      </c>
      <c r="AA1504" s="607">
        <f t="shared" si="214"/>
        <v>2115035.6766421148</v>
      </c>
      <c r="AB1504" s="749">
        <f t="shared" si="215"/>
        <v>719604.32335788524</v>
      </c>
      <c r="AC1504" s="714"/>
    </row>
    <row r="1505" spans="1:29" x14ac:dyDescent="0.25">
      <c r="A1505" s="713"/>
      <c r="B1505" s="714" t="s">
        <v>2381</v>
      </c>
      <c r="C1505" s="676" t="s">
        <v>40</v>
      </c>
      <c r="D1505" s="676" t="s">
        <v>876</v>
      </c>
      <c r="E1505" s="680">
        <v>45139</v>
      </c>
      <c r="F1505" s="676">
        <v>744</v>
      </c>
      <c r="G1505" s="676" t="s">
        <v>59</v>
      </c>
      <c r="H1505" s="676" t="s">
        <v>3</v>
      </c>
      <c r="I1505" s="676" t="s">
        <v>44</v>
      </c>
      <c r="J1505" s="676" t="s">
        <v>85</v>
      </c>
      <c r="K1505" s="676">
        <v>127</v>
      </c>
      <c r="L1505" s="690" t="s">
        <v>54</v>
      </c>
      <c r="M1505" s="691">
        <v>0</v>
      </c>
      <c r="N1505" s="690">
        <v>30</v>
      </c>
      <c r="O1505" s="691">
        <v>0</v>
      </c>
      <c r="P1505" s="690">
        <v>127</v>
      </c>
      <c r="Q1505" s="738">
        <f t="shared" si="207"/>
        <v>0</v>
      </c>
      <c r="R1505" s="677">
        <f t="shared" si="208"/>
        <v>2834640</v>
      </c>
      <c r="S1505" s="739">
        <f t="shared" si="209"/>
        <v>2834640</v>
      </c>
      <c r="T1505" s="738">
        <v>77.150000000000006</v>
      </c>
      <c r="U1505" s="677">
        <f t="shared" si="210"/>
        <v>1721988.0000000002</v>
      </c>
      <c r="V1505" s="739">
        <f t="shared" si="211"/>
        <v>1112651.9999999998</v>
      </c>
      <c r="W1505" s="740">
        <v>59.54033706800562</v>
      </c>
      <c r="X1505" s="678">
        <f t="shared" si="212"/>
        <v>1328940.3233578855</v>
      </c>
      <c r="Y1505" s="700">
        <f t="shared" si="213"/>
        <v>1505699.6766421145</v>
      </c>
      <c r="Z1505" s="740">
        <v>94.759662931994384</v>
      </c>
      <c r="AA1505" s="678">
        <f t="shared" si="214"/>
        <v>2115035.6766421148</v>
      </c>
      <c r="AB1505" s="741">
        <f t="shared" si="215"/>
        <v>719604.32335788524</v>
      </c>
      <c r="AC1505" s="714"/>
    </row>
    <row r="1506" spans="1:29" x14ac:dyDescent="0.25">
      <c r="A1506" s="713"/>
      <c r="B1506" s="714" t="s">
        <v>2381</v>
      </c>
      <c r="C1506" s="676" t="s">
        <v>40</v>
      </c>
      <c r="D1506" s="676" t="s">
        <v>876</v>
      </c>
      <c r="E1506" s="680">
        <v>45170</v>
      </c>
      <c r="F1506" s="676">
        <v>720</v>
      </c>
      <c r="G1506" s="676" t="s">
        <v>59</v>
      </c>
      <c r="H1506" s="676" t="s">
        <v>3</v>
      </c>
      <c r="I1506" s="676" t="s">
        <v>44</v>
      </c>
      <c r="J1506" s="676" t="s">
        <v>85</v>
      </c>
      <c r="K1506" s="676">
        <v>127</v>
      </c>
      <c r="L1506" s="690" t="s">
        <v>54</v>
      </c>
      <c r="M1506" s="691">
        <v>0</v>
      </c>
      <c r="N1506" s="690">
        <v>30</v>
      </c>
      <c r="O1506" s="691">
        <v>0</v>
      </c>
      <c r="P1506" s="690">
        <v>127</v>
      </c>
      <c r="Q1506" s="738">
        <f t="shared" si="207"/>
        <v>0</v>
      </c>
      <c r="R1506" s="677">
        <f t="shared" si="208"/>
        <v>2743200</v>
      </c>
      <c r="S1506" s="739">
        <f t="shared" si="209"/>
        <v>2743200</v>
      </c>
      <c r="T1506" s="738">
        <v>77.150000000000006</v>
      </c>
      <c r="U1506" s="677">
        <f t="shared" si="210"/>
        <v>1666440.0000000002</v>
      </c>
      <c r="V1506" s="739">
        <f t="shared" si="211"/>
        <v>1076759.9999999998</v>
      </c>
      <c r="W1506" s="740">
        <v>59.54033706800562</v>
      </c>
      <c r="X1506" s="678">
        <f t="shared" si="212"/>
        <v>1286071.2806689213</v>
      </c>
      <c r="Y1506" s="700">
        <f t="shared" si="213"/>
        <v>1457128.7193310787</v>
      </c>
      <c r="Z1506" s="740">
        <v>94.759662931994384</v>
      </c>
      <c r="AA1506" s="678">
        <f t="shared" si="214"/>
        <v>2046808.7193310787</v>
      </c>
      <c r="AB1506" s="741">
        <f t="shared" si="215"/>
        <v>696391.2806689213</v>
      </c>
      <c r="AC1506" s="714"/>
    </row>
    <row r="1507" spans="1:29" x14ac:dyDescent="0.25">
      <c r="A1507" s="713"/>
      <c r="B1507" s="714" t="s">
        <v>2381</v>
      </c>
      <c r="C1507" s="676" t="s">
        <v>40</v>
      </c>
      <c r="D1507" s="676" t="s">
        <v>876</v>
      </c>
      <c r="E1507" s="680">
        <v>45200</v>
      </c>
      <c r="F1507" s="676">
        <v>744</v>
      </c>
      <c r="G1507" s="676" t="s">
        <v>59</v>
      </c>
      <c r="H1507" s="676" t="s">
        <v>3</v>
      </c>
      <c r="I1507" s="676" t="s">
        <v>44</v>
      </c>
      <c r="J1507" s="676" t="s">
        <v>85</v>
      </c>
      <c r="K1507" s="676">
        <v>127</v>
      </c>
      <c r="L1507" s="690" t="s">
        <v>54</v>
      </c>
      <c r="M1507" s="691">
        <v>0</v>
      </c>
      <c r="N1507" s="690">
        <v>30</v>
      </c>
      <c r="O1507" s="691">
        <v>0</v>
      </c>
      <c r="P1507" s="690">
        <v>127</v>
      </c>
      <c r="Q1507" s="738">
        <f t="shared" si="207"/>
        <v>0</v>
      </c>
      <c r="R1507" s="677">
        <f t="shared" si="208"/>
        <v>2834640</v>
      </c>
      <c r="S1507" s="739">
        <f t="shared" si="209"/>
        <v>2834640</v>
      </c>
      <c r="T1507" s="738">
        <v>80.45</v>
      </c>
      <c r="U1507" s="677">
        <f t="shared" si="210"/>
        <v>1795644</v>
      </c>
      <c r="V1507" s="739">
        <f t="shared" si="211"/>
        <v>1038996</v>
      </c>
      <c r="W1507" s="740">
        <v>62.087104564109552</v>
      </c>
      <c r="X1507" s="678">
        <f t="shared" si="212"/>
        <v>1385784.1738709251</v>
      </c>
      <c r="Y1507" s="700">
        <f t="shared" si="213"/>
        <v>1448855.8261290749</v>
      </c>
      <c r="Z1507" s="740">
        <v>98.812895435890439</v>
      </c>
      <c r="AA1507" s="678">
        <f t="shared" si="214"/>
        <v>2205503.8261290747</v>
      </c>
      <c r="AB1507" s="741">
        <f t="shared" si="215"/>
        <v>629136.17387092533</v>
      </c>
      <c r="AC1507" s="714"/>
    </row>
    <row r="1508" spans="1:29" x14ac:dyDescent="0.25">
      <c r="A1508" s="713"/>
      <c r="B1508" s="714" t="s">
        <v>2381</v>
      </c>
      <c r="C1508" s="676" t="s">
        <v>40</v>
      </c>
      <c r="D1508" s="676" t="s">
        <v>876</v>
      </c>
      <c r="E1508" s="680">
        <v>45231</v>
      </c>
      <c r="F1508" s="676">
        <v>720</v>
      </c>
      <c r="G1508" s="676" t="s">
        <v>59</v>
      </c>
      <c r="H1508" s="676" t="s">
        <v>3</v>
      </c>
      <c r="I1508" s="676" t="s">
        <v>44</v>
      </c>
      <c r="J1508" s="676" t="s">
        <v>85</v>
      </c>
      <c r="K1508" s="676">
        <v>127</v>
      </c>
      <c r="L1508" s="690" t="s">
        <v>54</v>
      </c>
      <c r="M1508" s="691">
        <v>0</v>
      </c>
      <c r="N1508" s="690">
        <v>30</v>
      </c>
      <c r="O1508" s="691">
        <v>0</v>
      </c>
      <c r="P1508" s="690">
        <v>127</v>
      </c>
      <c r="Q1508" s="738">
        <f t="shared" si="207"/>
        <v>0</v>
      </c>
      <c r="R1508" s="677">
        <f t="shared" si="208"/>
        <v>2743200</v>
      </c>
      <c r="S1508" s="739">
        <f t="shared" si="209"/>
        <v>2743200</v>
      </c>
      <c r="T1508" s="738">
        <v>80.45</v>
      </c>
      <c r="U1508" s="677">
        <f t="shared" si="210"/>
        <v>1737720</v>
      </c>
      <c r="V1508" s="739">
        <f t="shared" si="211"/>
        <v>1005480</v>
      </c>
      <c r="W1508" s="740">
        <v>62.087104564109552</v>
      </c>
      <c r="X1508" s="678">
        <f t="shared" si="212"/>
        <v>1341081.4585847664</v>
      </c>
      <c r="Y1508" s="700">
        <f t="shared" si="213"/>
        <v>1402118.5414152336</v>
      </c>
      <c r="Z1508" s="740">
        <v>98.812895435890439</v>
      </c>
      <c r="AA1508" s="678">
        <f t="shared" si="214"/>
        <v>2134358.5414152336</v>
      </c>
      <c r="AB1508" s="741">
        <f t="shared" si="215"/>
        <v>608841.45858476637</v>
      </c>
      <c r="AC1508" s="714"/>
    </row>
    <row r="1509" spans="1:29" x14ac:dyDescent="0.25">
      <c r="A1509" s="713"/>
      <c r="B1509" s="729" t="s">
        <v>2381</v>
      </c>
      <c r="C1509" s="545" t="s">
        <v>40</v>
      </c>
      <c r="D1509" s="545" t="s">
        <v>876</v>
      </c>
      <c r="E1509" s="681">
        <v>45261</v>
      </c>
      <c r="F1509" s="545">
        <v>744</v>
      </c>
      <c r="G1509" s="545" t="s">
        <v>59</v>
      </c>
      <c r="H1509" s="545" t="s">
        <v>3</v>
      </c>
      <c r="I1509" s="545" t="s">
        <v>44</v>
      </c>
      <c r="J1509" s="545" t="s">
        <v>85</v>
      </c>
      <c r="K1509" s="545">
        <v>127</v>
      </c>
      <c r="L1509" s="725" t="s">
        <v>54</v>
      </c>
      <c r="M1509" s="695">
        <v>0</v>
      </c>
      <c r="N1509" s="725">
        <v>30</v>
      </c>
      <c r="O1509" s="695">
        <v>0</v>
      </c>
      <c r="P1509" s="725">
        <v>127</v>
      </c>
      <c r="Q1509" s="742">
        <f t="shared" si="207"/>
        <v>0</v>
      </c>
      <c r="R1509" s="603">
        <f t="shared" si="208"/>
        <v>2834640</v>
      </c>
      <c r="S1509" s="743">
        <f t="shared" si="209"/>
        <v>2834640</v>
      </c>
      <c r="T1509" s="742">
        <v>80.45</v>
      </c>
      <c r="U1509" s="603">
        <f t="shared" si="210"/>
        <v>1795644</v>
      </c>
      <c r="V1509" s="743">
        <f t="shared" si="211"/>
        <v>1038996</v>
      </c>
      <c r="W1509" s="744">
        <v>62.087104564109552</v>
      </c>
      <c r="X1509" s="604">
        <f t="shared" si="212"/>
        <v>1385784.1738709251</v>
      </c>
      <c r="Y1509" s="701">
        <f t="shared" si="213"/>
        <v>1448855.8261290749</v>
      </c>
      <c r="Z1509" s="744">
        <v>98.812895435890439</v>
      </c>
      <c r="AA1509" s="604">
        <f t="shared" si="214"/>
        <v>2205503.8261290747</v>
      </c>
      <c r="AB1509" s="745">
        <f t="shared" si="215"/>
        <v>629136.17387092533</v>
      </c>
      <c r="AC1509" s="714"/>
    </row>
    <row r="1510" spans="1:29" x14ac:dyDescent="0.25">
      <c r="A1510" s="713"/>
      <c r="B1510" s="730" t="s">
        <v>2382</v>
      </c>
      <c r="C1510" s="546" t="s">
        <v>40</v>
      </c>
      <c r="D1510" s="546" t="s">
        <v>346</v>
      </c>
      <c r="E1510" s="682">
        <v>45017</v>
      </c>
      <c r="F1510" s="546">
        <v>720</v>
      </c>
      <c r="G1510" s="546" t="s">
        <v>59</v>
      </c>
      <c r="H1510" s="546" t="s">
        <v>3</v>
      </c>
      <c r="I1510" s="546" t="s">
        <v>44</v>
      </c>
      <c r="J1510" s="546" t="s">
        <v>85</v>
      </c>
      <c r="K1510" s="546">
        <v>76.64</v>
      </c>
      <c r="L1510" s="726" t="s">
        <v>54</v>
      </c>
      <c r="M1510" s="696">
        <v>0</v>
      </c>
      <c r="N1510" s="726">
        <v>7</v>
      </c>
      <c r="O1510" s="696">
        <v>0</v>
      </c>
      <c r="P1510" s="726">
        <v>76.64</v>
      </c>
      <c r="Q1510" s="746">
        <f t="shared" si="207"/>
        <v>0</v>
      </c>
      <c r="R1510" s="606">
        <f t="shared" si="208"/>
        <v>386265.59999999998</v>
      </c>
      <c r="S1510" s="747">
        <f t="shared" si="209"/>
        <v>386265.59999999998</v>
      </c>
      <c r="T1510" s="746">
        <v>69.8</v>
      </c>
      <c r="U1510" s="606">
        <f t="shared" si="210"/>
        <v>351792</v>
      </c>
      <c r="V1510" s="747">
        <f t="shared" si="211"/>
        <v>34473.599999999977</v>
      </c>
      <c r="W1510" s="748">
        <v>55.7</v>
      </c>
      <c r="X1510" s="607">
        <f t="shared" si="212"/>
        <v>280728</v>
      </c>
      <c r="Y1510" s="702">
        <f t="shared" si="213"/>
        <v>105537.59999999998</v>
      </c>
      <c r="Z1510" s="748">
        <v>85.732008718771311</v>
      </c>
      <c r="AA1510" s="607">
        <f t="shared" si="214"/>
        <v>432089.32394260739</v>
      </c>
      <c r="AB1510" s="749">
        <f t="shared" si="215"/>
        <v>-45823.723942607408</v>
      </c>
      <c r="AC1510" s="714"/>
    </row>
    <row r="1511" spans="1:29" x14ac:dyDescent="0.25">
      <c r="A1511" s="713"/>
      <c r="B1511" s="714" t="s">
        <v>2382</v>
      </c>
      <c r="C1511" s="676" t="s">
        <v>40</v>
      </c>
      <c r="D1511" s="676" t="s">
        <v>346</v>
      </c>
      <c r="E1511" s="680">
        <v>45047</v>
      </c>
      <c r="F1511" s="676">
        <v>744</v>
      </c>
      <c r="G1511" s="676" t="s">
        <v>59</v>
      </c>
      <c r="H1511" s="676" t="s">
        <v>3</v>
      </c>
      <c r="I1511" s="676" t="s">
        <v>44</v>
      </c>
      <c r="J1511" s="676" t="s">
        <v>85</v>
      </c>
      <c r="K1511" s="676">
        <v>76.64</v>
      </c>
      <c r="L1511" s="690" t="s">
        <v>54</v>
      </c>
      <c r="M1511" s="691">
        <v>0</v>
      </c>
      <c r="N1511" s="690">
        <v>7</v>
      </c>
      <c r="O1511" s="691">
        <v>0</v>
      </c>
      <c r="P1511" s="690">
        <v>76.64</v>
      </c>
      <c r="Q1511" s="738">
        <f t="shared" si="207"/>
        <v>0</v>
      </c>
      <c r="R1511" s="677">
        <f t="shared" si="208"/>
        <v>399141.12</v>
      </c>
      <c r="S1511" s="739">
        <f t="shared" si="209"/>
        <v>399141.12</v>
      </c>
      <c r="T1511" s="738">
        <v>70.2</v>
      </c>
      <c r="U1511" s="677">
        <f t="shared" si="210"/>
        <v>365601.60000000003</v>
      </c>
      <c r="V1511" s="739">
        <f t="shared" si="211"/>
        <v>33539.51999999996</v>
      </c>
      <c r="W1511" s="740">
        <v>55.7</v>
      </c>
      <c r="X1511" s="678">
        <f t="shared" si="212"/>
        <v>290085.60000000003</v>
      </c>
      <c r="Y1511" s="700">
        <f t="shared" si="213"/>
        <v>109055.51999999996</v>
      </c>
      <c r="Z1511" s="740">
        <v>86.223309628334476</v>
      </c>
      <c r="AA1511" s="678">
        <f t="shared" si="214"/>
        <v>449050.99654436595</v>
      </c>
      <c r="AB1511" s="741">
        <f t="shared" si="215"/>
        <v>-49909.87654436595</v>
      </c>
      <c r="AC1511" s="714"/>
    </row>
    <row r="1512" spans="1:29" x14ac:dyDescent="0.25">
      <c r="A1512" s="713"/>
      <c r="B1512" s="729" t="s">
        <v>2382</v>
      </c>
      <c r="C1512" s="545" t="s">
        <v>40</v>
      </c>
      <c r="D1512" s="545" t="s">
        <v>346</v>
      </c>
      <c r="E1512" s="681">
        <v>45078</v>
      </c>
      <c r="F1512" s="545">
        <v>720</v>
      </c>
      <c r="G1512" s="545" t="s">
        <v>59</v>
      </c>
      <c r="H1512" s="545" t="s">
        <v>3</v>
      </c>
      <c r="I1512" s="545" t="s">
        <v>44</v>
      </c>
      <c r="J1512" s="545" t="s">
        <v>85</v>
      </c>
      <c r="K1512" s="545">
        <v>76.64</v>
      </c>
      <c r="L1512" s="725" t="s">
        <v>54</v>
      </c>
      <c r="M1512" s="695">
        <v>0</v>
      </c>
      <c r="N1512" s="725">
        <v>7</v>
      </c>
      <c r="O1512" s="695">
        <v>0</v>
      </c>
      <c r="P1512" s="725">
        <v>76.64</v>
      </c>
      <c r="Q1512" s="742">
        <f t="shared" si="207"/>
        <v>0</v>
      </c>
      <c r="R1512" s="603">
        <f t="shared" si="208"/>
        <v>386265.59999999998</v>
      </c>
      <c r="S1512" s="743">
        <f t="shared" si="209"/>
        <v>386265.59999999998</v>
      </c>
      <c r="T1512" s="742">
        <v>72.400000000000006</v>
      </c>
      <c r="U1512" s="603">
        <f t="shared" si="210"/>
        <v>364896</v>
      </c>
      <c r="V1512" s="743">
        <f t="shared" si="211"/>
        <v>21369.599999999977</v>
      </c>
      <c r="W1512" s="744">
        <v>55.874535369068141</v>
      </c>
      <c r="X1512" s="604">
        <f t="shared" si="212"/>
        <v>281607.65826010343</v>
      </c>
      <c r="Y1512" s="701">
        <f t="shared" si="213"/>
        <v>104657.94173989655</v>
      </c>
      <c r="Z1512" s="744">
        <v>88.925464630931856</v>
      </c>
      <c r="AA1512" s="604">
        <f t="shared" si="214"/>
        <v>448184.34173989657</v>
      </c>
      <c r="AB1512" s="745">
        <f t="shared" si="215"/>
        <v>-61918.741739896592</v>
      </c>
      <c r="AC1512" s="714"/>
    </row>
    <row r="1513" spans="1:29" x14ac:dyDescent="0.25">
      <c r="A1513" s="713"/>
      <c r="B1513" s="731" t="s">
        <v>2386</v>
      </c>
      <c r="C1513" s="547" t="s">
        <v>40</v>
      </c>
      <c r="D1513" s="547" t="s">
        <v>590</v>
      </c>
      <c r="E1513" s="683">
        <v>45261</v>
      </c>
      <c r="F1513" s="547">
        <v>744</v>
      </c>
      <c r="G1513" s="547" t="s">
        <v>58</v>
      </c>
      <c r="H1513" s="547" t="s">
        <v>3</v>
      </c>
      <c r="I1513" s="547" t="s">
        <v>44</v>
      </c>
      <c r="J1513" s="547" t="s">
        <v>84</v>
      </c>
      <c r="K1513" s="547">
        <v>110</v>
      </c>
      <c r="L1513" s="727" t="s">
        <v>54</v>
      </c>
      <c r="M1513" s="697">
        <v>20</v>
      </c>
      <c r="N1513" s="727">
        <v>0</v>
      </c>
      <c r="O1513" s="697">
        <v>110</v>
      </c>
      <c r="P1513" s="727">
        <v>0</v>
      </c>
      <c r="Q1513" s="750">
        <f t="shared" si="207"/>
        <v>1636800</v>
      </c>
      <c r="R1513" s="608">
        <f t="shared" si="208"/>
        <v>0</v>
      </c>
      <c r="S1513" s="751">
        <f t="shared" si="209"/>
        <v>-1636800</v>
      </c>
      <c r="T1513" s="750">
        <v>80.45</v>
      </c>
      <c r="U1513" s="608">
        <f t="shared" si="210"/>
        <v>-1197096</v>
      </c>
      <c r="V1513" s="751">
        <f t="shared" si="211"/>
        <v>-439704</v>
      </c>
      <c r="W1513" s="752">
        <v>62.087104564109552</v>
      </c>
      <c r="X1513" s="609">
        <f t="shared" si="212"/>
        <v>-923856.11591395014</v>
      </c>
      <c r="Y1513" s="703">
        <f t="shared" si="213"/>
        <v>-712943.88408604986</v>
      </c>
      <c r="Z1513" s="752">
        <v>98.812895435890439</v>
      </c>
      <c r="AA1513" s="609">
        <f t="shared" si="214"/>
        <v>-1470335.8840860496</v>
      </c>
      <c r="AB1513" s="753">
        <f t="shared" si="215"/>
        <v>-166464.11591395037</v>
      </c>
      <c r="AC1513" s="714"/>
    </row>
    <row r="1514" spans="1:29" x14ac:dyDescent="0.25">
      <c r="A1514" s="713"/>
      <c r="B1514" s="730" t="s">
        <v>2388</v>
      </c>
      <c r="C1514" s="546" t="s">
        <v>40</v>
      </c>
      <c r="D1514" s="546" t="s">
        <v>508</v>
      </c>
      <c r="E1514" s="682">
        <v>44927</v>
      </c>
      <c r="F1514" s="546">
        <v>744</v>
      </c>
      <c r="G1514" s="546" t="s">
        <v>58</v>
      </c>
      <c r="H1514" s="546" t="s">
        <v>3</v>
      </c>
      <c r="I1514" s="546" t="s">
        <v>44</v>
      </c>
      <c r="J1514" s="546" t="s">
        <v>84</v>
      </c>
      <c r="K1514" s="546">
        <v>73</v>
      </c>
      <c r="L1514" s="726" t="s">
        <v>54</v>
      </c>
      <c r="M1514" s="696">
        <v>2</v>
      </c>
      <c r="N1514" s="726">
        <v>0</v>
      </c>
      <c r="O1514" s="696">
        <v>73</v>
      </c>
      <c r="P1514" s="726">
        <v>0</v>
      </c>
      <c r="Q1514" s="746">
        <f t="shared" si="207"/>
        <v>108624</v>
      </c>
      <c r="R1514" s="606">
        <f t="shared" si="208"/>
        <v>0</v>
      </c>
      <c r="S1514" s="747">
        <f t="shared" si="209"/>
        <v>-108624</v>
      </c>
      <c r="T1514" s="746">
        <v>68.72</v>
      </c>
      <c r="U1514" s="606">
        <f t="shared" si="210"/>
        <v>-102255.36</v>
      </c>
      <c r="V1514" s="747">
        <f t="shared" si="211"/>
        <v>-6368.6399999999994</v>
      </c>
      <c r="W1514" s="748">
        <v>55.7</v>
      </c>
      <c r="X1514" s="607">
        <f t="shared" si="212"/>
        <v>-82881.600000000006</v>
      </c>
      <c r="Y1514" s="702">
        <f t="shared" si="213"/>
        <v>-25742.399999999994</v>
      </c>
      <c r="Z1514" s="748">
        <v>96.206580759134184</v>
      </c>
      <c r="AA1514" s="607">
        <f t="shared" si="214"/>
        <v>-143155.39216959168</v>
      </c>
      <c r="AB1514" s="749">
        <f t="shared" si="215"/>
        <v>34531.39216959168</v>
      </c>
      <c r="AC1514" s="714"/>
    </row>
    <row r="1515" spans="1:29" x14ac:dyDescent="0.25">
      <c r="A1515" s="713"/>
      <c r="B1515" s="714" t="s">
        <v>2388</v>
      </c>
      <c r="C1515" s="676" t="s">
        <v>40</v>
      </c>
      <c r="D1515" s="676" t="s">
        <v>508</v>
      </c>
      <c r="E1515" s="680">
        <v>44958</v>
      </c>
      <c r="F1515" s="676">
        <v>672</v>
      </c>
      <c r="G1515" s="676" t="s">
        <v>58</v>
      </c>
      <c r="H1515" s="676" t="s">
        <v>3</v>
      </c>
      <c r="I1515" s="676" t="s">
        <v>44</v>
      </c>
      <c r="J1515" s="676" t="s">
        <v>84</v>
      </c>
      <c r="K1515" s="676">
        <v>73</v>
      </c>
      <c r="L1515" s="690" t="s">
        <v>54</v>
      </c>
      <c r="M1515" s="691">
        <v>2</v>
      </c>
      <c r="N1515" s="690">
        <v>0</v>
      </c>
      <c r="O1515" s="691">
        <v>73</v>
      </c>
      <c r="P1515" s="690">
        <v>0</v>
      </c>
      <c r="Q1515" s="738">
        <f t="shared" si="207"/>
        <v>98112</v>
      </c>
      <c r="R1515" s="677">
        <f t="shared" si="208"/>
        <v>0</v>
      </c>
      <c r="S1515" s="739">
        <f t="shared" si="209"/>
        <v>-98112</v>
      </c>
      <c r="T1515" s="738">
        <v>69.25</v>
      </c>
      <c r="U1515" s="677">
        <f t="shared" si="210"/>
        <v>-93072</v>
      </c>
      <c r="V1515" s="739">
        <f t="shared" si="211"/>
        <v>-5040</v>
      </c>
      <c r="W1515" s="740">
        <v>55.7</v>
      </c>
      <c r="X1515" s="678">
        <f t="shared" si="212"/>
        <v>-74860.800000000003</v>
      </c>
      <c r="Y1515" s="700">
        <f t="shared" si="213"/>
        <v>-23251.199999999997</v>
      </c>
      <c r="Z1515" s="740">
        <v>92.430648861364247</v>
      </c>
      <c r="AA1515" s="678">
        <f t="shared" si="214"/>
        <v>-124226.79206967355</v>
      </c>
      <c r="AB1515" s="741">
        <f t="shared" si="215"/>
        <v>26114.792069673553</v>
      </c>
      <c r="AC1515" s="714"/>
    </row>
    <row r="1516" spans="1:29" x14ac:dyDescent="0.25">
      <c r="A1516" s="713"/>
      <c r="B1516" s="714" t="s">
        <v>2388</v>
      </c>
      <c r="C1516" s="676" t="s">
        <v>40</v>
      </c>
      <c r="D1516" s="676" t="s">
        <v>508</v>
      </c>
      <c r="E1516" s="680">
        <v>44986</v>
      </c>
      <c r="F1516" s="676">
        <v>744</v>
      </c>
      <c r="G1516" s="676" t="s">
        <v>58</v>
      </c>
      <c r="H1516" s="676" t="s">
        <v>3</v>
      </c>
      <c r="I1516" s="676" t="s">
        <v>44</v>
      </c>
      <c r="J1516" s="676" t="s">
        <v>84</v>
      </c>
      <c r="K1516" s="676">
        <v>73</v>
      </c>
      <c r="L1516" s="690" t="s">
        <v>54</v>
      </c>
      <c r="M1516" s="691">
        <v>2</v>
      </c>
      <c r="N1516" s="690">
        <v>0</v>
      </c>
      <c r="O1516" s="691">
        <v>73</v>
      </c>
      <c r="P1516" s="690">
        <v>0</v>
      </c>
      <c r="Q1516" s="738">
        <f t="shared" si="207"/>
        <v>108624</v>
      </c>
      <c r="R1516" s="677">
        <f t="shared" si="208"/>
        <v>0</v>
      </c>
      <c r="S1516" s="739">
        <f t="shared" si="209"/>
        <v>-108624</v>
      </c>
      <c r="T1516" s="738">
        <v>69.3</v>
      </c>
      <c r="U1516" s="677">
        <f t="shared" si="210"/>
        <v>-103118.39999999999</v>
      </c>
      <c r="V1516" s="739">
        <f t="shared" si="211"/>
        <v>-5505.6000000000058</v>
      </c>
      <c r="W1516" s="740">
        <v>55.7</v>
      </c>
      <c r="X1516" s="678">
        <f t="shared" si="212"/>
        <v>-82881.600000000006</v>
      </c>
      <c r="Y1516" s="700">
        <f t="shared" si="213"/>
        <v>-25742.399999999994</v>
      </c>
      <c r="Z1516" s="740">
        <v>89.053218420260009</v>
      </c>
      <c r="AA1516" s="678">
        <f t="shared" si="214"/>
        <v>-132511.18900934688</v>
      </c>
      <c r="AB1516" s="741">
        <f t="shared" si="215"/>
        <v>23887.189009346883</v>
      </c>
      <c r="AC1516" s="714"/>
    </row>
    <row r="1517" spans="1:29" x14ac:dyDescent="0.25">
      <c r="A1517" s="713"/>
      <c r="B1517" s="714" t="s">
        <v>2388</v>
      </c>
      <c r="C1517" s="676" t="s">
        <v>40</v>
      </c>
      <c r="D1517" s="676" t="s">
        <v>508</v>
      </c>
      <c r="E1517" s="680">
        <v>45017</v>
      </c>
      <c r="F1517" s="676">
        <v>720</v>
      </c>
      <c r="G1517" s="676" t="s">
        <v>58</v>
      </c>
      <c r="H1517" s="676" t="s">
        <v>3</v>
      </c>
      <c r="I1517" s="676" t="s">
        <v>44</v>
      </c>
      <c r="J1517" s="676" t="s">
        <v>84</v>
      </c>
      <c r="K1517" s="676">
        <v>73</v>
      </c>
      <c r="L1517" s="690" t="s">
        <v>54</v>
      </c>
      <c r="M1517" s="691">
        <v>2</v>
      </c>
      <c r="N1517" s="690">
        <v>0</v>
      </c>
      <c r="O1517" s="691">
        <v>73</v>
      </c>
      <c r="P1517" s="690">
        <v>0</v>
      </c>
      <c r="Q1517" s="738">
        <f t="shared" si="207"/>
        <v>105120</v>
      </c>
      <c r="R1517" s="677">
        <f t="shared" si="208"/>
        <v>0</v>
      </c>
      <c r="S1517" s="739">
        <f t="shared" si="209"/>
        <v>-105120</v>
      </c>
      <c r="T1517" s="738">
        <v>69.8</v>
      </c>
      <c r="U1517" s="677">
        <f t="shared" si="210"/>
        <v>-100512</v>
      </c>
      <c r="V1517" s="739">
        <f t="shared" si="211"/>
        <v>-4608</v>
      </c>
      <c r="W1517" s="740">
        <v>55.7</v>
      </c>
      <c r="X1517" s="678">
        <f t="shared" si="212"/>
        <v>-80208</v>
      </c>
      <c r="Y1517" s="700">
        <f t="shared" si="213"/>
        <v>-24912</v>
      </c>
      <c r="Z1517" s="740">
        <v>85.732008718771311</v>
      </c>
      <c r="AA1517" s="678">
        <f t="shared" si="214"/>
        <v>-123454.09255503069</v>
      </c>
      <c r="AB1517" s="741">
        <f t="shared" si="215"/>
        <v>18334.092555030686</v>
      </c>
      <c r="AC1517" s="714"/>
    </row>
    <row r="1518" spans="1:29" x14ac:dyDescent="0.25">
      <c r="A1518" s="713"/>
      <c r="B1518" s="714" t="s">
        <v>2388</v>
      </c>
      <c r="C1518" s="676" t="s">
        <v>40</v>
      </c>
      <c r="D1518" s="676" t="s">
        <v>508</v>
      </c>
      <c r="E1518" s="680">
        <v>45047</v>
      </c>
      <c r="F1518" s="676">
        <v>744</v>
      </c>
      <c r="G1518" s="676" t="s">
        <v>58</v>
      </c>
      <c r="H1518" s="676" t="s">
        <v>3</v>
      </c>
      <c r="I1518" s="676" t="s">
        <v>44</v>
      </c>
      <c r="J1518" s="676" t="s">
        <v>84</v>
      </c>
      <c r="K1518" s="676">
        <v>73</v>
      </c>
      <c r="L1518" s="690" t="s">
        <v>54</v>
      </c>
      <c r="M1518" s="691">
        <v>2</v>
      </c>
      <c r="N1518" s="690">
        <v>0</v>
      </c>
      <c r="O1518" s="691">
        <v>73</v>
      </c>
      <c r="P1518" s="690">
        <v>0</v>
      </c>
      <c r="Q1518" s="738">
        <f t="shared" si="207"/>
        <v>108624</v>
      </c>
      <c r="R1518" s="677">
        <f t="shared" si="208"/>
        <v>0</v>
      </c>
      <c r="S1518" s="739">
        <f t="shared" si="209"/>
        <v>-108624</v>
      </c>
      <c r="T1518" s="738">
        <v>70.2</v>
      </c>
      <c r="U1518" s="677">
        <f t="shared" si="210"/>
        <v>-104457.60000000001</v>
      </c>
      <c r="V1518" s="739">
        <f t="shared" si="211"/>
        <v>-4166.3999999999942</v>
      </c>
      <c r="W1518" s="740">
        <v>55.7</v>
      </c>
      <c r="X1518" s="678">
        <f t="shared" si="212"/>
        <v>-82881.600000000006</v>
      </c>
      <c r="Y1518" s="700">
        <f t="shared" si="213"/>
        <v>-25742.399999999994</v>
      </c>
      <c r="Z1518" s="740">
        <v>86.223309628334476</v>
      </c>
      <c r="AA1518" s="678">
        <f t="shared" si="214"/>
        <v>-128300.28472696171</v>
      </c>
      <c r="AB1518" s="741">
        <f t="shared" si="215"/>
        <v>19676.284726961705</v>
      </c>
      <c r="AC1518" s="714"/>
    </row>
    <row r="1519" spans="1:29" x14ac:dyDescent="0.25">
      <c r="A1519" s="713"/>
      <c r="B1519" s="729" t="s">
        <v>2388</v>
      </c>
      <c r="C1519" s="545" t="s">
        <v>40</v>
      </c>
      <c r="D1519" s="545" t="s">
        <v>508</v>
      </c>
      <c r="E1519" s="681">
        <v>45078</v>
      </c>
      <c r="F1519" s="545">
        <v>720</v>
      </c>
      <c r="G1519" s="545" t="s">
        <v>58</v>
      </c>
      <c r="H1519" s="545" t="s">
        <v>3</v>
      </c>
      <c r="I1519" s="545" t="s">
        <v>44</v>
      </c>
      <c r="J1519" s="545" t="s">
        <v>84</v>
      </c>
      <c r="K1519" s="545">
        <v>73</v>
      </c>
      <c r="L1519" s="725" t="s">
        <v>54</v>
      </c>
      <c r="M1519" s="695">
        <v>2</v>
      </c>
      <c r="N1519" s="725">
        <v>0</v>
      </c>
      <c r="O1519" s="695">
        <v>73</v>
      </c>
      <c r="P1519" s="725">
        <v>0</v>
      </c>
      <c r="Q1519" s="742">
        <f t="shared" si="207"/>
        <v>105120</v>
      </c>
      <c r="R1519" s="603">
        <f t="shared" si="208"/>
        <v>0</v>
      </c>
      <c r="S1519" s="743">
        <f t="shared" si="209"/>
        <v>-105120</v>
      </c>
      <c r="T1519" s="742">
        <v>72.400000000000006</v>
      </c>
      <c r="U1519" s="603">
        <f t="shared" si="210"/>
        <v>-104256.00000000001</v>
      </c>
      <c r="V1519" s="743">
        <f t="shared" si="211"/>
        <v>-863.99999999998545</v>
      </c>
      <c r="W1519" s="744">
        <v>55.874535369068141</v>
      </c>
      <c r="X1519" s="604">
        <f t="shared" si="212"/>
        <v>-80459.330931458127</v>
      </c>
      <c r="Y1519" s="701">
        <f t="shared" si="213"/>
        <v>-24660.669068541873</v>
      </c>
      <c r="Z1519" s="744">
        <v>88.925464630931856</v>
      </c>
      <c r="AA1519" s="604">
        <f t="shared" si="214"/>
        <v>-128052.66906854187</v>
      </c>
      <c r="AB1519" s="745">
        <f t="shared" si="215"/>
        <v>22932.669068541873</v>
      </c>
      <c r="AC1519" s="714"/>
    </row>
    <row r="1520" spans="1:29" x14ac:dyDescent="0.25">
      <c r="A1520" s="713"/>
      <c r="B1520" s="730" t="s">
        <v>2389</v>
      </c>
      <c r="C1520" s="546" t="s">
        <v>40</v>
      </c>
      <c r="D1520" s="546" t="s">
        <v>346</v>
      </c>
      <c r="E1520" s="682">
        <v>44927</v>
      </c>
      <c r="F1520" s="546">
        <v>744</v>
      </c>
      <c r="G1520" s="546" t="s">
        <v>59</v>
      </c>
      <c r="H1520" s="546" t="s">
        <v>3</v>
      </c>
      <c r="I1520" s="546" t="s">
        <v>44</v>
      </c>
      <c r="J1520" s="546" t="s">
        <v>85</v>
      </c>
      <c r="K1520" s="546">
        <v>74</v>
      </c>
      <c r="L1520" s="726" t="s">
        <v>54</v>
      </c>
      <c r="M1520" s="696">
        <v>0</v>
      </c>
      <c r="N1520" s="726">
        <v>10</v>
      </c>
      <c r="O1520" s="696">
        <v>0</v>
      </c>
      <c r="P1520" s="726">
        <v>74</v>
      </c>
      <c r="Q1520" s="746">
        <f t="shared" si="207"/>
        <v>0</v>
      </c>
      <c r="R1520" s="606">
        <f t="shared" si="208"/>
        <v>550560</v>
      </c>
      <c r="S1520" s="747">
        <f t="shared" si="209"/>
        <v>550560</v>
      </c>
      <c r="T1520" s="746">
        <v>68.72</v>
      </c>
      <c r="U1520" s="606">
        <f t="shared" si="210"/>
        <v>511276.79999999999</v>
      </c>
      <c r="V1520" s="747">
        <f t="shared" si="211"/>
        <v>39283.200000000012</v>
      </c>
      <c r="W1520" s="748">
        <v>55.7</v>
      </c>
      <c r="X1520" s="607">
        <f t="shared" si="212"/>
        <v>414408</v>
      </c>
      <c r="Y1520" s="702">
        <f t="shared" si="213"/>
        <v>136152</v>
      </c>
      <c r="Z1520" s="748">
        <v>96.206580759134184</v>
      </c>
      <c r="AA1520" s="607">
        <f t="shared" si="214"/>
        <v>715776.96084795834</v>
      </c>
      <c r="AB1520" s="749">
        <f t="shared" si="215"/>
        <v>-165216.96084795834</v>
      </c>
      <c r="AC1520" s="714"/>
    </row>
    <row r="1521" spans="1:29" x14ac:dyDescent="0.25">
      <c r="A1521" s="713"/>
      <c r="B1521" s="714" t="s">
        <v>2389</v>
      </c>
      <c r="C1521" s="676" t="s">
        <v>40</v>
      </c>
      <c r="D1521" s="676" t="s">
        <v>346</v>
      </c>
      <c r="E1521" s="680">
        <v>44958</v>
      </c>
      <c r="F1521" s="676">
        <v>672</v>
      </c>
      <c r="G1521" s="676" t="s">
        <v>59</v>
      </c>
      <c r="H1521" s="676" t="s">
        <v>3</v>
      </c>
      <c r="I1521" s="676" t="s">
        <v>44</v>
      </c>
      <c r="J1521" s="676" t="s">
        <v>85</v>
      </c>
      <c r="K1521" s="676">
        <v>74</v>
      </c>
      <c r="L1521" s="690" t="s">
        <v>54</v>
      </c>
      <c r="M1521" s="691">
        <v>0</v>
      </c>
      <c r="N1521" s="690">
        <v>10</v>
      </c>
      <c r="O1521" s="691">
        <v>0</v>
      </c>
      <c r="P1521" s="690">
        <v>74</v>
      </c>
      <c r="Q1521" s="738">
        <f t="shared" si="207"/>
        <v>0</v>
      </c>
      <c r="R1521" s="677">
        <f t="shared" si="208"/>
        <v>497280</v>
      </c>
      <c r="S1521" s="739">
        <f t="shared" si="209"/>
        <v>497280</v>
      </c>
      <c r="T1521" s="738">
        <v>69.25</v>
      </c>
      <c r="U1521" s="677">
        <f t="shared" si="210"/>
        <v>465360</v>
      </c>
      <c r="V1521" s="739">
        <f t="shared" si="211"/>
        <v>31920</v>
      </c>
      <c r="W1521" s="740">
        <v>55.7</v>
      </c>
      <c r="X1521" s="678">
        <f t="shared" si="212"/>
        <v>374304</v>
      </c>
      <c r="Y1521" s="700">
        <f t="shared" si="213"/>
        <v>122976</v>
      </c>
      <c r="Z1521" s="740">
        <v>92.430648861364247</v>
      </c>
      <c r="AA1521" s="678">
        <f t="shared" si="214"/>
        <v>621133.96034836769</v>
      </c>
      <c r="AB1521" s="741">
        <f t="shared" si="215"/>
        <v>-123853.96034836769</v>
      </c>
      <c r="AC1521" s="714"/>
    </row>
    <row r="1522" spans="1:29" x14ac:dyDescent="0.25">
      <c r="A1522" s="713"/>
      <c r="B1522" s="729" t="s">
        <v>2389</v>
      </c>
      <c r="C1522" s="545" t="s">
        <v>40</v>
      </c>
      <c r="D1522" s="545" t="s">
        <v>346</v>
      </c>
      <c r="E1522" s="681">
        <v>44986</v>
      </c>
      <c r="F1522" s="545">
        <v>744</v>
      </c>
      <c r="G1522" s="545" t="s">
        <v>59</v>
      </c>
      <c r="H1522" s="545" t="s">
        <v>3</v>
      </c>
      <c r="I1522" s="545" t="s">
        <v>44</v>
      </c>
      <c r="J1522" s="545" t="s">
        <v>85</v>
      </c>
      <c r="K1522" s="545">
        <v>74</v>
      </c>
      <c r="L1522" s="725" t="s">
        <v>54</v>
      </c>
      <c r="M1522" s="695">
        <v>0</v>
      </c>
      <c r="N1522" s="725">
        <v>10</v>
      </c>
      <c r="O1522" s="695">
        <v>0</v>
      </c>
      <c r="P1522" s="725">
        <v>74</v>
      </c>
      <c r="Q1522" s="742">
        <f t="shared" si="207"/>
        <v>0</v>
      </c>
      <c r="R1522" s="603">
        <f t="shared" si="208"/>
        <v>550560</v>
      </c>
      <c r="S1522" s="743">
        <f t="shared" si="209"/>
        <v>550560</v>
      </c>
      <c r="T1522" s="742">
        <v>69.3</v>
      </c>
      <c r="U1522" s="603">
        <f t="shared" si="210"/>
        <v>515592</v>
      </c>
      <c r="V1522" s="743">
        <f t="shared" si="211"/>
        <v>34968</v>
      </c>
      <c r="W1522" s="744">
        <v>55.7</v>
      </c>
      <c r="X1522" s="604">
        <f t="shared" si="212"/>
        <v>414408</v>
      </c>
      <c r="Y1522" s="701">
        <f t="shared" si="213"/>
        <v>136152</v>
      </c>
      <c r="Z1522" s="744">
        <v>89.053218420260009</v>
      </c>
      <c r="AA1522" s="604">
        <f t="shared" si="214"/>
        <v>662555.94504673441</v>
      </c>
      <c r="AB1522" s="745">
        <f t="shared" si="215"/>
        <v>-111995.94504673441</v>
      </c>
      <c r="AC1522" s="714"/>
    </row>
    <row r="1523" spans="1:29" x14ac:dyDescent="0.25">
      <c r="A1523" s="713"/>
      <c r="B1523" s="730" t="s">
        <v>2395</v>
      </c>
      <c r="C1523" s="546" t="s">
        <v>40</v>
      </c>
      <c r="D1523" s="546" t="s">
        <v>2017</v>
      </c>
      <c r="E1523" s="682">
        <v>44927</v>
      </c>
      <c r="F1523" s="546">
        <v>744</v>
      </c>
      <c r="G1523" s="546" t="s">
        <v>58</v>
      </c>
      <c r="H1523" s="546" t="s">
        <v>3</v>
      </c>
      <c r="I1523" s="546" t="s">
        <v>44</v>
      </c>
      <c r="J1523" s="546" t="s">
        <v>84</v>
      </c>
      <c r="K1523" s="546">
        <v>72</v>
      </c>
      <c r="L1523" s="726" t="s">
        <v>54</v>
      </c>
      <c r="M1523" s="696">
        <v>5</v>
      </c>
      <c r="N1523" s="726">
        <v>0</v>
      </c>
      <c r="O1523" s="696">
        <v>72</v>
      </c>
      <c r="P1523" s="726">
        <v>0</v>
      </c>
      <c r="Q1523" s="746">
        <f t="shared" si="207"/>
        <v>267840</v>
      </c>
      <c r="R1523" s="606">
        <f t="shared" si="208"/>
        <v>0</v>
      </c>
      <c r="S1523" s="747">
        <f t="shared" si="209"/>
        <v>-267840</v>
      </c>
      <c r="T1523" s="746">
        <v>68.72</v>
      </c>
      <c r="U1523" s="606">
        <f t="shared" si="210"/>
        <v>-255638.39999999999</v>
      </c>
      <c r="V1523" s="747">
        <f t="shared" si="211"/>
        <v>-12201.600000000006</v>
      </c>
      <c r="W1523" s="748">
        <v>55.7</v>
      </c>
      <c r="X1523" s="607">
        <f t="shared" si="212"/>
        <v>-207204</v>
      </c>
      <c r="Y1523" s="702">
        <f t="shared" si="213"/>
        <v>-60636</v>
      </c>
      <c r="Z1523" s="748">
        <v>96.206580759134184</v>
      </c>
      <c r="AA1523" s="607">
        <f t="shared" si="214"/>
        <v>-357888.48042397917</v>
      </c>
      <c r="AB1523" s="749">
        <f t="shared" si="215"/>
        <v>90048.48042397917</v>
      </c>
      <c r="AC1523" s="714"/>
    </row>
    <row r="1524" spans="1:29" x14ac:dyDescent="0.25">
      <c r="A1524" s="713"/>
      <c r="B1524" s="714" t="s">
        <v>2395</v>
      </c>
      <c r="C1524" s="676" t="s">
        <v>40</v>
      </c>
      <c r="D1524" s="676" t="s">
        <v>2017</v>
      </c>
      <c r="E1524" s="680">
        <v>44958</v>
      </c>
      <c r="F1524" s="676">
        <v>672</v>
      </c>
      <c r="G1524" s="676" t="s">
        <v>58</v>
      </c>
      <c r="H1524" s="676" t="s">
        <v>3</v>
      </c>
      <c r="I1524" s="676" t="s">
        <v>44</v>
      </c>
      <c r="J1524" s="676" t="s">
        <v>84</v>
      </c>
      <c r="K1524" s="676">
        <v>72</v>
      </c>
      <c r="L1524" s="690" t="s">
        <v>54</v>
      </c>
      <c r="M1524" s="691">
        <v>5</v>
      </c>
      <c r="N1524" s="690">
        <v>0</v>
      </c>
      <c r="O1524" s="691">
        <v>72</v>
      </c>
      <c r="P1524" s="690">
        <v>0</v>
      </c>
      <c r="Q1524" s="738">
        <f t="shared" si="207"/>
        <v>241920</v>
      </c>
      <c r="R1524" s="677">
        <f t="shared" si="208"/>
        <v>0</v>
      </c>
      <c r="S1524" s="739">
        <f t="shared" si="209"/>
        <v>-241920</v>
      </c>
      <c r="T1524" s="738">
        <v>69.25</v>
      </c>
      <c r="U1524" s="677">
        <f t="shared" si="210"/>
        <v>-232680</v>
      </c>
      <c r="V1524" s="739">
        <f t="shared" si="211"/>
        <v>-9240</v>
      </c>
      <c r="W1524" s="740">
        <v>55.7</v>
      </c>
      <c r="X1524" s="678">
        <f t="shared" si="212"/>
        <v>-187152</v>
      </c>
      <c r="Y1524" s="700">
        <f t="shared" si="213"/>
        <v>-54768</v>
      </c>
      <c r="Z1524" s="740">
        <v>92.430648861364247</v>
      </c>
      <c r="AA1524" s="678">
        <f t="shared" si="214"/>
        <v>-310566.98017418385</v>
      </c>
      <c r="AB1524" s="741">
        <f t="shared" si="215"/>
        <v>68646.980174183846</v>
      </c>
      <c r="AC1524" s="714"/>
    </row>
    <row r="1525" spans="1:29" x14ac:dyDescent="0.25">
      <c r="A1525" s="713"/>
      <c r="B1525" s="729" t="s">
        <v>2395</v>
      </c>
      <c r="C1525" s="545" t="s">
        <v>40</v>
      </c>
      <c r="D1525" s="545" t="s">
        <v>2017</v>
      </c>
      <c r="E1525" s="681">
        <v>44986</v>
      </c>
      <c r="F1525" s="545">
        <v>744</v>
      </c>
      <c r="G1525" s="545" t="s">
        <v>58</v>
      </c>
      <c r="H1525" s="545" t="s">
        <v>3</v>
      </c>
      <c r="I1525" s="545" t="s">
        <v>44</v>
      </c>
      <c r="J1525" s="545" t="s">
        <v>84</v>
      </c>
      <c r="K1525" s="545">
        <v>72</v>
      </c>
      <c r="L1525" s="725" t="s">
        <v>54</v>
      </c>
      <c r="M1525" s="695">
        <v>5</v>
      </c>
      <c r="N1525" s="725">
        <v>0</v>
      </c>
      <c r="O1525" s="695">
        <v>72</v>
      </c>
      <c r="P1525" s="725">
        <v>0</v>
      </c>
      <c r="Q1525" s="742">
        <f t="shared" si="207"/>
        <v>267840</v>
      </c>
      <c r="R1525" s="603">
        <f t="shared" si="208"/>
        <v>0</v>
      </c>
      <c r="S1525" s="743">
        <f t="shared" si="209"/>
        <v>-267840</v>
      </c>
      <c r="T1525" s="742">
        <v>69.3</v>
      </c>
      <c r="U1525" s="603">
        <f t="shared" si="210"/>
        <v>-257796</v>
      </c>
      <c r="V1525" s="743">
        <f t="shared" si="211"/>
        <v>-10044</v>
      </c>
      <c r="W1525" s="744">
        <v>55.7</v>
      </c>
      <c r="X1525" s="604">
        <f t="shared" si="212"/>
        <v>-207204</v>
      </c>
      <c r="Y1525" s="701">
        <f t="shared" si="213"/>
        <v>-60636</v>
      </c>
      <c r="Z1525" s="744">
        <v>89.053218420260009</v>
      </c>
      <c r="AA1525" s="604">
        <f t="shared" si="214"/>
        <v>-331277.97252336721</v>
      </c>
      <c r="AB1525" s="745">
        <f t="shared" si="215"/>
        <v>63437.972523367207</v>
      </c>
      <c r="AC1525" s="714"/>
    </row>
    <row r="1526" spans="1:29" x14ac:dyDescent="0.25">
      <c r="A1526" s="713"/>
      <c r="B1526" s="730" t="s">
        <v>2397</v>
      </c>
      <c r="C1526" s="546" t="s">
        <v>40</v>
      </c>
      <c r="D1526" s="546" t="s">
        <v>478</v>
      </c>
      <c r="E1526" s="682">
        <v>44927</v>
      </c>
      <c r="F1526" s="546">
        <v>744</v>
      </c>
      <c r="G1526" s="546" t="s">
        <v>58</v>
      </c>
      <c r="H1526" s="546" t="s">
        <v>3</v>
      </c>
      <c r="I1526" s="546" t="s">
        <v>44</v>
      </c>
      <c r="J1526" s="546" t="s">
        <v>84</v>
      </c>
      <c r="K1526" s="546">
        <v>72.2</v>
      </c>
      <c r="L1526" s="726" t="s">
        <v>54</v>
      </c>
      <c r="M1526" s="696">
        <v>10</v>
      </c>
      <c r="N1526" s="726">
        <v>0</v>
      </c>
      <c r="O1526" s="696">
        <v>72.2</v>
      </c>
      <c r="P1526" s="726">
        <v>0</v>
      </c>
      <c r="Q1526" s="746">
        <f t="shared" si="207"/>
        <v>537168</v>
      </c>
      <c r="R1526" s="606">
        <f t="shared" si="208"/>
        <v>0</v>
      </c>
      <c r="S1526" s="747">
        <f t="shared" si="209"/>
        <v>-537168</v>
      </c>
      <c r="T1526" s="746">
        <v>68.72</v>
      </c>
      <c r="U1526" s="606">
        <f t="shared" si="210"/>
        <v>-511276.79999999999</v>
      </c>
      <c r="V1526" s="747">
        <f t="shared" si="211"/>
        <v>-25891.200000000012</v>
      </c>
      <c r="W1526" s="748">
        <v>55.7</v>
      </c>
      <c r="X1526" s="607">
        <f t="shared" si="212"/>
        <v>-414408</v>
      </c>
      <c r="Y1526" s="702">
        <f t="shared" si="213"/>
        <v>-122760</v>
      </c>
      <c r="Z1526" s="748">
        <v>96.206580759134184</v>
      </c>
      <c r="AA1526" s="607">
        <f t="shared" si="214"/>
        <v>-715776.96084795834</v>
      </c>
      <c r="AB1526" s="749">
        <f t="shared" si="215"/>
        <v>178608.96084795834</v>
      </c>
      <c r="AC1526" s="714"/>
    </row>
    <row r="1527" spans="1:29" x14ac:dyDescent="0.25">
      <c r="A1527" s="713"/>
      <c r="B1527" s="714" t="s">
        <v>2397</v>
      </c>
      <c r="C1527" s="676" t="s">
        <v>40</v>
      </c>
      <c r="D1527" s="676" t="s">
        <v>478</v>
      </c>
      <c r="E1527" s="680">
        <v>44958</v>
      </c>
      <c r="F1527" s="676">
        <v>672</v>
      </c>
      <c r="G1527" s="676" t="s">
        <v>58</v>
      </c>
      <c r="H1527" s="676" t="s">
        <v>3</v>
      </c>
      <c r="I1527" s="676" t="s">
        <v>44</v>
      </c>
      <c r="J1527" s="676" t="s">
        <v>84</v>
      </c>
      <c r="K1527" s="676">
        <v>72.2</v>
      </c>
      <c r="L1527" s="690" t="s">
        <v>54</v>
      </c>
      <c r="M1527" s="691">
        <v>10</v>
      </c>
      <c r="N1527" s="690">
        <v>0</v>
      </c>
      <c r="O1527" s="691">
        <v>72.2</v>
      </c>
      <c r="P1527" s="690">
        <v>0</v>
      </c>
      <c r="Q1527" s="738">
        <f t="shared" si="207"/>
        <v>485184</v>
      </c>
      <c r="R1527" s="677">
        <f t="shared" si="208"/>
        <v>0</v>
      </c>
      <c r="S1527" s="739">
        <f t="shared" si="209"/>
        <v>-485184</v>
      </c>
      <c r="T1527" s="738">
        <v>69.25</v>
      </c>
      <c r="U1527" s="677">
        <f t="shared" si="210"/>
        <v>-465360</v>
      </c>
      <c r="V1527" s="739">
        <f t="shared" si="211"/>
        <v>-19824</v>
      </c>
      <c r="W1527" s="740">
        <v>55.7</v>
      </c>
      <c r="X1527" s="678">
        <f t="shared" si="212"/>
        <v>-374304</v>
      </c>
      <c r="Y1527" s="700">
        <f t="shared" si="213"/>
        <v>-110880</v>
      </c>
      <c r="Z1527" s="740">
        <v>92.430648861364247</v>
      </c>
      <c r="AA1527" s="678">
        <f t="shared" si="214"/>
        <v>-621133.96034836769</v>
      </c>
      <c r="AB1527" s="741">
        <f t="shared" si="215"/>
        <v>135949.96034836769</v>
      </c>
      <c r="AC1527" s="714"/>
    </row>
    <row r="1528" spans="1:29" x14ac:dyDescent="0.25">
      <c r="A1528" s="713"/>
      <c r="B1528" s="729" t="s">
        <v>2397</v>
      </c>
      <c r="C1528" s="545" t="s">
        <v>40</v>
      </c>
      <c r="D1528" s="545" t="s">
        <v>478</v>
      </c>
      <c r="E1528" s="681">
        <v>44986</v>
      </c>
      <c r="F1528" s="545">
        <v>744</v>
      </c>
      <c r="G1528" s="545" t="s">
        <v>58</v>
      </c>
      <c r="H1528" s="545" t="s">
        <v>3</v>
      </c>
      <c r="I1528" s="545" t="s">
        <v>44</v>
      </c>
      <c r="J1528" s="545" t="s">
        <v>84</v>
      </c>
      <c r="K1528" s="545">
        <v>72.2</v>
      </c>
      <c r="L1528" s="725" t="s">
        <v>54</v>
      </c>
      <c r="M1528" s="695">
        <v>10</v>
      </c>
      <c r="N1528" s="725">
        <v>0</v>
      </c>
      <c r="O1528" s="695">
        <v>72.2</v>
      </c>
      <c r="P1528" s="725">
        <v>0</v>
      </c>
      <c r="Q1528" s="742">
        <f t="shared" si="207"/>
        <v>537168</v>
      </c>
      <c r="R1528" s="603">
        <f t="shared" si="208"/>
        <v>0</v>
      </c>
      <c r="S1528" s="743">
        <f t="shared" si="209"/>
        <v>-537168</v>
      </c>
      <c r="T1528" s="742">
        <v>69.3</v>
      </c>
      <c r="U1528" s="603">
        <f t="shared" si="210"/>
        <v>-515592</v>
      </c>
      <c r="V1528" s="743">
        <f t="shared" si="211"/>
        <v>-21576</v>
      </c>
      <c r="W1528" s="744">
        <v>55.7</v>
      </c>
      <c r="X1528" s="604">
        <f t="shared" si="212"/>
        <v>-414408</v>
      </c>
      <c r="Y1528" s="701">
        <f t="shared" si="213"/>
        <v>-122760</v>
      </c>
      <c r="Z1528" s="744">
        <v>89.053218420260009</v>
      </c>
      <c r="AA1528" s="604">
        <f t="shared" si="214"/>
        <v>-662555.94504673441</v>
      </c>
      <c r="AB1528" s="745">
        <f t="shared" si="215"/>
        <v>125387.94504673441</v>
      </c>
      <c r="AC1528" s="714"/>
    </row>
    <row r="1529" spans="1:29" x14ac:dyDescent="0.25">
      <c r="A1529" s="713"/>
      <c r="B1529" s="731" t="s">
        <v>2398</v>
      </c>
      <c r="C1529" s="547" t="s">
        <v>40</v>
      </c>
      <c r="D1529" s="547" t="s">
        <v>1920</v>
      </c>
      <c r="E1529" s="683">
        <v>44958</v>
      </c>
      <c r="F1529" s="547">
        <v>672</v>
      </c>
      <c r="G1529" s="547" t="s">
        <v>58</v>
      </c>
      <c r="H1529" s="547" t="s">
        <v>3</v>
      </c>
      <c r="I1529" s="547" t="s">
        <v>44</v>
      </c>
      <c r="J1529" s="547" t="s">
        <v>84</v>
      </c>
      <c r="K1529" s="547">
        <v>73</v>
      </c>
      <c r="L1529" s="727" t="s">
        <v>54</v>
      </c>
      <c r="M1529" s="697">
        <v>0.3</v>
      </c>
      <c r="N1529" s="727">
        <v>0</v>
      </c>
      <c r="O1529" s="697">
        <v>73</v>
      </c>
      <c r="P1529" s="727">
        <v>0</v>
      </c>
      <c r="Q1529" s="750">
        <f t="shared" si="207"/>
        <v>14716.8</v>
      </c>
      <c r="R1529" s="608">
        <f t="shared" si="208"/>
        <v>0</v>
      </c>
      <c r="S1529" s="751">
        <f t="shared" si="209"/>
        <v>-14716.8</v>
      </c>
      <c r="T1529" s="750">
        <v>69.25</v>
      </c>
      <c r="U1529" s="608">
        <f t="shared" si="210"/>
        <v>-13960.8</v>
      </c>
      <c r="V1529" s="751">
        <f t="shared" si="211"/>
        <v>-756</v>
      </c>
      <c r="W1529" s="752">
        <v>55.7</v>
      </c>
      <c r="X1529" s="609">
        <f t="shared" si="212"/>
        <v>-11229.12</v>
      </c>
      <c r="Y1529" s="703">
        <f t="shared" si="213"/>
        <v>-3487.6799999999985</v>
      </c>
      <c r="Z1529" s="752">
        <v>92.430648861364247</v>
      </c>
      <c r="AA1529" s="609">
        <f t="shared" si="214"/>
        <v>-18634.018810451031</v>
      </c>
      <c r="AB1529" s="753">
        <f t="shared" si="215"/>
        <v>3917.2188104510315</v>
      </c>
      <c r="AC1529" s="714"/>
    </row>
    <row r="1530" spans="1:29" x14ac:dyDescent="0.25">
      <c r="A1530" s="713"/>
      <c r="B1530" s="730" t="s">
        <v>2403</v>
      </c>
      <c r="C1530" s="546" t="s">
        <v>40</v>
      </c>
      <c r="D1530" s="546" t="s">
        <v>2121</v>
      </c>
      <c r="E1530" s="682">
        <v>45108</v>
      </c>
      <c r="F1530" s="546">
        <v>744</v>
      </c>
      <c r="G1530" s="546" t="s">
        <v>59</v>
      </c>
      <c r="H1530" s="546" t="s">
        <v>3</v>
      </c>
      <c r="I1530" s="546" t="s">
        <v>44</v>
      </c>
      <c r="J1530" s="546" t="s">
        <v>85</v>
      </c>
      <c r="K1530" s="546">
        <v>115</v>
      </c>
      <c r="L1530" s="726" t="s">
        <v>54</v>
      </c>
      <c r="M1530" s="696">
        <v>0</v>
      </c>
      <c r="N1530" s="726">
        <v>10</v>
      </c>
      <c r="O1530" s="696">
        <v>0</v>
      </c>
      <c r="P1530" s="726">
        <v>115</v>
      </c>
      <c r="Q1530" s="746">
        <f t="shared" si="207"/>
        <v>0</v>
      </c>
      <c r="R1530" s="606">
        <f t="shared" si="208"/>
        <v>855600</v>
      </c>
      <c r="S1530" s="747">
        <f t="shared" si="209"/>
        <v>855600</v>
      </c>
      <c r="T1530" s="746">
        <v>77.150000000000006</v>
      </c>
      <c r="U1530" s="606">
        <f t="shared" si="210"/>
        <v>573996</v>
      </c>
      <c r="V1530" s="747">
        <f t="shared" si="211"/>
        <v>281604</v>
      </c>
      <c r="W1530" s="748">
        <v>59.54033706800562</v>
      </c>
      <c r="X1530" s="607">
        <f t="shared" si="212"/>
        <v>442980.10778596182</v>
      </c>
      <c r="Y1530" s="702">
        <f t="shared" si="213"/>
        <v>412619.89221403818</v>
      </c>
      <c r="Z1530" s="748">
        <v>94.759662931994384</v>
      </c>
      <c r="AA1530" s="607">
        <f t="shared" si="214"/>
        <v>705011.89221403818</v>
      </c>
      <c r="AB1530" s="749">
        <f t="shared" si="215"/>
        <v>150588.10778596182</v>
      </c>
      <c r="AC1530" s="714"/>
    </row>
    <row r="1531" spans="1:29" x14ac:dyDescent="0.25">
      <c r="A1531" s="713"/>
      <c r="B1531" s="714" t="s">
        <v>2403</v>
      </c>
      <c r="C1531" s="676" t="s">
        <v>40</v>
      </c>
      <c r="D1531" s="676" t="s">
        <v>2121</v>
      </c>
      <c r="E1531" s="680">
        <v>45139</v>
      </c>
      <c r="F1531" s="676">
        <v>744</v>
      </c>
      <c r="G1531" s="676" t="s">
        <v>59</v>
      </c>
      <c r="H1531" s="676" t="s">
        <v>3</v>
      </c>
      <c r="I1531" s="676" t="s">
        <v>44</v>
      </c>
      <c r="J1531" s="676" t="s">
        <v>85</v>
      </c>
      <c r="K1531" s="676">
        <v>115</v>
      </c>
      <c r="L1531" s="690" t="s">
        <v>54</v>
      </c>
      <c r="M1531" s="691">
        <v>0</v>
      </c>
      <c r="N1531" s="690">
        <v>10</v>
      </c>
      <c r="O1531" s="691">
        <v>0</v>
      </c>
      <c r="P1531" s="690">
        <v>115</v>
      </c>
      <c r="Q1531" s="738">
        <f t="shared" si="207"/>
        <v>0</v>
      </c>
      <c r="R1531" s="677">
        <f t="shared" si="208"/>
        <v>855600</v>
      </c>
      <c r="S1531" s="739">
        <f t="shared" si="209"/>
        <v>855600</v>
      </c>
      <c r="T1531" s="738">
        <v>77.150000000000006</v>
      </c>
      <c r="U1531" s="677">
        <f t="shared" si="210"/>
        <v>573996</v>
      </c>
      <c r="V1531" s="739">
        <f t="shared" si="211"/>
        <v>281604</v>
      </c>
      <c r="W1531" s="740">
        <v>59.54033706800562</v>
      </c>
      <c r="X1531" s="678">
        <f t="shared" si="212"/>
        <v>442980.10778596182</v>
      </c>
      <c r="Y1531" s="700">
        <f t="shared" si="213"/>
        <v>412619.89221403818</v>
      </c>
      <c r="Z1531" s="740">
        <v>94.759662931994384</v>
      </c>
      <c r="AA1531" s="678">
        <f t="shared" si="214"/>
        <v>705011.89221403818</v>
      </c>
      <c r="AB1531" s="741">
        <f t="shared" si="215"/>
        <v>150588.10778596182</v>
      </c>
      <c r="AC1531" s="714"/>
    </row>
    <row r="1532" spans="1:29" x14ac:dyDescent="0.25">
      <c r="A1532" s="713"/>
      <c r="B1532" s="714" t="s">
        <v>2403</v>
      </c>
      <c r="C1532" s="676" t="s">
        <v>40</v>
      </c>
      <c r="D1532" s="676" t="s">
        <v>2121</v>
      </c>
      <c r="E1532" s="680">
        <v>45170</v>
      </c>
      <c r="F1532" s="676">
        <v>720</v>
      </c>
      <c r="G1532" s="676" t="s">
        <v>59</v>
      </c>
      <c r="H1532" s="676" t="s">
        <v>3</v>
      </c>
      <c r="I1532" s="676" t="s">
        <v>44</v>
      </c>
      <c r="J1532" s="676" t="s">
        <v>85</v>
      </c>
      <c r="K1532" s="676">
        <v>115</v>
      </c>
      <c r="L1532" s="690" t="s">
        <v>54</v>
      </c>
      <c r="M1532" s="691">
        <v>0</v>
      </c>
      <c r="N1532" s="690">
        <v>10</v>
      </c>
      <c r="O1532" s="691">
        <v>0</v>
      </c>
      <c r="P1532" s="690">
        <v>115</v>
      </c>
      <c r="Q1532" s="738">
        <f t="shared" si="207"/>
        <v>0</v>
      </c>
      <c r="R1532" s="677">
        <f t="shared" si="208"/>
        <v>828000</v>
      </c>
      <c r="S1532" s="739">
        <f t="shared" si="209"/>
        <v>828000</v>
      </c>
      <c r="T1532" s="738">
        <v>77.150000000000006</v>
      </c>
      <c r="U1532" s="677">
        <f t="shared" si="210"/>
        <v>555480</v>
      </c>
      <c r="V1532" s="739">
        <f t="shared" si="211"/>
        <v>272520</v>
      </c>
      <c r="W1532" s="740">
        <v>59.54033706800562</v>
      </c>
      <c r="X1532" s="678">
        <f t="shared" si="212"/>
        <v>428690.42688964045</v>
      </c>
      <c r="Y1532" s="700">
        <f t="shared" si="213"/>
        <v>399309.57311035955</v>
      </c>
      <c r="Z1532" s="740">
        <v>94.759662931994384</v>
      </c>
      <c r="AA1532" s="678">
        <f t="shared" si="214"/>
        <v>682269.5731103596</v>
      </c>
      <c r="AB1532" s="741">
        <f t="shared" si="215"/>
        <v>145730.4268896404</v>
      </c>
      <c r="AC1532" s="714"/>
    </row>
    <row r="1533" spans="1:29" x14ac:dyDescent="0.25">
      <c r="A1533" s="713"/>
      <c r="B1533" s="714" t="s">
        <v>2403</v>
      </c>
      <c r="C1533" s="676" t="s">
        <v>40</v>
      </c>
      <c r="D1533" s="676" t="s">
        <v>2121</v>
      </c>
      <c r="E1533" s="680">
        <v>45200</v>
      </c>
      <c r="F1533" s="676">
        <v>744</v>
      </c>
      <c r="G1533" s="676" t="s">
        <v>59</v>
      </c>
      <c r="H1533" s="676" t="s">
        <v>3</v>
      </c>
      <c r="I1533" s="676" t="s">
        <v>44</v>
      </c>
      <c r="J1533" s="676" t="s">
        <v>85</v>
      </c>
      <c r="K1533" s="676">
        <v>115</v>
      </c>
      <c r="L1533" s="690" t="s">
        <v>54</v>
      </c>
      <c r="M1533" s="691">
        <v>0</v>
      </c>
      <c r="N1533" s="690">
        <v>10</v>
      </c>
      <c r="O1533" s="691">
        <v>0</v>
      </c>
      <c r="P1533" s="690">
        <v>115</v>
      </c>
      <c r="Q1533" s="738">
        <f t="shared" si="207"/>
        <v>0</v>
      </c>
      <c r="R1533" s="677">
        <f t="shared" si="208"/>
        <v>855600</v>
      </c>
      <c r="S1533" s="739">
        <f t="shared" si="209"/>
        <v>855600</v>
      </c>
      <c r="T1533" s="738">
        <v>80.45</v>
      </c>
      <c r="U1533" s="677">
        <f t="shared" si="210"/>
        <v>598548</v>
      </c>
      <c r="V1533" s="739">
        <f t="shared" si="211"/>
        <v>257052</v>
      </c>
      <c r="W1533" s="740">
        <v>62.087104564109552</v>
      </c>
      <c r="X1533" s="678">
        <f t="shared" si="212"/>
        <v>461928.05795697507</v>
      </c>
      <c r="Y1533" s="700">
        <f t="shared" si="213"/>
        <v>393671.94204302493</v>
      </c>
      <c r="Z1533" s="740">
        <v>98.812895435890439</v>
      </c>
      <c r="AA1533" s="678">
        <f t="shared" si="214"/>
        <v>735167.94204302481</v>
      </c>
      <c r="AB1533" s="741">
        <f t="shared" si="215"/>
        <v>120432.05795697519</v>
      </c>
      <c r="AC1533" s="714"/>
    </row>
    <row r="1534" spans="1:29" x14ac:dyDescent="0.25">
      <c r="A1534" s="713"/>
      <c r="B1534" s="714" t="s">
        <v>2403</v>
      </c>
      <c r="C1534" s="676" t="s">
        <v>40</v>
      </c>
      <c r="D1534" s="676" t="s">
        <v>2121</v>
      </c>
      <c r="E1534" s="680">
        <v>45231</v>
      </c>
      <c r="F1534" s="676">
        <v>720</v>
      </c>
      <c r="G1534" s="676" t="s">
        <v>59</v>
      </c>
      <c r="H1534" s="676" t="s">
        <v>3</v>
      </c>
      <c r="I1534" s="676" t="s">
        <v>44</v>
      </c>
      <c r="J1534" s="676" t="s">
        <v>85</v>
      </c>
      <c r="K1534" s="676">
        <v>115</v>
      </c>
      <c r="L1534" s="690" t="s">
        <v>54</v>
      </c>
      <c r="M1534" s="691">
        <v>0</v>
      </c>
      <c r="N1534" s="690">
        <v>10</v>
      </c>
      <c r="O1534" s="691">
        <v>0</v>
      </c>
      <c r="P1534" s="690">
        <v>115</v>
      </c>
      <c r="Q1534" s="738">
        <f t="shared" si="207"/>
        <v>0</v>
      </c>
      <c r="R1534" s="677">
        <f t="shared" si="208"/>
        <v>828000</v>
      </c>
      <c r="S1534" s="739">
        <f t="shared" si="209"/>
        <v>828000</v>
      </c>
      <c r="T1534" s="738">
        <v>80.45</v>
      </c>
      <c r="U1534" s="677">
        <f t="shared" si="210"/>
        <v>579240</v>
      </c>
      <c r="V1534" s="739">
        <f t="shared" si="211"/>
        <v>248760</v>
      </c>
      <c r="W1534" s="740">
        <v>62.087104564109552</v>
      </c>
      <c r="X1534" s="678">
        <f t="shared" si="212"/>
        <v>447027.15286158875</v>
      </c>
      <c r="Y1534" s="700">
        <f t="shared" si="213"/>
        <v>380972.84713841125</v>
      </c>
      <c r="Z1534" s="740">
        <v>98.812895435890439</v>
      </c>
      <c r="AA1534" s="678">
        <f t="shared" si="214"/>
        <v>711452.84713841113</v>
      </c>
      <c r="AB1534" s="741">
        <f t="shared" si="215"/>
        <v>116547.15286158887</v>
      </c>
      <c r="AC1534" s="714"/>
    </row>
    <row r="1535" spans="1:29" x14ac:dyDescent="0.25">
      <c r="A1535" s="713"/>
      <c r="B1535" s="729" t="s">
        <v>2403</v>
      </c>
      <c r="C1535" s="545" t="s">
        <v>40</v>
      </c>
      <c r="D1535" s="545" t="s">
        <v>2121</v>
      </c>
      <c r="E1535" s="681">
        <v>45261</v>
      </c>
      <c r="F1535" s="545">
        <v>744</v>
      </c>
      <c r="G1535" s="545" t="s">
        <v>59</v>
      </c>
      <c r="H1535" s="545" t="s">
        <v>3</v>
      </c>
      <c r="I1535" s="545" t="s">
        <v>44</v>
      </c>
      <c r="J1535" s="545" t="s">
        <v>85</v>
      </c>
      <c r="K1535" s="545">
        <v>115</v>
      </c>
      <c r="L1535" s="725" t="s">
        <v>54</v>
      </c>
      <c r="M1535" s="695">
        <v>0</v>
      </c>
      <c r="N1535" s="725">
        <v>10</v>
      </c>
      <c r="O1535" s="695">
        <v>0</v>
      </c>
      <c r="P1535" s="725">
        <v>115</v>
      </c>
      <c r="Q1535" s="742">
        <f t="shared" si="207"/>
        <v>0</v>
      </c>
      <c r="R1535" s="603">
        <f t="shared" si="208"/>
        <v>855600</v>
      </c>
      <c r="S1535" s="743">
        <f t="shared" si="209"/>
        <v>855600</v>
      </c>
      <c r="T1535" s="742">
        <v>80.45</v>
      </c>
      <c r="U1535" s="603">
        <f t="shared" si="210"/>
        <v>598548</v>
      </c>
      <c r="V1535" s="743">
        <f t="shared" si="211"/>
        <v>257052</v>
      </c>
      <c r="W1535" s="744">
        <v>62.087104564109552</v>
      </c>
      <c r="X1535" s="604">
        <f t="shared" si="212"/>
        <v>461928.05795697507</v>
      </c>
      <c r="Y1535" s="701">
        <f t="shared" si="213"/>
        <v>393671.94204302493</v>
      </c>
      <c r="Z1535" s="744">
        <v>98.812895435890439</v>
      </c>
      <c r="AA1535" s="604">
        <f t="shared" si="214"/>
        <v>735167.94204302481</v>
      </c>
      <c r="AB1535" s="745">
        <f t="shared" si="215"/>
        <v>120432.05795697519</v>
      </c>
      <c r="AC1535" s="714"/>
    </row>
    <row r="1536" spans="1:29" x14ac:dyDescent="0.25">
      <c r="A1536" s="713"/>
      <c r="B1536" s="730" t="s">
        <v>2405</v>
      </c>
      <c r="C1536" s="546" t="s">
        <v>40</v>
      </c>
      <c r="D1536" s="546" t="s">
        <v>2351</v>
      </c>
      <c r="E1536" s="682">
        <v>45108</v>
      </c>
      <c r="F1536" s="546">
        <v>744</v>
      </c>
      <c r="G1536" s="546" t="s">
        <v>59</v>
      </c>
      <c r="H1536" s="546" t="s">
        <v>3</v>
      </c>
      <c r="I1536" s="546" t="s">
        <v>44</v>
      </c>
      <c r="J1536" s="546" t="s">
        <v>85</v>
      </c>
      <c r="K1536" s="546">
        <v>115</v>
      </c>
      <c r="L1536" s="726" t="s">
        <v>54</v>
      </c>
      <c r="M1536" s="696">
        <v>0</v>
      </c>
      <c r="N1536" s="726">
        <v>4</v>
      </c>
      <c r="O1536" s="696">
        <v>0</v>
      </c>
      <c r="P1536" s="726">
        <v>115</v>
      </c>
      <c r="Q1536" s="746">
        <f t="shared" si="207"/>
        <v>0</v>
      </c>
      <c r="R1536" s="606">
        <f t="shared" si="208"/>
        <v>342240</v>
      </c>
      <c r="S1536" s="747">
        <f t="shared" si="209"/>
        <v>342240</v>
      </c>
      <c r="T1536" s="746">
        <v>77.150000000000006</v>
      </c>
      <c r="U1536" s="606">
        <f t="shared" si="210"/>
        <v>229598.40000000002</v>
      </c>
      <c r="V1536" s="747">
        <f t="shared" si="211"/>
        <v>112641.59999999998</v>
      </c>
      <c r="W1536" s="748">
        <v>59.54033706800562</v>
      </c>
      <c r="X1536" s="607">
        <f t="shared" si="212"/>
        <v>177192.04311438472</v>
      </c>
      <c r="Y1536" s="702">
        <f t="shared" si="213"/>
        <v>165047.95688561528</v>
      </c>
      <c r="Z1536" s="748">
        <v>94.759662931994384</v>
      </c>
      <c r="AA1536" s="607">
        <f t="shared" si="214"/>
        <v>282004.75688561529</v>
      </c>
      <c r="AB1536" s="749">
        <f t="shared" si="215"/>
        <v>60235.243114384706</v>
      </c>
      <c r="AC1536" s="714"/>
    </row>
    <row r="1537" spans="1:29" x14ac:dyDescent="0.25">
      <c r="A1537" s="713"/>
      <c r="B1537" s="714" t="s">
        <v>2405</v>
      </c>
      <c r="C1537" s="676" t="s">
        <v>40</v>
      </c>
      <c r="D1537" s="676" t="s">
        <v>2351</v>
      </c>
      <c r="E1537" s="680">
        <v>45139</v>
      </c>
      <c r="F1537" s="676">
        <v>744</v>
      </c>
      <c r="G1537" s="676" t="s">
        <v>59</v>
      </c>
      <c r="H1537" s="676" t="s">
        <v>3</v>
      </c>
      <c r="I1537" s="676" t="s">
        <v>44</v>
      </c>
      <c r="J1537" s="676" t="s">
        <v>85</v>
      </c>
      <c r="K1537" s="676">
        <v>115</v>
      </c>
      <c r="L1537" s="690" t="s">
        <v>54</v>
      </c>
      <c r="M1537" s="691">
        <v>0</v>
      </c>
      <c r="N1537" s="690">
        <v>4</v>
      </c>
      <c r="O1537" s="691">
        <v>0</v>
      </c>
      <c r="P1537" s="690">
        <v>115</v>
      </c>
      <c r="Q1537" s="738">
        <f t="shared" si="207"/>
        <v>0</v>
      </c>
      <c r="R1537" s="677">
        <f t="shared" si="208"/>
        <v>342240</v>
      </c>
      <c r="S1537" s="739">
        <f t="shared" si="209"/>
        <v>342240</v>
      </c>
      <c r="T1537" s="738">
        <v>77.150000000000006</v>
      </c>
      <c r="U1537" s="677">
        <f t="shared" si="210"/>
        <v>229598.40000000002</v>
      </c>
      <c r="V1537" s="739">
        <f t="shared" si="211"/>
        <v>112641.59999999998</v>
      </c>
      <c r="W1537" s="740">
        <v>59.54033706800562</v>
      </c>
      <c r="X1537" s="678">
        <f t="shared" si="212"/>
        <v>177192.04311438472</v>
      </c>
      <c r="Y1537" s="700">
        <f t="shared" si="213"/>
        <v>165047.95688561528</v>
      </c>
      <c r="Z1537" s="740">
        <v>94.759662931994384</v>
      </c>
      <c r="AA1537" s="678">
        <f t="shared" si="214"/>
        <v>282004.75688561529</v>
      </c>
      <c r="AB1537" s="741">
        <f t="shared" si="215"/>
        <v>60235.243114384706</v>
      </c>
      <c r="AC1537" s="714"/>
    </row>
    <row r="1538" spans="1:29" x14ac:dyDescent="0.25">
      <c r="A1538" s="713"/>
      <c r="B1538" s="714" t="s">
        <v>2405</v>
      </c>
      <c r="C1538" s="676" t="s">
        <v>40</v>
      </c>
      <c r="D1538" s="676" t="s">
        <v>2351</v>
      </c>
      <c r="E1538" s="680">
        <v>45170</v>
      </c>
      <c r="F1538" s="676">
        <v>720</v>
      </c>
      <c r="G1538" s="676" t="s">
        <v>59</v>
      </c>
      <c r="H1538" s="676" t="s">
        <v>3</v>
      </c>
      <c r="I1538" s="676" t="s">
        <v>44</v>
      </c>
      <c r="J1538" s="676" t="s">
        <v>85</v>
      </c>
      <c r="K1538" s="676">
        <v>115</v>
      </c>
      <c r="L1538" s="690" t="s">
        <v>54</v>
      </c>
      <c r="M1538" s="691">
        <v>0</v>
      </c>
      <c r="N1538" s="690">
        <v>4</v>
      </c>
      <c r="O1538" s="691">
        <v>0</v>
      </c>
      <c r="P1538" s="690">
        <v>115</v>
      </c>
      <c r="Q1538" s="738">
        <f t="shared" si="207"/>
        <v>0</v>
      </c>
      <c r="R1538" s="677">
        <f t="shared" si="208"/>
        <v>331200</v>
      </c>
      <c r="S1538" s="739">
        <f t="shared" si="209"/>
        <v>331200</v>
      </c>
      <c r="T1538" s="738">
        <v>77.150000000000006</v>
      </c>
      <c r="U1538" s="677">
        <f t="shared" si="210"/>
        <v>222192.00000000003</v>
      </c>
      <c r="V1538" s="739">
        <f t="shared" si="211"/>
        <v>109007.99999999997</v>
      </c>
      <c r="W1538" s="740">
        <v>59.54033706800562</v>
      </c>
      <c r="X1538" s="678">
        <f t="shared" si="212"/>
        <v>171476.17075585618</v>
      </c>
      <c r="Y1538" s="700">
        <f t="shared" si="213"/>
        <v>159723.82924414382</v>
      </c>
      <c r="Z1538" s="740">
        <v>94.759662931994384</v>
      </c>
      <c r="AA1538" s="678">
        <f t="shared" si="214"/>
        <v>272907.82924414385</v>
      </c>
      <c r="AB1538" s="741">
        <f t="shared" si="215"/>
        <v>58292.170755856147</v>
      </c>
      <c r="AC1538" s="714"/>
    </row>
    <row r="1539" spans="1:29" x14ac:dyDescent="0.25">
      <c r="A1539" s="713"/>
      <c r="B1539" s="714" t="s">
        <v>2405</v>
      </c>
      <c r="C1539" s="676" t="s">
        <v>40</v>
      </c>
      <c r="D1539" s="676" t="s">
        <v>2351</v>
      </c>
      <c r="E1539" s="680">
        <v>45200</v>
      </c>
      <c r="F1539" s="676">
        <v>744</v>
      </c>
      <c r="G1539" s="676" t="s">
        <v>59</v>
      </c>
      <c r="H1539" s="676" t="s">
        <v>3</v>
      </c>
      <c r="I1539" s="676" t="s">
        <v>44</v>
      </c>
      <c r="J1539" s="676" t="s">
        <v>85</v>
      </c>
      <c r="K1539" s="676">
        <v>115</v>
      </c>
      <c r="L1539" s="690" t="s">
        <v>54</v>
      </c>
      <c r="M1539" s="691">
        <v>0</v>
      </c>
      <c r="N1539" s="690">
        <v>4</v>
      </c>
      <c r="O1539" s="691">
        <v>0</v>
      </c>
      <c r="P1539" s="690">
        <v>115</v>
      </c>
      <c r="Q1539" s="738">
        <f t="shared" ref="Q1539:Q1602" si="216">(O1539*(M1539*F1539))</f>
        <v>0</v>
      </c>
      <c r="R1539" s="677">
        <f t="shared" ref="R1539:R1602" si="217">(P1539*(N1539*F1539))</f>
        <v>342240</v>
      </c>
      <c r="S1539" s="739">
        <f t="shared" ref="S1539:S1602" si="218">R1539-Q1539</f>
        <v>342240</v>
      </c>
      <c r="T1539" s="738">
        <v>80.45</v>
      </c>
      <c r="U1539" s="677">
        <f t="shared" ref="U1539:U1602" si="219">(((F1539*N1539)*T1539)-(T1539*(M1539*F1539)))</f>
        <v>239419.2</v>
      </c>
      <c r="V1539" s="739">
        <f t="shared" ref="V1539:V1602" si="220">S1539-U1539</f>
        <v>102820.79999999999</v>
      </c>
      <c r="W1539" s="740">
        <v>62.087104564109552</v>
      </c>
      <c r="X1539" s="678">
        <f t="shared" ref="X1539:X1602" si="221">(((F1539*N1539)*W1539)-(W1539*(M1539*F1539)))</f>
        <v>184771.22318279004</v>
      </c>
      <c r="Y1539" s="700">
        <f t="shared" ref="Y1539:Y1602" si="222">S1539-X1539</f>
        <v>157468.77681720996</v>
      </c>
      <c r="Z1539" s="740">
        <v>98.812895435890439</v>
      </c>
      <c r="AA1539" s="678">
        <f t="shared" ref="AA1539:AA1602" si="223">(((F1539*N1539)*Z1539)-(Z1539*(M1539*F1539)))</f>
        <v>294067.17681720993</v>
      </c>
      <c r="AB1539" s="741">
        <f t="shared" ref="AB1539:AB1602" si="224">S1539-AA1539</f>
        <v>48172.823182790074</v>
      </c>
      <c r="AC1539" s="714"/>
    </row>
    <row r="1540" spans="1:29" x14ac:dyDescent="0.25">
      <c r="A1540" s="713"/>
      <c r="B1540" s="714" t="s">
        <v>2405</v>
      </c>
      <c r="C1540" s="676" t="s">
        <v>40</v>
      </c>
      <c r="D1540" s="676" t="s">
        <v>2351</v>
      </c>
      <c r="E1540" s="680">
        <v>45231</v>
      </c>
      <c r="F1540" s="676">
        <v>720</v>
      </c>
      <c r="G1540" s="676" t="s">
        <v>59</v>
      </c>
      <c r="H1540" s="676" t="s">
        <v>3</v>
      </c>
      <c r="I1540" s="676" t="s">
        <v>44</v>
      </c>
      <c r="J1540" s="676" t="s">
        <v>85</v>
      </c>
      <c r="K1540" s="676">
        <v>115</v>
      </c>
      <c r="L1540" s="690" t="s">
        <v>54</v>
      </c>
      <c r="M1540" s="691">
        <v>0</v>
      </c>
      <c r="N1540" s="690">
        <v>4</v>
      </c>
      <c r="O1540" s="691">
        <v>0</v>
      </c>
      <c r="P1540" s="690">
        <v>115</v>
      </c>
      <c r="Q1540" s="738">
        <f t="shared" si="216"/>
        <v>0</v>
      </c>
      <c r="R1540" s="677">
        <f t="shared" si="217"/>
        <v>331200</v>
      </c>
      <c r="S1540" s="739">
        <f t="shared" si="218"/>
        <v>331200</v>
      </c>
      <c r="T1540" s="738">
        <v>80.45</v>
      </c>
      <c r="U1540" s="677">
        <f t="shared" si="219"/>
        <v>231696</v>
      </c>
      <c r="V1540" s="739">
        <f t="shared" si="220"/>
        <v>99504</v>
      </c>
      <c r="W1540" s="740">
        <v>62.087104564109552</v>
      </c>
      <c r="X1540" s="678">
        <f t="shared" si="221"/>
        <v>178810.86114463551</v>
      </c>
      <c r="Y1540" s="700">
        <f t="shared" si="222"/>
        <v>152389.13885536449</v>
      </c>
      <c r="Z1540" s="740">
        <v>98.812895435890439</v>
      </c>
      <c r="AA1540" s="678">
        <f t="shared" si="223"/>
        <v>284581.13885536446</v>
      </c>
      <c r="AB1540" s="741">
        <f t="shared" si="224"/>
        <v>46618.861144635535</v>
      </c>
      <c r="AC1540" s="714"/>
    </row>
    <row r="1541" spans="1:29" x14ac:dyDescent="0.25">
      <c r="A1541" s="713"/>
      <c r="B1541" s="729" t="s">
        <v>2405</v>
      </c>
      <c r="C1541" s="545" t="s">
        <v>40</v>
      </c>
      <c r="D1541" s="545" t="s">
        <v>2351</v>
      </c>
      <c r="E1541" s="681">
        <v>45261</v>
      </c>
      <c r="F1541" s="545">
        <v>744</v>
      </c>
      <c r="G1541" s="545" t="s">
        <v>59</v>
      </c>
      <c r="H1541" s="545" t="s">
        <v>3</v>
      </c>
      <c r="I1541" s="545" t="s">
        <v>44</v>
      </c>
      <c r="J1541" s="545" t="s">
        <v>85</v>
      </c>
      <c r="K1541" s="545">
        <v>115</v>
      </c>
      <c r="L1541" s="725" t="s">
        <v>54</v>
      </c>
      <c r="M1541" s="695">
        <v>0</v>
      </c>
      <c r="N1541" s="725">
        <v>4</v>
      </c>
      <c r="O1541" s="695">
        <v>0</v>
      </c>
      <c r="P1541" s="725">
        <v>115</v>
      </c>
      <c r="Q1541" s="742">
        <f t="shared" si="216"/>
        <v>0</v>
      </c>
      <c r="R1541" s="603">
        <f t="shared" si="217"/>
        <v>342240</v>
      </c>
      <c r="S1541" s="743">
        <f t="shared" si="218"/>
        <v>342240</v>
      </c>
      <c r="T1541" s="742">
        <v>80.45</v>
      </c>
      <c r="U1541" s="603">
        <f t="shared" si="219"/>
        <v>239419.2</v>
      </c>
      <c r="V1541" s="743">
        <f t="shared" si="220"/>
        <v>102820.79999999999</v>
      </c>
      <c r="W1541" s="744">
        <v>62.087104564109552</v>
      </c>
      <c r="X1541" s="604">
        <f t="shared" si="221"/>
        <v>184771.22318279004</v>
      </c>
      <c r="Y1541" s="701">
        <f t="shared" si="222"/>
        <v>157468.77681720996</v>
      </c>
      <c r="Z1541" s="744">
        <v>98.812895435890439</v>
      </c>
      <c r="AA1541" s="604">
        <f t="shared" si="223"/>
        <v>294067.17681720993</v>
      </c>
      <c r="AB1541" s="745">
        <f t="shared" si="224"/>
        <v>48172.823182790074</v>
      </c>
      <c r="AC1541" s="714"/>
    </row>
    <row r="1542" spans="1:29" x14ac:dyDescent="0.25">
      <c r="A1542" s="713"/>
      <c r="B1542" s="730" t="s">
        <v>2407</v>
      </c>
      <c r="C1542" s="546" t="s">
        <v>40</v>
      </c>
      <c r="D1542" s="546" t="s">
        <v>471</v>
      </c>
      <c r="E1542" s="682">
        <v>45108</v>
      </c>
      <c r="F1542" s="546">
        <v>744</v>
      </c>
      <c r="G1542" s="546" t="s">
        <v>59</v>
      </c>
      <c r="H1542" s="546" t="s">
        <v>3</v>
      </c>
      <c r="I1542" s="546" t="s">
        <v>44</v>
      </c>
      <c r="J1542" s="546" t="s">
        <v>85</v>
      </c>
      <c r="K1542" s="546">
        <v>115.5</v>
      </c>
      <c r="L1542" s="726" t="s">
        <v>54</v>
      </c>
      <c r="M1542" s="696">
        <v>0</v>
      </c>
      <c r="N1542" s="726">
        <v>1</v>
      </c>
      <c r="O1542" s="696">
        <v>0</v>
      </c>
      <c r="P1542" s="726">
        <v>115.5</v>
      </c>
      <c r="Q1542" s="746">
        <f t="shared" si="216"/>
        <v>0</v>
      </c>
      <c r="R1542" s="606">
        <f t="shared" si="217"/>
        <v>85932</v>
      </c>
      <c r="S1542" s="747">
        <f t="shared" si="218"/>
        <v>85932</v>
      </c>
      <c r="T1542" s="746">
        <v>77.150000000000006</v>
      </c>
      <c r="U1542" s="606">
        <f t="shared" si="219"/>
        <v>57399.600000000006</v>
      </c>
      <c r="V1542" s="747">
        <f t="shared" si="220"/>
        <v>28532.399999999994</v>
      </c>
      <c r="W1542" s="748">
        <v>59.54033706800562</v>
      </c>
      <c r="X1542" s="607">
        <f t="shared" si="221"/>
        <v>44298.010778596181</v>
      </c>
      <c r="Y1542" s="702">
        <f t="shared" si="222"/>
        <v>41633.989221403819</v>
      </c>
      <c r="Z1542" s="748">
        <v>94.759662931994384</v>
      </c>
      <c r="AA1542" s="607">
        <f t="shared" si="223"/>
        <v>70501.189221403823</v>
      </c>
      <c r="AB1542" s="749">
        <f t="shared" si="224"/>
        <v>15430.810778596177</v>
      </c>
      <c r="AC1542" s="714"/>
    </row>
    <row r="1543" spans="1:29" x14ac:dyDescent="0.25">
      <c r="A1543" s="713"/>
      <c r="B1543" s="714" t="s">
        <v>2407</v>
      </c>
      <c r="C1543" s="676" t="s">
        <v>40</v>
      </c>
      <c r="D1543" s="676" t="s">
        <v>471</v>
      </c>
      <c r="E1543" s="680">
        <v>45139</v>
      </c>
      <c r="F1543" s="676">
        <v>744</v>
      </c>
      <c r="G1543" s="676" t="s">
        <v>59</v>
      </c>
      <c r="H1543" s="676" t="s">
        <v>3</v>
      </c>
      <c r="I1543" s="676" t="s">
        <v>44</v>
      </c>
      <c r="J1543" s="676" t="s">
        <v>85</v>
      </c>
      <c r="K1543" s="676">
        <v>115.5</v>
      </c>
      <c r="L1543" s="690" t="s">
        <v>54</v>
      </c>
      <c r="M1543" s="691">
        <v>0</v>
      </c>
      <c r="N1543" s="690">
        <v>1</v>
      </c>
      <c r="O1543" s="691">
        <v>0</v>
      </c>
      <c r="P1543" s="690">
        <v>115.5</v>
      </c>
      <c r="Q1543" s="738">
        <f t="shared" si="216"/>
        <v>0</v>
      </c>
      <c r="R1543" s="677">
        <f t="shared" si="217"/>
        <v>85932</v>
      </c>
      <c r="S1543" s="739">
        <f t="shared" si="218"/>
        <v>85932</v>
      </c>
      <c r="T1543" s="738">
        <v>77.150000000000006</v>
      </c>
      <c r="U1543" s="677">
        <f t="shared" si="219"/>
        <v>57399.600000000006</v>
      </c>
      <c r="V1543" s="739">
        <f t="shared" si="220"/>
        <v>28532.399999999994</v>
      </c>
      <c r="W1543" s="740">
        <v>59.54033706800562</v>
      </c>
      <c r="X1543" s="678">
        <f t="shared" si="221"/>
        <v>44298.010778596181</v>
      </c>
      <c r="Y1543" s="700">
        <f t="shared" si="222"/>
        <v>41633.989221403819</v>
      </c>
      <c r="Z1543" s="740">
        <v>94.759662931994384</v>
      </c>
      <c r="AA1543" s="678">
        <f t="shared" si="223"/>
        <v>70501.189221403823</v>
      </c>
      <c r="AB1543" s="741">
        <f t="shared" si="224"/>
        <v>15430.810778596177</v>
      </c>
      <c r="AC1543" s="714"/>
    </row>
    <row r="1544" spans="1:29" x14ac:dyDescent="0.25">
      <c r="A1544" s="713"/>
      <c r="B1544" s="714" t="s">
        <v>2407</v>
      </c>
      <c r="C1544" s="676" t="s">
        <v>40</v>
      </c>
      <c r="D1544" s="676" t="s">
        <v>471</v>
      </c>
      <c r="E1544" s="680">
        <v>45170</v>
      </c>
      <c r="F1544" s="676">
        <v>720</v>
      </c>
      <c r="G1544" s="676" t="s">
        <v>59</v>
      </c>
      <c r="H1544" s="676" t="s">
        <v>3</v>
      </c>
      <c r="I1544" s="676" t="s">
        <v>44</v>
      </c>
      <c r="J1544" s="676" t="s">
        <v>85</v>
      </c>
      <c r="K1544" s="676">
        <v>115.5</v>
      </c>
      <c r="L1544" s="690" t="s">
        <v>54</v>
      </c>
      <c r="M1544" s="691">
        <v>0</v>
      </c>
      <c r="N1544" s="690">
        <v>1</v>
      </c>
      <c r="O1544" s="691">
        <v>0</v>
      </c>
      <c r="P1544" s="690">
        <v>115.5</v>
      </c>
      <c r="Q1544" s="738">
        <f t="shared" si="216"/>
        <v>0</v>
      </c>
      <c r="R1544" s="677">
        <f t="shared" si="217"/>
        <v>83160</v>
      </c>
      <c r="S1544" s="739">
        <f t="shared" si="218"/>
        <v>83160</v>
      </c>
      <c r="T1544" s="738">
        <v>77.150000000000006</v>
      </c>
      <c r="U1544" s="677">
        <f t="shared" si="219"/>
        <v>55548.000000000007</v>
      </c>
      <c r="V1544" s="739">
        <f t="shared" si="220"/>
        <v>27611.999999999993</v>
      </c>
      <c r="W1544" s="740">
        <v>59.54033706800562</v>
      </c>
      <c r="X1544" s="678">
        <f t="shared" si="221"/>
        <v>42869.042688964044</v>
      </c>
      <c r="Y1544" s="700">
        <f t="shared" si="222"/>
        <v>40290.957311035956</v>
      </c>
      <c r="Z1544" s="740">
        <v>94.759662931994384</v>
      </c>
      <c r="AA1544" s="678">
        <f t="shared" si="223"/>
        <v>68226.957311035963</v>
      </c>
      <c r="AB1544" s="741">
        <f t="shared" si="224"/>
        <v>14933.042688964037</v>
      </c>
      <c r="AC1544" s="714"/>
    </row>
    <row r="1545" spans="1:29" x14ac:dyDescent="0.25">
      <c r="A1545" s="713"/>
      <c r="B1545" s="714" t="s">
        <v>2407</v>
      </c>
      <c r="C1545" s="676" t="s">
        <v>40</v>
      </c>
      <c r="D1545" s="676" t="s">
        <v>471</v>
      </c>
      <c r="E1545" s="680">
        <v>45200</v>
      </c>
      <c r="F1545" s="676">
        <v>744</v>
      </c>
      <c r="G1545" s="676" t="s">
        <v>59</v>
      </c>
      <c r="H1545" s="676" t="s">
        <v>3</v>
      </c>
      <c r="I1545" s="676" t="s">
        <v>44</v>
      </c>
      <c r="J1545" s="676" t="s">
        <v>85</v>
      </c>
      <c r="K1545" s="676">
        <v>115.5</v>
      </c>
      <c r="L1545" s="690" t="s">
        <v>54</v>
      </c>
      <c r="M1545" s="691">
        <v>0</v>
      </c>
      <c r="N1545" s="690">
        <v>1</v>
      </c>
      <c r="O1545" s="691">
        <v>0</v>
      </c>
      <c r="P1545" s="690">
        <v>115.5</v>
      </c>
      <c r="Q1545" s="738">
        <f t="shared" si="216"/>
        <v>0</v>
      </c>
      <c r="R1545" s="677">
        <f t="shared" si="217"/>
        <v>85932</v>
      </c>
      <c r="S1545" s="739">
        <f t="shared" si="218"/>
        <v>85932</v>
      </c>
      <c r="T1545" s="738">
        <v>80.45</v>
      </c>
      <c r="U1545" s="677">
        <f t="shared" si="219"/>
        <v>59854.8</v>
      </c>
      <c r="V1545" s="739">
        <f t="shared" si="220"/>
        <v>26077.199999999997</v>
      </c>
      <c r="W1545" s="740">
        <v>62.087104564109552</v>
      </c>
      <c r="X1545" s="678">
        <f t="shared" si="221"/>
        <v>46192.80579569751</v>
      </c>
      <c r="Y1545" s="700">
        <f t="shared" si="222"/>
        <v>39739.19420430249</v>
      </c>
      <c r="Z1545" s="740">
        <v>98.812895435890439</v>
      </c>
      <c r="AA1545" s="678">
        <f t="shared" si="223"/>
        <v>73516.794204302481</v>
      </c>
      <c r="AB1545" s="741">
        <f t="shared" si="224"/>
        <v>12415.205795697519</v>
      </c>
      <c r="AC1545" s="714"/>
    </row>
    <row r="1546" spans="1:29" x14ac:dyDescent="0.25">
      <c r="A1546" s="713"/>
      <c r="B1546" s="714" t="s">
        <v>2407</v>
      </c>
      <c r="C1546" s="676" t="s">
        <v>40</v>
      </c>
      <c r="D1546" s="676" t="s">
        <v>471</v>
      </c>
      <c r="E1546" s="680">
        <v>45231</v>
      </c>
      <c r="F1546" s="676">
        <v>720</v>
      </c>
      <c r="G1546" s="676" t="s">
        <v>59</v>
      </c>
      <c r="H1546" s="676" t="s">
        <v>3</v>
      </c>
      <c r="I1546" s="676" t="s">
        <v>44</v>
      </c>
      <c r="J1546" s="676" t="s">
        <v>85</v>
      </c>
      <c r="K1546" s="676">
        <v>115.5</v>
      </c>
      <c r="L1546" s="690" t="s">
        <v>54</v>
      </c>
      <c r="M1546" s="691">
        <v>0</v>
      </c>
      <c r="N1546" s="690">
        <v>1</v>
      </c>
      <c r="O1546" s="691">
        <v>0</v>
      </c>
      <c r="P1546" s="690">
        <v>115.5</v>
      </c>
      <c r="Q1546" s="738">
        <f t="shared" si="216"/>
        <v>0</v>
      </c>
      <c r="R1546" s="677">
        <f t="shared" si="217"/>
        <v>83160</v>
      </c>
      <c r="S1546" s="739">
        <f t="shared" si="218"/>
        <v>83160</v>
      </c>
      <c r="T1546" s="738">
        <v>80.45</v>
      </c>
      <c r="U1546" s="677">
        <f t="shared" si="219"/>
        <v>57924</v>
      </c>
      <c r="V1546" s="739">
        <f t="shared" si="220"/>
        <v>25236</v>
      </c>
      <c r="W1546" s="740">
        <v>62.087104564109552</v>
      </c>
      <c r="X1546" s="678">
        <f t="shared" si="221"/>
        <v>44702.715286158877</v>
      </c>
      <c r="Y1546" s="700">
        <f t="shared" si="222"/>
        <v>38457.284713841123</v>
      </c>
      <c r="Z1546" s="740">
        <v>98.812895435890439</v>
      </c>
      <c r="AA1546" s="678">
        <f t="shared" si="223"/>
        <v>71145.284713841116</v>
      </c>
      <c r="AB1546" s="741">
        <f t="shared" si="224"/>
        <v>12014.715286158884</v>
      </c>
      <c r="AC1546" s="714"/>
    </row>
    <row r="1547" spans="1:29" x14ac:dyDescent="0.25">
      <c r="A1547" s="713"/>
      <c r="B1547" s="729" t="s">
        <v>2407</v>
      </c>
      <c r="C1547" s="545" t="s">
        <v>40</v>
      </c>
      <c r="D1547" s="545" t="s">
        <v>471</v>
      </c>
      <c r="E1547" s="681">
        <v>45261</v>
      </c>
      <c r="F1547" s="545">
        <v>744</v>
      </c>
      <c r="G1547" s="545" t="s">
        <v>59</v>
      </c>
      <c r="H1547" s="545" t="s">
        <v>3</v>
      </c>
      <c r="I1547" s="545" t="s">
        <v>44</v>
      </c>
      <c r="J1547" s="545" t="s">
        <v>85</v>
      </c>
      <c r="K1547" s="545">
        <v>115.5</v>
      </c>
      <c r="L1547" s="725" t="s">
        <v>54</v>
      </c>
      <c r="M1547" s="695">
        <v>0</v>
      </c>
      <c r="N1547" s="725">
        <v>1</v>
      </c>
      <c r="O1547" s="695">
        <v>0</v>
      </c>
      <c r="P1547" s="725">
        <v>115.5</v>
      </c>
      <c r="Q1547" s="742">
        <f t="shared" si="216"/>
        <v>0</v>
      </c>
      <c r="R1547" s="603">
        <f t="shared" si="217"/>
        <v>85932</v>
      </c>
      <c r="S1547" s="743">
        <f t="shared" si="218"/>
        <v>85932</v>
      </c>
      <c r="T1547" s="742">
        <v>80.45</v>
      </c>
      <c r="U1547" s="603">
        <f t="shared" si="219"/>
        <v>59854.8</v>
      </c>
      <c r="V1547" s="743">
        <f t="shared" si="220"/>
        <v>26077.199999999997</v>
      </c>
      <c r="W1547" s="744">
        <v>62.087104564109552</v>
      </c>
      <c r="X1547" s="604">
        <f t="shared" si="221"/>
        <v>46192.80579569751</v>
      </c>
      <c r="Y1547" s="701">
        <f t="shared" si="222"/>
        <v>39739.19420430249</v>
      </c>
      <c r="Z1547" s="744">
        <v>98.812895435890439</v>
      </c>
      <c r="AA1547" s="604">
        <f t="shared" si="223"/>
        <v>73516.794204302481</v>
      </c>
      <c r="AB1547" s="745">
        <f t="shared" si="224"/>
        <v>12415.205795697519</v>
      </c>
      <c r="AC1547" s="714"/>
    </row>
    <row r="1548" spans="1:29" x14ac:dyDescent="0.25">
      <c r="A1548" s="713"/>
      <c r="B1548" s="730" t="s">
        <v>2408</v>
      </c>
      <c r="C1548" s="546" t="s">
        <v>40</v>
      </c>
      <c r="D1548" s="546" t="s">
        <v>346</v>
      </c>
      <c r="E1548" s="682">
        <v>45108</v>
      </c>
      <c r="F1548" s="546">
        <v>744</v>
      </c>
      <c r="G1548" s="546" t="s">
        <v>58</v>
      </c>
      <c r="H1548" s="546" t="s">
        <v>3</v>
      </c>
      <c r="I1548" s="546" t="s">
        <v>44</v>
      </c>
      <c r="J1548" s="546" t="s">
        <v>84</v>
      </c>
      <c r="K1548" s="546">
        <v>114.65</v>
      </c>
      <c r="L1548" s="726" t="s">
        <v>54</v>
      </c>
      <c r="M1548" s="696">
        <v>5</v>
      </c>
      <c r="N1548" s="726">
        <v>0</v>
      </c>
      <c r="O1548" s="696">
        <v>114.67</v>
      </c>
      <c r="P1548" s="726">
        <v>0</v>
      </c>
      <c r="Q1548" s="746">
        <f t="shared" si="216"/>
        <v>426572.4</v>
      </c>
      <c r="R1548" s="606">
        <f t="shared" si="217"/>
        <v>0</v>
      </c>
      <c r="S1548" s="747">
        <f t="shared" si="218"/>
        <v>-426572.4</v>
      </c>
      <c r="T1548" s="746">
        <v>77.150000000000006</v>
      </c>
      <c r="U1548" s="606">
        <f t="shared" si="219"/>
        <v>-286998</v>
      </c>
      <c r="V1548" s="747">
        <f t="shared" si="220"/>
        <v>-139574.40000000002</v>
      </c>
      <c r="W1548" s="748">
        <v>59.54033706800562</v>
      </c>
      <c r="X1548" s="607">
        <f t="shared" si="221"/>
        <v>-221490.05389298091</v>
      </c>
      <c r="Y1548" s="702">
        <f t="shared" si="222"/>
        <v>-205082.34610701911</v>
      </c>
      <c r="Z1548" s="748">
        <v>94.759662931994384</v>
      </c>
      <c r="AA1548" s="607">
        <f t="shared" si="223"/>
        <v>-352505.94610701909</v>
      </c>
      <c r="AB1548" s="749">
        <f t="shared" si="224"/>
        <v>-74066.453892980935</v>
      </c>
      <c r="AC1548" s="714"/>
    </row>
    <row r="1549" spans="1:29" x14ac:dyDescent="0.25">
      <c r="A1549" s="713"/>
      <c r="B1549" s="714" t="s">
        <v>2408</v>
      </c>
      <c r="C1549" s="676" t="s">
        <v>40</v>
      </c>
      <c r="D1549" s="676" t="s">
        <v>346</v>
      </c>
      <c r="E1549" s="680">
        <v>45139</v>
      </c>
      <c r="F1549" s="676">
        <v>744</v>
      </c>
      <c r="G1549" s="676" t="s">
        <v>58</v>
      </c>
      <c r="H1549" s="676" t="s">
        <v>3</v>
      </c>
      <c r="I1549" s="676" t="s">
        <v>44</v>
      </c>
      <c r="J1549" s="676" t="s">
        <v>84</v>
      </c>
      <c r="K1549" s="676">
        <v>114.65</v>
      </c>
      <c r="L1549" s="690" t="s">
        <v>54</v>
      </c>
      <c r="M1549" s="691">
        <v>5</v>
      </c>
      <c r="N1549" s="690">
        <v>0</v>
      </c>
      <c r="O1549" s="691">
        <v>114.67</v>
      </c>
      <c r="P1549" s="690">
        <v>0</v>
      </c>
      <c r="Q1549" s="738">
        <f t="shared" si="216"/>
        <v>426572.4</v>
      </c>
      <c r="R1549" s="677">
        <f t="shared" si="217"/>
        <v>0</v>
      </c>
      <c r="S1549" s="739">
        <f t="shared" si="218"/>
        <v>-426572.4</v>
      </c>
      <c r="T1549" s="738">
        <v>77.150000000000006</v>
      </c>
      <c r="U1549" s="677">
        <f t="shared" si="219"/>
        <v>-286998</v>
      </c>
      <c r="V1549" s="739">
        <f t="shared" si="220"/>
        <v>-139574.40000000002</v>
      </c>
      <c r="W1549" s="740">
        <v>59.54033706800562</v>
      </c>
      <c r="X1549" s="678">
        <f t="shared" si="221"/>
        <v>-221490.05389298091</v>
      </c>
      <c r="Y1549" s="700">
        <f t="shared" si="222"/>
        <v>-205082.34610701911</v>
      </c>
      <c r="Z1549" s="740">
        <v>94.759662931994384</v>
      </c>
      <c r="AA1549" s="678">
        <f t="shared" si="223"/>
        <v>-352505.94610701909</v>
      </c>
      <c r="AB1549" s="741">
        <f t="shared" si="224"/>
        <v>-74066.453892980935</v>
      </c>
      <c r="AC1549" s="714"/>
    </row>
    <row r="1550" spans="1:29" x14ac:dyDescent="0.25">
      <c r="A1550" s="713"/>
      <c r="B1550" s="714" t="s">
        <v>2408</v>
      </c>
      <c r="C1550" s="676" t="s">
        <v>40</v>
      </c>
      <c r="D1550" s="676" t="s">
        <v>346</v>
      </c>
      <c r="E1550" s="680">
        <v>45170</v>
      </c>
      <c r="F1550" s="676">
        <v>720</v>
      </c>
      <c r="G1550" s="676" t="s">
        <v>58</v>
      </c>
      <c r="H1550" s="676" t="s">
        <v>3</v>
      </c>
      <c r="I1550" s="676" t="s">
        <v>44</v>
      </c>
      <c r="J1550" s="676" t="s">
        <v>84</v>
      </c>
      <c r="K1550" s="676">
        <v>114.65</v>
      </c>
      <c r="L1550" s="690" t="s">
        <v>54</v>
      </c>
      <c r="M1550" s="691">
        <v>5</v>
      </c>
      <c r="N1550" s="690">
        <v>0</v>
      </c>
      <c r="O1550" s="691">
        <v>114.67</v>
      </c>
      <c r="P1550" s="690">
        <v>0</v>
      </c>
      <c r="Q1550" s="738">
        <f t="shared" si="216"/>
        <v>412812</v>
      </c>
      <c r="R1550" s="677">
        <f t="shared" si="217"/>
        <v>0</v>
      </c>
      <c r="S1550" s="739">
        <f t="shared" si="218"/>
        <v>-412812</v>
      </c>
      <c r="T1550" s="738">
        <v>77.150000000000006</v>
      </c>
      <c r="U1550" s="677">
        <f t="shared" si="219"/>
        <v>-277740</v>
      </c>
      <c r="V1550" s="739">
        <f t="shared" si="220"/>
        <v>-135072</v>
      </c>
      <c r="W1550" s="740">
        <v>59.54033706800562</v>
      </c>
      <c r="X1550" s="678">
        <f t="shared" si="221"/>
        <v>-214345.21344482023</v>
      </c>
      <c r="Y1550" s="700">
        <f t="shared" si="222"/>
        <v>-198466.78655517977</v>
      </c>
      <c r="Z1550" s="740">
        <v>94.759662931994384</v>
      </c>
      <c r="AA1550" s="678">
        <f t="shared" si="223"/>
        <v>-341134.7865551798</v>
      </c>
      <c r="AB1550" s="741">
        <f t="shared" si="224"/>
        <v>-71677.213444820198</v>
      </c>
      <c r="AC1550" s="714"/>
    </row>
    <row r="1551" spans="1:29" x14ac:dyDescent="0.25">
      <c r="A1551" s="713"/>
      <c r="B1551" s="714" t="s">
        <v>2408</v>
      </c>
      <c r="C1551" s="676" t="s">
        <v>40</v>
      </c>
      <c r="D1551" s="676" t="s">
        <v>346</v>
      </c>
      <c r="E1551" s="680">
        <v>45200</v>
      </c>
      <c r="F1551" s="676">
        <v>744</v>
      </c>
      <c r="G1551" s="676" t="s">
        <v>58</v>
      </c>
      <c r="H1551" s="676" t="s">
        <v>3</v>
      </c>
      <c r="I1551" s="676" t="s">
        <v>44</v>
      </c>
      <c r="J1551" s="676" t="s">
        <v>84</v>
      </c>
      <c r="K1551" s="676">
        <v>114.65</v>
      </c>
      <c r="L1551" s="690" t="s">
        <v>54</v>
      </c>
      <c r="M1551" s="691">
        <v>5</v>
      </c>
      <c r="N1551" s="690">
        <v>0</v>
      </c>
      <c r="O1551" s="691">
        <v>114.67</v>
      </c>
      <c r="P1551" s="690">
        <v>0</v>
      </c>
      <c r="Q1551" s="738">
        <f t="shared" si="216"/>
        <v>426572.4</v>
      </c>
      <c r="R1551" s="677">
        <f t="shared" si="217"/>
        <v>0</v>
      </c>
      <c r="S1551" s="739">
        <f t="shared" si="218"/>
        <v>-426572.4</v>
      </c>
      <c r="T1551" s="738">
        <v>80.45</v>
      </c>
      <c r="U1551" s="677">
        <f t="shared" si="219"/>
        <v>-299274</v>
      </c>
      <c r="V1551" s="739">
        <f t="shared" si="220"/>
        <v>-127298.40000000002</v>
      </c>
      <c r="W1551" s="740">
        <v>62.087104564109552</v>
      </c>
      <c r="X1551" s="678">
        <f t="shared" si="221"/>
        <v>-230964.02897848753</v>
      </c>
      <c r="Y1551" s="700">
        <f t="shared" si="222"/>
        <v>-195608.37102151249</v>
      </c>
      <c r="Z1551" s="740">
        <v>98.812895435890439</v>
      </c>
      <c r="AA1551" s="678">
        <f t="shared" si="223"/>
        <v>-367583.97102151241</v>
      </c>
      <c r="AB1551" s="741">
        <f t="shared" si="224"/>
        <v>-58988.428978487616</v>
      </c>
      <c r="AC1551" s="714"/>
    </row>
    <row r="1552" spans="1:29" x14ac:dyDescent="0.25">
      <c r="A1552" s="713"/>
      <c r="B1552" s="714" t="s">
        <v>2408</v>
      </c>
      <c r="C1552" s="676" t="s">
        <v>40</v>
      </c>
      <c r="D1552" s="676" t="s">
        <v>346</v>
      </c>
      <c r="E1552" s="680">
        <v>45231</v>
      </c>
      <c r="F1552" s="676">
        <v>720</v>
      </c>
      <c r="G1552" s="676" t="s">
        <v>58</v>
      </c>
      <c r="H1552" s="676" t="s">
        <v>3</v>
      </c>
      <c r="I1552" s="676" t="s">
        <v>44</v>
      </c>
      <c r="J1552" s="676" t="s">
        <v>84</v>
      </c>
      <c r="K1552" s="676">
        <v>114.65</v>
      </c>
      <c r="L1552" s="690" t="s">
        <v>54</v>
      </c>
      <c r="M1552" s="691">
        <v>5</v>
      </c>
      <c r="N1552" s="690">
        <v>0</v>
      </c>
      <c r="O1552" s="691">
        <v>114.67</v>
      </c>
      <c r="P1552" s="690">
        <v>0</v>
      </c>
      <c r="Q1552" s="738">
        <f t="shared" si="216"/>
        <v>412812</v>
      </c>
      <c r="R1552" s="677">
        <f t="shared" si="217"/>
        <v>0</v>
      </c>
      <c r="S1552" s="739">
        <f t="shared" si="218"/>
        <v>-412812</v>
      </c>
      <c r="T1552" s="738">
        <v>80.45</v>
      </c>
      <c r="U1552" s="677">
        <f t="shared" si="219"/>
        <v>-289620</v>
      </c>
      <c r="V1552" s="739">
        <f t="shared" si="220"/>
        <v>-123192</v>
      </c>
      <c r="W1552" s="740">
        <v>62.087104564109552</v>
      </c>
      <c r="X1552" s="678">
        <f t="shared" si="221"/>
        <v>-223513.57643079438</v>
      </c>
      <c r="Y1552" s="700">
        <f t="shared" si="222"/>
        <v>-189298.42356920562</v>
      </c>
      <c r="Z1552" s="740">
        <v>98.812895435890439</v>
      </c>
      <c r="AA1552" s="678">
        <f t="shared" si="223"/>
        <v>-355726.42356920557</v>
      </c>
      <c r="AB1552" s="741">
        <f t="shared" si="224"/>
        <v>-57085.576430794434</v>
      </c>
      <c r="AC1552" s="714"/>
    </row>
    <row r="1553" spans="1:29" x14ac:dyDescent="0.25">
      <c r="A1553" s="713"/>
      <c r="B1553" s="729" t="s">
        <v>2408</v>
      </c>
      <c r="C1553" s="545" t="s">
        <v>40</v>
      </c>
      <c r="D1553" s="545" t="s">
        <v>346</v>
      </c>
      <c r="E1553" s="681">
        <v>45261</v>
      </c>
      <c r="F1553" s="545">
        <v>744</v>
      </c>
      <c r="G1553" s="545" t="s">
        <v>58</v>
      </c>
      <c r="H1553" s="545" t="s">
        <v>3</v>
      </c>
      <c r="I1553" s="545" t="s">
        <v>44</v>
      </c>
      <c r="J1553" s="545" t="s">
        <v>84</v>
      </c>
      <c r="K1553" s="545">
        <v>114.65</v>
      </c>
      <c r="L1553" s="725" t="s">
        <v>54</v>
      </c>
      <c r="M1553" s="695">
        <v>5</v>
      </c>
      <c r="N1553" s="725">
        <v>0</v>
      </c>
      <c r="O1553" s="695">
        <v>114.67</v>
      </c>
      <c r="P1553" s="725">
        <v>0</v>
      </c>
      <c r="Q1553" s="742">
        <f t="shared" si="216"/>
        <v>426572.4</v>
      </c>
      <c r="R1553" s="603">
        <f t="shared" si="217"/>
        <v>0</v>
      </c>
      <c r="S1553" s="743">
        <f t="shared" si="218"/>
        <v>-426572.4</v>
      </c>
      <c r="T1553" s="742">
        <v>80.45</v>
      </c>
      <c r="U1553" s="603">
        <f t="shared" si="219"/>
        <v>-299274</v>
      </c>
      <c r="V1553" s="743">
        <f t="shared" si="220"/>
        <v>-127298.40000000002</v>
      </c>
      <c r="W1553" s="744">
        <v>62.087104564109552</v>
      </c>
      <c r="X1553" s="604">
        <f t="shared" si="221"/>
        <v>-230964.02897848753</v>
      </c>
      <c r="Y1553" s="701">
        <f t="shared" si="222"/>
        <v>-195608.37102151249</v>
      </c>
      <c r="Z1553" s="744">
        <v>98.812895435890439</v>
      </c>
      <c r="AA1553" s="604">
        <f t="shared" si="223"/>
        <v>-367583.97102151241</v>
      </c>
      <c r="AB1553" s="745">
        <f t="shared" si="224"/>
        <v>-58988.428978487616</v>
      </c>
      <c r="AC1553" s="714"/>
    </row>
    <row r="1554" spans="1:29" x14ac:dyDescent="0.25">
      <c r="A1554" s="713"/>
      <c r="B1554" s="730" t="s">
        <v>2409</v>
      </c>
      <c r="C1554" s="546" t="s">
        <v>40</v>
      </c>
      <c r="D1554" s="546" t="s">
        <v>346</v>
      </c>
      <c r="E1554" s="682">
        <v>45017</v>
      </c>
      <c r="F1554" s="546">
        <v>720</v>
      </c>
      <c r="G1554" s="546" t="s">
        <v>59</v>
      </c>
      <c r="H1554" s="546" t="s">
        <v>3</v>
      </c>
      <c r="I1554" s="546" t="s">
        <v>44</v>
      </c>
      <c r="J1554" s="546" t="s">
        <v>85</v>
      </c>
      <c r="K1554" s="546">
        <v>72.2</v>
      </c>
      <c r="L1554" s="726" t="s">
        <v>54</v>
      </c>
      <c r="M1554" s="696">
        <v>0</v>
      </c>
      <c r="N1554" s="726">
        <v>4</v>
      </c>
      <c r="O1554" s="696">
        <v>0</v>
      </c>
      <c r="P1554" s="726">
        <v>72.2</v>
      </c>
      <c r="Q1554" s="746">
        <f t="shared" si="216"/>
        <v>0</v>
      </c>
      <c r="R1554" s="606">
        <f t="shared" si="217"/>
        <v>207936</v>
      </c>
      <c r="S1554" s="747">
        <f t="shared" si="218"/>
        <v>207936</v>
      </c>
      <c r="T1554" s="746">
        <v>69.8</v>
      </c>
      <c r="U1554" s="606">
        <f t="shared" si="219"/>
        <v>201024</v>
      </c>
      <c r="V1554" s="747">
        <f t="shared" si="220"/>
        <v>6912</v>
      </c>
      <c r="W1554" s="748">
        <v>55.7</v>
      </c>
      <c r="X1554" s="607">
        <f t="shared" si="221"/>
        <v>160416</v>
      </c>
      <c r="Y1554" s="702">
        <f t="shared" si="222"/>
        <v>47520</v>
      </c>
      <c r="Z1554" s="748">
        <v>85.732008718771311</v>
      </c>
      <c r="AA1554" s="607">
        <f t="shared" si="223"/>
        <v>246908.18511006137</v>
      </c>
      <c r="AB1554" s="749">
        <f t="shared" si="224"/>
        <v>-38972.185110061371</v>
      </c>
      <c r="AC1554" s="714"/>
    </row>
    <row r="1555" spans="1:29" x14ac:dyDescent="0.25">
      <c r="A1555" s="713"/>
      <c r="B1555" s="714" t="s">
        <v>2409</v>
      </c>
      <c r="C1555" s="676" t="s">
        <v>40</v>
      </c>
      <c r="D1555" s="676" t="s">
        <v>346</v>
      </c>
      <c r="E1555" s="680">
        <v>45047</v>
      </c>
      <c r="F1555" s="676">
        <v>744</v>
      </c>
      <c r="G1555" s="676" t="s">
        <v>59</v>
      </c>
      <c r="H1555" s="676" t="s">
        <v>3</v>
      </c>
      <c r="I1555" s="676" t="s">
        <v>44</v>
      </c>
      <c r="J1555" s="676" t="s">
        <v>85</v>
      </c>
      <c r="K1555" s="676">
        <v>72.2</v>
      </c>
      <c r="L1555" s="690" t="s">
        <v>54</v>
      </c>
      <c r="M1555" s="691">
        <v>0</v>
      </c>
      <c r="N1555" s="690">
        <v>4</v>
      </c>
      <c r="O1555" s="691">
        <v>0</v>
      </c>
      <c r="P1555" s="690">
        <v>72.2</v>
      </c>
      <c r="Q1555" s="738">
        <f t="shared" si="216"/>
        <v>0</v>
      </c>
      <c r="R1555" s="677">
        <f t="shared" si="217"/>
        <v>214867.20000000001</v>
      </c>
      <c r="S1555" s="739">
        <f t="shared" si="218"/>
        <v>214867.20000000001</v>
      </c>
      <c r="T1555" s="738">
        <v>70.2</v>
      </c>
      <c r="U1555" s="677">
        <f t="shared" si="219"/>
        <v>208915.20000000001</v>
      </c>
      <c r="V1555" s="739">
        <f t="shared" si="220"/>
        <v>5952</v>
      </c>
      <c r="W1555" s="740">
        <v>55.7</v>
      </c>
      <c r="X1555" s="678">
        <f t="shared" si="221"/>
        <v>165763.20000000001</v>
      </c>
      <c r="Y1555" s="700">
        <f t="shared" si="222"/>
        <v>49104</v>
      </c>
      <c r="Z1555" s="740">
        <v>86.223309628334476</v>
      </c>
      <c r="AA1555" s="678">
        <f t="shared" si="223"/>
        <v>256600.56945392341</v>
      </c>
      <c r="AB1555" s="741">
        <f t="shared" si="224"/>
        <v>-41733.369453923398</v>
      </c>
      <c r="AC1555" s="714"/>
    </row>
    <row r="1556" spans="1:29" x14ac:dyDescent="0.25">
      <c r="A1556" s="713"/>
      <c r="B1556" s="729" t="s">
        <v>2409</v>
      </c>
      <c r="C1556" s="545" t="s">
        <v>40</v>
      </c>
      <c r="D1556" s="545" t="s">
        <v>346</v>
      </c>
      <c r="E1556" s="681">
        <v>45078</v>
      </c>
      <c r="F1556" s="545">
        <v>720</v>
      </c>
      <c r="G1556" s="545" t="s">
        <v>59</v>
      </c>
      <c r="H1556" s="545" t="s">
        <v>3</v>
      </c>
      <c r="I1556" s="545" t="s">
        <v>44</v>
      </c>
      <c r="J1556" s="545" t="s">
        <v>85</v>
      </c>
      <c r="K1556" s="545">
        <v>72.2</v>
      </c>
      <c r="L1556" s="725" t="s">
        <v>54</v>
      </c>
      <c r="M1556" s="695">
        <v>0</v>
      </c>
      <c r="N1556" s="725">
        <v>4</v>
      </c>
      <c r="O1556" s="695">
        <v>0</v>
      </c>
      <c r="P1556" s="725">
        <v>72.2</v>
      </c>
      <c r="Q1556" s="742">
        <f t="shared" si="216"/>
        <v>0</v>
      </c>
      <c r="R1556" s="603">
        <f t="shared" si="217"/>
        <v>207936</v>
      </c>
      <c r="S1556" s="743">
        <f t="shared" si="218"/>
        <v>207936</v>
      </c>
      <c r="T1556" s="742">
        <v>72.400000000000006</v>
      </c>
      <c r="U1556" s="603">
        <f t="shared" si="219"/>
        <v>208512.00000000003</v>
      </c>
      <c r="V1556" s="743">
        <f t="shared" si="220"/>
        <v>-576.0000000000291</v>
      </c>
      <c r="W1556" s="744">
        <v>55.874535369068141</v>
      </c>
      <c r="X1556" s="604">
        <f t="shared" si="221"/>
        <v>160918.66186291625</v>
      </c>
      <c r="Y1556" s="701">
        <f t="shared" si="222"/>
        <v>47017.338137083745</v>
      </c>
      <c r="Z1556" s="744">
        <v>88.925464630931856</v>
      </c>
      <c r="AA1556" s="604">
        <f t="shared" si="223"/>
        <v>256105.33813708375</v>
      </c>
      <c r="AB1556" s="745">
        <f t="shared" si="224"/>
        <v>-48169.338137083745</v>
      </c>
      <c r="AC1556" s="714"/>
    </row>
    <row r="1557" spans="1:29" x14ac:dyDescent="0.25">
      <c r="A1557" s="713"/>
      <c r="B1557" s="730" t="s">
        <v>2410</v>
      </c>
      <c r="C1557" s="546" t="s">
        <v>40</v>
      </c>
      <c r="D1557" s="546" t="s">
        <v>346</v>
      </c>
      <c r="E1557" s="682">
        <v>44927</v>
      </c>
      <c r="F1557" s="546">
        <v>744</v>
      </c>
      <c r="G1557" s="546" t="s">
        <v>58</v>
      </c>
      <c r="H1557" s="546" t="s">
        <v>3</v>
      </c>
      <c r="I1557" s="546" t="s">
        <v>44</v>
      </c>
      <c r="J1557" s="546" t="s">
        <v>84</v>
      </c>
      <c r="K1557" s="546">
        <v>83.261273209549074</v>
      </c>
      <c r="L1557" s="726" t="s">
        <v>54</v>
      </c>
      <c r="M1557" s="696">
        <v>4.7</v>
      </c>
      <c r="N1557" s="726">
        <v>0</v>
      </c>
      <c r="O1557" s="696">
        <v>68.5</v>
      </c>
      <c r="P1557" s="726">
        <v>0</v>
      </c>
      <c r="Q1557" s="746">
        <f t="shared" si="216"/>
        <v>239530.80000000002</v>
      </c>
      <c r="R1557" s="606">
        <f t="shared" si="217"/>
        <v>0</v>
      </c>
      <c r="S1557" s="747">
        <f t="shared" si="218"/>
        <v>-239530.80000000002</v>
      </c>
      <c r="T1557" s="746">
        <v>68.72</v>
      </c>
      <c r="U1557" s="606">
        <f t="shared" si="219"/>
        <v>-240300.09600000002</v>
      </c>
      <c r="V1557" s="747">
        <f t="shared" si="220"/>
        <v>769.2960000000021</v>
      </c>
      <c r="W1557" s="748">
        <v>55.7</v>
      </c>
      <c r="X1557" s="607">
        <f t="shared" si="221"/>
        <v>-194771.76</v>
      </c>
      <c r="Y1557" s="702">
        <f t="shared" si="222"/>
        <v>-44759.040000000008</v>
      </c>
      <c r="Z1557" s="748">
        <v>96.206580759134184</v>
      </c>
      <c r="AA1557" s="607">
        <f t="shared" si="223"/>
        <v>-336415.17159854044</v>
      </c>
      <c r="AB1557" s="749">
        <f t="shared" si="224"/>
        <v>96884.371598540427</v>
      </c>
      <c r="AC1557" s="714"/>
    </row>
    <row r="1558" spans="1:29" x14ac:dyDescent="0.25">
      <c r="A1558" s="713"/>
      <c r="B1558" s="714" t="s">
        <v>2410</v>
      </c>
      <c r="C1558" s="676" t="s">
        <v>40</v>
      </c>
      <c r="D1558" s="676" t="s">
        <v>346</v>
      </c>
      <c r="E1558" s="680">
        <v>44958</v>
      </c>
      <c r="F1558" s="676">
        <v>672</v>
      </c>
      <c r="G1558" s="676" t="s">
        <v>58</v>
      </c>
      <c r="H1558" s="676" t="s">
        <v>3</v>
      </c>
      <c r="I1558" s="676" t="s">
        <v>44</v>
      </c>
      <c r="J1558" s="676" t="s">
        <v>84</v>
      </c>
      <c r="K1558" s="676">
        <v>83.261273209549074</v>
      </c>
      <c r="L1558" s="690" t="s">
        <v>54</v>
      </c>
      <c r="M1558" s="691">
        <v>4.7</v>
      </c>
      <c r="N1558" s="690">
        <v>0</v>
      </c>
      <c r="O1558" s="691">
        <v>68.5</v>
      </c>
      <c r="P1558" s="690">
        <v>0</v>
      </c>
      <c r="Q1558" s="738">
        <f t="shared" si="216"/>
        <v>216350.4</v>
      </c>
      <c r="R1558" s="677">
        <f t="shared" si="217"/>
        <v>0</v>
      </c>
      <c r="S1558" s="739">
        <f t="shared" si="218"/>
        <v>-216350.4</v>
      </c>
      <c r="T1558" s="738">
        <v>69.25</v>
      </c>
      <c r="U1558" s="677">
        <f t="shared" si="219"/>
        <v>-218719.2</v>
      </c>
      <c r="V1558" s="739">
        <f t="shared" si="220"/>
        <v>2368.8000000000175</v>
      </c>
      <c r="W1558" s="740">
        <v>55.7</v>
      </c>
      <c r="X1558" s="678">
        <f t="shared" si="221"/>
        <v>-175922.88</v>
      </c>
      <c r="Y1558" s="700">
        <f t="shared" si="222"/>
        <v>-40427.51999999999</v>
      </c>
      <c r="Z1558" s="740">
        <v>92.430648861364247</v>
      </c>
      <c r="AA1558" s="678">
        <f t="shared" si="223"/>
        <v>-291932.96136373287</v>
      </c>
      <c r="AB1558" s="741">
        <f t="shared" si="224"/>
        <v>75582.561363732879</v>
      </c>
      <c r="AC1558" s="714"/>
    </row>
    <row r="1559" spans="1:29" x14ac:dyDescent="0.25">
      <c r="A1559" s="713"/>
      <c r="B1559" s="714" t="s">
        <v>2410</v>
      </c>
      <c r="C1559" s="676" t="s">
        <v>40</v>
      </c>
      <c r="D1559" s="676" t="s">
        <v>346</v>
      </c>
      <c r="E1559" s="680">
        <v>44986</v>
      </c>
      <c r="F1559" s="676">
        <v>744</v>
      </c>
      <c r="G1559" s="676" t="s">
        <v>58</v>
      </c>
      <c r="H1559" s="676" t="s">
        <v>3</v>
      </c>
      <c r="I1559" s="676" t="s">
        <v>44</v>
      </c>
      <c r="J1559" s="676" t="s">
        <v>84</v>
      </c>
      <c r="K1559" s="676">
        <v>83.261273209549074</v>
      </c>
      <c r="L1559" s="690" t="s">
        <v>54</v>
      </c>
      <c r="M1559" s="691">
        <v>4.7</v>
      </c>
      <c r="N1559" s="690">
        <v>0</v>
      </c>
      <c r="O1559" s="691">
        <v>68.5</v>
      </c>
      <c r="P1559" s="690">
        <v>0</v>
      </c>
      <c r="Q1559" s="738">
        <f t="shared" si="216"/>
        <v>239530.80000000002</v>
      </c>
      <c r="R1559" s="677">
        <f t="shared" si="217"/>
        <v>0</v>
      </c>
      <c r="S1559" s="739">
        <f t="shared" si="218"/>
        <v>-239530.80000000002</v>
      </c>
      <c r="T1559" s="738">
        <v>69.3</v>
      </c>
      <c r="U1559" s="677">
        <f t="shared" si="219"/>
        <v>-242328.24</v>
      </c>
      <c r="V1559" s="739">
        <f t="shared" si="220"/>
        <v>2797.4399999999732</v>
      </c>
      <c r="W1559" s="740">
        <v>55.7</v>
      </c>
      <c r="X1559" s="678">
        <f t="shared" si="221"/>
        <v>-194771.76</v>
      </c>
      <c r="Y1559" s="700">
        <f t="shared" si="222"/>
        <v>-44759.040000000008</v>
      </c>
      <c r="Z1559" s="740">
        <v>89.053218420260009</v>
      </c>
      <c r="AA1559" s="678">
        <f t="shared" si="223"/>
        <v>-311401.29417196522</v>
      </c>
      <c r="AB1559" s="741">
        <f t="shared" si="224"/>
        <v>71870.494171965198</v>
      </c>
      <c r="AC1559" s="714"/>
    </row>
    <row r="1560" spans="1:29" x14ac:dyDescent="0.25">
      <c r="A1560" s="713"/>
      <c r="B1560" s="714" t="s">
        <v>2410</v>
      </c>
      <c r="C1560" s="676" t="s">
        <v>40</v>
      </c>
      <c r="D1560" s="676" t="s">
        <v>346</v>
      </c>
      <c r="E1560" s="680">
        <v>45017</v>
      </c>
      <c r="F1560" s="676">
        <v>720</v>
      </c>
      <c r="G1560" s="676" t="s">
        <v>58</v>
      </c>
      <c r="H1560" s="676" t="s">
        <v>3</v>
      </c>
      <c r="I1560" s="676" t="s">
        <v>44</v>
      </c>
      <c r="J1560" s="676" t="s">
        <v>84</v>
      </c>
      <c r="K1560" s="676">
        <v>83.261273209549074</v>
      </c>
      <c r="L1560" s="690" t="s">
        <v>54</v>
      </c>
      <c r="M1560" s="691">
        <v>20</v>
      </c>
      <c r="N1560" s="690">
        <v>0</v>
      </c>
      <c r="O1560" s="691">
        <v>72.599999999999994</v>
      </c>
      <c r="P1560" s="690">
        <v>0</v>
      </c>
      <c r="Q1560" s="738">
        <f t="shared" si="216"/>
        <v>1045439.9999999999</v>
      </c>
      <c r="R1560" s="677">
        <f t="shared" si="217"/>
        <v>0</v>
      </c>
      <c r="S1560" s="739">
        <f t="shared" si="218"/>
        <v>-1045439.9999999999</v>
      </c>
      <c r="T1560" s="738">
        <v>69.8</v>
      </c>
      <c r="U1560" s="677">
        <f t="shared" si="219"/>
        <v>-1005120</v>
      </c>
      <c r="V1560" s="739">
        <f t="shared" si="220"/>
        <v>-40319.999999999884</v>
      </c>
      <c r="W1560" s="740">
        <v>55.7</v>
      </c>
      <c r="X1560" s="678">
        <f t="shared" si="221"/>
        <v>-802080</v>
      </c>
      <c r="Y1560" s="700">
        <f t="shared" si="222"/>
        <v>-243359.99999999988</v>
      </c>
      <c r="Z1560" s="740">
        <v>85.732008718771311</v>
      </c>
      <c r="AA1560" s="678">
        <f t="shared" si="223"/>
        <v>-1234540.9255503069</v>
      </c>
      <c r="AB1560" s="741">
        <f t="shared" si="224"/>
        <v>189100.92555030703</v>
      </c>
      <c r="AC1560" s="714"/>
    </row>
    <row r="1561" spans="1:29" x14ac:dyDescent="0.25">
      <c r="A1561" s="713"/>
      <c r="B1561" s="714" t="s">
        <v>2410</v>
      </c>
      <c r="C1561" s="676" t="s">
        <v>40</v>
      </c>
      <c r="D1561" s="676" t="s">
        <v>346</v>
      </c>
      <c r="E1561" s="680">
        <v>45047</v>
      </c>
      <c r="F1561" s="676">
        <v>744</v>
      </c>
      <c r="G1561" s="676" t="s">
        <v>58</v>
      </c>
      <c r="H1561" s="676" t="s">
        <v>3</v>
      </c>
      <c r="I1561" s="676" t="s">
        <v>44</v>
      </c>
      <c r="J1561" s="676" t="s">
        <v>84</v>
      </c>
      <c r="K1561" s="676">
        <v>83.261273209549074</v>
      </c>
      <c r="L1561" s="690" t="s">
        <v>54</v>
      </c>
      <c r="M1561" s="691">
        <v>20</v>
      </c>
      <c r="N1561" s="690">
        <v>0</v>
      </c>
      <c r="O1561" s="691">
        <v>72.599999999999994</v>
      </c>
      <c r="P1561" s="690">
        <v>0</v>
      </c>
      <c r="Q1561" s="738">
        <f t="shared" si="216"/>
        <v>1080288</v>
      </c>
      <c r="R1561" s="677">
        <f t="shared" si="217"/>
        <v>0</v>
      </c>
      <c r="S1561" s="739">
        <f t="shared" si="218"/>
        <v>-1080288</v>
      </c>
      <c r="T1561" s="738">
        <v>70.2</v>
      </c>
      <c r="U1561" s="677">
        <f t="shared" si="219"/>
        <v>-1044576</v>
      </c>
      <c r="V1561" s="739">
        <f t="shared" si="220"/>
        <v>-35712</v>
      </c>
      <c r="W1561" s="740">
        <v>55.7</v>
      </c>
      <c r="X1561" s="678">
        <f t="shared" si="221"/>
        <v>-828816</v>
      </c>
      <c r="Y1561" s="700">
        <f t="shared" si="222"/>
        <v>-251472</v>
      </c>
      <c r="Z1561" s="740">
        <v>86.223309628334476</v>
      </c>
      <c r="AA1561" s="678">
        <f t="shared" si="223"/>
        <v>-1283002.847269617</v>
      </c>
      <c r="AB1561" s="741">
        <f t="shared" si="224"/>
        <v>202714.84726961702</v>
      </c>
      <c r="AC1561" s="714"/>
    </row>
    <row r="1562" spans="1:29" x14ac:dyDescent="0.25">
      <c r="A1562" s="713"/>
      <c r="B1562" s="714" t="s">
        <v>2410</v>
      </c>
      <c r="C1562" s="676" t="s">
        <v>40</v>
      </c>
      <c r="D1562" s="676" t="s">
        <v>346</v>
      </c>
      <c r="E1562" s="680">
        <v>45078</v>
      </c>
      <c r="F1562" s="676">
        <v>720</v>
      </c>
      <c r="G1562" s="676" t="s">
        <v>58</v>
      </c>
      <c r="H1562" s="676" t="s">
        <v>3</v>
      </c>
      <c r="I1562" s="676" t="s">
        <v>44</v>
      </c>
      <c r="J1562" s="676" t="s">
        <v>84</v>
      </c>
      <c r="K1562" s="676">
        <v>83.261273209549074</v>
      </c>
      <c r="L1562" s="690" t="s">
        <v>54</v>
      </c>
      <c r="M1562" s="691">
        <v>20</v>
      </c>
      <c r="N1562" s="690">
        <v>0</v>
      </c>
      <c r="O1562" s="691">
        <v>72.599999999999994</v>
      </c>
      <c r="P1562" s="690">
        <v>0</v>
      </c>
      <c r="Q1562" s="738">
        <f t="shared" si="216"/>
        <v>1045439.9999999999</v>
      </c>
      <c r="R1562" s="677">
        <f t="shared" si="217"/>
        <v>0</v>
      </c>
      <c r="S1562" s="739">
        <f t="shared" si="218"/>
        <v>-1045439.9999999999</v>
      </c>
      <c r="T1562" s="738">
        <v>72.400000000000006</v>
      </c>
      <c r="U1562" s="677">
        <f t="shared" si="219"/>
        <v>-1042560.0000000001</v>
      </c>
      <c r="V1562" s="739">
        <f t="shared" si="220"/>
        <v>-2879.9999999997672</v>
      </c>
      <c r="W1562" s="740">
        <v>55.874535369068141</v>
      </c>
      <c r="X1562" s="678">
        <f t="shared" si="221"/>
        <v>-804593.30931458122</v>
      </c>
      <c r="Y1562" s="700">
        <f t="shared" si="222"/>
        <v>-240846.69068541867</v>
      </c>
      <c r="Z1562" s="740">
        <v>88.925464630931856</v>
      </c>
      <c r="AA1562" s="678">
        <f t="shared" si="223"/>
        <v>-1280526.6906854187</v>
      </c>
      <c r="AB1562" s="741">
        <f t="shared" si="224"/>
        <v>235086.69068541878</v>
      </c>
      <c r="AC1562" s="714"/>
    </row>
    <row r="1563" spans="1:29" x14ac:dyDescent="0.25">
      <c r="A1563" s="713"/>
      <c r="B1563" s="714" t="s">
        <v>2410</v>
      </c>
      <c r="C1563" s="676" t="s">
        <v>40</v>
      </c>
      <c r="D1563" s="676" t="s">
        <v>346</v>
      </c>
      <c r="E1563" s="680">
        <v>45108</v>
      </c>
      <c r="F1563" s="676">
        <v>744</v>
      </c>
      <c r="G1563" s="676" t="s">
        <v>58</v>
      </c>
      <c r="H1563" s="676" t="s">
        <v>3</v>
      </c>
      <c r="I1563" s="676" t="s">
        <v>44</v>
      </c>
      <c r="J1563" s="676" t="s">
        <v>84</v>
      </c>
      <c r="K1563" s="676">
        <v>83.261273209549074</v>
      </c>
      <c r="L1563" s="690" t="s">
        <v>54</v>
      </c>
      <c r="M1563" s="691">
        <v>0</v>
      </c>
      <c r="N1563" s="690">
        <v>0</v>
      </c>
      <c r="O1563" s="691">
        <v>0</v>
      </c>
      <c r="P1563" s="690">
        <v>0</v>
      </c>
      <c r="Q1563" s="738">
        <f t="shared" si="216"/>
        <v>0</v>
      </c>
      <c r="R1563" s="677">
        <f t="shared" si="217"/>
        <v>0</v>
      </c>
      <c r="S1563" s="739">
        <f t="shared" si="218"/>
        <v>0</v>
      </c>
      <c r="T1563" s="738">
        <v>77.150000000000006</v>
      </c>
      <c r="U1563" s="677">
        <f t="shared" si="219"/>
        <v>0</v>
      </c>
      <c r="V1563" s="739">
        <f t="shared" si="220"/>
        <v>0</v>
      </c>
      <c r="W1563" s="740">
        <v>59.54033706800562</v>
      </c>
      <c r="X1563" s="678">
        <f t="shared" si="221"/>
        <v>0</v>
      </c>
      <c r="Y1563" s="700">
        <f t="shared" si="222"/>
        <v>0</v>
      </c>
      <c r="Z1563" s="740">
        <v>94.759662931994384</v>
      </c>
      <c r="AA1563" s="678">
        <f t="shared" si="223"/>
        <v>0</v>
      </c>
      <c r="AB1563" s="741">
        <f t="shared" si="224"/>
        <v>0</v>
      </c>
      <c r="AC1563" s="714"/>
    </row>
    <row r="1564" spans="1:29" x14ac:dyDescent="0.25">
      <c r="A1564" s="713"/>
      <c r="B1564" s="714" t="s">
        <v>2410</v>
      </c>
      <c r="C1564" s="676" t="s">
        <v>40</v>
      </c>
      <c r="D1564" s="676" t="s">
        <v>346</v>
      </c>
      <c r="E1564" s="680">
        <v>45139</v>
      </c>
      <c r="F1564" s="676">
        <v>744</v>
      </c>
      <c r="G1564" s="676" t="s">
        <v>58</v>
      </c>
      <c r="H1564" s="676" t="s">
        <v>3</v>
      </c>
      <c r="I1564" s="676" t="s">
        <v>44</v>
      </c>
      <c r="J1564" s="676" t="s">
        <v>84</v>
      </c>
      <c r="K1564" s="676">
        <v>83.261273209549074</v>
      </c>
      <c r="L1564" s="690" t="s">
        <v>54</v>
      </c>
      <c r="M1564" s="691">
        <v>0</v>
      </c>
      <c r="N1564" s="690">
        <v>0</v>
      </c>
      <c r="O1564" s="691">
        <v>0</v>
      </c>
      <c r="P1564" s="690">
        <v>0</v>
      </c>
      <c r="Q1564" s="738">
        <f t="shared" si="216"/>
        <v>0</v>
      </c>
      <c r="R1564" s="677">
        <f t="shared" si="217"/>
        <v>0</v>
      </c>
      <c r="S1564" s="739">
        <f t="shared" si="218"/>
        <v>0</v>
      </c>
      <c r="T1564" s="738">
        <v>77.150000000000006</v>
      </c>
      <c r="U1564" s="677">
        <f t="shared" si="219"/>
        <v>0</v>
      </c>
      <c r="V1564" s="739">
        <f t="shared" si="220"/>
        <v>0</v>
      </c>
      <c r="W1564" s="740">
        <v>59.54033706800562</v>
      </c>
      <c r="X1564" s="678">
        <f t="shared" si="221"/>
        <v>0</v>
      </c>
      <c r="Y1564" s="700">
        <f t="shared" si="222"/>
        <v>0</v>
      </c>
      <c r="Z1564" s="740">
        <v>94.759662931994384</v>
      </c>
      <c r="AA1564" s="678">
        <f t="shared" si="223"/>
        <v>0</v>
      </c>
      <c r="AB1564" s="741">
        <f t="shared" si="224"/>
        <v>0</v>
      </c>
      <c r="AC1564" s="714"/>
    </row>
    <row r="1565" spans="1:29" x14ac:dyDescent="0.25">
      <c r="A1565" s="713"/>
      <c r="B1565" s="714" t="s">
        <v>2410</v>
      </c>
      <c r="C1565" s="676" t="s">
        <v>40</v>
      </c>
      <c r="D1565" s="676" t="s">
        <v>346</v>
      </c>
      <c r="E1565" s="680">
        <v>45170</v>
      </c>
      <c r="F1565" s="676">
        <v>720</v>
      </c>
      <c r="G1565" s="676" t="s">
        <v>58</v>
      </c>
      <c r="H1565" s="676" t="s">
        <v>3</v>
      </c>
      <c r="I1565" s="676" t="s">
        <v>44</v>
      </c>
      <c r="J1565" s="676" t="s">
        <v>84</v>
      </c>
      <c r="K1565" s="676">
        <v>83.261273209549074</v>
      </c>
      <c r="L1565" s="690" t="s">
        <v>54</v>
      </c>
      <c r="M1565" s="691">
        <v>0</v>
      </c>
      <c r="N1565" s="690">
        <v>0</v>
      </c>
      <c r="O1565" s="691">
        <v>0</v>
      </c>
      <c r="P1565" s="690">
        <v>0</v>
      </c>
      <c r="Q1565" s="738">
        <f t="shared" si="216"/>
        <v>0</v>
      </c>
      <c r="R1565" s="677">
        <f t="shared" si="217"/>
        <v>0</v>
      </c>
      <c r="S1565" s="739">
        <f t="shared" si="218"/>
        <v>0</v>
      </c>
      <c r="T1565" s="738">
        <v>77.150000000000006</v>
      </c>
      <c r="U1565" s="677">
        <f t="shared" si="219"/>
        <v>0</v>
      </c>
      <c r="V1565" s="739">
        <f t="shared" si="220"/>
        <v>0</v>
      </c>
      <c r="W1565" s="740">
        <v>59.54033706800562</v>
      </c>
      <c r="X1565" s="678">
        <f t="shared" si="221"/>
        <v>0</v>
      </c>
      <c r="Y1565" s="700">
        <f t="shared" si="222"/>
        <v>0</v>
      </c>
      <c r="Z1565" s="740">
        <v>94.759662931994384</v>
      </c>
      <c r="AA1565" s="678">
        <f t="shared" si="223"/>
        <v>0</v>
      </c>
      <c r="AB1565" s="741">
        <f t="shared" si="224"/>
        <v>0</v>
      </c>
      <c r="AC1565" s="714"/>
    </row>
    <row r="1566" spans="1:29" x14ac:dyDescent="0.25">
      <c r="A1566" s="713"/>
      <c r="B1566" s="714" t="s">
        <v>2410</v>
      </c>
      <c r="C1566" s="676" t="s">
        <v>40</v>
      </c>
      <c r="D1566" s="676" t="s">
        <v>346</v>
      </c>
      <c r="E1566" s="680">
        <v>45200</v>
      </c>
      <c r="F1566" s="676">
        <v>744</v>
      </c>
      <c r="G1566" s="676" t="s">
        <v>58</v>
      </c>
      <c r="H1566" s="676" t="s">
        <v>3</v>
      </c>
      <c r="I1566" s="676" t="s">
        <v>44</v>
      </c>
      <c r="J1566" s="676" t="s">
        <v>84</v>
      </c>
      <c r="K1566" s="676">
        <v>83.261273209549074</v>
      </c>
      <c r="L1566" s="690" t="s">
        <v>54</v>
      </c>
      <c r="M1566" s="691">
        <v>0</v>
      </c>
      <c r="N1566" s="690">
        <v>0</v>
      </c>
      <c r="O1566" s="691">
        <v>0</v>
      </c>
      <c r="P1566" s="690">
        <v>0</v>
      </c>
      <c r="Q1566" s="738">
        <f t="shared" si="216"/>
        <v>0</v>
      </c>
      <c r="R1566" s="677">
        <f t="shared" si="217"/>
        <v>0</v>
      </c>
      <c r="S1566" s="739">
        <f t="shared" si="218"/>
        <v>0</v>
      </c>
      <c r="T1566" s="738">
        <v>80.45</v>
      </c>
      <c r="U1566" s="677">
        <f t="shared" si="219"/>
        <v>0</v>
      </c>
      <c r="V1566" s="739">
        <f t="shared" si="220"/>
        <v>0</v>
      </c>
      <c r="W1566" s="740">
        <v>62.087104564109552</v>
      </c>
      <c r="X1566" s="678">
        <f t="shared" si="221"/>
        <v>0</v>
      </c>
      <c r="Y1566" s="700">
        <f t="shared" si="222"/>
        <v>0</v>
      </c>
      <c r="Z1566" s="740">
        <v>98.812895435890439</v>
      </c>
      <c r="AA1566" s="678">
        <f t="shared" si="223"/>
        <v>0</v>
      </c>
      <c r="AB1566" s="741">
        <f t="shared" si="224"/>
        <v>0</v>
      </c>
      <c r="AC1566" s="714"/>
    </row>
    <row r="1567" spans="1:29" x14ac:dyDescent="0.25">
      <c r="A1567" s="713"/>
      <c r="B1567" s="714" t="s">
        <v>2410</v>
      </c>
      <c r="C1567" s="676" t="s">
        <v>40</v>
      </c>
      <c r="D1567" s="676" t="s">
        <v>346</v>
      </c>
      <c r="E1567" s="680">
        <v>45231</v>
      </c>
      <c r="F1567" s="676">
        <v>720</v>
      </c>
      <c r="G1567" s="676" t="s">
        <v>58</v>
      </c>
      <c r="H1567" s="676" t="s">
        <v>3</v>
      </c>
      <c r="I1567" s="676" t="s">
        <v>44</v>
      </c>
      <c r="J1567" s="676" t="s">
        <v>84</v>
      </c>
      <c r="K1567" s="676">
        <v>83.261273209549074</v>
      </c>
      <c r="L1567" s="690" t="s">
        <v>54</v>
      </c>
      <c r="M1567" s="691">
        <v>0</v>
      </c>
      <c r="N1567" s="690">
        <v>0</v>
      </c>
      <c r="O1567" s="691">
        <v>0</v>
      </c>
      <c r="P1567" s="690">
        <v>0</v>
      </c>
      <c r="Q1567" s="738">
        <f t="shared" si="216"/>
        <v>0</v>
      </c>
      <c r="R1567" s="677">
        <f t="shared" si="217"/>
        <v>0</v>
      </c>
      <c r="S1567" s="739">
        <f t="shared" si="218"/>
        <v>0</v>
      </c>
      <c r="T1567" s="738">
        <v>80.45</v>
      </c>
      <c r="U1567" s="677">
        <f t="shared" si="219"/>
        <v>0</v>
      </c>
      <c r="V1567" s="739">
        <f t="shared" si="220"/>
        <v>0</v>
      </c>
      <c r="W1567" s="740">
        <v>62.087104564109552</v>
      </c>
      <c r="X1567" s="678">
        <f t="shared" si="221"/>
        <v>0</v>
      </c>
      <c r="Y1567" s="700">
        <f t="shared" si="222"/>
        <v>0</v>
      </c>
      <c r="Z1567" s="740">
        <v>98.812895435890439</v>
      </c>
      <c r="AA1567" s="678">
        <f t="shared" si="223"/>
        <v>0</v>
      </c>
      <c r="AB1567" s="741">
        <f t="shared" si="224"/>
        <v>0</v>
      </c>
      <c r="AC1567" s="714"/>
    </row>
    <row r="1568" spans="1:29" x14ac:dyDescent="0.25">
      <c r="A1568" s="713"/>
      <c r="B1568" s="729" t="s">
        <v>2410</v>
      </c>
      <c r="C1568" s="545" t="s">
        <v>40</v>
      </c>
      <c r="D1568" s="545" t="s">
        <v>346</v>
      </c>
      <c r="E1568" s="681">
        <v>45261</v>
      </c>
      <c r="F1568" s="545">
        <v>744</v>
      </c>
      <c r="G1568" s="545" t="s">
        <v>58</v>
      </c>
      <c r="H1568" s="545" t="s">
        <v>3</v>
      </c>
      <c r="I1568" s="545" t="s">
        <v>44</v>
      </c>
      <c r="J1568" s="545" t="s">
        <v>84</v>
      </c>
      <c r="K1568" s="545">
        <v>83.261273209549074</v>
      </c>
      <c r="L1568" s="725" t="s">
        <v>54</v>
      </c>
      <c r="M1568" s="695">
        <v>39</v>
      </c>
      <c r="N1568" s="725">
        <v>0</v>
      </c>
      <c r="O1568" s="695">
        <v>105</v>
      </c>
      <c r="P1568" s="725">
        <v>0</v>
      </c>
      <c r="Q1568" s="742">
        <f t="shared" si="216"/>
        <v>3046680</v>
      </c>
      <c r="R1568" s="603">
        <f t="shared" si="217"/>
        <v>0</v>
      </c>
      <c r="S1568" s="743">
        <f t="shared" si="218"/>
        <v>-3046680</v>
      </c>
      <c r="T1568" s="742">
        <v>80.45</v>
      </c>
      <c r="U1568" s="603">
        <f t="shared" si="219"/>
        <v>-2334337.2000000002</v>
      </c>
      <c r="V1568" s="743">
        <f t="shared" si="220"/>
        <v>-712342.79999999981</v>
      </c>
      <c r="W1568" s="744">
        <v>62.087104564109552</v>
      </c>
      <c r="X1568" s="604">
        <f t="shared" si="221"/>
        <v>-1801519.4260322028</v>
      </c>
      <c r="Y1568" s="701">
        <f t="shared" si="222"/>
        <v>-1245160.5739677972</v>
      </c>
      <c r="Z1568" s="744">
        <v>98.812895435890439</v>
      </c>
      <c r="AA1568" s="604">
        <f t="shared" si="223"/>
        <v>-2867154.9739677971</v>
      </c>
      <c r="AB1568" s="745">
        <f t="shared" si="224"/>
        <v>-179525.02603220288</v>
      </c>
      <c r="AC1568" s="714"/>
    </row>
    <row r="1569" spans="1:29" x14ac:dyDescent="0.25">
      <c r="A1569" s="713"/>
      <c r="B1569" s="730" t="s">
        <v>2411</v>
      </c>
      <c r="C1569" s="546" t="s">
        <v>40</v>
      </c>
      <c r="D1569" s="546" t="s">
        <v>346</v>
      </c>
      <c r="E1569" s="682">
        <v>44927</v>
      </c>
      <c r="F1569" s="546">
        <v>744</v>
      </c>
      <c r="G1569" s="546" t="s">
        <v>59</v>
      </c>
      <c r="H1569" s="546" t="s">
        <v>3</v>
      </c>
      <c r="I1569" s="546" t="s">
        <v>44</v>
      </c>
      <c r="J1569" s="546" t="s">
        <v>85</v>
      </c>
      <c r="K1569" s="546">
        <v>83.261273209549074</v>
      </c>
      <c r="L1569" s="726" t="s">
        <v>54</v>
      </c>
      <c r="M1569" s="696">
        <v>0</v>
      </c>
      <c r="N1569" s="726">
        <v>4.7</v>
      </c>
      <c r="O1569" s="696">
        <v>0</v>
      </c>
      <c r="P1569" s="726">
        <v>68.5</v>
      </c>
      <c r="Q1569" s="746">
        <f t="shared" si="216"/>
        <v>0</v>
      </c>
      <c r="R1569" s="606">
        <f t="shared" si="217"/>
        <v>239530.80000000002</v>
      </c>
      <c r="S1569" s="747">
        <f t="shared" si="218"/>
        <v>239530.80000000002</v>
      </c>
      <c r="T1569" s="746">
        <v>68.72</v>
      </c>
      <c r="U1569" s="606">
        <f t="shared" si="219"/>
        <v>240300.09600000002</v>
      </c>
      <c r="V1569" s="747">
        <f t="shared" si="220"/>
        <v>-769.2960000000021</v>
      </c>
      <c r="W1569" s="748">
        <v>55.7</v>
      </c>
      <c r="X1569" s="607">
        <f t="shared" si="221"/>
        <v>194771.76</v>
      </c>
      <c r="Y1569" s="702">
        <f t="shared" si="222"/>
        <v>44759.040000000008</v>
      </c>
      <c r="Z1569" s="748">
        <v>96.206580759134184</v>
      </c>
      <c r="AA1569" s="607">
        <f t="shared" si="223"/>
        <v>336415.17159854044</v>
      </c>
      <c r="AB1569" s="749">
        <f t="shared" si="224"/>
        <v>-96884.371598540427</v>
      </c>
      <c r="AC1569" s="714"/>
    </row>
    <row r="1570" spans="1:29" x14ac:dyDescent="0.25">
      <c r="A1570" s="713"/>
      <c r="B1570" s="714" t="s">
        <v>2411</v>
      </c>
      <c r="C1570" s="676" t="s">
        <v>40</v>
      </c>
      <c r="D1570" s="676" t="s">
        <v>346</v>
      </c>
      <c r="E1570" s="680">
        <v>44958</v>
      </c>
      <c r="F1570" s="676">
        <v>672</v>
      </c>
      <c r="G1570" s="676" t="s">
        <v>59</v>
      </c>
      <c r="H1570" s="676" t="s">
        <v>3</v>
      </c>
      <c r="I1570" s="676" t="s">
        <v>44</v>
      </c>
      <c r="J1570" s="676" t="s">
        <v>85</v>
      </c>
      <c r="K1570" s="676">
        <v>83.261273209549074</v>
      </c>
      <c r="L1570" s="690" t="s">
        <v>54</v>
      </c>
      <c r="M1570" s="691">
        <v>0</v>
      </c>
      <c r="N1570" s="690">
        <v>4.7</v>
      </c>
      <c r="O1570" s="691">
        <v>0</v>
      </c>
      <c r="P1570" s="690">
        <v>68.5</v>
      </c>
      <c r="Q1570" s="738">
        <f t="shared" si="216"/>
        <v>0</v>
      </c>
      <c r="R1570" s="677">
        <f t="shared" si="217"/>
        <v>216350.4</v>
      </c>
      <c r="S1570" s="739">
        <f t="shared" si="218"/>
        <v>216350.4</v>
      </c>
      <c r="T1570" s="738">
        <v>69.25</v>
      </c>
      <c r="U1570" s="677">
        <f t="shared" si="219"/>
        <v>218719.2</v>
      </c>
      <c r="V1570" s="739">
        <f t="shared" si="220"/>
        <v>-2368.8000000000175</v>
      </c>
      <c r="W1570" s="740">
        <v>55.7</v>
      </c>
      <c r="X1570" s="678">
        <f t="shared" si="221"/>
        <v>175922.88</v>
      </c>
      <c r="Y1570" s="700">
        <f t="shared" si="222"/>
        <v>40427.51999999999</v>
      </c>
      <c r="Z1570" s="740">
        <v>92.430648861364247</v>
      </c>
      <c r="AA1570" s="678">
        <f t="shared" si="223"/>
        <v>291932.96136373287</v>
      </c>
      <c r="AB1570" s="741">
        <f t="shared" si="224"/>
        <v>-75582.561363732879</v>
      </c>
      <c r="AC1570" s="714"/>
    </row>
    <row r="1571" spans="1:29" x14ac:dyDescent="0.25">
      <c r="A1571" s="713"/>
      <c r="B1571" s="714" t="s">
        <v>2411</v>
      </c>
      <c r="C1571" s="676" t="s">
        <v>40</v>
      </c>
      <c r="D1571" s="676" t="s">
        <v>346</v>
      </c>
      <c r="E1571" s="680">
        <v>44986</v>
      </c>
      <c r="F1571" s="676">
        <v>744</v>
      </c>
      <c r="G1571" s="676" t="s">
        <v>59</v>
      </c>
      <c r="H1571" s="676" t="s">
        <v>3</v>
      </c>
      <c r="I1571" s="676" t="s">
        <v>44</v>
      </c>
      <c r="J1571" s="676" t="s">
        <v>85</v>
      </c>
      <c r="K1571" s="676">
        <v>83.261273209549074</v>
      </c>
      <c r="L1571" s="690" t="s">
        <v>54</v>
      </c>
      <c r="M1571" s="691">
        <v>0</v>
      </c>
      <c r="N1571" s="690">
        <v>4.7</v>
      </c>
      <c r="O1571" s="691">
        <v>0</v>
      </c>
      <c r="P1571" s="690">
        <v>68.5</v>
      </c>
      <c r="Q1571" s="738">
        <f t="shared" si="216"/>
        <v>0</v>
      </c>
      <c r="R1571" s="677">
        <f t="shared" si="217"/>
        <v>239530.80000000002</v>
      </c>
      <c r="S1571" s="739">
        <f t="shared" si="218"/>
        <v>239530.80000000002</v>
      </c>
      <c r="T1571" s="738">
        <v>69.3</v>
      </c>
      <c r="U1571" s="677">
        <f t="shared" si="219"/>
        <v>242328.24</v>
      </c>
      <c r="V1571" s="739">
        <f t="shared" si="220"/>
        <v>-2797.4399999999732</v>
      </c>
      <c r="W1571" s="740">
        <v>55.7</v>
      </c>
      <c r="X1571" s="678">
        <f t="shared" si="221"/>
        <v>194771.76</v>
      </c>
      <c r="Y1571" s="700">
        <f t="shared" si="222"/>
        <v>44759.040000000008</v>
      </c>
      <c r="Z1571" s="740">
        <v>89.053218420260009</v>
      </c>
      <c r="AA1571" s="678">
        <f t="shared" si="223"/>
        <v>311401.29417196522</v>
      </c>
      <c r="AB1571" s="741">
        <f t="shared" si="224"/>
        <v>-71870.494171965198</v>
      </c>
      <c r="AC1571" s="714"/>
    </row>
    <row r="1572" spans="1:29" x14ac:dyDescent="0.25">
      <c r="A1572" s="713"/>
      <c r="B1572" s="714" t="s">
        <v>2411</v>
      </c>
      <c r="C1572" s="676" t="s">
        <v>40</v>
      </c>
      <c r="D1572" s="676" t="s">
        <v>346</v>
      </c>
      <c r="E1572" s="680">
        <v>45017</v>
      </c>
      <c r="F1572" s="676">
        <v>720</v>
      </c>
      <c r="G1572" s="676" t="s">
        <v>59</v>
      </c>
      <c r="H1572" s="676" t="s">
        <v>3</v>
      </c>
      <c r="I1572" s="676" t="s">
        <v>44</v>
      </c>
      <c r="J1572" s="676" t="s">
        <v>85</v>
      </c>
      <c r="K1572" s="676">
        <v>83.261273209549074</v>
      </c>
      <c r="L1572" s="690" t="s">
        <v>54</v>
      </c>
      <c r="M1572" s="691">
        <v>0</v>
      </c>
      <c r="N1572" s="690">
        <v>20</v>
      </c>
      <c r="O1572" s="691">
        <v>0</v>
      </c>
      <c r="P1572" s="690">
        <v>72.599999999999994</v>
      </c>
      <c r="Q1572" s="738">
        <f t="shared" si="216"/>
        <v>0</v>
      </c>
      <c r="R1572" s="677">
        <f t="shared" si="217"/>
        <v>1045439.9999999999</v>
      </c>
      <c r="S1572" s="739">
        <f t="shared" si="218"/>
        <v>1045439.9999999999</v>
      </c>
      <c r="T1572" s="738">
        <v>69.8</v>
      </c>
      <c r="U1572" s="677">
        <f t="shared" si="219"/>
        <v>1005120</v>
      </c>
      <c r="V1572" s="739">
        <f t="shared" si="220"/>
        <v>40319.999999999884</v>
      </c>
      <c r="W1572" s="740">
        <v>55.7</v>
      </c>
      <c r="X1572" s="678">
        <f t="shared" si="221"/>
        <v>802080</v>
      </c>
      <c r="Y1572" s="700">
        <f t="shared" si="222"/>
        <v>243359.99999999988</v>
      </c>
      <c r="Z1572" s="740">
        <v>85.732008718771311</v>
      </c>
      <c r="AA1572" s="678">
        <f t="shared" si="223"/>
        <v>1234540.9255503069</v>
      </c>
      <c r="AB1572" s="741">
        <f t="shared" si="224"/>
        <v>-189100.92555030703</v>
      </c>
      <c r="AC1572" s="714"/>
    </row>
    <row r="1573" spans="1:29" x14ac:dyDescent="0.25">
      <c r="A1573" s="713"/>
      <c r="B1573" s="714" t="s">
        <v>2411</v>
      </c>
      <c r="C1573" s="676" t="s">
        <v>40</v>
      </c>
      <c r="D1573" s="676" t="s">
        <v>346</v>
      </c>
      <c r="E1573" s="680">
        <v>45047</v>
      </c>
      <c r="F1573" s="676">
        <v>744</v>
      </c>
      <c r="G1573" s="676" t="s">
        <v>59</v>
      </c>
      <c r="H1573" s="676" t="s">
        <v>3</v>
      </c>
      <c r="I1573" s="676" t="s">
        <v>44</v>
      </c>
      <c r="J1573" s="676" t="s">
        <v>85</v>
      </c>
      <c r="K1573" s="676">
        <v>83.261273209549074</v>
      </c>
      <c r="L1573" s="690" t="s">
        <v>54</v>
      </c>
      <c r="M1573" s="691">
        <v>0</v>
      </c>
      <c r="N1573" s="690">
        <v>20</v>
      </c>
      <c r="O1573" s="691">
        <v>0</v>
      </c>
      <c r="P1573" s="690">
        <v>72.599999999999994</v>
      </c>
      <c r="Q1573" s="738">
        <f t="shared" si="216"/>
        <v>0</v>
      </c>
      <c r="R1573" s="677">
        <f t="shared" si="217"/>
        <v>1080288</v>
      </c>
      <c r="S1573" s="739">
        <f t="shared" si="218"/>
        <v>1080288</v>
      </c>
      <c r="T1573" s="738">
        <v>70.2</v>
      </c>
      <c r="U1573" s="677">
        <f t="shared" si="219"/>
        <v>1044576</v>
      </c>
      <c r="V1573" s="739">
        <f t="shared" si="220"/>
        <v>35712</v>
      </c>
      <c r="W1573" s="740">
        <v>55.7</v>
      </c>
      <c r="X1573" s="678">
        <f t="shared" si="221"/>
        <v>828816</v>
      </c>
      <c r="Y1573" s="700">
        <f t="shared" si="222"/>
        <v>251472</v>
      </c>
      <c r="Z1573" s="740">
        <v>86.223309628334476</v>
      </c>
      <c r="AA1573" s="678">
        <f t="shared" si="223"/>
        <v>1283002.847269617</v>
      </c>
      <c r="AB1573" s="741">
        <f t="shared" si="224"/>
        <v>-202714.84726961702</v>
      </c>
      <c r="AC1573" s="714"/>
    </row>
    <row r="1574" spans="1:29" x14ac:dyDescent="0.25">
      <c r="A1574" s="713"/>
      <c r="B1574" s="714" t="s">
        <v>2411</v>
      </c>
      <c r="C1574" s="676" t="s">
        <v>40</v>
      </c>
      <c r="D1574" s="676" t="s">
        <v>346</v>
      </c>
      <c r="E1574" s="680">
        <v>45078</v>
      </c>
      <c r="F1574" s="676">
        <v>720</v>
      </c>
      <c r="G1574" s="676" t="s">
        <v>59</v>
      </c>
      <c r="H1574" s="676" t="s">
        <v>3</v>
      </c>
      <c r="I1574" s="676" t="s">
        <v>44</v>
      </c>
      <c r="J1574" s="676" t="s">
        <v>85</v>
      </c>
      <c r="K1574" s="676">
        <v>83.261273209549074</v>
      </c>
      <c r="L1574" s="690" t="s">
        <v>54</v>
      </c>
      <c r="M1574" s="691">
        <v>0</v>
      </c>
      <c r="N1574" s="690">
        <v>20</v>
      </c>
      <c r="O1574" s="691">
        <v>0</v>
      </c>
      <c r="P1574" s="690">
        <v>72.599999999999994</v>
      </c>
      <c r="Q1574" s="738">
        <f t="shared" si="216"/>
        <v>0</v>
      </c>
      <c r="R1574" s="677">
        <f t="shared" si="217"/>
        <v>1045439.9999999999</v>
      </c>
      <c r="S1574" s="739">
        <f t="shared" si="218"/>
        <v>1045439.9999999999</v>
      </c>
      <c r="T1574" s="738">
        <v>72.400000000000006</v>
      </c>
      <c r="U1574" s="677">
        <f t="shared" si="219"/>
        <v>1042560.0000000001</v>
      </c>
      <c r="V1574" s="739">
        <f t="shared" si="220"/>
        <v>2879.9999999997672</v>
      </c>
      <c r="W1574" s="740">
        <v>55.874535369068141</v>
      </c>
      <c r="X1574" s="678">
        <f t="shared" si="221"/>
        <v>804593.30931458122</v>
      </c>
      <c r="Y1574" s="700">
        <f t="shared" si="222"/>
        <v>240846.69068541867</v>
      </c>
      <c r="Z1574" s="740">
        <v>88.925464630931856</v>
      </c>
      <c r="AA1574" s="678">
        <f t="shared" si="223"/>
        <v>1280526.6906854187</v>
      </c>
      <c r="AB1574" s="741">
        <f t="shared" si="224"/>
        <v>-235086.69068541878</v>
      </c>
      <c r="AC1574" s="714"/>
    </row>
    <row r="1575" spans="1:29" x14ac:dyDescent="0.25">
      <c r="A1575" s="713"/>
      <c r="B1575" s="714" t="s">
        <v>2411</v>
      </c>
      <c r="C1575" s="676" t="s">
        <v>40</v>
      </c>
      <c r="D1575" s="676" t="s">
        <v>346</v>
      </c>
      <c r="E1575" s="680">
        <v>45108</v>
      </c>
      <c r="F1575" s="676">
        <v>744</v>
      </c>
      <c r="G1575" s="676" t="s">
        <v>59</v>
      </c>
      <c r="H1575" s="676" t="s">
        <v>3</v>
      </c>
      <c r="I1575" s="676" t="s">
        <v>44</v>
      </c>
      <c r="J1575" s="676" t="s">
        <v>85</v>
      </c>
      <c r="K1575" s="676">
        <v>83.261273209549074</v>
      </c>
      <c r="L1575" s="690" t="s">
        <v>54</v>
      </c>
      <c r="M1575" s="691">
        <v>0</v>
      </c>
      <c r="N1575" s="690">
        <v>0</v>
      </c>
      <c r="O1575" s="691">
        <v>0</v>
      </c>
      <c r="P1575" s="690">
        <v>0</v>
      </c>
      <c r="Q1575" s="738">
        <f t="shared" si="216"/>
        <v>0</v>
      </c>
      <c r="R1575" s="677">
        <f t="shared" si="217"/>
        <v>0</v>
      </c>
      <c r="S1575" s="739">
        <f t="shared" si="218"/>
        <v>0</v>
      </c>
      <c r="T1575" s="738">
        <v>77.150000000000006</v>
      </c>
      <c r="U1575" s="677">
        <f t="shared" si="219"/>
        <v>0</v>
      </c>
      <c r="V1575" s="739">
        <f t="shared" si="220"/>
        <v>0</v>
      </c>
      <c r="W1575" s="740">
        <v>59.54033706800562</v>
      </c>
      <c r="X1575" s="678">
        <f t="shared" si="221"/>
        <v>0</v>
      </c>
      <c r="Y1575" s="700">
        <f t="shared" si="222"/>
        <v>0</v>
      </c>
      <c r="Z1575" s="740">
        <v>94.759662931994384</v>
      </c>
      <c r="AA1575" s="678">
        <f t="shared" si="223"/>
        <v>0</v>
      </c>
      <c r="AB1575" s="741">
        <f t="shared" si="224"/>
        <v>0</v>
      </c>
      <c r="AC1575" s="714"/>
    </row>
    <row r="1576" spans="1:29" x14ac:dyDescent="0.25">
      <c r="A1576" s="713"/>
      <c r="B1576" s="714" t="s">
        <v>2411</v>
      </c>
      <c r="C1576" s="676" t="s">
        <v>40</v>
      </c>
      <c r="D1576" s="676" t="s">
        <v>346</v>
      </c>
      <c r="E1576" s="680">
        <v>45139</v>
      </c>
      <c r="F1576" s="676">
        <v>744</v>
      </c>
      <c r="G1576" s="676" t="s">
        <v>59</v>
      </c>
      <c r="H1576" s="676" t="s">
        <v>3</v>
      </c>
      <c r="I1576" s="676" t="s">
        <v>44</v>
      </c>
      <c r="J1576" s="676" t="s">
        <v>85</v>
      </c>
      <c r="K1576" s="676">
        <v>83.261273209549074</v>
      </c>
      <c r="L1576" s="690" t="s">
        <v>54</v>
      </c>
      <c r="M1576" s="691">
        <v>0</v>
      </c>
      <c r="N1576" s="690">
        <v>0</v>
      </c>
      <c r="O1576" s="691">
        <v>0</v>
      </c>
      <c r="P1576" s="690">
        <v>0</v>
      </c>
      <c r="Q1576" s="738">
        <f t="shared" si="216"/>
        <v>0</v>
      </c>
      <c r="R1576" s="677">
        <f t="shared" si="217"/>
        <v>0</v>
      </c>
      <c r="S1576" s="739">
        <f t="shared" si="218"/>
        <v>0</v>
      </c>
      <c r="T1576" s="738">
        <v>77.150000000000006</v>
      </c>
      <c r="U1576" s="677">
        <f t="shared" si="219"/>
        <v>0</v>
      </c>
      <c r="V1576" s="739">
        <f t="shared" si="220"/>
        <v>0</v>
      </c>
      <c r="W1576" s="740">
        <v>59.54033706800562</v>
      </c>
      <c r="X1576" s="678">
        <f t="shared" si="221"/>
        <v>0</v>
      </c>
      <c r="Y1576" s="700">
        <f t="shared" si="222"/>
        <v>0</v>
      </c>
      <c r="Z1576" s="740">
        <v>94.759662931994384</v>
      </c>
      <c r="AA1576" s="678">
        <f t="shared" si="223"/>
        <v>0</v>
      </c>
      <c r="AB1576" s="741">
        <f t="shared" si="224"/>
        <v>0</v>
      </c>
      <c r="AC1576" s="714"/>
    </row>
    <row r="1577" spans="1:29" x14ac:dyDescent="0.25">
      <c r="A1577" s="713"/>
      <c r="B1577" s="714" t="s">
        <v>2411</v>
      </c>
      <c r="C1577" s="676" t="s">
        <v>40</v>
      </c>
      <c r="D1577" s="676" t="s">
        <v>346</v>
      </c>
      <c r="E1577" s="680">
        <v>45170</v>
      </c>
      <c r="F1577" s="676">
        <v>720</v>
      </c>
      <c r="G1577" s="676" t="s">
        <v>59</v>
      </c>
      <c r="H1577" s="676" t="s">
        <v>3</v>
      </c>
      <c r="I1577" s="676" t="s">
        <v>44</v>
      </c>
      <c r="J1577" s="676" t="s">
        <v>85</v>
      </c>
      <c r="K1577" s="676">
        <v>83.261273209549074</v>
      </c>
      <c r="L1577" s="690" t="s">
        <v>54</v>
      </c>
      <c r="M1577" s="691">
        <v>0</v>
      </c>
      <c r="N1577" s="690">
        <v>0</v>
      </c>
      <c r="O1577" s="691">
        <v>0</v>
      </c>
      <c r="P1577" s="690">
        <v>0</v>
      </c>
      <c r="Q1577" s="738">
        <f t="shared" si="216"/>
        <v>0</v>
      </c>
      <c r="R1577" s="677">
        <f t="shared" si="217"/>
        <v>0</v>
      </c>
      <c r="S1577" s="739">
        <f t="shared" si="218"/>
        <v>0</v>
      </c>
      <c r="T1577" s="738">
        <v>77.150000000000006</v>
      </c>
      <c r="U1577" s="677">
        <f t="shared" si="219"/>
        <v>0</v>
      </c>
      <c r="V1577" s="739">
        <f t="shared" si="220"/>
        <v>0</v>
      </c>
      <c r="W1577" s="740">
        <v>59.54033706800562</v>
      </c>
      <c r="X1577" s="678">
        <f t="shared" si="221"/>
        <v>0</v>
      </c>
      <c r="Y1577" s="700">
        <f t="shared" si="222"/>
        <v>0</v>
      </c>
      <c r="Z1577" s="740">
        <v>94.759662931994384</v>
      </c>
      <c r="AA1577" s="678">
        <f t="shared" si="223"/>
        <v>0</v>
      </c>
      <c r="AB1577" s="741">
        <f t="shared" si="224"/>
        <v>0</v>
      </c>
      <c r="AC1577" s="714"/>
    </row>
    <row r="1578" spans="1:29" x14ac:dyDescent="0.25">
      <c r="A1578" s="713"/>
      <c r="B1578" s="714" t="s">
        <v>2411</v>
      </c>
      <c r="C1578" s="676" t="s">
        <v>40</v>
      </c>
      <c r="D1578" s="676" t="s">
        <v>346</v>
      </c>
      <c r="E1578" s="680">
        <v>45200</v>
      </c>
      <c r="F1578" s="676">
        <v>744</v>
      </c>
      <c r="G1578" s="676" t="s">
        <v>59</v>
      </c>
      <c r="H1578" s="676" t="s">
        <v>3</v>
      </c>
      <c r="I1578" s="676" t="s">
        <v>44</v>
      </c>
      <c r="J1578" s="676" t="s">
        <v>85</v>
      </c>
      <c r="K1578" s="676">
        <v>83.261273209549074</v>
      </c>
      <c r="L1578" s="690" t="s">
        <v>54</v>
      </c>
      <c r="M1578" s="691">
        <v>0</v>
      </c>
      <c r="N1578" s="690">
        <v>0</v>
      </c>
      <c r="O1578" s="691">
        <v>0</v>
      </c>
      <c r="P1578" s="690">
        <v>0</v>
      </c>
      <c r="Q1578" s="738">
        <f t="shared" si="216"/>
        <v>0</v>
      </c>
      <c r="R1578" s="677">
        <f t="shared" si="217"/>
        <v>0</v>
      </c>
      <c r="S1578" s="739">
        <f t="shared" si="218"/>
        <v>0</v>
      </c>
      <c r="T1578" s="738">
        <v>80.45</v>
      </c>
      <c r="U1578" s="677">
        <f t="shared" si="219"/>
        <v>0</v>
      </c>
      <c r="V1578" s="739">
        <f t="shared" si="220"/>
        <v>0</v>
      </c>
      <c r="W1578" s="740">
        <v>62.087104564109552</v>
      </c>
      <c r="X1578" s="678">
        <f t="shared" si="221"/>
        <v>0</v>
      </c>
      <c r="Y1578" s="700">
        <f t="shared" si="222"/>
        <v>0</v>
      </c>
      <c r="Z1578" s="740">
        <v>98.812895435890439</v>
      </c>
      <c r="AA1578" s="678">
        <f t="shared" si="223"/>
        <v>0</v>
      </c>
      <c r="AB1578" s="741">
        <f t="shared" si="224"/>
        <v>0</v>
      </c>
      <c r="AC1578" s="714"/>
    </row>
    <row r="1579" spans="1:29" x14ac:dyDescent="0.25">
      <c r="A1579" s="713"/>
      <c r="B1579" s="714" t="s">
        <v>2411</v>
      </c>
      <c r="C1579" s="676" t="s">
        <v>40</v>
      </c>
      <c r="D1579" s="676" t="s">
        <v>346</v>
      </c>
      <c r="E1579" s="680">
        <v>45231</v>
      </c>
      <c r="F1579" s="676">
        <v>720</v>
      </c>
      <c r="G1579" s="676" t="s">
        <v>59</v>
      </c>
      <c r="H1579" s="676" t="s">
        <v>3</v>
      </c>
      <c r="I1579" s="676" t="s">
        <v>44</v>
      </c>
      <c r="J1579" s="676" t="s">
        <v>85</v>
      </c>
      <c r="K1579" s="676">
        <v>83.261273209549074</v>
      </c>
      <c r="L1579" s="690" t="s">
        <v>54</v>
      </c>
      <c r="M1579" s="691">
        <v>0</v>
      </c>
      <c r="N1579" s="690">
        <v>0</v>
      </c>
      <c r="O1579" s="691">
        <v>0</v>
      </c>
      <c r="P1579" s="690">
        <v>0</v>
      </c>
      <c r="Q1579" s="738">
        <f t="shared" si="216"/>
        <v>0</v>
      </c>
      <c r="R1579" s="677">
        <f t="shared" si="217"/>
        <v>0</v>
      </c>
      <c r="S1579" s="739">
        <f t="shared" si="218"/>
        <v>0</v>
      </c>
      <c r="T1579" s="738">
        <v>80.45</v>
      </c>
      <c r="U1579" s="677">
        <f t="shared" si="219"/>
        <v>0</v>
      </c>
      <c r="V1579" s="739">
        <f t="shared" si="220"/>
        <v>0</v>
      </c>
      <c r="W1579" s="740">
        <v>62.087104564109552</v>
      </c>
      <c r="X1579" s="678">
        <f t="shared" si="221"/>
        <v>0</v>
      </c>
      <c r="Y1579" s="700">
        <f t="shared" si="222"/>
        <v>0</v>
      </c>
      <c r="Z1579" s="740">
        <v>98.812895435890439</v>
      </c>
      <c r="AA1579" s="678">
        <f t="shared" si="223"/>
        <v>0</v>
      </c>
      <c r="AB1579" s="741">
        <f t="shared" si="224"/>
        <v>0</v>
      </c>
      <c r="AC1579" s="714"/>
    </row>
    <row r="1580" spans="1:29" x14ac:dyDescent="0.25">
      <c r="A1580" s="713"/>
      <c r="B1580" s="729" t="s">
        <v>2411</v>
      </c>
      <c r="C1580" s="545" t="s">
        <v>40</v>
      </c>
      <c r="D1580" s="545" t="s">
        <v>346</v>
      </c>
      <c r="E1580" s="681">
        <v>45261</v>
      </c>
      <c r="F1580" s="545">
        <v>744</v>
      </c>
      <c r="G1580" s="545" t="s">
        <v>59</v>
      </c>
      <c r="H1580" s="545" t="s">
        <v>3</v>
      </c>
      <c r="I1580" s="545" t="s">
        <v>44</v>
      </c>
      <c r="J1580" s="545" t="s">
        <v>85</v>
      </c>
      <c r="K1580" s="545">
        <v>83.261273209549074</v>
      </c>
      <c r="L1580" s="725" t="s">
        <v>54</v>
      </c>
      <c r="M1580" s="695">
        <v>0</v>
      </c>
      <c r="N1580" s="725">
        <v>39</v>
      </c>
      <c r="O1580" s="695">
        <v>0</v>
      </c>
      <c r="P1580" s="725">
        <v>105</v>
      </c>
      <c r="Q1580" s="742">
        <f t="shared" si="216"/>
        <v>0</v>
      </c>
      <c r="R1580" s="603">
        <f t="shared" si="217"/>
        <v>3046680</v>
      </c>
      <c r="S1580" s="743">
        <f t="shared" si="218"/>
        <v>3046680</v>
      </c>
      <c r="T1580" s="742">
        <v>80.45</v>
      </c>
      <c r="U1580" s="603">
        <f t="shared" si="219"/>
        <v>2334337.2000000002</v>
      </c>
      <c r="V1580" s="743">
        <f t="shared" si="220"/>
        <v>712342.79999999981</v>
      </c>
      <c r="W1580" s="744">
        <v>62.087104564109552</v>
      </c>
      <c r="X1580" s="604">
        <f t="shared" si="221"/>
        <v>1801519.4260322028</v>
      </c>
      <c r="Y1580" s="701">
        <f t="shared" si="222"/>
        <v>1245160.5739677972</v>
      </c>
      <c r="Z1580" s="744">
        <v>98.812895435890439</v>
      </c>
      <c r="AA1580" s="604">
        <f t="shared" si="223"/>
        <v>2867154.9739677971</v>
      </c>
      <c r="AB1580" s="745">
        <f t="shared" si="224"/>
        <v>179525.02603220288</v>
      </c>
      <c r="AC1580" s="714"/>
    </row>
    <row r="1581" spans="1:29" x14ac:dyDescent="0.25">
      <c r="A1581" s="713"/>
      <c r="B1581" s="731" t="s">
        <v>2417</v>
      </c>
      <c r="C1581" s="547" t="s">
        <v>40</v>
      </c>
      <c r="D1581" s="547" t="s">
        <v>531</v>
      </c>
      <c r="E1581" s="683">
        <v>44896</v>
      </c>
      <c r="F1581" s="547">
        <v>744</v>
      </c>
      <c r="G1581" s="547" t="s">
        <v>59</v>
      </c>
      <c r="H1581" s="547" t="s">
        <v>3</v>
      </c>
      <c r="I1581" s="547" t="s">
        <v>44</v>
      </c>
      <c r="J1581" s="547" t="s">
        <v>85</v>
      </c>
      <c r="K1581" s="547">
        <v>57</v>
      </c>
      <c r="L1581" s="727" t="s">
        <v>54</v>
      </c>
      <c r="M1581" s="697">
        <v>0</v>
      </c>
      <c r="N1581" s="727">
        <v>3.5</v>
      </c>
      <c r="O1581" s="697">
        <v>0</v>
      </c>
      <c r="P1581" s="727">
        <v>57</v>
      </c>
      <c r="Q1581" s="750">
        <f t="shared" si="216"/>
        <v>0</v>
      </c>
      <c r="R1581" s="608">
        <f t="shared" si="217"/>
        <v>148428</v>
      </c>
      <c r="S1581" s="751">
        <f t="shared" si="218"/>
        <v>148428</v>
      </c>
      <c r="T1581" s="750">
        <v>55.7</v>
      </c>
      <c r="U1581" s="608">
        <f t="shared" si="219"/>
        <v>145042.80000000002</v>
      </c>
      <c r="V1581" s="751">
        <f t="shared" si="220"/>
        <v>3385.1999999999825</v>
      </c>
      <c r="W1581" s="752">
        <v>55.7</v>
      </c>
      <c r="X1581" s="609">
        <f t="shared" si="221"/>
        <v>145042.80000000002</v>
      </c>
      <c r="Y1581" s="703">
        <f t="shared" si="222"/>
        <v>3385.1999999999825</v>
      </c>
      <c r="Z1581" s="752">
        <v>78.400653594793155</v>
      </c>
      <c r="AA1581" s="609">
        <f t="shared" si="223"/>
        <v>204155.30196084137</v>
      </c>
      <c r="AB1581" s="753">
        <f t="shared" si="224"/>
        <v>-55727.301960841374</v>
      </c>
      <c r="AC1581" s="714"/>
    </row>
    <row r="1582" spans="1:29" x14ac:dyDescent="0.25">
      <c r="A1582" s="713"/>
      <c r="B1582" s="730" t="s">
        <v>2419</v>
      </c>
      <c r="C1582" s="546" t="s">
        <v>40</v>
      </c>
      <c r="D1582" s="546" t="s">
        <v>477</v>
      </c>
      <c r="E1582" s="682">
        <v>45200</v>
      </c>
      <c r="F1582" s="546">
        <v>744</v>
      </c>
      <c r="G1582" s="546" t="s">
        <v>59</v>
      </c>
      <c r="H1582" s="546" t="s">
        <v>3</v>
      </c>
      <c r="I1582" s="546" t="s">
        <v>44</v>
      </c>
      <c r="J1582" s="546" t="s">
        <v>85</v>
      </c>
      <c r="K1582" s="546">
        <v>115</v>
      </c>
      <c r="L1582" s="726" t="s">
        <v>54</v>
      </c>
      <c r="M1582" s="696">
        <v>0</v>
      </c>
      <c r="N1582" s="726">
        <v>5</v>
      </c>
      <c r="O1582" s="696">
        <v>0</v>
      </c>
      <c r="P1582" s="726">
        <v>115</v>
      </c>
      <c r="Q1582" s="746">
        <f t="shared" si="216"/>
        <v>0</v>
      </c>
      <c r="R1582" s="606">
        <f t="shared" si="217"/>
        <v>427800</v>
      </c>
      <c r="S1582" s="747">
        <f t="shared" si="218"/>
        <v>427800</v>
      </c>
      <c r="T1582" s="746">
        <v>80.45</v>
      </c>
      <c r="U1582" s="606">
        <f t="shared" si="219"/>
        <v>299274</v>
      </c>
      <c r="V1582" s="747">
        <f t="shared" si="220"/>
        <v>128526</v>
      </c>
      <c r="W1582" s="748">
        <v>62.087104564109552</v>
      </c>
      <c r="X1582" s="607">
        <f t="shared" si="221"/>
        <v>230964.02897848753</v>
      </c>
      <c r="Y1582" s="702">
        <f t="shared" si="222"/>
        <v>196835.97102151247</v>
      </c>
      <c r="Z1582" s="748">
        <v>98.812895435890439</v>
      </c>
      <c r="AA1582" s="607">
        <f t="shared" si="223"/>
        <v>367583.97102151241</v>
      </c>
      <c r="AB1582" s="749">
        <f t="shared" si="224"/>
        <v>60216.028978487593</v>
      </c>
      <c r="AC1582" s="714"/>
    </row>
    <row r="1583" spans="1:29" x14ac:dyDescent="0.25">
      <c r="A1583" s="713"/>
      <c r="B1583" s="714" t="s">
        <v>2419</v>
      </c>
      <c r="C1583" s="676" t="s">
        <v>40</v>
      </c>
      <c r="D1583" s="676" t="s">
        <v>477</v>
      </c>
      <c r="E1583" s="680">
        <v>45231</v>
      </c>
      <c r="F1583" s="676">
        <v>720</v>
      </c>
      <c r="G1583" s="676" t="s">
        <v>59</v>
      </c>
      <c r="H1583" s="676" t="s">
        <v>3</v>
      </c>
      <c r="I1583" s="676" t="s">
        <v>44</v>
      </c>
      <c r="J1583" s="676" t="s">
        <v>85</v>
      </c>
      <c r="K1583" s="676">
        <v>115</v>
      </c>
      <c r="L1583" s="690" t="s">
        <v>54</v>
      </c>
      <c r="M1583" s="691">
        <v>0</v>
      </c>
      <c r="N1583" s="690">
        <v>5</v>
      </c>
      <c r="O1583" s="691">
        <v>0</v>
      </c>
      <c r="P1583" s="690">
        <v>115</v>
      </c>
      <c r="Q1583" s="738">
        <f t="shared" si="216"/>
        <v>0</v>
      </c>
      <c r="R1583" s="677">
        <f t="shared" si="217"/>
        <v>414000</v>
      </c>
      <c r="S1583" s="739">
        <f t="shared" si="218"/>
        <v>414000</v>
      </c>
      <c r="T1583" s="738">
        <v>80.45</v>
      </c>
      <c r="U1583" s="677">
        <f t="shared" si="219"/>
        <v>289620</v>
      </c>
      <c r="V1583" s="739">
        <f t="shared" si="220"/>
        <v>124380</v>
      </c>
      <c r="W1583" s="740">
        <v>62.087104564109552</v>
      </c>
      <c r="X1583" s="678">
        <f t="shared" si="221"/>
        <v>223513.57643079438</v>
      </c>
      <c r="Y1583" s="700">
        <f t="shared" si="222"/>
        <v>190486.42356920562</v>
      </c>
      <c r="Z1583" s="740">
        <v>98.812895435890439</v>
      </c>
      <c r="AA1583" s="678">
        <f t="shared" si="223"/>
        <v>355726.42356920557</v>
      </c>
      <c r="AB1583" s="741">
        <f t="shared" si="224"/>
        <v>58273.576430794434</v>
      </c>
      <c r="AC1583" s="714"/>
    </row>
    <row r="1584" spans="1:29" x14ac:dyDescent="0.25">
      <c r="A1584" s="713"/>
      <c r="B1584" s="729" t="s">
        <v>2419</v>
      </c>
      <c r="C1584" s="545" t="s">
        <v>40</v>
      </c>
      <c r="D1584" s="545" t="s">
        <v>477</v>
      </c>
      <c r="E1584" s="681">
        <v>45261</v>
      </c>
      <c r="F1584" s="545">
        <v>744</v>
      </c>
      <c r="G1584" s="545" t="s">
        <v>59</v>
      </c>
      <c r="H1584" s="545" t="s">
        <v>3</v>
      </c>
      <c r="I1584" s="545" t="s">
        <v>44</v>
      </c>
      <c r="J1584" s="545" t="s">
        <v>85</v>
      </c>
      <c r="K1584" s="545">
        <v>115</v>
      </c>
      <c r="L1584" s="725" t="s">
        <v>54</v>
      </c>
      <c r="M1584" s="695">
        <v>0</v>
      </c>
      <c r="N1584" s="725">
        <v>5</v>
      </c>
      <c r="O1584" s="695">
        <v>0</v>
      </c>
      <c r="P1584" s="725">
        <v>115</v>
      </c>
      <c r="Q1584" s="742">
        <f t="shared" si="216"/>
        <v>0</v>
      </c>
      <c r="R1584" s="603">
        <f t="shared" si="217"/>
        <v>427800</v>
      </c>
      <c r="S1584" s="743">
        <f t="shared" si="218"/>
        <v>427800</v>
      </c>
      <c r="T1584" s="742">
        <v>80.45</v>
      </c>
      <c r="U1584" s="603">
        <f t="shared" si="219"/>
        <v>299274</v>
      </c>
      <c r="V1584" s="743">
        <f t="shared" si="220"/>
        <v>128526</v>
      </c>
      <c r="W1584" s="744">
        <v>62.087104564109552</v>
      </c>
      <c r="X1584" s="604">
        <f t="shared" si="221"/>
        <v>230964.02897848753</v>
      </c>
      <c r="Y1584" s="701">
        <f t="shared" si="222"/>
        <v>196835.97102151247</v>
      </c>
      <c r="Z1584" s="744">
        <v>98.812895435890439</v>
      </c>
      <c r="AA1584" s="604">
        <f t="shared" si="223"/>
        <v>367583.97102151241</v>
      </c>
      <c r="AB1584" s="745">
        <f t="shared" si="224"/>
        <v>60216.028978487593</v>
      </c>
      <c r="AC1584" s="714"/>
    </row>
    <row r="1585" spans="1:29" x14ac:dyDescent="0.25">
      <c r="A1585" s="713"/>
      <c r="B1585" s="730" t="s">
        <v>2421</v>
      </c>
      <c r="C1585" s="546" t="s">
        <v>40</v>
      </c>
      <c r="D1585" s="546" t="s">
        <v>477</v>
      </c>
      <c r="E1585" s="682">
        <v>45108</v>
      </c>
      <c r="F1585" s="546">
        <v>744</v>
      </c>
      <c r="G1585" s="546" t="s">
        <v>58</v>
      </c>
      <c r="H1585" s="546" t="s">
        <v>3</v>
      </c>
      <c r="I1585" s="546" t="s">
        <v>44</v>
      </c>
      <c r="J1585" s="546" t="s">
        <v>84</v>
      </c>
      <c r="K1585" s="546">
        <v>115</v>
      </c>
      <c r="L1585" s="726" t="s">
        <v>54</v>
      </c>
      <c r="M1585" s="696">
        <v>5</v>
      </c>
      <c r="N1585" s="726">
        <v>0</v>
      </c>
      <c r="O1585" s="696">
        <v>115</v>
      </c>
      <c r="P1585" s="726">
        <v>0</v>
      </c>
      <c r="Q1585" s="746">
        <f t="shared" si="216"/>
        <v>427800</v>
      </c>
      <c r="R1585" s="606">
        <f t="shared" si="217"/>
        <v>0</v>
      </c>
      <c r="S1585" s="747">
        <f t="shared" si="218"/>
        <v>-427800</v>
      </c>
      <c r="T1585" s="746">
        <v>77.150000000000006</v>
      </c>
      <c r="U1585" s="606">
        <f t="shared" si="219"/>
        <v>-286998</v>
      </c>
      <c r="V1585" s="747">
        <f t="shared" si="220"/>
        <v>-140802</v>
      </c>
      <c r="W1585" s="748">
        <v>59.54033706800562</v>
      </c>
      <c r="X1585" s="607">
        <f t="shared" si="221"/>
        <v>-221490.05389298091</v>
      </c>
      <c r="Y1585" s="702">
        <f t="shared" si="222"/>
        <v>-206309.94610701909</v>
      </c>
      <c r="Z1585" s="748">
        <v>94.759662931994384</v>
      </c>
      <c r="AA1585" s="607">
        <f t="shared" si="223"/>
        <v>-352505.94610701909</v>
      </c>
      <c r="AB1585" s="749">
        <f t="shared" si="224"/>
        <v>-75294.053892980912</v>
      </c>
      <c r="AC1585" s="714"/>
    </row>
    <row r="1586" spans="1:29" x14ac:dyDescent="0.25">
      <c r="A1586" s="713"/>
      <c r="B1586" s="714" t="s">
        <v>2421</v>
      </c>
      <c r="C1586" s="676" t="s">
        <v>40</v>
      </c>
      <c r="D1586" s="676" t="s">
        <v>477</v>
      </c>
      <c r="E1586" s="680">
        <v>45139</v>
      </c>
      <c r="F1586" s="676">
        <v>744</v>
      </c>
      <c r="G1586" s="676" t="s">
        <v>58</v>
      </c>
      <c r="H1586" s="676" t="s">
        <v>3</v>
      </c>
      <c r="I1586" s="676" t="s">
        <v>44</v>
      </c>
      <c r="J1586" s="676" t="s">
        <v>84</v>
      </c>
      <c r="K1586" s="676">
        <v>115</v>
      </c>
      <c r="L1586" s="690" t="s">
        <v>54</v>
      </c>
      <c r="M1586" s="691">
        <v>5</v>
      </c>
      <c r="N1586" s="690">
        <v>0</v>
      </c>
      <c r="O1586" s="691">
        <v>115</v>
      </c>
      <c r="P1586" s="690">
        <v>0</v>
      </c>
      <c r="Q1586" s="738">
        <f t="shared" si="216"/>
        <v>427800</v>
      </c>
      <c r="R1586" s="677">
        <f t="shared" si="217"/>
        <v>0</v>
      </c>
      <c r="S1586" s="739">
        <f t="shared" si="218"/>
        <v>-427800</v>
      </c>
      <c r="T1586" s="738">
        <v>77.150000000000006</v>
      </c>
      <c r="U1586" s="677">
        <f t="shared" si="219"/>
        <v>-286998</v>
      </c>
      <c r="V1586" s="739">
        <f t="shared" si="220"/>
        <v>-140802</v>
      </c>
      <c r="W1586" s="740">
        <v>59.54033706800562</v>
      </c>
      <c r="X1586" s="678">
        <f t="shared" si="221"/>
        <v>-221490.05389298091</v>
      </c>
      <c r="Y1586" s="700">
        <f t="shared" si="222"/>
        <v>-206309.94610701909</v>
      </c>
      <c r="Z1586" s="740">
        <v>94.759662931994384</v>
      </c>
      <c r="AA1586" s="678">
        <f t="shared" si="223"/>
        <v>-352505.94610701909</v>
      </c>
      <c r="AB1586" s="741">
        <f t="shared" si="224"/>
        <v>-75294.053892980912</v>
      </c>
      <c r="AC1586" s="714"/>
    </row>
    <row r="1587" spans="1:29" x14ac:dyDescent="0.25">
      <c r="A1587" s="713"/>
      <c r="B1587" s="729" t="s">
        <v>2421</v>
      </c>
      <c r="C1587" s="545" t="s">
        <v>40</v>
      </c>
      <c r="D1587" s="545" t="s">
        <v>477</v>
      </c>
      <c r="E1587" s="681">
        <v>45170</v>
      </c>
      <c r="F1587" s="545">
        <v>720</v>
      </c>
      <c r="G1587" s="545" t="s">
        <v>58</v>
      </c>
      <c r="H1587" s="545" t="s">
        <v>3</v>
      </c>
      <c r="I1587" s="545" t="s">
        <v>44</v>
      </c>
      <c r="J1587" s="545" t="s">
        <v>84</v>
      </c>
      <c r="K1587" s="545">
        <v>115</v>
      </c>
      <c r="L1587" s="725" t="s">
        <v>54</v>
      </c>
      <c r="M1587" s="695">
        <v>5</v>
      </c>
      <c r="N1587" s="725">
        <v>0</v>
      </c>
      <c r="O1587" s="695">
        <v>115</v>
      </c>
      <c r="P1587" s="725">
        <v>0</v>
      </c>
      <c r="Q1587" s="742">
        <f t="shared" si="216"/>
        <v>414000</v>
      </c>
      <c r="R1587" s="603">
        <f t="shared" si="217"/>
        <v>0</v>
      </c>
      <c r="S1587" s="743">
        <f t="shared" si="218"/>
        <v>-414000</v>
      </c>
      <c r="T1587" s="742">
        <v>77.150000000000006</v>
      </c>
      <c r="U1587" s="603">
        <f t="shared" si="219"/>
        <v>-277740</v>
      </c>
      <c r="V1587" s="743">
        <f t="shared" si="220"/>
        <v>-136260</v>
      </c>
      <c r="W1587" s="744">
        <v>59.54033706800562</v>
      </c>
      <c r="X1587" s="604">
        <f t="shared" si="221"/>
        <v>-214345.21344482023</v>
      </c>
      <c r="Y1587" s="701">
        <f t="shared" si="222"/>
        <v>-199654.78655517977</v>
      </c>
      <c r="Z1587" s="744">
        <v>94.759662931994384</v>
      </c>
      <c r="AA1587" s="604">
        <f t="shared" si="223"/>
        <v>-341134.7865551798</v>
      </c>
      <c r="AB1587" s="745">
        <f t="shared" si="224"/>
        <v>-72865.213444820198</v>
      </c>
      <c r="AC1587" s="714"/>
    </row>
    <row r="1588" spans="1:29" x14ac:dyDescent="0.25">
      <c r="A1588" s="713"/>
      <c r="B1588" s="731" t="s">
        <v>2426</v>
      </c>
      <c r="C1588" s="547" t="s">
        <v>40</v>
      </c>
      <c r="D1588" s="547" t="s">
        <v>590</v>
      </c>
      <c r="E1588" s="683">
        <v>45261</v>
      </c>
      <c r="F1588" s="547">
        <v>744</v>
      </c>
      <c r="G1588" s="547" t="s">
        <v>58</v>
      </c>
      <c r="H1588" s="547" t="s">
        <v>3</v>
      </c>
      <c r="I1588" s="547" t="s">
        <v>44</v>
      </c>
      <c r="J1588" s="547" t="s">
        <v>84</v>
      </c>
      <c r="K1588" s="547">
        <v>106.1</v>
      </c>
      <c r="L1588" s="727" t="s">
        <v>54</v>
      </c>
      <c r="M1588" s="697">
        <v>10</v>
      </c>
      <c r="N1588" s="727">
        <v>0</v>
      </c>
      <c r="O1588" s="697">
        <v>106.1</v>
      </c>
      <c r="P1588" s="727">
        <v>0</v>
      </c>
      <c r="Q1588" s="750">
        <f t="shared" si="216"/>
        <v>789384</v>
      </c>
      <c r="R1588" s="608">
        <f t="shared" si="217"/>
        <v>0</v>
      </c>
      <c r="S1588" s="751">
        <f t="shared" si="218"/>
        <v>-789384</v>
      </c>
      <c r="T1588" s="750">
        <v>80.45</v>
      </c>
      <c r="U1588" s="608">
        <f t="shared" si="219"/>
        <v>-598548</v>
      </c>
      <c r="V1588" s="751">
        <f t="shared" si="220"/>
        <v>-190836</v>
      </c>
      <c r="W1588" s="752">
        <v>62.087104564109552</v>
      </c>
      <c r="X1588" s="609">
        <f t="shared" si="221"/>
        <v>-461928.05795697507</v>
      </c>
      <c r="Y1588" s="703">
        <f t="shared" si="222"/>
        <v>-327455.94204302493</v>
      </c>
      <c r="Z1588" s="752">
        <v>98.812895435890439</v>
      </c>
      <c r="AA1588" s="609">
        <f t="shared" si="223"/>
        <v>-735167.94204302481</v>
      </c>
      <c r="AB1588" s="753">
        <f t="shared" si="224"/>
        <v>-54216.057956975186</v>
      </c>
      <c r="AC1588" s="714"/>
    </row>
    <row r="1589" spans="1:29" x14ac:dyDescent="0.25">
      <c r="A1589" s="713"/>
      <c r="B1589" s="731" t="s">
        <v>2428</v>
      </c>
      <c r="C1589" s="547" t="s">
        <v>40</v>
      </c>
      <c r="D1589" s="547" t="s">
        <v>355</v>
      </c>
      <c r="E1589" s="683">
        <v>44958</v>
      </c>
      <c r="F1589" s="547">
        <v>672</v>
      </c>
      <c r="G1589" s="547" t="s">
        <v>59</v>
      </c>
      <c r="H1589" s="547" t="s">
        <v>3</v>
      </c>
      <c r="I1589" s="547" t="s">
        <v>44</v>
      </c>
      <c r="J1589" s="547" t="s">
        <v>85</v>
      </c>
      <c r="K1589" s="547">
        <v>72.5</v>
      </c>
      <c r="L1589" s="727" t="s">
        <v>54</v>
      </c>
      <c r="M1589" s="697">
        <v>0</v>
      </c>
      <c r="N1589" s="727">
        <v>1</v>
      </c>
      <c r="O1589" s="697">
        <v>0</v>
      </c>
      <c r="P1589" s="727">
        <v>72.5</v>
      </c>
      <c r="Q1589" s="750">
        <f t="shared" si="216"/>
        <v>0</v>
      </c>
      <c r="R1589" s="608">
        <f t="shared" si="217"/>
        <v>48720</v>
      </c>
      <c r="S1589" s="751">
        <f t="shared" si="218"/>
        <v>48720</v>
      </c>
      <c r="T1589" s="750">
        <v>69.25</v>
      </c>
      <c r="U1589" s="608">
        <f t="shared" si="219"/>
        <v>46536</v>
      </c>
      <c r="V1589" s="751">
        <f t="shared" si="220"/>
        <v>2184</v>
      </c>
      <c r="W1589" s="752">
        <v>55.7</v>
      </c>
      <c r="X1589" s="609">
        <f t="shared" si="221"/>
        <v>37430.400000000001</v>
      </c>
      <c r="Y1589" s="703">
        <f t="shared" si="222"/>
        <v>11289.599999999999</v>
      </c>
      <c r="Z1589" s="752">
        <v>92.430648861364247</v>
      </c>
      <c r="AA1589" s="609">
        <f t="shared" si="223"/>
        <v>62113.396034836776</v>
      </c>
      <c r="AB1589" s="753">
        <f t="shared" si="224"/>
        <v>-13393.396034836776</v>
      </c>
      <c r="AC1589" s="714"/>
    </row>
    <row r="1590" spans="1:29" x14ac:dyDescent="0.25">
      <c r="A1590" s="713"/>
      <c r="B1590" s="731" t="s">
        <v>2444</v>
      </c>
      <c r="C1590" s="547" t="s">
        <v>40</v>
      </c>
      <c r="D1590" s="547" t="s">
        <v>981</v>
      </c>
      <c r="E1590" s="683">
        <v>45261</v>
      </c>
      <c r="F1590" s="547">
        <v>744</v>
      </c>
      <c r="G1590" s="547" t="s">
        <v>58</v>
      </c>
      <c r="H1590" s="547" t="s">
        <v>3</v>
      </c>
      <c r="I1590" s="547" t="s">
        <v>44</v>
      </c>
      <c r="J1590" s="547" t="s">
        <v>84</v>
      </c>
      <c r="K1590" s="547">
        <v>109</v>
      </c>
      <c r="L1590" s="727" t="s">
        <v>54</v>
      </c>
      <c r="M1590" s="697">
        <v>4.8387099999999998</v>
      </c>
      <c r="N1590" s="727">
        <v>0</v>
      </c>
      <c r="O1590" s="697">
        <v>109</v>
      </c>
      <c r="P1590" s="727">
        <v>0</v>
      </c>
      <c r="Q1590" s="750">
        <f t="shared" si="216"/>
        <v>392400.02616000001</v>
      </c>
      <c r="R1590" s="608">
        <f t="shared" si="217"/>
        <v>0</v>
      </c>
      <c r="S1590" s="751">
        <f t="shared" si="218"/>
        <v>-392400.02616000001</v>
      </c>
      <c r="T1590" s="750">
        <v>80.45</v>
      </c>
      <c r="U1590" s="608">
        <f t="shared" si="219"/>
        <v>-289620.01930799999</v>
      </c>
      <c r="V1590" s="751">
        <f t="shared" si="220"/>
        <v>-102780.00685200002</v>
      </c>
      <c r="W1590" s="752">
        <v>62.087104564109552</v>
      </c>
      <c r="X1590" s="609">
        <f t="shared" si="221"/>
        <v>-223513.59133169948</v>
      </c>
      <c r="Y1590" s="703">
        <f t="shared" si="222"/>
        <v>-168886.43482830052</v>
      </c>
      <c r="Z1590" s="752">
        <v>98.812895435890439</v>
      </c>
      <c r="AA1590" s="609">
        <f t="shared" si="223"/>
        <v>-355726.44728430046</v>
      </c>
      <c r="AB1590" s="753">
        <f t="shared" si="224"/>
        <v>-36673.578875699546</v>
      </c>
      <c r="AC1590" s="714"/>
    </row>
    <row r="1591" spans="1:29" x14ac:dyDescent="0.25">
      <c r="A1591" s="713"/>
      <c r="B1591" s="731" t="s">
        <v>2446</v>
      </c>
      <c r="C1591" s="547" t="s">
        <v>40</v>
      </c>
      <c r="D1591" s="547" t="s">
        <v>981</v>
      </c>
      <c r="E1591" s="683">
        <v>45231</v>
      </c>
      <c r="F1591" s="547">
        <v>720</v>
      </c>
      <c r="G1591" s="547" t="s">
        <v>59</v>
      </c>
      <c r="H1591" s="547" t="s">
        <v>3</v>
      </c>
      <c r="I1591" s="547" t="s">
        <v>44</v>
      </c>
      <c r="J1591" s="547" t="s">
        <v>85</v>
      </c>
      <c r="K1591" s="547">
        <v>115</v>
      </c>
      <c r="L1591" s="727" t="s">
        <v>54</v>
      </c>
      <c r="M1591" s="697">
        <v>0</v>
      </c>
      <c r="N1591" s="727">
        <v>5</v>
      </c>
      <c r="O1591" s="697">
        <v>0</v>
      </c>
      <c r="P1591" s="727">
        <v>115</v>
      </c>
      <c r="Q1591" s="750">
        <f t="shared" si="216"/>
        <v>0</v>
      </c>
      <c r="R1591" s="608">
        <f t="shared" si="217"/>
        <v>414000</v>
      </c>
      <c r="S1591" s="751">
        <f t="shared" si="218"/>
        <v>414000</v>
      </c>
      <c r="T1591" s="750">
        <v>80.45</v>
      </c>
      <c r="U1591" s="608">
        <f t="shared" si="219"/>
        <v>289620</v>
      </c>
      <c r="V1591" s="751">
        <f t="shared" si="220"/>
        <v>124380</v>
      </c>
      <c r="W1591" s="752">
        <v>62.087104564109552</v>
      </c>
      <c r="X1591" s="609">
        <f t="shared" si="221"/>
        <v>223513.57643079438</v>
      </c>
      <c r="Y1591" s="703">
        <f t="shared" si="222"/>
        <v>190486.42356920562</v>
      </c>
      <c r="Z1591" s="752">
        <v>98.812895435890439</v>
      </c>
      <c r="AA1591" s="609">
        <f t="shared" si="223"/>
        <v>355726.42356920557</v>
      </c>
      <c r="AB1591" s="753">
        <f t="shared" si="224"/>
        <v>58273.576430794434</v>
      </c>
      <c r="AC1591" s="714"/>
    </row>
    <row r="1592" spans="1:29" x14ac:dyDescent="0.25">
      <c r="A1592" s="713"/>
      <c r="B1592" s="731" t="s">
        <v>2448</v>
      </c>
      <c r="C1592" s="547" t="s">
        <v>40</v>
      </c>
      <c r="D1592" s="547" t="s">
        <v>509</v>
      </c>
      <c r="E1592" s="683">
        <v>45078</v>
      </c>
      <c r="F1592" s="547">
        <v>720</v>
      </c>
      <c r="G1592" s="547" t="s">
        <v>58</v>
      </c>
      <c r="H1592" s="547" t="s">
        <v>3</v>
      </c>
      <c r="I1592" s="547" t="s">
        <v>44</v>
      </c>
      <c r="J1592" s="547" t="s">
        <v>84</v>
      </c>
      <c r="K1592" s="547">
        <v>85</v>
      </c>
      <c r="L1592" s="727" t="s">
        <v>54</v>
      </c>
      <c r="M1592" s="697">
        <v>12</v>
      </c>
      <c r="N1592" s="727">
        <v>0</v>
      </c>
      <c r="O1592" s="697">
        <v>85</v>
      </c>
      <c r="P1592" s="727">
        <v>0</v>
      </c>
      <c r="Q1592" s="750">
        <f t="shared" si="216"/>
        <v>734400</v>
      </c>
      <c r="R1592" s="608">
        <f t="shared" si="217"/>
        <v>0</v>
      </c>
      <c r="S1592" s="751">
        <f t="shared" si="218"/>
        <v>-734400</v>
      </c>
      <c r="T1592" s="750">
        <v>72.400000000000006</v>
      </c>
      <c r="U1592" s="608">
        <f t="shared" si="219"/>
        <v>-625536</v>
      </c>
      <c r="V1592" s="751">
        <f t="shared" si="220"/>
        <v>-108864</v>
      </c>
      <c r="W1592" s="752">
        <v>55.874535369068141</v>
      </c>
      <c r="X1592" s="609">
        <f t="shared" si="221"/>
        <v>-482755.98558874876</v>
      </c>
      <c r="Y1592" s="703">
        <f t="shared" si="222"/>
        <v>-251644.01441125124</v>
      </c>
      <c r="Z1592" s="752">
        <v>88.925464630931856</v>
      </c>
      <c r="AA1592" s="609">
        <f t="shared" si="223"/>
        <v>-768316.01441125129</v>
      </c>
      <c r="AB1592" s="753">
        <f t="shared" si="224"/>
        <v>33916.014411251293</v>
      </c>
      <c r="AC1592" s="714"/>
    </row>
    <row r="1593" spans="1:29" x14ac:dyDescent="0.25">
      <c r="A1593" s="713"/>
      <c r="B1593" s="731" t="s">
        <v>2450</v>
      </c>
      <c r="C1593" s="547" t="s">
        <v>40</v>
      </c>
      <c r="D1593" s="547" t="s">
        <v>509</v>
      </c>
      <c r="E1593" s="683">
        <v>45017</v>
      </c>
      <c r="F1593" s="547">
        <v>720</v>
      </c>
      <c r="G1593" s="547" t="s">
        <v>59</v>
      </c>
      <c r="H1593" s="547" t="s">
        <v>3</v>
      </c>
      <c r="I1593" s="547" t="s">
        <v>44</v>
      </c>
      <c r="J1593" s="547" t="s">
        <v>85</v>
      </c>
      <c r="K1593" s="547">
        <v>70</v>
      </c>
      <c r="L1593" s="727" t="s">
        <v>54</v>
      </c>
      <c r="M1593" s="697">
        <v>0</v>
      </c>
      <c r="N1593" s="727">
        <v>12</v>
      </c>
      <c r="O1593" s="697">
        <v>0</v>
      </c>
      <c r="P1593" s="727">
        <v>70</v>
      </c>
      <c r="Q1593" s="750">
        <f t="shared" si="216"/>
        <v>0</v>
      </c>
      <c r="R1593" s="608">
        <f t="shared" si="217"/>
        <v>604800</v>
      </c>
      <c r="S1593" s="751">
        <f t="shared" si="218"/>
        <v>604800</v>
      </c>
      <c r="T1593" s="750">
        <v>69.8</v>
      </c>
      <c r="U1593" s="608">
        <f t="shared" si="219"/>
        <v>603072</v>
      </c>
      <c r="V1593" s="751">
        <f t="shared" si="220"/>
        <v>1728</v>
      </c>
      <c r="W1593" s="752">
        <v>55.7</v>
      </c>
      <c r="X1593" s="609">
        <f t="shared" si="221"/>
        <v>481248</v>
      </c>
      <c r="Y1593" s="703">
        <f t="shared" si="222"/>
        <v>123552</v>
      </c>
      <c r="Z1593" s="752">
        <v>85.732008718771311</v>
      </c>
      <c r="AA1593" s="609">
        <f t="shared" si="223"/>
        <v>740724.55533018417</v>
      </c>
      <c r="AB1593" s="753">
        <f t="shared" si="224"/>
        <v>-135924.55533018417</v>
      </c>
      <c r="AC1593" s="714"/>
    </row>
    <row r="1594" spans="1:29" x14ac:dyDescent="0.25">
      <c r="A1594" s="713"/>
      <c r="B1594" s="731" t="s">
        <v>2452</v>
      </c>
      <c r="C1594" s="547" t="s">
        <v>40</v>
      </c>
      <c r="D1594" s="547" t="s">
        <v>465</v>
      </c>
      <c r="E1594" s="683">
        <v>44958</v>
      </c>
      <c r="F1594" s="547">
        <v>672</v>
      </c>
      <c r="G1594" s="547" t="s">
        <v>59</v>
      </c>
      <c r="H1594" s="547" t="s">
        <v>3</v>
      </c>
      <c r="I1594" s="547" t="s">
        <v>44</v>
      </c>
      <c r="J1594" s="547" t="s">
        <v>85</v>
      </c>
      <c r="K1594" s="547">
        <v>72.5</v>
      </c>
      <c r="L1594" s="727" t="s">
        <v>54</v>
      </c>
      <c r="M1594" s="697">
        <v>0</v>
      </c>
      <c r="N1594" s="727">
        <v>3.3</v>
      </c>
      <c r="O1594" s="697">
        <v>0</v>
      </c>
      <c r="P1594" s="727">
        <v>72.5</v>
      </c>
      <c r="Q1594" s="750">
        <f t="shared" si="216"/>
        <v>0</v>
      </c>
      <c r="R1594" s="608">
        <f t="shared" si="217"/>
        <v>160776</v>
      </c>
      <c r="S1594" s="751">
        <f t="shared" si="218"/>
        <v>160776</v>
      </c>
      <c r="T1594" s="750">
        <v>69.25</v>
      </c>
      <c r="U1594" s="608">
        <f t="shared" si="219"/>
        <v>153568.79999999999</v>
      </c>
      <c r="V1594" s="751">
        <f t="shared" si="220"/>
        <v>7207.2000000000116</v>
      </c>
      <c r="W1594" s="752">
        <v>55.7</v>
      </c>
      <c r="X1594" s="609">
        <f t="shared" si="221"/>
        <v>123520.32000000001</v>
      </c>
      <c r="Y1594" s="703">
        <f t="shared" si="222"/>
        <v>37255.679999999993</v>
      </c>
      <c r="Z1594" s="752">
        <v>92.430648861364247</v>
      </c>
      <c r="AA1594" s="609">
        <f t="shared" si="223"/>
        <v>204974.20691496134</v>
      </c>
      <c r="AB1594" s="753">
        <f t="shared" si="224"/>
        <v>-44198.206914961338</v>
      </c>
      <c r="AC1594" s="714"/>
    </row>
    <row r="1595" spans="1:29" x14ac:dyDescent="0.25">
      <c r="A1595" s="713"/>
      <c r="B1595" s="731" t="s">
        <v>2454</v>
      </c>
      <c r="C1595" s="547" t="s">
        <v>40</v>
      </c>
      <c r="D1595" s="547" t="s">
        <v>465</v>
      </c>
      <c r="E1595" s="683">
        <v>44986</v>
      </c>
      <c r="F1595" s="547">
        <v>744</v>
      </c>
      <c r="G1595" s="547" t="s">
        <v>59</v>
      </c>
      <c r="H1595" s="547" t="s">
        <v>3</v>
      </c>
      <c r="I1595" s="547" t="s">
        <v>44</v>
      </c>
      <c r="J1595" s="547" t="s">
        <v>85</v>
      </c>
      <c r="K1595" s="547">
        <v>74</v>
      </c>
      <c r="L1595" s="727" t="s">
        <v>54</v>
      </c>
      <c r="M1595" s="697">
        <v>0</v>
      </c>
      <c r="N1595" s="727">
        <v>1.3</v>
      </c>
      <c r="O1595" s="697">
        <v>0</v>
      </c>
      <c r="P1595" s="727">
        <v>74</v>
      </c>
      <c r="Q1595" s="750">
        <f t="shared" si="216"/>
        <v>0</v>
      </c>
      <c r="R1595" s="608">
        <f t="shared" si="217"/>
        <v>71572.800000000003</v>
      </c>
      <c r="S1595" s="751">
        <f t="shared" si="218"/>
        <v>71572.800000000003</v>
      </c>
      <c r="T1595" s="750">
        <v>69.3</v>
      </c>
      <c r="U1595" s="608">
        <f t="shared" si="219"/>
        <v>67026.960000000006</v>
      </c>
      <c r="V1595" s="751">
        <f t="shared" si="220"/>
        <v>4545.8399999999965</v>
      </c>
      <c r="W1595" s="752">
        <v>55.7</v>
      </c>
      <c r="X1595" s="609">
        <f t="shared" si="221"/>
        <v>53873.040000000008</v>
      </c>
      <c r="Y1595" s="703">
        <f t="shared" si="222"/>
        <v>17699.759999999995</v>
      </c>
      <c r="Z1595" s="752">
        <v>89.053218420260009</v>
      </c>
      <c r="AA1595" s="609">
        <f t="shared" si="223"/>
        <v>86132.272856075491</v>
      </c>
      <c r="AB1595" s="753">
        <f t="shared" si="224"/>
        <v>-14559.472856075488</v>
      </c>
      <c r="AC1595" s="714"/>
    </row>
    <row r="1596" spans="1:29" x14ac:dyDescent="0.25">
      <c r="A1596" s="713"/>
      <c r="B1596" s="731" t="s">
        <v>2456</v>
      </c>
      <c r="C1596" s="547" t="s">
        <v>40</v>
      </c>
      <c r="D1596" s="547" t="s">
        <v>465</v>
      </c>
      <c r="E1596" s="683">
        <v>44986</v>
      </c>
      <c r="F1596" s="547">
        <v>744</v>
      </c>
      <c r="G1596" s="547" t="s">
        <v>59</v>
      </c>
      <c r="H1596" s="547" t="s">
        <v>3</v>
      </c>
      <c r="I1596" s="547" t="s">
        <v>44</v>
      </c>
      <c r="J1596" s="547" t="s">
        <v>85</v>
      </c>
      <c r="K1596" s="547">
        <v>74</v>
      </c>
      <c r="L1596" s="727" t="s">
        <v>54</v>
      </c>
      <c r="M1596" s="697">
        <v>0</v>
      </c>
      <c r="N1596" s="727">
        <v>2</v>
      </c>
      <c r="O1596" s="697">
        <v>0</v>
      </c>
      <c r="P1596" s="727">
        <v>74</v>
      </c>
      <c r="Q1596" s="750">
        <f t="shared" si="216"/>
        <v>0</v>
      </c>
      <c r="R1596" s="608">
        <f t="shared" si="217"/>
        <v>110112</v>
      </c>
      <c r="S1596" s="751">
        <f t="shared" si="218"/>
        <v>110112</v>
      </c>
      <c r="T1596" s="750">
        <v>69.3</v>
      </c>
      <c r="U1596" s="608">
        <f t="shared" si="219"/>
        <v>103118.39999999999</v>
      </c>
      <c r="V1596" s="751">
        <f t="shared" si="220"/>
        <v>6993.6000000000058</v>
      </c>
      <c r="W1596" s="752">
        <v>55.7</v>
      </c>
      <c r="X1596" s="609">
        <f t="shared" si="221"/>
        <v>82881.600000000006</v>
      </c>
      <c r="Y1596" s="703">
        <f t="shared" si="222"/>
        <v>27230.399999999994</v>
      </c>
      <c r="Z1596" s="752">
        <v>89.053218420260009</v>
      </c>
      <c r="AA1596" s="609">
        <f t="shared" si="223"/>
        <v>132511.18900934688</v>
      </c>
      <c r="AB1596" s="753">
        <f t="shared" si="224"/>
        <v>-22399.189009346883</v>
      </c>
      <c r="AC1596" s="714"/>
    </row>
    <row r="1597" spans="1:29" x14ac:dyDescent="0.25">
      <c r="A1597" s="713"/>
      <c r="B1597" s="731" t="s">
        <v>2458</v>
      </c>
      <c r="C1597" s="547" t="s">
        <v>40</v>
      </c>
      <c r="D1597" s="547" t="s">
        <v>465</v>
      </c>
      <c r="E1597" s="683">
        <v>44958</v>
      </c>
      <c r="F1597" s="547">
        <v>672</v>
      </c>
      <c r="G1597" s="547" t="s">
        <v>59</v>
      </c>
      <c r="H1597" s="547" t="s">
        <v>3</v>
      </c>
      <c r="I1597" s="547" t="s">
        <v>44</v>
      </c>
      <c r="J1597" s="547" t="s">
        <v>85</v>
      </c>
      <c r="K1597" s="547">
        <v>72.5</v>
      </c>
      <c r="L1597" s="727" t="s">
        <v>54</v>
      </c>
      <c r="M1597" s="697">
        <v>0</v>
      </c>
      <c r="N1597" s="727">
        <v>2</v>
      </c>
      <c r="O1597" s="697">
        <v>0</v>
      </c>
      <c r="P1597" s="727">
        <v>72.5</v>
      </c>
      <c r="Q1597" s="750">
        <f t="shared" si="216"/>
        <v>0</v>
      </c>
      <c r="R1597" s="608">
        <f t="shared" si="217"/>
        <v>97440</v>
      </c>
      <c r="S1597" s="751">
        <f t="shared" si="218"/>
        <v>97440</v>
      </c>
      <c r="T1597" s="750">
        <v>69.25</v>
      </c>
      <c r="U1597" s="608">
        <f t="shared" si="219"/>
        <v>93072</v>
      </c>
      <c r="V1597" s="751">
        <f t="shared" si="220"/>
        <v>4368</v>
      </c>
      <c r="W1597" s="752">
        <v>55.7</v>
      </c>
      <c r="X1597" s="609">
        <f t="shared" si="221"/>
        <v>74860.800000000003</v>
      </c>
      <c r="Y1597" s="703">
        <f t="shared" si="222"/>
        <v>22579.199999999997</v>
      </c>
      <c r="Z1597" s="752">
        <v>92.430648861364247</v>
      </c>
      <c r="AA1597" s="609">
        <f t="shared" si="223"/>
        <v>124226.79206967355</v>
      </c>
      <c r="AB1597" s="753">
        <f t="shared" si="224"/>
        <v>-26786.792069673553</v>
      </c>
      <c r="AC1597" s="714"/>
    </row>
    <row r="1598" spans="1:29" x14ac:dyDescent="0.25">
      <c r="A1598" s="713"/>
      <c r="B1598" s="731" t="s">
        <v>2460</v>
      </c>
      <c r="C1598" s="547" t="s">
        <v>40</v>
      </c>
      <c r="D1598" s="547" t="s">
        <v>2105</v>
      </c>
      <c r="E1598" s="683">
        <v>44896</v>
      </c>
      <c r="F1598" s="547">
        <v>744</v>
      </c>
      <c r="G1598" s="547" t="s">
        <v>59</v>
      </c>
      <c r="H1598" s="547" t="s">
        <v>3</v>
      </c>
      <c r="I1598" s="547" t="s">
        <v>44</v>
      </c>
      <c r="J1598" s="547" t="s">
        <v>85</v>
      </c>
      <c r="K1598" s="547">
        <v>58</v>
      </c>
      <c r="L1598" s="727" t="s">
        <v>54</v>
      </c>
      <c r="M1598" s="697">
        <v>0</v>
      </c>
      <c r="N1598" s="727">
        <v>2</v>
      </c>
      <c r="O1598" s="697">
        <v>0</v>
      </c>
      <c r="P1598" s="727">
        <v>58</v>
      </c>
      <c r="Q1598" s="750">
        <f t="shared" si="216"/>
        <v>0</v>
      </c>
      <c r="R1598" s="608">
        <f t="shared" si="217"/>
        <v>86304</v>
      </c>
      <c r="S1598" s="751">
        <f t="shared" si="218"/>
        <v>86304</v>
      </c>
      <c r="T1598" s="750">
        <v>55.7</v>
      </c>
      <c r="U1598" s="608">
        <f t="shared" si="219"/>
        <v>82881.600000000006</v>
      </c>
      <c r="V1598" s="751">
        <f t="shared" si="220"/>
        <v>3422.3999999999942</v>
      </c>
      <c r="W1598" s="752">
        <v>55.7</v>
      </c>
      <c r="X1598" s="609">
        <f t="shared" si="221"/>
        <v>82881.600000000006</v>
      </c>
      <c r="Y1598" s="703">
        <f t="shared" si="222"/>
        <v>3422.3999999999942</v>
      </c>
      <c r="Z1598" s="752">
        <v>78.400653594793155</v>
      </c>
      <c r="AA1598" s="609">
        <f t="shared" si="223"/>
        <v>116660.17254905222</v>
      </c>
      <c r="AB1598" s="753">
        <f t="shared" si="224"/>
        <v>-30356.172549052222</v>
      </c>
      <c r="AC1598" s="714"/>
    </row>
    <row r="1599" spans="1:29" x14ac:dyDescent="0.25">
      <c r="A1599" s="713"/>
      <c r="B1599" s="730" t="s">
        <v>2462</v>
      </c>
      <c r="C1599" s="546" t="s">
        <v>40</v>
      </c>
      <c r="D1599" s="546" t="s">
        <v>2121</v>
      </c>
      <c r="E1599" s="682">
        <v>44927</v>
      </c>
      <c r="F1599" s="546">
        <v>744</v>
      </c>
      <c r="G1599" s="546" t="s">
        <v>59</v>
      </c>
      <c r="H1599" s="546" t="s">
        <v>3</v>
      </c>
      <c r="I1599" s="546" t="s">
        <v>44</v>
      </c>
      <c r="J1599" s="546" t="s">
        <v>85</v>
      </c>
      <c r="K1599" s="546">
        <v>71</v>
      </c>
      <c r="L1599" s="726" t="s">
        <v>54</v>
      </c>
      <c r="M1599" s="696">
        <v>0</v>
      </c>
      <c r="N1599" s="726">
        <v>8</v>
      </c>
      <c r="O1599" s="696">
        <v>0</v>
      </c>
      <c r="P1599" s="726">
        <v>71</v>
      </c>
      <c r="Q1599" s="746">
        <f t="shared" si="216"/>
        <v>0</v>
      </c>
      <c r="R1599" s="606">
        <f t="shared" si="217"/>
        <v>422592</v>
      </c>
      <c r="S1599" s="747">
        <f t="shared" si="218"/>
        <v>422592</v>
      </c>
      <c r="T1599" s="746">
        <v>68.72</v>
      </c>
      <c r="U1599" s="606">
        <f t="shared" si="219"/>
        <v>409021.44</v>
      </c>
      <c r="V1599" s="747">
        <f t="shared" si="220"/>
        <v>13570.559999999998</v>
      </c>
      <c r="W1599" s="748">
        <v>55.7</v>
      </c>
      <c r="X1599" s="607">
        <f t="shared" si="221"/>
        <v>331526.40000000002</v>
      </c>
      <c r="Y1599" s="702">
        <f t="shared" si="222"/>
        <v>91065.599999999977</v>
      </c>
      <c r="Z1599" s="748">
        <v>96.206580759134184</v>
      </c>
      <c r="AA1599" s="607">
        <f t="shared" si="223"/>
        <v>572621.56867836672</v>
      </c>
      <c r="AB1599" s="749">
        <f t="shared" si="224"/>
        <v>-150029.56867836672</v>
      </c>
      <c r="AC1599" s="714"/>
    </row>
    <row r="1600" spans="1:29" x14ac:dyDescent="0.25">
      <c r="A1600" s="713"/>
      <c r="B1600" s="714" t="s">
        <v>2462</v>
      </c>
      <c r="C1600" s="676" t="s">
        <v>40</v>
      </c>
      <c r="D1600" s="676" t="s">
        <v>2121</v>
      </c>
      <c r="E1600" s="680">
        <v>44958</v>
      </c>
      <c r="F1600" s="676">
        <v>672</v>
      </c>
      <c r="G1600" s="676" t="s">
        <v>59</v>
      </c>
      <c r="H1600" s="676" t="s">
        <v>3</v>
      </c>
      <c r="I1600" s="676" t="s">
        <v>44</v>
      </c>
      <c r="J1600" s="676" t="s">
        <v>85</v>
      </c>
      <c r="K1600" s="676">
        <v>71</v>
      </c>
      <c r="L1600" s="690" t="s">
        <v>54</v>
      </c>
      <c r="M1600" s="691">
        <v>0</v>
      </c>
      <c r="N1600" s="690">
        <v>8</v>
      </c>
      <c r="O1600" s="691">
        <v>0</v>
      </c>
      <c r="P1600" s="690">
        <v>71</v>
      </c>
      <c r="Q1600" s="738">
        <f t="shared" si="216"/>
        <v>0</v>
      </c>
      <c r="R1600" s="677">
        <f t="shared" si="217"/>
        <v>381696</v>
      </c>
      <c r="S1600" s="739">
        <f t="shared" si="218"/>
        <v>381696</v>
      </c>
      <c r="T1600" s="738">
        <v>69.25</v>
      </c>
      <c r="U1600" s="677">
        <f t="shared" si="219"/>
        <v>372288</v>
      </c>
      <c r="V1600" s="739">
        <f t="shared" si="220"/>
        <v>9408</v>
      </c>
      <c r="W1600" s="740">
        <v>55.7</v>
      </c>
      <c r="X1600" s="678">
        <f t="shared" si="221"/>
        <v>299443.20000000001</v>
      </c>
      <c r="Y1600" s="700">
        <f t="shared" si="222"/>
        <v>82252.799999999988</v>
      </c>
      <c r="Z1600" s="740">
        <v>92.430648861364247</v>
      </c>
      <c r="AA1600" s="678">
        <f t="shared" si="223"/>
        <v>496907.16827869421</v>
      </c>
      <c r="AB1600" s="741">
        <f t="shared" si="224"/>
        <v>-115211.16827869421</v>
      </c>
      <c r="AC1600" s="714"/>
    </row>
    <row r="1601" spans="1:29" x14ac:dyDescent="0.25">
      <c r="A1601" s="713"/>
      <c r="B1601" s="729" t="s">
        <v>2462</v>
      </c>
      <c r="C1601" s="545" t="s">
        <v>40</v>
      </c>
      <c r="D1601" s="545" t="s">
        <v>2121</v>
      </c>
      <c r="E1601" s="681">
        <v>44986</v>
      </c>
      <c r="F1601" s="545">
        <v>744</v>
      </c>
      <c r="G1601" s="545" t="s">
        <v>59</v>
      </c>
      <c r="H1601" s="545" t="s">
        <v>3</v>
      </c>
      <c r="I1601" s="545" t="s">
        <v>44</v>
      </c>
      <c r="J1601" s="545" t="s">
        <v>85</v>
      </c>
      <c r="K1601" s="545">
        <v>71</v>
      </c>
      <c r="L1601" s="725" t="s">
        <v>54</v>
      </c>
      <c r="M1601" s="695">
        <v>0</v>
      </c>
      <c r="N1601" s="725">
        <v>8</v>
      </c>
      <c r="O1601" s="695">
        <v>0</v>
      </c>
      <c r="P1601" s="725">
        <v>71</v>
      </c>
      <c r="Q1601" s="742">
        <f t="shared" si="216"/>
        <v>0</v>
      </c>
      <c r="R1601" s="603">
        <f t="shared" si="217"/>
        <v>422592</v>
      </c>
      <c r="S1601" s="743">
        <f t="shared" si="218"/>
        <v>422592</v>
      </c>
      <c r="T1601" s="742">
        <v>69.3</v>
      </c>
      <c r="U1601" s="603">
        <f t="shared" si="219"/>
        <v>412473.59999999998</v>
      </c>
      <c r="V1601" s="743">
        <f t="shared" si="220"/>
        <v>10118.400000000023</v>
      </c>
      <c r="W1601" s="744">
        <v>55.7</v>
      </c>
      <c r="X1601" s="604">
        <f t="shared" si="221"/>
        <v>331526.40000000002</v>
      </c>
      <c r="Y1601" s="701">
        <f t="shared" si="222"/>
        <v>91065.599999999977</v>
      </c>
      <c r="Z1601" s="744">
        <v>89.053218420260009</v>
      </c>
      <c r="AA1601" s="604">
        <f t="shared" si="223"/>
        <v>530044.75603738753</v>
      </c>
      <c r="AB1601" s="745">
        <f t="shared" si="224"/>
        <v>-107452.75603738753</v>
      </c>
      <c r="AC1601" s="714"/>
    </row>
    <row r="1602" spans="1:29" x14ac:dyDescent="0.25">
      <c r="A1602" s="713"/>
      <c r="B1602" s="731" t="s">
        <v>2464</v>
      </c>
      <c r="C1602" s="547" t="s">
        <v>40</v>
      </c>
      <c r="D1602" s="547" t="s">
        <v>465</v>
      </c>
      <c r="E1602" s="683">
        <v>45231</v>
      </c>
      <c r="F1602" s="547">
        <v>720</v>
      </c>
      <c r="G1602" s="547" t="s">
        <v>59</v>
      </c>
      <c r="H1602" s="547" t="s">
        <v>3</v>
      </c>
      <c r="I1602" s="547" t="s">
        <v>44</v>
      </c>
      <c r="J1602" s="547" t="s">
        <v>85</v>
      </c>
      <c r="K1602" s="547">
        <v>115</v>
      </c>
      <c r="L1602" s="727" t="s">
        <v>54</v>
      </c>
      <c r="M1602" s="697">
        <v>0</v>
      </c>
      <c r="N1602" s="727">
        <v>15</v>
      </c>
      <c r="O1602" s="697">
        <v>0</v>
      </c>
      <c r="P1602" s="727">
        <v>115</v>
      </c>
      <c r="Q1602" s="750">
        <f t="shared" si="216"/>
        <v>0</v>
      </c>
      <c r="R1602" s="608">
        <f t="shared" si="217"/>
        <v>1242000</v>
      </c>
      <c r="S1602" s="751">
        <f t="shared" si="218"/>
        <v>1242000</v>
      </c>
      <c r="T1602" s="750">
        <v>80.45</v>
      </c>
      <c r="U1602" s="608">
        <f t="shared" si="219"/>
        <v>868860</v>
      </c>
      <c r="V1602" s="751">
        <f t="shared" si="220"/>
        <v>373140</v>
      </c>
      <c r="W1602" s="752">
        <v>62.087104564109552</v>
      </c>
      <c r="X1602" s="609">
        <f t="shared" si="221"/>
        <v>670540.72929238318</v>
      </c>
      <c r="Y1602" s="703">
        <f t="shared" si="222"/>
        <v>571459.27070761682</v>
      </c>
      <c r="Z1602" s="752">
        <v>98.812895435890439</v>
      </c>
      <c r="AA1602" s="609">
        <f t="shared" si="223"/>
        <v>1067179.2707076168</v>
      </c>
      <c r="AB1602" s="753">
        <f t="shared" si="224"/>
        <v>174820.72929238318</v>
      </c>
      <c r="AC1602" s="714"/>
    </row>
    <row r="1603" spans="1:29" x14ac:dyDescent="0.25">
      <c r="A1603" s="713"/>
      <c r="B1603" s="731" t="s">
        <v>2466</v>
      </c>
      <c r="C1603" s="547" t="s">
        <v>40</v>
      </c>
      <c r="D1603" s="547" t="s">
        <v>465</v>
      </c>
      <c r="E1603" s="683">
        <v>45261</v>
      </c>
      <c r="F1603" s="547">
        <v>744</v>
      </c>
      <c r="G1603" s="547" t="s">
        <v>58</v>
      </c>
      <c r="H1603" s="547" t="s">
        <v>3</v>
      </c>
      <c r="I1603" s="547" t="s">
        <v>44</v>
      </c>
      <c r="J1603" s="547" t="s">
        <v>84</v>
      </c>
      <c r="K1603" s="547">
        <v>109</v>
      </c>
      <c r="L1603" s="727" t="s">
        <v>54</v>
      </c>
      <c r="M1603" s="697">
        <v>15</v>
      </c>
      <c r="N1603" s="727">
        <v>0</v>
      </c>
      <c r="O1603" s="697">
        <v>109</v>
      </c>
      <c r="P1603" s="727">
        <v>0</v>
      </c>
      <c r="Q1603" s="750">
        <f t="shared" ref="Q1603:Q1666" si="225">(O1603*(M1603*F1603))</f>
        <v>1216440</v>
      </c>
      <c r="R1603" s="608">
        <f t="shared" ref="R1603:R1666" si="226">(P1603*(N1603*F1603))</f>
        <v>0</v>
      </c>
      <c r="S1603" s="751">
        <f t="shared" ref="S1603:S1666" si="227">R1603-Q1603</f>
        <v>-1216440</v>
      </c>
      <c r="T1603" s="750">
        <v>80.45</v>
      </c>
      <c r="U1603" s="608">
        <f t="shared" ref="U1603:U1666" si="228">(((F1603*N1603)*T1603)-(T1603*(M1603*F1603)))</f>
        <v>-897822</v>
      </c>
      <c r="V1603" s="751">
        <f t="shared" ref="V1603:V1666" si="229">S1603-U1603</f>
        <v>-318618</v>
      </c>
      <c r="W1603" s="752">
        <v>62.087104564109552</v>
      </c>
      <c r="X1603" s="609">
        <f t="shared" ref="X1603:X1666" si="230">(((F1603*N1603)*W1603)-(W1603*(M1603*F1603)))</f>
        <v>-692892.08693546255</v>
      </c>
      <c r="Y1603" s="703">
        <f t="shared" ref="Y1603:Y1666" si="231">S1603-X1603</f>
        <v>-523547.91306453745</v>
      </c>
      <c r="Z1603" s="752">
        <v>98.812895435890439</v>
      </c>
      <c r="AA1603" s="609">
        <f t="shared" ref="AA1603:AA1666" si="232">(((F1603*N1603)*Z1603)-(Z1603*(M1603*F1603)))</f>
        <v>-1102751.9130645373</v>
      </c>
      <c r="AB1603" s="753">
        <f t="shared" ref="AB1603:AB1666" si="233">S1603-AA1603</f>
        <v>-113688.08693546266</v>
      </c>
      <c r="AC1603" s="714"/>
    </row>
    <row r="1604" spans="1:29" x14ac:dyDescent="0.25">
      <c r="A1604" s="713"/>
      <c r="B1604" s="731" t="s">
        <v>2470</v>
      </c>
      <c r="C1604" s="547" t="s">
        <v>40</v>
      </c>
      <c r="D1604" s="547" t="s">
        <v>410</v>
      </c>
      <c r="E1604" s="683">
        <v>45200</v>
      </c>
      <c r="F1604" s="547">
        <v>744</v>
      </c>
      <c r="G1604" s="547" t="s">
        <v>59</v>
      </c>
      <c r="H1604" s="547" t="s">
        <v>3</v>
      </c>
      <c r="I1604" s="547" t="s">
        <v>44</v>
      </c>
      <c r="J1604" s="547" t="s">
        <v>85</v>
      </c>
      <c r="K1604" s="547">
        <v>120</v>
      </c>
      <c r="L1604" s="727" t="s">
        <v>54</v>
      </c>
      <c r="M1604" s="697">
        <v>0</v>
      </c>
      <c r="N1604" s="727">
        <v>12</v>
      </c>
      <c r="O1604" s="697">
        <v>0</v>
      </c>
      <c r="P1604" s="727">
        <v>120</v>
      </c>
      <c r="Q1604" s="750">
        <f t="shared" si="225"/>
        <v>0</v>
      </c>
      <c r="R1604" s="608">
        <f t="shared" si="226"/>
        <v>1071360</v>
      </c>
      <c r="S1604" s="751">
        <f t="shared" si="227"/>
        <v>1071360</v>
      </c>
      <c r="T1604" s="750">
        <v>80.45</v>
      </c>
      <c r="U1604" s="608">
        <f t="shared" si="228"/>
        <v>718257.6</v>
      </c>
      <c r="V1604" s="751">
        <f t="shared" si="229"/>
        <v>353102.4</v>
      </c>
      <c r="W1604" s="752">
        <v>62.087104564109552</v>
      </c>
      <c r="X1604" s="609">
        <f t="shared" si="230"/>
        <v>554313.66954837006</v>
      </c>
      <c r="Y1604" s="703">
        <f t="shared" si="231"/>
        <v>517046.33045162994</v>
      </c>
      <c r="Z1604" s="752">
        <v>98.812895435890439</v>
      </c>
      <c r="AA1604" s="609">
        <f t="shared" si="232"/>
        <v>882201.53045162989</v>
      </c>
      <c r="AB1604" s="753">
        <f t="shared" si="233"/>
        <v>189158.46954837011</v>
      </c>
      <c r="AC1604" s="714"/>
    </row>
    <row r="1605" spans="1:29" x14ac:dyDescent="0.25">
      <c r="A1605" s="713"/>
      <c r="B1605" s="731" t="s">
        <v>2472</v>
      </c>
      <c r="C1605" s="547" t="s">
        <v>40</v>
      </c>
      <c r="D1605" s="547" t="s">
        <v>410</v>
      </c>
      <c r="E1605" s="683">
        <v>45139</v>
      </c>
      <c r="F1605" s="547">
        <v>744</v>
      </c>
      <c r="G1605" s="547" t="s">
        <v>58</v>
      </c>
      <c r="H1605" s="547" t="s">
        <v>3</v>
      </c>
      <c r="I1605" s="547" t="s">
        <v>44</v>
      </c>
      <c r="J1605" s="547" t="s">
        <v>84</v>
      </c>
      <c r="K1605" s="547">
        <v>120</v>
      </c>
      <c r="L1605" s="727" t="s">
        <v>54</v>
      </c>
      <c r="M1605" s="697">
        <v>12</v>
      </c>
      <c r="N1605" s="727">
        <v>0</v>
      </c>
      <c r="O1605" s="697">
        <v>120</v>
      </c>
      <c r="P1605" s="727">
        <v>0</v>
      </c>
      <c r="Q1605" s="750">
        <f t="shared" si="225"/>
        <v>1071360</v>
      </c>
      <c r="R1605" s="608">
        <f t="shared" si="226"/>
        <v>0</v>
      </c>
      <c r="S1605" s="751">
        <f t="shared" si="227"/>
        <v>-1071360</v>
      </c>
      <c r="T1605" s="750">
        <v>77.150000000000006</v>
      </c>
      <c r="U1605" s="608">
        <f t="shared" si="228"/>
        <v>-688795.20000000007</v>
      </c>
      <c r="V1605" s="751">
        <f t="shared" si="229"/>
        <v>-382564.79999999993</v>
      </c>
      <c r="W1605" s="752">
        <v>59.54033706800562</v>
      </c>
      <c r="X1605" s="609">
        <f t="shared" si="230"/>
        <v>-531576.12934315414</v>
      </c>
      <c r="Y1605" s="703">
        <f t="shared" si="231"/>
        <v>-539783.87065684586</v>
      </c>
      <c r="Z1605" s="752">
        <v>94.759662931994384</v>
      </c>
      <c r="AA1605" s="609">
        <f t="shared" si="232"/>
        <v>-846014.27065684588</v>
      </c>
      <c r="AB1605" s="753">
        <f t="shared" si="233"/>
        <v>-225345.72934315412</v>
      </c>
      <c r="AC1605" s="714"/>
    </row>
    <row r="1606" spans="1:29" x14ac:dyDescent="0.25">
      <c r="A1606" s="713"/>
      <c r="B1606" s="731" t="s">
        <v>2476</v>
      </c>
      <c r="C1606" s="547" t="s">
        <v>40</v>
      </c>
      <c r="D1606" s="547" t="s">
        <v>2207</v>
      </c>
      <c r="E1606" s="683">
        <v>44927</v>
      </c>
      <c r="F1606" s="547">
        <v>744</v>
      </c>
      <c r="G1606" s="547" t="s">
        <v>59</v>
      </c>
      <c r="H1606" s="547" t="s">
        <v>3</v>
      </c>
      <c r="I1606" s="547" t="s">
        <v>44</v>
      </c>
      <c r="J1606" s="547" t="s">
        <v>85</v>
      </c>
      <c r="K1606" s="547">
        <v>66</v>
      </c>
      <c r="L1606" s="727" t="s">
        <v>54</v>
      </c>
      <c r="M1606" s="697">
        <v>0</v>
      </c>
      <c r="N1606" s="727">
        <v>3</v>
      </c>
      <c r="O1606" s="697">
        <v>0</v>
      </c>
      <c r="P1606" s="727">
        <v>66</v>
      </c>
      <c r="Q1606" s="750">
        <f t="shared" si="225"/>
        <v>0</v>
      </c>
      <c r="R1606" s="608">
        <f t="shared" si="226"/>
        <v>147312</v>
      </c>
      <c r="S1606" s="751">
        <f t="shared" si="227"/>
        <v>147312</v>
      </c>
      <c r="T1606" s="750">
        <v>68.72</v>
      </c>
      <c r="U1606" s="608">
        <f t="shared" si="228"/>
        <v>153383.04000000001</v>
      </c>
      <c r="V1606" s="751">
        <f t="shared" si="229"/>
        <v>-6071.0400000000081</v>
      </c>
      <c r="W1606" s="752">
        <v>55.7</v>
      </c>
      <c r="X1606" s="609">
        <f t="shared" si="230"/>
        <v>124322.40000000001</v>
      </c>
      <c r="Y1606" s="703">
        <f t="shared" si="231"/>
        <v>22989.599999999991</v>
      </c>
      <c r="Z1606" s="752">
        <v>96.206580759134184</v>
      </c>
      <c r="AA1606" s="609">
        <f t="shared" si="232"/>
        <v>214733.08825438749</v>
      </c>
      <c r="AB1606" s="753">
        <f t="shared" si="233"/>
        <v>-67421.08825438749</v>
      </c>
      <c r="AC1606" s="714"/>
    </row>
    <row r="1607" spans="1:29" x14ac:dyDescent="0.25">
      <c r="A1607" s="713"/>
      <c r="B1607" s="731" t="s">
        <v>2478</v>
      </c>
      <c r="C1607" s="547" t="s">
        <v>40</v>
      </c>
      <c r="D1607" s="547" t="s">
        <v>1917</v>
      </c>
      <c r="E1607" s="683">
        <v>44958</v>
      </c>
      <c r="F1607" s="547">
        <v>672</v>
      </c>
      <c r="G1607" s="547" t="s">
        <v>58</v>
      </c>
      <c r="H1607" s="547" t="s">
        <v>3</v>
      </c>
      <c r="I1607" s="547" t="s">
        <v>44</v>
      </c>
      <c r="J1607" s="547" t="s">
        <v>84</v>
      </c>
      <c r="K1607" s="547">
        <v>73</v>
      </c>
      <c r="L1607" s="727" t="s">
        <v>54</v>
      </c>
      <c r="M1607" s="697">
        <v>2</v>
      </c>
      <c r="N1607" s="727">
        <v>0</v>
      </c>
      <c r="O1607" s="697">
        <v>73</v>
      </c>
      <c r="P1607" s="727">
        <v>0</v>
      </c>
      <c r="Q1607" s="750">
        <f t="shared" si="225"/>
        <v>98112</v>
      </c>
      <c r="R1607" s="608">
        <f t="shared" si="226"/>
        <v>0</v>
      </c>
      <c r="S1607" s="751">
        <f t="shared" si="227"/>
        <v>-98112</v>
      </c>
      <c r="T1607" s="750">
        <v>69.25</v>
      </c>
      <c r="U1607" s="608">
        <f t="shared" si="228"/>
        <v>-93072</v>
      </c>
      <c r="V1607" s="751">
        <f t="shared" si="229"/>
        <v>-5040</v>
      </c>
      <c r="W1607" s="752">
        <v>55.7</v>
      </c>
      <c r="X1607" s="609">
        <f t="shared" si="230"/>
        <v>-74860.800000000003</v>
      </c>
      <c r="Y1607" s="703">
        <f t="shared" si="231"/>
        <v>-23251.199999999997</v>
      </c>
      <c r="Z1607" s="752">
        <v>92.430648861364247</v>
      </c>
      <c r="AA1607" s="609">
        <f t="shared" si="232"/>
        <v>-124226.79206967355</v>
      </c>
      <c r="AB1607" s="753">
        <f t="shared" si="233"/>
        <v>26114.792069673553</v>
      </c>
      <c r="AC1607" s="714"/>
    </row>
    <row r="1608" spans="1:29" x14ac:dyDescent="0.25">
      <c r="A1608" s="713"/>
      <c r="B1608" s="731" t="s">
        <v>2488</v>
      </c>
      <c r="C1608" s="547" t="s">
        <v>40</v>
      </c>
      <c r="D1608" s="547" t="s">
        <v>472</v>
      </c>
      <c r="E1608" s="683">
        <v>44986</v>
      </c>
      <c r="F1608" s="547">
        <v>744</v>
      </c>
      <c r="G1608" s="547" t="s">
        <v>58</v>
      </c>
      <c r="H1608" s="547" t="s">
        <v>3</v>
      </c>
      <c r="I1608" s="547" t="s">
        <v>44</v>
      </c>
      <c r="J1608" s="547" t="s">
        <v>84</v>
      </c>
      <c r="K1608" s="547">
        <v>73</v>
      </c>
      <c r="L1608" s="727" t="s">
        <v>54</v>
      </c>
      <c r="M1608" s="697">
        <v>2</v>
      </c>
      <c r="N1608" s="727">
        <v>0</v>
      </c>
      <c r="O1608" s="697">
        <v>73</v>
      </c>
      <c r="P1608" s="727">
        <v>0</v>
      </c>
      <c r="Q1608" s="750">
        <f t="shared" si="225"/>
        <v>108624</v>
      </c>
      <c r="R1608" s="608">
        <f t="shared" si="226"/>
        <v>0</v>
      </c>
      <c r="S1608" s="751">
        <f t="shared" si="227"/>
        <v>-108624</v>
      </c>
      <c r="T1608" s="750">
        <v>69.3</v>
      </c>
      <c r="U1608" s="608">
        <f t="shared" si="228"/>
        <v>-103118.39999999999</v>
      </c>
      <c r="V1608" s="751">
        <f t="shared" si="229"/>
        <v>-5505.6000000000058</v>
      </c>
      <c r="W1608" s="752">
        <v>55.7</v>
      </c>
      <c r="X1608" s="609">
        <f t="shared" si="230"/>
        <v>-82881.600000000006</v>
      </c>
      <c r="Y1608" s="703">
        <f t="shared" si="231"/>
        <v>-25742.399999999994</v>
      </c>
      <c r="Z1608" s="752">
        <v>89.053218420260009</v>
      </c>
      <c r="AA1608" s="609">
        <f t="shared" si="232"/>
        <v>-132511.18900934688</v>
      </c>
      <c r="AB1608" s="753">
        <f t="shared" si="233"/>
        <v>23887.189009346883</v>
      </c>
      <c r="AC1608" s="714"/>
    </row>
    <row r="1609" spans="1:29" x14ac:dyDescent="0.25">
      <c r="A1609" s="713"/>
      <c r="B1609" s="730" t="s">
        <v>2489</v>
      </c>
      <c r="C1609" s="546" t="s">
        <v>40</v>
      </c>
      <c r="D1609" s="546" t="s">
        <v>2369</v>
      </c>
      <c r="E1609" s="682">
        <v>44927</v>
      </c>
      <c r="F1609" s="546">
        <v>744</v>
      </c>
      <c r="G1609" s="546" t="s">
        <v>58</v>
      </c>
      <c r="H1609" s="546" t="s">
        <v>3</v>
      </c>
      <c r="I1609" s="546" t="s">
        <v>44</v>
      </c>
      <c r="J1609" s="546" t="s">
        <v>84</v>
      </c>
      <c r="K1609" s="546">
        <v>69</v>
      </c>
      <c r="L1609" s="726" t="s">
        <v>54</v>
      </c>
      <c r="M1609" s="696">
        <v>2</v>
      </c>
      <c r="N1609" s="726">
        <v>0</v>
      </c>
      <c r="O1609" s="696">
        <v>69</v>
      </c>
      <c r="P1609" s="726">
        <v>0</v>
      </c>
      <c r="Q1609" s="746">
        <f t="shared" si="225"/>
        <v>102672</v>
      </c>
      <c r="R1609" s="606">
        <f t="shared" si="226"/>
        <v>0</v>
      </c>
      <c r="S1609" s="747">
        <f t="shared" si="227"/>
        <v>-102672</v>
      </c>
      <c r="T1609" s="746">
        <v>68.72</v>
      </c>
      <c r="U1609" s="606">
        <f t="shared" si="228"/>
        <v>-102255.36</v>
      </c>
      <c r="V1609" s="747">
        <f t="shared" si="229"/>
        <v>-416.63999999999942</v>
      </c>
      <c r="W1609" s="748">
        <v>55.7</v>
      </c>
      <c r="X1609" s="607">
        <f t="shared" si="230"/>
        <v>-82881.600000000006</v>
      </c>
      <c r="Y1609" s="702">
        <f t="shared" si="231"/>
        <v>-19790.399999999994</v>
      </c>
      <c r="Z1609" s="748">
        <v>96.206580759134184</v>
      </c>
      <c r="AA1609" s="607">
        <f t="shared" si="232"/>
        <v>-143155.39216959168</v>
      </c>
      <c r="AB1609" s="749">
        <f t="shared" si="233"/>
        <v>40483.39216959168</v>
      </c>
      <c r="AC1609" s="714"/>
    </row>
    <row r="1610" spans="1:29" x14ac:dyDescent="0.25">
      <c r="A1610" s="713"/>
      <c r="B1610" s="714" t="s">
        <v>2489</v>
      </c>
      <c r="C1610" s="676" t="s">
        <v>40</v>
      </c>
      <c r="D1610" s="676" t="s">
        <v>2369</v>
      </c>
      <c r="E1610" s="680">
        <v>44958</v>
      </c>
      <c r="F1610" s="676">
        <v>672</v>
      </c>
      <c r="G1610" s="676" t="s">
        <v>58</v>
      </c>
      <c r="H1610" s="676" t="s">
        <v>3</v>
      </c>
      <c r="I1610" s="676" t="s">
        <v>44</v>
      </c>
      <c r="J1610" s="676" t="s">
        <v>84</v>
      </c>
      <c r="K1610" s="676">
        <v>69</v>
      </c>
      <c r="L1610" s="690" t="s">
        <v>54</v>
      </c>
      <c r="M1610" s="691">
        <v>2</v>
      </c>
      <c r="N1610" s="690">
        <v>0</v>
      </c>
      <c r="O1610" s="691">
        <v>69</v>
      </c>
      <c r="P1610" s="690">
        <v>0</v>
      </c>
      <c r="Q1610" s="738">
        <f t="shared" si="225"/>
        <v>92736</v>
      </c>
      <c r="R1610" s="677">
        <f t="shared" si="226"/>
        <v>0</v>
      </c>
      <c r="S1610" s="739">
        <f t="shared" si="227"/>
        <v>-92736</v>
      </c>
      <c r="T1610" s="738">
        <v>69.25</v>
      </c>
      <c r="U1610" s="677">
        <f t="shared" si="228"/>
        <v>-93072</v>
      </c>
      <c r="V1610" s="739">
        <f t="shared" si="229"/>
        <v>336</v>
      </c>
      <c r="W1610" s="740">
        <v>55.7</v>
      </c>
      <c r="X1610" s="678">
        <f t="shared" si="230"/>
        <v>-74860.800000000003</v>
      </c>
      <c r="Y1610" s="700">
        <f t="shared" si="231"/>
        <v>-17875.199999999997</v>
      </c>
      <c r="Z1610" s="740">
        <v>92.430648861364247</v>
      </c>
      <c r="AA1610" s="678">
        <f t="shared" si="232"/>
        <v>-124226.79206967355</v>
      </c>
      <c r="AB1610" s="741">
        <f t="shared" si="233"/>
        <v>31490.792069673553</v>
      </c>
      <c r="AC1610" s="714"/>
    </row>
    <row r="1611" spans="1:29" x14ac:dyDescent="0.25">
      <c r="A1611" s="713"/>
      <c r="B1611" s="729" t="s">
        <v>2489</v>
      </c>
      <c r="C1611" s="545" t="s">
        <v>40</v>
      </c>
      <c r="D1611" s="545" t="s">
        <v>2369</v>
      </c>
      <c r="E1611" s="681">
        <v>44986</v>
      </c>
      <c r="F1611" s="545">
        <v>744</v>
      </c>
      <c r="G1611" s="545" t="s">
        <v>58</v>
      </c>
      <c r="H1611" s="545" t="s">
        <v>3</v>
      </c>
      <c r="I1611" s="545" t="s">
        <v>44</v>
      </c>
      <c r="J1611" s="545" t="s">
        <v>84</v>
      </c>
      <c r="K1611" s="545">
        <v>69</v>
      </c>
      <c r="L1611" s="725" t="s">
        <v>54</v>
      </c>
      <c r="M1611" s="695">
        <v>2</v>
      </c>
      <c r="N1611" s="725">
        <v>0</v>
      </c>
      <c r="O1611" s="695">
        <v>69</v>
      </c>
      <c r="P1611" s="725">
        <v>0</v>
      </c>
      <c r="Q1611" s="742">
        <f t="shared" si="225"/>
        <v>102672</v>
      </c>
      <c r="R1611" s="603">
        <f t="shared" si="226"/>
        <v>0</v>
      </c>
      <c r="S1611" s="743">
        <f t="shared" si="227"/>
        <v>-102672</v>
      </c>
      <c r="T1611" s="742">
        <v>69.3</v>
      </c>
      <c r="U1611" s="603">
        <f t="shared" si="228"/>
        <v>-103118.39999999999</v>
      </c>
      <c r="V1611" s="743">
        <f t="shared" si="229"/>
        <v>446.39999999999418</v>
      </c>
      <c r="W1611" s="744">
        <v>55.7</v>
      </c>
      <c r="X1611" s="604">
        <f t="shared" si="230"/>
        <v>-82881.600000000006</v>
      </c>
      <c r="Y1611" s="701">
        <f t="shared" si="231"/>
        <v>-19790.399999999994</v>
      </c>
      <c r="Z1611" s="744">
        <v>89.053218420260009</v>
      </c>
      <c r="AA1611" s="604">
        <f t="shared" si="232"/>
        <v>-132511.18900934688</v>
      </c>
      <c r="AB1611" s="745">
        <f t="shared" si="233"/>
        <v>29839.189009346883</v>
      </c>
      <c r="AC1611" s="714"/>
    </row>
    <row r="1612" spans="1:29" x14ac:dyDescent="0.25">
      <c r="A1612" s="713"/>
      <c r="B1612" s="731" t="s">
        <v>2491</v>
      </c>
      <c r="C1612" s="547" t="s">
        <v>40</v>
      </c>
      <c r="D1612" s="547" t="s">
        <v>2147</v>
      </c>
      <c r="E1612" s="683">
        <v>44835</v>
      </c>
      <c r="F1612" s="547">
        <v>744</v>
      </c>
      <c r="G1612" s="547" t="s">
        <v>58</v>
      </c>
      <c r="H1612" s="547" t="s">
        <v>3</v>
      </c>
      <c r="I1612" s="547" t="s">
        <v>44</v>
      </c>
      <c r="J1612" s="547" t="s">
        <v>84</v>
      </c>
      <c r="K1612" s="547">
        <v>0</v>
      </c>
      <c r="L1612" s="727" t="s">
        <v>92</v>
      </c>
      <c r="M1612" s="697">
        <v>10</v>
      </c>
      <c r="N1612" s="727">
        <v>0</v>
      </c>
      <c r="O1612" s="697">
        <v>55.7</v>
      </c>
      <c r="P1612" s="727">
        <v>0</v>
      </c>
      <c r="Q1612" s="750">
        <f t="shared" si="225"/>
        <v>414408</v>
      </c>
      <c r="R1612" s="608">
        <f t="shared" si="226"/>
        <v>0</v>
      </c>
      <c r="S1612" s="751">
        <f t="shared" si="227"/>
        <v>-414408</v>
      </c>
      <c r="T1612" s="750">
        <v>55.7</v>
      </c>
      <c r="U1612" s="608">
        <f t="shared" si="228"/>
        <v>-414408</v>
      </c>
      <c r="V1612" s="751">
        <f t="shared" si="229"/>
        <v>0</v>
      </c>
      <c r="W1612" s="752">
        <v>55.7</v>
      </c>
      <c r="X1612" s="609">
        <f t="shared" si="230"/>
        <v>-414408</v>
      </c>
      <c r="Y1612" s="703">
        <f t="shared" si="231"/>
        <v>0</v>
      </c>
      <c r="Z1612" s="752">
        <v>55.7</v>
      </c>
      <c r="AA1612" s="609">
        <f t="shared" si="232"/>
        <v>-414408</v>
      </c>
      <c r="AB1612" s="753">
        <f t="shared" si="233"/>
        <v>0</v>
      </c>
      <c r="AC1612" s="714"/>
    </row>
    <row r="1613" spans="1:29" x14ac:dyDescent="0.25">
      <c r="A1613" s="713"/>
      <c r="B1613" s="731" t="s">
        <v>2493</v>
      </c>
      <c r="C1613" s="547" t="s">
        <v>40</v>
      </c>
      <c r="D1613" s="547" t="s">
        <v>2147</v>
      </c>
      <c r="E1613" s="683">
        <v>44835</v>
      </c>
      <c r="F1613" s="547">
        <v>744</v>
      </c>
      <c r="G1613" s="547" t="s">
        <v>58</v>
      </c>
      <c r="H1613" s="547" t="s">
        <v>3</v>
      </c>
      <c r="I1613" s="547" t="s">
        <v>44</v>
      </c>
      <c r="J1613" s="547" t="s">
        <v>84</v>
      </c>
      <c r="K1613" s="547">
        <v>-0.2</v>
      </c>
      <c r="L1613" s="727" t="s">
        <v>92</v>
      </c>
      <c r="M1613" s="697">
        <v>8.4</v>
      </c>
      <c r="N1613" s="727">
        <v>0</v>
      </c>
      <c r="O1613" s="697">
        <v>55.5</v>
      </c>
      <c r="P1613" s="727">
        <v>0</v>
      </c>
      <c r="Q1613" s="750">
        <f t="shared" si="225"/>
        <v>346852.80000000005</v>
      </c>
      <c r="R1613" s="608">
        <f t="shared" si="226"/>
        <v>0</v>
      </c>
      <c r="S1613" s="751">
        <f t="shared" si="227"/>
        <v>-346852.80000000005</v>
      </c>
      <c r="T1613" s="750">
        <v>55.7</v>
      </c>
      <c r="U1613" s="608">
        <f t="shared" si="228"/>
        <v>-348102.72000000003</v>
      </c>
      <c r="V1613" s="751">
        <f t="shared" si="229"/>
        <v>1249.9199999999837</v>
      </c>
      <c r="W1613" s="752">
        <v>55.7</v>
      </c>
      <c r="X1613" s="609">
        <f t="shared" si="230"/>
        <v>-348102.72000000003</v>
      </c>
      <c r="Y1613" s="703">
        <f t="shared" si="231"/>
        <v>1249.9199999999837</v>
      </c>
      <c r="Z1613" s="752">
        <v>55.7</v>
      </c>
      <c r="AA1613" s="609">
        <f t="shared" si="232"/>
        <v>-348102.72000000003</v>
      </c>
      <c r="AB1613" s="753">
        <f t="shared" si="233"/>
        <v>1249.9199999999837</v>
      </c>
      <c r="AC1613" s="714"/>
    </row>
    <row r="1614" spans="1:29" x14ac:dyDescent="0.25">
      <c r="A1614" s="713"/>
      <c r="B1614" s="731" t="s">
        <v>2495</v>
      </c>
      <c r="C1614" s="547" t="s">
        <v>40</v>
      </c>
      <c r="D1614" s="547" t="s">
        <v>404</v>
      </c>
      <c r="E1614" s="683">
        <v>44835</v>
      </c>
      <c r="F1614" s="547">
        <v>744</v>
      </c>
      <c r="G1614" s="547" t="s">
        <v>58</v>
      </c>
      <c r="H1614" s="547" t="s">
        <v>3</v>
      </c>
      <c r="I1614" s="547" t="s">
        <v>44</v>
      </c>
      <c r="J1614" s="547" t="s">
        <v>84</v>
      </c>
      <c r="K1614" s="547">
        <v>-0.4</v>
      </c>
      <c r="L1614" s="727" t="s">
        <v>92</v>
      </c>
      <c r="M1614" s="697">
        <v>0.88056199999999996</v>
      </c>
      <c r="N1614" s="727">
        <v>0</v>
      </c>
      <c r="O1614" s="697">
        <v>55.300000000000004</v>
      </c>
      <c r="P1614" s="727">
        <v>0</v>
      </c>
      <c r="Q1614" s="750">
        <f t="shared" si="225"/>
        <v>36229.138478399997</v>
      </c>
      <c r="R1614" s="608">
        <f t="shared" si="226"/>
        <v>0</v>
      </c>
      <c r="S1614" s="751">
        <f t="shared" si="227"/>
        <v>-36229.138478399997</v>
      </c>
      <c r="T1614" s="750">
        <v>55.7</v>
      </c>
      <c r="U1614" s="608">
        <f t="shared" si="228"/>
        <v>-36491.193729599996</v>
      </c>
      <c r="V1614" s="751">
        <f t="shared" si="229"/>
        <v>262.05525119999947</v>
      </c>
      <c r="W1614" s="752">
        <v>55.7</v>
      </c>
      <c r="X1614" s="609">
        <f t="shared" si="230"/>
        <v>-36491.193729599996</v>
      </c>
      <c r="Y1614" s="703">
        <f t="shared" si="231"/>
        <v>262.05525119999947</v>
      </c>
      <c r="Z1614" s="752">
        <v>55.7</v>
      </c>
      <c r="AA1614" s="609">
        <f t="shared" si="232"/>
        <v>-36491.193729599996</v>
      </c>
      <c r="AB1614" s="753">
        <f t="shared" si="233"/>
        <v>262.05525119999947</v>
      </c>
      <c r="AC1614" s="714"/>
    </row>
    <row r="1615" spans="1:29" x14ac:dyDescent="0.25">
      <c r="A1615" s="713"/>
      <c r="B1615" s="730" t="s">
        <v>2500</v>
      </c>
      <c r="C1615" s="546" t="s">
        <v>40</v>
      </c>
      <c r="D1615" s="546" t="s">
        <v>465</v>
      </c>
      <c r="E1615" s="682">
        <v>45017</v>
      </c>
      <c r="F1615" s="546">
        <v>720</v>
      </c>
      <c r="G1615" s="546" t="s">
        <v>59</v>
      </c>
      <c r="H1615" s="546" t="s">
        <v>3</v>
      </c>
      <c r="I1615" s="546" t="s">
        <v>44</v>
      </c>
      <c r="J1615" s="546" t="s">
        <v>85</v>
      </c>
      <c r="K1615" s="546">
        <v>71.5</v>
      </c>
      <c r="L1615" s="726" t="s">
        <v>54</v>
      </c>
      <c r="M1615" s="696">
        <v>0</v>
      </c>
      <c r="N1615" s="726">
        <v>2</v>
      </c>
      <c r="O1615" s="696">
        <v>0</v>
      </c>
      <c r="P1615" s="726">
        <v>71.5</v>
      </c>
      <c r="Q1615" s="746">
        <f t="shared" si="225"/>
        <v>0</v>
      </c>
      <c r="R1615" s="606">
        <f t="shared" si="226"/>
        <v>102960</v>
      </c>
      <c r="S1615" s="747">
        <f t="shared" si="227"/>
        <v>102960</v>
      </c>
      <c r="T1615" s="746">
        <v>69.8</v>
      </c>
      <c r="U1615" s="606">
        <f t="shared" si="228"/>
        <v>100512</v>
      </c>
      <c r="V1615" s="747">
        <f t="shared" si="229"/>
        <v>2448</v>
      </c>
      <c r="W1615" s="748">
        <v>55.7</v>
      </c>
      <c r="X1615" s="607">
        <f t="shared" si="230"/>
        <v>80208</v>
      </c>
      <c r="Y1615" s="702">
        <f t="shared" si="231"/>
        <v>22752</v>
      </c>
      <c r="Z1615" s="748">
        <v>85.732008718771311</v>
      </c>
      <c r="AA1615" s="607">
        <f t="shared" si="232"/>
        <v>123454.09255503069</v>
      </c>
      <c r="AB1615" s="749">
        <f t="shared" si="233"/>
        <v>-20494.092555030686</v>
      </c>
      <c r="AC1615" s="714"/>
    </row>
    <row r="1616" spans="1:29" x14ac:dyDescent="0.25">
      <c r="A1616" s="713"/>
      <c r="B1616" s="714" t="s">
        <v>2500</v>
      </c>
      <c r="C1616" s="676" t="s">
        <v>40</v>
      </c>
      <c r="D1616" s="676" t="s">
        <v>465</v>
      </c>
      <c r="E1616" s="680">
        <v>45047</v>
      </c>
      <c r="F1616" s="676">
        <v>744</v>
      </c>
      <c r="G1616" s="676" t="s">
        <v>59</v>
      </c>
      <c r="H1616" s="676" t="s">
        <v>3</v>
      </c>
      <c r="I1616" s="676" t="s">
        <v>44</v>
      </c>
      <c r="J1616" s="676" t="s">
        <v>85</v>
      </c>
      <c r="K1616" s="676">
        <v>71.5</v>
      </c>
      <c r="L1616" s="690" t="s">
        <v>54</v>
      </c>
      <c r="M1616" s="691">
        <v>0</v>
      </c>
      <c r="N1616" s="690">
        <v>2</v>
      </c>
      <c r="O1616" s="691">
        <v>0</v>
      </c>
      <c r="P1616" s="690">
        <v>71.5</v>
      </c>
      <c r="Q1616" s="738">
        <f t="shared" si="225"/>
        <v>0</v>
      </c>
      <c r="R1616" s="677">
        <f t="shared" si="226"/>
        <v>106392</v>
      </c>
      <c r="S1616" s="739">
        <f t="shared" si="227"/>
        <v>106392</v>
      </c>
      <c r="T1616" s="738">
        <v>70.2</v>
      </c>
      <c r="U1616" s="677">
        <f t="shared" si="228"/>
        <v>104457.60000000001</v>
      </c>
      <c r="V1616" s="739">
        <f t="shared" si="229"/>
        <v>1934.3999999999942</v>
      </c>
      <c r="W1616" s="740">
        <v>55.7</v>
      </c>
      <c r="X1616" s="678">
        <f t="shared" si="230"/>
        <v>82881.600000000006</v>
      </c>
      <c r="Y1616" s="700">
        <f t="shared" si="231"/>
        <v>23510.399999999994</v>
      </c>
      <c r="Z1616" s="740">
        <v>86.223309628334476</v>
      </c>
      <c r="AA1616" s="678">
        <f t="shared" si="232"/>
        <v>128300.28472696171</v>
      </c>
      <c r="AB1616" s="741">
        <f t="shared" si="233"/>
        <v>-21908.284726961705</v>
      </c>
      <c r="AC1616" s="714"/>
    </row>
    <row r="1617" spans="1:29" x14ac:dyDescent="0.25">
      <c r="A1617" s="713"/>
      <c r="B1617" s="729" t="s">
        <v>2500</v>
      </c>
      <c r="C1617" s="545" t="s">
        <v>40</v>
      </c>
      <c r="D1617" s="545" t="s">
        <v>465</v>
      </c>
      <c r="E1617" s="681">
        <v>45078</v>
      </c>
      <c r="F1617" s="545">
        <v>720</v>
      </c>
      <c r="G1617" s="545" t="s">
        <v>59</v>
      </c>
      <c r="H1617" s="545" t="s">
        <v>3</v>
      </c>
      <c r="I1617" s="545" t="s">
        <v>44</v>
      </c>
      <c r="J1617" s="545" t="s">
        <v>85</v>
      </c>
      <c r="K1617" s="545">
        <v>71.5</v>
      </c>
      <c r="L1617" s="725" t="s">
        <v>54</v>
      </c>
      <c r="M1617" s="695">
        <v>0</v>
      </c>
      <c r="N1617" s="725">
        <v>2</v>
      </c>
      <c r="O1617" s="695">
        <v>0</v>
      </c>
      <c r="P1617" s="725">
        <v>71.5</v>
      </c>
      <c r="Q1617" s="742">
        <f t="shared" si="225"/>
        <v>0</v>
      </c>
      <c r="R1617" s="603">
        <f t="shared" si="226"/>
        <v>102960</v>
      </c>
      <c r="S1617" s="743">
        <f t="shared" si="227"/>
        <v>102960</v>
      </c>
      <c r="T1617" s="742">
        <v>72.400000000000006</v>
      </c>
      <c r="U1617" s="603">
        <f t="shared" si="228"/>
        <v>104256.00000000001</v>
      </c>
      <c r="V1617" s="743">
        <f t="shared" si="229"/>
        <v>-1296.0000000000146</v>
      </c>
      <c r="W1617" s="744">
        <v>55.874535369068141</v>
      </c>
      <c r="X1617" s="604">
        <f t="shared" si="230"/>
        <v>80459.330931458127</v>
      </c>
      <c r="Y1617" s="701">
        <f t="shared" si="231"/>
        <v>22500.669068541873</v>
      </c>
      <c r="Z1617" s="744">
        <v>88.925464630931856</v>
      </c>
      <c r="AA1617" s="604">
        <f t="shared" si="232"/>
        <v>128052.66906854187</v>
      </c>
      <c r="AB1617" s="745">
        <f t="shared" si="233"/>
        <v>-25092.669068541873</v>
      </c>
      <c r="AC1617" s="714"/>
    </row>
    <row r="1618" spans="1:29" x14ac:dyDescent="0.25">
      <c r="A1618" s="713"/>
      <c r="B1618" s="730" t="s">
        <v>2501</v>
      </c>
      <c r="C1618" s="546" t="s">
        <v>40</v>
      </c>
      <c r="D1618" s="546" t="s">
        <v>2498</v>
      </c>
      <c r="E1618" s="682">
        <v>45017</v>
      </c>
      <c r="F1618" s="546">
        <v>720</v>
      </c>
      <c r="G1618" s="546" t="s">
        <v>59</v>
      </c>
      <c r="H1618" s="546" t="s">
        <v>3</v>
      </c>
      <c r="I1618" s="546" t="s">
        <v>44</v>
      </c>
      <c r="J1618" s="546" t="s">
        <v>85</v>
      </c>
      <c r="K1618" s="546">
        <v>71.5</v>
      </c>
      <c r="L1618" s="726" t="s">
        <v>54</v>
      </c>
      <c r="M1618" s="696">
        <v>0</v>
      </c>
      <c r="N1618" s="726">
        <v>5</v>
      </c>
      <c r="O1618" s="696">
        <v>0</v>
      </c>
      <c r="P1618" s="726">
        <v>71.5</v>
      </c>
      <c r="Q1618" s="746">
        <f t="shared" si="225"/>
        <v>0</v>
      </c>
      <c r="R1618" s="606">
        <f t="shared" si="226"/>
        <v>257400</v>
      </c>
      <c r="S1618" s="747">
        <f t="shared" si="227"/>
        <v>257400</v>
      </c>
      <c r="T1618" s="746">
        <v>69.8</v>
      </c>
      <c r="U1618" s="606">
        <f t="shared" si="228"/>
        <v>251280</v>
      </c>
      <c r="V1618" s="747">
        <f t="shared" si="229"/>
        <v>6120</v>
      </c>
      <c r="W1618" s="748">
        <v>55.7</v>
      </c>
      <c r="X1618" s="607">
        <f t="shared" si="230"/>
        <v>200520</v>
      </c>
      <c r="Y1618" s="702">
        <f t="shared" si="231"/>
        <v>56880</v>
      </c>
      <c r="Z1618" s="748">
        <v>85.732008718771311</v>
      </c>
      <c r="AA1618" s="607">
        <f t="shared" si="232"/>
        <v>308635.23138757673</v>
      </c>
      <c r="AB1618" s="749">
        <f t="shared" si="233"/>
        <v>-51235.231387576729</v>
      </c>
      <c r="AC1618" s="714"/>
    </row>
    <row r="1619" spans="1:29" x14ac:dyDescent="0.25">
      <c r="A1619" s="713"/>
      <c r="B1619" s="714" t="s">
        <v>2501</v>
      </c>
      <c r="C1619" s="676" t="s">
        <v>40</v>
      </c>
      <c r="D1619" s="676" t="s">
        <v>2498</v>
      </c>
      <c r="E1619" s="680">
        <v>45047</v>
      </c>
      <c r="F1619" s="676">
        <v>744</v>
      </c>
      <c r="G1619" s="676" t="s">
        <v>59</v>
      </c>
      <c r="H1619" s="676" t="s">
        <v>3</v>
      </c>
      <c r="I1619" s="676" t="s">
        <v>44</v>
      </c>
      <c r="J1619" s="676" t="s">
        <v>85</v>
      </c>
      <c r="K1619" s="676">
        <v>71.5</v>
      </c>
      <c r="L1619" s="690" t="s">
        <v>54</v>
      </c>
      <c r="M1619" s="691">
        <v>0</v>
      </c>
      <c r="N1619" s="690">
        <v>5</v>
      </c>
      <c r="O1619" s="691">
        <v>0</v>
      </c>
      <c r="P1619" s="690">
        <v>71.5</v>
      </c>
      <c r="Q1619" s="738">
        <f t="shared" si="225"/>
        <v>0</v>
      </c>
      <c r="R1619" s="677">
        <f t="shared" si="226"/>
        <v>265980</v>
      </c>
      <c r="S1619" s="739">
        <f t="shared" si="227"/>
        <v>265980</v>
      </c>
      <c r="T1619" s="738">
        <v>70.2</v>
      </c>
      <c r="U1619" s="677">
        <f t="shared" si="228"/>
        <v>261144</v>
      </c>
      <c r="V1619" s="739">
        <f t="shared" si="229"/>
        <v>4836</v>
      </c>
      <c r="W1619" s="740">
        <v>55.7</v>
      </c>
      <c r="X1619" s="678">
        <f t="shared" si="230"/>
        <v>207204</v>
      </c>
      <c r="Y1619" s="700">
        <f t="shared" si="231"/>
        <v>58776</v>
      </c>
      <c r="Z1619" s="740">
        <v>86.223309628334476</v>
      </c>
      <c r="AA1619" s="678">
        <f t="shared" si="232"/>
        <v>320750.71181740426</v>
      </c>
      <c r="AB1619" s="741">
        <f t="shared" si="233"/>
        <v>-54770.711817404255</v>
      </c>
      <c r="AC1619" s="714"/>
    </row>
    <row r="1620" spans="1:29" x14ac:dyDescent="0.25">
      <c r="A1620" s="713"/>
      <c r="B1620" s="729" t="s">
        <v>2501</v>
      </c>
      <c r="C1620" s="545" t="s">
        <v>40</v>
      </c>
      <c r="D1620" s="545" t="s">
        <v>2498</v>
      </c>
      <c r="E1620" s="681">
        <v>45078</v>
      </c>
      <c r="F1620" s="545">
        <v>720</v>
      </c>
      <c r="G1620" s="545" t="s">
        <v>59</v>
      </c>
      <c r="H1620" s="545" t="s">
        <v>3</v>
      </c>
      <c r="I1620" s="545" t="s">
        <v>44</v>
      </c>
      <c r="J1620" s="545" t="s">
        <v>85</v>
      </c>
      <c r="K1620" s="545">
        <v>71.5</v>
      </c>
      <c r="L1620" s="725" t="s">
        <v>54</v>
      </c>
      <c r="M1620" s="695">
        <v>0</v>
      </c>
      <c r="N1620" s="725">
        <v>5</v>
      </c>
      <c r="O1620" s="695">
        <v>0</v>
      </c>
      <c r="P1620" s="725">
        <v>71.5</v>
      </c>
      <c r="Q1620" s="742">
        <f t="shared" si="225"/>
        <v>0</v>
      </c>
      <c r="R1620" s="603">
        <f t="shared" si="226"/>
        <v>257400</v>
      </c>
      <c r="S1620" s="743">
        <f t="shared" si="227"/>
        <v>257400</v>
      </c>
      <c r="T1620" s="742">
        <v>72.400000000000006</v>
      </c>
      <c r="U1620" s="603">
        <f t="shared" si="228"/>
        <v>260640.00000000003</v>
      </c>
      <c r="V1620" s="743">
        <f t="shared" si="229"/>
        <v>-3240.0000000000291</v>
      </c>
      <c r="W1620" s="744">
        <v>55.874535369068141</v>
      </c>
      <c r="X1620" s="604">
        <f t="shared" si="230"/>
        <v>201148.3273286453</v>
      </c>
      <c r="Y1620" s="701">
        <f t="shared" si="231"/>
        <v>56251.672671354696</v>
      </c>
      <c r="Z1620" s="744">
        <v>88.925464630931856</v>
      </c>
      <c r="AA1620" s="604">
        <f t="shared" si="232"/>
        <v>320131.67267135467</v>
      </c>
      <c r="AB1620" s="745">
        <f t="shared" si="233"/>
        <v>-62731.672671354667</v>
      </c>
      <c r="AC1620" s="714"/>
    </row>
    <row r="1621" spans="1:29" x14ac:dyDescent="0.25">
      <c r="A1621" s="713"/>
      <c r="B1621" s="730" t="s">
        <v>2504</v>
      </c>
      <c r="C1621" s="546" t="s">
        <v>40</v>
      </c>
      <c r="D1621" s="546" t="s">
        <v>507</v>
      </c>
      <c r="E1621" s="682">
        <v>45108</v>
      </c>
      <c r="F1621" s="546">
        <v>744</v>
      </c>
      <c r="G1621" s="546" t="s">
        <v>59</v>
      </c>
      <c r="H1621" s="546" t="s">
        <v>3</v>
      </c>
      <c r="I1621" s="546" t="s">
        <v>44</v>
      </c>
      <c r="J1621" s="546" t="s">
        <v>85</v>
      </c>
      <c r="K1621" s="546">
        <v>114</v>
      </c>
      <c r="L1621" s="726" t="s">
        <v>54</v>
      </c>
      <c r="M1621" s="696">
        <v>0</v>
      </c>
      <c r="N1621" s="726">
        <v>10</v>
      </c>
      <c r="O1621" s="696">
        <v>0</v>
      </c>
      <c r="P1621" s="726">
        <v>114</v>
      </c>
      <c r="Q1621" s="746">
        <f t="shared" si="225"/>
        <v>0</v>
      </c>
      <c r="R1621" s="606">
        <f t="shared" si="226"/>
        <v>848160</v>
      </c>
      <c r="S1621" s="747">
        <f t="shared" si="227"/>
        <v>848160</v>
      </c>
      <c r="T1621" s="746">
        <v>77.150000000000006</v>
      </c>
      <c r="U1621" s="606">
        <f t="shared" si="228"/>
        <v>573996</v>
      </c>
      <c r="V1621" s="747">
        <f t="shared" si="229"/>
        <v>274164</v>
      </c>
      <c r="W1621" s="748">
        <v>59.54033706800562</v>
      </c>
      <c r="X1621" s="607">
        <f t="shared" si="230"/>
        <v>442980.10778596182</v>
      </c>
      <c r="Y1621" s="702">
        <f t="shared" si="231"/>
        <v>405179.89221403818</v>
      </c>
      <c r="Z1621" s="748">
        <v>94.759662931994384</v>
      </c>
      <c r="AA1621" s="607">
        <f t="shared" si="232"/>
        <v>705011.89221403818</v>
      </c>
      <c r="AB1621" s="749">
        <f t="shared" si="233"/>
        <v>143148.10778596182</v>
      </c>
      <c r="AC1621" s="714"/>
    </row>
    <row r="1622" spans="1:29" x14ac:dyDescent="0.25">
      <c r="A1622" s="713"/>
      <c r="B1622" s="714" t="s">
        <v>2504</v>
      </c>
      <c r="C1622" s="676" t="s">
        <v>40</v>
      </c>
      <c r="D1622" s="676" t="s">
        <v>507</v>
      </c>
      <c r="E1622" s="680">
        <v>45139</v>
      </c>
      <c r="F1622" s="676">
        <v>744</v>
      </c>
      <c r="G1622" s="676" t="s">
        <v>59</v>
      </c>
      <c r="H1622" s="676" t="s">
        <v>3</v>
      </c>
      <c r="I1622" s="676" t="s">
        <v>44</v>
      </c>
      <c r="J1622" s="676" t="s">
        <v>85</v>
      </c>
      <c r="K1622" s="676">
        <v>114</v>
      </c>
      <c r="L1622" s="690" t="s">
        <v>54</v>
      </c>
      <c r="M1622" s="691">
        <v>0</v>
      </c>
      <c r="N1622" s="690">
        <v>10</v>
      </c>
      <c r="O1622" s="691">
        <v>0</v>
      </c>
      <c r="P1622" s="690">
        <v>114</v>
      </c>
      <c r="Q1622" s="738">
        <f t="shared" si="225"/>
        <v>0</v>
      </c>
      <c r="R1622" s="677">
        <f t="shared" si="226"/>
        <v>848160</v>
      </c>
      <c r="S1622" s="739">
        <f t="shared" si="227"/>
        <v>848160</v>
      </c>
      <c r="T1622" s="738">
        <v>77.150000000000006</v>
      </c>
      <c r="U1622" s="677">
        <f t="shared" si="228"/>
        <v>573996</v>
      </c>
      <c r="V1622" s="739">
        <f t="shared" si="229"/>
        <v>274164</v>
      </c>
      <c r="W1622" s="740">
        <v>59.54033706800562</v>
      </c>
      <c r="X1622" s="678">
        <f t="shared" si="230"/>
        <v>442980.10778596182</v>
      </c>
      <c r="Y1622" s="700">
        <f t="shared" si="231"/>
        <v>405179.89221403818</v>
      </c>
      <c r="Z1622" s="740">
        <v>94.759662931994384</v>
      </c>
      <c r="AA1622" s="678">
        <f t="shared" si="232"/>
        <v>705011.89221403818</v>
      </c>
      <c r="AB1622" s="741">
        <f t="shared" si="233"/>
        <v>143148.10778596182</v>
      </c>
      <c r="AC1622" s="714"/>
    </row>
    <row r="1623" spans="1:29" x14ac:dyDescent="0.25">
      <c r="A1623" s="713"/>
      <c r="B1623" s="729" t="s">
        <v>2504</v>
      </c>
      <c r="C1623" s="545" t="s">
        <v>40</v>
      </c>
      <c r="D1623" s="545" t="s">
        <v>507</v>
      </c>
      <c r="E1623" s="681">
        <v>45170</v>
      </c>
      <c r="F1623" s="545">
        <v>720</v>
      </c>
      <c r="G1623" s="545" t="s">
        <v>59</v>
      </c>
      <c r="H1623" s="545" t="s">
        <v>3</v>
      </c>
      <c r="I1623" s="545" t="s">
        <v>44</v>
      </c>
      <c r="J1623" s="545" t="s">
        <v>85</v>
      </c>
      <c r="K1623" s="545">
        <v>114</v>
      </c>
      <c r="L1623" s="725" t="s">
        <v>54</v>
      </c>
      <c r="M1623" s="695">
        <v>0</v>
      </c>
      <c r="N1623" s="725">
        <v>10</v>
      </c>
      <c r="O1623" s="695">
        <v>0</v>
      </c>
      <c r="P1623" s="725">
        <v>114</v>
      </c>
      <c r="Q1623" s="742">
        <f t="shared" si="225"/>
        <v>0</v>
      </c>
      <c r="R1623" s="603">
        <f t="shared" si="226"/>
        <v>820800</v>
      </c>
      <c r="S1623" s="743">
        <f t="shared" si="227"/>
        <v>820800</v>
      </c>
      <c r="T1623" s="742">
        <v>77.150000000000006</v>
      </c>
      <c r="U1623" s="603">
        <f t="shared" si="228"/>
        <v>555480</v>
      </c>
      <c r="V1623" s="743">
        <f t="shared" si="229"/>
        <v>265320</v>
      </c>
      <c r="W1623" s="744">
        <v>59.54033706800562</v>
      </c>
      <c r="X1623" s="604">
        <f t="shared" si="230"/>
        <v>428690.42688964045</v>
      </c>
      <c r="Y1623" s="701">
        <f t="shared" si="231"/>
        <v>392109.57311035955</v>
      </c>
      <c r="Z1623" s="744">
        <v>94.759662931994384</v>
      </c>
      <c r="AA1623" s="604">
        <f t="shared" si="232"/>
        <v>682269.5731103596</v>
      </c>
      <c r="AB1623" s="745">
        <f t="shared" si="233"/>
        <v>138530.4268896404</v>
      </c>
      <c r="AC1623" s="714"/>
    </row>
    <row r="1624" spans="1:29" x14ac:dyDescent="0.25">
      <c r="A1624" s="713"/>
      <c r="B1624" s="730" t="s">
        <v>2509</v>
      </c>
      <c r="C1624" s="546" t="s">
        <v>40</v>
      </c>
      <c r="D1624" s="546" t="s">
        <v>502</v>
      </c>
      <c r="E1624" s="682">
        <v>45292</v>
      </c>
      <c r="F1624" s="546">
        <v>744</v>
      </c>
      <c r="G1624" s="546" t="s">
        <v>59</v>
      </c>
      <c r="H1624" s="546" t="s">
        <v>3</v>
      </c>
      <c r="I1624" s="546" t="s">
        <v>44</v>
      </c>
      <c r="J1624" s="546" t="s">
        <v>85</v>
      </c>
      <c r="K1624" s="546">
        <v>130</v>
      </c>
      <c r="L1624" s="726" t="s">
        <v>54</v>
      </c>
      <c r="M1624" s="696">
        <v>0</v>
      </c>
      <c r="N1624" s="726">
        <v>5</v>
      </c>
      <c r="O1624" s="696">
        <v>0</v>
      </c>
      <c r="P1624" s="726">
        <v>131.15945797953472</v>
      </c>
      <c r="Q1624" s="746">
        <f t="shared" si="225"/>
        <v>0</v>
      </c>
      <c r="R1624" s="606">
        <f t="shared" si="226"/>
        <v>487913.18368386914</v>
      </c>
      <c r="S1624" s="747">
        <f t="shared" si="227"/>
        <v>487913.18368386914</v>
      </c>
      <c r="T1624" s="746">
        <v>100.1</v>
      </c>
      <c r="U1624" s="606">
        <f t="shared" si="228"/>
        <v>372372</v>
      </c>
      <c r="V1624" s="747">
        <f t="shared" si="229"/>
        <v>115541.18368386914</v>
      </c>
      <c r="W1624" s="748">
        <v>92.278761745078526</v>
      </c>
      <c r="X1624" s="607">
        <f t="shared" si="230"/>
        <v>343276.99369169213</v>
      </c>
      <c r="Y1624" s="702">
        <f t="shared" si="231"/>
        <v>144636.18999217701</v>
      </c>
      <c r="Z1624" s="748">
        <v>107.92123825492146</v>
      </c>
      <c r="AA1624" s="607">
        <f t="shared" si="232"/>
        <v>401467.00630830781</v>
      </c>
      <c r="AB1624" s="749">
        <f t="shared" si="233"/>
        <v>86446.177375561325</v>
      </c>
      <c r="AC1624" s="714"/>
    </row>
    <row r="1625" spans="1:29" x14ac:dyDescent="0.25">
      <c r="A1625" s="713"/>
      <c r="B1625" s="714" t="s">
        <v>2509</v>
      </c>
      <c r="C1625" s="676" t="s">
        <v>40</v>
      </c>
      <c r="D1625" s="676" t="s">
        <v>502</v>
      </c>
      <c r="E1625" s="680">
        <v>45323</v>
      </c>
      <c r="F1625" s="676">
        <v>696</v>
      </c>
      <c r="G1625" s="676" t="s">
        <v>59</v>
      </c>
      <c r="H1625" s="676" t="s">
        <v>3</v>
      </c>
      <c r="I1625" s="676" t="s">
        <v>44</v>
      </c>
      <c r="J1625" s="676" t="s">
        <v>85</v>
      </c>
      <c r="K1625" s="676">
        <v>130</v>
      </c>
      <c r="L1625" s="690" t="s">
        <v>54</v>
      </c>
      <c r="M1625" s="691">
        <v>0</v>
      </c>
      <c r="N1625" s="690">
        <v>5</v>
      </c>
      <c r="O1625" s="691">
        <v>0</v>
      </c>
      <c r="P1625" s="690">
        <v>131.15945797953472</v>
      </c>
      <c r="Q1625" s="738">
        <f t="shared" si="225"/>
        <v>0</v>
      </c>
      <c r="R1625" s="677">
        <f t="shared" si="226"/>
        <v>456434.91376878083</v>
      </c>
      <c r="S1625" s="739">
        <f t="shared" si="227"/>
        <v>456434.91376878083</v>
      </c>
      <c r="T1625" s="738">
        <v>100.1</v>
      </c>
      <c r="U1625" s="677">
        <f t="shared" si="228"/>
        <v>348348</v>
      </c>
      <c r="V1625" s="739">
        <f t="shared" si="229"/>
        <v>108086.91376878083</v>
      </c>
      <c r="W1625" s="740">
        <v>92.278761745078526</v>
      </c>
      <c r="X1625" s="678">
        <f t="shared" si="230"/>
        <v>321130.09087287326</v>
      </c>
      <c r="Y1625" s="700">
        <f t="shared" si="231"/>
        <v>135304.82289590756</v>
      </c>
      <c r="Z1625" s="740">
        <v>107.92123825492146</v>
      </c>
      <c r="AA1625" s="678">
        <f t="shared" si="232"/>
        <v>375565.90912712668</v>
      </c>
      <c r="AB1625" s="741">
        <f t="shared" si="233"/>
        <v>80869.004641654145</v>
      </c>
      <c r="AC1625" s="714"/>
    </row>
    <row r="1626" spans="1:29" x14ac:dyDescent="0.25">
      <c r="A1626" s="713"/>
      <c r="B1626" s="714" t="s">
        <v>2509</v>
      </c>
      <c r="C1626" s="676" t="s">
        <v>40</v>
      </c>
      <c r="D1626" s="676" t="s">
        <v>502</v>
      </c>
      <c r="E1626" s="680">
        <v>45352</v>
      </c>
      <c r="F1626" s="676">
        <v>744</v>
      </c>
      <c r="G1626" s="676" t="s">
        <v>59</v>
      </c>
      <c r="H1626" s="676" t="s">
        <v>3</v>
      </c>
      <c r="I1626" s="676" t="s">
        <v>44</v>
      </c>
      <c r="J1626" s="676" t="s">
        <v>85</v>
      </c>
      <c r="K1626" s="676">
        <v>130</v>
      </c>
      <c r="L1626" s="690" t="s">
        <v>54</v>
      </c>
      <c r="M1626" s="691">
        <v>0</v>
      </c>
      <c r="N1626" s="690">
        <v>5</v>
      </c>
      <c r="O1626" s="691">
        <v>0</v>
      </c>
      <c r="P1626" s="690">
        <v>131.15945797953472</v>
      </c>
      <c r="Q1626" s="738">
        <f t="shared" si="225"/>
        <v>0</v>
      </c>
      <c r="R1626" s="677">
        <f t="shared" si="226"/>
        <v>487913.18368386914</v>
      </c>
      <c r="S1626" s="739">
        <f t="shared" si="227"/>
        <v>487913.18368386914</v>
      </c>
      <c r="T1626" s="738">
        <v>100.1</v>
      </c>
      <c r="U1626" s="677">
        <f t="shared" si="228"/>
        <v>372372</v>
      </c>
      <c r="V1626" s="739">
        <f t="shared" si="229"/>
        <v>115541.18368386914</v>
      </c>
      <c r="W1626" s="740">
        <v>92.278761745078526</v>
      </c>
      <c r="X1626" s="678">
        <f t="shared" si="230"/>
        <v>343276.99369169213</v>
      </c>
      <c r="Y1626" s="700">
        <f t="shared" si="231"/>
        <v>144636.18999217701</v>
      </c>
      <c r="Z1626" s="740">
        <v>107.92123825492146</v>
      </c>
      <c r="AA1626" s="678">
        <f t="shared" si="232"/>
        <v>401467.00630830781</v>
      </c>
      <c r="AB1626" s="741">
        <f t="shared" si="233"/>
        <v>86446.177375561325</v>
      </c>
      <c r="AC1626" s="714"/>
    </row>
    <row r="1627" spans="1:29" x14ac:dyDescent="0.25">
      <c r="A1627" s="713"/>
      <c r="B1627" s="714" t="s">
        <v>2509</v>
      </c>
      <c r="C1627" s="676" t="s">
        <v>40</v>
      </c>
      <c r="D1627" s="676" t="s">
        <v>502</v>
      </c>
      <c r="E1627" s="680">
        <v>45383</v>
      </c>
      <c r="F1627" s="676">
        <v>720</v>
      </c>
      <c r="G1627" s="676" t="s">
        <v>59</v>
      </c>
      <c r="H1627" s="676" t="s">
        <v>3</v>
      </c>
      <c r="I1627" s="676" t="s">
        <v>44</v>
      </c>
      <c r="J1627" s="676" t="s">
        <v>85</v>
      </c>
      <c r="K1627" s="676">
        <v>130</v>
      </c>
      <c r="L1627" s="690" t="s">
        <v>54</v>
      </c>
      <c r="M1627" s="691">
        <v>0</v>
      </c>
      <c r="N1627" s="690">
        <v>5</v>
      </c>
      <c r="O1627" s="691">
        <v>0</v>
      </c>
      <c r="P1627" s="690">
        <v>131.15945797953472</v>
      </c>
      <c r="Q1627" s="738">
        <f t="shared" si="225"/>
        <v>0</v>
      </c>
      <c r="R1627" s="677">
        <f t="shared" si="226"/>
        <v>472174.04872632498</v>
      </c>
      <c r="S1627" s="739">
        <f t="shared" si="227"/>
        <v>472174.04872632498</v>
      </c>
      <c r="T1627" s="738">
        <v>100.1</v>
      </c>
      <c r="U1627" s="677">
        <f t="shared" si="228"/>
        <v>360360</v>
      </c>
      <c r="V1627" s="739">
        <f t="shared" si="229"/>
        <v>111814.04872632498</v>
      </c>
      <c r="W1627" s="740">
        <v>92.278761745078526</v>
      </c>
      <c r="X1627" s="678">
        <f t="shared" si="230"/>
        <v>332203.54228228267</v>
      </c>
      <c r="Y1627" s="700">
        <f t="shared" si="231"/>
        <v>139970.50644404232</v>
      </c>
      <c r="Z1627" s="740">
        <v>107.92123825492146</v>
      </c>
      <c r="AA1627" s="678">
        <f t="shared" si="232"/>
        <v>388516.45771771728</v>
      </c>
      <c r="AB1627" s="741">
        <f t="shared" si="233"/>
        <v>83657.591008607706</v>
      </c>
      <c r="AC1627" s="714"/>
    </row>
    <row r="1628" spans="1:29" x14ac:dyDescent="0.25">
      <c r="A1628" s="713"/>
      <c r="B1628" s="714" t="s">
        <v>2509</v>
      </c>
      <c r="C1628" s="676" t="s">
        <v>40</v>
      </c>
      <c r="D1628" s="676" t="s">
        <v>502</v>
      </c>
      <c r="E1628" s="680">
        <v>45413</v>
      </c>
      <c r="F1628" s="676">
        <v>744</v>
      </c>
      <c r="G1628" s="676" t="s">
        <v>59</v>
      </c>
      <c r="H1628" s="676" t="s">
        <v>3</v>
      </c>
      <c r="I1628" s="676" t="s">
        <v>44</v>
      </c>
      <c r="J1628" s="676" t="s">
        <v>85</v>
      </c>
      <c r="K1628" s="676">
        <v>130</v>
      </c>
      <c r="L1628" s="690" t="s">
        <v>54</v>
      </c>
      <c r="M1628" s="691">
        <v>0</v>
      </c>
      <c r="N1628" s="690">
        <v>5</v>
      </c>
      <c r="O1628" s="691">
        <v>0</v>
      </c>
      <c r="P1628" s="690">
        <v>131.15945797953472</v>
      </c>
      <c r="Q1628" s="738">
        <f t="shared" si="225"/>
        <v>0</v>
      </c>
      <c r="R1628" s="677">
        <f t="shared" si="226"/>
        <v>487913.18368386914</v>
      </c>
      <c r="S1628" s="739">
        <f t="shared" si="227"/>
        <v>487913.18368386914</v>
      </c>
      <c r="T1628" s="738">
        <v>100.1</v>
      </c>
      <c r="U1628" s="677">
        <f t="shared" si="228"/>
        <v>372372</v>
      </c>
      <c r="V1628" s="739">
        <f t="shared" si="229"/>
        <v>115541.18368386914</v>
      </c>
      <c r="W1628" s="740">
        <v>92.278761745078526</v>
      </c>
      <c r="X1628" s="678">
        <f t="shared" si="230"/>
        <v>343276.99369169213</v>
      </c>
      <c r="Y1628" s="700">
        <f t="shared" si="231"/>
        <v>144636.18999217701</v>
      </c>
      <c r="Z1628" s="740">
        <v>107.92123825492146</v>
      </c>
      <c r="AA1628" s="678">
        <f t="shared" si="232"/>
        <v>401467.00630830781</v>
      </c>
      <c r="AB1628" s="741">
        <f t="shared" si="233"/>
        <v>86446.177375561325</v>
      </c>
      <c r="AC1628" s="714"/>
    </row>
    <row r="1629" spans="1:29" x14ac:dyDescent="0.25">
      <c r="A1629" s="713"/>
      <c r="B1629" s="714" t="s">
        <v>2509</v>
      </c>
      <c r="C1629" s="676" t="s">
        <v>40</v>
      </c>
      <c r="D1629" s="676" t="s">
        <v>502</v>
      </c>
      <c r="E1629" s="680">
        <v>45444</v>
      </c>
      <c r="F1629" s="676">
        <v>720</v>
      </c>
      <c r="G1629" s="676" t="s">
        <v>59</v>
      </c>
      <c r="H1629" s="676" t="s">
        <v>3</v>
      </c>
      <c r="I1629" s="676" t="s">
        <v>44</v>
      </c>
      <c r="J1629" s="676" t="s">
        <v>85</v>
      </c>
      <c r="K1629" s="676">
        <v>130</v>
      </c>
      <c r="L1629" s="690" t="s">
        <v>54</v>
      </c>
      <c r="M1629" s="691">
        <v>0</v>
      </c>
      <c r="N1629" s="690">
        <v>5</v>
      </c>
      <c r="O1629" s="691">
        <v>0</v>
      </c>
      <c r="P1629" s="690">
        <v>131.15945797953472</v>
      </c>
      <c r="Q1629" s="738">
        <f t="shared" si="225"/>
        <v>0</v>
      </c>
      <c r="R1629" s="677">
        <f t="shared" si="226"/>
        <v>472174.04872632498</v>
      </c>
      <c r="S1629" s="739">
        <f t="shared" si="227"/>
        <v>472174.04872632498</v>
      </c>
      <c r="T1629" s="738">
        <v>100.1</v>
      </c>
      <c r="U1629" s="677">
        <f t="shared" si="228"/>
        <v>360360</v>
      </c>
      <c r="V1629" s="739">
        <f t="shared" si="229"/>
        <v>111814.04872632498</v>
      </c>
      <c r="W1629" s="740">
        <v>92.278761745078526</v>
      </c>
      <c r="X1629" s="678">
        <f t="shared" si="230"/>
        <v>332203.54228228267</v>
      </c>
      <c r="Y1629" s="700">
        <f t="shared" si="231"/>
        <v>139970.50644404232</v>
      </c>
      <c r="Z1629" s="740">
        <v>107.92123825492146</v>
      </c>
      <c r="AA1629" s="678">
        <f t="shared" si="232"/>
        <v>388516.45771771728</v>
      </c>
      <c r="AB1629" s="741">
        <f t="shared" si="233"/>
        <v>83657.591008607706</v>
      </c>
      <c r="AC1629" s="714"/>
    </row>
    <row r="1630" spans="1:29" x14ac:dyDescent="0.25">
      <c r="A1630" s="713"/>
      <c r="B1630" s="714" t="s">
        <v>2509</v>
      </c>
      <c r="C1630" s="676" t="s">
        <v>40</v>
      </c>
      <c r="D1630" s="676" t="s">
        <v>502</v>
      </c>
      <c r="E1630" s="680">
        <v>45474</v>
      </c>
      <c r="F1630" s="676">
        <v>744</v>
      </c>
      <c r="G1630" s="676" t="s">
        <v>59</v>
      </c>
      <c r="H1630" s="676" t="s">
        <v>3</v>
      </c>
      <c r="I1630" s="676" t="s">
        <v>44</v>
      </c>
      <c r="J1630" s="676" t="s">
        <v>85</v>
      </c>
      <c r="K1630" s="676">
        <v>130</v>
      </c>
      <c r="L1630" s="690" t="s">
        <v>54</v>
      </c>
      <c r="M1630" s="691">
        <v>0</v>
      </c>
      <c r="N1630" s="690">
        <v>5</v>
      </c>
      <c r="O1630" s="691">
        <v>0</v>
      </c>
      <c r="P1630" s="690">
        <v>131.15945797953472</v>
      </c>
      <c r="Q1630" s="738">
        <f t="shared" si="225"/>
        <v>0</v>
      </c>
      <c r="R1630" s="677">
        <f t="shared" si="226"/>
        <v>487913.18368386914</v>
      </c>
      <c r="S1630" s="739">
        <f t="shared" si="227"/>
        <v>487913.18368386914</v>
      </c>
      <c r="T1630" s="738">
        <v>100.1</v>
      </c>
      <c r="U1630" s="677">
        <f t="shared" si="228"/>
        <v>372372</v>
      </c>
      <c r="V1630" s="739">
        <f t="shared" si="229"/>
        <v>115541.18368386914</v>
      </c>
      <c r="W1630" s="740">
        <v>92.278761745078526</v>
      </c>
      <c r="X1630" s="678">
        <f t="shared" si="230"/>
        <v>343276.99369169213</v>
      </c>
      <c r="Y1630" s="700">
        <f t="shared" si="231"/>
        <v>144636.18999217701</v>
      </c>
      <c r="Z1630" s="740">
        <v>107.92123825492146</v>
      </c>
      <c r="AA1630" s="678">
        <f t="shared" si="232"/>
        <v>401467.00630830781</v>
      </c>
      <c r="AB1630" s="741">
        <f t="shared" si="233"/>
        <v>86446.177375561325</v>
      </c>
      <c r="AC1630" s="714"/>
    </row>
    <row r="1631" spans="1:29" x14ac:dyDescent="0.25">
      <c r="A1631" s="713"/>
      <c r="B1631" s="714" t="s">
        <v>2509</v>
      </c>
      <c r="C1631" s="676" t="s">
        <v>40</v>
      </c>
      <c r="D1631" s="676" t="s">
        <v>502</v>
      </c>
      <c r="E1631" s="680">
        <v>45505</v>
      </c>
      <c r="F1631" s="676">
        <v>744</v>
      </c>
      <c r="G1631" s="676" t="s">
        <v>59</v>
      </c>
      <c r="H1631" s="676" t="s">
        <v>3</v>
      </c>
      <c r="I1631" s="676" t="s">
        <v>44</v>
      </c>
      <c r="J1631" s="676" t="s">
        <v>85</v>
      </c>
      <c r="K1631" s="676">
        <v>130</v>
      </c>
      <c r="L1631" s="690" t="s">
        <v>54</v>
      </c>
      <c r="M1631" s="691">
        <v>0</v>
      </c>
      <c r="N1631" s="690">
        <v>5</v>
      </c>
      <c r="O1631" s="691">
        <v>0</v>
      </c>
      <c r="P1631" s="690">
        <v>131.15945797953472</v>
      </c>
      <c r="Q1631" s="738">
        <f t="shared" si="225"/>
        <v>0</v>
      </c>
      <c r="R1631" s="677">
        <f t="shared" si="226"/>
        <v>487913.18368386914</v>
      </c>
      <c r="S1631" s="739">
        <f t="shared" si="227"/>
        <v>487913.18368386914</v>
      </c>
      <c r="T1631" s="738">
        <v>100.1</v>
      </c>
      <c r="U1631" s="677">
        <f t="shared" si="228"/>
        <v>372372</v>
      </c>
      <c r="V1631" s="739">
        <f t="shared" si="229"/>
        <v>115541.18368386914</v>
      </c>
      <c r="W1631" s="740">
        <v>92.278761745078526</v>
      </c>
      <c r="X1631" s="678">
        <f t="shared" si="230"/>
        <v>343276.99369169213</v>
      </c>
      <c r="Y1631" s="700">
        <f t="shared" si="231"/>
        <v>144636.18999217701</v>
      </c>
      <c r="Z1631" s="740">
        <v>107.92123825492146</v>
      </c>
      <c r="AA1631" s="678">
        <f t="shared" si="232"/>
        <v>401467.00630830781</v>
      </c>
      <c r="AB1631" s="741">
        <f t="shared" si="233"/>
        <v>86446.177375561325</v>
      </c>
      <c r="AC1631" s="714"/>
    </row>
    <row r="1632" spans="1:29" x14ac:dyDescent="0.25">
      <c r="A1632" s="713"/>
      <c r="B1632" s="714" t="s">
        <v>2509</v>
      </c>
      <c r="C1632" s="676" t="s">
        <v>40</v>
      </c>
      <c r="D1632" s="676" t="s">
        <v>502</v>
      </c>
      <c r="E1632" s="680">
        <v>45536</v>
      </c>
      <c r="F1632" s="676">
        <v>720</v>
      </c>
      <c r="G1632" s="676" t="s">
        <v>59</v>
      </c>
      <c r="H1632" s="676" t="s">
        <v>3</v>
      </c>
      <c r="I1632" s="676" t="s">
        <v>44</v>
      </c>
      <c r="J1632" s="676" t="s">
        <v>85</v>
      </c>
      <c r="K1632" s="676">
        <v>130</v>
      </c>
      <c r="L1632" s="690" t="s">
        <v>54</v>
      </c>
      <c r="M1632" s="691">
        <v>0</v>
      </c>
      <c r="N1632" s="690">
        <v>5</v>
      </c>
      <c r="O1632" s="691">
        <v>0</v>
      </c>
      <c r="P1632" s="690">
        <v>131.15945797953472</v>
      </c>
      <c r="Q1632" s="738">
        <f t="shared" si="225"/>
        <v>0</v>
      </c>
      <c r="R1632" s="677">
        <f t="shared" si="226"/>
        <v>472174.04872632498</v>
      </c>
      <c r="S1632" s="739">
        <f t="shared" si="227"/>
        <v>472174.04872632498</v>
      </c>
      <c r="T1632" s="738">
        <v>100.1</v>
      </c>
      <c r="U1632" s="677">
        <f t="shared" si="228"/>
        <v>360360</v>
      </c>
      <c r="V1632" s="739">
        <f t="shared" si="229"/>
        <v>111814.04872632498</v>
      </c>
      <c r="W1632" s="740">
        <v>92.278761745078526</v>
      </c>
      <c r="X1632" s="678">
        <f t="shared" si="230"/>
        <v>332203.54228228267</v>
      </c>
      <c r="Y1632" s="700">
        <f t="shared" si="231"/>
        <v>139970.50644404232</v>
      </c>
      <c r="Z1632" s="740">
        <v>107.92123825492146</v>
      </c>
      <c r="AA1632" s="678">
        <f t="shared" si="232"/>
        <v>388516.45771771728</v>
      </c>
      <c r="AB1632" s="741">
        <f t="shared" si="233"/>
        <v>83657.591008607706</v>
      </c>
      <c r="AC1632" s="714"/>
    </row>
    <row r="1633" spans="1:29" x14ac:dyDescent="0.25">
      <c r="A1633" s="713"/>
      <c r="B1633" s="714" t="s">
        <v>2509</v>
      </c>
      <c r="C1633" s="676" t="s">
        <v>40</v>
      </c>
      <c r="D1633" s="676" t="s">
        <v>502</v>
      </c>
      <c r="E1633" s="680">
        <v>45566</v>
      </c>
      <c r="F1633" s="676">
        <v>744</v>
      </c>
      <c r="G1633" s="676" t="s">
        <v>59</v>
      </c>
      <c r="H1633" s="676" t="s">
        <v>3</v>
      </c>
      <c r="I1633" s="676" t="s">
        <v>44</v>
      </c>
      <c r="J1633" s="676" t="s">
        <v>85</v>
      </c>
      <c r="K1633" s="676">
        <v>130</v>
      </c>
      <c r="L1633" s="690" t="s">
        <v>54</v>
      </c>
      <c r="M1633" s="691">
        <v>0</v>
      </c>
      <c r="N1633" s="690">
        <v>5</v>
      </c>
      <c r="O1633" s="691">
        <v>0</v>
      </c>
      <c r="P1633" s="690">
        <v>131.15945797953472</v>
      </c>
      <c r="Q1633" s="738">
        <f t="shared" si="225"/>
        <v>0</v>
      </c>
      <c r="R1633" s="677">
        <f t="shared" si="226"/>
        <v>487913.18368386914</v>
      </c>
      <c r="S1633" s="739">
        <f t="shared" si="227"/>
        <v>487913.18368386914</v>
      </c>
      <c r="T1633" s="738">
        <v>100.1</v>
      </c>
      <c r="U1633" s="677">
        <f t="shared" si="228"/>
        <v>372372</v>
      </c>
      <c r="V1633" s="739">
        <f t="shared" si="229"/>
        <v>115541.18368386914</v>
      </c>
      <c r="W1633" s="740">
        <v>92.278761745078526</v>
      </c>
      <c r="X1633" s="678">
        <f t="shared" si="230"/>
        <v>343276.99369169213</v>
      </c>
      <c r="Y1633" s="700">
        <f t="shared" si="231"/>
        <v>144636.18999217701</v>
      </c>
      <c r="Z1633" s="740">
        <v>107.92123825492146</v>
      </c>
      <c r="AA1633" s="678">
        <f t="shared" si="232"/>
        <v>401467.00630830781</v>
      </c>
      <c r="AB1633" s="741">
        <f t="shared" si="233"/>
        <v>86446.177375561325</v>
      </c>
      <c r="AC1633" s="714"/>
    </row>
    <row r="1634" spans="1:29" x14ac:dyDescent="0.25">
      <c r="A1634" s="713"/>
      <c r="B1634" s="714" t="s">
        <v>2509</v>
      </c>
      <c r="C1634" s="676" t="s">
        <v>40</v>
      </c>
      <c r="D1634" s="676" t="s">
        <v>502</v>
      </c>
      <c r="E1634" s="680">
        <v>45597</v>
      </c>
      <c r="F1634" s="676">
        <v>720</v>
      </c>
      <c r="G1634" s="676" t="s">
        <v>59</v>
      </c>
      <c r="H1634" s="676" t="s">
        <v>3</v>
      </c>
      <c r="I1634" s="676" t="s">
        <v>44</v>
      </c>
      <c r="J1634" s="676" t="s">
        <v>85</v>
      </c>
      <c r="K1634" s="676">
        <v>130</v>
      </c>
      <c r="L1634" s="690" t="s">
        <v>54</v>
      </c>
      <c r="M1634" s="691">
        <v>0</v>
      </c>
      <c r="N1634" s="690">
        <v>5</v>
      </c>
      <c r="O1634" s="691">
        <v>0</v>
      </c>
      <c r="P1634" s="690">
        <v>131.15945797953472</v>
      </c>
      <c r="Q1634" s="738">
        <f t="shared" si="225"/>
        <v>0</v>
      </c>
      <c r="R1634" s="677">
        <f t="shared" si="226"/>
        <v>472174.04872632498</v>
      </c>
      <c r="S1634" s="739">
        <f t="shared" si="227"/>
        <v>472174.04872632498</v>
      </c>
      <c r="T1634" s="738">
        <v>100.1</v>
      </c>
      <c r="U1634" s="677">
        <f t="shared" si="228"/>
        <v>360360</v>
      </c>
      <c r="V1634" s="739">
        <f t="shared" si="229"/>
        <v>111814.04872632498</v>
      </c>
      <c r="W1634" s="740">
        <v>92.278761745078526</v>
      </c>
      <c r="X1634" s="678">
        <f t="shared" si="230"/>
        <v>332203.54228228267</v>
      </c>
      <c r="Y1634" s="700">
        <f t="shared" si="231"/>
        <v>139970.50644404232</v>
      </c>
      <c r="Z1634" s="740">
        <v>107.92123825492146</v>
      </c>
      <c r="AA1634" s="678">
        <f t="shared" si="232"/>
        <v>388516.45771771728</v>
      </c>
      <c r="AB1634" s="741">
        <f t="shared" si="233"/>
        <v>83657.591008607706</v>
      </c>
      <c r="AC1634" s="714"/>
    </row>
    <row r="1635" spans="1:29" x14ac:dyDescent="0.25">
      <c r="A1635" s="713"/>
      <c r="B1635" s="729" t="s">
        <v>2509</v>
      </c>
      <c r="C1635" s="545" t="s">
        <v>40</v>
      </c>
      <c r="D1635" s="545" t="s">
        <v>502</v>
      </c>
      <c r="E1635" s="681">
        <v>45627</v>
      </c>
      <c r="F1635" s="545">
        <v>744</v>
      </c>
      <c r="G1635" s="545" t="s">
        <v>59</v>
      </c>
      <c r="H1635" s="545" t="s">
        <v>3</v>
      </c>
      <c r="I1635" s="545" t="s">
        <v>44</v>
      </c>
      <c r="J1635" s="545" t="s">
        <v>85</v>
      </c>
      <c r="K1635" s="545">
        <v>130</v>
      </c>
      <c r="L1635" s="725" t="s">
        <v>54</v>
      </c>
      <c r="M1635" s="695">
        <v>0</v>
      </c>
      <c r="N1635" s="725">
        <v>5</v>
      </c>
      <c r="O1635" s="695">
        <v>0</v>
      </c>
      <c r="P1635" s="725">
        <v>131.15945797953472</v>
      </c>
      <c r="Q1635" s="742">
        <f t="shared" si="225"/>
        <v>0</v>
      </c>
      <c r="R1635" s="603">
        <f t="shared" si="226"/>
        <v>487913.18368386914</v>
      </c>
      <c r="S1635" s="743">
        <f t="shared" si="227"/>
        <v>487913.18368386914</v>
      </c>
      <c r="T1635" s="742">
        <v>100.1</v>
      </c>
      <c r="U1635" s="603">
        <f t="shared" si="228"/>
        <v>372372</v>
      </c>
      <c r="V1635" s="743">
        <f t="shared" si="229"/>
        <v>115541.18368386914</v>
      </c>
      <c r="W1635" s="744">
        <v>92.278761745078526</v>
      </c>
      <c r="X1635" s="604">
        <f t="shared" si="230"/>
        <v>343276.99369169213</v>
      </c>
      <c r="Y1635" s="701">
        <f t="shared" si="231"/>
        <v>144636.18999217701</v>
      </c>
      <c r="Z1635" s="744">
        <v>107.92123825492146</v>
      </c>
      <c r="AA1635" s="604">
        <f t="shared" si="232"/>
        <v>401467.00630830781</v>
      </c>
      <c r="AB1635" s="745">
        <f t="shared" si="233"/>
        <v>86446.177375561325</v>
      </c>
      <c r="AC1635" s="714"/>
    </row>
    <row r="1636" spans="1:29" x14ac:dyDescent="0.25">
      <c r="A1636" s="713"/>
      <c r="B1636" s="730" t="s">
        <v>2510</v>
      </c>
      <c r="C1636" s="546" t="s">
        <v>40</v>
      </c>
      <c r="D1636" s="546" t="s">
        <v>639</v>
      </c>
      <c r="E1636" s="682">
        <v>45292</v>
      </c>
      <c r="F1636" s="546">
        <v>744</v>
      </c>
      <c r="G1636" s="546" t="s">
        <v>59</v>
      </c>
      <c r="H1636" s="546" t="s">
        <v>5</v>
      </c>
      <c r="I1636" s="546" t="s">
        <v>44</v>
      </c>
      <c r="J1636" s="546" t="s">
        <v>85</v>
      </c>
      <c r="K1636" s="546">
        <v>164</v>
      </c>
      <c r="L1636" s="726" t="s">
        <v>54</v>
      </c>
      <c r="M1636" s="696">
        <v>0</v>
      </c>
      <c r="N1636" s="726">
        <v>5</v>
      </c>
      <c r="O1636" s="696">
        <v>0</v>
      </c>
      <c r="P1636" s="726">
        <v>165.46270083572074</v>
      </c>
      <c r="Q1636" s="746">
        <f t="shared" si="225"/>
        <v>0</v>
      </c>
      <c r="R1636" s="606">
        <f t="shared" si="226"/>
        <v>615521.24710888113</v>
      </c>
      <c r="S1636" s="747">
        <f t="shared" si="227"/>
        <v>615521.24710888113</v>
      </c>
      <c r="T1636" s="746">
        <v>132.1</v>
      </c>
      <c r="U1636" s="606">
        <f t="shared" si="228"/>
        <v>491412</v>
      </c>
      <c r="V1636" s="747">
        <f t="shared" si="229"/>
        <v>124109.24710888113</v>
      </c>
      <c r="W1636" s="748">
        <v>124.27876174507853</v>
      </c>
      <c r="X1636" s="607">
        <f t="shared" si="230"/>
        <v>462316.99369169213</v>
      </c>
      <c r="Y1636" s="702">
        <f t="shared" si="231"/>
        <v>153204.253417189</v>
      </c>
      <c r="Z1636" s="748">
        <v>139.92123825492146</v>
      </c>
      <c r="AA1636" s="607">
        <f t="shared" si="232"/>
        <v>520507.00630830781</v>
      </c>
      <c r="AB1636" s="749">
        <f t="shared" si="233"/>
        <v>95014.240800573316</v>
      </c>
      <c r="AC1636" s="714"/>
    </row>
    <row r="1637" spans="1:29" x14ac:dyDescent="0.25">
      <c r="A1637" s="713"/>
      <c r="B1637" s="714" t="s">
        <v>2510</v>
      </c>
      <c r="C1637" s="676" t="s">
        <v>40</v>
      </c>
      <c r="D1637" s="676" t="s">
        <v>639</v>
      </c>
      <c r="E1637" s="680">
        <v>45323</v>
      </c>
      <c r="F1637" s="676">
        <v>696</v>
      </c>
      <c r="G1637" s="676" t="s">
        <v>59</v>
      </c>
      <c r="H1637" s="676" t="s">
        <v>5</v>
      </c>
      <c r="I1637" s="676" t="s">
        <v>44</v>
      </c>
      <c r="J1637" s="676" t="s">
        <v>85</v>
      </c>
      <c r="K1637" s="676">
        <v>164</v>
      </c>
      <c r="L1637" s="690" t="s">
        <v>54</v>
      </c>
      <c r="M1637" s="691">
        <v>0</v>
      </c>
      <c r="N1637" s="690">
        <v>5</v>
      </c>
      <c r="O1637" s="691">
        <v>0</v>
      </c>
      <c r="P1637" s="690">
        <v>165.46270083572074</v>
      </c>
      <c r="Q1637" s="738">
        <f t="shared" si="225"/>
        <v>0</v>
      </c>
      <c r="R1637" s="677">
        <f t="shared" si="226"/>
        <v>575810.19890830817</v>
      </c>
      <c r="S1637" s="739">
        <f t="shared" si="227"/>
        <v>575810.19890830817</v>
      </c>
      <c r="T1637" s="738">
        <v>132.1</v>
      </c>
      <c r="U1637" s="677">
        <f t="shared" si="228"/>
        <v>459708</v>
      </c>
      <c r="V1637" s="739">
        <f t="shared" si="229"/>
        <v>116102.19890830817</v>
      </c>
      <c r="W1637" s="740">
        <v>124.27876174507853</v>
      </c>
      <c r="X1637" s="678">
        <f t="shared" si="230"/>
        <v>432490.09087287326</v>
      </c>
      <c r="Y1637" s="700">
        <f t="shared" si="231"/>
        <v>143320.10803543491</v>
      </c>
      <c r="Z1637" s="740">
        <v>139.92123825492146</v>
      </c>
      <c r="AA1637" s="678">
        <f t="shared" si="232"/>
        <v>486925.90912712668</v>
      </c>
      <c r="AB1637" s="741">
        <f t="shared" si="233"/>
        <v>88884.289781181491</v>
      </c>
      <c r="AC1637" s="714"/>
    </row>
    <row r="1638" spans="1:29" x14ac:dyDescent="0.25">
      <c r="A1638" s="713"/>
      <c r="B1638" s="714" t="s">
        <v>2510</v>
      </c>
      <c r="C1638" s="676" t="s">
        <v>40</v>
      </c>
      <c r="D1638" s="676" t="s">
        <v>639</v>
      </c>
      <c r="E1638" s="680">
        <v>45352</v>
      </c>
      <c r="F1638" s="676">
        <v>744</v>
      </c>
      <c r="G1638" s="676" t="s">
        <v>59</v>
      </c>
      <c r="H1638" s="676" t="s">
        <v>5</v>
      </c>
      <c r="I1638" s="676" t="s">
        <v>44</v>
      </c>
      <c r="J1638" s="676" t="s">
        <v>85</v>
      </c>
      <c r="K1638" s="676">
        <v>164</v>
      </c>
      <c r="L1638" s="690" t="s">
        <v>54</v>
      </c>
      <c r="M1638" s="691">
        <v>0</v>
      </c>
      <c r="N1638" s="690">
        <v>5</v>
      </c>
      <c r="O1638" s="691">
        <v>0</v>
      </c>
      <c r="P1638" s="690">
        <v>165.46270083572074</v>
      </c>
      <c r="Q1638" s="738">
        <f t="shared" si="225"/>
        <v>0</v>
      </c>
      <c r="R1638" s="677">
        <f t="shared" si="226"/>
        <v>615521.24710888113</v>
      </c>
      <c r="S1638" s="739">
        <f t="shared" si="227"/>
        <v>615521.24710888113</v>
      </c>
      <c r="T1638" s="738">
        <v>132.1</v>
      </c>
      <c r="U1638" s="677">
        <f t="shared" si="228"/>
        <v>491412</v>
      </c>
      <c r="V1638" s="739">
        <f t="shared" si="229"/>
        <v>124109.24710888113</v>
      </c>
      <c r="W1638" s="740">
        <v>124.27876174507853</v>
      </c>
      <c r="X1638" s="678">
        <f t="shared" si="230"/>
        <v>462316.99369169213</v>
      </c>
      <c r="Y1638" s="700">
        <f t="shared" si="231"/>
        <v>153204.253417189</v>
      </c>
      <c r="Z1638" s="740">
        <v>139.92123825492146</v>
      </c>
      <c r="AA1638" s="678">
        <f t="shared" si="232"/>
        <v>520507.00630830781</v>
      </c>
      <c r="AB1638" s="741">
        <f t="shared" si="233"/>
        <v>95014.240800573316</v>
      </c>
      <c r="AC1638" s="714"/>
    </row>
    <row r="1639" spans="1:29" x14ac:dyDescent="0.25">
      <c r="A1639" s="713"/>
      <c r="B1639" s="714" t="s">
        <v>2510</v>
      </c>
      <c r="C1639" s="676" t="s">
        <v>40</v>
      </c>
      <c r="D1639" s="676" t="s">
        <v>639</v>
      </c>
      <c r="E1639" s="680">
        <v>45383</v>
      </c>
      <c r="F1639" s="676">
        <v>720</v>
      </c>
      <c r="G1639" s="676" t="s">
        <v>59</v>
      </c>
      <c r="H1639" s="676" t="s">
        <v>5</v>
      </c>
      <c r="I1639" s="676" t="s">
        <v>44</v>
      </c>
      <c r="J1639" s="676" t="s">
        <v>85</v>
      </c>
      <c r="K1639" s="676">
        <v>164</v>
      </c>
      <c r="L1639" s="690" t="s">
        <v>54</v>
      </c>
      <c r="M1639" s="691">
        <v>0</v>
      </c>
      <c r="N1639" s="690">
        <v>5</v>
      </c>
      <c r="O1639" s="691">
        <v>0</v>
      </c>
      <c r="P1639" s="690">
        <v>165.46270083572074</v>
      </c>
      <c r="Q1639" s="738">
        <f t="shared" si="225"/>
        <v>0</v>
      </c>
      <c r="R1639" s="677">
        <f t="shared" si="226"/>
        <v>595665.72300859471</v>
      </c>
      <c r="S1639" s="739">
        <f t="shared" si="227"/>
        <v>595665.72300859471</v>
      </c>
      <c r="T1639" s="738">
        <v>132.1</v>
      </c>
      <c r="U1639" s="677">
        <f t="shared" si="228"/>
        <v>475560</v>
      </c>
      <c r="V1639" s="739">
        <f t="shared" si="229"/>
        <v>120105.72300859471</v>
      </c>
      <c r="W1639" s="740">
        <v>124.27876174507853</v>
      </c>
      <c r="X1639" s="678">
        <f t="shared" si="230"/>
        <v>447403.54228228267</v>
      </c>
      <c r="Y1639" s="700">
        <f t="shared" si="231"/>
        <v>148262.18072631204</v>
      </c>
      <c r="Z1639" s="740">
        <v>139.92123825492146</v>
      </c>
      <c r="AA1639" s="678">
        <f t="shared" si="232"/>
        <v>503716.45771771728</v>
      </c>
      <c r="AB1639" s="741">
        <f t="shared" si="233"/>
        <v>91949.265290877433</v>
      </c>
      <c r="AC1639" s="714"/>
    </row>
    <row r="1640" spans="1:29" x14ac:dyDescent="0.25">
      <c r="A1640" s="713"/>
      <c r="B1640" s="714" t="s">
        <v>2510</v>
      </c>
      <c r="C1640" s="676" t="s">
        <v>40</v>
      </c>
      <c r="D1640" s="676" t="s">
        <v>639</v>
      </c>
      <c r="E1640" s="680">
        <v>45413</v>
      </c>
      <c r="F1640" s="676">
        <v>744</v>
      </c>
      <c r="G1640" s="676" t="s">
        <v>59</v>
      </c>
      <c r="H1640" s="676" t="s">
        <v>5</v>
      </c>
      <c r="I1640" s="676" t="s">
        <v>44</v>
      </c>
      <c r="J1640" s="676" t="s">
        <v>85</v>
      </c>
      <c r="K1640" s="676">
        <v>164</v>
      </c>
      <c r="L1640" s="690" t="s">
        <v>54</v>
      </c>
      <c r="M1640" s="691">
        <v>0</v>
      </c>
      <c r="N1640" s="690">
        <v>5</v>
      </c>
      <c r="O1640" s="691">
        <v>0</v>
      </c>
      <c r="P1640" s="690">
        <v>165.46270083572074</v>
      </c>
      <c r="Q1640" s="738">
        <f t="shared" si="225"/>
        <v>0</v>
      </c>
      <c r="R1640" s="677">
        <f t="shared" si="226"/>
        <v>615521.24710888113</v>
      </c>
      <c r="S1640" s="739">
        <f t="shared" si="227"/>
        <v>615521.24710888113</v>
      </c>
      <c r="T1640" s="738">
        <v>132.1</v>
      </c>
      <c r="U1640" s="677">
        <f t="shared" si="228"/>
        <v>491412</v>
      </c>
      <c r="V1640" s="739">
        <f t="shared" si="229"/>
        <v>124109.24710888113</v>
      </c>
      <c r="W1640" s="740">
        <v>124.27876174507853</v>
      </c>
      <c r="X1640" s="678">
        <f t="shared" si="230"/>
        <v>462316.99369169213</v>
      </c>
      <c r="Y1640" s="700">
        <f t="shared" si="231"/>
        <v>153204.253417189</v>
      </c>
      <c r="Z1640" s="740">
        <v>139.92123825492146</v>
      </c>
      <c r="AA1640" s="678">
        <f t="shared" si="232"/>
        <v>520507.00630830781</v>
      </c>
      <c r="AB1640" s="741">
        <f t="shared" si="233"/>
        <v>95014.240800573316</v>
      </c>
      <c r="AC1640" s="714"/>
    </row>
    <row r="1641" spans="1:29" x14ac:dyDescent="0.25">
      <c r="A1641" s="713"/>
      <c r="B1641" s="714" t="s">
        <v>2510</v>
      </c>
      <c r="C1641" s="676" t="s">
        <v>40</v>
      </c>
      <c r="D1641" s="676" t="s">
        <v>639</v>
      </c>
      <c r="E1641" s="680">
        <v>45444</v>
      </c>
      <c r="F1641" s="676">
        <v>720</v>
      </c>
      <c r="G1641" s="676" t="s">
        <v>59</v>
      </c>
      <c r="H1641" s="676" t="s">
        <v>5</v>
      </c>
      <c r="I1641" s="676" t="s">
        <v>44</v>
      </c>
      <c r="J1641" s="676" t="s">
        <v>85</v>
      </c>
      <c r="K1641" s="676">
        <v>164</v>
      </c>
      <c r="L1641" s="690" t="s">
        <v>54</v>
      </c>
      <c r="M1641" s="691">
        <v>0</v>
      </c>
      <c r="N1641" s="690">
        <v>5</v>
      </c>
      <c r="O1641" s="691">
        <v>0</v>
      </c>
      <c r="P1641" s="690">
        <v>165.46270083572074</v>
      </c>
      <c r="Q1641" s="738">
        <f t="shared" si="225"/>
        <v>0</v>
      </c>
      <c r="R1641" s="677">
        <f t="shared" si="226"/>
        <v>595665.72300859471</v>
      </c>
      <c r="S1641" s="739">
        <f t="shared" si="227"/>
        <v>595665.72300859471</v>
      </c>
      <c r="T1641" s="738">
        <v>132.1</v>
      </c>
      <c r="U1641" s="677">
        <f t="shared" si="228"/>
        <v>475560</v>
      </c>
      <c r="V1641" s="739">
        <f t="shared" si="229"/>
        <v>120105.72300859471</v>
      </c>
      <c r="W1641" s="740">
        <v>124.27876174507853</v>
      </c>
      <c r="X1641" s="678">
        <f t="shared" si="230"/>
        <v>447403.54228228267</v>
      </c>
      <c r="Y1641" s="700">
        <f t="shared" si="231"/>
        <v>148262.18072631204</v>
      </c>
      <c r="Z1641" s="740">
        <v>139.92123825492146</v>
      </c>
      <c r="AA1641" s="678">
        <f t="shared" si="232"/>
        <v>503716.45771771728</v>
      </c>
      <c r="AB1641" s="741">
        <f t="shared" si="233"/>
        <v>91949.265290877433</v>
      </c>
      <c r="AC1641" s="714"/>
    </row>
    <row r="1642" spans="1:29" x14ac:dyDescent="0.25">
      <c r="A1642" s="713"/>
      <c r="B1642" s="714" t="s">
        <v>2510</v>
      </c>
      <c r="C1642" s="676" t="s">
        <v>40</v>
      </c>
      <c r="D1642" s="676" t="s">
        <v>639</v>
      </c>
      <c r="E1642" s="680">
        <v>45474</v>
      </c>
      <c r="F1642" s="676">
        <v>744</v>
      </c>
      <c r="G1642" s="676" t="s">
        <v>59</v>
      </c>
      <c r="H1642" s="676" t="s">
        <v>5</v>
      </c>
      <c r="I1642" s="676" t="s">
        <v>44</v>
      </c>
      <c r="J1642" s="676" t="s">
        <v>85</v>
      </c>
      <c r="K1642" s="676">
        <v>164</v>
      </c>
      <c r="L1642" s="690" t="s">
        <v>54</v>
      </c>
      <c r="M1642" s="691">
        <v>0</v>
      </c>
      <c r="N1642" s="690">
        <v>5</v>
      </c>
      <c r="O1642" s="691">
        <v>0</v>
      </c>
      <c r="P1642" s="690">
        <v>165.46270083572074</v>
      </c>
      <c r="Q1642" s="738">
        <f t="shared" si="225"/>
        <v>0</v>
      </c>
      <c r="R1642" s="677">
        <f t="shared" si="226"/>
        <v>615521.24710888113</v>
      </c>
      <c r="S1642" s="739">
        <f t="shared" si="227"/>
        <v>615521.24710888113</v>
      </c>
      <c r="T1642" s="738">
        <v>132.1</v>
      </c>
      <c r="U1642" s="677">
        <f t="shared" si="228"/>
        <v>491412</v>
      </c>
      <c r="V1642" s="739">
        <f t="shared" si="229"/>
        <v>124109.24710888113</v>
      </c>
      <c r="W1642" s="740">
        <v>124.27876174507853</v>
      </c>
      <c r="X1642" s="678">
        <f t="shared" si="230"/>
        <v>462316.99369169213</v>
      </c>
      <c r="Y1642" s="700">
        <f t="shared" si="231"/>
        <v>153204.253417189</v>
      </c>
      <c r="Z1642" s="740">
        <v>139.92123825492146</v>
      </c>
      <c r="AA1642" s="678">
        <f t="shared" si="232"/>
        <v>520507.00630830781</v>
      </c>
      <c r="AB1642" s="741">
        <f t="shared" si="233"/>
        <v>95014.240800573316</v>
      </c>
      <c r="AC1642" s="714"/>
    </row>
    <row r="1643" spans="1:29" x14ac:dyDescent="0.25">
      <c r="A1643" s="713"/>
      <c r="B1643" s="714" t="s">
        <v>2510</v>
      </c>
      <c r="C1643" s="676" t="s">
        <v>40</v>
      </c>
      <c r="D1643" s="676" t="s">
        <v>639</v>
      </c>
      <c r="E1643" s="680">
        <v>45505</v>
      </c>
      <c r="F1643" s="676">
        <v>744</v>
      </c>
      <c r="G1643" s="676" t="s">
        <v>59</v>
      </c>
      <c r="H1643" s="676" t="s">
        <v>5</v>
      </c>
      <c r="I1643" s="676" t="s">
        <v>44</v>
      </c>
      <c r="J1643" s="676" t="s">
        <v>85</v>
      </c>
      <c r="K1643" s="676">
        <v>164</v>
      </c>
      <c r="L1643" s="690" t="s">
        <v>54</v>
      </c>
      <c r="M1643" s="691">
        <v>0</v>
      </c>
      <c r="N1643" s="690">
        <v>5</v>
      </c>
      <c r="O1643" s="691">
        <v>0</v>
      </c>
      <c r="P1643" s="690">
        <v>165.46270083572074</v>
      </c>
      <c r="Q1643" s="738">
        <f t="shared" si="225"/>
        <v>0</v>
      </c>
      <c r="R1643" s="677">
        <f t="shared" si="226"/>
        <v>615521.24710888113</v>
      </c>
      <c r="S1643" s="739">
        <f t="shared" si="227"/>
        <v>615521.24710888113</v>
      </c>
      <c r="T1643" s="738">
        <v>132.1</v>
      </c>
      <c r="U1643" s="677">
        <f t="shared" si="228"/>
        <v>491412</v>
      </c>
      <c r="V1643" s="739">
        <f t="shared" si="229"/>
        <v>124109.24710888113</v>
      </c>
      <c r="W1643" s="740">
        <v>124.27876174507853</v>
      </c>
      <c r="X1643" s="678">
        <f t="shared" si="230"/>
        <v>462316.99369169213</v>
      </c>
      <c r="Y1643" s="700">
        <f t="shared" si="231"/>
        <v>153204.253417189</v>
      </c>
      <c r="Z1643" s="740">
        <v>139.92123825492146</v>
      </c>
      <c r="AA1643" s="678">
        <f t="shared" si="232"/>
        <v>520507.00630830781</v>
      </c>
      <c r="AB1643" s="741">
        <f t="shared" si="233"/>
        <v>95014.240800573316</v>
      </c>
      <c r="AC1643" s="714"/>
    </row>
    <row r="1644" spans="1:29" x14ac:dyDescent="0.25">
      <c r="A1644" s="713"/>
      <c r="B1644" s="714" t="s">
        <v>2510</v>
      </c>
      <c r="C1644" s="676" t="s">
        <v>40</v>
      </c>
      <c r="D1644" s="676" t="s">
        <v>639</v>
      </c>
      <c r="E1644" s="680">
        <v>45536</v>
      </c>
      <c r="F1644" s="676">
        <v>720</v>
      </c>
      <c r="G1644" s="676" t="s">
        <v>59</v>
      </c>
      <c r="H1644" s="676" t="s">
        <v>5</v>
      </c>
      <c r="I1644" s="676" t="s">
        <v>44</v>
      </c>
      <c r="J1644" s="676" t="s">
        <v>85</v>
      </c>
      <c r="K1644" s="676">
        <v>164</v>
      </c>
      <c r="L1644" s="690" t="s">
        <v>54</v>
      </c>
      <c r="M1644" s="691">
        <v>0</v>
      </c>
      <c r="N1644" s="690">
        <v>5</v>
      </c>
      <c r="O1644" s="691">
        <v>0</v>
      </c>
      <c r="P1644" s="690">
        <v>165.46270083572074</v>
      </c>
      <c r="Q1644" s="738">
        <f t="shared" si="225"/>
        <v>0</v>
      </c>
      <c r="R1644" s="677">
        <f t="shared" si="226"/>
        <v>595665.72300859471</v>
      </c>
      <c r="S1644" s="739">
        <f t="shared" si="227"/>
        <v>595665.72300859471</v>
      </c>
      <c r="T1644" s="738">
        <v>132.1</v>
      </c>
      <c r="U1644" s="677">
        <f t="shared" si="228"/>
        <v>475560</v>
      </c>
      <c r="V1644" s="739">
        <f t="shared" si="229"/>
        <v>120105.72300859471</v>
      </c>
      <c r="W1644" s="740">
        <v>124.27876174507853</v>
      </c>
      <c r="X1644" s="678">
        <f t="shared" si="230"/>
        <v>447403.54228228267</v>
      </c>
      <c r="Y1644" s="700">
        <f t="shared" si="231"/>
        <v>148262.18072631204</v>
      </c>
      <c r="Z1644" s="740">
        <v>139.92123825492146</v>
      </c>
      <c r="AA1644" s="678">
        <f t="shared" si="232"/>
        <v>503716.45771771728</v>
      </c>
      <c r="AB1644" s="741">
        <f t="shared" si="233"/>
        <v>91949.265290877433</v>
      </c>
      <c r="AC1644" s="714"/>
    </row>
    <row r="1645" spans="1:29" x14ac:dyDescent="0.25">
      <c r="A1645" s="713"/>
      <c r="B1645" s="714" t="s">
        <v>2510</v>
      </c>
      <c r="C1645" s="676" t="s">
        <v>40</v>
      </c>
      <c r="D1645" s="676" t="s">
        <v>639</v>
      </c>
      <c r="E1645" s="680">
        <v>45566</v>
      </c>
      <c r="F1645" s="676">
        <v>744</v>
      </c>
      <c r="G1645" s="676" t="s">
        <v>59</v>
      </c>
      <c r="H1645" s="676" t="s">
        <v>5</v>
      </c>
      <c r="I1645" s="676" t="s">
        <v>44</v>
      </c>
      <c r="J1645" s="676" t="s">
        <v>85</v>
      </c>
      <c r="K1645" s="676">
        <v>164</v>
      </c>
      <c r="L1645" s="690" t="s">
        <v>54</v>
      </c>
      <c r="M1645" s="691">
        <v>0</v>
      </c>
      <c r="N1645" s="690">
        <v>5</v>
      </c>
      <c r="O1645" s="691">
        <v>0</v>
      </c>
      <c r="P1645" s="690">
        <v>165.46270083572074</v>
      </c>
      <c r="Q1645" s="738">
        <f t="shared" si="225"/>
        <v>0</v>
      </c>
      <c r="R1645" s="677">
        <f t="shared" si="226"/>
        <v>615521.24710888113</v>
      </c>
      <c r="S1645" s="739">
        <f t="shared" si="227"/>
        <v>615521.24710888113</v>
      </c>
      <c r="T1645" s="738">
        <v>132.1</v>
      </c>
      <c r="U1645" s="677">
        <f t="shared" si="228"/>
        <v>491412</v>
      </c>
      <c r="V1645" s="739">
        <f t="shared" si="229"/>
        <v>124109.24710888113</v>
      </c>
      <c r="W1645" s="740">
        <v>124.27876174507853</v>
      </c>
      <c r="X1645" s="678">
        <f t="shared" si="230"/>
        <v>462316.99369169213</v>
      </c>
      <c r="Y1645" s="700">
        <f t="shared" si="231"/>
        <v>153204.253417189</v>
      </c>
      <c r="Z1645" s="740">
        <v>139.92123825492146</v>
      </c>
      <c r="AA1645" s="678">
        <f t="shared" si="232"/>
        <v>520507.00630830781</v>
      </c>
      <c r="AB1645" s="741">
        <f t="shared" si="233"/>
        <v>95014.240800573316</v>
      </c>
      <c r="AC1645" s="714"/>
    </row>
    <row r="1646" spans="1:29" x14ac:dyDescent="0.25">
      <c r="A1646" s="713"/>
      <c r="B1646" s="714" t="s">
        <v>2510</v>
      </c>
      <c r="C1646" s="676" t="s">
        <v>40</v>
      </c>
      <c r="D1646" s="676" t="s">
        <v>639</v>
      </c>
      <c r="E1646" s="680">
        <v>45597</v>
      </c>
      <c r="F1646" s="676">
        <v>720</v>
      </c>
      <c r="G1646" s="676" t="s">
        <v>59</v>
      </c>
      <c r="H1646" s="676" t="s">
        <v>5</v>
      </c>
      <c r="I1646" s="676" t="s">
        <v>44</v>
      </c>
      <c r="J1646" s="676" t="s">
        <v>85</v>
      </c>
      <c r="K1646" s="676">
        <v>164</v>
      </c>
      <c r="L1646" s="690" t="s">
        <v>54</v>
      </c>
      <c r="M1646" s="691">
        <v>0</v>
      </c>
      <c r="N1646" s="690">
        <v>5</v>
      </c>
      <c r="O1646" s="691">
        <v>0</v>
      </c>
      <c r="P1646" s="690">
        <v>165.46270083572074</v>
      </c>
      <c r="Q1646" s="738">
        <f t="shared" si="225"/>
        <v>0</v>
      </c>
      <c r="R1646" s="677">
        <f t="shared" si="226"/>
        <v>595665.72300859471</v>
      </c>
      <c r="S1646" s="739">
        <f t="shared" si="227"/>
        <v>595665.72300859471</v>
      </c>
      <c r="T1646" s="738">
        <v>132.1</v>
      </c>
      <c r="U1646" s="677">
        <f t="shared" si="228"/>
        <v>475560</v>
      </c>
      <c r="V1646" s="739">
        <f t="shared" si="229"/>
        <v>120105.72300859471</v>
      </c>
      <c r="W1646" s="740">
        <v>124.27876174507853</v>
      </c>
      <c r="X1646" s="678">
        <f t="shared" si="230"/>
        <v>447403.54228228267</v>
      </c>
      <c r="Y1646" s="700">
        <f t="shared" si="231"/>
        <v>148262.18072631204</v>
      </c>
      <c r="Z1646" s="740">
        <v>139.92123825492146</v>
      </c>
      <c r="AA1646" s="678">
        <f t="shared" si="232"/>
        <v>503716.45771771728</v>
      </c>
      <c r="AB1646" s="741">
        <f t="shared" si="233"/>
        <v>91949.265290877433</v>
      </c>
      <c r="AC1646" s="714"/>
    </row>
    <row r="1647" spans="1:29" x14ac:dyDescent="0.25">
      <c r="A1647" s="713"/>
      <c r="B1647" s="729" t="s">
        <v>2510</v>
      </c>
      <c r="C1647" s="545" t="s">
        <v>40</v>
      </c>
      <c r="D1647" s="545" t="s">
        <v>639</v>
      </c>
      <c r="E1647" s="681">
        <v>45627</v>
      </c>
      <c r="F1647" s="545">
        <v>744</v>
      </c>
      <c r="G1647" s="545" t="s">
        <v>59</v>
      </c>
      <c r="H1647" s="545" t="s">
        <v>5</v>
      </c>
      <c r="I1647" s="545" t="s">
        <v>44</v>
      </c>
      <c r="J1647" s="545" t="s">
        <v>85</v>
      </c>
      <c r="K1647" s="545">
        <v>164</v>
      </c>
      <c r="L1647" s="725" t="s">
        <v>54</v>
      </c>
      <c r="M1647" s="695">
        <v>0</v>
      </c>
      <c r="N1647" s="725">
        <v>5</v>
      </c>
      <c r="O1647" s="695">
        <v>0</v>
      </c>
      <c r="P1647" s="725">
        <v>165.46270083572074</v>
      </c>
      <c r="Q1647" s="742">
        <f t="shared" si="225"/>
        <v>0</v>
      </c>
      <c r="R1647" s="603">
        <f t="shared" si="226"/>
        <v>615521.24710888113</v>
      </c>
      <c r="S1647" s="743">
        <f t="shared" si="227"/>
        <v>615521.24710888113</v>
      </c>
      <c r="T1647" s="742">
        <v>132.1</v>
      </c>
      <c r="U1647" s="603">
        <f t="shared" si="228"/>
        <v>491412</v>
      </c>
      <c r="V1647" s="743">
        <f t="shared" si="229"/>
        <v>124109.24710888113</v>
      </c>
      <c r="W1647" s="744">
        <v>124.27876174507853</v>
      </c>
      <c r="X1647" s="604">
        <f t="shared" si="230"/>
        <v>462316.99369169213</v>
      </c>
      <c r="Y1647" s="701">
        <f t="shared" si="231"/>
        <v>153204.253417189</v>
      </c>
      <c r="Z1647" s="744">
        <v>139.92123825492146</v>
      </c>
      <c r="AA1647" s="604">
        <f t="shared" si="232"/>
        <v>520507.00630830781</v>
      </c>
      <c r="AB1647" s="745">
        <f t="shared" si="233"/>
        <v>95014.240800573316</v>
      </c>
      <c r="AC1647" s="714"/>
    </row>
    <row r="1648" spans="1:29" x14ac:dyDescent="0.25">
      <c r="A1648" s="713"/>
      <c r="B1648" s="730" t="s">
        <v>2511</v>
      </c>
      <c r="C1648" s="546" t="s">
        <v>40</v>
      </c>
      <c r="D1648" s="546" t="s">
        <v>346</v>
      </c>
      <c r="E1648" s="682">
        <v>45292</v>
      </c>
      <c r="F1648" s="546">
        <v>744</v>
      </c>
      <c r="G1648" s="546" t="s">
        <v>58</v>
      </c>
      <c r="H1648" s="546" t="s">
        <v>3</v>
      </c>
      <c r="I1648" s="546" t="s">
        <v>44</v>
      </c>
      <c r="J1648" s="546" t="s">
        <v>84</v>
      </c>
      <c r="K1648" s="546">
        <v>130</v>
      </c>
      <c r="L1648" s="726" t="s">
        <v>54</v>
      </c>
      <c r="M1648" s="696">
        <v>5</v>
      </c>
      <c r="N1648" s="726">
        <v>0</v>
      </c>
      <c r="O1648" s="696">
        <v>131.15945797953472</v>
      </c>
      <c r="P1648" s="726">
        <v>0</v>
      </c>
      <c r="Q1648" s="746">
        <f t="shared" si="225"/>
        <v>487913.18368386914</v>
      </c>
      <c r="R1648" s="606">
        <f t="shared" si="226"/>
        <v>0</v>
      </c>
      <c r="S1648" s="747">
        <f t="shared" si="227"/>
        <v>-487913.18368386914</v>
      </c>
      <c r="T1648" s="746">
        <v>100.1</v>
      </c>
      <c r="U1648" s="606">
        <f t="shared" si="228"/>
        <v>-372372</v>
      </c>
      <c r="V1648" s="747">
        <f t="shared" si="229"/>
        <v>-115541.18368386914</v>
      </c>
      <c r="W1648" s="748">
        <v>92.278761745078526</v>
      </c>
      <c r="X1648" s="607">
        <f t="shared" si="230"/>
        <v>-343276.99369169213</v>
      </c>
      <c r="Y1648" s="702">
        <f t="shared" si="231"/>
        <v>-144636.18999217701</v>
      </c>
      <c r="Z1648" s="748">
        <v>107.92123825492146</v>
      </c>
      <c r="AA1648" s="607">
        <f t="shared" si="232"/>
        <v>-401467.00630830781</v>
      </c>
      <c r="AB1648" s="749">
        <f t="shared" si="233"/>
        <v>-86446.177375561325</v>
      </c>
      <c r="AC1648" s="714"/>
    </row>
    <row r="1649" spans="1:29" x14ac:dyDescent="0.25">
      <c r="A1649" s="713"/>
      <c r="B1649" s="714" t="s">
        <v>2511</v>
      </c>
      <c r="C1649" s="676" t="s">
        <v>40</v>
      </c>
      <c r="D1649" s="676" t="s">
        <v>346</v>
      </c>
      <c r="E1649" s="680">
        <v>45323</v>
      </c>
      <c r="F1649" s="676">
        <v>696</v>
      </c>
      <c r="G1649" s="676" t="s">
        <v>58</v>
      </c>
      <c r="H1649" s="676" t="s">
        <v>3</v>
      </c>
      <c r="I1649" s="676" t="s">
        <v>44</v>
      </c>
      <c r="J1649" s="676" t="s">
        <v>84</v>
      </c>
      <c r="K1649" s="676">
        <v>130</v>
      </c>
      <c r="L1649" s="690" t="s">
        <v>54</v>
      </c>
      <c r="M1649" s="691">
        <v>5</v>
      </c>
      <c r="N1649" s="690">
        <v>0</v>
      </c>
      <c r="O1649" s="691">
        <v>131.15945797953472</v>
      </c>
      <c r="P1649" s="690">
        <v>0</v>
      </c>
      <c r="Q1649" s="738">
        <f t="shared" si="225"/>
        <v>456434.91376878083</v>
      </c>
      <c r="R1649" s="677">
        <f t="shared" si="226"/>
        <v>0</v>
      </c>
      <c r="S1649" s="739">
        <f t="shared" si="227"/>
        <v>-456434.91376878083</v>
      </c>
      <c r="T1649" s="738">
        <v>100.1</v>
      </c>
      <c r="U1649" s="677">
        <f t="shared" si="228"/>
        <v>-348348</v>
      </c>
      <c r="V1649" s="739">
        <f t="shared" si="229"/>
        <v>-108086.91376878083</v>
      </c>
      <c r="W1649" s="740">
        <v>92.278761745078526</v>
      </c>
      <c r="X1649" s="678">
        <f t="shared" si="230"/>
        <v>-321130.09087287326</v>
      </c>
      <c r="Y1649" s="700">
        <f t="shared" si="231"/>
        <v>-135304.82289590756</v>
      </c>
      <c r="Z1649" s="740">
        <v>107.92123825492146</v>
      </c>
      <c r="AA1649" s="678">
        <f t="shared" si="232"/>
        <v>-375565.90912712668</v>
      </c>
      <c r="AB1649" s="741">
        <f t="shared" si="233"/>
        <v>-80869.004641654145</v>
      </c>
      <c r="AC1649" s="714"/>
    </row>
    <row r="1650" spans="1:29" x14ac:dyDescent="0.25">
      <c r="A1650" s="713"/>
      <c r="B1650" s="714" t="s">
        <v>2511</v>
      </c>
      <c r="C1650" s="676" t="s">
        <v>40</v>
      </c>
      <c r="D1650" s="676" t="s">
        <v>346</v>
      </c>
      <c r="E1650" s="680">
        <v>45352</v>
      </c>
      <c r="F1650" s="676">
        <v>744</v>
      </c>
      <c r="G1650" s="676" t="s">
        <v>58</v>
      </c>
      <c r="H1650" s="676" t="s">
        <v>3</v>
      </c>
      <c r="I1650" s="676" t="s">
        <v>44</v>
      </c>
      <c r="J1650" s="676" t="s">
        <v>84</v>
      </c>
      <c r="K1650" s="676">
        <v>130</v>
      </c>
      <c r="L1650" s="690" t="s">
        <v>54</v>
      </c>
      <c r="M1650" s="691">
        <v>5</v>
      </c>
      <c r="N1650" s="690">
        <v>0</v>
      </c>
      <c r="O1650" s="691">
        <v>131.15945797953472</v>
      </c>
      <c r="P1650" s="690">
        <v>0</v>
      </c>
      <c r="Q1650" s="738">
        <f t="shared" si="225"/>
        <v>487913.18368386914</v>
      </c>
      <c r="R1650" s="677">
        <f t="shared" si="226"/>
        <v>0</v>
      </c>
      <c r="S1650" s="739">
        <f t="shared" si="227"/>
        <v>-487913.18368386914</v>
      </c>
      <c r="T1650" s="738">
        <v>100.1</v>
      </c>
      <c r="U1650" s="677">
        <f t="shared" si="228"/>
        <v>-372372</v>
      </c>
      <c r="V1650" s="739">
        <f t="shared" si="229"/>
        <v>-115541.18368386914</v>
      </c>
      <c r="W1650" s="740">
        <v>92.278761745078526</v>
      </c>
      <c r="X1650" s="678">
        <f t="shared" si="230"/>
        <v>-343276.99369169213</v>
      </c>
      <c r="Y1650" s="700">
        <f t="shared" si="231"/>
        <v>-144636.18999217701</v>
      </c>
      <c r="Z1650" s="740">
        <v>107.92123825492146</v>
      </c>
      <c r="AA1650" s="678">
        <f t="shared" si="232"/>
        <v>-401467.00630830781</v>
      </c>
      <c r="AB1650" s="741">
        <f t="shared" si="233"/>
        <v>-86446.177375561325</v>
      </c>
      <c r="AC1650" s="714"/>
    </row>
    <row r="1651" spans="1:29" x14ac:dyDescent="0.25">
      <c r="A1651" s="713"/>
      <c r="B1651" s="714" t="s">
        <v>2511</v>
      </c>
      <c r="C1651" s="676" t="s">
        <v>40</v>
      </c>
      <c r="D1651" s="676" t="s">
        <v>346</v>
      </c>
      <c r="E1651" s="680">
        <v>45383</v>
      </c>
      <c r="F1651" s="676">
        <v>720</v>
      </c>
      <c r="G1651" s="676" t="s">
        <v>58</v>
      </c>
      <c r="H1651" s="676" t="s">
        <v>3</v>
      </c>
      <c r="I1651" s="676" t="s">
        <v>44</v>
      </c>
      <c r="J1651" s="676" t="s">
        <v>84</v>
      </c>
      <c r="K1651" s="676">
        <v>130</v>
      </c>
      <c r="L1651" s="690" t="s">
        <v>54</v>
      </c>
      <c r="M1651" s="691">
        <v>5</v>
      </c>
      <c r="N1651" s="690">
        <v>0</v>
      </c>
      <c r="O1651" s="691">
        <v>131.15945797953472</v>
      </c>
      <c r="P1651" s="690">
        <v>0</v>
      </c>
      <c r="Q1651" s="738">
        <f t="shared" si="225"/>
        <v>472174.04872632498</v>
      </c>
      <c r="R1651" s="677">
        <f t="shared" si="226"/>
        <v>0</v>
      </c>
      <c r="S1651" s="739">
        <f t="shared" si="227"/>
        <v>-472174.04872632498</v>
      </c>
      <c r="T1651" s="738">
        <v>100.1</v>
      </c>
      <c r="U1651" s="677">
        <f t="shared" si="228"/>
        <v>-360360</v>
      </c>
      <c r="V1651" s="739">
        <f t="shared" si="229"/>
        <v>-111814.04872632498</v>
      </c>
      <c r="W1651" s="740">
        <v>92.278761745078526</v>
      </c>
      <c r="X1651" s="678">
        <f t="shared" si="230"/>
        <v>-332203.54228228267</v>
      </c>
      <c r="Y1651" s="700">
        <f t="shared" si="231"/>
        <v>-139970.50644404232</v>
      </c>
      <c r="Z1651" s="740">
        <v>107.92123825492146</v>
      </c>
      <c r="AA1651" s="678">
        <f t="shared" si="232"/>
        <v>-388516.45771771728</v>
      </c>
      <c r="AB1651" s="741">
        <f t="shared" si="233"/>
        <v>-83657.591008607706</v>
      </c>
      <c r="AC1651" s="714"/>
    </row>
    <row r="1652" spans="1:29" x14ac:dyDescent="0.25">
      <c r="A1652" s="713"/>
      <c r="B1652" s="714" t="s">
        <v>2511</v>
      </c>
      <c r="C1652" s="676" t="s">
        <v>40</v>
      </c>
      <c r="D1652" s="676" t="s">
        <v>346</v>
      </c>
      <c r="E1652" s="680">
        <v>45413</v>
      </c>
      <c r="F1652" s="676">
        <v>744</v>
      </c>
      <c r="G1652" s="676" t="s">
        <v>58</v>
      </c>
      <c r="H1652" s="676" t="s">
        <v>3</v>
      </c>
      <c r="I1652" s="676" t="s">
        <v>44</v>
      </c>
      <c r="J1652" s="676" t="s">
        <v>84</v>
      </c>
      <c r="K1652" s="676">
        <v>130</v>
      </c>
      <c r="L1652" s="690" t="s">
        <v>54</v>
      </c>
      <c r="M1652" s="691">
        <v>5</v>
      </c>
      <c r="N1652" s="690">
        <v>0</v>
      </c>
      <c r="O1652" s="691">
        <v>131.15945797953472</v>
      </c>
      <c r="P1652" s="690">
        <v>0</v>
      </c>
      <c r="Q1652" s="738">
        <f t="shared" si="225"/>
        <v>487913.18368386914</v>
      </c>
      <c r="R1652" s="677">
        <f t="shared" si="226"/>
        <v>0</v>
      </c>
      <c r="S1652" s="739">
        <f t="shared" si="227"/>
        <v>-487913.18368386914</v>
      </c>
      <c r="T1652" s="738">
        <v>100.1</v>
      </c>
      <c r="U1652" s="677">
        <f t="shared" si="228"/>
        <v>-372372</v>
      </c>
      <c r="V1652" s="739">
        <f t="shared" si="229"/>
        <v>-115541.18368386914</v>
      </c>
      <c r="W1652" s="740">
        <v>92.278761745078526</v>
      </c>
      <c r="X1652" s="678">
        <f t="shared" si="230"/>
        <v>-343276.99369169213</v>
      </c>
      <c r="Y1652" s="700">
        <f t="shared" si="231"/>
        <v>-144636.18999217701</v>
      </c>
      <c r="Z1652" s="740">
        <v>107.92123825492146</v>
      </c>
      <c r="AA1652" s="678">
        <f t="shared" si="232"/>
        <v>-401467.00630830781</v>
      </c>
      <c r="AB1652" s="741">
        <f t="shared" si="233"/>
        <v>-86446.177375561325</v>
      </c>
      <c r="AC1652" s="714"/>
    </row>
    <row r="1653" spans="1:29" x14ac:dyDescent="0.25">
      <c r="A1653" s="713"/>
      <c r="B1653" s="714" t="s">
        <v>2511</v>
      </c>
      <c r="C1653" s="676" t="s">
        <v>40</v>
      </c>
      <c r="D1653" s="676" t="s">
        <v>346</v>
      </c>
      <c r="E1653" s="680">
        <v>45444</v>
      </c>
      <c r="F1653" s="676">
        <v>720</v>
      </c>
      <c r="G1653" s="676" t="s">
        <v>58</v>
      </c>
      <c r="H1653" s="676" t="s">
        <v>3</v>
      </c>
      <c r="I1653" s="676" t="s">
        <v>44</v>
      </c>
      <c r="J1653" s="676" t="s">
        <v>84</v>
      </c>
      <c r="K1653" s="676">
        <v>130</v>
      </c>
      <c r="L1653" s="690" t="s">
        <v>54</v>
      </c>
      <c r="M1653" s="691">
        <v>5</v>
      </c>
      <c r="N1653" s="690">
        <v>0</v>
      </c>
      <c r="O1653" s="691">
        <v>131.15945797953472</v>
      </c>
      <c r="P1653" s="690">
        <v>0</v>
      </c>
      <c r="Q1653" s="738">
        <f t="shared" si="225"/>
        <v>472174.04872632498</v>
      </c>
      <c r="R1653" s="677">
        <f t="shared" si="226"/>
        <v>0</v>
      </c>
      <c r="S1653" s="739">
        <f t="shared" si="227"/>
        <v>-472174.04872632498</v>
      </c>
      <c r="T1653" s="738">
        <v>100.1</v>
      </c>
      <c r="U1653" s="677">
        <f t="shared" si="228"/>
        <v>-360360</v>
      </c>
      <c r="V1653" s="739">
        <f t="shared" si="229"/>
        <v>-111814.04872632498</v>
      </c>
      <c r="W1653" s="740">
        <v>92.278761745078526</v>
      </c>
      <c r="X1653" s="678">
        <f t="shared" si="230"/>
        <v>-332203.54228228267</v>
      </c>
      <c r="Y1653" s="700">
        <f t="shared" si="231"/>
        <v>-139970.50644404232</v>
      </c>
      <c r="Z1653" s="740">
        <v>107.92123825492146</v>
      </c>
      <c r="AA1653" s="678">
        <f t="shared" si="232"/>
        <v>-388516.45771771728</v>
      </c>
      <c r="AB1653" s="741">
        <f t="shared" si="233"/>
        <v>-83657.591008607706</v>
      </c>
      <c r="AC1653" s="714"/>
    </row>
    <row r="1654" spans="1:29" x14ac:dyDescent="0.25">
      <c r="A1654" s="713"/>
      <c r="B1654" s="714" t="s">
        <v>2511</v>
      </c>
      <c r="C1654" s="676" t="s">
        <v>40</v>
      </c>
      <c r="D1654" s="676" t="s">
        <v>346</v>
      </c>
      <c r="E1654" s="680">
        <v>45474</v>
      </c>
      <c r="F1654" s="676">
        <v>744</v>
      </c>
      <c r="G1654" s="676" t="s">
        <v>58</v>
      </c>
      <c r="H1654" s="676" t="s">
        <v>3</v>
      </c>
      <c r="I1654" s="676" t="s">
        <v>44</v>
      </c>
      <c r="J1654" s="676" t="s">
        <v>84</v>
      </c>
      <c r="K1654" s="676">
        <v>130</v>
      </c>
      <c r="L1654" s="690" t="s">
        <v>54</v>
      </c>
      <c r="M1654" s="691">
        <v>5</v>
      </c>
      <c r="N1654" s="690">
        <v>0</v>
      </c>
      <c r="O1654" s="691">
        <v>131.15945797953472</v>
      </c>
      <c r="P1654" s="690">
        <v>0</v>
      </c>
      <c r="Q1654" s="738">
        <f t="shared" si="225"/>
        <v>487913.18368386914</v>
      </c>
      <c r="R1654" s="677">
        <f t="shared" si="226"/>
        <v>0</v>
      </c>
      <c r="S1654" s="739">
        <f t="shared" si="227"/>
        <v>-487913.18368386914</v>
      </c>
      <c r="T1654" s="738">
        <v>100.1</v>
      </c>
      <c r="U1654" s="677">
        <f t="shared" si="228"/>
        <v>-372372</v>
      </c>
      <c r="V1654" s="739">
        <f t="shared" si="229"/>
        <v>-115541.18368386914</v>
      </c>
      <c r="W1654" s="740">
        <v>92.278761745078526</v>
      </c>
      <c r="X1654" s="678">
        <f t="shared" si="230"/>
        <v>-343276.99369169213</v>
      </c>
      <c r="Y1654" s="700">
        <f t="shared" si="231"/>
        <v>-144636.18999217701</v>
      </c>
      <c r="Z1654" s="740">
        <v>107.92123825492146</v>
      </c>
      <c r="AA1654" s="678">
        <f t="shared" si="232"/>
        <v>-401467.00630830781</v>
      </c>
      <c r="AB1654" s="741">
        <f t="shared" si="233"/>
        <v>-86446.177375561325</v>
      </c>
      <c r="AC1654" s="714"/>
    </row>
    <row r="1655" spans="1:29" x14ac:dyDescent="0.25">
      <c r="A1655" s="713"/>
      <c r="B1655" s="714" t="s">
        <v>2511</v>
      </c>
      <c r="C1655" s="676" t="s">
        <v>40</v>
      </c>
      <c r="D1655" s="676" t="s">
        <v>346</v>
      </c>
      <c r="E1655" s="680">
        <v>45505</v>
      </c>
      <c r="F1655" s="676">
        <v>744</v>
      </c>
      <c r="G1655" s="676" t="s">
        <v>58</v>
      </c>
      <c r="H1655" s="676" t="s">
        <v>3</v>
      </c>
      <c r="I1655" s="676" t="s">
        <v>44</v>
      </c>
      <c r="J1655" s="676" t="s">
        <v>84</v>
      </c>
      <c r="K1655" s="676">
        <v>130</v>
      </c>
      <c r="L1655" s="690" t="s">
        <v>54</v>
      </c>
      <c r="M1655" s="691">
        <v>5</v>
      </c>
      <c r="N1655" s="690">
        <v>0</v>
      </c>
      <c r="O1655" s="691">
        <v>131.15945797953472</v>
      </c>
      <c r="P1655" s="690">
        <v>0</v>
      </c>
      <c r="Q1655" s="738">
        <f t="shared" si="225"/>
        <v>487913.18368386914</v>
      </c>
      <c r="R1655" s="677">
        <f t="shared" si="226"/>
        <v>0</v>
      </c>
      <c r="S1655" s="739">
        <f t="shared" si="227"/>
        <v>-487913.18368386914</v>
      </c>
      <c r="T1655" s="738">
        <v>100.1</v>
      </c>
      <c r="U1655" s="677">
        <f t="shared" si="228"/>
        <v>-372372</v>
      </c>
      <c r="V1655" s="739">
        <f t="shared" si="229"/>
        <v>-115541.18368386914</v>
      </c>
      <c r="W1655" s="740">
        <v>92.278761745078526</v>
      </c>
      <c r="X1655" s="678">
        <f t="shared" si="230"/>
        <v>-343276.99369169213</v>
      </c>
      <c r="Y1655" s="700">
        <f t="shared" si="231"/>
        <v>-144636.18999217701</v>
      </c>
      <c r="Z1655" s="740">
        <v>107.92123825492146</v>
      </c>
      <c r="AA1655" s="678">
        <f t="shared" si="232"/>
        <v>-401467.00630830781</v>
      </c>
      <c r="AB1655" s="741">
        <f t="shared" si="233"/>
        <v>-86446.177375561325</v>
      </c>
      <c r="AC1655" s="714"/>
    </row>
    <row r="1656" spans="1:29" x14ac:dyDescent="0.25">
      <c r="A1656" s="713"/>
      <c r="B1656" s="714" t="s">
        <v>2511</v>
      </c>
      <c r="C1656" s="676" t="s">
        <v>40</v>
      </c>
      <c r="D1656" s="676" t="s">
        <v>346</v>
      </c>
      <c r="E1656" s="680">
        <v>45536</v>
      </c>
      <c r="F1656" s="676">
        <v>720</v>
      </c>
      <c r="G1656" s="676" t="s">
        <v>58</v>
      </c>
      <c r="H1656" s="676" t="s">
        <v>3</v>
      </c>
      <c r="I1656" s="676" t="s">
        <v>44</v>
      </c>
      <c r="J1656" s="676" t="s">
        <v>84</v>
      </c>
      <c r="K1656" s="676">
        <v>130</v>
      </c>
      <c r="L1656" s="690" t="s">
        <v>54</v>
      </c>
      <c r="M1656" s="691">
        <v>5</v>
      </c>
      <c r="N1656" s="690">
        <v>0</v>
      </c>
      <c r="O1656" s="691">
        <v>131.15945797953472</v>
      </c>
      <c r="P1656" s="690">
        <v>0</v>
      </c>
      <c r="Q1656" s="738">
        <f t="shared" si="225"/>
        <v>472174.04872632498</v>
      </c>
      <c r="R1656" s="677">
        <f t="shared" si="226"/>
        <v>0</v>
      </c>
      <c r="S1656" s="739">
        <f t="shared" si="227"/>
        <v>-472174.04872632498</v>
      </c>
      <c r="T1656" s="738">
        <v>100.1</v>
      </c>
      <c r="U1656" s="677">
        <f t="shared" si="228"/>
        <v>-360360</v>
      </c>
      <c r="V1656" s="739">
        <f t="shared" si="229"/>
        <v>-111814.04872632498</v>
      </c>
      <c r="W1656" s="740">
        <v>92.278761745078526</v>
      </c>
      <c r="X1656" s="678">
        <f t="shared" si="230"/>
        <v>-332203.54228228267</v>
      </c>
      <c r="Y1656" s="700">
        <f t="shared" si="231"/>
        <v>-139970.50644404232</v>
      </c>
      <c r="Z1656" s="740">
        <v>107.92123825492146</v>
      </c>
      <c r="AA1656" s="678">
        <f t="shared" si="232"/>
        <v>-388516.45771771728</v>
      </c>
      <c r="AB1656" s="741">
        <f t="shared" si="233"/>
        <v>-83657.591008607706</v>
      </c>
      <c r="AC1656" s="714"/>
    </row>
    <row r="1657" spans="1:29" x14ac:dyDescent="0.25">
      <c r="A1657" s="713"/>
      <c r="B1657" s="714" t="s">
        <v>2511</v>
      </c>
      <c r="C1657" s="676" t="s">
        <v>40</v>
      </c>
      <c r="D1657" s="676" t="s">
        <v>346</v>
      </c>
      <c r="E1657" s="680">
        <v>45566</v>
      </c>
      <c r="F1657" s="676">
        <v>744</v>
      </c>
      <c r="G1657" s="676" t="s">
        <v>58</v>
      </c>
      <c r="H1657" s="676" t="s">
        <v>3</v>
      </c>
      <c r="I1657" s="676" t="s">
        <v>44</v>
      </c>
      <c r="J1657" s="676" t="s">
        <v>84</v>
      </c>
      <c r="K1657" s="676">
        <v>130</v>
      </c>
      <c r="L1657" s="690" t="s">
        <v>54</v>
      </c>
      <c r="M1657" s="691">
        <v>5</v>
      </c>
      <c r="N1657" s="690">
        <v>0</v>
      </c>
      <c r="O1657" s="691">
        <v>131.15945797953472</v>
      </c>
      <c r="P1657" s="690">
        <v>0</v>
      </c>
      <c r="Q1657" s="738">
        <f t="shared" si="225"/>
        <v>487913.18368386914</v>
      </c>
      <c r="R1657" s="677">
        <f t="shared" si="226"/>
        <v>0</v>
      </c>
      <c r="S1657" s="739">
        <f t="shared" si="227"/>
        <v>-487913.18368386914</v>
      </c>
      <c r="T1657" s="738">
        <v>100.1</v>
      </c>
      <c r="U1657" s="677">
        <f t="shared" si="228"/>
        <v>-372372</v>
      </c>
      <c r="V1657" s="739">
        <f t="shared" si="229"/>
        <v>-115541.18368386914</v>
      </c>
      <c r="W1657" s="740">
        <v>92.278761745078526</v>
      </c>
      <c r="X1657" s="678">
        <f t="shared" si="230"/>
        <v>-343276.99369169213</v>
      </c>
      <c r="Y1657" s="700">
        <f t="shared" si="231"/>
        <v>-144636.18999217701</v>
      </c>
      <c r="Z1657" s="740">
        <v>107.92123825492146</v>
      </c>
      <c r="AA1657" s="678">
        <f t="shared" si="232"/>
        <v>-401467.00630830781</v>
      </c>
      <c r="AB1657" s="741">
        <f t="shared" si="233"/>
        <v>-86446.177375561325</v>
      </c>
      <c r="AC1657" s="714"/>
    </row>
    <row r="1658" spans="1:29" x14ac:dyDescent="0.25">
      <c r="A1658" s="713"/>
      <c r="B1658" s="714" t="s">
        <v>2511</v>
      </c>
      <c r="C1658" s="676" t="s">
        <v>40</v>
      </c>
      <c r="D1658" s="676" t="s">
        <v>346</v>
      </c>
      <c r="E1658" s="680">
        <v>45597</v>
      </c>
      <c r="F1658" s="676">
        <v>720</v>
      </c>
      <c r="G1658" s="676" t="s">
        <v>58</v>
      </c>
      <c r="H1658" s="676" t="s">
        <v>3</v>
      </c>
      <c r="I1658" s="676" t="s">
        <v>44</v>
      </c>
      <c r="J1658" s="676" t="s">
        <v>84</v>
      </c>
      <c r="K1658" s="676">
        <v>130</v>
      </c>
      <c r="L1658" s="690" t="s">
        <v>54</v>
      </c>
      <c r="M1658" s="691">
        <v>5</v>
      </c>
      <c r="N1658" s="690">
        <v>0</v>
      </c>
      <c r="O1658" s="691">
        <v>131.15945797953472</v>
      </c>
      <c r="P1658" s="690">
        <v>0</v>
      </c>
      <c r="Q1658" s="738">
        <f t="shared" si="225"/>
        <v>472174.04872632498</v>
      </c>
      <c r="R1658" s="677">
        <f t="shared" si="226"/>
        <v>0</v>
      </c>
      <c r="S1658" s="739">
        <f t="shared" si="227"/>
        <v>-472174.04872632498</v>
      </c>
      <c r="T1658" s="738">
        <v>100.1</v>
      </c>
      <c r="U1658" s="677">
        <f t="shared" si="228"/>
        <v>-360360</v>
      </c>
      <c r="V1658" s="739">
        <f t="shared" si="229"/>
        <v>-111814.04872632498</v>
      </c>
      <c r="W1658" s="740">
        <v>92.278761745078526</v>
      </c>
      <c r="X1658" s="678">
        <f t="shared" si="230"/>
        <v>-332203.54228228267</v>
      </c>
      <c r="Y1658" s="700">
        <f t="shared" si="231"/>
        <v>-139970.50644404232</v>
      </c>
      <c r="Z1658" s="740">
        <v>107.92123825492146</v>
      </c>
      <c r="AA1658" s="678">
        <f t="shared" si="232"/>
        <v>-388516.45771771728</v>
      </c>
      <c r="AB1658" s="741">
        <f t="shared" si="233"/>
        <v>-83657.591008607706</v>
      </c>
      <c r="AC1658" s="714"/>
    </row>
    <row r="1659" spans="1:29" x14ac:dyDescent="0.25">
      <c r="A1659" s="713"/>
      <c r="B1659" s="729" t="s">
        <v>2511</v>
      </c>
      <c r="C1659" s="545" t="s">
        <v>40</v>
      </c>
      <c r="D1659" s="545" t="s">
        <v>346</v>
      </c>
      <c r="E1659" s="681">
        <v>45627</v>
      </c>
      <c r="F1659" s="545">
        <v>744</v>
      </c>
      <c r="G1659" s="545" t="s">
        <v>58</v>
      </c>
      <c r="H1659" s="545" t="s">
        <v>3</v>
      </c>
      <c r="I1659" s="545" t="s">
        <v>44</v>
      </c>
      <c r="J1659" s="545" t="s">
        <v>84</v>
      </c>
      <c r="K1659" s="545">
        <v>130</v>
      </c>
      <c r="L1659" s="725" t="s">
        <v>54</v>
      </c>
      <c r="M1659" s="695">
        <v>5</v>
      </c>
      <c r="N1659" s="725">
        <v>0</v>
      </c>
      <c r="O1659" s="695">
        <v>131.15945797953472</v>
      </c>
      <c r="P1659" s="725">
        <v>0</v>
      </c>
      <c r="Q1659" s="742">
        <f t="shared" si="225"/>
        <v>487913.18368386914</v>
      </c>
      <c r="R1659" s="603">
        <f t="shared" si="226"/>
        <v>0</v>
      </c>
      <c r="S1659" s="743">
        <f t="shared" si="227"/>
        <v>-487913.18368386914</v>
      </c>
      <c r="T1659" s="742">
        <v>100.1</v>
      </c>
      <c r="U1659" s="603">
        <f t="shared" si="228"/>
        <v>-372372</v>
      </c>
      <c r="V1659" s="743">
        <f t="shared" si="229"/>
        <v>-115541.18368386914</v>
      </c>
      <c r="W1659" s="744">
        <v>92.278761745078526</v>
      </c>
      <c r="X1659" s="604">
        <f t="shared" si="230"/>
        <v>-343276.99369169213</v>
      </c>
      <c r="Y1659" s="701">
        <f t="shared" si="231"/>
        <v>-144636.18999217701</v>
      </c>
      <c r="Z1659" s="744">
        <v>107.92123825492146</v>
      </c>
      <c r="AA1659" s="604">
        <f t="shared" si="232"/>
        <v>-401467.00630830781</v>
      </c>
      <c r="AB1659" s="745">
        <f t="shared" si="233"/>
        <v>-86446.177375561325</v>
      </c>
      <c r="AC1659" s="714"/>
    </row>
    <row r="1660" spans="1:29" x14ac:dyDescent="0.25">
      <c r="A1660" s="713"/>
      <c r="B1660" s="731" t="s">
        <v>2514</v>
      </c>
      <c r="C1660" s="547" t="s">
        <v>40</v>
      </c>
      <c r="D1660" s="547" t="s">
        <v>2351</v>
      </c>
      <c r="E1660" s="683">
        <v>44866</v>
      </c>
      <c r="F1660" s="547">
        <v>720</v>
      </c>
      <c r="G1660" s="547" t="s">
        <v>58</v>
      </c>
      <c r="H1660" s="547" t="s">
        <v>3</v>
      </c>
      <c r="I1660" s="547" t="s">
        <v>44</v>
      </c>
      <c r="J1660" s="547" t="s">
        <v>84</v>
      </c>
      <c r="K1660" s="547">
        <v>0</v>
      </c>
      <c r="L1660" s="727" t="s">
        <v>92</v>
      </c>
      <c r="M1660" s="697">
        <v>15</v>
      </c>
      <c r="N1660" s="727">
        <v>0</v>
      </c>
      <c r="O1660" s="697">
        <v>55.7</v>
      </c>
      <c r="P1660" s="727">
        <v>0</v>
      </c>
      <c r="Q1660" s="750">
        <f t="shared" si="225"/>
        <v>601560</v>
      </c>
      <c r="R1660" s="608">
        <f t="shared" si="226"/>
        <v>0</v>
      </c>
      <c r="S1660" s="751">
        <f t="shared" si="227"/>
        <v>-601560</v>
      </c>
      <c r="T1660" s="750">
        <v>55.7</v>
      </c>
      <c r="U1660" s="608">
        <f t="shared" si="228"/>
        <v>-601560</v>
      </c>
      <c r="V1660" s="751">
        <f t="shared" si="229"/>
        <v>0</v>
      </c>
      <c r="W1660" s="752">
        <v>55.7</v>
      </c>
      <c r="X1660" s="609">
        <f t="shared" si="230"/>
        <v>-601560</v>
      </c>
      <c r="Y1660" s="703">
        <f t="shared" si="231"/>
        <v>0</v>
      </c>
      <c r="Z1660" s="752">
        <v>55.7</v>
      </c>
      <c r="AA1660" s="609">
        <f t="shared" si="232"/>
        <v>-601560</v>
      </c>
      <c r="AB1660" s="753">
        <f t="shared" si="233"/>
        <v>0</v>
      </c>
      <c r="AC1660" s="714"/>
    </row>
    <row r="1661" spans="1:29" x14ac:dyDescent="0.25">
      <c r="A1661" s="713"/>
      <c r="B1661" s="730" t="s">
        <v>2516</v>
      </c>
      <c r="C1661" s="546" t="s">
        <v>40</v>
      </c>
      <c r="D1661" s="546" t="s">
        <v>1406</v>
      </c>
      <c r="E1661" s="682">
        <v>45292</v>
      </c>
      <c r="F1661" s="546">
        <v>744</v>
      </c>
      <c r="G1661" s="546" t="s">
        <v>59</v>
      </c>
      <c r="H1661" s="546" t="s">
        <v>3</v>
      </c>
      <c r="I1661" s="546" t="s">
        <v>44</v>
      </c>
      <c r="J1661" s="546" t="s">
        <v>85</v>
      </c>
      <c r="K1661" s="546">
        <v>130</v>
      </c>
      <c r="L1661" s="726" t="s">
        <v>54</v>
      </c>
      <c r="M1661" s="696">
        <v>0</v>
      </c>
      <c r="N1661" s="726">
        <v>15</v>
      </c>
      <c r="O1661" s="696">
        <v>0</v>
      </c>
      <c r="P1661" s="726">
        <v>131.15945797953472</v>
      </c>
      <c r="Q1661" s="746">
        <f t="shared" si="225"/>
        <v>0</v>
      </c>
      <c r="R1661" s="606">
        <f t="shared" si="226"/>
        <v>1463739.5510516076</v>
      </c>
      <c r="S1661" s="747">
        <f t="shared" si="227"/>
        <v>1463739.5510516076</v>
      </c>
      <c r="T1661" s="746">
        <v>100.1</v>
      </c>
      <c r="U1661" s="606">
        <f t="shared" si="228"/>
        <v>1117116</v>
      </c>
      <c r="V1661" s="747">
        <f t="shared" si="229"/>
        <v>346623.55105160759</v>
      </c>
      <c r="W1661" s="748">
        <v>92.278761745078526</v>
      </c>
      <c r="X1661" s="607">
        <f t="shared" si="230"/>
        <v>1029830.9810750764</v>
      </c>
      <c r="Y1661" s="702">
        <f t="shared" si="231"/>
        <v>433908.5699765312</v>
      </c>
      <c r="Z1661" s="748">
        <v>107.92123825492146</v>
      </c>
      <c r="AA1661" s="607">
        <f t="shared" si="232"/>
        <v>1204401.0189249236</v>
      </c>
      <c r="AB1661" s="749">
        <f t="shared" si="233"/>
        <v>259338.53212668397</v>
      </c>
      <c r="AC1661" s="714"/>
    </row>
    <row r="1662" spans="1:29" x14ac:dyDescent="0.25">
      <c r="A1662" s="713"/>
      <c r="B1662" s="714" t="s">
        <v>2516</v>
      </c>
      <c r="C1662" s="676" t="s">
        <v>40</v>
      </c>
      <c r="D1662" s="676" t="s">
        <v>1406</v>
      </c>
      <c r="E1662" s="680">
        <v>45323</v>
      </c>
      <c r="F1662" s="676">
        <v>696</v>
      </c>
      <c r="G1662" s="676" t="s">
        <v>59</v>
      </c>
      <c r="H1662" s="676" t="s">
        <v>3</v>
      </c>
      <c r="I1662" s="676" t="s">
        <v>44</v>
      </c>
      <c r="J1662" s="676" t="s">
        <v>85</v>
      </c>
      <c r="K1662" s="676">
        <v>130</v>
      </c>
      <c r="L1662" s="690" t="s">
        <v>54</v>
      </c>
      <c r="M1662" s="691">
        <v>0</v>
      </c>
      <c r="N1662" s="690">
        <v>15</v>
      </c>
      <c r="O1662" s="691">
        <v>0</v>
      </c>
      <c r="P1662" s="690">
        <v>131.15945797953472</v>
      </c>
      <c r="Q1662" s="738">
        <f t="shared" si="225"/>
        <v>0</v>
      </c>
      <c r="R1662" s="677">
        <f t="shared" si="226"/>
        <v>1369304.7413063424</v>
      </c>
      <c r="S1662" s="739">
        <f t="shared" si="227"/>
        <v>1369304.7413063424</v>
      </c>
      <c r="T1662" s="738">
        <v>100.1</v>
      </c>
      <c r="U1662" s="677">
        <f t="shared" si="228"/>
        <v>1045043.9999999999</v>
      </c>
      <c r="V1662" s="739">
        <f t="shared" si="229"/>
        <v>324260.74130634253</v>
      </c>
      <c r="W1662" s="740">
        <v>92.278761745078526</v>
      </c>
      <c r="X1662" s="678">
        <f t="shared" si="230"/>
        <v>963390.27261861984</v>
      </c>
      <c r="Y1662" s="700">
        <f t="shared" si="231"/>
        <v>405914.46868772258</v>
      </c>
      <c r="Z1662" s="740">
        <v>107.92123825492146</v>
      </c>
      <c r="AA1662" s="678">
        <f t="shared" si="232"/>
        <v>1126697.72738138</v>
      </c>
      <c r="AB1662" s="741">
        <f t="shared" si="233"/>
        <v>242607.01392496238</v>
      </c>
      <c r="AC1662" s="714"/>
    </row>
    <row r="1663" spans="1:29" x14ac:dyDescent="0.25">
      <c r="A1663" s="713"/>
      <c r="B1663" s="714" t="s">
        <v>2516</v>
      </c>
      <c r="C1663" s="676" t="s">
        <v>40</v>
      </c>
      <c r="D1663" s="676" t="s">
        <v>1406</v>
      </c>
      <c r="E1663" s="680">
        <v>45352</v>
      </c>
      <c r="F1663" s="676">
        <v>744</v>
      </c>
      <c r="G1663" s="676" t="s">
        <v>59</v>
      </c>
      <c r="H1663" s="676" t="s">
        <v>3</v>
      </c>
      <c r="I1663" s="676" t="s">
        <v>44</v>
      </c>
      <c r="J1663" s="676" t="s">
        <v>85</v>
      </c>
      <c r="K1663" s="676">
        <v>130</v>
      </c>
      <c r="L1663" s="690" t="s">
        <v>54</v>
      </c>
      <c r="M1663" s="691">
        <v>0</v>
      </c>
      <c r="N1663" s="690">
        <v>15</v>
      </c>
      <c r="O1663" s="691">
        <v>0</v>
      </c>
      <c r="P1663" s="690">
        <v>131.15945797953472</v>
      </c>
      <c r="Q1663" s="738">
        <f t="shared" si="225"/>
        <v>0</v>
      </c>
      <c r="R1663" s="677">
        <f t="shared" si="226"/>
        <v>1463739.5510516076</v>
      </c>
      <c r="S1663" s="739">
        <f t="shared" si="227"/>
        <v>1463739.5510516076</v>
      </c>
      <c r="T1663" s="738">
        <v>100.1</v>
      </c>
      <c r="U1663" s="677">
        <f t="shared" si="228"/>
        <v>1117116</v>
      </c>
      <c r="V1663" s="739">
        <f t="shared" si="229"/>
        <v>346623.55105160759</v>
      </c>
      <c r="W1663" s="740">
        <v>92.278761745078526</v>
      </c>
      <c r="X1663" s="678">
        <f t="shared" si="230"/>
        <v>1029830.9810750764</v>
      </c>
      <c r="Y1663" s="700">
        <f t="shared" si="231"/>
        <v>433908.5699765312</v>
      </c>
      <c r="Z1663" s="740">
        <v>107.92123825492146</v>
      </c>
      <c r="AA1663" s="678">
        <f t="shared" si="232"/>
        <v>1204401.0189249236</v>
      </c>
      <c r="AB1663" s="741">
        <f t="shared" si="233"/>
        <v>259338.53212668397</v>
      </c>
      <c r="AC1663" s="714"/>
    </row>
    <row r="1664" spans="1:29" x14ac:dyDescent="0.25">
      <c r="A1664" s="713"/>
      <c r="B1664" s="714" t="s">
        <v>2516</v>
      </c>
      <c r="C1664" s="676" t="s">
        <v>40</v>
      </c>
      <c r="D1664" s="676" t="s">
        <v>1406</v>
      </c>
      <c r="E1664" s="680">
        <v>45383</v>
      </c>
      <c r="F1664" s="676">
        <v>720</v>
      </c>
      <c r="G1664" s="676" t="s">
        <v>59</v>
      </c>
      <c r="H1664" s="676" t="s">
        <v>3</v>
      </c>
      <c r="I1664" s="676" t="s">
        <v>44</v>
      </c>
      <c r="J1664" s="676" t="s">
        <v>85</v>
      </c>
      <c r="K1664" s="676">
        <v>130</v>
      </c>
      <c r="L1664" s="690" t="s">
        <v>54</v>
      </c>
      <c r="M1664" s="691">
        <v>0</v>
      </c>
      <c r="N1664" s="690">
        <v>15</v>
      </c>
      <c r="O1664" s="691">
        <v>0</v>
      </c>
      <c r="P1664" s="690">
        <v>131.15945797953472</v>
      </c>
      <c r="Q1664" s="738">
        <f t="shared" si="225"/>
        <v>0</v>
      </c>
      <c r="R1664" s="677">
        <f t="shared" si="226"/>
        <v>1416522.146178975</v>
      </c>
      <c r="S1664" s="739">
        <f t="shared" si="227"/>
        <v>1416522.146178975</v>
      </c>
      <c r="T1664" s="738">
        <v>100.1</v>
      </c>
      <c r="U1664" s="677">
        <f t="shared" si="228"/>
        <v>1081080</v>
      </c>
      <c r="V1664" s="739">
        <f t="shared" si="229"/>
        <v>335442.146178975</v>
      </c>
      <c r="W1664" s="740">
        <v>92.278761745078526</v>
      </c>
      <c r="X1664" s="678">
        <f t="shared" si="230"/>
        <v>996610.62684684806</v>
      </c>
      <c r="Y1664" s="700">
        <f t="shared" si="231"/>
        <v>419911.51933212695</v>
      </c>
      <c r="Z1664" s="740">
        <v>107.92123825492146</v>
      </c>
      <c r="AA1664" s="678">
        <f t="shared" si="232"/>
        <v>1165549.3731531517</v>
      </c>
      <c r="AB1664" s="741">
        <f t="shared" si="233"/>
        <v>250972.77302582329</v>
      </c>
      <c r="AC1664" s="714"/>
    </row>
    <row r="1665" spans="1:29" x14ac:dyDescent="0.25">
      <c r="A1665" s="713"/>
      <c r="B1665" s="714" t="s">
        <v>2516</v>
      </c>
      <c r="C1665" s="676" t="s">
        <v>40</v>
      </c>
      <c r="D1665" s="676" t="s">
        <v>1406</v>
      </c>
      <c r="E1665" s="680">
        <v>45413</v>
      </c>
      <c r="F1665" s="676">
        <v>744</v>
      </c>
      <c r="G1665" s="676" t="s">
        <v>59</v>
      </c>
      <c r="H1665" s="676" t="s">
        <v>3</v>
      </c>
      <c r="I1665" s="676" t="s">
        <v>44</v>
      </c>
      <c r="J1665" s="676" t="s">
        <v>85</v>
      </c>
      <c r="K1665" s="676">
        <v>130</v>
      </c>
      <c r="L1665" s="690" t="s">
        <v>54</v>
      </c>
      <c r="M1665" s="691">
        <v>0</v>
      </c>
      <c r="N1665" s="690">
        <v>15</v>
      </c>
      <c r="O1665" s="691">
        <v>0</v>
      </c>
      <c r="P1665" s="690">
        <v>131.15945797953472</v>
      </c>
      <c r="Q1665" s="738">
        <f t="shared" si="225"/>
        <v>0</v>
      </c>
      <c r="R1665" s="677">
        <f t="shared" si="226"/>
        <v>1463739.5510516076</v>
      </c>
      <c r="S1665" s="739">
        <f t="shared" si="227"/>
        <v>1463739.5510516076</v>
      </c>
      <c r="T1665" s="738">
        <v>100.1</v>
      </c>
      <c r="U1665" s="677">
        <f t="shared" si="228"/>
        <v>1117116</v>
      </c>
      <c r="V1665" s="739">
        <f t="shared" si="229"/>
        <v>346623.55105160759</v>
      </c>
      <c r="W1665" s="740">
        <v>92.278761745078526</v>
      </c>
      <c r="X1665" s="678">
        <f t="shared" si="230"/>
        <v>1029830.9810750764</v>
      </c>
      <c r="Y1665" s="700">
        <f t="shared" si="231"/>
        <v>433908.5699765312</v>
      </c>
      <c r="Z1665" s="740">
        <v>107.92123825492146</v>
      </c>
      <c r="AA1665" s="678">
        <f t="shared" si="232"/>
        <v>1204401.0189249236</v>
      </c>
      <c r="AB1665" s="741">
        <f t="shared" si="233"/>
        <v>259338.53212668397</v>
      </c>
      <c r="AC1665" s="714"/>
    </row>
    <row r="1666" spans="1:29" x14ac:dyDescent="0.25">
      <c r="A1666" s="713"/>
      <c r="B1666" s="714" t="s">
        <v>2516</v>
      </c>
      <c r="C1666" s="676" t="s">
        <v>40</v>
      </c>
      <c r="D1666" s="676" t="s">
        <v>1406</v>
      </c>
      <c r="E1666" s="680">
        <v>45444</v>
      </c>
      <c r="F1666" s="676">
        <v>720</v>
      </c>
      <c r="G1666" s="676" t="s">
        <v>59</v>
      </c>
      <c r="H1666" s="676" t="s">
        <v>3</v>
      </c>
      <c r="I1666" s="676" t="s">
        <v>44</v>
      </c>
      <c r="J1666" s="676" t="s">
        <v>85</v>
      </c>
      <c r="K1666" s="676">
        <v>130</v>
      </c>
      <c r="L1666" s="690" t="s">
        <v>54</v>
      </c>
      <c r="M1666" s="691">
        <v>0</v>
      </c>
      <c r="N1666" s="690">
        <v>15</v>
      </c>
      <c r="O1666" s="691">
        <v>0</v>
      </c>
      <c r="P1666" s="690">
        <v>131.15945797953472</v>
      </c>
      <c r="Q1666" s="738">
        <f t="shared" si="225"/>
        <v>0</v>
      </c>
      <c r="R1666" s="677">
        <f t="shared" si="226"/>
        <v>1416522.146178975</v>
      </c>
      <c r="S1666" s="739">
        <f t="shared" si="227"/>
        <v>1416522.146178975</v>
      </c>
      <c r="T1666" s="738">
        <v>100.1</v>
      </c>
      <c r="U1666" s="677">
        <f t="shared" si="228"/>
        <v>1081080</v>
      </c>
      <c r="V1666" s="739">
        <f t="shared" si="229"/>
        <v>335442.146178975</v>
      </c>
      <c r="W1666" s="740">
        <v>92.278761745078526</v>
      </c>
      <c r="X1666" s="678">
        <f t="shared" si="230"/>
        <v>996610.62684684806</v>
      </c>
      <c r="Y1666" s="700">
        <f t="shared" si="231"/>
        <v>419911.51933212695</v>
      </c>
      <c r="Z1666" s="740">
        <v>107.92123825492146</v>
      </c>
      <c r="AA1666" s="678">
        <f t="shared" si="232"/>
        <v>1165549.3731531517</v>
      </c>
      <c r="AB1666" s="741">
        <f t="shared" si="233"/>
        <v>250972.77302582329</v>
      </c>
      <c r="AC1666" s="714"/>
    </row>
    <row r="1667" spans="1:29" x14ac:dyDescent="0.25">
      <c r="A1667" s="713"/>
      <c r="B1667" s="714" t="s">
        <v>2516</v>
      </c>
      <c r="C1667" s="676" t="s">
        <v>40</v>
      </c>
      <c r="D1667" s="676" t="s">
        <v>1406</v>
      </c>
      <c r="E1667" s="680">
        <v>45474</v>
      </c>
      <c r="F1667" s="676">
        <v>744</v>
      </c>
      <c r="G1667" s="676" t="s">
        <v>59</v>
      </c>
      <c r="H1667" s="676" t="s">
        <v>3</v>
      </c>
      <c r="I1667" s="676" t="s">
        <v>44</v>
      </c>
      <c r="J1667" s="676" t="s">
        <v>85</v>
      </c>
      <c r="K1667" s="676">
        <v>130</v>
      </c>
      <c r="L1667" s="690" t="s">
        <v>54</v>
      </c>
      <c r="M1667" s="691">
        <v>0</v>
      </c>
      <c r="N1667" s="690">
        <v>15</v>
      </c>
      <c r="O1667" s="691">
        <v>0</v>
      </c>
      <c r="P1667" s="690">
        <v>131.15945797953472</v>
      </c>
      <c r="Q1667" s="738">
        <f t="shared" ref="Q1667:Q1730" si="234">(O1667*(M1667*F1667))</f>
        <v>0</v>
      </c>
      <c r="R1667" s="677">
        <f t="shared" ref="R1667:R1730" si="235">(P1667*(N1667*F1667))</f>
        <v>1463739.5510516076</v>
      </c>
      <c r="S1667" s="739">
        <f t="shared" ref="S1667:S1730" si="236">R1667-Q1667</f>
        <v>1463739.5510516076</v>
      </c>
      <c r="T1667" s="738">
        <v>100.1</v>
      </c>
      <c r="U1667" s="677">
        <f t="shared" ref="U1667:U1730" si="237">(((F1667*N1667)*T1667)-(T1667*(M1667*F1667)))</f>
        <v>1117116</v>
      </c>
      <c r="V1667" s="739">
        <f t="shared" ref="V1667:V1730" si="238">S1667-U1667</f>
        <v>346623.55105160759</v>
      </c>
      <c r="W1667" s="740">
        <v>92.278761745078526</v>
      </c>
      <c r="X1667" s="678">
        <f t="shared" ref="X1667:X1730" si="239">(((F1667*N1667)*W1667)-(W1667*(M1667*F1667)))</f>
        <v>1029830.9810750764</v>
      </c>
      <c r="Y1667" s="700">
        <f t="shared" ref="Y1667:Y1730" si="240">S1667-X1667</f>
        <v>433908.5699765312</v>
      </c>
      <c r="Z1667" s="740">
        <v>107.92123825492146</v>
      </c>
      <c r="AA1667" s="678">
        <f t="shared" ref="AA1667:AA1730" si="241">(((F1667*N1667)*Z1667)-(Z1667*(M1667*F1667)))</f>
        <v>1204401.0189249236</v>
      </c>
      <c r="AB1667" s="741">
        <f t="shared" ref="AB1667:AB1730" si="242">S1667-AA1667</f>
        <v>259338.53212668397</v>
      </c>
      <c r="AC1667" s="714"/>
    </row>
    <row r="1668" spans="1:29" x14ac:dyDescent="0.25">
      <c r="A1668" s="713"/>
      <c r="B1668" s="714" t="s">
        <v>2516</v>
      </c>
      <c r="C1668" s="676" t="s">
        <v>40</v>
      </c>
      <c r="D1668" s="676" t="s">
        <v>1406</v>
      </c>
      <c r="E1668" s="680">
        <v>45505</v>
      </c>
      <c r="F1668" s="676">
        <v>744</v>
      </c>
      <c r="G1668" s="676" t="s">
        <v>59</v>
      </c>
      <c r="H1668" s="676" t="s">
        <v>3</v>
      </c>
      <c r="I1668" s="676" t="s">
        <v>44</v>
      </c>
      <c r="J1668" s="676" t="s">
        <v>85</v>
      </c>
      <c r="K1668" s="676">
        <v>130</v>
      </c>
      <c r="L1668" s="690" t="s">
        <v>54</v>
      </c>
      <c r="M1668" s="691">
        <v>0</v>
      </c>
      <c r="N1668" s="690">
        <v>15</v>
      </c>
      <c r="O1668" s="691">
        <v>0</v>
      </c>
      <c r="P1668" s="690">
        <v>131.15945797953472</v>
      </c>
      <c r="Q1668" s="738">
        <f t="shared" si="234"/>
        <v>0</v>
      </c>
      <c r="R1668" s="677">
        <f t="shared" si="235"/>
        <v>1463739.5510516076</v>
      </c>
      <c r="S1668" s="739">
        <f t="shared" si="236"/>
        <v>1463739.5510516076</v>
      </c>
      <c r="T1668" s="738">
        <v>100.1</v>
      </c>
      <c r="U1668" s="677">
        <f t="shared" si="237"/>
        <v>1117116</v>
      </c>
      <c r="V1668" s="739">
        <f t="shared" si="238"/>
        <v>346623.55105160759</v>
      </c>
      <c r="W1668" s="740">
        <v>92.278761745078526</v>
      </c>
      <c r="X1668" s="678">
        <f t="shared" si="239"/>
        <v>1029830.9810750764</v>
      </c>
      <c r="Y1668" s="700">
        <f t="shared" si="240"/>
        <v>433908.5699765312</v>
      </c>
      <c r="Z1668" s="740">
        <v>107.92123825492146</v>
      </c>
      <c r="AA1668" s="678">
        <f t="shared" si="241"/>
        <v>1204401.0189249236</v>
      </c>
      <c r="AB1668" s="741">
        <f t="shared" si="242"/>
        <v>259338.53212668397</v>
      </c>
      <c r="AC1668" s="714"/>
    </row>
    <row r="1669" spans="1:29" x14ac:dyDescent="0.25">
      <c r="A1669" s="713"/>
      <c r="B1669" s="714" t="s">
        <v>2516</v>
      </c>
      <c r="C1669" s="676" t="s">
        <v>40</v>
      </c>
      <c r="D1669" s="676" t="s">
        <v>1406</v>
      </c>
      <c r="E1669" s="680">
        <v>45536</v>
      </c>
      <c r="F1669" s="676">
        <v>720</v>
      </c>
      <c r="G1669" s="676" t="s">
        <v>59</v>
      </c>
      <c r="H1669" s="676" t="s">
        <v>3</v>
      </c>
      <c r="I1669" s="676" t="s">
        <v>44</v>
      </c>
      <c r="J1669" s="676" t="s">
        <v>85</v>
      </c>
      <c r="K1669" s="676">
        <v>130</v>
      </c>
      <c r="L1669" s="690" t="s">
        <v>54</v>
      </c>
      <c r="M1669" s="691">
        <v>0</v>
      </c>
      <c r="N1669" s="690">
        <v>15</v>
      </c>
      <c r="O1669" s="691">
        <v>0</v>
      </c>
      <c r="P1669" s="690">
        <v>131.15945797953472</v>
      </c>
      <c r="Q1669" s="738">
        <f t="shared" si="234"/>
        <v>0</v>
      </c>
      <c r="R1669" s="677">
        <f t="shared" si="235"/>
        <v>1416522.146178975</v>
      </c>
      <c r="S1669" s="739">
        <f t="shared" si="236"/>
        <v>1416522.146178975</v>
      </c>
      <c r="T1669" s="738">
        <v>100.1</v>
      </c>
      <c r="U1669" s="677">
        <f t="shared" si="237"/>
        <v>1081080</v>
      </c>
      <c r="V1669" s="739">
        <f t="shared" si="238"/>
        <v>335442.146178975</v>
      </c>
      <c r="W1669" s="740">
        <v>92.278761745078526</v>
      </c>
      <c r="X1669" s="678">
        <f t="shared" si="239"/>
        <v>996610.62684684806</v>
      </c>
      <c r="Y1669" s="700">
        <f t="shared" si="240"/>
        <v>419911.51933212695</v>
      </c>
      <c r="Z1669" s="740">
        <v>107.92123825492146</v>
      </c>
      <c r="AA1669" s="678">
        <f t="shared" si="241"/>
        <v>1165549.3731531517</v>
      </c>
      <c r="AB1669" s="741">
        <f t="shared" si="242"/>
        <v>250972.77302582329</v>
      </c>
      <c r="AC1669" s="714"/>
    </row>
    <row r="1670" spans="1:29" x14ac:dyDescent="0.25">
      <c r="A1670" s="713"/>
      <c r="B1670" s="714" t="s">
        <v>2516</v>
      </c>
      <c r="C1670" s="676" t="s">
        <v>40</v>
      </c>
      <c r="D1670" s="676" t="s">
        <v>1406</v>
      </c>
      <c r="E1670" s="680">
        <v>45566</v>
      </c>
      <c r="F1670" s="676">
        <v>744</v>
      </c>
      <c r="G1670" s="676" t="s">
        <v>59</v>
      </c>
      <c r="H1670" s="676" t="s">
        <v>3</v>
      </c>
      <c r="I1670" s="676" t="s">
        <v>44</v>
      </c>
      <c r="J1670" s="676" t="s">
        <v>85</v>
      </c>
      <c r="K1670" s="676">
        <v>130</v>
      </c>
      <c r="L1670" s="690" t="s">
        <v>54</v>
      </c>
      <c r="M1670" s="691">
        <v>0</v>
      </c>
      <c r="N1670" s="690">
        <v>15</v>
      </c>
      <c r="O1670" s="691">
        <v>0</v>
      </c>
      <c r="P1670" s="690">
        <v>131.15945797953472</v>
      </c>
      <c r="Q1670" s="738">
        <f t="shared" si="234"/>
        <v>0</v>
      </c>
      <c r="R1670" s="677">
        <f t="shared" si="235"/>
        <v>1463739.5510516076</v>
      </c>
      <c r="S1670" s="739">
        <f t="shared" si="236"/>
        <v>1463739.5510516076</v>
      </c>
      <c r="T1670" s="738">
        <v>100.1</v>
      </c>
      <c r="U1670" s="677">
        <f t="shared" si="237"/>
        <v>1117116</v>
      </c>
      <c r="V1670" s="739">
        <f t="shared" si="238"/>
        <v>346623.55105160759</v>
      </c>
      <c r="W1670" s="740">
        <v>92.278761745078526</v>
      </c>
      <c r="X1670" s="678">
        <f t="shared" si="239"/>
        <v>1029830.9810750764</v>
      </c>
      <c r="Y1670" s="700">
        <f t="shared" si="240"/>
        <v>433908.5699765312</v>
      </c>
      <c r="Z1670" s="740">
        <v>107.92123825492146</v>
      </c>
      <c r="AA1670" s="678">
        <f t="shared" si="241"/>
        <v>1204401.0189249236</v>
      </c>
      <c r="AB1670" s="741">
        <f t="shared" si="242"/>
        <v>259338.53212668397</v>
      </c>
      <c r="AC1670" s="714"/>
    </row>
    <row r="1671" spans="1:29" x14ac:dyDescent="0.25">
      <c r="A1671" s="713"/>
      <c r="B1671" s="714" t="s">
        <v>2516</v>
      </c>
      <c r="C1671" s="676" t="s">
        <v>40</v>
      </c>
      <c r="D1671" s="676" t="s">
        <v>1406</v>
      </c>
      <c r="E1671" s="680">
        <v>45597</v>
      </c>
      <c r="F1671" s="676">
        <v>720</v>
      </c>
      <c r="G1671" s="676" t="s">
        <v>59</v>
      </c>
      <c r="H1671" s="676" t="s">
        <v>3</v>
      </c>
      <c r="I1671" s="676" t="s">
        <v>44</v>
      </c>
      <c r="J1671" s="676" t="s">
        <v>85</v>
      </c>
      <c r="K1671" s="676">
        <v>130</v>
      </c>
      <c r="L1671" s="690" t="s">
        <v>54</v>
      </c>
      <c r="M1671" s="691">
        <v>0</v>
      </c>
      <c r="N1671" s="690">
        <v>15</v>
      </c>
      <c r="O1671" s="691">
        <v>0</v>
      </c>
      <c r="P1671" s="690">
        <v>131.15945797953472</v>
      </c>
      <c r="Q1671" s="738">
        <f t="shared" si="234"/>
        <v>0</v>
      </c>
      <c r="R1671" s="677">
        <f t="shared" si="235"/>
        <v>1416522.146178975</v>
      </c>
      <c r="S1671" s="739">
        <f t="shared" si="236"/>
        <v>1416522.146178975</v>
      </c>
      <c r="T1671" s="738">
        <v>100.1</v>
      </c>
      <c r="U1671" s="677">
        <f t="shared" si="237"/>
        <v>1081080</v>
      </c>
      <c r="V1671" s="739">
        <f t="shared" si="238"/>
        <v>335442.146178975</v>
      </c>
      <c r="W1671" s="740">
        <v>92.278761745078526</v>
      </c>
      <c r="X1671" s="678">
        <f t="shared" si="239"/>
        <v>996610.62684684806</v>
      </c>
      <c r="Y1671" s="700">
        <f t="shared" si="240"/>
        <v>419911.51933212695</v>
      </c>
      <c r="Z1671" s="740">
        <v>107.92123825492146</v>
      </c>
      <c r="AA1671" s="678">
        <f t="shared" si="241"/>
        <v>1165549.3731531517</v>
      </c>
      <c r="AB1671" s="741">
        <f t="shared" si="242"/>
        <v>250972.77302582329</v>
      </c>
      <c r="AC1671" s="714"/>
    </row>
    <row r="1672" spans="1:29" x14ac:dyDescent="0.25">
      <c r="A1672" s="713"/>
      <c r="B1672" s="729" t="s">
        <v>2516</v>
      </c>
      <c r="C1672" s="545" t="s">
        <v>40</v>
      </c>
      <c r="D1672" s="545" t="s">
        <v>1406</v>
      </c>
      <c r="E1672" s="681">
        <v>45627</v>
      </c>
      <c r="F1672" s="545">
        <v>744</v>
      </c>
      <c r="G1672" s="545" t="s">
        <v>59</v>
      </c>
      <c r="H1672" s="545" t="s">
        <v>3</v>
      </c>
      <c r="I1672" s="545" t="s">
        <v>44</v>
      </c>
      <c r="J1672" s="545" t="s">
        <v>85</v>
      </c>
      <c r="K1672" s="545">
        <v>130</v>
      </c>
      <c r="L1672" s="725" t="s">
        <v>54</v>
      </c>
      <c r="M1672" s="695">
        <v>0</v>
      </c>
      <c r="N1672" s="725">
        <v>15</v>
      </c>
      <c r="O1672" s="695">
        <v>0</v>
      </c>
      <c r="P1672" s="725">
        <v>131.15945797953472</v>
      </c>
      <c r="Q1672" s="742">
        <f t="shared" si="234"/>
        <v>0</v>
      </c>
      <c r="R1672" s="603">
        <f t="shared" si="235"/>
        <v>1463739.5510516076</v>
      </c>
      <c r="S1672" s="743">
        <f t="shared" si="236"/>
        <v>1463739.5510516076</v>
      </c>
      <c r="T1672" s="742">
        <v>100.1</v>
      </c>
      <c r="U1672" s="603">
        <f t="shared" si="237"/>
        <v>1117116</v>
      </c>
      <c r="V1672" s="743">
        <f t="shared" si="238"/>
        <v>346623.55105160759</v>
      </c>
      <c r="W1672" s="744">
        <v>92.278761745078526</v>
      </c>
      <c r="X1672" s="604">
        <f t="shared" si="239"/>
        <v>1029830.9810750764</v>
      </c>
      <c r="Y1672" s="701">
        <f t="shared" si="240"/>
        <v>433908.5699765312</v>
      </c>
      <c r="Z1672" s="744">
        <v>107.92123825492146</v>
      </c>
      <c r="AA1672" s="604">
        <f t="shared" si="241"/>
        <v>1204401.0189249236</v>
      </c>
      <c r="AB1672" s="745">
        <f t="shared" si="242"/>
        <v>259338.53212668397</v>
      </c>
      <c r="AC1672" s="714"/>
    </row>
    <row r="1673" spans="1:29" x14ac:dyDescent="0.25">
      <c r="A1673" s="713"/>
      <c r="B1673" s="731" t="s">
        <v>2519</v>
      </c>
      <c r="C1673" s="547" t="s">
        <v>40</v>
      </c>
      <c r="D1673" s="547" t="s">
        <v>876</v>
      </c>
      <c r="E1673" s="683">
        <v>44896</v>
      </c>
      <c r="F1673" s="547">
        <v>744</v>
      </c>
      <c r="G1673" s="547" t="s">
        <v>59</v>
      </c>
      <c r="H1673" s="547" t="s">
        <v>3</v>
      </c>
      <c r="I1673" s="547" t="s">
        <v>44</v>
      </c>
      <c r="J1673" s="547" t="s">
        <v>85</v>
      </c>
      <c r="K1673" s="547">
        <v>56</v>
      </c>
      <c r="L1673" s="727" t="s">
        <v>54</v>
      </c>
      <c r="M1673" s="697">
        <v>0</v>
      </c>
      <c r="N1673" s="727">
        <v>8</v>
      </c>
      <c r="O1673" s="697">
        <v>0</v>
      </c>
      <c r="P1673" s="727">
        <v>56</v>
      </c>
      <c r="Q1673" s="750">
        <f t="shared" si="234"/>
        <v>0</v>
      </c>
      <c r="R1673" s="608">
        <f t="shared" si="235"/>
        <v>333312</v>
      </c>
      <c r="S1673" s="751">
        <f t="shared" si="236"/>
        <v>333312</v>
      </c>
      <c r="T1673" s="750">
        <v>55.7</v>
      </c>
      <c r="U1673" s="608">
        <f t="shared" si="237"/>
        <v>331526.40000000002</v>
      </c>
      <c r="V1673" s="751">
        <f t="shared" si="238"/>
        <v>1785.5999999999767</v>
      </c>
      <c r="W1673" s="752">
        <v>55.7</v>
      </c>
      <c r="X1673" s="609">
        <f t="shared" si="239"/>
        <v>331526.40000000002</v>
      </c>
      <c r="Y1673" s="703">
        <f t="shared" si="240"/>
        <v>1785.5999999999767</v>
      </c>
      <c r="Z1673" s="752">
        <v>78.400653594793155</v>
      </c>
      <c r="AA1673" s="609">
        <f t="shared" si="241"/>
        <v>466640.69019620889</v>
      </c>
      <c r="AB1673" s="753">
        <f t="shared" si="242"/>
        <v>-133328.69019620889</v>
      </c>
      <c r="AC1673" s="714"/>
    </row>
    <row r="1674" spans="1:29" x14ac:dyDescent="0.25">
      <c r="A1674" s="713"/>
      <c r="B1674" s="731" t="s">
        <v>2520</v>
      </c>
      <c r="C1674" s="547" t="s">
        <v>40</v>
      </c>
      <c r="D1674" s="547" t="s">
        <v>876</v>
      </c>
      <c r="E1674" s="683">
        <v>44896</v>
      </c>
      <c r="F1674" s="547">
        <v>744</v>
      </c>
      <c r="G1674" s="547" t="s">
        <v>59</v>
      </c>
      <c r="H1674" s="547" t="s">
        <v>3</v>
      </c>
      <c r="I1674" s="547" t="s">
        <v>44</v>
      </c>
      <c r="J1674" s="547" t="s">
        <v>85</v>
      </c>
      <c r="K1674" s="547">
        <v>56</v>
      </c>
      <c r="L1674" s="727" t="s">
        <v>54</v>
      </c>
      <c r="M1674" s="697">
        <v>0</v>
      </c>
      <c r="N1674" s="727">
        <v>2</v>
      </c>
      <c r="O1674" s="697">
        <v>0</v>
      </c>
      <c r="P1674" s="727">
        <v>56</v>
      </c>
      <c r="Q1674" s="750">
        <f t="shared" si="234"/>
        <v>0</v>
      </c>
      <c r="R1674" s="608">
        <f t="shared" si="235"/>
        <v>83328</v>
      </c>
      <c r="S1674" s="751">
        <f t="shared" si="236"/>
        <v>83328</v>
      </c>
      <c r="T1674" s="750">
        <v>55.7</v>
      </c>
      <c r="U1674" s="608">
        <f t="shared" si="237"/>
        <v>82881.600000000006</v>
      </c>
      <c r="V1674" s="751">
        <f t="shared" si="238"/>
        <v>446.39999999999418</v>
      </c>
      <c r="W1674" s="752">
        <v>55.7</v>
      </c>
      <c r="X1674" s="609">
        <f t="shared" si="239"/>
        <v>82881.600000000006</v>
      </c>
      <c r="Y1674" s="703">
        <f t="shared" si="240"/>
        <v>446.39999999999418</v>
      </c>
      <c r="Z1674" s="752">
        <v>78.400653594793155</v>
      </c>
      <c r="AA1674" s="609">
        <f t="shared" si="241"/>
        <v>116660.17254905222</v>
      </c>
      <c r="AB1674" s="753">
        <f t="shared" si="242"/>
        <v>-33332.172549052222</v>
      </c>
      <c r="AC1674" s="714"/>
    </row>
    <row r="1675" spans="1:29" x14ac:dyDescent="0.25">
      <c r="A1675" s="713"/>
      <c r="B1675" s="731" t="s">
        <v>2522</v>
      </c>
      <c r="C1675" s="547" t="s">
        <v>40</v>
      </c>
      <c r="D1675" s="547" t="s">
        <v>472</v>
      </c>
      <c r="E1675" s="683">
        <v>44927</v>
      </c>
      <c r="F1675" s="547">
        <v>744</v>
      </c>
      <c r="G1675" s="547" t="s">
        <v>58</v>
      </c>
      <c r="H1675" s="547" t="s">
        <v>3</v>
      </c>
      <c r="I1675" s="547" t="s">
        <v>44</v>
      </c>
      <c r="J1675" s="547" t="s">
        <v>84</v>
      </c>
      <c r="K1675" s="547">
        <v>62.5</v>
      </c>
      <c r="L1675" s="727" t="s">
        <v>54</v>
      </c>
      <c r="M1675" s="697">
        <v>10</v>
      </c>
      <c r="N1675" s="727">
        <v>0</v>
      </c>
      <c r="O1675" s="697">
        <v>62.5</v>
      </c>
      <c r="P1675" s="727">
        <v>0</v>
      </c>
      <c r="Q1675" s="750">
        <f t="shared" si="234"/>
        <v>465000</v>
      </c>
      <c r="R1675" s="608">
        <f t="shared" si="235"/>
        <v>0</v>
      </c>
      <c r="S1675" s="751">
        <f t="shared" si="236"/>
        <v>-465000</v>
      </c>
      <c r="T1675" s="750">
        <v>68.72</v>
      </c>
      <c r="U1675" s="608">
        <f t="shared" si="237"/>
        <v>-511276.79999999999</v>
      </c>
      <c r="V1675" s="751">
        <f t="shared" si="238"/>
        <v>46276.799999999988</v>
      </c>
      <c r="W1675" s="752">
        <v>55.7</v>
      </c>
      <c r="X1675" s="609">
        <f t="shared" si="239"/>
        <v>-414408</v>
      </c>
      <c r="Y1675" s="703">
        <f t="shared" si="240"/>
        <v>-50592</v>
      </c>
      <c r="Z1675" s="752">
        <v>96.206580759134184</v>
      </c>
      <c r="AA1675" s="609">
        <f t="shared" si="241"/>
        <v>-715776.96084795834</v>
      </c>
      <c r="AB1675" s="753">
        <f t="shared" si="242"/>
        <v>250776.96084795834</v>
      </c>
      <c r="AC1675" s="714"/>
    </row>
    <row r="1676" spans="1:29" x14ac:dyDescent="0.25">
      <c r="A1676" s="713"/>
      <c r="B1676" s="730" t="s">
        <v>2527</v>
      </c>
      <c r="C1676" s="546" t="s">
        <v>40</v>
      </c>
      <c r="D1676" s="546" t="s">
        <v>1917</v>
      </c>
      <c r="E1676" s="682">
        <v>45108</v>
      </c>
      <c r="F1676" s="546">
        <v>744</v>
      </c>
      <c r="G1676" s="546" t="s">
        <v>59</v>
      </c>
      <c r="H1676" s="546" t="s">
        <v>3</v>
      </c>
      <c r="I1676" s="546" t="s">
        <v>44</v>
      </c>
      <c r="J1676" s="546" t="s">
        <v>85</v>
      </c>
      <c r="K1676" s="546">
        <v>104</v>
      </c>
      <c r="L1676" s="726" t="s">
        <v>54</v>
      </c>
      <c r="M1676" s="696">
        <v>0</v>
      </c>
      <c r="N1676" s="726">
        <v>2</v>
      </c>
      <c r="O1676" s="696">
        <v>0</v>
      </c>
      <c r="P1676" s="726">
        <v>104</v>
      </c>
      <c r="Q1676" s="746">
        <f t="shared" si="234"/>
        <v>0</v>
      </c>
      <c r="R1676" s="606">
        <f t="shared" si="235"/>
        <v>154752</v>
      </c>
      <c r="S1676" s="747">
        <f t="shared" si="236"/>
        <v>154752</v>
      </c>
      <c r="T1676" s="746">
        <v>77.150000000000006</v>
      </c>
      <c r="U1676" s="606">
        <f t="shared" si="237"/>
        <v>114799.20000000001</v>
      </c>
      <c r="V1676" s="747">
        <f t="shared" si="238"/>
        <v>39952.799999999988</v>
      </c>
      <c r="W1676" s="748">
        <v>59.54033706800562</v>
      </c>
      <c r="X1676" s="607">
        <f t="shared" si="239"/>
        <v>88596.021557192362</v>
      </c>
      <c r="Y1676" s="702">
        <f t="shared" si="240"/>
        <v>66155.978442807638</v>
      </c>
      <c r="Z1676" s="748">
        <v>94.759662931994384</v>
      </c>
      <c r="AA1676" s="607">
        <f t="shared" si="241"/>
        <v>141002.37844280765</v>
      </c>
      <c r="AB1676" s="749">
        <f t="shared" si="242"/>
        <v>13749.621557192353</v>
      </c>
      <c r="AC1676" s="714"/>
    </row>
    <row r="1677" spans="1:29" x14ac:dyDescent="0.25">
      <c r="A1677" s="713"/>
      <c r="B1677" s="714" t="s">
        <v>2527</v>
      </c>
      <c r="C1677" s="676" t="s">
        <v>40</v>
      </c>
      <c r="D1677" s="676" t="s">
        <v>1917</v>
      </c>
      <c r="E1677" s="680">
        <v>45139</v>
      </c>
      <c r="F1677" s="676">
        <v>744</v>
      </c>
      <c r="G1677" s="676" t="s">
        <v>59</v>
      </c>
      <c r="H1677" s="676" t="s">
        <v>3</v>
      </c>
      <c r="I1677" s="676" t="s">
        <v>44</v>
      </c>
      <c r="J1677" s="676" t="s">
        <v>85</v>
      </c>
      <c r="K1677" s="676">
        <v>104</v>
      </c>
      <c r="L1677" s="690" t="s">
        <v>54</v>
      </c>
      <c r="M1677" s="691">
        <v>0</v>
      </c>
      <c r="N1677" s="690">
        <v>2</v>
      </c>
      <c r="O1677" s="691">
        <v>0</v>
      </c>
      <c r="P1677" s="690">
        <v>104</v>
      </c>
      <c r="Q1677" s="738">
        <f t="shared" si="234"/>
        <v>0</v>
      </c>
      <c r="R1677" s="677">
        <f t="shared" si="235"/>
        <v>154752</v>
      </c>
      <c r="S1677" s="739">
        <f t="shared" si="236"/>
        <v>154752</v>
      </c>
      <c r="T1677" s="738">
        <v>77.150000000000006</v>
      </c>
      <c r="U1677" s="677">
        <f t="shared" si="237"/>
        <v>114799.20000000001</v>
      </c>
      <c r="V1677" s="739">
        <f t="shared" si="238"/>
        <v>39952.799999999988</v>
      </c>
      <c r="W1677" s="740">
        <v>59.54033706800562</v>
      </c>
      <c r="X1677" s="678">
        <f t="shared" si="239"/>
        <v>88596.021557192362</v>
      </c>
      <c r="Y1677" s="700">
        <f t="shared" si="240"/>
        <v>66155.978442807638</v>
      </c>
      <c r="Z1677" s="740">
        <v>94.759662931994384</v>
      </c>
      <c r="AA1677" s="678">
        <f t="shared" si="241"/>
        <v>141002.37844280765</v>
      </c>
      <c r="AB1677" s="741">
        <f t="shared" si="242"/>
        <v>13749.621557192353</v>
      </c>
      <c r="AC1677" s="714"/>
    </row>
    <row r="1678" spans="1:29" x14ac:dyDescent="0.25">
      <c r="A1678" s="713"/>
      <c r="B1678" s="714" t="s">
        <v>2527</v>
      </c>
      <c r="C1678" s="676" t="s">
        <v>40</v>
      </c>
      <c r="D1678" s="676" t="s">
        <v>1917</v>
      </c>
      <c r="E1678" s="680">
        <v>45170</v>
      </c>
      <c r="F1678" s="676">
        <v>720</v>
      </c>
      <c r="G1678" s="676" t="s">
        <v>59</v>
      </c>
      <c r="H1678" s="676" t="s">
        <v>3</v>
      </c>
      <c r="I1678" s="676" t="s">
        <v>44</v>
      </c>
      <c r="J1678" s="676" t="s">
        <v>85</v>
      </c>
      <c r="K1678" s="676">
        <v>104</v>
      </c>
      <c r="L1678" s="690" t="s">
        <v>54</v>
      </c>
      <c r="M1678" s="691">
        <v>0</v>
      </c>
      <c r="N1678" s="690">
        <v>2</v>
      </c>
      <c r="O1678" s="691">
        <v>0</v>
      </c>
      <c r="P1678" s="690">
        <v>104</v>
      </c>
      <c r="Q1678" s="738">
        <f t="shared" si="234"/>
        <v>0</v>
      </c>
      <c r="R1678" s="677">
        <f t="shared" si="235"/>
        <v>149760</v>
      </c>
      <c r="S1678" s="739">
        <f t="shared" si="236"/>
        <v>149760</v>
      </c>
      <c r="T1678" s="738">
        <v>77.150000000000006</v>
      </c>
      <c r="U1678" s="677">
        <f t="shared" si="237"/>
        <v>111096.00000000001</v>
      </c>
      <c r="V1678" s="739">
        <f t="shared" si="238"/>
        <v>38663.999999999985</v>
      </c>
      <c r="W1678" s="740">
        <v>59.54033706800562</v>
      </c>
      <c r="X1678" s="678">
        <f t="shared" si="239"/>
        <v>85738.085377928088</v>
      </c>
      <c r="Y1678" s="700">
        <f t="shared" si="240"/>
        <v>64021.914622071912</v>
      </c>
      <c r="Z1678" s="740">
        <v>94.759662931994384</v>
      </c>
      <c r="AA1678" s="678">
        <f t="shared" si="241"/>
        <v>136453.91462207193</v>
      </c>
      <c r="AB1678" s="741">
        <f t="shared" si="242"/>
        <v>13306.085377928073</v>
      </c>
      <c r="AC1678" s="714"/>
    </row>
    <row r="1679" spans="1:29" x14ac:dyDescent="0.25">
      <c r="A1679" s="713"/>
      <c r="B1679" s="714" t="s">
        <v>2527</v>
      </c>
      <c r="C1679" s="676" t="s">
        <v>40</v>
      </c>
      <c r="D1679" s="676" t="s">
        <v>1917</v>
      </c>
      <c r="E1679" s="680">
        <v>45200</v>
      </c>
      <c r="F1679" s="676">
        <v>744</v>
      </c>
      <c r="G1679" s="676" t="s">
        <v>59</v>
      </c>
      <c r="H1679" s="676" t="s">
        <v>3</v>
      </c>
      <c r="I1679" s="676" t="s">
        <v>44</v>
      </c>
      <c r="J1679" s="676" t="s">
        <v>85</v>
      </c>
      <c r="K1679" s="676">
        <v>104</v>
      </c>
      <c r="L1679" s="690" t="s">
        <v>54</v>
      </c>
      <c r="M1679" s="691">
        <v>0</v>
      </c>
      <c r="N1679" s="690">
        <v>2</v>
      </c>
      <c r="O1679" s="691">
        <v>0</v>
      </c>
      <c r="P1679" s="690">
        <v>104</v>
      </c>
      <c r="Q1679" s="738">
        <f t="shared" si="234"/>
        <v>0</v>
      </c>
      <c r="R1679" s="677">
        <f t="shared" si="235"/>
        <v>154752</v>
      </c>
      <c r="S1679" s="739">
        <f t="shared" si="236"/>
        <v>154752</v>
      </c>
      <c r="T1679" s="738">
        <v>80.45</v>
      </c>
      <c r="U1679" s="677">
        <f t="shared" si="237"/>
        <v>119709.6</v>
      </c>
      <c r="V1679" s="739">
        <f t="shared" si="238"/>
        <v>35042.399999999994</v>
      </c>
      <c r="W1679" s="740">
        <v>62.087104564109552</v>
      </c>
      <c r="X1679" s="678">
        <f t="shared" si="239"/>
        <v>92385.61159139502</v>
      </c>
      <c r="Y1679" s="700">
        <f t="shared" si="240"/>
        <v>62366.38840860498</v>
      </c>
      <c r="Z1679" s="740">
        <v>98.812895435890439</v>
      </c>
      <c r="AA1679" s="678">
        <f t="shared" si="241"/>
        <v>147033.58840860496</v>
      </c>
      <c r="AB1679" s="741">
        <f t="shared" si="242"/>
        <v>7718.4115913950372</v>
      </c>
      <c r="AC1679" s="714"/>
    </row>
    <row r="1680" spans="1:29" x14ac:dyDescent="0.25">
      <c r="A1680" s="713"/>
      <c r="B1680" s="714" t="s">
        <v>2527</v>
      </c>
      <c r="C1680" s="676" t="s">
        <v>40</v>
      </c>
      <c r="D1680" s="676" t="s">
        <v>1917</v>
      </c>
      <c r="E1680" s="680">
        <v>45231</v>
      </c>
      <c r="F1680" s="676">
        <v>720</v>
      </c>
      <c r="G1680" s="676" t="s">
        <v>59</v>
      </c>
      <c r="H1680" s="676" t="s">
        <v>3</v>
      </c>
      <c r="I1680" s="676" t="s">
        <v>44</v>
      </c>
      <c r="J1680" s="676" t="s">
        <v>85</v>
      </c>
      <c r="K1680" s="676">
        <v>104</v>
      </c>
      <c r="L1680" s="690" t="s">
        <v>54</v>
      </c>
      <c r="M1680" s="691">
        <v>0</v>
      </c>
      <c r="N1680" s="690">
        <v>2</v>
      </c>
      <c r="O1680" s="691">
        <v>0</v>
      </c>
      <c r="P1680" s="690">
        <v>104</v>
      </c>
      <c r="Q1680" s="738">
        <f t="shared" si="234"/>
        <v>0</v>
      </c>
      <c r="R1680" s="677">
        <f t="shared" si="235"/>
        <v>149760</v>
      </c>
      <c r="S1680" s="739">
        <f t="shared" si="236"/>
        <v>149760</v>
      </c>
      <c r="T1680" s="738">
        <v>80.45</v>
      </c>
      <c r="U1680" s="677">
        <f t="shared" si="237"/>
        <v>115848</v>
      </c>
      <c r="V1680" s="739">
        <f t="shared" si="238"/>
        <v>33912</v>
      </c>
      <c r="W1680" s="740">
        <v>62.087104564109552</v>
      </c>
      <c r="X1680" s="678">
        <f t="shared" si="239"/>
        <v>89405.430572317753</v>
      </c>
      <c r="Y1680" s="700">
        <f t="shared" si="240"/>
        <v>60354.569427682247</v>
      </c>
      <c r="Z1680" s="740">
        <v>98.812895435890439</v>
      </c>
      <c r="AA1680" s="678">
        <f t="shared" si="241"/>
        <v>142290.56942768223</v>
      </c>
      <c r="AB1680" s="741">
        <f t="shared" si="242"/>
        <v>7469.4305723177677</v>
      </c>
      <c r="AC1680" s="714"/>
    </row>
    <row r="1681" spans="1:29" x14ac:dyDescent="0.25">
      <c r="A1681" s="713"/>
      <c r="B1681" s="729" t="s">
        <v>2527</v>
      </c>
      <c r="C1681" s="545" t="s">
        <v>40</v>
      </c>
      <c r="D1681" s="545" t="s">
        <v>1917</v>
      </c>
      <c r="E1681" s="681">
        <v>45261</v>
      </c>
      <c r="F1681" s="545">
        <v>744</v>
      </c>
      <c r="G1681" s="545" t="s">
        <v>59</v>
      </c>
      <c r="H1681" s="545" t="s">
        <v>3</v>
      </c>
      <c r="I1681" s="545" t="s">
        <v>44</v>
      </c>
      <c r="J1681" s="545" t="s">
        <v>85</v>
      </c>
      <c r="K1681" s="545">
        <v>104</v>
      </c>
      <c r="L1681" s="725" t="s">
        <v>54</v>
      </c>
      <c r="M1681" s="695">
        <v>0</v>
      </c>
      <c r="N1681" s="725">
        <v>2</v>
      </c>
      <c r="O1681" s="695">
        <v>0</v>
      </c>
      <c r="P1681" s="725">
        <v>104</v>
      </c>
      <c r="Q1681" s="742">
        <f t="shared" si="234"/>
        <v>0</v>
      </c>
      <c r="R1681" s="603">
        <f t="shared" si="235"/>
        <v>154752</v>
      </c>
      <c r="S1681" s="743">
        <f t="shared" si="236"/>
        <v>154752</v>
      </c>
      <c r="T1681" s="742">
        <v>80.45</v>
      </c>
      <c r="U1681" s="603">
        <f t="shared" si="237"/>
        <v>119709.6</v>
      </c>
      <c r="V1681" s="743">
        <f t="shared" si="238"/>
        <v>35042.399999999994</v>
      </c>
      <c r="W1681" s="744">
        <v>62.087104564109552</v>
      </c>
      <c r="X1681" s="604">
        <f t="shared" si="239"/>
        <v>92385.61159139502</v>
      </c>
      <c r="Y1681" s="701">
        <f t="shared" si="240"/>
        <v>62366.38840860498</v>
      </c>
      <c r="Z1681" s="744">
        <v>98.812895435890439</v>
      </c>
      <c r="AA1681" s="604">
        <f t="shared" si="241"/>
        <v>147033.58840860496</v>
      </c>
      <c r="AB1681" s="745">
        <f t="shared" si="242"/>
        <v>7718.4115913950372</v>
      </c>
      <c r="AC1681" s="714"/>
    </row>
    <row r="1682" spans="1:29" x14ac:dyDescent="0.25">
      <c r="A1682" s="713"/>
      <c r="B1682" s="730" t="s">
        <v>2528</v>
      </c>
      <c r="C1682" s="546" t="s">
        <v>40</v>
      </c>
      <c r="D1682" s="546" t="s">
        <v>2498</v>
      </c>
      <c r="E1682" s="682">
        <v>44927</v>
      </c>
      <c r="F1682" s="546">
        <v>744</v>
      </c>
      <c r="G1682" s="546" t="s">
        <v>58</v>
      </c>
      <c r="H1682" s="546" t="s">
        <v>3</v>
      </c>
      <c r="I1682" s="546" t="s">
        <v>44</v>
      </c>
      <c r="J1682" s="546" t="s">
        <v>84</v>
      </c>
      <c r="K1682" s="546">
        <v>64.5</v>
      </c>
      <c r="L1682" s="726" t="s">
        <v>54</v>
      </c>
      <c r="M1682" s="696">
        <v>7</v>
      </c>
      <c r="N1682" s="726">
        <v>0</v>
      </c>
      <c r="O1682" s="696">
        <v>64.5</v>
      </c>
      <c r="P1682" s="726">
        <v>0</v>
      </c>
      <c r="Q1682" s="746">
        <f t="shared" si="234"/>
        <v>335916</v>
      </c>
      <c r="R1682" s="606">
        <f t="shared" si="235"/>
        <v>0</v>
      </c>
      <c r="S1682" s="747">
        <f t="shared" si="236"/>
        <v>-335916</v>
      </c>
      <c r="T1682" s="746">
        <v>68.72</v>
      </c>
      <c r="U1682" s="606">
        <f t="shared" si="237"/>
        <v>-357893.76</v>
      </c>
      <c r="V1682" s="747">
        <f t="shared" si="238"/>
        <v>21977.760000000009</v>
      </c>
      <c r="W1682" s="748">
        <v>55.7</v>
      </c>
      <c r="X1682" s="607">
        <f t="shared" si="239"/>
        <v>-290085.60000000003</v>
      </c>
      <c r="Y1682" s="702">
        <f t="shared" si="240"/>
        <v>-45830.399999999965</v>
      </c>
      <c r="Z1682" s="748">
        <v>96.206580759134184</v>
      </c>
      <c r="AA1682" s="607">
        <f t="shared" si="241"/>
        <v>-501043.87259357085</v>
      </c>
      <c r="AB1682" s="749">
        <f t="shared" si="242"/>
        <v>165127.87259357085</v>
      </c>
      <c r="AC1682" s="714"/>
    </row>
    <row r="1683" spans="1:29" x14ac:dyDescent="0.25">
      <c r="A1683" s="713"/>
      <c r="B1683" s="714" t="s">
        <v>2528</v>
      </c>
      <c r="C1683" s="676" t="s">
        <v>40</v>
      </c>
      <c r="D1683" s="676" t="s">
        <v>2498</v>
      </c>
      <c r="E1683" s="680">
        <v>44958</v>
      </c>
      <c r="F1683" s="676">
        <v>672</v>
      </c>
      <c r="G1683" s="676" t="s">
        <v>58</v>
      </c>
      <c r="H1683" s="676" t="s">
        <v>3</v>
      </c>
      <c r="I1683" s="676" t="s">
        <v>44</v>
      </c>
      <c r="J1683" s="676" t="s">
        <v>84</v>
      </c>
      <c r="K1683" s="676">
        <v>64.5</v>
      </c>
      <c r="L1683" s="690" t="s">
        <v>54</v>
      </c>
      <c r="M1683" s="691">
        <v>7</v>
      </c>
      <c r="N1683" s="690">
        <v>0</v>
      </c>
      <c r="O1683" s="691">
        <v>64.5</v>
      </c>
      <c r="P1683" s="690">
        <v>0</v>
      </c>
      <c r="Q1683" s="738">
        <f t="shared" si="234"/>
        <v>303408</v>
      </c>
      <c r="R1683" s="677">
        <f t="shared" si="235"/>
        <v>0</v>
      </c>
      <c r="S1683" s="739">
        <f t="shared" si="236"/>
        <v>-303408</v>
      </c>
      <c r="T1683" s="738">
        <v>69.25</v>
      </c>
      <c r="U1683" s="677">
        <f t="shared" si="237"/>
        <v>-325752</v>
      </c>
      <c r="V1683" s="739">
        <f t="shared" si="238"/>
        <v>22344</v>
      </c>
      <c r="W1683" s="740">
        <v>55.7</v>
      </c>
      <c r="X1683" s="678">
        <f t="shared" si="239"/>
        <v>-262012.80000000002</v>
      </c>
      <c r="Y1683" s="700">
        <f t="shared" si="240"/>
        <v>-41395.199999999983</v>
      </c>
      <c r="Z1683" s="740">
        <v>92.430648861364247</v>
      </c>
      <c r="AA1683" s="678">
        <f t="shared" si="241"/>
        <v>-434793.77224385744</v>
      </c>
      <c r="AB1683" s="741">
        <f t="shared" si="242"/>
        <v>131385.77224385744</v>
      </c>
      <c r="AC1683" s="714"/>
    </row>
    <row r="1684" spans="1:29" x14ac:dyDescent="0.25">
      <c r="A1684" s="713"/>
      <c r="B1684" s="729" t="s">
        <v>2528</v>
      </c>
      <c r="C1684" s="545" t="s">
        <v>40</v>
      </c>
      <c r="D1684" s="545" t="s">
        <v>2498</v>
      </c>
      <c r="E1684" s="681">
        <v>44986</v>
      </c>
      <c r="F1684" s="545">
        <v>744</v>
      </c>
      <c r="G1684" s="545" t="s">
        <v>58</v>
      </c>
      <c r="H1684" s="545" t="s">
        <v>3</v>
      </c>
      <c r="I1684" s="545" t="s">
        <v>44</v>
      </c>
      <c r="J1684" s="545" t="s">
        <v>84</v>
      </c>
      <c r="K1684" s="545">
        <v>64.5</v>
      </c>
      <c r="L1684" s="725" t="s">
        <v>54</v>
      </c>
      <c r="M1684" s="695">
        <v>7</v>
      </c>
      <c r="N1684" s="725">
        <v>0</v>
      </c>
      <c r="O1684" s="695">
        <v>64.5</v>
      </c>
      <c r="P1684" s="725">
        <v>0</v>
      </c>
      <c r="Q1684" s="742">
        <f t="shared" si="234"/>
        <v>335916</v>
      </c>
      <c r="R1684" s="603">
        <f t="shared" si="235"/>
        <v>0</v>
      </c>
      <c r="S1684" s="743">
        <f t="shared" si="236"/>
        <v>-335916</v>
      </c>
      <c r="T1684" s="742">
        <v>69.3</v>
      </c>
      <c r="U1684" s="603">
        <f t="shared" si="237"/>
        <v>-360914.39999999997</v>
      </c>
      <c r="V1684" s="743">
        <f t="shared" si="238"/>
        <v>24998.399999999965</v>
      </c>
      <c r="W1684" s="744">
        <v>55.7</v>
      </c>
      <c r="X1684" s="604">
        <f t="shared" si="239"/>
        <v>-290085.60000000003</v>
      </c>
      <c r="Y1684" s="701">
        <f t="shared" si="240"/>
        <v>-45830.399999999965</v>
      </c>
      <c r="Z1684" s="744">
        <v>89.053218420260009</v>
      </c>
      <c r="AA1684" s="604">
        <f t="shared" si="241"/>
        <v>-463789.16153271415</v>
      </c>
      <c r="AB1684" s="745">
        <f t="shared" si="242"/>
        <v>127873.16153271415</v>
      </c>
      <c r="AC1684" s="714"/>
    </row>
    <row r="1685" spans="1:29" x14ac:dyDescent="0.25">
      <c r="A1685" s="713"/>
      <c r="B1685" s="730" t="s">
        <v>2529</v>
      </c>
      <c r="C1685" s="546" t="s">
        <v>40</v>
      </c>
      <c r="D1685" s="546" t="s">
        <v>2498</v>
      </c>
      <c r="E1685" s="682">
        <v>45017</v>
      </c>
      <c r="F1685" s="546">
        <v>720</v>
      </c>
      <c r="G1685" s="546" t="s">
        <v>59</v>
      </c>
      <c r="H1685" s="546" t="s">
        <v>3</v>
      </c>
      <c r="I1685" s="546" t="s">
        <v>44</v>
      </c>
      <c r="J1685" s="546" t="s">
        <v>85</v>
      </c>
      <c r="K1685" s="546">
        <v>70</v>
      </c>
      <c r="L1685" s="726" t="s">
        <v>54</v>
      </c>
      <c r="M1685" s="696">
        <v>0</v>
      </c>
      <c r="N1685" s="726">
        <v>7</v>
      </c>
      <c r="O1685" s="696">
        <v>0</v>
      </c>
      <c r="P1685" s="726">
        <v>70</v>
      </c>
      <c r="Q1685" s="746">
        <f t="shared" si="234"/>
        <v>0</v>
      </c>
      <c r="R1685" s="606">
        <f t="shared" si="235"/>
        <v>352800</v>
      </c>
      <c r="S1685" s="747">
        <f t="shared" si="236"/>
        <v>352800</v>
      </c>
      <c r="T1685" s="746">
        <v>69.8</v>
      </c>
      <c r="U1685" s="606">
        <f t="shared" si="237"/>
        <v>351792</v>
      </c>
      <c r="V1685" s="747">
        <f t="shared" si="238"/>
        <v>1008</v>
      </c>
      <c r="W1685" s="748">
        <v>55.7</v>
      </c>
      <c r="X1685" s="607">
        <f t="shared" si="239"/>
        <v>280728</v>
      </c>
      <c r="Y1685" s="702">
        <f t="shared" si="240"/>
        <v>72072</v>
      </c>
      <c r="Z1685" s="748">
        <v>85.732008718771311</v>
      </c>
      <c r="AA1685" s="607">
        <f t="shared" si="241"/>
        <v>432089.32394260739</v>
      </c>
      <c r="AB1685" s="749">
        <f t="shared" si="242"/>
        <v>-79289.323942607385</v>
      </c>
      <c r="AC1685" s="714"/>
    </row>
    <row r="1686" spans="1:29" x14ac:dyDescent="0.25">
      <c r="A1686" s="713"/>
      <c r="B1686" s="714" t="s">
        <v>2529</v>
      </c>
      <c r="C1686" s="676" t="s">
        <v>40</v>
      </c>
      <c r="D1686" s="676" t="s">
        <v>2498</v>
      </c>
      <c r="E1686" s="680">
        <v>45047</v>
      </c>
      <c r="F1686" s="676">
        <v>744</v>
      </c>
      <c r="G1686" s="676" t="s">
        <v>59</v>
      </c>
      <c r="H1686" s="676" t="s">
        <v>3</v>
      </c>
      <c r="I1686" s="676" t="s">
        <v>44</v>
      </c>
      <c r="J1686" s="676" t="s">
        <v>85</v>
      </c>
      <c r="K1686" s="676">
        <v>70</v>
      </c>
      <c r="L1686" s="690" t="s">
        <v>54</v>
      </c>
      <c r="M1686" s="691">
        <v>0</v>
      </c>
      <c r="N1686" s="690">
        <v>7</v>
      </c>
      <c r="O1686" s="691">
        <v>0</v>
      </c>
      <c r="P1686" s="690">
        <v>70</v>
      </c>
      <c r="Q1686" s="738">
        <f t="shared" si="234"/>
        <v>0</v>
      </c>
      <c r="R1686" s="677">
        <f t="shared" si="235"/>
        <v>364560</v>
      </c>
      <c r="S1686" s="739">
        <f t="shared" si="236"/>
        <v>364560</v>
      </c>
      <c r="T1686" s="738">
        <v>70.2</v>
      </c>
      <c r="U1686" s="677">
        <f t="shared" si="237"/>
        <v>365601.60000000003</v>
      </c>
      <c r="V1686" s="739">
        <f t="shared" si="238"/>
        <v>-1041.6000000000349</v>
      </c>
      <c r="W1686" s="740">
        <v>55.7</v>
      </c>
      <c r="X1686" s="678">
        <f t="shared" si="239"/>
        <v>290085.60000000003</v>
      </c>
      <c r="Y1686" s="700">
        <f t="shared" si="240"/>
        <v>74474.399999999965</v>
      </c>
      <c r="Z1686" s="740">
        <v>86.223309628334476</v>
      </c>
      <c r="AA1686" s="678">
        <f t="shared" si="241"/>
        <v>449050.99654436595</v>
      </c>
      <c r="AB1686" s="741">
        <f t="shared" si="242"/>
        <v>-84490.996544365946</v>
      </c>
      <c r="AC1686" s="714"/>
    </row>
    <row r="1687" spans="1:29" x14ac:dyDescent="0.25">
      <c r="A1687" s="713"/>
      <c r="B1687" s="729" t="s">
        <v>2529</v>
      </c>
      <c r="C1687" s="545" t="s">
        <v>40</v>
      </c>
      <c r="D1687" s="545" t="s">
        <v>2498</v>
      </c>
      <c r="E1687" s="681">
        <v>45078</v>
      </c>
      <c r="F1687" s="545">
        <v>720</v>
      </c>
      <c r="G1687" s="545" t="s">
        <v>59</v>
      </c>
      <c r="H1687" s="545" t="s">
        <v>3</v>
      </c>
      <c r="I1687" s="545" t="s">
        <v>44</v>
      </c>
      <c r="J1687" s="545" t="s">
        <v>85</v>
      </c>
      <c r="K1687" s="545">
        <v>70</v>
      </c>
      <c r="L1687" s="725" t="s">
        <v>54</v>
      </c>
      <c r="M1687" s="695">
        <v>0</v>
      </c>
      <c r="N1687" s="725">
        <v>7</v>
      </c>
      <c r="O1687" s="695">
        <v>0</v>
      </c>
      <c r="P1687" s="725">
        <v>70</v>
      </c>
      <c r="Q1687" s="742">
        <f t="shared" si="234"/>
        <v>0</v>
      </c>
      <c r="R1687" s="603">
        <f t="shared" si="235"/>
        <v>352800</v>
      </c>
      <c r="S1687" s="743">
        <f t="shared" si="236"/>
        <v>352800</v>
      </c>
      <c r="T1687" s="742">
        <v>72.400000000000006</v>
      </c>
      <c r="U1687" s="603">
        <f t="shared" si="237"/>
        <v>364896</v>
      </c>
      <c r="V1687" s="743">
        <f t="shared" si="238"/>
        <v>-12096</v>
      </c>
      <c r="W1687" s="744">
        <v>55.874535369068141</v>
      </c>
      <c r="X1687" s="604">
        <f t="shared" si="239"/>
        <v>281607.65826010343</v>
      </c>
      <c r="Y1687" s="701">
        <f t="shared" si="240"/>
        <v>71192.341739896568</v>
      </c>
      <c r="Z1687" s="744">
        <v>88.925464630931856</v>
      </c>
      <c r="AA1687" s="604">
        <f t="shared" si="241"/>
        <v>448184.34173989657</v>
      </c>
      <c r="AB1687" s="745">
        <f t="shared" si="242"/>
        <v>-95384.341739896568</v>
      </c>
      <c r="AC1687" s="714"/>
    </row>
    <row r="1688" spans="1:29" x14ac:dyDescent="0.25">
      <c r="A1688" s="713"/>
      <c r="B1688" s="730" t="s">
        <v>2530</v>
      </c>
      <c r="C1688" s="546" t="s">
        <v>40</v>
      </c>
      <c r="D1688" s="546" t="s">
        <v>1854</v>
      </c>
      <c r="E1688" s="682">
        <v>45017</v>
      </c>
      <c r="F1688" s="546">
        <v>720</v>
      </c>
      <c r="G1688" s="546" t="s">
        <v>59</v>
      </c>
      <c r="H1688" s="546" t="s">
        <v>3</v>
      </c>
      <c r="I1688" s="546" t="s">
        <v>44</v>
      </c>
      <c r="J1688" s="546" t="s">
        <v>85</v>
      </c>
      <c r="K1688" s="546">
        <v>69</v>
      </c>
      <c r="L1688" s="726" t="s">
        <v>54</v>
      </c>
      <c r="M1688" s="696">
        <v>0</v>
      </c>
      <c r="N1688" s="726">
        <v>2</v>
      </c>
      <c r="O1688" s="696">
        <v>0</v>
      </c>
      <c r="P1688" s="726">
        <v>69</v>
      </c>
      <c r="Q1688" s="746">
        <f t="shared" si="234"/>
        <v>0</v>
      </c>
      <c r="R1688" s="606">
        <f t="shared" si="235"/>
        <v>99360</v>
      </c>
      <c r="S1688" s="747">
        <f t="shared" si="236"/>
        <v>99360</v>
      </c>
      <c r="T1688" s="746">
        <v>69.8</v>
      </c>
      <c r="U1688" s="606">
        <f t="shared" si="237"/>
        <v>100512</v>
      </c>
      <c r="V1688" s="747">
        <f t="shared" si="238"/>
        <v>-1152</v>
      </c>
      <c r="W1688" s="748">
        <v>55.7</v>
      </c>
      <c r="X1688" s="607">
        <f t="shared" si="239"/>
        <v>80208</v>
      </c>
      <c r="Y1688" s="702">
        <f t="shared" si="240"/>
        <v>19152</v>
      </c>
      <c r="Z1688" s="748">
        <v>85.732008718771311</v>
      </c>
      <c r="AA1688" s="607">
        <f t="shared" si="241"/>
        <v>123454.09255503069</v>
      </c>
      <c r="AB1688" s="749">
        <f t="shared" si="242"/>
        <v>-24094.092555030686</v>
      </c>
      <c r="AC1688" s="714"/>
    </row>
    <row r="1689" spans="1:29" x14ac:dyDescent="0.25">
      <c r="A1689" s="713"/>
      <c r="B1689" s="714" t="s">
        <v>2530</v>
      </c>
      <c r="C1689" s="676" t="s">
        <v>40</v>
      </c>
      <c r="D1689" s="676" t="s">
        <v>1854</v>
      </c>
      <c r="E1689" s="680">
        <v>45047</v>
      </c>
      <c r="F1689" s="676">
        <v>744</v>
      </c>
      <c r="G1689" s="676" t="s">
        <v>59</v>
      </c>
      <c r="H1689" s="676" t="s">
        <v>3</v>
      </c>
      <c r="I1689" s="676" t="s">
        <v>44</v>
      </c>
      <c r="J1689" s="676" t="s">
        <v>85</v>
      </c>
      <c r="K1689" s="676">
        <v>69</v>
      </c>
      <c r="L1689" s="690" t="s">
        <v>54</v>
      </c>
      <c r="M1689" s="691">
        <v>0</v>
      </c>
      <c r="N1689" s="690">
        <v>2</v>
      </c>
      <c r="O1689" s="691">
        <v>0</v>
      </c>
      <c r="P1689" s="690">
        <v>69</v>
      </c>
      <c r="Q1689" s="738">
        <f t="shared" si="234"/>
        <v>0</v>
      </c>
      <c r="R1689" s="677">
        <f t="shared" si="235"/>
        <v>102672</v>
      </c>
      <c r="S1689" s="739">
        <f t="shared" si="236"/>
        <v>102672</v>
      </c>
      <c r="T1689" s="738">
        <v>70.2</v>
      </c>
      <c r="U1689" s="677">
        <f t="shared" si="237"/>
        <v>104457.60000000001</v>
      </c>
      <c r="V1689" s="739">
        <f t="shared" si="238"/>
        <v>-1785.6000000000058</v>
      </c>
      <c r="W1689" s="740">
        <v>55.7</v>
      </c>
      <c r="X1689" s="678">
        <f t="shared" si="239"/>
        <v>82881.600000000006</v>
      </c>
      <c r="Y1689" s="700">
        <f t="shared" si="240"/>
        <v>19790.399999999994</v>
      </c>
      <c r="Z1689" s="740">
        <v>86.223309628334476</v>
      </c>
      <c r="AA1689" s="678">
        <f t="shared" si="241"/>
        <v>128300.28472696171</v>
      </c>
      <c r="AB1689" s="741">
        <f t="shared" si="242"/>
        <v>-25628.284726961705</v>
      </c>
      <c r="AC1689" s="714"/>
    </row>
    <row r="1690" spans="1:29" x14ac:dyDescent="0.25">
      <c r="A1690" s="713"/>
      <c r="B1690" s="729" t="s">
        <v>2530</v>
      </c>
      <c r="C1690" s="545" t="s">
        <v>40</v>
      </c>
      <c r="D1690" s="545" t="s">
        <v>1854</v>
      </c>
      <c r="E1690" s="681">
        <v>45078</v>
      </c>
      <c r="F1690" s="545">
        <v>720</v>
      </c>
      <c r="G1690" s="545" t="s">
        <v>59</v>
      </c>
      <c r="H1690" s="545" t="s">
        <v>3</v>
      </c>
      <c r="I1690" s="545" t="s">
        <v>44</v>
      </c>
      <c r="J1690" s="545" t="s">
        <v>85</v>
      </c>
      <c r="K1690" s="545">
        <v>69</v>
      </c>
      <c r="L1690" s="725" t="s">
        <v>54</v>
      </c>
      <c r="M1690" s="695">
        <v>0</v>
      </c>
      <c r="N1690" s="725">
        <v>2</v>
      </c>
      <c r="O1690" s="695">
        <v>0</v>
      </c>
      <c r="P1690" s="725">
        <v>69</v>
      </c>
      <c r="Q1690" s="742">
        <f t="shared" si="234"/>
        <v>0</v>
      </c>
      <c r="R1690" s="603">
        <f t="shared" si="235"/>
        <v>99360</v>
      </c>
      <c r="S1690" s="743">
        <f t="shared" si="236"/>
        <v>99360</v>
      </c>
      <c r="T1690" s="742">
        <v>72.400000000000006</v>
      </c>
      <c r="U1690" s="603">
        <f t="shared" si="237"/>
        <v>104256.00000000001</v>
      </c>
      <c r="V1690" s="743">
        <f t="shared" si="238"/>
        <v>-4896.0000000000146</v>
      </c>
      <c r="W1690" s="744">
        <v>55.874535369068141</v>
      </c>
      <c r="X1690" s="604">
        <f t="shared" si="239"/>
        <v>80459.330931458127</v>
      </c>
      <c r="Y1690" s="701">
        <f t="shared" si="240"/>
        <v>18900.669068541873</v>
      </c>
      <c r="Z1690" s="744">
        <v>88.925464630931856</v>
      </c>
      <c r="AA1690" s="604">
        <f t="shared" si="241"/>
        <v>128052.66906854187</v>
      </c>
      <c r="AB1690" s="745">
        <f t="shared" si="242"/>
        <v>-28692.669068541873</v>
      </c>
      <c r="AC1690" s="714"/>
    </row>
    <row r="1691" spans="1:29" x14ac:dyDescent="0.25">
      <c r="A1691" s="713"/>
      <c r="B1691" s="731" t="s">
        <v>2533</v>
      </c>
      <c r="C1691" s="547" t="s">
        <v>40</v>
      </c>
      <c r="D1691" s="547" t="s">
        <v>465</v>
      </c>
      <c r="E1691" s="683">
        <v>45017</v>
      </c>
      <c r="F1691" s="547">
        <v>720</v>
      </c>
      <c r="G1691" s="547" t="s">
        <v>59</v>
      </c>
      <c r="H1691" s="547" t="s">
        <v>3</v>
      </c>
      <c r="I1691" s="547" t="s">
        <v>44</v>
      </c>
      <c r="J1691" s="547" t="s">
        <v>85</v>
      </c>
      <c r="K1691" s="547">
        <v>66</v>
      </c>
      <c r="L1691" s="727" t="s">
        <v>54</v>
      </c>
      <c r="M1691" s="697">
        <v>0</v>
      </c>
      <c r="N1691" s="727">
        <v>2</v>
      </c>
      <c r="O1691" s="697">
        <v>0</v>
      </c>
      <c r="P1691" s="727">
        <v>66</v>
      </c>
      <c r="Q1691" s="750">
        <f t="shared" si="234"/>
        <v>0</v>
      </c>
      <c r="R1691" s="608">
        <f t="shared" si="235"/>
        <v>95040</v>
      </c>
      <c r="S1691" s="751">
        <f t="shared" si="236"/>
        <v>95040</v>
      </c>
      <c r="T1691" s="750">
        <v>69.8</v>
      </c>
      <c r="U1691" s="608">
        <f t="shared" si="237"/>
        <v>100512</v>
      </c>
      <c r="V1691" s="751">
        <f t="shared" si="238"/>
        <v>-5472</v>
      </c>
      <c r="W1691" s="752">
        <v>55.7</v>
      </c>
      <c r="X1691" s="609">
        <f t="shared" si="239"/>
        <v>80208</v>
      </c>
      <c r="Y1691" s="703">
        <f t="shared" si="240"/>
        <v>14832</v>
      </c>
      <c r="Z1691" s="752">
        <v>85.732008718771311</v>
      </c>
      <c r="AA1691" s="609">
        <f t="shared" si="241"/>
        <v>123454.09255503069</v>
      </c>
      <c r="AB1691" s="753">
        <f t="shared" si="242"/>
        <v>-28414.092555030686</v>
      </c>
      <c r="AC1691" s="714"/>
    </row>
    <row r="1692" spans="1:29" x14ac:dyDescent="0.25">
      <c r="A1692" s="713"/>
      <c r="B1692" s="731" t="s">
        <v>2534</v>
      </c>
      <c r="C1692" s="547" t="s">
        <v>40</v>
      </c>
      <c r="D1692" s="547" t="s">
        <v>346</v>
      </c>
      <c r="E1692" s="683">
        <v>45047</v>
      </c>
      <c r="F1692" s="547">
        <v>744</v>
      </c>
      <c r="G1692" s="547" t="s">
        <v>59</v>
      </c>
      <c r="H1692" s="547" t="s">
        <v>3</v>
      </c>
      <c r="I1692" s="547" t="s">
        <v>44</v>
      </c>
      <c r="J1692" s="547" t="s">
        <v>85</v>
      </c>
      <c r="K1692" s="547">
        <v>66</v>
      </c>
      <c r="L1692" s="727" t="s">
        <v>54</v>
      </c>
      <c r="M1692" s="697">
        <v>0</v>
      </c>
      <c r="N1692" s="727">
        <v>1</v>
      </c>
      <c r="O1692" s="697">
        <v>0</v>
      </c>
      <c r="P1692" s="727">
        <v>66</v>
      </c>
      <c r="Q1692" s="750">
        <f t="shared" si="234"/>
        <v>0</v>
      </c>
      <c r="R1692" s="608">
        <f t="shared" si="235"/>
        <v>49104</v>
      </c>
      <c r="S1692" s="751">
        <f t="shared" si="236"/>
        <v>49104</v>
      </c>
      <c r="T1692" s="750">
        <v>70.2</v>
      </c>
      <c r="U1692" s="608">
        <f t="shared" si="237"/>
        <v>52228.800000000003</v>
      </c>
      <c r="V1692" s="751">
        <f t="shared" si="238"/>
        <v>-3124.8000000000029</v>
      </c>
      <c r="W1692" s="752">
        <v>55.7</v>
      </c>
      <c r="X1692" s="609">
        <f t="shared" si="239"/>
        <v>41440.800000000003</v>
      </c>
      <c r="Y1692" s="703">
        <f t="shared" si="240"/>
        <v>7663.1999999999971</v>
      </c>
      <c r="Z1692" s="752">
        <v>86.223309628334476</v>
      </c>
      <c r="AA1692" s="609">
        <f t="shared" si="241"/>
        <v>64150.142363480853</v>
      </c>
      <c r="AB1692" s="753">
        <f t="shared" si="242"/>
        <v>-15046.142363480853</v>
      </c>
      <c r="AC1692" s="714"/>
    </row>
    <row r="1693" spans="1:29" x14ac:dyDescent="0.25">
      <c r="A1693" s="713"/>
      <c r="B1693" s="731" t="s">
        <v>2535</v>
      </c>
      <c r="C1693" s="547" t="s">
        <v>40</v>
      </c>
      <c r="D1693" s="547" t="s">
        <v>346</v>
      </c>
      <c r="E1693" s="683">
        <v>45108</v>
      </c>
      <c r="F1693" s="547">
        <v>744</v>
      </c>
      <c r="G1693" s="547" t="s">
        <v>59</v>
      </c>
      <c r="H1693" s="547" t="s">
        <v>3</v>
      </c>
      <c r="I1693" s="547" t="s">
        <v>44</v>
      </c>
      <c r="J1693" s="547" t="s">
        <v>85</v>
      </c>
      <c r="K1693" s="547">
        <v>103</v>
      </c>
      <c r="L1693" s="727" t="s">
        <v>54</v>
      </c>
      <c r="M1693" s="697">
        <v>0</v>
      </c>
      <c r="N1693" s="727">
        <v>5</v>
      </c>
      <c r="O1693" s="697">
        <v>0</v>
      </c>
      <c r="P1693" s="727">
        <v>103</v>
      </c>
      <c r="Q1693" s="750">
        <f t="shared" si="234"/>
        <v>0</v>
      </c>
      <c r="R1693" s="608">
        <f t="shared" si="235"/>
        <v>383160</v>
      </c>
      <c r="S1693" s="751">
        <f t="shared" si="236"/>
        <v>383160</v>
      </c>
      <c r="T1693" s="750">
        <v>77.150000000000006</v>
      </c>
      <c r="U1693" s="608">
        <f t="shared" si="237"/>
        <v>286998</v>
      </c>
      <c r="V1693" s="751">
        <f t="shared" si="238"/>
        <v>96162</v>
      </c>
      <c r="W1693" s="752">
        <v>59.54033706800562</v>
      </c>
      <c r="X1693" s="609">
        <f t="shared" si="239"/>
        <v>221490.05389298091</v>
      </c>
      <c r="Y1693" s="703">
        <f t="shared" si="240"/>
        <v>161669.94610701909</v>
      </c>
      <c r="Z1693" s="752">
        <v>94.759662931994384</v>
      </c>
      <c r="AA1693" s="609">
        <f t="shared" si="241"/>
        <v>352505.94610701909</v>
      </c>
      <c r="AB1693" s="753">
        <f t="shared" si="242"/>
        <v>30654.053892980912</v>
      </c>
      <c r="AC1693" s="714"/>
    </row>
    <row r="1694" spans="1:29" x14ac:dyDescent="0.25">
      <c r="A1694" s="713"/>
      <c r="B1694" s="731" t="s">
        <v>2552</v>
      </c>
      <c r="C1694" s="547" t="s">
        <v>40</v>
      </c>
      <c r="D1694" s="547" t="s">
        <v>2267</v>
      </c>
      <c r="E1694" s="683">
        <v>44866</v>
      </c>
      <c r="F1694" s="547">
        <v>720</v>
      </c>
      <c r="G1694" s="547" t="s">
        <v>58</v>
      </c>
      <c r="H1694" s="547" t="s">
        <v>3</v>
      </c>
      <c r="I1694" s="547" t="s">
        <v>44</v>
      </c>
      <c r="J1694" s="547" t="s">
        <v>84</v>
      </c>
      <c r="K1694" s="547">
        <v>-1.1000000000000001</v>
      </c>
      <c r="L1694" s="727" t="s">
        <v>92</v>
      </c>
      <c r="M1694" s="697">
        <v>2</v>
      </c>
      <c r="N1694" s="727">
        <v>0</v>
      </c>
      <c r="O1694" s="697">
        <v>54.6</v>
      </c>
      <c r="P1694" s="727">
        <v>0</v>
      </c>
      <c r="Q1694" s="750">
        <f t="shared" si="234"/>
        <v>78624</v>
      </c>
      <c r="R1694" s="608">
        <f t="shared" si="235"/>
        <v>0</v>
      </c>
      <c r="S1694" s="751">
        <f t="shared" si="236"/>
        <v>-78624</v>
      </c>
      <c r="T1694" s="750">
        <v>55.7</v>
      </c>
      <c r="U1694" s="608">
        <f t="shared" si="237"/>
        <v>-80208</v>
      </c>
      <c r="V1694" s="751">
        <f t="shared" si="238"/>
        <v>1584</v>
      </c>
      <c r="W1694" s="752">
        <v>55.7</v>
      </c>
      <c r="X1694" s="609">
        <f t="shared" si="239"/>
        <v>-80208</v>
      </c>
      <c r="Y1694" s="703">
        <f t="shared" si="240"/>
        <v>1584</v>
      </c>
      <c r="Z1694" s="752">
        <v>55.7</v>
      </c>
      <c r="AA1694" s="609">
        <f t="shared" si="241"/>
        <v>-80208</v>
      </c>
      <c r="AB1694" s="753">
        <f t="shared" si="242"/>
        <v>1584</v>
      </c>
      <c r="AC1694" s="714"/>
    </row>
    <row r="1695" spans="1:29" x14ac:dyDescent="0.25">
      <c r="A1695" s="713"/>
      <c r="B1695" s="731" t="s">
        <v>2553</v>
      </c>
      <c r="C1695" s="547" t="s">
        <v>40</v>
      </c>
      <c r="D1695" s="547" t="s">
        <v>2498</v>
      </c>
      <c r="E1695" s="683">
        <v>44866</v>
      </c>
      <c r="F1695" s="547">
        <v>720</v>
      </c>
      <c r="G1695" s="547" t="s">
        <v>58</v>
      </c>
      <c r="H1695" s="547" t="s">
        <v>3</v>
      </c>
      <c r="I1695" s="547" t="s">
        <v>44</v>
      </c>
      <c r="J1695" s="547" t="s">
        <v>84</v>
      </c>
      <c r="K1695" s="547">
        <v>-1</v>
      </c>
      <c r="L1695" s="727" t="s">
        <v>92</v>
      </c>
      <c r="M1695" s="697">
        <v>3</v>
      </c>
      <c r="N1695" s="727">
        <v>0</v>
      </c>
      <c r="O1695" s="697">
        <v>54.7</v>
      </c>
      <c r="P1695" s="727">
        <v>0</v>
      </c>
      <c r="Q1695" s="750">
        <f t="shared" si="234"/>
        <v>118152</v>
      </c>
      <c r="R1695" s="608">
        <f t="shared" si="235"/>
        <v>0</v>
      </c>
      <c r="S1695" s="751">
        <f t="shared" si="236"/>
        <v>-118152</v>
      </c>
      <c r="T1695" s="750">
        <v>55.7</v>
      </c>
      <c r="U1695" s="608">
        <f t="shared" si="237"/>
        <v>-120312</v>
      </c>
      <c r="V1695" s="751">
        <f t="shared" si="238"/>
        <v>2160</v>
      </c>
      <c r="W1695" s="752">
        <v>55.7</v>
      </c>
      <c r="X1695" s="609">
        <f t="shared" si="239"/>
        <v>-120312</v>
      </c>
      <c r="Y1695" s="703">
        <f t="shared" si="240"/>
        <v>2160</v>
      </c>
      <c r="Z1695" s="752">
        <v>55.7</v>
      </c>
      <c r="AA1695" s="609">
        <f t="shared" si="241"/>
        <v>-120312</v>
      </c>
      <c r="AB1695" s="753">
        <f t="shared" si="242"/>
        <v>2160</v>
      </c>
      <c r="AC1695" s="714"/>
    </row>
    <row r="1696" spans="1:29" x14ac:dyDescent="0.25">
      <c r="A1696" s="713"/>
      <c r="B1696" s="731" t="s">
        <v>2555</v>
      </c>
      <c r="C1696" s="547" t="s">
        <v>40</v>
      </c>
      <c r="D1696" s="547" t="s">
        <v>472</v>
      </c>
      <c r="E1696" s="683">
        <v>44866</v>
      </c>
      <c r="F1696" s="547">
        <v>720</v>
      </c>
      <c r="G1696" s="547" t="s">
        <v>59</v>
      </c>
      <c r="H1696" s="547" t="s">
        <v>6</v>
      </c>
      <c r="I1696" s="547" t="s">
        <v>44</v>
      </c>
      <c r="J1696" s="547" t="s">
        <v>85</v>
      </c>
      <c r="K1696" s="547">
        <v>149</v>
      </c>
      <c r="L1696" s="727" t="s">
        <v>92</v>
      </c>
      <c r="M1696" s="697">
        <v>0</v>
      </c>
      <c r="N1696" s="727">
        <v>0.3</v>
      </c>
      <c r="O1696" s="697">
        <v>0</v>
      </c>
      <c r="P1696" s="727">
        <v>204.7</v>
      </c>
      <c r="Q1696" s="750">
        <f t="shared" si="234"/>
        <v>0</v>
      </c>
      <c r="R1696" s="608">
        <f t="shared" si="235"/>
        <v>44215.199999999997</v>
      </c>
      <c r="S1696" s="751">
        <f t="shared" si="236"/>
        <v>44215.199999999997</v>
      </c>
      <c r="T1696" s="750">
        <v>55.7</v>
      </c>
      <c r="U1696" s="608">
        <f t="shared" si="237"/>
        <v>12031.2</v>
      </c>
      <c r="V1696" s="751">
        <f t="shared" si="238"/>
        <v>32183.999999999996</v>
      </c>
      <c r="W1696" s="752">
        <v>55.7</v>
      </c>
      <c r="X1696" s="609">
        <f t="shared" si="239"/>
        <v>12031.2</v>
      </c>
      <c r="Y1696" s="703">
        <f t="shared" si="240"/>
        <v>32183.999999999996</v>
      </c>
      <c r="Z1696" s="752">
        <v>55.7</v>
      </c>
      <c r="AA1696" s="609">
        <f t="shared" si="241"/>
        <v>12031.2</v>
      </c>
      <c r="AB1696" s="753">
        <f t="shared" si="242"/>
        <v>32183.999999999996</v>
      </c>
      <c r="AC1696" s="714"/>
    </row>
    <row r="1697" spans="1:29" x14ac:dyDescent="0.25">
      <c r="A1697" s="713"/>
      <c r="B1697" s="730" t="s">
        <v>2556</v>
      </c>
      <c r="C1697" s="546" t="s">
        <v>40</v>
      </c>
      <c r="D1697" s="546" t="s">
        <v>471</v>
      </c>
      <c r="E1697" s="682">
        <v>45292</v>
      </c>
      <c r="F1697" s="546">
        <v>744</v>
      </c>
      <c r="G1697" s="546" t="s">
        <v>58</v>
      </c>
      <c r="H1697" s="546" t="s">
        <v>3</v>
      </c>
      <c r="I1697" s="546" t="s">
        <v>44</v>
      </c>
      <c r="J1697" s="546" t="s">
        <v>84</v>
      </c>
      <c r="K1697" s="546">
        <v>120</v>
      </c>
      <c r="L1697" s="726" t="s">
        <v>54</v>
      </c>
      <c r="M1697" s="696">
        <v>3</v>
      </c>
      <c r="N1697" s="726">
        <v>0</v>
      </c>
      <c r="O1697" s="696">
        <v>120.57595477591617</v>
      </c>
      <c r="P1697" s="726">
        <v>0</v>
      </c>
      <c r="Q1697" s="746">
        <f t="shared" si="234"/>
        <v>269125.53105984489</v>
      </c>
      <c r="R1697" s="606">
        <f t="shared" si="235"/>
        <v>0</v>
      </c>
      <c r="S1697" s="747">
        <f t="shared" si="236"/>
        <v>-269125.53105984489</v>
      </c>
      <c r="T1697" s="746">
        <v>100.1</v>
      </c>
      <c r="U1697" s="606">
        <f t="shared" si="237"/>
        <v>-223423.19999999998</v>
      </c>
      <c r="V1697" s="747">
        <f t="shared" si="238"/>
        <v>-45702.331059844902</v>
      </c>
      <c r="W1697" s="748">
        <v>92.278761745078526</v>
      </c>
      <c r="X1697" s="607">
        <f t="shared" si="239"/>
        <v>-205966.19621501528</v>
      </c>
      <c r="Y1697" s="702">
        <f t="shared" si="240"/>
        <v>-63159.334844829602</v>
      </c>
      <c r="Z1697" s="748">
        <v>107.92123825492146</v>
      </c>
      <c r="AA1697" s="607">
        <f t="shared" si="241"/>
        <v>-240880.20378498471</v>
      </c>
      <c r="AB1697" s="749">
        <f t="shared" si="242"/>
        <v>-28245.327274860174</v>
      </c>
      <c r="AC1697" s="714"/>
    </row>
    <row r="1698" spans="1:29" x14ac:dyDescent="0.25">
      <c r="A1698" s="713"/>
      <c r="B1698" s="714" t="s">
        <v>2556</v>
      </c>
      <c r="C1698" s="676" t="s">
        <v>40</v>
      </c>
      <c r="D1698" s="676" t="s">
        <v>471</v>
      </c>
      <c r="E1698" s="680">
        <v>45323</v>
      </c>
      <c r="F1698" s="676">
        <v>696</v>
      </c>
      <c r="G1698" s="676" t="s">
        <v>58</v>
      </c>
      <c r="H1698" s="676" t="s">
        <v>3</v>
      </c>
      <c r="I1698" s="676" t="s">
        <v>44</v>
      </c>
      <c r="J1698" s="676" t="s">
        <v>84</v>
      </c>
      <c r="K1698" s="676">
        <v>120</v>
      </c>
      <c r="L1698" s="690" t="s">
        <v>54</v>
      </c>
      <c r="M1698" s="691">
        <v>3</v>
      </c>
      <c r="N1698" s="690">
        <v>0</v>
      </c>
      <c r="O1698" s="691">
        <v>120.57595477591617</v>
      </c>
      <c r="P1698" s="690">
        <v>0</v>
      </c>
      <c r="Q1698" s="738">
        <f t="shared" si="234"/>
        <v>251762.59357211296</v>
      </c>
      <c r="R1698" s="677">
        <f t="shared" si="235"/>
        <v>0</v>
      </c>
      <c r="S1698" s="739">
        <f t="shared" si="236"/>
        <v>-251762.59357211296</v>
      </c>
      <c r="T1698" s="738">
        <v>100.1</v>
      </c>
      <c r="U1698" s="677">
        <f t="shared" si="237"/>
        <v>-209008.8</v>
      </c>
      <c r="V1698" s="739">
        <f t="shared" si="238"/>
        <v>-42753.793572112976</v>
      </c>
      <c r="W1698" s="740">
        <v>92.278761745078526</v>
      </c>
      <c r="X1698" s="678">
        <f t="shared" si="239"/>
        <v>-192678.05452372396</v>
      </c>
      <c r="Y1698" s="700">
        <f t="shared" si="240"/>
        <v>-59084.539048389008</v>
      </c>
      <c r="Z1698" s="740">
        <v>107.92123825492146</v>
      </c>
      <c r="AA1698" s="678">
        <f t="shared" si="241"/>
        <v>-225339.54547627602</v>
      </c>
      <c r="AB1698" s="741">
        <f t="shared" si="242"/>
        <v>-26423.048095836944</v>
      </c>
      <c r="AC1698" s="714"/>
    </row>
    <row r="1699" spans="1:29" x14ac:dyDescent="0.25">
      <c r="A1699" s="713"/>
      <c r="B1699" s="714" t="s">
        <v>2556</v>
      </c>
      <c r="C1699" s="676" t="s">
        <v>40</v>
      </c>
      <c r="D1699" s="676" t="s">
        <v>471</v>
      </c>
      <c r="E1699" s="680">
        <v>45352</v>
      </c>
      <c r="F1699" s="676">
        <v>744</v>
      </c>
      <c r="G1699" s="676" t="s">
        <v>58</v>
      </c>
      <c r="H1699" s="676" t="s">
        <v>3</v>
      </c>
      <c r="I1699" s="676" t="s">
        <v>44</v>
      </c>
      <c r="J1699" s="676" t="s">
        <v>84</v>
      </c>
      <c r="K1699" s="676">
        <v>120</v>
      </c>
      <c r="L1699" s="690" t="s">
        <v>54</v>
      </c>
      <c r="M1699" s="691">
        <v>3</v>
      </c>
      <c r="N1699" s="690">
        <v>0</v>
      </c>
      <c r="O1699" s="691">
        <v>120.57595477591617</v>
      </c>
      <c r="P1699" s="690">
        <v>0</v>
      </c>
      <c r="Q1699" s="738">
        <f t="shared" si="234"/>
        <v>269125.53105984489</v>
      </c>
      <c r="R1699" s="677">
        <f t="shared" si="235"/>
        <v>0</v>
      </c>
      <c r="S1699" s="739">
        <f t="shared" si="236"/>
        <v>-269125.53105984489</v>
      </c>
      <c r="T1699" s="738">
        <v>100.1</v>
      </c>
      <c r="U1699" s="677">
        <f t="shared" si="237"/>
        <v>-223423.19999999998</v>
      </c>
      <c r="V1699" s="739">
        <f t="shared" si="238"/>
        <v>-45702.331059844902</v>
      </c>
      <c r="W1699" s="740">
        <v>92.278761745078526</v>
      </c>
      <c r="X1699" s="678">
        <f t="shared" si="239"/>
        <v>-205966.19621501528</v>
      </c>
      <c r="Y1699" s="700">
        <f t="shared" si="240"/>
        <v>-63159.334844829602</v>
      </c>
      <c r="Z1699" s="740">
        <v>107.92123825492146</v>
      </c>
      <c r="AA1699" s="678">
        <f t="shared" si="241"/>
        <v>-240880.20378498471</v>
      </c>
      <c r="AB1699" s="741">
        <f t="shared" si="242"/>
        <v>-28245.327274860174</v>
      </c>
      <c r="AC1699" s="714"/>
    </row>
    <row r="1700" spans="1:29" x14ac:dyDescent="0.25">
      <c r="A1700" s="713"/>
      <c r="B1700" s="714" t="s">
        <v>2556</v>
      </c>
      <c r="C1700" s="676" t="s">
        <v>40</v>
      </c>
      <c r="D1700" s="676" t="s">
        <v>471</v>
      </c>
      <c r="E1700" s="680">
        <v>45383</v>
      </c>
      <c r="F1700" s="676">
        <v>720</v>
      </c>
      <c r="G1700" s="676" t="s">
        <v>58</v>
      </c>
      <c r="H1700" s="676" t="s">
        <v>3</v>
      </c>
      <c r="I1700" s="676" t="s">
        <v>44</v>
      </c>
      <c r="J1700" s="676" t="s">
        <v>84</v>
      </c>
      <c r="K1700" s="676">
        <v>120</v>
      </c>
      <c r="L1700" s="690" t="s">
        <v>54</v>
      </c>
      <c r="M1700" s="691">
        <v>3</v>
      </c>
      <c r="N1700" s="690">
        <v>0</v>
      </c>
      <c r="O1700" s="691">
        <v>120.57595477591617</v>
      </c>
      <c r="P1700" s="690">
        <v>0</v>
      </c>
      <c r="Q1700" s="738">
        <f t="shared" si="234"/>
        <v>260444.06231597892</v>
      </c>
      <c r="R1700" s="677">
        <f t="shared" si="235"/>
        <v>0</v>
      </c>
      <c r="S1700" s="739">
        <f t="shared" si="236"/>
        <v>-260444.06231597892</v>
      </c>
      <c r="T1700" s="738">
        <v>100.1</v>
      </c>
      <c r="U1700" s="677">
        <f t="shared" si="237"/>
        <v>-216216</v>
      </c>
      <c r="V1700" s="739">
        <f t="shared" si="238"/>
        <v>-44228.062315978925</v>
      </c>
      <c r="W1700" s="740">
        <v>92.278761745078526</v>
      </c>
      <c r="X1700" s="678">
        <f t="shared" si="239"/>
        <v>-199322.12536936961</v>
      </c>
      <c r="Y1700" s="700">
        <f t="shared" si="240"/>
        <v>-61121.936946609319</v>
      </c>
      <c r="Z1700" s="740">
        <v>107.92123825492146</v>
      </c>
      <c r="AA1700" s="678">
        <f t="shared" si="241"/>
        <v>-233109.87463063037</v>
      </c>
      <c r="AB1700" s="741">
        <f t="shared" si="242"/>
        <v>-27334.187685348559</v>
      </c>
      <c r="AC1700" s="714"/>
    </row>
    <row r="1701" spans="1:29" x14ac:dyDescent="0.25">
      <c r="A1701" s="713"/>
      <c r="B1701" s="714" t="s">
        <v>2556</v>
      </c>
      <c r="C1701" s="676" t="s">
        <v>40</v>
      </c>
      <c r="D1701" s="676" t="s">
        <v>471</v>
      </c>
      <c r="E1701" s="680">
        <v>45413</v>
      </c>
      <c r="F1701" s="676">
        <v>744</v>
      </c>
      <c r="G1701" s="676" t="s">
        <v>58</v>
      </c>
      <c r="H1701" s="676" t="s">
        <v>3</v>
      </c>
      <c r="I1701" s="676" t="s">
        <v>44</v>
      </c>
      <c r="J1701" s="676" t="s">
        <v>84</v>
      </c>
      <c r="K1701" s="676">
        <v>120</v>
      </c>
      <c r="L1701" s="690" t="s">
        <v>54</v>
      </c>
      <c r="M1701" s="691">
        <v>3</v>
      </c>
      <c r="N1701" s="690">
        <v>0</v>
      </c>
      <c r="O1701" s="691">
        <v>120.57595477591617</v>
      </c>
      <c r="P1701" s="690">
        <v>0</v>
      </c>
      <c r="Q1701" s="738">
        <f t="shared" si="234"/>
        <v>269125.53105984489</v>
      </c>
      <c r="R1701" s="677">
        <f t="shared" si="235"/>
        <v>0</v>
      </c>
      <c r="S1701" s="739">
        <f t="shared" si="236"/>
        <v>-269125.53105984489</v>
      </c>
      <c r="T1701" s="738">
        <v>100.1</v>
      </c>
      <c r="U1701" s="677">
        <f t="shared" si="237"/>
        <v>-223423.19999999998</v>
      </c>
      <c r="V1701" s="739">
        <f t="shared" si="238"/>
        <v>-45702.331059844902</v>
      </c>
      <c r="W1701" s="740">
        <v>92.278761745078526</v>
      </c>
      <c r="X1701" s="678">
        <f t="shared" si="239"/>
        <v>-205966.19621501528</v>
      </c>
      <c r="Y1701" s="700">
        <f t="shared" si="240"/>
        <v>-63159.334844829602</v>
      </c>
      <c r="Z1701" s="740">
        <v>107.92123825492146</v>
      </c>
      <c r="AA1701" s="678">
        <f t="shared" si="241"/>
        <v>-240880.20378498471</v>
      </c>
      <c r="AB1701" s="741">
        <f t="shared" si="242"/>
        <v>-28245.327274860174</v>
      </c>
      <c r="AC1701" s="714"/>
    </row>
    <row r="1702" spans="1:29" x14ac:dyDescent="0.25">
      <c r="A1702" s="713"/>
      <c r="B1702" s="714" t="s">
        <v>2556</v>
      </c>
      <c r="C1702" s="676" t="s">
        <v>40</v>
      </c>
      <c r="D1702" s="676" t="s">
        <v>471</v>
      </c>
      <c r="E1702" s="680">
        <v>45444</v>
      </c>
      <c r="F1702" s="676">
        <v>720</v>
      </c>
      <c r="G1702" s="676" t="s">
        <v>58</v>
      </c>
      <c r="H1702" s="676" t="s">
        <v>3</v>
      </c>
      <c r="I1702" s="676" t="s">
        <v>44</v>
      </c>
      <c r="J1702" s="676" t="s">
        <v>84</v>
      </c>
      <c r="K1702" s="676">
        <v>120</v>
      </c>
      <c r="L1702" s="690" t="s">
        <v>54</v>
      </c>
      <c r="M1702" s="691">
        <v>3</v>
      </c>
      <c r="N1702" s="690">
        <v>0</v>
      </c>
      <c r="O1702" s="691">
        <v>120.57595477591617</v>
      </c>
      <c r="P1702" s="690">
        <v>0</v>
      </c>
      <c r="Q1702" s="738">
        <f t="shared" si="234"/>
        <v>260444.06231597892</v>
      </c>
      <c r="R1702" s="677">
        <f t="shared" si="235"/>
        <v>0</v>
      </c>
      <c r="S1702" s="739">
        <f t="shared" si="236"/>
        <v>-260444.06231597892</v>
      </c>
      <c r="T1702" s="738">
        <v>100.1</v>
      </c>
      <c r="U1702" s="677">
        <f t="shared" si="237"/>
        <v>-216216</v>
      </c>
      <c r="V1702" s="739">
        <f t="shared" si="238"/>
        <v>-44228.062315978925</v>
      </c>
      <c r="W1702" s="740">
        <v>92.278761745078526</v>
      </c>
      <c r="X1702" s="678">
        <f t="shared" si="239"/>
        <v>-199322.12536936961</v>
      </c>
      <c r="Y1702" s="700">
        <f t="shared" si="240"/>
        <v>-61121.936946609319</v>
      </c>
      <c r="Z1702" s="740">
        <v>107.92123825492146</v>
      </c>
      <c r="AA1702" s="678">
        <f t="shared" si="241"/>
        <v>-233109.87463063037</v>
      </c>
      <c r="AB1702" s="741">
        <f t="shared" si="242"/>
        <v>-27334.187685348559</v>
      </c>
      <c r="AC1702" s="714"/>
    </row>
    <row r="1703" spans="1:29" x14ac:dyDescent="0.25">
      <c r="A1703" s="713"/>
      <c r="B1703" s="714" t="s">
        <v>2556</v>
      </c>
      <c r="C1703" s="676" t="s">
        <v>40</v>
      </c>
      <c r="D1703" s="676" t="s">
        <v>471</v>
      </c>
      <c r="E1703" s="680">
        <v>45474</v>
      </c>
      <c r="F1703" s="676">
        <v>744</v>
      </c>
      <c r="G1703" s="676" t="s">
        <v>58</v>
      </c>
      <c r="H1703" s="676" t="s">
        <v>3</v>
      </c>
      <c r="I1703" s="676" t="s">
        <v>44</v>
      </c>
      <c r="J1703" s="676" t="s">
        <v>84</v>
      </c>
      <c r="K1703" s="676">
        <v>120</v>
      </c>
      <c r="L1703" s="690" t="s">
        <v>54</v>
      </c>
      <c r="M1703" s="691">
        <v>3</v>
      </c>
      <c r="N1703" s="690">
        <v>0</v>
      </c>
      <c r="O1703" s="691">
        <v>120.57595477591617</v>
      </c>
      <c r="P1703" s="690">
        <v>0</v>
      </c>
      <c r="Q1703" s="738">
        <f t="shared" si="234"/>
        <v>269125.53105984489</v>
      </c>
      <c r="R1703" s="677">
        <f t="shared" si="235"/>
        <v>0</v>
      </c>
      <c r="S1703" s="739">
        <f t="shared" si="236"/>
        <v>-269125.53105984489</v>
      </c>
      <c r="T1703" s="738">
        <v>100.1</v>
      </c>
      <c r="U1703" s="677">
        <f t="shared" si="237"/>
        <v>-223423.19999999998</v>
      </c>
      <c r="V1703" s="739">
        <f t="shared" si="238"/>
        <v>-45702.331059844902</v>
      </c>
      <c r="W1703" s="740">
        <v>92.278761745078526</v>
      </c>
      <c r="X1703" s="678">
        <f t="shared" si="239"/>
        <v>-205966.19621501528</v>
      </c>
      <c r="Y1703" s="700">
        <f t="shared" si="240"/>
        <v>-63159.334844829602</v>
      </c>
      <c r="Z1703" s="740">
        <v>107.92123825492146</v>
      </c>
      <c r="AA1703" s="678">
        <f t="shared" si="241"/>
        <v>-240880.20378498471</v>
      </c>
      <c r="AB1703" s="741">
        <f t="shared" si="242"/>
        <v>-28245.327274860174</v>
      </c>
      <c r="AC1703" s="714"/>
    </row>
    <row r="1704" spans="1:29" x14ac:dyDescent="0.25">
      <c r="A1704" s="713"/>
      <c r="B1704" s="714" t="s">
        <v>2556</v>
      </c>
      <c r="C1704" s="676" t="s">
        <v>40</v>
      </c>
      <c r="D1704" s="676" t="s">
        <v>471</v>
      </c>
      <c r="E1704" s="680">
        <v>45505</v>
      </c>
      <c r="F1704" s="676">
        <v>744</v>
      </c>
      <c r="G1704" s="676" t="s">
        <v>58</v>
      </c>
      <c r="H1704" s="676" t="s">
        <v>3</v>
      </c>
      <c r="I1704" s="676" t="s">
        <v>44</v>
      </c>
      <c r="J1704" s="676" t="s">
        <v>84</v>
      </c>
      <c r="K1704" s="676">
        <v>120</v>
      </c>
      <c r="L1704" s="690" t="s">
        <v>54</v>
      </c>
      <c r="M1704" s="691">
        <v>3</v>
      </c>
      <c r="N1704" s="690">
        <v>0</v>
      </c>
      <c r="O1704" s="691">
        <v>120.57595477591617</v>
      </c>
      <c r="P1704" s="690">
        <v>0</v>
      </c>
      <c r="Q1704" s="738">
        <f t="shared" si="234"/>
        <v>269125.53105984489</v>
      </c>
      <c r="R1704" s="677">
        <f t="shared" si="235"/>
        <v>0</v>
      </c>
      <c r="S1704" s="739">
        <f t="shared" si="236"/>
        <v>-269125.53105984489</v>
      </c>
      <c r="T1704" s="738">
        <v>100.1</v>
      </c>
      <c r="U1704" s="677">
        <f t="shared" si="237"/>
        <v>-223423.19999999998</v>
      </c>
      <c r="V1704" s="739">
        <f t="shared" si="238"/>
        <v>-45702.331059844902</v>
      </c>
      <c r="W1704" s="740">
        <v>92.278761745078526</v>
      </c>
      <c r="X1704" s="678">
        <f t="shared" si="239"/>
        <v>-205966.19621501528</v>
      </c>
      <c r="Y1704" s="700">
        <f t="shared" si="240"/>
        <v>-63159.334844829602</v>
      </c>
      <c r="Z1704" s="740">
        <v>107.92123825492146</v>
      </c>
      <c r="AA1704" s="678">
        <f t="shared" si="241"/>
        <v>-240880.20378498471</v>
      </c>
      <c r="AB1704" s="741">
        <f t="shared" si="242"/>
        <v>-28245.327274860174</v>
      </c>
      <c r="AC1704" s="714"/>
    </row>
    <row r="1705" spans="1:29" x14ac:dyDescent="0.25">
      <c r="A1705" s="713"/>
      <c r="B1705" s="714" t="s">
        <v>2556</v>
      </c>
      <c r="C1705" s="676" t="s">
        <v>40</v>
      </c>
      <c r="D1705" s="676" t="s">
        <v>471</v>
      </c>
      <c r="E1705" s="680">
        <v>45536</v>
      </c>
      <c r="F1705" s="676">
        <v>720</v>
      </c>
      <c r="G1705" s="676" t="s">
        <v>58</v>
      </c>
      <c r="H1705" s="676" t="s">
        <v>3</v>
      </c>
      <c r="I1705" s="676" t="s">
        <v>44</v>
      </c>
      <c r="J1705" s="676" t="s">
        <v>84</v>
      </c>
      <c r="K1705" s="676">
        <v>120</v>
      </c>
      <c r="L1705" s="690" t="s">
        <v>54</v>
      </c>
      <c r="M1705" s="691">
        <v>3</v>
      </c>
      <c r="N1705" s="690">
        <v>0</v>
      </c>
      <c r="O1705" s="691">
        <v>120.57595477591617</v>
      </c>
      <c r="P1705" s="690">
        <v>0</v>
      </c>
      <c r="Q1705" s="738">
        <f t="shared" si="234"/>
        <v>260444.06231597892</v>
      </c>
      <c r="R1705" s="677">
        <f t="shared" si="235"/>
        <v>0</v>
      </c>
      <c r="S1705" s="739">
        <f t="shared" si="236"/>
        <v>-260444.06231597892</v>
      </c>
      <c r="T1705" s="738">
        <v>100.1</v>
      </c>
      <c r="U1705" s="677">
        <f t="shared" si="237"/>
        <v>-216216</v>
      </c>
      <c r="V1705" s="739">
        <f t="shared" si="238"/>
        <v>-44228.062315978925</v>
      </c>
      <c r="W1705" s="740">
        <v>92.278761745078526</v>
      </c>
      <c r="X1705" s="678">
        <f t="shared" si="239"/>
        <v>-199322.12536936961</v>
      </c>
      <c r="Y1705" s="700">
        <f t="shared" si="240"/>
        <v>-61121.936946609319</v>
      </c>
      <c r="Z1705" s="740">
        <v>107.92123825492146</v>
      </c>
      <c r="AA1705" s="678">
        <f t="shared" si="241"/>
        <v>-233109.87463063037</v>
      </c>
      <c r="AB1705" s="741">
        <f t="shared" si="242"/>
        <v>-27334.187685348559</v>
      </c>
      <c r="AC1705" s="714"/>
    </row>
    <row r="1706" spans="1:29" x14ac:dyDescent="0.25">
      <c r="A1706" s="713"/>
      <c r="B1706" s="714" t="s">
        <v>2556</v>
      </c>
      <c r="C1706" s="676" t="s">
        <v>40</v>
      </c>
      <c r="D1706" s="676" t="s">
        <v>471</v>
      </c>
      <c r="E1706" s="680">
        <v>45566</v>
      </c>
      <c r="F1706" s="676">
        <v>744</v>
      </c>
      <c r="G1706" s="676" t="s">
        <v>58</v>
      </c>
      <c r="H1706" s="676" t="s">
        <v>3</v>
      </c>
      <c r="I1706" s="676" t="s">
        <v>44</v>
      </c>
      <c r="J1706" s="676" t="s">
        <v>84</v>
      </c>
      <c r="K1706" s="676">
        <v>120</v>
      </c>
      <c r="L1706" s="690" t="s">
        <v>54</v>
      </c>
      <c r="M1706" s="691">
        <v>3</v>
      </c>
      <c r="N1706" s="690">
        <v>0</v>
      </c>
      <c r="O1706" s="691">
        <v>120.57595477591617</v>
      </c>
      <c r="P1706" s="690">
        <v>0</v>
      </c>
      <c r="Q1706" s="738">
        <f t="shared" si="234"/>
        <v>269125.53105984489</v>
      </c>
      <c r="R1706" s="677">
        <f t="shared" si="235"/>
        <v>0</v>
      </c>
      <c r="S1706" s="739">
        <f t="shared" si="236"/>
        <v>-269125.53105984489</v>
      </c>
      <c r="T1706" s="738">
        <v>100.1</v>
      </c>
      <c r="U1706" s="677">
        <f t="shared" si="237"/>
        <v>-223423.19999999998</v>
      </c>
      <c r="V1706" s="739">
        <f t="shared" si="238"/>
        <v>-45702.331059844902</v>
      </c>
      <c r="W1706" s="740">
        <v>92.278761745078526</v>
      </c>
      <c r="X1706" s="678">
        <f t="shared" si="239"/>
        <v>-205966.19621501528</v>
      </c>
      <c r="Y1706" s="700">
        <f t="shared" si="240"/>
        <v>-63159.334844829602</v>
      </c>
      <c r="Z1706" s="740">
        <v>107.92123825492146</v>
      </c>
      <c r="AA1706" s="678">
        <f t="shared" si="241"/>
        <v>-240880.20378498471</v>
      </c>
      <c r="AB1706" s="741">
        <f t="shared" si="242"/>
        <v>-28245.327274860174</v>
      </c>
      <c r="AC1706" s="714"/>
    </row>
    <row r="1707" spans="1:29" x14ac:dyDescent="0.25">
      <c r="A1707" s="713"/>
      <c r="B1707" s="714" t="s">
        <v>2556</v>
      </c>
      <c r="C1707" s="676" t="s">
        <v>40</v>
      </c>
      <c r="D1707" s="676" t="s">
        <v>471</v>
      </c>
      <c r="E1707" s="680">
        <v>45597</v>
      </c>
      <c r="F1707" s="676">
        <v>720</v>
      </c>
      <c r="G1707" s="676" t="s">
        <v>58</v>
      </c>
      <c r="H1707" s="676" t="s">
        <v>3</v>
      </c>
      <c r="I1707" s="676" t="s">
        <v>44</v>
      </c>
      <c r="J1707" s="676" t="s">
        <v>84</v>
      </c>
      <c r="K1707" s="676">
        <v>120</v>
      </c>
      <c r="L1707" s="690" t="s">
        <v>54</v>
      </c>
      <c r="M1707" s="691">
        <v>3</v>
      </c>
      <c r="N1707" s="690">
        <v>0</v>
      </c>
      <c r="O1707" s="691">
        <v>120.57595477591617</v>
      </c>
      <c r="P1707" s="690">
        <v>0</v>
      </c>
      <c r="Q1707" s="738">
        <f t="shared" si="234"/>
        <v>260444.06231597892</v>
      </c>
      <c r="R1707" s="677">
        <f t="shared" si="235"/>
        <v>0</v>
      </c>
      <c r="S1707" s="739">
        <f t="shared" si="236"/>
        <v>-260444.06231597892</v>
      </c>
      <c r="T1707" s="738">
        <v>100.1</v>
      </c>
      <c r="U1707" s="677">
        <f t="shared" si="237"/>
        <v>-216216</v>
      </c>
      <c r="V1707" s="739">
        <f t="shared" si="238"/>
        <v>-44228.062315978925</v>
      </c>
      <c r="W1707" s="740">
        <v>92.278761745078526</v>
      </c>
      <c r="X1707" s="678">
        <f t="shared" si="239"/>
        <v>-199322.12536936961</v>
      </c>
      <c r="Y1707" s="700">
        <f t="shared" si="240"/>
        <v>-61121.936946609319</v>
      </c>
      <c r="Z1707" s="740">
        <v>107.92123825492146</v>
      </c>
      <c r="AA1707" s="678">
        <f t="shared" si="241"/>
        <v>-233109.87463063037</v>
      </c>
      <c r="AB1707" s="741">
        <f t="shared" si="242"/>
        <v>-27334.187685348559</v>
      </c>
      <c r="AC1707" s="714"/>
    </row>
    <row r="1708" spans="1:29" x14ac:dyDescent="0.25">
      <c r="A1708" s="713"/>
      <c r="B1708" s="729" t="s">
        <v>2556</v>
      </c>
      <c r="C1708" s="545" t="s">
        <v>40</v>
      </c>
      <c r="D1708" s="545" t="s">
        <v>471</v>
      </c>
      <c r="E1708" s="681">
        <v>45627</v>
      </c>
      <c r="F1708" s="545">
        <v>744</v>
      </c>
      <c r="G1708" s="545" t="s">
        <v>58</v>
      </c>
      <c r="H1708" s="545" t="s">
        <v>3</v>
      </c>
      <c r="I1708" s="545" t="s">
        <v>44</v>
      </c>
      <c r="J1708" s="545" t="s">
        <v>84</v>
      </c>
      <c r="K1708" s="545">
        <v>120</v>
      </c>
      <c r="L1708" s="725" t="s">
        <v>54</v>
      </c>
      <c r="M1708" s="695">
        <v>3</v>
      </c>
      <c r="N1708" s="725">
        <v>0</v>
      </c>
      <c r="O1708" s="695">
        <v>120.57595477591617</v>
      </c>
      <c r="P1708" s="725">
        <v>0</v>
      </c>
      <c r="Q1708" s="742">
        <f t="shared" si="234"/>
        <v>269125.53105984489</v>
      </c>
      <c r="R1708" s="603">
        <f t="shared" si="235"/>
        <v>0</v>
      </c>
      <c r="S1708" s="743">
        <f t="shared" si="236"/>
        <v>-269125.53105984489</v>
      </c>
      <c r="T1708" s="742">
        <v>100.1</v>
      </c>
      <c r="U1708" s="603">
        <f t="shared" si="237"/>
        <v>-223423.19999999998</v>
      </c>
      <c r="V1708" s="743">
        <f t="shared" si="238"/>
        <v>-45702.331059844902</v>
      </c>
      <c r="W1708" s="744">
        <v>92.278761745078526</v>
      </c>
      <c r="X1708" s="604">
        <f t="shared" si="239"/>
        <v>-205966.19621501528</v>
      </c>
      <c r="Y1708" s="701">
        <f t="shared" si="240"/>
        <v>-63159.334844829602</v>
      </c>
      <c r="Z1708" s="744">
        <v>107.92123825492146</v>
      </c>
      <c r="AA1708" s="604">
        <f t="shared" si="241"/>
        <v>-240880.20378498471</v>
      </c>
      <c r="AB1708" s="745">
        <f t="shared" si="242"/>
        <v>-28245.327274860174</v>
      </c>
      <c r="AC1708" s="714"/>
    </row>
    <row r="1709" spans="1:29" x14ac:dyDescent="0.25">
      <c r="A1709" s="713"/>
      <c r="B1709" s="731" t="s">
        <v>2558</v>
      </c>
      <c r="C1709" s="547" t="s">
        <v>40</v>
      </c>
      <c r="D1709" s="547" t="s">
        <v>2121</v>
      </c>
      <c r="E1709" s="683">
        <v>44866</v>
      </c>
      <c r="F1709" s="547">
        <v>720</v>
      </c>
      <c r="G1709" s="547" t="s">
        <v>59</v>
      </c>
      <c r="H1709" s="547" t="s">
        <v>6</v>
      </c>
      <c r="I1709" s="547" t="s">
        <v>44</v>
      </c>
      <c r="J1709" s="547" t="s">
        <v>85</v>
      </c>
      <c r="K1709" s="547">
        <v>149</v>
      </c>
      <c r="L1709" s="727" t="s">
        <v>92</v>
      </c>
      <c r="M1709" s="697">
        <v>0</v>
      </c>
      <c r="N1709" s="727">
        <v>3.5</v>
      </c>
      <c r="O1709" s="697">
        <v>0</v>
      </c>
      <c r="P1709" s="727">
        <v>204.7</v>
      </c>
      <c r="Q1709" s="750">
        <f t="shared" si="234"/>
        <v>0</v>
      </c>
      <c r="R1709" s="608">
        <f t="shared" si="235"/>
        <v>515844</v>
      </c>
      <c r="S1709" s="751">
        <f t="shared" si="236"/>
        <v>515844</v>
      </c>
      <c r="T1709" s="750">
        <v>55.7</v>
      </c>
      <c r="U1709" s="608">
        <f t="shared" si="237"/>
        <v>140364</v>
      </c>
      <c r="V1709" s="751">
        <f t="shared" si="238"/>
        <v>375480</v>
      </c>
      <c r="W1709" s="752">
        <v>55.7</v>
      </c>
      <c r="X1709" s="609">
        <f t="shared" si="239"/>
        <v>140364</v>
      </c>
      <c r="Y1709" s="703">
        <f t="shared" si="240"/>
        <v>375480</v>
      </c>
      <c r="Z1709" s="752">
        <v>55.7</v>
      </c>
      <c r="AA1709" s="609">
        <f t="shared" si="241"/>
        <v>140364</v>
      </c>
      <c r="AB1709" s="753">
        <f t="shared" si="242"/>
        <v>375480</v>
      </c>
      <c r="AC1709" s="714"/>
    </row>
    <row r="1710" spans="1:29" x14ac:dyDescent="0.25">
      <c r="A1710" s="713"/>
      <c r="B1710" s="731" t="s">
        <v>2559</v>
      </c>
      <c r="C1710" s="547" t="s">
        <v>40</v>
      </c>
      <c r="D1710" s="547" t="s">
        <v>590</v>
      </c>
      <c r="E1710" s="683">
        <v>44866</v>
      </c>
      <c r="F1710" s="547">
        <v>720</v>
      </c>
      <c r="G1710" s="547" t="s">
        <v>58</v>
      </c>
      <c r="H1710" s="547" t="s">
        <v>3</v>
      </c>
      <c r="I1710" s="547" t="s">
        <v>44</v>
      </c>
      <c r="J1710" s="547" t="s">
        <v>84</v>
      </c>
      <c r="K1710" s="547">
        <v>-1.1000000000000001</v>
      </c>
      <c r="L1710" s="727" t="s">
        <v>92</v>
      </c>
      <c r="M1710" s="697">
        <v>2</v>
      </c>
      <c r="N1710" s="727">
        <v>0</v>
      </c>
      <c r="O1710" s="697">
        <v>54.6</v>
      </c>
      <c r="P1710" s="727">
        <v>0</v>
      </c>
      <c r="Q1710" s="750">
        <f t="shared" si="234"/>
        <v>78624</v>
      </c>
      <c r="R1710" s="608">
        <f t="shared" si="235"/>
        <v>0</v>
      </c>
      <c r="S1710" s="751">
        <f t="shared" si="236"/>
        <v>-78624</v>
      </c>
      <c r="T1710" s="750">
        <v>55.7</v>
      </c>
      <c r="U1710" s="608">
        <f t="shared" si="237"/>
        <v>-80208</v>
      </c>
      <c r="V1710" s="751">
        <f t="shared" si="238"/>
        <v>1584</v>
      </c>
      <c r="W1710" s="752">
        <v>55.7</v>
      </c>
      <c r="X1710" s="609">
        <f t="shared" si="239"/>
        <v>-80208</v>
      </c>
      <c r="Y1710" s="703">
        <f t="shared" si="240"/>
        <v>1584</v>
      </c>
      <c r="Z1710" s="752">
        <v>55.7</v>
      </c>
      <c r="AA1710" s="609">
        <f t="shared" si="241"/>
        <v>-80208</v>
      </c>
      <c r="AB1710" s="753">
        <f t="shared" si="242"/>
        <v>1584</v>
      </c>
      <c r="AC1710" s="714"/>
    </row>
    <row r="1711" spans="1:29" x14ac:dyDescent="0.25">
      <c r="A1711" s="713"/>
      <c r="B1711" s="731" t="s">
        <v>2561</v>
      </c>
      <c r="C1711" s="547" t="s">
        <v>40</v>
      </c>
      <c r="D1711" s="547" t="s">
        <v>348</v>
      </c>
      <c r="E1711" s="683">
        <v>44866</v>
      </c>
      <c r="F1711" s="547">
        <v>720</v>
      </c>
      <c r="G1711" s="547" t="s">
        <v>59</v>
      </c>
      <c r="H1711" s="547" t="s">
        <v>6</v>
      </c>
      <c r="I1711" s="547" t="s">
        <v>44</v>
      </c>
      <c r="J1711" s="547" t="s">
        <v>85</v>
      </c>
      <c r="K1711" s="547">
        <v>149</v>
      </c>
      <c r="L1711" s="727" t="s">
        <v>92</v>
      </c>
      <c r="M1711" s="697">
        <v>0</v>
      </c>
      <c r="N1711" s="727">
        <v>2.6388889999999998</v>
      </c>
      <c r="O1711" s="697">
        <v>0</v>
      </c>
      <c r="P1711" s="727">
        <v>204.7</v>
      </c>
      <c r="Q1711" s="750">
        <f t="shared" si="234"/>
        <v>0</v>
      </c>
      <c r="R1711" s="608">
        <f t="shared" si="235"/>
        <v>388930.01637599996</v>
      </c>
      <c r="S1711" s="751">
        <f t="shared" si="236"/>
        <v>388930.01637599996</v>
      </c>
      <c r="T1711" s="750">
        <v>55.7</v>
      </c>
      <c r="U1711" s="608">
        <f t="shared" si="237"/>
        <v>105830.004456</v>
      </c>
      <c r="V1711" s="751">
        <f t="shared" si="238"/>
        <v>283100.01191999996</v>
      </c>
      <c r="W1711" s="752">
        <v>55.7</v>
      </c>
      <c r="X1711" s="609">
        <f t="shared" si="239"/>
        <v>105830.004456</v>
      </c>
      <c r="Y1711" s="703">
        <f t="shared" si="240"/>
        <v>283100.01191999996</v>
      </c>
      <c r="Z1711" s="752">
        <v>55.7</v>
      </c>
      <c r="AA1711" s="609">
        <f t="shared" si="241"/>
        <v>105830.004456</v>
      </c>
      <c r="AB1711" s="753">
        <f t="shared" si="242"/>
        <v>283100.01191999996</v>
      </c>
      <c r="AC1711" s="714"/>
    </row>
    <row r="1712" spans="1:29" x14ac:dyDescent="0.25">
      <c r="A1712" s="713"/>
      <c r="B1712" s="731" t="s">
        <v>2563</v>
      </c>
      <c r="C1712" s="547" t="s">
        <v>40</v>
      </c>
      <c r="D1712" s="547" t="s">
        <v>1133</v>
      </c>
      <c r="E1712" s="683">
        <v>44866</v>
      </c>
      <c r="F1712" s="547">
        <v>720</v>
      </c>
      <c r="G1712" s="547" t="s">
        <v>59</v>
      </c>
      <c r="H1712" s="547" t="s">
        <v>6</v>
      </c>
      <c r="I1712" s="547" t="s">
        <v>44</v>
      </c>
      <c r="J1712" s="547" t="s">
        <v>85</v>
      </c>
      <c r="K1712" s="547">
        <v>149</v>
      </c>
      <c r="L1712" s="727" t="s">
        <v>92</v>
      </c>
      <c r="M1712" s="697">
        <v>0</v>
      </c>
      <c r="N1712" s="727">
        <v>1.5</v>
      </c>
      <c r="O1712" s="697">
        <v>0</v>
      </c>
      <c r="P1712" s="727">
        <v>204.7</v>
      </c>
      <c r="Q1712" s="750">
        <f t="shared" si="234"/>
        <v>0</v>
      </c>
      <c r="R1712" s="608">
        <f t="shared" si="235"/>
        <v>221076</v>
      </c>
      <c r="S1712" s="751">
        <f t="shared" si="236"/>
        <v>221076</v>
      </c>
      <c r="T1712" s="750">
        <v>55.7</v>
      </c>
      <c r="U1712" s="608">
        <f t="shared" si="237"/>
        <v>60156</v>
      </c>
      <c r="V1712" s="751">
        <f t="shared" si="238"/>
        <v>160920</v>
      </c>
      <c r="W1712" s="752">
        <v>55.7</v>
      </c>
      <c r="X1712" s="609">
        <f t="shared" si="239"/>
        <v>60156</v>
      </c>
      <c r="Y1712" s="703">
        <f t="shared" si="240"/>
        <v>160920</v>
      </c>
      <c r="Z1712" s="752">
        <v>55.7</v>
      </c>
      <c r="AA1712" s="609">
        <f t="shared" si="241"/>
        <v>60156</v>
      </c>
      <c r="AB1712" s="753">
        <f t="shared" si="242"/>
        <v>160920</v>
      </c>
      <c r="AC1712" s="714"/>
    </row>
    <row r="1713" spans="1:29" x14ac:dyDescent="0.25">
      <c r="A1713" s="713"/>
      <c r="B1713" s="731" t="s">
        <v>2565</v>
      </c>
      <c r="C1713" s="547" t="s">
        <v>40</v>
      </c>
      <c r="D1713" s="547" t="s">
        <v>1838</v>
      </c>
      <c r="E1713" s="683">
        <v>44866</v>
      </c>
      <c r="F1713" s="547">
        <v>720</v>
      </c>
      <c r="G1713" s="547" t="s">
        <v>59</v>
      </c>
      <c r="H1713" s="547" t="s">
        <v>6</v>
      </c>
      <c r="I1713" s="547" t="s">
        <v>44</v>
      </c>
      <c r="J1713" s="547" t="s">
        <v>85</v>
      </c>
      <c r="K1713" s="547">
        <v>149</v>
      </c>
      <c r="L1713" s="727" t="s">
        <v>92</v>
      </c>
      <c r="M1713" s="697">
        <v>0</v>
      </c>
      <c r="N1713" s="727">
        <v>0.62375000000000003</v>
      </c>
      <c r="O1713" s="697">
        <v>0</v>
      </c>
      <c r="P1713" s="727">
        <v>204.7</v>
      </c>
      <c r="Q1713" s="750">
        <f t="shared" si="234"/>
        <v>0</v>
      </c>
      <c r="R1713" s="608">
        <f t="shared" si="235"/>
        <v>91930.77</v>
      </c>
      <c r="S1713" s="751">
        <f t="shared" si="236"/>
        <v>91930.77</v>
      </c>
      <c r="T1713" s="750">
        <v>55.7</v>
      </c>
      <c r="U1713" s="608">
        <f t="shared" si="237"/>
        <v>25014.870000000003</v>
      </c>
      <c r="V1713" s="751">
        <f t="shared" si="238"/>
        <v>66915.899999999994</v>
      </c>
      <c r="W1713" s="752">
        <v>55.7</v>
      </c>
      <c r="X1713" s="609">
        <f t="shared" si="239"/>
        <v>25014.870000000003</v>
      </c>
      <c r="Y1713" s="703">
        <f t="shared" si="240"/>
        <v>66915.899999999994</v>
      </c>
      <c r="Z1713" s="752">
        <v>55.7</v>
      </c>
      <c r="AA1713" s="609">
        <f t="shared" si="241"/>
        <v>25014.870000000003</v>
      </c>
      <c r="AB1713" s="753">
        <f t="shared" si="242"/>
        <v>66915.899999999994</v>
      </c>
      <c r="AC1713" s="714"/>
    </row>
    <row r="1714" spans="1:29" x14ac:dyDescent="0.25">
      <c r="A1714" s="713"/>
      <c r="B1714" s="731" t="s">
        <v>2566</v>
      </c>
      <c r="C1714" s="547" t="s">
        <v>40</v>
      </c>
      <c r="D1714" s="547" t="s">
        <v>1134</v>
      </c>
      <c r="E1714" s="683">
        <v>44866</v>
      </c>
      <c r="F1714" s="547">
        <v>720</v>
      </c>
      <c r="G1714" s="547" t="s">
        <v>58</v>
      </c>
      <c r="H1714" s="547" t="s">
        <v>3</v>
      </c>
      <c r="I1714" s="547" t="s">
        <v>44</v>
      </c>
      <c r="J1714" s="547" t="s">
        <v>84</v>
      </c>
      <c r="K1714" s="547">
        <v>-1</v>
      </c>
      <c r="L1714" s="727" t="s">
        <v>92</v>
      </c>
      <c r="M1714" s="697">
        <v>6</v>
      </c>
      <c r="N1714" s="727">
        <v>0</v>
      </c>
      <c r="O1714" s="697">
        <v>54.7</v>
      </c>
      <c r="P1714" s="727">
        <v>0</v>
      </c>
      <c r="Q1714" s="750">
        <f t="shared" si="234"/>
        <v>236304</v>
      </c>
      <c r="R1714" s="608">
        <f t="shared" si="235"/>
        <v>0</v>
      </c>
      <c r="S1714" s="751">
        <f t="shared" si="236"/>
        <v>-236304</v>
      </c>
      <c r="T1714" s="750">
        <v>55.7</v>
      </c>
      <c r="U1714" s="608">
        <f t="shared" si="237"/>
        <v>-240624</v>
      </c>
      <c r="V1714" s="751">
        <f t="shared" si="238"/>
        <v>4320</v>
      </c>
      <c r="W1714" s="752">
        <v>55.7</v>
      </c>
      <c r="X1714" s="609">
        <f t="shared" si="239"/>
        <v>-240624</v>
      </c>
      <c r="Y1714" s="703">
        <f t="shared" si="240"/>
        <v>4320</v>
      </c>
      <c r="Z1714" s="752">
        <v>55.7</v>
      </c>
      <c r="AA1714" s="609">
        <f t="shared" si="241"/>
        <v>-240624</v>
      </c>
      <c r="AB1714" s="753">
        <f t="shared" si="242"/>
        <v>4320</v>
      </c>
      <c r="AC1714" s="714"/>
    </row>
    <row r="1715" spans="1:29" x14ac:dyDescent="0.25">
      <c r="A1715" s="713"/>
      <c r="B1715" s="731" t="s">
        <v>2567</v>
      </c>
      <c r="C1715" s="547" t="s">
        <v>40</v>
      </c>
      <c r="D1715" s="547" t="s">
        <v>531</v>
      </c>
      <c r="E1715" s="683">
        <v>44866</v>
      </c>
      <c r="F1715" s="547">
        <v>720</v>
      </c>
      <c r="G1715" s="547" t="s">
        <v>58</v>
      </c>
      <c r="H1715" s="547" t="s">
        <v>3</v>
      </c>
      <c r="I1715" s="547" t="s">
        <v>44</v>
      </c>
      <c r="J1715" s="547" t="s">
        <v>84</v>
      </c>
      <c r="K1715" s="547">
        <v>-1</v>
      </c>
      <c r="L1715" s="727" t="s">
        <v>92</v>
      </c>
      <c r="M1715" s="697">
        <v>4</v>
      </c>
      <c r="N1715" s="727">
        <v>0</v>
      </c>
      <c r="O1715" s="697">
        <v>54.7</v>
      </c>
      <c r="P1715" s="727">
        <v>0</v>
      </c>
      <c r="Q1715" s="750">
        <f t="shared" si="234"/>
        <v>157536</v>
      </c>
      <c r="R1715" s="608">
        <f t="shared" si="235"/>
        <v>0</v>
      </c>
      <c r="S1715" s="751">
        <f t="shared" si="236"/>
        <v>-157536</v>
      </c>
      <c r="T1715" s="750">
        <v>55.7</v>
      </c>
      <c r="U1715" s="608">
        <f t="shared" si="237"/>
        <v>-160416</v>
      </c>
      <c r="V1715" s="751">
        <f t="shared" si="238"/>
        <v>2880</v>
      </c>
      <c r="W1715" s="752">
        <v>55.7</v>
      </c>
      <c r="X1715" s="609">
        <f t="shared" si="239"/>
        <v>-160416</v>
      </c>
      <c r="Y1715" s="703">
        <f t="shared" si="240"/>
        <v>2880</v>
      </c>
      <c r="Z1715" s="752">
        <v>55.7</v>
      </c>
      <c r="AA1715" s="609">
        <f t="shared" si="241"/>
        <v>-160416</v>
      </c>
      <c r="AB1715" s="753">
        <f t="shared" si="242"/>
        <v>2880</v>
      </c>
      <c r="AC1715" s="714"/>
    </row>
    <row r="1716" spans="1:29" x14ac:dyDescent="0.25">
      <c r="A1716" s="713"/>
      <c r="B1716" s="731" t="s">
        <v>2568</v>
      </c>
      <c r="C1716" s="547" t="s">
        <v>40</v>
      </c>
      <c r="D1716" s="547" t="s">
        <v>2340</v>
      </c>
      <c r="E1716" s="683">
        <v>44866</v>
      </c>
      <c r="F1716" s="547">
        <v>720</v>
      </c>
      <c r="G1716" s="547" t="s">
        <v>58</v>
      </c>
      <c r="H1716" s="547" t="s">
        <v>3</v>
      </c>
      <c r="I1716" s="547" t="s">
        <v>44</v>
      </c>
      <c r="J1716" s="547" t="s">
        <v>84</v>
      </c>
      <c r="K1716" s="547">
        <v>-1</v>
      </c>
      <c r="L1716" s="727" t="s">
        <v>92</v>
      </c>
      <c r="M1716" s="697">
        <v>4</v>
      </c>
      <c r="N1716" s="727">
        <v>0</v>
      </c>
      <c r="O1716" s="697">
        <v>54.7</v>
      </c>
      <c r="P1716" s="727">
        <v>0</v>
      </c>
      <c r="Q1716" s="750">
        <f t="shared" si="234"/>
        <v>157536</v>
      </c>
      <c r="R1716" s="608">
        <f t="shared" si="235"/>
        <v>0</v>
      </c>
      <c r="S1716" s="751">
        <f t="shared" si="236"/>
        <v>-157536</v>
      </c>
      <c r="T1716" s="750">
        <v>55.7</v>
      </c>
      <c r="U1716" s="608">
        <f t="shared" si="237"/>
        <v>-160416</v>
      </c>
      <c r="V1716" s="751">
        <f t="shared" si="238"/>
        <v>2880</v>
      </c>
      <c r="W1716" s="752">
        <v>55.7</v>
      </c>
      <c r="X1716" s="609">
        <f t="shared" si="239"/>
        <v>-160416</v>
      </c>
      <c r="Y1716" s="703">
        <f t="shared" si="240"/>
        <v>2880</v>
      </c>
      <c r="Z1716" s="752">
        <v>55.7</v>
      </c>
      <c r="AA1716" s="609">
        <f t="shared" si="241"/>
        <v>-160416</v>
      </c>
      <c r="AB1716" s="753">
        <f t="shared" si="242"/>
        <v>2880</v>
      </c>
      <c r="AC1716" s="714"/>
    </row>
    <row r="1717" spans="1:29" x14ac:dyDescent="0.25">
      <c r="A1717" s="713"/>
      <c r="B1717" s="731" t="s">
        <v>2570</v>
      </c>
      <c r="C1717" s="547" t="s">
        <v>40</v>
      </c>
      <c r="D1717" s="547" t="s">
        <v>405</v>
      </c>
      <c r="E1717" s="683">
        <v>44866</v>
      </c>
      <c r="F1717" s="547">
        <v>720</v>
      </c>
      <c r="G1717" s="547" t="s">
        <v>58</v>
      </c>
      <c r="H1717" s="547" t="s">
        <v>3</v>
      </c>
      <c r="I1717" s="547" t="s">
        <v>44</v>
      </c>
      <c r="J1717" s="547" t="s">
        <v>84</v>
      </c>
      <c r="K1717" s="547">
        <v>-1</v>
      </c>
      <c r="L1717" s="727" t="s">
        <v>92</v>
      </c>
      <c r="M1717" s="697">
        <v>4.4000000000000004</v>
      </c>
      <c r="N1717" s="727">
        <v>0</v>
      </c>
      <c r="O1717" s="697">
        <v>54.7</v>
      </c>
      <c r="P1717" s="727">
        <v>0</v>
      </c>
      <c r="Q1717" s="750">
        <f t="shared" si="234"/>
        <v>173289.60000000003</v>
      </c>
      <c r="R1717" s="608">
        <f t="shared" si="235"/>
        <v>0</v>
      </c>
      <c r="S1717" s="751">
        <f t="shared" si="236"/>
        <v>-173289.60000000003</v>
      </c>
      <c r="T1717" s="750">
        <v>55.7</v>
      </c>
      <c r="U1717" s="608">
        <f t="shared" si="237"/>
        <v>-176457.60000000003</v>
      </c>
      <c r="V1717" s="751">
        <f t="shared" si="238"/>
        <v>3168</v>
      </c>
      <c r="W1717" s="752">
        <v>55.7</v>
      </c>
      <c r="X1717" s="609">
        <f t="shared" si="239"/>
        <v>-176457.60000000003</v>
      </c>
      <c r="Y1717" s="703">
        <f t="shared" si="240"/>
        <v>3168</v>
      </c>
      <c r="Z1717" s="752">
        <v>55.7</v>
      </c>
      <c r="AA1717" s="609">
        <f t="shared" si="241"/>
        <v>-176457.60000000003</v>
      </c>
      <c r="AB1717" s="753">
        <f t="shared" si="242"/>
        <v>3168</v>
      </c>
      <c r="AC1717" s="714"/>
    </row>
    <row r="1718" spans="1:29" x14ac:dyDescent="0.25">
      <c r="A1718" s="713"/>
      <c r="B1718" s="730" t="s">
        <v>2572</v>
      </c>
      <c r="C1718" s="546" t="s">
        <v>40</v>
      </c>
      <c r="D1718" s="546" t="s">
        <v>876</v>
      </c>
      <c r="E1718" s="682">
        <v>45658</v>
      </c>
      <c r="F1718" s="546">
        <v>744</v>
      </c>
      <c r="G1718" s="546" t="s">
        <v>59</v>
      </c>
      <c r="H1718" s="546" t="s">
        <v>3</v>
      </c>
      <c r="I1718" s="546" t="s">
        <v>11</v>
      </c>
      <c r="J1718" s="546" t="s">
        <v>85</v>
      </c>
      <c r="K1718" s="546">
        <v>130</v>
      </c>
      <c r="L1718" s="726" t="s">
        <v>54</v>
      </c>
      <c r="M1718" s="696">
        <v>0</v>
      </c>
      <c r="N1718" s="726">
        <v>35</v>
      </c>
      <c r="O1718" s="696">
        <v>0</v>
      </c>
      <c r="P1718" s="726">
        <v>130.62395100724254</v>
      </c>
      <c r="Q1718" s="746">
        <f t="shared" si="234"/>
        <v>0</v>
      </c>
      <c r="R1718" s="606">
        <f t="shared" si="235"/>
        <v>3401447.6842285958</v>
      </c>
      <c r="S1718" s="747">
        <f t="shared" si="236"/>
        <v>3401447.6842285958</v>
      </c>
      <c r="T1718" s="746">
        <v>112</v>
      </c>
      <c r="U1718" s="606">
        <f t="shared" si="237"/>
        <v>2916480</v>
      </c>
      <c r="V1718" s="747">
        <f t="shared" si="238"/>
        <v>484967.68422859581</v>
      </c>
      <c r="W1718" s="748">
        <v>112</v>
      </c>
      <c r="X1718" s="607">
        <f t="shared" si="239"/>
        <v>2916480</v>
      </c>
      <c r="Y1718" s="702">
        <f t="shared" si="240"/>
        <v>484967.68422859581</v>
      </c>
      <c r="Z1718" s="748">
        <v>112</v>
      </c>
      <c r="AA1718" s="607">
        <f t="shared" si="241"/>
        <v>2916480</v>
      </c>
      <c r="AB1718" s="749">
        <f t="shared" si="242"/>
        <v>484967.68422859581</v>
      </c>
      <c r="AC1718" s="714"/>
    </row>
    <row r="1719" spans="1:29" x14ac:dyDescent="0.25">
      <c r="A1719" s="713"/>
      <c r="B1719" s="714" t="s">
        <v>2572</v>
      </c>
      <c r="C1719" s="676" t="s">
        <v>40</v>
      </c>
      <c r="D1719" s="676" t="s">
        <v>876</v>
      </c>
      <c r="E1719" s="680">
        <v>45689</v>
      </c>
      <c r="F1719" s="676">
        <v>672</v>
      </c>
      <c r="G1719" s="676" t="s">
        <v>59</v>
      </c>
      <c r="H1719" s="676" t="s">
        <v>3</v>
      </c>
      <c r="I1719" s="676" t="s">
        <v>11</v>
      </c>
      <c r="J1719" s="676" t="s">
        <v>85</v>
      </c>
      <c r="K1719" s="676">
        <v>130</v>
      </c>
      <c r="L1719" s="690" t="s">
        <v>54</v>
      </c>
      <c r="M1719" s="691">
        <v>0</v>
      </c>
      <c r="N1719" s="690">
        <v>35</v>
      </c>
      <c r="O1719" s="691">
        <v>0</v>
      </c>
      <c r="P1719" s="690">
        <v>130.62395100724254</v>
      </c>
      <c r="Q1719" s="738">
        <f t="shared" si="234"/>
        <v>0</v>
      </c>
      <c r="R1719" s="677">
        <f t="shared" si="235"/>
        <v>3072275.3276903443</v>
      </c>
      <c r="S1719" s="739">
        <f t="shared" si="236"/>
        <v>3072275.3276903443</v>
      </c>
      <c r="T1719" s="738">
        <v>112</v>
      </c>
      <c r="U1719" s="677">
        <f t="shared" si="237"/>
        <v>2634240</v>
      </c>
      <c r="V1719" s="739">
        <f t="shared" si="238"/>
        <v>438035.3276903443</v>
      </c>
      <c r="W1719" s="740">
        <v>112</v>
      </c>
      <c r="X1719" s="678">
        <f t="shared" si="239"/>
        <v>2634240</v>
      </c>
      <c r="Y1719" s="700">
        <f t="shared" si="240"/>
        <v>438035.3276903443</v>
      </c>
      <c r="Z1719" s="740">
        <v>112</v>
      </c>
      <c r="AA1719" s="678">
        <f t="shared" si="241"/>
        <v>2634240</v>
      </c>
      <c r="AB1719" s="741">
        <f t="shared" si="242"/>
        <v>438035.3276903443</v>
      </c>
      <c r="AC1719" s="714"/>
    </row>
    <row r="1720" spans="1:29" x14ac:dyDescent="0.25">
      <c r="A1720" s="713"/>
      <c r="B1720" s="714" t="s">
        <v>2572</v>
      </c>
      <c r="C1720" s="676" t="s">
        <v>40</v>
      </c>
      <c r="D1720" s="676" t="s">
        <v>876</v>
      </c>
      <c r="E1720" s="680">
        <v>45717</v>
      </c>
      <c r="F1720" s="676">
        <v>744</v>
      </c>
      <c r="G1720" s="676" t="s">
        <v>59</v>
      </c>
      <c r="H1720" s="676" t="s">
        <v>3</v>
      </c>
      <c r="I1720" s="676" t="s">
        <v>11</v>
      </c>
      <c r="J1720" s="676" t="s">
        <v>85</v>
      </c>
      <c r="K1720" s="676">
        <v>130</v>
      </c>
      <c r="L1720" s="690" t="s">
        <v>54</v>
      </c>
      <c r="M1720" s="691">
        <v>0</v>
      </c>
      <c r="N1720" s="690">
        <v>35</v>
      </c>
      <c r="O1720" s="691">
        <v>0</v>
      </c>
      <c r="P1720" s="690">
        <v>130.62395100724254</v>
      </c>
      <c r="Q1720" s="738">
        <f t="shared" si="234"/>
        <v>0</v>
      </c>
      <c r="R1720" s="677">
        <f t="shared" si="235"/>
        <v>3401447.6842285958</v>
      </c>
      <c r="S1720" s="739">
        <f t="shared" si="236"/>
        <v>3401447.6842285958</v>
      </c>
      <c r="T1720" s="738">
        <v>112</v>
      </c>
      <c r="U1720" s="677">
        <f t="shared" si="237"/>
        <v>2916480</v>
      </c>
      <c r="V1720" s="739">
        <f t="shared" si="238"/>
        <v>484967.68422859581</v>
      </c>
      <c r="W1720" s="740">
        <v>112</v>
      </c>
      <c r="X1720" s="678">
        <f t="shared" si="239"/>
        <v>2916480</v>
      </c>
      <c r="Y1720" s="700">
        <f t="shared" si="240"/>
        <v>484967.68422859581</v>
      </c>
      <c r="Z1720" s="740">
        <v>112</v>
      </c>
      <c r="AA1720" s="678">
        <f t="shared" si="241"/>
        <v>2916480</v>
      </c>
      <c r="AB1720" s="741">
        <f t="shared" si="242"/>
        <v>484967.68422859581</v>
      </c>
      <c r="AC1720" s="714"/>
    </row>
    <row r="1721" spans="1:29" x14ac:dyDescent="0.25">
      <c r="A1721" s="713"/>
      <c r="B1721" s="714" t="s">
        <v>2572</v>
      </c>
      <c r="C1721" s="676" t="s">
        <v>40</v>
      </c>
      <c r="D1721" s="676" t="s">
        <v>876</v>
      </c>
      <c r="E1721" s="680">
        <v>45748</v>
      </c>
      <c r="F1721" s="676">
        <v>720</v>
      </c>
      <c r="G1721" s="676" t="s">
        <v>59</v>
      </c>
      <c r="H1721" s="676" t="s">
        <v>3</v>
      </c>
      <c r="I1721" s="676" t="s">
        <v>11</v>
      </c>
      <c r="J1721" s="676" t="s">
        <v>85</v>
      </c>
      <c r="K1721" s="676">
        <v>130</v>
      </c>
      <c r="L1721" s="690" t="s">
        <v>54</v>
      </c>
      <c r="M1721" s="691">
        <v>0</v>
      </c>
      <c r="N1721" s="690">
        <v>35</v>
      </c>
      <c r="O1721" s="691">
        <v>0</v>
      </c>
      <c r="P1721" s="690">
        <v>130.62395100724254</v>
      </c>
      <c r="Q1721" s="738">
        <f t="shared" si="234"/>
        <v>0</v>
      </c>
      <c r="R1721" s="677">
        <f t="shared" si="235"/>
        <v>3291723.5653825118</v>
      </c>
      <c r="S1721" s="739">
        <f t="shared" si="236"/>
        <v>3291723.5653825118</v>
      </c>
      <c r="T1721" s="738">
        <v>112</v>
      </c>
      <c r="U1721" s="677">
        <f t="shared" si="237"/>
        <v>2822400</v>
      </c>
      <c r="V1721" s="739">
        <f t="shared" si="238"/>
        <v>469323.56538251182</v>
      </c>
      <c r="W1721" s="740">
        <v>112</v>
      </c>
      <c r="X1721" s="678">
        <f t="shared" si="239"/>
        <v>2822400</v>
      </c>
      <c r="Y1721" s="700">
        <f t="shared" si="240"/>
        <v>469323.56538251182</v>
      </c>
      <c r="Z1721" s="740">
        <v>112</v>
      </c>
      <c r="AA1721" s="678">
        <f t="shared" si="241"/>
        <v>2822400</v>
      </c>
      <c r="AB1721" s="741">
        <f t="shared" si="242"/>
        <v>469323.56538251182</v>
      </c>
      <c r="AC1721" s="714"/>
    </row>
    <row r="1722" spans="1:29" x14ac:dyDescent="0.25">
      <c r="A1722" s="713"/>
      <c r="B1722" s="714" t="s">
        <v>2572</v>
      </c>
      <c r="C1722" s="676" t="s">
        <v>40</v>
      </c>
      <c r="D1722" s="676" t="s">
        <v>876</v>
      </c>
      <c r="E1722" s="680">
        <v>45778</v>
      </c>
      <c r="F1722" s="676">
        <v>744</v>
      </c>
      <c r="G1722" s="676" t="s">
        <v>59</v>
      </c>
      <c r="H1722" s="676" t="s">
        <v>3</v>
      </c>
      <c r="I1722" s="676" t="s">
        <v>11</v>
      </c>
      <c r="J1722" s="676" t="s">
        <v>85</v>
      </c>
      <c r="K1722" s="676">
        <v>130</v>
      </c>
      <c r="L1722" s="690" t="s">
        <v>54</v>
      </c>
      <c r="M1722" s="691">
        <v>0</v>
      </c>
      <c r="N1722" s="690">
        <v>35</v>
      </c>
      <c r="O1722" s="691">
        <v>0</v>
      </c>
      <c r="P1722" s="690">
        <v>130.62395100724254</v>
      </c>
      <c r="Q1722" s="738">
        <f t="shared" si="234"/>
        <v>0</v>
      </c>
      <c r="R1722" s="677">
        <f t="shared" si="235"/>
        <v>3401447.6842285958</v>
      </c>
      <c r="S1722" s="739">
        <f t="shared" si="236"/>
        <v>3401447.6842285958</v>
      </c>
      <c r="T1722" s="738">
        <v>112</v>
      </c>
      <c r="U1722" s="677">
        <f t="shared" si="237"/>
        <v>2916480</v>
      </c>
      <c r="V1722" s="739">
        <f t="shared" si="238"/>
        <v>484967.68422859581</v>
      </c>
      <c r="W1722" s="740">
        <v>112</v>
      </c>
      <c r="X1722" s="678">
        <f t="shared" si="239"/>
        <v>2916480</v>
      </c>
      <c r="Y1722" s="700">
        <f t="shared" si="240"/>
        <v>484967.68422859581</v>
      </c>
      <c r="Z1722" s="740">
        <v>112</v>
      </c>
      <c r="AA1722" s="678">
        <f t="shared" si="241"/>
        <v>2916480</v>
      </c>
      <c r="AB1722" s="741">
        <f t="shared" si="242"/>
        <v>484967.68422859581</v>
      </c>
      <c r="AC1722" s="714"/>
    </row>
    <row r="1723" spans="1:29" x14ac:dyDescent="0.25">
      <c r="A1723" s="713"/>
      <c r="B1723" s="714" t="s">
        <v>2572</v>
      </c>
      <c r="C1723" s="676" t="s">
        <v>40</v>
      </c>
      <c r="D1723" s="676" t="s">
        <v>876</v>
      </c>
      <c r="E1723" s="680">
        <v>45809</v>
      </c>
      <c r="F1723" s="676">
        <v>720</v>
      </c>
      <c r="G1723" s="676" t="s">
        <v>59</v>
      </c>
      <c r="H1723" s="676" t="s">
        <v>3</v>
      </c>
      <c r="I1723" s="676" t="s">
        <v>11</v>
      </c>
      <c r="J1723" s="676" t="s">
        <v>85</v>
      </c>
      <c r="K1723" s="676">
        <v>130</v>
      </c>
      <c r="L1723" s="690" t="s">
        <v>54</v>
      </c>
      <c r="M1723" s="691">
        <v>0</v>
      </c>
      <c r="N1723" s="690">
        <v>35</v>
      </c>
      <c r="O1723" s="691">
        <v>0</v>
      </c>
      <c r="P1723" s="690">
        <v>130.62395100724254</v>
      </c>
      <c r="Q1723" s="738">
        <f t="shared" si="234"/>
        <v>0</v>
      </c>
      <c r="R1723" s="677">
        <f t="shared" si="235"/>
        <v>3291723.5653825118</v>
      </c>
      <c r="S1723" s="739">
        <f t="shared" si="236"/>
        <v>3291723.5653825118</v>
      </c>
      <c r="T1723" s="738">
        <v>112</v>
      </c>
      <c r="U1723" s="677">
        <f t="shared" si="237"/>
        <v>2822400</v>
      </c>
      <c r="V1723" s="739">
        <f t="shared" si="238"/>
        <v>469323.56538251182</v>
      </c>
      <c r="W1723" s="740">
        <v>112</v>
      </c>
      <c r="X1723" s="678">
        <f t="shared" si="239"/>
        <v>2822400</v>
      </c>
      <c r="Y1723" s="700">
        <f t="shared" si="240"/>
        <v>469323.56538251182</v>
      </c>
      <c r="Z1723" s="740">
        <v>112</v>
      </c>
      <c r="AA1723" s="678">
        <f t="shared" si="241"/>
        <v>2822400</v>
      </c>
      <c r="AB1723" s="741">
        <f t="shared" si="242"/>
        <v>469323.56538251182</v>
      </c>
      <c r="AC1723" s="714"/>
    </row>
    <row r="1724" spans="1:29" x14ac:dyDescent="0.25">
      <c r="A1724" s="713"/>
      <c r="B1724" s="714" t="s">
        <v>2572</v>
      </c>
      <c r="C1724" s="676" t="s">
        <v>40</v>
      </c>
      <c r="D1724" s="676" t="s">
        <v>876</v>
      </c>
      <c r="E1724" s="680">
        <v>45839</v>
      </c>
      <c r="F1724" s="676">
        <v>744</v>
      </c>
      <c r="G1724" s="676" t="s">
        <v>59</v>
      </c>
      <c r="H1724" s="676" t="s">
        <v>3</v>
      </c>
      <c r="I1724" s="676" t="s">
        <v>11</v>
      </c>
      <c r="J1724" s="676" t="s">
        <v>85</v>
      </c>
      <c r="K1724" s="676">
        <v>130</v>
      </c>
      <c r="L1724" s="690" t="s">
        <v>54</v>
      </c>
      <c r="M1724" s="691">
        <v>0</v>
      </c>
      <c r="N1724" s="690">
        <v>35</v>
      </c>
      <c r="O1724" s="691">
        <v>0</v>
      </c>
      <c r="P1724" s="690">
        <v>130.62395100724254</v>
      </c>
      <c r="Q1724" s="738">
        <f t="shared" si="234"/>
        <v>0</v>
      </c>
      <c r="R1724" s="677">
        <f t="shared" si="235"/>
        <v>3401447.6842285958</v>
      </c>
      <c r="S1724" s="739">
        <f t="shared" si="236"/>
        <v>3401447.6842285958</v>
      </c>
      <c r="T1724" s="738">
        <v>112</v>
      </c>
      <c r="U1724" s="677">
        <f t="shared" si="237"/>
        <v>2916480</v>
      </c>
      <c r="V1724" s="739">
        <f t="shared" si="238"/>
        <v>484967.68422859581</v>
      </c>
      <c r="W1724" s="740">
        <v>112</v>
      </c>
      <c r="X1724" s="678">
        <f t="shared" si="239"/>
        <v>2916480</v>
      </c>
      <c r="Y1724" s="700">
        <f t="shared" si="240"/>
        <v>484967.68422859581</v>
      </c>
      <c r="Z1724" s="740">
        <v>112</v>
      </c>
      <c r="AA1724" s="678">
        <f t="shared" si="241"/>
        <v>2916480</v>
      </c>
      <c r="AB1724" s="741">
        <f t="shared" si="242"/>
        <v>484967.68422859581</v>
      </c>
      <c r="AC1724" s="714"/>
    </row>
    <row r="1725" spans="1:29" x14ac:dyDescent="0.25">
      <c r="A1725" s="713"/>
      <c r="B1725" s="714" t="s">
        <v>2572</v>
      </c>
      <c r="C1725" s="676" t="s">
        <v>40</v>
      </c>
      <c r="D1725" s="676" t="s">
        <v>876</v>
      </c>
      <c r="E1725" s="680">
        <v>45870</v>
      </c>
      <c r="F1725" s="676">
        <v>744</v>
      </c>
      <c r="G1725" s="676" t="s">
        <v>59</v>
      </c>
      <c r="H1725" s="676" t="s">
        <v>3</v>
      </c>
      <c r="I1725" s="676" t="s">
        <v>11</v>
      </c>
      <c r="J1725" s="676" t="s">
        <v>85</v>
      </c>
      <c r="K1725" s="676">
        <v>130</v>
      </c>
      <c r="L1725" s="690" t="s">
        <v>54</v>
      </c>
      <c r="M1725" s="691">
        <v>0</v>
      </c>
      <c r="N1725" s="690">
        <v>35</v>
      </c>
      <c r="O1725" s="691">
        <v>0</v>
      </c>
      <c r="P1725" s="690">
        <v>130.62395100724254</v>
      </c>
      <c r="Q1725" s="738">
        <f t="shared" si="234"/>
        <v>0</v>
      </c>
      <c r="R1725" s="677">
        <f t="shared" si="235"/>
        <v>3401447.6842285958</v>
      </c>
      <c r="S1725" s="739">
        <f t="shared" si="236"/>
        <v>3401447.6842285958</v>
      </c>
      <c r="T1725" s="738">
        <v>112</v>
      </c>
      <c r="U1725" s="677">
        <f t="shared" si="237"/>
        <v>2916480</v>
      </c>
      <c r="V1725" s="739">
        <f t="shared" si="238"/>
        <v>484967.68422859581</v>
      </c>
      <c r="W1725" s="740">
        <v>112</v>
      </c>
      <c r="X1725" s="678">
        <f t="shared" si="239"/>
        <v>2916480</v>
      </c>
      <c r="Y1725" s="700">
        <f t="shared" si="240"/>
        <v>484967.68422859581</v>
      </c>
      <c r="Z1725" s="740">
        <v>112</v>
      </c>
      <c r="AA1725" s="678">
        <f t="shared" si="241"/>
        <v>2916480</v>
      </c>
      <c r="AB1725" s="741">
        <f t="shared" si="242"/>
        <v>484967.68422859581</v>
      </c>
      <c r="AC1725" s="714"/>
    </row>
    <row r="1726" spans="1:29" x14ac:dyDescent="0.25">
      <c r="A1726" s="713"/>
      <c r="B1726" s="714" t="s">
        <v>2572</v>
      </c>
      <c r="C1726" s="676" t="s">
        <v>40</v>
      </c>
      <c r="D1726" s="676" t="s">
        <v>876</v>
      </c>
      <c r="E1726" s="680">
        <v>45901</v>
      </c>
      <c r="F1726" s="676">
        <v>720</v>
      </c>
      <c r="G1726" s="676" t="s">
        <v>59</v>
      </c>
      <c r="H1726" s="676" t="s">
        <v>3</v>
      </c>
      <c r="I1726" s="676" t="s">
        <v>11</v>
      </c>
      <c r="J1726" s="676" t="s">
        <v>85</v>
      </c>
      <c r="K1726" s="676">
        <v>130</v>
      </c>
      <c r="L1726" s="690" t="s">
        <v>54</v>
      </c>
      <c r="M1726" s="691">
        <v>0</v>
      </c>
      <c r="N1726" s="690">
        <v>35</v>
      </c>
      <c r="O1726" s="691">
        <v>0</v>
      </c>
      <c r="P1726" s="690">
        <v>130.62395100724254</v>
      </c>
      <c r="Q1726" s="738">
        <f t="shared" si="234"/>
        <v>0</v>
      </c>
      <c r="R1726" s="677">
        <f t="shared" si="235"/>
        <v>3291723.5653825118</v>
      </c>
      <c r="S1726" s="739">
        <f t="shared" si="236"/>
        <v>3291723.5653825118</v>
      </c>
      <c r="T1726" s="738">
        <v>112</v>
      </c>
      <c r="U1726" s="677">
        <f t="shared" si="237"/>
        <v>2822400</v>
      </c>
      <c r="V1726" s="739">
        <f t="shared" si="238"/>
        <v>469323.56538251182</v>
      </c>
      <c r="W1726" s="740">
        <v>112</v>
      </c>
      <c r="X1726" s="678">
        <f t="shared" si="239"/>
        <v>2822400</v>
      </c>
      <c r="Y1726" s="700">
        <f t="shared" si="240"/>
        <v>469323.56538251182</v>
      </c>
      <c r="Z1726" s="740">
        <v>112</v>
      </c>
      <c r="AA1726" s="678">
        <f t="shared" si="241"/>
        <v>2822400</v>
      </c>
      <c r="AB1726" s="741">
        <f t="shared" si="242"/>
        <v>469323.56538251182</v>
      </c>
      <c r="AC1726" s="714"/>
    </row>
    <row r="1727" spans="1:29" x14ac:dyDescent="0.25">
      <c r="A1727" s="713"/>
      <c r="B1727" s="714" t="s">
        <v>2572</v>
      </c>
      <c r="C1727" s="676" t="s">
        <v>40</v>
      </c>
      <c r="D1727" s="676" t="s">
        <v>876</v>
      </c>
      <c r="E1727" s="680">
        <v>45931</v>
      </c>
      <c r="F1727" s="676">
        <v>744</v>
      </c>
      <c r="G1727" s="676" t="s">
        <v>59</v>
      </c>
      <c r="H1727" s="676" t="s">
        <v>3</v>
      </c>
      <c r="I1727" s="676" t="s">
        <v>11</v>
      </c>
      <c r="J1727" s="676" t="s">
        <v>85</v>
      </c>
      <c r="K1727" s="676">
        <v>130</v>
      </c>
      <c r="L1727" s="690" t="s">
        <v>54</v>
      </c>
      <c r="M1727" s="691">
        <v>0</v>
      </c>
      <c r="N1727" s="690">
        <v>35</v>
      </c>
      <c r="O1727" s="691">
        <v>0</v>
      </c>
      <c r="P1727" s="690">
        <v>130.62395100724254</v>
      </c>
      <c r="Q1727" s="738">
        <f t="shared" si="234"/>
        <v>0</v>
      </c>
      <c r="R1727" s="677">
        <f t="shared" si="235"/>
        <v>3401447.6842285958</v>
      </c>
      <c r="S1727" s="739">
        <f t="shared" si="236"/>
        <v>3401447.6842285958</v>
      </c>
      <c r="T1727" s="738">
        <v>112</v>
      </c>
      <c r="U1727" s="677">
        <f t="shared" si="237"/>
        <v>2916480</v>
      </c>
      <c r="V1727" s="739">
        <f t="shared" si="238"/>
        <v>484967.68422859581</v>
      </c>
      <c r="W1727" s="740">
        <v>112</v>
      </c>
      <c r="X1727" s="678">
        <f t="shared" si="239"/>
        <v>2916480</v>
      </c>
      <c r="Y1727" s="700">
        <f t="shared" si="240"/>
        <v>484967.68422859581</v>
      </c>
      <c r="Z1727" s="740">
        <v>112</v>
      </c>
      <c r="AA1727" s="678">
        <f t="shared" si="241"/>
        <v>2916480</v>
      </c>
      <c r="AB1727" s="741">
        <f t="shared" si="242"/>
        <v>484967.68422859581</v>
      </c>
      <c r="AC1727" s="714"/>
    </row>
    <row r="1728" spans="1:29" x14ac:dyDescent="0.25">
      <c r="A1728" s="713"/>
      <c r="B1728" s="714" t="s">
        <v>2572</v>
      </c>
      <c r="C1728" s="676" t="s">
        <v>40</v>
      </c>
      <c r="D1728" s="676" t="s">
        <v>876</v>
      </c>
      <c r="E1728" s="680">
        <v>45962</v>
      </c>
      <c r="F1728" s="676">
        <v>720</v>
      </c>
      <c r="G1728" s="676" t="s">
        <v>59</v>
      </c>
      <c r="H1728" s="676" t="s">
        <v>3</v>
      </c>
      <c r="I1728" s="676" t="s">
        <v>11</v>
      </c>
      <c r="J1728" s="676" t="s">
        <v>85</v>
      </c>
      <c r="K1728" s="676">
        <v>130</v>
      </c>
      <c r="L1728" s="690" t="s">
        <v>54</v>
      </c>
      <c r="M1728" s="691">
        <v>0</v>
      </c>
      <c r="N1728" s="690">
        <v>35</v>
      </c>
      <c r="O1728" s="691">
        <v>0</v>
      </c>
      <c r="P1728" s="690">
        <v>130.62395100724254</v>
      </c>
      <c r="Q1728" s="738">
        <f t="shared" si="234"/>
        <v>0</v>
      </c>
      <c r="R1728" s="677">
        <f t="shared" si="235"/>
        <v>3291723.5653825118</v>
      </c>
      <c r="S1728" s="739">
        <f t="shared" si="236"/>
        <v>3291723.5653825118</v>
      </c>
      <c r="T1728" s="738">
        <v>112</v>
      </c>
      <c r="U1728" s="677">
        <f t="shared" si="237"/>
        <v>2822400</v>
      </c>
      <c r="V1728" s="739">
        <f t="shared" si="238"/>
        <v>469323.56538251182</v>
      </c>
      <c r="W1728" s="740">
        <v>112</v>
      </c>
      <c r="X1728" s="678">
        <f t="shared" si="239"/>
        <v>2822400</v>
      </c>
      <c r="Y1728" s="700">
        <f t="shared" si="240"/>
        <v>469323.56538251182</v>
      </c>
      <c r="Z1728" s="740">
        <v>112</v>
      </c>
      <c r="AA1728" s="678">
        <f t="shared" si="241"/>
        <v>2822400</v>
      </c>
      <c r="AB1728" s="741">
        <f t="shared" si="242"/>
        <v>469323.56538251182</v>
      </c>
      <c r="AC1728" s="714"/>
    </row>
    <row r="1729" spans="1:29" x14ac:dyDescent="0.25">
      <c r="A1729" s="713"/>
      <c r="B1729" s="729" t="s">
        <v>2572</v>
      </c>
      <c r="C1729" s="545" t="s">
        <v>40</v>
      </c>
      <c r="D1729" s="545" t="s">
        <v>876</v>
      </c>
      <c r="E1729" s="681">
        <v>45992</v>
      </c>
      <c r="F1729" s="545">
        <v>744</v>
      </c>
      <c r="G1729" s="545" t="s">
        <v>59</v>
      </c>
      <c r="H1729" s="545" t="s">
        <v>3</v>
      </c>
      <c r="I1729" s="545" t="s">
        <v>11</v>
      </c>
      <c r="J1729" s="545" t="s">
        <v>85</v>
      </c>
      <c r="K1729" s="545">
        <v>130</v>
      </c>
      <c r="L1729" s="725" t="s">
        <v>54</v>
      </c>
      <c r="M1729" s="695">
        <v>0</v>
      </c>
      <c r="N1729" s="725">
        <v>35</v>
      </c>
      <c r="O1729" s="695">
        <v>0</v>
      </c>
      <c r="P1729" s="725">
        <v>130.62395100724254</v>
      </c>
      <c r="Q1729" s="742">
        <f t="shared" si="234"/>
        <v>0</v>
      </c>
      <c r="R1729" s="603">
        <f t="shared" si="235"/>
        <v>3401447.6842285958</v>
      </c>
      <c r="S1729" s="743">
        <f t="shared" si="236"/>
        <v>3401447.6842285958</v>
      </c>
      <c r="T1729" s="742">
        <v>112</v>
      </c>
      <c r="U1729" s="603">
        <f t="shared" si="237"/>
        <v>2916480</v>
      </c>
      <c r="V1729" s="743">
        <f t="shared" si="238"/>
        <v>484967.68422859581</v>
      </c>
      <c r="W1729" s="744">
        <v>112</v>
      </c>
      <c r="X1729" s="604">
        <f t="shared" si="239"/>
        <v>2916480</v>
      </c>
      <c r="Y1729" s="701">
        <f t="shared" si="240"/>
        <v>484967.68422859581</v>
      </c>
      <c r="Z1729" s="744">
        <v>112</v>
      </c>
      <c r="AA1729" s="604">
        <f t="shared" si="241"/>
        <v>2916480</v>
      </c>
      <c r="AB1729" s="745">
        <f t="shared" si="242"/>
        <v>484967.68422859581</v>
      </c>
      <c r="AC1729" s="714"/>
    </row>
    <row r="1730" spans="1:29" x14ac:dyDescent="0.25">
      <c r="A1730" s="713"/>
      <c r="B1730" s="730" t="s">
        <v>2576</v>
      </c>
      <c r="C1730" s="546" t="s">
        <v>40</v>
      </c>
      <c r="D1730" s="546" t="s">
        <v>465</v>
      </c>
      <c r="E1730" s="682">
        <v>45108</v>
      </c>
      <c r="F1730" s="546">
        <v>744</v>
      </c>
      <c r="G1730" s="546" t="s">
        <v>59</v>
      </c>
      <c r="H1730" s="546" t="s">
        <v>3</v>
      </c>
      <c r="I1730" s="546" t="s">
        <v>44</v>
      </c>
      <c r="J1730" s="546" t="s">
        <v>85</v>
      </c>
      <c r="K1730" s="546">
        <v>91</v>
      </c>
      <c r="L1730" s="726" t="s">
        <v>54</v>
      </c>
      <c r="M1730" s="696">
        <v>0</v>
      </c>
      <c r="N1730" s="726">
        <v>1.5</v>
      </c>
      <c r="O1730" s="696">
        <v>0</v>
      </c>
      <c r="P1730" s="726">
        <v>91</v>
      </c>
      <c r="Q1730" s="746">
        <f t="shared" si="234"/>
        <v>0</v>
      </c>
      <c r="R1730" s="606">
        <f t="shared" si="235"/>
        <v>101556</v>
      </c>
      <c r="S1730" s="747">
        <f t="shared" si="236"/>
        <v>101556</v>
      </c>
      <c r="T1730" s="746">
        <v>77.150000000000006</v>
      </c>
      <c r="U1730" s="606">
        <f t="shared" si="237"/>
        <v>86099.400000000009</v>
      </c>
      <c r="V1730" s="747">
        <f t="shared" si="238"/>
        <v>15456.599999999991</v>
      </c>
      <c r="W1730" s="748">
        <v>59.54033706800562</v>
      </c>
      <c r="X1730" s="607">
        <f t="shared" si="239"/>
        <v>66447.016167894268</v>
      </c>
      <c r="Y1730" s="702">
        <f t="shared" si="240"/>
        <v>35108.983832105732</v>
      </c>
      <c r="Z1730" s="748">
        <v>94.759662931994384</v>
      </c>
      <c r="AA1730" s="607">
        <f t="shared" si="241"/>
        <v>105751.78383210574</v>
      </c>
      <c r="AB1730" s="749">
        <f t="shared" si="242"/>
        <v>-4195.7838321057352</v>
      </c>
      <c r="AC1730" s="714"/>
    </row>
    <row r="1731" spans="1:29" x14ac:dyDescent="0.25">
      <c r="A1731" s="713"/>
      <c r="B1731" s="714" t="s">
        <v>2576</v>
      </c>
      <c r="C1731" s="676" t="s">
        <v>40</v>
      </c>
      <c r="D1731" s="676" t="s">
        <v>465</v>
      </c>
      <c r="E1731" s="680">
        <v>45139</v>
      </c>
      <c r="F1731" s="676">
        <v>744</v>
      </c>
      <c r="G1731" s="676" t="s">
        <v>59</v>
      </c>
      <c r="H1731" s="676" t="s">
        <v>3</v>
      </c>
      <c r="I1731" s="676" t="s">
        <v>44</v>
      </c>
      <c r="J1731" s="676" t="s">
        <v>85</v>
      </c>
      <c r="K1731" s="676">
        <v>91</v>
      </c>
      <c r="L1731" s="690" t="s">
        <v>54</v>
      </c>
      <c r="M1731" s="691">
        <v>0</v>
      </c>
      <c r="N1731" s="690">
        <v>1.5</v>
      </c>
      <c r="O1731" s="691">
        <v>0</v>
      </c>
      <c r="P1731" s="690">
        <v>91</v>
      </c>
      <c r="Q1731" s="738">
        <f t="shared" ref="Q1731:Q1794" si="243">(O1731*(M1731*F1731))</f>
        <v>0</v>
      </c>
      <c r="R1731" s="677">
        <f t="shared" ref="R1731:R1794" si="244">(P1731*(N1731*F1731))</f>
        <v>101556</v>
      </c>
      <c r="S1731" s="739">
        <f t="shared" ref="S1731:S1794" si="245">R1731-Q1731</f>
        <v>101556</v>
      </c>
      <c r="T1731" s="738">
        <v>77.150000000000006</v>
      </c>
      <c r="U1731" s="677">
        <f t="shared" ref="U1731:U1794" si="246">(((F1731*N1731)*T1731)-(T1731*(M1731*F1731)))</f>
        <v>86099.400000000009</v>
      </c>
      <c r="V1731" s="739">
        <f t="shared" ref="V1731:V1794" si="247">S1731-U1731</f>
        <v>15456.599999999991</v>
      </c>
      <c r="W1731" s="740">
        <v>59.54033706800562</v>
      </c>
      <c r="X1731" s="678">
        <f t="shared" ref="X1731:X1794" si="248">(((F1731*N1731)*W1731)-(W1731*(M1731*F1731)))</f>
        <v>66447.016167894268</v>
      </c>
      <c r="Y1731" s="700">
        <f t="shared" ref="Y1731:Y1794" si="249">S1731-X1731</f>
        <v>35108.983832105732</v>
      </c>
      <c r="Z1731" s="740">
        <v>94.759662931994384</v>
      </c>
      <c r="AA1731" s="678">
        <f t="shared" ref="AA1731:AA1794" si="250">(((F1731*N1731)*Z1731)-(Z1731*(M1731*F1731)))</f>
        <v>105751.78383210574</v>
      </c>
      <c r="AB1731" s="741">
        <f t="shared" ref="AB1731:AB1794" si="251">S1731-AA1731</f>
        <v>-4195.7838321057352</v>
      </c>
      <c r="AC1731" s="714"/>
    </row>
    <row r="1732" spans="1:29" x14ac:dyDescent="0.25">
      <c r="A1732" s="713"/>
      <c r="B1732" s="729" t="s">
        <v>2576</v>
      </c>
      <c r="C1732" s="545" t="s">
        <v>40</v>
      </c>
      <c r="D1732" s="545" t="s">
        <v>465</v>
      </c>
      <c r="E1732" s="681">
        <v>45170</v>
      </c>
      <c r="F1732" s="545">
        <v>720</v>
      </c>
      <c r="G1732" s="545" t="s">
        <v>59</v>
      </c>
      <c r="H1732" s="545" t="s">
        <v>3</v>
      </c>
      <c r="I1732" s="545" t="s">
        <v>44</v>
      </c>
      <c r="J1732" s="545" t="s">
        <v>85</v>
      </c>
      <c r="K1732" s="545">
        <v>91</v>
      </c>
      <c r="L1732" s="725" t="s">
        <v>54</v>
      </c>
      <c r="M1732" s="695">
        <v>0</v>
      </c>
      <c r="N1732" s="725">
        <v>1.5</v>
      </c>
      <c r="O1732" s="695">
        <v>0</v>
      </c>
      <c r="P1732" s="725">
        <v>91</v>
      </c>
      <c r="Q1732" s="742">
        <f t="shared" si="243"/>
        <v>0</v>
      </c>
      <c r="R1732" s="603">
        <f t="shared" si="244"/>
        <v>98280</v>
      </c>
      <c r="S1732" s="743">
        <f t="shared" si="245"/>
        <v>98280</v>
      </c>
      <c r="T1732" s="742">
        <v>77.150000000000006</v>
      </c>
      <c r="U1732" s="603">
        <f t="shared" si="246"/>
        <v>83322</v>
      </c>
      <c r="V1732" s="743">
        <f t="shared" si="247"/>
        <v>14958</v>
      </c>
      <c r="W1732" s="744">
        <v>59.54033706800562</v>
      </c>
      <c r="X1732" s="604">
        <f t="shared" si="248"/>
        <v>64303.56403344607</v>
      </c>
      <c r="Y1732" s="701">
        <f t="shared" si="249"/>
        <v>33976.43596655393</v>
      </c>
      <c r="Z1732" s="744">
        <v>94.759662931994384</v>
      </c>
      <c r="AA1732" s="604">
        <f t="shared" si="250"/>
        <v>102340.43596655394</v>
      </c>
      <c r="AB1732" s="745">
        <f t="shared" si="251"/>
        <v>-4060.4359665539378</v>
      </c>
      <c r="AC1732" s="714"/>
    </row>
    <row r="1733" spans="1:29" x14ac:dyDescent="0.25">
      <c r="A1733" s="713"/>
      <c r="B1733" s="730" t="s">
        <v>2577</v>
      </c>
      <c r="C1733" s="546" t="s">
        <v>40</v>
      </c>
      <c r="D1733" s="546" t="s">
        <v>465</v>
      </c>
      <c r="E1733" s="682">
        <v>45108</v>
      </c>
      <c r="F1733" s="546">
        <v>744</v>
      </c>
      <c r="G1733" s="546" t="s">
        <v>59</v>
      </c>
      <c r="H1733" s="546" t="s">
        <v>3</v>
      </c>
      <c r="I1733" s="546" t="s">
        <v>44</v>
      </c>
      <c r="J1733" s="546" t="s">
        <v>85</v>
      </c>
      <c r="K1733" s="546">
        <v>91</v>
      </c>
      <c r="L1733" s="726" t="s">
        <v>54</v>
      </c>
      <c r="M1733" s="696">
        <v>0</v>
      </c>
      <c r="N1733" s="726">
        <v>3</v>
      </c>
      <c r="O1733" s="696">
        <v>0</v>
      </c>
      <c r="P1733" s="726">
        <v>91</v>
      </c>
      <c r="Q1733" s="746">
        <f t="shared" si="243"/>
        <v>0</v>
      </c>
      <c r="R1733" s="606">
        <f t="shared" si="244"/>
        <v>203112</v>
      </c>
      <c r="S1733" s="747">
        <f t="shared" si="245"/>
        <v>203112</v>
      </c>
      <c r="T1733" s="746">
        <v>77.150000000000006</v>
      </c>
      <c r="U1733" s="606">
        <f t="shared" si="246"/>
        <v>172198.80000000002</v>
      </c>
      <c r="V1733" s="747">
        <f t="shared" si="247"/>
        <v>30913.199999999983</v>
      </c>
      <c r="W1733" s="748">
        <v>59.54033706800562</v>
      </c>
      <c r="X1733" s="607">
        <f t="shared" si="248"/>
        <v>132894.03233578854</v>
      </c>
      <c r="Y1733" s="702">
        <f t="shared" si="249"/>
        <v>70217.967664211465</v>
      </c>
      <c r="Z1733" s="748">
        <v>94.759662931994384</v>
      </c>
      <c r="AA1733" s="607">
        <f t="shared" si="250"/>
        <v>211503.56766421147</v>
      </c>
      <c r="AB1733" s="749">
        <f t="shared" si="251"/>
        <v>-8391.5676642114704</v>
      </c>
      <c r="AC1733" s="714"/>
    </row>
    <row r="1734" spans="1:29" x14ac:dyDescent="0.25">
      <c r="A1734" s="713"/>
      <c r="B1734" s="714" t="s">
        <v>2577</v>
      </c>
      <c r="C1734" s="676" t="s">
        <v>40</v>
      </c>
      <c r="D1734" s="676" t="s">
        <v>465</v>
      </c>
      <c r="E1734" s="680">
        <v>45139</v>
      </c>
      <c r="F1734" s="676">
        <v>744</v>
      </c>
      <c r="G1734" s="676" t="s">
        <v>59</v>
      </c>
      <c r="H1734" s="676" t="s">
        <v>3</v>
      </c>
      <c r="I1734" s="676" t="s">
        <v>44</v>
      </c>
      <c r="J1734" s="676" t="s">
        <v>85</v>
      </c>
      <c r="K1734" s="676">
        <v>91</v>
      </c>
      <c r="L1734" s="690" t="s">
        <v>54</v>
      </c>
      <c r="M1734" s="691">
        <v>0</v>
      </c>
      <c r="N1734" s="690">
        <v>3</v>
      </c>
      <c r="O1734" s="691">
        <v>0</v>
      </c>
      <c r="P1734" s="690">
        <v>91</v>
      </c>
      <c r="Q1734" s="738">
        <f t="shared" si="243"/>
        <v>0</v>
      </c>
      <c r="R1734" s="677">
        <f t="shared" si="244"/>
        <v>203112</v>
      </c>
      <c r="S1734" s="739">
        <f t="shared" si="245"/>
        <v>203112</v>
      </c>
      <c r="T1734" s="738">
        <v>77.150000000000006</v>
      </c>
      <c r="U1734" s="677">
        <f t="shared" si="246"/>
        <v>172198.80000000002</v>
      </c>
      <c r="V1734" s="739">
        <f t="shared" si="247"/>
        <v>30913.199999999983</v>
      </c>
      <c r="W1734" s="740">
        <v>59.54033706800562</v>
      </c>
      <c r="X1734" s="678">
        <f t="shared" si="248"/>
        <v>132894.03233578854</v>
      </c>
      <c r="Y1734" s="700">
        <f t="shared" si="249"/>
        <v>70217.967664211465</v>
      </c>
      <c r="Z1734" s="740">
        <v>94.759662931994384</v>
      </c>
      <c r="AA1734" s="678">
        <f t="shared" si="250"/>
        <v>211503.56766421147</v>
      </c>
      <c r="AB1734" s="741">
        <f t="shared" si="251"/>
        <v>-8391.5676642114704</v>
      </c>
      <c r="AC1734" s="714"/>
    </row>
    <row r="1735" spans="1:29" x14ac:dyDescent="0.25">
      <c r="A1735" s="713"/>
      <c r="B1735" s="729" t="s">
        <v>2577</v>
      </c>
      <c r="C1735" s="545" t="s">
        <v>40</v>
      </c>
      <c r="D1735" s="545" t="s">
        <v>465</v>
      </c>
      <c r="E1735" s="681">
        <v>45170</v>
      </c>
      <c r="F1735" s="545">
        <v>720</v>
      </c>
      <c r="G1735" s="545" t="s">
        <v>59</v>
      </c>
      <c r="H1735" s="545" t="s">
        <v>3</v>
      </c>
      <c r="I1735" s="545" t="s">
        <v>44</v>
      </c>
      <c r="J1735" s="545" t="s">
        <v>85</v>
      </c>
      <c r="K1735" s="545">
        <v>91</v>
      </c>
      <c r="L1735" s="725" t="s">
        <v>54</v>
      </c>
      <c r="M1735" s="695">
        <v>0</v>
      </c>
      <c r="N1735" s="725">
        <v>3</v>
      </c>
      <c r="O1735" s="695">
        <v>0</v>
      </c>
      <c r="P1735" s="725">
        <v>91</v>
      </c>
      <c r="Q1735" s="742">
        <f t="shared" si="243"/>
        <v>0</v>
      </c>
      <c r="R1735" s="603">
        <f t="shared" si="244"/>
        <v>196560</v>
      </c>
      <c r="S1735" s="743">
        <f t="shared" si="245"/>
        <v>196560</v>
      </c>
      <c r="T1735" s="742">
        <v>77.150000000000006</v>
      </c>
      <c r="U1735" s="603">
        <f t="shared" si="246"/>
        <v>166644</v>
      </c>
      <c r="V1735" s="743">
        <f t="shared" si="247"/>
        <v>29916</v>
      </c>
      <c r="W1735" s="744">
        <v>59.54033706800562</v>
      </c>
      <c r="X1735" s="604">
        <f t="shared" si="248"/>
        <v>128607.12806689214</v>
      </c>
      <c r="Y1735" s="701">
        <f t="shared" si="249"/>
        <v>67952.871933107861</v>
      </c>
      <c r="Z1735" s="744">
        <v>94.759662931994384</v>
      </c>
      <c r="AA1735" s="604">
        <f t="shared" si="250"/>
        <v>204680.87193310788</v>
      </c>
      <c r="AB1735" s="745">
        <f t="shared" si="251"/>
        <v>-8120.8719331078755</v>
      </c>
      <c r="AC1735" s="714"/>
    </row>
    <row r="1736" spans="1:29" x14ac:dyDescent="0.25">
      <c r="A1736" s="713"/>
      <c r="B1736" s="730" t="s">
        <v>2578</v>
      </c>
      <c r="C1736" s="546" t="s">
        <v>40</v>
      </c>
      <c r="D1736" s="546" t="s">
        <v>509</v>
      </c>
      <c r="E1736" s="682">
        <v>45017</v>
      </c>
      <c r="F1736" s="546">
        <v>720</v>
      </c>
      <c r="G1736" s="546" t="s">
        <v>58</v>
      </c>
      <c r="H1736" s="546" t="s">
        <v>3</v>
      </c>
      <c r="I1736" s="546" t="s">
        <v>44</v>
      </c>
      <c r="J1736" s="546" t="s">
        <v>84</v>
      </c>
      <c r="K1736" s="546">
        <v>73</v>
      </c>
      <c r="L1736" s="726" t="s">
        <v>54</v>
      </c>
      <c r="M1736" s="696">
        <v>3</v>
      </c>
      <c r="N1736" s="726">
        <v>0</v>
      </c>
      <c r="O1736" s="696">
        <v>73</v>
      </c>
      <c r="P1736" s="726">
        <v>0</v>
      </c>
      <c r="Q1736" s="746">
        <f t="shared" si="243"/>
        <v>157680</v>
      </c>
      <c r="R1736" s="606">
        <f t="shared" si="244"/>
        <v>0</v>
      </c>
      <c r="S1736" s="747">
        <f t="shared" si="245"/>
        <v>-157680</v>
      </c>
      <c r="T1736" s="746">
        <v>69.8</v>
      </c>
      <c r="U1736" s="606">
        <f t="shared" si="246"/>
        <v>-150768</v>
      </c>
      <c r="V1736" s="747">
        <f t="shared" si="247"/>
        <v>-6912</v>
      </c>
      <c r="W1736" s="748">
        <v>55.7</v>
      </c>
      <c r="X1736" s="607">
        <f t="shared" si="248"/>
        <v>-120312</v>
      </c>
      <c r="Y1736" s="702">
        <f t="shared" si="249"/>
        <v>-37368</v>
      </c>
      <c r="Z1736" s="748">
        <v>85.732008718771311</v>
      </c>
      <c r="AA1736" s="607">
        <f t="shared" si="250"/>
        <v>-185181.13883254604</v>
      </c>
      <c r="AB1736" s="749">
        <f t="shared" si="251"/>
        <v>27501.138832546043</v>
      </c>
      <c r="AC1736" s="714"/>
    </row>
    <row r="1737" spans="1:29" x14ac:dyDescent="0.25">
      <c r="A1737" s="713"/>
      <c r="B1737" s="714" t="s">
        <v>2578</v>
      </c>
      <c r="C1737" s="676" t="s">
        <v>40</v>
      </c>
      <c r="D1737" s="676" t="s">
        <v>509</v>
      </c>
      <c r="E1737" s="680">
        <v>45047</v>
      </c>
      <c r="F1737" s="676">
        <v>744</v>
      </c>
      <c r="G1737" s="676" t="s">
        <v>58</v>
      </c>
      <c r="H1737" s="676" t="s">
        <v>3</v>
      </c>
      <c r="I1737" s="676" t="s">
        <v>44</v>
      </c>
      <c r="J1737" s="676" t="s">
        <v>84</v>
      </c>
      <c r="K1737" s="676">
        <v>73</v>
      </c>
      <c r="L1737" s="690" t="s">
        <v>54</v>
      </c>
      <c r="M1737" s="691">
        <v>3</v>
      </c>
      <c r="N1737" s="690">
        <v>0</v>
      </c>
      <c r="O1737" s="691">
        <v>73</v>
      </c>
      <c r="P1737" s="690">
        <v>0</v>
      </c>
      <c r="Q1737" s="738">
        <f t="shared" si="243"/>
        <v>162936</v>
      </c>
      <c r="R1737" s="677">
        <f t="shared" si="244"/>
        <v>0</v>
      </c>
      <c r="S1737" s="739">
        <f t="shared" si="245"/>
        <v>-162936</v>
      </c>
      <c r="T1737" s="738">
        <v>70.2</v>
      </c>
      <c r="U1737" s="677">
        <f t="shared" si="246"/>
        <v>-156686.39999999999</v>
      </c>
      <c r="V1737" s="739">
        <f t="shared" si="247"/>
        <v>-6249.6000000000058</v>
      </c>
      <c r="W1737" s="740">
        <v>55.7</v>
      </c>
      <c r="X1737" s="678">
        <f t="shared" si="248"/>
        <v>-124322.40000000001</v>
      </c>
      <c r="Y1737" s="700">
        <f t="shared" si="249"/>
        <v>-38613.599999999991</v>
      </c>
      <c r="Z1737" s="740">
        <v>86.223309628334476</v>
      </c>
      <c r="AA1737" s="678">
        <f t="shared" si="250"/>
        <v>-192450.42709044256</v>
      </c>
      <c r="AB1737" s="741">
        <f t="shared" si="251"/>
        <v>29514.427090442565</v>
      </c>
      <c r="AC1737" s="714"/>
    </row>
    <row r="1738" spans="1:29" x14ac:dyDescent="0.25">
      <c r="A1738" s="713"/>
      <c r="B1738" s="729" t="s">
        <v>2578</v>
      </c>
      <c r="C1738" s="545" t="s">
        <v>40</v>
      </c>
      <c r="D1738" s="545" t="s">
        <v>509</v>
      </c>
      <c r="E1738" s="681">
        <v>45078</v>
      </c>
      <c r="F1738" s="545">
        <v>720</v>
      </c>
      <c r="G1738" s="545" t="s">
        <v>58</v>
      </c>
      <c r="H1738" s="545" t="s">
        <v>3</v>
      </c>
      <c r="I1738" s="545" t="s">
        <v>44</v>
      </c>
      <c r="J1738" s="545" t="s">
        <v>84</v>
      </c>
      <c r="K1738" s="545">
        <v>73</v>
      </c>
      <c r="L1738" s="725" t="s">
        <v>54</v>
      </c>
      <c r="M1738" s="695">
        <v>3</v>
      </c>
      <c r="N1738" s="725">
        <v>0</v>
      </c>
      <c r="O1738" s="695">
        <v>73</v>
      </c>
      <c r="P1738" s="725">
        <v>0</v>
      </c>
      <c r="Q1738" s="742">
        <f t="shared" si="243"/>
        <v>157680</v>
      </c>
      <c r="R1738" s="603">
        <f t="shared" si="244"/>
        <v>0</v>
      </c>
      <c r="S1738" s="743">
        <f t="shared" si="245"/>
        <v>-157680</v>
      </c>
      <c r="T1738" s="742">
        <v>72.400000000000006</v>
      </c>
      <c r="U1738" s="603">
        <f t="shared" si="246"/>
        <v>-156384</v>
      </c>
      <c r="V1738" s="743">
        <f t="shared" si="247"/>
        <v>-1296</v>
      </c>
      <c r="W1738" s="744">
        <v>55.874535369068141</v>
      </c>
      <c r="X1738" s="604">
        <f t="shared" si="248"/>
        <v>-120688.99639718719</v>
      </c>
      <c r="Y1738" s="701">
        <f t="shared" si="249"/>
        <v>-36991.003602812809</v>
      </c>
      <c r="Z1738" s="744">
        <v>88.925464630931856</v>
      </c>
      <c r="AA1738" s="604">
        <f t="shared" si="250"/>
        <v>-192079.00360281282</v>
      </c>
      <c r="AB1738" s="745">
        <f t="shared" si="251"/>
        <v>34399.003602812823</v>
      </c>
      <c r="AC1738" s="714"/>
    </row>
    <row r="1739" spans="1:29" x14ac:dyDescent="0.25">
      <c r="A1739" s="713"/>
      <c r="B1739" s="730" t="s">
        <v>2583</v>
      </c>
      <c r="C1739" s="546" t="s">
        <v>40</v>
      </c>
      <c r="D1739" s="546" t="s">
        <v>2581</v>
      </c>
      <c r="E1739" s="682">
        <v>45292</v>
      </c>
      <c r="F1739" s="546">
        <v>744</v>
      </c>
      <c r="G1739" s="546" t="s">
        <v>59</v>
      </c>
      <c r="H1739" s="546" t="s">
        <v>3</v>
      </c>
      <c r="I1739" s="546" t="s">
        <v>44</v>
      </c>
      <c r="J1739" s="546" t="s">
        <v>85</v>
      </c>
      <c r="K1739" s="546">
        <v>115</v>
      </c>
      <c r="L1739" s="726" t="s">
        <v>54</v>
      </c>
      <c r="M1739" s="696">
        <v>0</v>
      </c>
      <c r="N1739" s="726">
        <v>2</v>
      </c>
      <c r="O1739" s="696">
        <v>0</v>
      </c>
      <c r="P1739" s="726">
        <v>115.551956660253</v>
      </c>
      <c r="Q1739" s="746">
        <f t="shared" si="243"/>
        <v>0</v>
      </c>
      <c r="R1739" s="606">
        <f t="shared" si="244"/>
        <v>171941.31151045646</v>
      </c>
      <c r="S1739" s="747">
        <f t="shared" si="245"/>
        <v>171941.31151045646</v>
      </c>
      <c r="T1739" s="746">
        <v>100.1</v>
      </c>
      <c r="U1739" s="606">
        <f t="shared" si="246"/>
        <v>148948.79999999999</v>
      </c>
      <c r="V1739" s="747">
        <f t="shared" si="247"/>
        <v>22992.511510456476</v>
      </c>
      <c r="W1739" s="748">
        <v>92.278761745078526</v>
      </c>
      <c r="X1739" s="607">
        <f t="shared" si="248"/>
        <v>137310.79747667685</v>
      </c>
      <c r="Y1739" s="702">
        <f t="shared" si="249"/>
        <v>34630.514033779618</v>
      </c>
      <c r="Z1739" s="748">
        <v>107.92123825492146</v>
      </c>
      <c r="AA1739" s="607">
        <f t="shared" si="250"/>
        <v>160586.80252332313</v>
      </c>
      <c r="AB1739" s="749">
        <f t="shared" si="251"/>
        <v>11354.508987133333</v>
      </c>
      <c r="AC1739" s="714"/>
    </row>
    <row r="1740" spans="1:29" x14ac:dyDescent="0.25">
      <c r="A1740" s="713"/>
      <c r="B1740" s="714" t="s">
        <v>2583</v>
      </c>
      <c r="C1740" s="676" t="s">
        <v>40</v>
      </c>
      <c r="D1740" s="676" t="s">
        <v>2581</v>
      </c>
      <c r="E1740" s="680">
        <v>45323</v>
      </c>
      <c r="F1740" s="676">
        <v>696</v>
      </c>
      <c r="G1740" s="676" t="s">
        <v>59</v>
      </c>
      <c r="H1740" s="676" t="s">
        <v>3</v>
      </c>
      <c r="I1740" s="676" t="s">
        <v>44</v>
      </c>
      <c r="J1740" s="676" t="s">
        <v>85</v>
      </c>
      <c r="K1740" s="676">
        <v>115</v>
      </c>
      <c r="L1740" s="690" t="s">
        <v>54</v>
      </c>
      <c r="M1740" s="691">
        <v>0</v>
      </c>
      <c r="N1740" s="690">
        <v>2</v>
      </c>
      <c r="O1740" s="691">
        <v>0</v>
      </c>
      <c r="P1740" s="690">
        <v>115.551956660253</v>
      </c>
      <c r="Q1740" s="738">
        <f t="shared" si="243"/>
        <v>0</v>
      </c>
      <c r="R1740" s="677">
        <f t="shared" si="244"/>
        <v>160848.32367107217</v>
      </c>
      <c r="S1740" s="739">
        <f t="shared" si="245"/>
        <v>160848.32367107217</v>
      </c>
      <c r="T1740" s="738">
        <v>100.1</v>
      </c>
      <c r="U1740" s="677">
        <f t="shared" si="246"/>
        <v>139339.19999999998</v>
      </c>
      <c r="V1740" s="739">
        <f t="shared" si="247"/>
        <v>21509.123671072186</v>
      </c>
      <c r="W1740" s="740">
        <v>92.278761745078526</v>
      </c>
      <c r="X1740" s="678">
        <f t="shared" si="248"/>
        <v>128452.0363491493</v>
      </c>
      <c r="Y1740" s="700">
        <f t="shared" si="249"/>
        <v>32396.287321922864</v>
      </c>
      <c r="Z1740" s="740">
        <v>107.92123825492146</v>
      </c>
      <c r="AA1740" s="678">
        <f t="shared" si="250"/>
        <v>150226.36365085069</v>
      </c>
      <c r="AB1740" s="741">
        <f t="shared" si="251"/>
        <v>10621.960020221479</v>
      </c>
      <c r="AC1740" s="714"/>
    </row>
    <row r="1741" spans="1:29" x14ac:dyDescent="0.25">
      <c r="A1741" s="713"/>
      <c r="B1741" s="714" t="s">
        <v>2583</v>
      </c>
      <c r="C1741" s="676" t="s">
        <v>40</v>
      </c>
      <c r="D1741" s="676" t="s">
        <v>2581</v>
      </c>
      <c r="E1741" s="680">
        <v>45352</v>
      </c>
      <c r="F1741" s="676">
        <v>744</v>
      </c>
      <c r="G1741" s="676" t="s">
        <v>59</v>
      </c>
      <c r="H1741" s="676" t="s">
        <v>3</v>
      </c>
      <c r="I1741" s="676" t="s">
        <v>44</v>
      </c>
      <c r="J1741" s="676" t="s">
        <v>85</v>
      </c>
      <c r="K1741" s="676">
        <v>115</v>
      </c>
      <c r="L1741" s="690" t="s">
        <v>54</v>
      </c>
      <c r="M1741" s="691">
        <v>0</v>
      </c>
      <c r="N1741" s="690">
        <v>2</v>
      </c>
      <c r="O1741" s="691">
        <v>0</v>
      </c>
      <c r="P1741" s="690">
        <v>115.551956660253</v>
      </c>
      <c r="Q1741" s="738">
        <f t="shared" si="243"/>
        <v>0</v>
      </c>
      <c r="R1741" s="677">
        <f t="shared" si="244"/>
        <v>171941.31151045646</v>
      </c>
      <c r="S1741" s="739">
        <f t="shared" si="245"/>
        <v>171941.31151045646</v>
      </c>
      <c r="T1741" s="738">
        <v>100.1</v>
      </c>
      <c r="U1741" s="677">
        <f t="shared" si="246"/>
        <v>148948.79999999999</v>
      </c>
      <c r="V1741" s="739">
        <f t="shared" si="247"/>
        <v>22992.511510456476</v>
      </c>
      <c r="W1741" s="740">
        <v>92.278761745078526</v>
      </c>
      <c r="X1741" s="678">
        <f t="shared" si="248"/>
        <v>137310.79747667685</v>
      </c>
      <c r="Y1741" s="700">
        <f t="shared" si="249"/>
        <v>34630.514033779618</v>
      </c>
      <c r="Z1741" s="740">
        <v>107.92123825492146</v>
      </c>
      <c r="AA1741" s="678">
        <f t="shared" si="250"/>
        <v>160586.80252332313</v>
      </c>
      <c r="AB1741" s="741">
        <f t="shared" si="251"/>
        <v>11354.508987133333</v>
      </c>
      <c r="AC1741" s="714"/>
    </row>
    <row r="1742" spans="1:29" x14ac:dyDescent="0.25">
      <c r="A1742" s="713"/>
      <c r="B1742" s="714" t="s">
        <v>2583</v>
      </c>
      <c r="C1742" s="676" t="s">
        <v>40</v>
      </c>
      <c r="D1742" s="676" t="s">
        <v>2581</v>
      </c>
      <c r="E1742" s="680">
        <v>45383</v>
      </c>
      <c r="F1742" s="676">
        <v>720</v>
      </c>
      <c r="G1742" s="676" t="s">
        <v>59</v>
      </c>
      <c r="H1742" s="676" t="s">
        <v>3</v>
      </c>
      <c r="I1742" s="676" t="s">
        <v>44</v>
      </c>
      <c r="J1742" s="676" t="s">
        <v>85</v>
      </c>
      <c r="K1742" s="676">
        <v>115</v>
      </c>
      <c r="L1742" s="690" t="s">
        <v>54</v>
      </c>
      <c r="M1742" s="691">
        <v>0</v>
      </c>
      <c r="N1742" s="690">
        <v>2</v>
      </c>
      <c r="O1742" s="691">
        <v>0</v>
      </c>
      <c r="P1742" s="690">
        <v>115.551956660253</v>
      </c>
      <c r="Q1742" s="738">
        <f t="shared" si="243"/>
        <v>0</v>
      </c>
      <c r="R1742" s="677">
        <f t="shared" si="244"/>
        <v>166394.81759076432</v>
      </c>
      <c r="S1742" s="739">
        <f t="shared" si="245"/>
        <v>166394.81759076432</v>
      </c>
      <c r="T1742" s="738">
        <v>100.1</v>
      </c>
      <c r="U1742" s="677">
        <f t="shared" si="246"/>
        <v>144144</v>
      </c>
      <c r="V1742" s="739">
        <f t="shared" si="247"/>
        <v>22250.817590764316</v>
      </c>
      <c r="W1742" s="740">
        <v>92.278761745078526</v>
      </c>
      <c r="X1742" s="678">
        <f t="shared" si="248"/>
        <v>132881.41691291309</v>
      </c>
      <c r="Y1742" s="700">
        <f t="shared" si="249"/>
        <v>33513.400677851227</v>
      </c>
      <c r="Z1742" s="740">
        <v>107.92123825492146</v>
      </c>
      <c r="AA1742" s="678">
        <f t="shared" si="250"/>
        <v>155406.58308708691</v>
      </c>
      <c r="AB1742" s="741">
        <f t="shared" si="251"/>
        <v>10988.234503677406</v>
      </c>
      <c r="AC1742" s="714"/>
    </row>
    <row r="1743" spans="1:29" x14ac:dyDescent="0.25">
      <c r="A1743" s="713"/>
      <c r="B1743" s="714" t="s">
        <v>2583</v>
      </c>
      <c r="C1743" s="676" t="s">
        <v>40</v>
      </c>
      <c r="D1743" s="676" t="s">
        <v>2581</v>
      </c>
      <c r="E1743" s="680">
        <v>45413</v>
      </c>
      <c r="F1743" s="676">
        <v>744</v>
      </c>
      <c r="G1743" s="676" t="s">
        <v>59</v>
      </c>
      <c r="H1743" s="676" t="s">
        <v>3</v>
      </c>
      <c r="I1743" s="676" t="s">
        <v>44</v>
      </c>
      <c r="J1743" s="676" t="s">
        <v>85</v>
      </c>
      <c r="K1743" s="676">
        <v>115</v>
      </c>
      <c r="L1743" s="690" t="s">
        <v>54</v>
      </c>
      <c r="M1743" s="691">
        <v>0</v>
      </c>
      <c r="N1743" s="690">
        <v>2</v>
      </c>
      <c r="O1743" s="691">
        <v>0</v>
      </c>
      <c r="P1743" s="690">
        <v>115.551956660253</v>
      </c>
      <c r="Q1743" s="738">
        <f t="shared" si="243"/>
        <v>0</v>
      </c>
      <c r="R1743" s="677">
        <f t="shared" si="244"/>
        <v>171941.31151045646</v>
      </c>
      <c r="S1743" s="739">
        <f t="shared" si="245"/>
        <v>171941.31151045646</v>
      </c>
      <c r="T1743" s="738">
        <v>100.1</v>
      </c>
      <c r="U1743" s="677">
        <f t="shared" si="246"/>
        <v>148948.79999999999</v>
      </c>
      <c r="V1743" s="739">
        <f t="shared" si="247"/>
        <v>22992.511510456476</v>
      </c>
      <c r="W1743" s="740">
        <v>92.278761745078526</v>
      </c>
      <c r="X1743" s="678">
        <f t="shared" si="248"/>
        <v>137310.79747667685</v>
      </c>
      <c r="Y1743" s="700">
        <f t="shared" si="249"/>
        <v>34630.514033779618</v>
      </c>
      <c r="Z1743" s="740">
        <v>107.92123825492146</v>
      </c>
      <c r="AA1743" s="678">
        <f t="shared" si="250"/>
        <v>160586.80252332313</v>
      </c>
      <c r="AB1743" s="741">
        <f t="shared" si="251"/>
        <v>11354.508987133333</v>
      </c>
      <c r="AC1743" s="714"/>
    </row>
    <row r="1744" spans="1:29" x14ac:dyDescent="0.25">
      <c r="A1744" s="713"/>
      <c r="B1744" s="714" t="s">
        <v>2583</v>
      </c>
      <c r="C1744" s="676" t="s">
        <v>40</v>
      </c>
      <c r="D1744" s="676" t="s">
        <v>2581</v>
      </c>
      <c r="E1744" s="680">
        <v>45444</v>
      </c>
      <c r="F1744" s="676">
        <v>720</v>
      </c>
      <c r="G1744" s="676" t="s">
        <v>59</v>
      </c>
      <c r="H1744" s="676" t="s">
        <v>3</v>
      </c>
      <c r="I1744" s="676" t="s">
        <v>44</v>
      </c>
      <c r="J1744" s="676" t="s">
        <v>85</v>
      </c>
      <c r="K1744" s="676">
        <v>115</v>
      </c>
      <c r="L1744" s="690" t="s">
        <v>54</v>
      </c>
      <c r="M1744" s="691">
        <v>0</v>
      </c>
      <c r="N1744" s="690">
        <v>2</v>
      </c>
      <c r="O1744" s="691">
        <v>0</v>
      </c>
      <c r="P1744" s="690">
        <v>115.551956660253</v>
      </c>
      <c r="Q1744" s="738">
        <f t="shared" si="243"/>
        <v>0</v>
      </c>
      <c r="R1744" s="677">
        <f t="shared" si="244"/>
        <v>166394.81759076432</v>
      </c>
      <c r="S1744" s="739">
        <f t="shared" si="245"/>
        <v>166394.81759076432</v>
      </c>
      <c r="T1744" s="738">
        <v>100.1</v>
      </c>
      <c r="U1744" s="677">
        <f t="shared" si="246"/>
        <v>144144</v>
      </c>
      <c r="V1744" s="739">
        <f t="shared" si="247"/>
        <v>22250.817590764316</v>
      </c>
      <c r="W1744" s="740">
        <v>92.278761745078526</v>
      </c>
      <c r="X1744" s="678">
        <f t="shared" si="248"/>
        <v>132881.41691291309</v>
      </c>
      <c r="Y1744" s="700">
        <f t="shared" si="249"/>
        <v>33513.400677851227</v>
      </c>
      <c r="Z1744" s="740">
        <v>107.92123825492146</v>
      </c>
      <c r="AA1744" s="678">
        <f t="shared" si="250"/>
        <v>155406.58308708691</v>
      </c>
      <c r="AB1744" s="741">
        <f t="shared" si="251"/>
        <v>10988.234503677406</v>
      </c>
      <c r="AC1744" s="714"/>
    </row>
    <row r="1745" spans="1:29" x14ac:dyDescent="0.25">
      <c r="A1745" s="713"/>
      <c r="B1745" s="714" t="s">
        <v>2583</v>
      </c>
      <c r="C1745" s="676" t="s">
        <v>40</v>
      </c>
      <c r="D1745" s="676" t="s">
        <v>2581</v>
      </c>
      <c r="E1745" s="680">
        <v>45474</v>
      </c>
      <c r="F1745" s="676">
        <v>744</v>
      </c>
      <c r="G1745" s="676" t="s">
        <v>59</v>
      </c>
      <c r="H1745" s="676" t="s">
        <v>3</v>
      </c>
      <c r="I1745" s="676" t="s">
        <v>44</v>
      </c>
      <c r="J1745" s="676" t="s">
        <v>85</v>
      </c>
      <c r="K1745" s="676">
        <v>115</v>
      </c>
      <c r="L1745" s="690" t="s">
        <v>54</v>
      </c>
      <c r="M1745" s="691">
        <v>0</v>
      </c>
      <c r="N1745" s="690">
        <v>2</v>
      </c>
      <c r="O1745" s="691">
        <v>0</v>
      </c>
      <c r="P1745" s="690">
        <v>115.551956660253</v>
      </c>
      <c r="Q1745" s="738">
        <f t="shared" si="243"/>
        <v>0</v>
      </c>
      <c r="R1745" s="677">
        <f t="shared" si="244"/>
        <v>171941.31151045646</v>
      </c>
      <c r="S1745" s="739">
        <f t="shared" si="245"/>
        <v>171941.31151045646</v>
      </c>
      <c r="T1745" s="738">
        <v>100.1</v>
      </c>
      <c r="U1745" s="677">
        <f t="shared" si="246"/>
        <v>148948.79999999999</v>
      </c>
      <c r="V1745" s="739">
        <f t="shared" si="247"/>
        <v>22992.511510456476</v>
      </c>
      <c r="W1745" s="740">
        <v>92.278761745078526</v>
      </c>
      <c r="X1745" s="678">
        <f t="shared" si="248"/>
        <v>137310.79747667685</v>
      </c>
      <c r="Y1745" s="700">
        <f t="shared" si="249"/>
        <v>34630.514033779618</v>
      </c>
      <c r="Z1745" s="740">
        <v>107.92123825492146</v>
      </c>
      <c r="AA1745" s="678">
        <f t="shared" si="250"/>
        <v>160586.80252332313</v>
      </c>
      <c r="AB1745" s="741">
        <f t="shared" si="251"/>
        <v>11354.508987133333</v>
      </c>
      <c r="AC1745" s="714"/>
    </row>
    <row r="1746" spans="1:29" x14ac:dyDescent="0.25">
      <c r="A1746" s="713"/>
      <c r="B1746" s="714" t="s">
        <v>2583</v>
      </c>
      <c r="C1746" s="676" t="s">
        <v>40</v>
      </c>
      <c r="D1746" s="676" t="s">
        <v>2581</v>
      </c>
      <c r="E1746" s="680">
        <v>45505</v>
      </c>
      <c r="F1746" s="676">
        <v>744</v>
      </c>
      <c r="G1746" s="676" t="s">
        <v>59</v>
      </c>
      <c r="H1746" s="676" t="s">
        <v>3</v>
      </c>
      <c r="I1746" s="676" t="s">
        <v>44</v>
      </c>
      <c r="J1746" s="676" t="s">
        <v>85</v>
      </c>
      <c r="K1746" s="676">
        <v>115</v>
      </c>
      <c r="L1746" s="690" t="s">
        <v>54</v>
      </c>
      <c r="M1746" s="691">
        <v>0</v>
      </c>
      <c r="N1746" s="690">
        <v>2</v>
      </c>
      <c r="O1746" s="691">
        <v>0</v>
      </c>
      <c r="P1746" s="690">
        <v>115.551956660253</v>
      </c>
      <c r="Q1746" s="738">
        <f t="shared" si="243"/>
        <v>0</v>
      </c>
      <c r="R1746" s="677">
        <f t="shared" si="244"/>
        <v>171941.31151045646</v>
      </c>
      <c r="S1746" s="739">
        <f t="shared" si="245"/>
        <v>171941.31151045646</v>
      </c>
      <c r="T1746" s="738">
        <v>100.1</v>
      </c>
      <c r="U1746" s="677">
        <f t="shared" si="246"/>
        <v>148948.79999999999</v>
      </c>
      <c r="V1746" s="739">
        <f t="shared" si="247"/>
        <v>22992.511510456476</v>
      </c>
      <c r="W1746" s="740">
        <v>92.278761745078526</v>
      </c>
      <c r="X1746" s="678">
        <f t="shared" si="248"/>
        <v>137310.79747667685</v>
      </c>
      <c r="Y1746" s="700">
        <f t="shared" si="249"/>
        <v>34630.514033779618</v>
      </c>
      <c r="Z1746" s="740">
        <v>107.92123825492146</v>
      </c>
      <c r="AA1746" s="678">
        <f t="shared" si="250"/>
        <v>160586.80252332313</v>
      </c>
      <c r="AB1746" s="741">
        <f t="shared" si="251"/>
        <v>11354.508987133333</v>
      </c>
      <c r="AC1746" s="714"/>
    </row>
    <row r="1747" spans="1:29" x14ac:dyDescent="0.25">
      <c r="A1747" s="713"/>
      <c r="B1747" s="714" t="s">
        <v>2583</v>
      </c>
      <c r="C1747" s="676" t="s">
        <v>40</v>
      </c>
      <c r="D1747" s="676" t="s">
        <v>2581</v>
      </c>
      <c r="E1747" s="680">
        <v>45536</v>
      </c>
      <c r="F1747" s="676">
        <v>720</v>
      </c>
      <c r="G1747" s="676" t="s">
        <v>59</v>
      </c>
      <c r="H1747" s="676" t="s">
        <v>3</v>
      </c>
      <c r="I1747" s="676" t="s">
        <v>44</v>
      </c>
      <c r="J1747" s="676" t="s">
        <v>85</v>
      </c>
      <c r="K1747" s="676">
        <v>115</v>
      </c>
      <c r="L1747" s="690" t="s">
        <v>54</v>
      </c>
      <c r="M1747" s="691">
        <v>0</v>
      </c>
      <c r="N1747" s="690">
        <v>2</v>
      </c>
      <c r="O1747" s="691">
        <v>0</v>
      </c>
      <c r="P1747" s="690">
        <v>115.551956660253</v>
      </c>
      <c r="Q1747" s="738">
        <f t="shared" si="243"/>
        <v>0</v>
      </c>
      <c r="R1747" s="677">
        <f t="shared" si="244"/>
        <v>166394.81759076432</v>
      </c>
      <c r="S1747" s="739">
        <f t="shared" si="245"/>
        <v>166394.81759076432</v>
      </c>
      <c r="T1747" s="738">
        <v>100.1</v>
      </c>
      <c r="U1747" s="677">
        <f t="shared" si="246"/>
        <v>144144</v>
      </c>
      <c r="V1747" s="739">
        <f t="shared" si="247"/>
        <v>22250.817590764316</v>
      </c>
      <c r="W1747" s="740">
        <v>92.278761745078526</v>
      </c>
      <c r="X1747" s="678">
        <f t="shared" si="248"/>
        <v>132881.41691291309</v>
      </c>
      <c r="Y1747" s="700">
        <f t="shared" si="249"/>
        <v>33513.400677851227</v>
      </c>
      <c r="Z1747" s="740">
        <v>107.92123825492146</v>
      </c>
      <c r="AA1747" s="678">
        <f t="shared" si="250"/>
        <v>155406.58308708691</v>
      </c>
      <c r="AB1747" s="741">
        <f t="shared" si="251"/>
        <v>10988.234503677406</v>
      </c>
      <c r="AC1747" s="714"/>
    </row>
    <row r="1748" spans="1:29" x14ac:dyDescent="0.25">
      <c r="A1748" s="713"/>
      <c r="B1748" s="714" t="s">
        <v>2583</v>
      </c>
      <c r="C1748" s="676" t="s">
        <v>40</v>
      </c>
      <c r="D1748" s="676" t="s">
        <v>2581</v>
      </c>
      <c r="E1748" s="680">
        <v>45566</v>
      </c>
      <c r="F1748" s="676">
        <v>744</v>
      </c>
      <c r="G1748" s="676" t="s">
        <v>59</v>
      </c>
      <c r="H1748" s="676" t="s">
        <v>3</v>
      </c>
      <c r="I1748" s="676" t="s">
        <v>44</v>
      </c>
      <c r="J1748" s="676" t="s">
        <v>85</v>
      </c>
      <c r="K1748" s="676">
        <v>115</v>
      </c>
      <c r="L1748" s="690" t="s">
        <v>54</v>
      </c>
      <c r="M1748" s="691">
        <v>0</v>
      </c>
      <c r="N1748" s="690">
        <v>2</v>
      </c>
      <c r="O1748" s="691">
        <v>0</v>
      </c>
      <c r="P1748" s="690">
        <v>115.551956660253</v>
      </c>
      <c r="Q1748" s="738">
        <f t="shared" si="243"/>
        <v>0</v>
      </c>
      <c r="R1748" s="677">
        <f t="shared" si="244"/>
        <v>171941.31151045646</v>
      </c>
      <c r="S1748" s="739">
        <f t="shared" si="245"/>
        <v>171941.31151045646</v>
      </c>
      <c r="T1748" s="738">
        <v>100.1</v>
      </c>
      <c r="U1748" s="677">
        <f t="shared" si="246"/>
        <v>148948.79999999999</v>
      </c>
      <c r="V1748" s="739">
        <f t="shared" si="247"/>
        <v>22992.511510456476</v>
      </c>
      <c r="W1748" s="740">
        <v>92.278761745078526</v>
      </c>
      <c r="X1748" s="678">
        <f t="shared" si="248"/>
        <v>137310.79747667685</v>
      </c>
      <c r="Y1748" s="700">
        <f t="shared" si="249"/>
        <v>34630.514033779618</v>
      </c>
      <c r="Z1748" s="740">
        <v>107.92123825492146</v>
      </c>
      <c r="AA1748" s="678">
        <f t="shared" si="250"/>
        <v>160586.80252332313</v>
      </c>
      <c r="AB1748" s="741">
        <f t="shared" si="251"/>
        <v>11354.508987133333</v>
      </c>
      <c r="AC1748" s="714"/>
    </row>
    <row r="1749" spans="1:29" x14ac:dyDescent="0.25">
      <c r="A1749" s="713"/>
      <c r="B1749" s="714" t="s">
        <v>2583</v>
      </c>
      <c r="C1749" s="676" t="s">
        <v>40</v>
      </c>
      <c r="D1749" s="676" t="s">
        <v>2581</v>
      </c>
      <c r="E1749" s="680">
        <v>45597</v>
      </c>
      <c r="F1749" s="676">
        <v>720</v>
      </c>
      <c r="G1749" s="676" t="s">
        <v>59</v>
      </c>
      <c r="H1749" s="676" t="s">
        <v>3</v>
      </c>
      <c r="I1749" s="676" t="s">
        <v>44</v>
      </c>
      <c r="J1749" s="676" t="s">
        <v>85</v>
      </c>
      <c r="K1749" s="676">
        <v>115</v>
      </c>
      <c r="L1749" s="690" t="s">
        <v>54</v>
      </c>
      <c r="M1749" s="691">
        <v>0</v>
      </c>
      <c r="N1749" s="690">
        <v>2</v>
      </c>
      <c r="O1749" s="691">
        <v>0</v>
      </c>
      <c r="P1749" s="690">
        <v>115.551956660253</v>
      </c>
      <c r="Q1749" s="738">
        <f t="shared" si="243"/>
        <v>0</v>
      </c>
      <c r="R1749" s="677">
        <f t="shared" si="244"/>
        <v>166394.81759076432</v>
      </c>
      <c r="S1749" s="739">
        <f t="shared" si="245"/>
        <v>166394.81759076432</v>
      </c>
      <c r="T1749" s="738">
        <v>100.1</v>
      </c>
      <c r="U1749" s="677">
        <f t="shared" si="246"/>
        <v>144144</v>
      </c>
      <c r="V1749" s="739">
        <f t="shared" si="247"/>
        <v>22250.817590764316</v>
      </c>
      <c r="W1749" s="740">
        <v>92.278761745078526</v>
      </c>
      <c r="X1749" s="678">
        <f t="shared" si="248"/>
        <v>132881.41691291309</v>
      </c>
      <c r="Y1749" s="700">
        <f t="shared" si="249"/>
        <v>33513.400677851227</v>
      </c>
      <c r="Z1749" s="740">
        <v>107.92123825492146</v>
      </c>
      <c r="AA1749" s="678">
        <f t="shared" si="250"/>
        <v>155406.58308708691</v>
      </c>
      <c r="AB1749" s="741">
        <f t="shared" si="251"/>
        <v>10988.234503677406</v>
      </c>
      <c r="AC1749" s="714"/>
    </row>
    <row r="1750" spans="1:29" x14ac:dyDescent="0.25">
      <c r="A1750" s="713"/>
      <c r="B1750" s="729" t="s">
        <v>2583</v>
      </c>
      <c r="C1750" s="545" t="s">
        <v>40</v>
      </c>
      <c r="D1750" s="545" t="s">
        <v>2581</v>
      </c>
      <c r="E1750" s="681">
        <v>45627</v>
      </c>
      <c r="F1750" s="545">
        <v>744</v>
      </c>
      <c r="G1750" s="545" t="s">
        <v>59</v>
      </c>
      <c r="H1750" s="545" t="s">
        <v>3</v>
      </c>
      <c r="I1750" s="545" t="s">
        <v>44</v>
      </c>
      <c r="J1750" s="545" t="s">
        <v>85</v>
      </c>
      <c r="K1750" s="545">
        <v>115</v>
      </c>
      <c r="L1750" s="725" t="s">
        <v>54</v>
      </c>
      <c r="M1750" s="695">
        <v>0</v>
      </c>
      <c r="N1750" s="725">
        <v>2</v>
      </c>
      <c r="O1750" s="695">
        <v>0</v>
      </c>
      <c r="P1750" s="725">
        <v>115.551956660253</v>
      </c>
      <c r="Q1750" s="742">
        <f t="shared" si="243"/>
        <v>0</v>
      </c>
      <c r="R1750" s="603">
        <f t="shared" si="244"/>
        <v>171941.31151045646</v>
      </c>
      <c r="S1750" s="743">
        <f t="shared" si="245"/>
        <v>171941.31151045646</v>
      </c>
      <c r="T1750" s="742">
        <v>100.1</v>
      </c>
      <c r="U1750" s="603">
        <f t="shared" si="246"/>
        <v>148948.79999999999</v>
      </c>
      <c r="V1750" s="743">
        <f t="shared" si="247"/>
        <v>22992.511510456476</v>
      </c>
      <c r="W1750" s="744">
        <v>92.278761745078526</v>
      </c>
      <c r="X1750" s="604">
        <f t="shared" si="248"/>
        <v>137310.79747667685</v>
      </c>
      <c r="Y1750" s="701">
        <f t="shared" si="249"/>
        <v>34630.514033779618</v>
      </c>
      <c r="Z1750" s="744">
        <v>107.92123825492146</v>
      </c>
      <c r="AA1750" s="604">
        <f t="shared" si="250"/>
        <v>160586.80252332313</v>
      </c>
      <c r="AB1750" s="745">
        <f t="shared" si="251"/>
        <v>11354.508987133333</v>
      </c>
      <c r="AC1750" s="714"/>
    </row>
    <row r="1751" spans="1:29" x14ac:dyDescent="0.25">
      <c r="A1751" s="713"/>
      <c r="B1751" s="730" t="s">
        <v>2595</v>
      </c>
      <c r="C1751" s="546" t="s">
        <v>40</v>
      </c>
      <c r="D1751" s="546" t="s">
        <v>2351</v>
      </c>
      <c r="E1751" s="682">
        <v>45017</v>
      </c>
      <c r="F1751" s="546">
        <v>720</v>
      </c>
      <c r="G1751" s="546" t="s">
        <v>59</v>
      </c>
      <c r="H1751" s="546" t="s">
        <v>3</v>
      </c>
      <c r="I1751" s="546" t="s">
        <v>44</v>
      </c>
      <c r="J1751" s="546" t="s">
        <v>85</v>
      </c>
      <c r="K1751" s="546">
        <v>73</v>
      </c>
      <c r="L1751" s="726" t="s">
        <v>54</v>
      </c>
      <c r="M1751" s="696">
        <v>0</v>
      </c>
      <c r="N1751" s="726">
        <v>20</v>
      </c>
      <c r="O1751" s="696">
        <v>0</v>
      </c>
      <c r="P1751" s="726">
        <v>73</v>
      </c>
      <c r="Q1751" s="746">
        <f t="shared" si="243"/>
        <v>0</v>
      </c>
      <c r="R1751" s="606">
        <f t="shared" si="244"/>
        <v>1051200</v>
      </c>
      <c r="S1751" s="747">
        <f t="shared" si="245"/>
        <v>1051200</v>
      </c>
      <c r="T1751" s="746">
        <v>69.8</v>
      </c>
      <c r="U1751" s="606">
        <f t="shared" si="246"/>
        <v>1005120</v>
      </c>
      <c r="V1751" s="747">
        <f t="shared" si="247"/>
        <v>46080</v>
      </c>
      <c r="W1751" s="748">
        <v>55.7</v>
      </c>
      <c r="X1751" s="607">
        <f t="shared" si="248"/>
        <v>802080</v>
      </c>
      <c r="Y1751" s="702">
        <f t="shared" si="249"/>
        <v>249120</v>
      </c>
      <c r="Z1751" s="748">
        <v>85.732008718771311</v>
      </c>
      <c r="AA1751" s="607">
        <f t="shared" si="250"/>
        <v>1234540.9255503069</v>
      </c>
      <c r="AB1751" s="749">
        <f t="shared" si="251"/>
        <v>-183340.92555030691</v>
      </c>
      <c r="AC1751" s="714"/>
    </row>
    <row r="1752" spans="1:29" x14ac:dyDescent="0.25">
      <c r="A1752" s="713"/>
      <c r="B1752" s="729" t="s">
        <v>2595</v>
      </c>
      <c r="C1752" s="545" t="s">
        <v>40</v>
      </c>
      <c r="D1752" s="545" t="s">
        <v>2351</v>
      </c>
      <c r="E1752" s="681">
        <v>45047</v>
      </c>
      <c r="F1752" s="545">
        <v>744</v>
      </c>
      <c r="G1752" s="545" t="s">
        <v>59</v>
      </c>
      <c r="H1752" s="545" t="s">
        <v>3</v>
      </c>
      <c r="I1752" s="545" t="s">
        <v>44</v>
      </c>
      <c r="J1752" s="545" t="s">
        <v>85</v>
      </c>
      <c r="K1752" s="545">
        <v>73</v>
      </c>
      <c r="L1752" s="725" t="s">
        <v>54</v>
      </c>
      <c r="M1752" s="695">
        <v>0</v>
      </c>
      <c r="N1752" s="725">
        <v>20</v>
      </c>
      <c r="O1752" s="695">
        <v>0</v>
      </c>
      <c r="P1752" s="725">
        <v>73</v>
      </c>
      <c r="Q1752" s="742">
        <f t="shared" si="243"/>
        <v>0</v>
      </c>
      <c r="R1752" s="603">
        <f t="shared" si="244"/>
        <v>1086240</v>
      </c>
      <c r="S1752" s="743">
        <f t="shared" si="245"/>
        <v>1086240</v>
      </c>
      <c r="T1752" s="742">
        <v>70.2</v>
      </c>
      <c r="U1752" s="603">
        <f t="shared" si="246"/>
        <v>1044576</v>
      </c>
      <c r="V1752" s="743">
        <f t="shared" si="247"/>
        <v>41664</v>
      </c>
      <c r="W1752" s="744">
        <v>55.7</v>
      </c>
      <c r="X1752" s="604">
        <f t="shared" si="248"/>
        <v>828816</v>
      </c>
      <c r="Y1752" s="701">
        <f t="shared" si="249"/>
        <v>257424</v>
      </c>
      <c r="Z1752" s="744">
        <v>86.223309628334476</v>
      </c>
      <c r="AA1752" s="604">
        <f t="shared" si="250"/>
        <v>1283002.847269617</v>
      </c>
      <c r="AB1752" s="745">
        <f t="shared" si="251"/>
        <v>-196762.84726961702</v>
      </c>
      <c r="AC1752" s="714"/>
    </row>
    <row r="1753" spans="1:29" x14ac:dyDescent="0.25">
      <c r="A1753" s="713"/>
      <c r="B1753" s="731" t="s">
        <v>2597</v>
      </c>
      <c r="C1753" s="547" t="s">
        <v>40</v>
      </c>
      <c r="D1753" s="547" t="s">
        <v>902</v>
      </c>
      <c r="E1753" s="683">
        <v>44958</v>
      </c>
      <c r="F1753" s="547">
        <v>672</v>
      </c>
      <c r="G1753" s="547" t="s">
        <v>59</v>
      </c>
      <c r="H1753" s="547" t="s">
        <v>3</v>
      </c>
      <c r="I1753" s="547" t="s">
        <v>44</v>
      </c>
      <c r="J1753" s="547" t="s">
        <v>85</v>
      </c>
      <c r="K1753" s="547">
        <v>71</v>
      </c>
      <c r="L1753" s="727" t="s">
        <v>54</v>
      </c>
      <c r="M1753" s="697">
        <v>0</v>
      </c>
      <c r="N1753" s="727">
        <v>20</v>
      </c>
      <c r="O1753" s="697">
        <v>0</v>
      </c>
      <c r="P1753" s="727">
        <v>71</v>
      </c>
      <c r="Q1753" s="750">
        <f t="shared" si="243"/>
        <v>0</v>
      </c>
      <c r="R1753" s="608">
        <f t="shared" si="244"/>
        <v>954240</v>
      </c>
      <c r="S1753" s="751">
        <f t="shared" si="245"/>
        <v>954240</v>
      </c>
      <c r="T1753" s="750">
        <v>69.25</v>
      </c>
      <c r="U1753" s="608">
        <f t="shared" si="246"/>
        <v>930720</v>
      </c>
      <c r="V1753" s="751">
        <f t="shared" si="247"/>
        <v>23520</v>
      </c>
      <c r="W1753" s="752">
        <v>55.7</v>
      </c>
      <c r="X1753" s="609">
        <f t="shared" si="248"/>
        <v>748608</v>
      </c>
      <c r="Y1753" s="703">
        <f t="shared" si="249"/>
        <v>205632</v>
      </c>
      <c r="Z1753" s="752">
        <v>92.430648861364247</v>
      </c>
      <c r="AA1753" s="609">
        <f t="shared" si="250"/>
        <v>1242267.9206967354</v>
      </c>
      <c r="AB1753" s="753">
        <f t="shared" si="251"/>
        <v>-288027.92069673538</v>
      </c>
      <c r="AC1753" s="714"/>
    </row>
    <row r="1754" spans="1:29" x14ac:dyDescent="0.25">
      <c r="A1754" s="713"/>
      <c r="B1754" s="731" t="s">
        <v>2599</v>
      </c>
      <c r="C1754" s="547" t="s">
        <v>40</v>
      </c>
      <c r="D1754" s="547" t="s">
        <v>902</v>
      </c>
      <c r="E1754" s="683">
        <v>44958</v>
      </c>
      <c r="F1754" s="547">
        <v>672</v>
      </c>
      <c r="G1754" s="547" t="s">
        <v>59</v>
      </c>
      <c r="H1754" s="547" t="s">
        <v>3</v>
      </c>
      <c r="I1754" s="547" t="s">
        <v>44</v>
      </c>
      <c r="J1754" s="547" t="s">
        <v>85</v>
      </c>
      <c r="K1754" s="547">
        <v>71</v>
      </c>
      <c r="L1754" s="727" t="s">
        <v>54</v>
      </c>
      <c r="M1754" s="697">
        <v>0</v>
      </c>
      <c r="N1754" s="727">
        <v>1</v>
      </c>
      <c r="O1754" s="697">
        <v>0</v>
      </c>
      <c r="P1754" s="727">
        <v>71</v>
      </c>
      <c r="Q1754" s="750">
        <f t="shared" si="243"/>
        <v>0</v>
      </c>
      <c r="R1754" s="608">
        <f t="shared" si="244"/>
        <v>47712</v>
      </c>
      <c r="S1754" s="751">
        <f t="shared" si="245"/>
        <v>47712</v>
      </c>
      <c r="T1754" s="750">
        <v>69.25</v>
      </c>
      <c r="U1754" s="608">
        <f t="shared" si="246"/>
        <v>46536</v>
      </c>
      <c r="V1754" s="751">
        <f t="shared" si="247"/>
        <v>1176</v>
      </c>
      <c r="W1754" s="752">
        <v>55.7</v>
      </c>
      <c r="X1754" s="609">
        <f t="shared" si="248"/>
        <v>37430.400000000001</v>
      </c>
      <c r="Y1754" s="703">
        <f t="shared" si="249"/>
        <v>10281.599999999999</v>
      </c>
      <c r="Z1754" s="752">
        <v>92.430648861364247</v>
      </c>
      <c r="AA1754" s="609">
        <f t="shared" si="250"/>
        <v>62113.396034836776</v>
      </c>
      <c r="AB1754" s="753">
        <f t="shared" si="251"/>
        <v>-14401.396034836776</v>
      </c>
      <c r="AC1754" s="714"/>
    </row>
    <row r="1755" spans="1:29" x14ac:dyDescent="0.25">
      <c r="A1755" s="713"/>
      <c r="B1755" s="731" t="s">
        <v>2601</v>
      </c>
      <c r="C1755" s="547" t="s">
        <v>40</v>
      </c>
      <c r="D1755" s="547" t="s">
        <v>2351</v>
      </c>
      <c r="E1755" s="683">
        <v>45017</v>
      </c>
      <c r="F1755" s="547">
        <v>720</v>
      </c>
      <c r="G1755" s="547" t="s">
        <v>59</v>
      </c>
      <c r="H1755" s="547" t="s">
        <v>3</v>
      </c>
      <c r="I1755" s="547" t="s">
        <v>44</v>
      </c>
      <c r="J1755" s="547" t="s">
        <v>85</v>
      </c>
      <c r="K1755" s="547">
        <v>73</v>
      </c>
      <c r="L1755" s="727" t="s">
        <v>54</v>
      </c>
      <c r="M1755" s="697">
        <v>0</v>
      </c>
      <c r="N1755" s="727">
        <v>2</v>
      </c>
      <c r="O1755" s="697">
        <v>0</v>
      </c>
      <c r="P1755" s="727">
        <v>73</v>
      </c>
      <c r="Q1755" s="750">
        <f t="shared" si="243"/>
        <v>0</v>
      </c>
      <c r="R1755" s="608">
        <f t="shared" si="244"/>
        <v>105120</v>
      </c>
      <c r="S1755" s="751">
        <f t="shared" si="245"/>
        <v>105120</v>
      </c>
      <c r="T1755" s="750">
        <v>69.8</v>
      </c>
      <c r="U1755" s="608">
        <f t="shared" si="246"/>
        <v>100512</v>
      </c>
      <c r="V1755" s="751">
        <f t="shared" si="247"/>
        <v>4608</v>
      </c>
      <c r="W1755" s="752">
        <v>55.7</v>
      </c>
      <c r="X1755" s="609">
        <f t="shared" si="248"/>
        <v>80208</v>
      </c>
      <c r="Y1755" s="703">
        <f t="shared" si="249"/>
        <v>24912</v>
      </c>
      <c r="Z1755" s="752">
        <v>85.732008718771311</v>
      </c>
      <c r="AA1755" s="609">
        <f t="shared" si="250"/>
        <v>123454.09255503069</v>
      </c>
      <c r="AB1755" s="753">
        <f t="shared" si="251"/>
        <v>-18334.092555030686</v>
      </c>
      <c r="AC1755" s="714"/>
    </row>
    <row r="1756" spans="1:29" x14ac:dyDescent="0.25">
      <c r="A1756" s="713"/>
      <c r="B1756" s="731" t="s">
        <v>2603</v>
      </c>
      <c r="C1756" s="547" t="s">
        <v>40</v>
      </c>
      <c r="D1756" s="547" t="s">
        <v>346</v>
      </c>
      <c r="E1756" s="683">
        <v>45047</v>
      </c>
      <c r="F1756" s="547">
        <v>744</v>
      </c>
      <c r="G1756" s="547" t="s">
        <v>58</v>
      </c>
      <c r="H1756" s="547" t="s">
        <v>3</v>
      </c>
      <c r="I1756" s="547" t="s">
        <v>44</v>
      </c>
      <c r="J1756" s="547" t="s">
        <v>84</v>
      </c>
      <c r="K1756" s="547">
        <v>73</v>
      </c>
      <c r="L1756" s="727" t="s">
        <v>54</v>
      </c>
      <c r="M1756" s="697">
        <v>20</v>
      </c>
      <c r="N1756" s="727">
        <v>0</v>
      </c>
      <c r="O1756" s="697">
        <v>73</v>
      </c>
      <c r="P1756" s="727">
        <v>0</v>
      </c>
      <c r="Q1756" s="750">
        <f t="shared" si="243"/>
        <v>1086240</v>
      </c>
      <c r="R1756" s="608">
        <f t="shared" si="244"/>
        <v>0</v>
      </c>
      <c r="S1756" s="751">
        <f t="shared" si="245"/>
        <v>-1086240</v>
      </c>
      <c r="T1756" s="750">
        <v>70.2</v>
      </c>
      <c r="U1756" s="608">
        <f t="shared" si="246"/>
        <v>-1044576</v>
      </c>
      <c r="V1756" s="751">
        <f t="shared" si="247"/>
        <v>-41664</v>
      </c>
      <c r="W1756" s="752">
        <v>55.7</v>
      </c>
      <c r="X1756" s="609">
        <f t="shared" si="248"/>
        <v>-828816</v>
      </c>
      <c r="Y1756" s="703">
        <f t="shared" si="249"/>
        <v>-257424</v>
      </c>
      <c r="Z1756" s="752">
        <v>86.223309628334476</v>
      </c>
      <c r="AA1756" s="609">
        <f t="shared" si="250"/>
        <v>-1283002.847269617</v>
      </c>
      <c r="AB1756" s="753">
        <f t="shared" si="251"/>
        <v>196762.84726961702</v>
      </c>
      <c r="AC1756" s="714"/>
    </row>
    <row r="1757" spans="1:29" x14ac:dyDescent="0.25">
      <c r="A1757" s="713"/>
      <c r="B1757" s="730" t="s">
        <v>2605</v>
      </c>
      <c r="C1757" s="546" t="s">
        <v>40</v>
      </c>
      <c r="D1757" s="546" t="s">
        <v>346</v>
      </c>
      <c r="E1757" s="682">
        <v>45108</v>
      </c>
      <c r="F1757" s="546">
        <v>744</v>
      </c>
      <c r="G1757" s="546" t="s">
        <v>59</v>
      </c>
      <c r="H1757" s="546" t="s">
        <v>3</v>
      </c>
      <c r="I1757" s="546" t="s">
        <v>44</v>
      </c>
      <c r="J1757" s="546" t="s">
        <v>85</v>
      </c>
      <c r="K1757" s="546">
        <v>93</v>
      </c>
      <c r="L1757" s="726" t="s">
        <v>54</v>
      </c>
      <c r="M1757" s="696">
        <v>0</v>
      </c>
      <c r="N1757" s="726">
        <v>10</v>
      </c>
      <c r="O1757" s="696">
        <v>0</v>
      </c>
      <c r="P1757" s="726">
        <v>93</v>
      </c>
      <c r="Q1757" s="746">
        <f t="shared" si="243"/>
        <v>0</v>
      </c>
      <c r="R1757" s="606">
        <f t="shared" si="244"/>
        <v>691920</v>
      </c>
      <c r="S1757" s="747">
        <f t="shared" si="245"/>
        <v>691920</v>
      </c>
      <c r="T1757" s="746">
        <v>77.150000000000006</v>
      </c>
      <c r="U1757" s="606">
        <f t="shared" si="246"/>
        <v>573996</v>
      </c>
      <c r="V1757" s="747">
        <f t="shared" si="247"/>
        <v>117924</v>
      </c>
      <c r="W1757" s="748">
        <v>59.54033706800562</v>
      </c>
      <c r="X1757" s="607">
        <f t="shared" si="248"/>
        <v>442980.10778596182</v>
      </c>
      <c r="Y1757" s="702">
        <f t="shared" si="249"/>
        <v>248939.89221403818</v>
      </c>
      <c r="Z1757" s="748">
        <v>94.759662931994384</v>
      </c>
      <c r="AA1757" s="607">
        <f t="shared" si="250"/>
        <v>705011.89221403818</v>
      </c>
      <c r="AB1757" s="749">
        <f t="shared" si="251"/>
        <v>-13091.892214038176</v>
      </c>
      <c r="AC1757" s="714"/>
    </row>
    <row r="1758" spans="1:29" x14ac:dyDescent="0.25">
      <c r="A1758" s="713"/>
      <c r="B1758" s="714" t="s">
        <v>2605</v>
      </c>
      <c r="C1758" s="676" t="s">
        <v>40</v>
      </c>
      <c r="D1758" s="676" t="s">
        <v>346</v>
      </c>
      <c r="E1758" s="680">
        <v>45139</v>
      </c>
      <c r="F1758" s="676">
        <v>744</v>
      </c>
      <c r="G1758" s="676" t="s">
        <v>59</v>
      </c>
      <c r="H1758" s="676" t="s">
        <v>3</v>
      </c>
      <c r="I1758" s="676" t="s">
        <v>44</v>
      </c>
      <c r="J1758" s="676" t="s">
        <v>85</v>
      </c>
      <c r="K1758" s="676">
        <v>93</v>
      </c>
      <c r="L1758" s="690" t="s">
        <v>54</v>
      </c>
      <c r="M1758" s="691">
        <v>0</v>
      </c>
      <c r="N1758" s="690">
        <v>10</v>
      </c>
      <c r="O1758" s="691">
        <v>0</v>
      </c>
      <c r="P1758" s="690">
        <v>93</v>
      </c>
      <c r="Q1758" s="738">
        <f t="shared" si="243"/>
        <v>0</v>
      </c>
      <c r="R1758" s="677">
        <f t="shared" si="244"/>
        <v>691920</v>
      </c>
      <c r="S1758" s="739">
        <f t="shared" si="245"/>
        <v>691920</v>
      </c>
      <c r="T1758" s="738">
        <v>77.150000000000006</v>
      </c>
      <c r="U1758" s="677">
        <f t="shared" si="246"/>
        <v>573996</v>
      </c>
      <c r="V1758" s="739">
        <f t="shared" si="247"/>
        <v>117924</v>
      </c>
      <c r="W1758" s="740">
        <v>59.54033706800562</v>
      </c>
      <c r="X1758" s="678">
        <f t="shared" si="248"/>
        <v>442980.10778596182</v>
      </c>
      <c r="Y1758" s="700">
        <f t="shared" si="249"/>
        <v>248939.89221403818</v>
      </c>
      <c r="Z1758" s="740">
        <v>94.759662931994384</v>
      </c>
      <c r="AA1758" s="678">
        <f t="shared" si="250"/>
        <v>705011.89221403818</v>
      </c>
      <c r="AB1758" s="741">
        <f t="shared" si="251"/>
        <v>-13091.892214038176</v>
      </c>
      <c r="AC1758" s="714"/>
    </row>
    <row r="1759" spans="1:29" x14ac:dyDescent="0.25">
      <c r="A1759" s="713"/>
      <c r="B1759" s="729" t="s">
        <v>2605</v>
      </c>
      <c r="C1759" s="545" t="s">
        <v>40</v>
      </c>
      <c r="D1759" s="545" t="s">
        <v>346</v>
      </c>
      <c r="E1759" s="681">
        <v>45170</v>
      </c>
      <c r="F1759" s="545">
        <v>720</v>
      </c>
      <c r="G1759" s="545" t="s">
        <v>59</v>
      </c>
      <c r="H1759" s="545" t="s">
        <v>3</v>
      </c>
      <c r="I1759" s="545" t="s">
        <v>44</v>
      </c>
      <c r="J1759" s="545" t="s">
        <v>85</v>
      </c>
      <c r="K1759" s="545">
        <v>93</v>
      </c>
      <c r="L1759" s="725" t="s">
        <v>54</v>
      </c>
      <c r="M1759" s="695">
        <v>0</v>
      </c>
      <c r="N1759" s="725">
        <v>10</v>
      </c>
      <c r="O1759" s="695">
        <v>0</v>
      </c>
      <c r="P1759" s="725">
        <v>93</v>
      </c>
      <c r="Q1759" s="742">
        <f t="shared" si="243"/>
        <v>0</v>
      </c>
      <c r="R1759" s="603">
        <f t="shared" si="244"/>
        <v>669600</v>
      </c>
      <c r="S1759" s="743">
        <f t="shared" si="245"/>
        <v>669600</v>
      </c>
      <c r="T1759" s="742">
        <v>77.150000000000006</v>
      </c>
      <c r="U1759" s="603">
        <f t="shared" si="246"/>
        <v>555480</v>
      </c>
      <c r="V1759" s="743">
        <f t="shared" si="247"/>
        <v>114120</v>
      </c>
      <c r="W1759" s="744">
        <v>59.54033706800562</v>
      </c>
      <c r="X1759" s="604">
        <f t="shared" si="248"/>
        <v>428690.42688964045</v>
      </c>
      <c r="Y1759" s="701">
        <f t="shared" si="249"/>
        <v>240909.57311035955</v>
      </c>
      <c r="Z1759" s="744">
        <v>94.759662931994384</v>
      </c>
      <c r="AA1759" s="604">
        <f t="shared" si="250"/>
        <v>682269.5731103596</v>
      </c>
      <c r="AB1759" s="745">
        <f t="shared" si="251"/>
        <v>-12669.573110359604</v>
      </c>
      <c r="AC1759" s="714"/>
    </row>
    <row r="1760" spans="1:29" x14ac:dyDescent="0.25">
      <c r="A1760" s="713"/>
      <c r="B1760" s="730" t="s">
        <v>2607</v>
      </c>
      <c r="C1760" s="546" t="s">
        <v>40</v>
      </c>
      <c r="D1760" s="546" t="s">
        <v>346</v>
      </c>
      <c r="E1760" s="682">
        <v>45108</v>
      </c>
      <c r="F1760" s="546">
        <v>744</v>
      </c>
      <c r="G1760" s="546" t="s">
        <v>59</v>
      </c>
      <c r="H1760" s="546" t="s">
        <v>3</v>
      </c>
      <c r="I1760" s="546" t="s">
        <v>44</v>
      </c>
      <c r="J1760" s="546" t="s">
        <v>85</v>
      </c>
      <c r="K1760" s="546">
        <v>93</v>
      </c>
      <c r="L1760" s="726" t="s">
        <v>54</v>
      </c>
      <c r="M1760" s="696">
        <v>0</v>
      </c>
      <c r="N1760" s="726">
        <v>20</v>
      </c>
      <c r="O1760" s="696">
        <v>0</v>
      </c>
      <c r="P1760" s="726">
        <v>93</v>
      </c>
      <c r="Q1760" s="746">
        <f t="shared" si="243"/>
        <v>0</v>
      </c>
      <c r="R1760" s="606">
        <f t="shared" si="244"/>
        <v>1383840</v>
      </c>
      <c r="S1760" s="747">
        <f t="shared" si="245"/>
        <v>1383840</v>
      </c>
      <c r="T1760" s="746">
        <v>77.150000000000006</v>
      </c>
      <c r="U1760" s="606">
        <f t="shared" si="246"/>
        <v>1147992</v>
      </c>
      <c r="V1760" s="747">
        <f t="shared" si="247"/>
        <v>235848</v>
      </c>
      <c r="W1760" s="748">
        <v>59.54033706800562</v>
      </c>
      <c r="X1760" s="607">
        <f t="shared" si="248"/>
        <v>885960.21557192365</v>
      </c>
      <c r="Y1760" s="702">
        <f t="shared" si="249"/>
        <v>497879.78442807635</v>
      </c>
      <c r="Z1760" s="748">
        <v>94.759662931994384</v>
      </c>
      <c r="AA1760" s="607">
        <f t="shared" si="250"/>
        <v>1410023.7844280764</v>
      </c>
      <c r="AB1760" s="749">
        <f t="shared" si="251"/>
        <v>-26183.784428076353</v>
      </c>
      <c r="AC1760" s="714"/>
    </row>
    <row r="1761" spans="1:29" x14ac:dyDescent="0.25">
      <c r="A1761" s="713"/>
      <c r="B1761" s="714" t="s">
        <v>2607</v>
      </c>
      <c r="C1761" s="676" t="s">
        <v>40</v>
      </c>
      <c r="D1761" s="676" t="s">
        <v>346</v>
      </c>
      <c r="E1761" s="680">
        <v>45139</v>
      </c>
      <c r="F1761" s="676">
        <v>744</v>
      </c>
      <c r="G1761" s="676" t="s">
        <v>59</v>
      </c>
      <c r="H1761" s="676" t="s">
        <v>3</v>
      </c>
      <c r="I1761" s="676" t="s">
        <v>44</v>
      </c>
      <c r="J1761" s="676" t="s">
        <v>85</v>
      </c>
      <c r="K1761" s="676">
        <v>93</v>
      </c>
      <c r="L1761" s="690" t="s">
        <v>54</v>
      </c>
      <c r="M1761" s="691">
        <v>0</v>
      </c>
      <c r="N1761" s="690">
        <v>20</v>
      </c>
      <c r="O1761" s="691">
        <v>0</v>
      </c>
      <c r="P1761" s="690">
        <v>93</v>
      </c>
      <c r="Q1761" s="738">
        <f t="shared" si="243"/>
        <v>0</v>
      </c>
      <c r="R1761" s="677">
        <f t="shared" si="244"/>
        <v>1383840</v>
      </c>
      <c r="S1761" s="739">
        <f t="shared" si="245"/>
        <v>1383840</v>
      </c>
      <c r="T1761" s="738">
        <v>77.150000000000006</v>
      </c>
      <c r="U1761" s="677">
        <f t="shared" si="246"/>
        <v>1147992</v>
      </c>
      <c r="V1761" s="739">
        <f t="shared" si="247"/>
        <v>235848</v>
      </c>
      <c r="W1761" s="740">
        <v>59.54033706800562</v>
      </c>
      <c r="X1761" s="678">
        <f t="shared" si="248"/>
        <v>885960.21557192365</v>
      </c>
      <c r="Y1761" s="700">
        <f t="shared" si="249"/>
        <v>497879.78442807635</v>
      </c>
      <c r="Z1761" s="740">
        <v>94.759662931994384</v>
      </c>
      <c r="AA1761" s="678">
        <f t="shared" si="250"/>
        <v>1410023.7844280764</v>
      </c>
      <c r="AB1761" s="741">
        <f t="shared" si="251"/>
        <v>-26183.784428076353</v>
      </c>
      <c r="AC1761" s="714"/>
    </row>
    <row r="1762" spans="1:29" x14ac:dyDescent="0.25">
      <c r="A1762" s="713"/>
      <c r="B1762" s="714" t="s">
        <v>2607</v>
      </c>
      <c r="C1762" s="676" t="s">
        <v>40</v>
      </c>
      <c r="D1762" s="676" t="s">
        <v>346</v>
      </c>
      <c r="E1762" s="680">
        <v>45170</v>
      </c>
      <c r="F1762" s="676">
        <v>720</v>
      </c>
      <c r="G1762" s="676" t="s">
        <v>59</v>
      </c>
      <c r="H1762" s="676" t="s">
        <v>3</v>
      </c>
      <c r="I1762" s="676" t="s">
        <v>44</v>
      </c>
      <c r="J1762" s="676" t="s">
        <v>85</v>
      </c>
      <c r="K1762" s="676">
        <v>93</v>
      </c>
      <c r="L1762" s="690" t="s">
        <v>54</v>
      </c>
      <c r="M1762" s="691">
        <v>0</v>
      </c>
      <c r="N1762" s="690">
        <v>20</v>
      </c>
      <c r="O1762" s="691">
        <v>0</v>
      </c>
      <c r="P1762" s="690">
        <v>93</v>
      </c>
      <c r="Q1762" s="738">
        <f t="shared" si="243"/>
        <v>0</v>
      </c>
      <c r="R1762" s="677">
        <f t="shared" si="244"/>
        <v>1339200</v>
      </c>
      <c r="S1762" s="739">
        <f t="shared" si="245"/>
        <v>1339200</v>
      </c>
      <c r="T1762" s="738">
        <v>77.150000000000006</v>
      </c>
      <c r="U1762" s="677">
        <f t="shared" si="246"/>
        <v>1110960</v>
      </c>
      <c r="V1762" s="739">
        <f t="shared" si="247"/>
        <v>228240</v>
      </c>
      <c r="W1762" s="740">
        <v>59.54033706800562</v>
      </c>
      <c r="X1762" s="678">
        <f t="shared" si="248"/>
        <v>857380.85377928091</v>
      </c>
      <c r="Y1762" s="700">
        <f t="shared" si="249"/>
        <v>481819.14622071909</v>
      </c>
      <c r="Z1762" s="740">
        <v>94.759662931994384</v>
      </c>
      <c r="AA1762" s="678">
        <f t="shared" si="250"/>
        <v>1364539.1462207192</v>
      </c>
      <c r="AB1762" s="741">
        <f t="shared" si="251"/>
        <v>-25339.146220719209</v>
      </c>
      <c r="AC1762" s="714"/>
    </row>
    <row r="1763" spans="1:29" x14ac:dyDescent="0.25">
      <c r="A1763" s="713"/>
      <c r="B1763" s="714" t="s">
        <v>2607</v>
      </c>
      <c r="C1763" s="676" t="s">
        <v>40</v>
      </c>
      <c r="D1763" s="676" t="s">
        <v>346</v>
      </c>
      <c r="E1763" s="680">
        <v>45200</v>
      </c>
      <c r="F1763" s="676">
        <v>744</v>
      </c>
      <c r="G1763" s="676" t="s">
        <v>59</v>
      </c>
      <c r="H1763" s="676" t="s">
        <v>3</v>
      </c>
      <c r="I1763" s="676" t="s">
        <v>44</v>
      </c>
      <c r="J1763" s="676" t="s">
        <v>85</v>
      </c>
      <c r="K1763" s="676">
        <v>93</v>
      </c>
      <c r="L1763" s="690" t="s">
        <v>54</v>
      </c>
      <c r="M1763" s="691">
        <v>0</v>
      </c>
      <c r="N1763" s="690">
        <v>20</v>
      </c>
      <c r="O1763" s="691">
        <v>0</v>
      </c>
      <c r="P1763" s="690">
        <v>93</v>
      </c>
      <c r="Q1763" s="738">
        <f t="shared" si="243"/>
        <v>0</v>
      </c>
      <c r="R1763" s="677">
        <f t="shared" si="244"/>
        <v>1383840</v>
      </c>
      <c r="S1763" s="739">
        <f t="shared" si="245"/>
        <v>1383840</v>
      </c>
      <c r="T1763" s="738">
        <v>80.45</v>
      </c>
      <c r="U1763" s="677">
        <f t="shared" si="246"/>
        <v>1197096</v>
      </c>
      <c r="V1763" s="739">
        <f t="shared" si="247"/>
        <v>186744</v>
      </c>
      <c r="W1763" s="740">
        <v>62.087104564109552</v>
      </c>
      <c r="X1763" s="678">
        <f t="shared" si="248"/>
        <v>923856.11591395014</v>
      </c>
      <c r="Y1763" s="700">
        <f t="shared" si="249"/>
        <v>459983.88408604986</v>
      </c>
      <c r="Z1763" s="740">
        <v>98.812895435890439</v>
      </c>
      <c r="AA1763" s="678">
        <f t="shared" si="250"/>
        <v>1470335.8840860496</v>
      </c>
      <c r="AB1763" s="741">
        <f t="shared" si="251"/>
        <v>-86495.884086049628</v>
      </c>
      <c r="AC1763" s="714"/>
    </row>
    <row r="1764" spans="1:29" x14ac:dyDescent="0.25">
      <c r="A1764" s="713"/>
      <c r="B1764" s="714" t="s">
        <v>2607</v>
      </c>
      <c r="C1764" s="676" t="s">
        <v>40</v>
      </c>
      <c r="D1764" s="676" t="s">
        <v>346</v>
      </c>
      <c r="E1764" s="680">
        <v>45231</v>
      </c>
      <c r="F1764" s="676">
        <v>720</v>
      </c>
      <c r="G1764" s="676" t="s">
        <v>59</v>
      </c>
      <c r="H1764" s="676" t="s">
        <v>3</v>
      </c>
      <c r="I1764" s="676" t="s">
        <v>44</v>
      </c>
      <c r="J1764" s="676" t="s">
        <v>85</v>
      </c>
      <c r="K1764" s="676">
        <v>93</v>
      </c>
      <c r="L1764" s="690" t="s">
        <v>54</v>
      </c>
      <c r="M1764" s="691">
        <v>0</v>
      </c>
      <c r="N1764" s="690">
        <v>20</v>
      </c>
      <c r="O1764" s="691">
        <v>0</v>
      </c>
      <c r="P1764" s="690">
        <v>93</v>
      </c>
      <c r="Q1764" s="738">
        <f t="shared" si="243"/>
        <v>0</v>
      </c>
      <c r="R1764" s="677">
        <f t="shared" si="244"/>
        <v>1339200</v>
      </c>
      <c r="S1764" s="739">
        <f t="shared" si="245"/>
        <v>1339200</v>
      </c>
      <c r="T1764" s="738">
        <v>80.45</v>
      </c>
      <c r="U1764" s="677">
        <f t="shared" si="246"/>
        <v>1158480</v>
      </c>
      <c r="V1764" s="739">
        <f t="shared" si="247"/>
        <v>180720</v>
      </c>
      <c r="W1764" s="740">
        <v>62.087104564109552</v>
      </c>
      <c r="X1764" s="678">
        <f t="shared" si="248"/>
        <v>894054.3057231775</v>
      </c>
      <c r="Y1764" s="700">
        <f t="shared" si="249"/>
        <v>445145.6942768225</v>
      </c>
      <c r="Z1764" s="740">
        <v>98.812895435890439</v>
      </c>
      <c r="AA1764" s="678">
        <f t="shared" si="250"/>
        <v>1422905.6942768223</v>
      </c>
      <c r="AB1764" s="741">
        <f t="shared" si="251"/>
        <v>-83705.694276822265</v>
      </c>
      <c r="AC1764" s="714"/>
    </row>
    <row r="1765" spans="1:29" x14ac:dyDescent="0.25">
      <c r="A1765" s="713"/>
      <c r="B1765" s="729" t="s">
        <v>2607</v>
      </c>
      <c r="C1765" s="545" t="s">
        <v>40</v>
      </c>
      <c r="D1765" s="545" t="s">
        <v>346</v>
      </c>
      <c r="E1765" s="681">
        <v>45261</v>
      </c>
      <c r="F1765" s="545">
        <v>744</v>
      </c>
      <c r="G1765" s="545" t="s">
        <v>59</v>
      </c>
      <c r="H1765" s="545" t="s">
        <v>3</v>
      </c>
      <c r="I1765" s="545" t="s">
        <v>44</v>
      </c>
      <c r="J1765" s="545" t="s">
        <v>85</v>
      </c>
      <c r="K1765" s="545">
        <v>93</v>
      </c>
      <c r="L1765" s="725" t="s">
        <v>54</v>
      </c>
      <c r="M1765" s="695">
        <v>0</v>
      </c>
      <c r="N1765" s="725">
        <v>20</v>
      </c>
      <c r="O1765" s="695">
        <v>0</v>
      </c>
      <c r="P1765" s="725">
        <v>93</v>
      </c>
      <c r="Q1765" s="742">
        <f t="shared" si="243"/>
        <v>0</v>
      </c>
      <c r="R1765" s="603">
        <f t="shared" si="244"/>
        <v>1383840</v>
      </c>
      <c r="S1765" s="743">
        <f t="shared" si="245"/>
        <v>1383840</v>
      </c>
      <c r="T1765" s="742">
        <v>80.45</v>
      </c>
      <c r="U1765" s="603">
        <f t="shared" si="246"/>
        <v>1197096</v>
      </c>
      <c r="V1765" s="743">
        <f t="shared" si="247"/>
        <v>186744</v>
      </c>
      <c r="W1765" s="744">
        <v>62.087104564109552</v>
      </c>
      <c r="X1765" s="604">
        <f t="shared" si="248"/>
        <v>923856.11591395014</v>
      </c>
      <c r="Y1765" s="701">
        <f t="shared" si="249"/>
        <v>459983.88408604986</v>
      </c>
      <c r="Z1765" s="744">
        <v>98.812895435890439</v>
      </c>
      <c r="AA1765" s="604">
        <f t="shared" si="250"/>
        <v>1470335.8840860496</v>
      </c>
      <c r="AB1765" s="745">
        <f t="shared" si="251"/>
        <v>-86495.884086049628</v>
      </c>
      <c r="AC1765" s="714"/>
    </row>
    <row r="1766" spans="1:29" x14ac:dyDescent="0.25">
      <c r="A1766" s="713"/>
      <c r="B1766" s="731" t="s">
        <v>2614</v>
      </c>
      <c r="C1766" s="547" t="s">
        <v>40</v>
      </c>
      <c r="D1766" s="547" t="s">
        <v>2351</v>
      </c>
      <c r="E1766" s="683">
        <v>45017</v>
      </c>
      <c r="F1766" s="547">
        <v>720</v>
      </c>
      <c r="G1766" s="547" t="s">
        <v>59</v>
      </c>
      <c r="H1766" s="547" t="s">
        <v>3</v>
      </c>
      <c r="I1766" s="547" t="s">
        <v>44</v>
      </c>
      <c r="J1766" s="547" t="s">
        <v>85</v>
      </c>
      <c r="K1766" s="547">
        <v>73</v>
      </c>
      <c r="L1766" s="727" t="s">
        <v>54</v>
      </c>
      <c r="M1766" s="697">
        <v>0</v>
      </c>
      <c r="N1766" s="727">
        <v>20</v>
      </c>
      <c r="O1766" s="697">
        <v>0</v>
      </c>
      <c r="P1766" s="727">
        <v>73</v>
      </c>
      <c r="Q1766" s="750">
        <f t="shared" si="243"/>
        <v>0</v>
      </c>
      <c r="R1766" s="608">
        <f t="shared" si="244"/>
        <v>1051200</v>
      </c>
      <c r="S1766" s="751">
        <f t="shared" si="245"/>
        <v>1051200</v>
      </c>
      <c r="T1766" s="750">
        <v>69.8</v>
      </c>
      <c r="U1766" s="608">
        <f t="shared" si="246"/>
        <v>1005120</v>
      </c>
      <c r="V1766" s="751">
        <f t="shared" si="247"/>
        <v>46080</v>
      </c>
      <c r="W1766" s="752">
        <v>55.7</v>
      </c>
      <c r="X1766" s="609">
        <f t="shared" si="248"/>
        <v>802080</v>
      </c>
      <c r="Y1766" s="703">
        <f t="shared" si="249"/>
        <v>249120</v>
      </c>
      <c r="Z1766" s="752">
        <v>85.732008718771311</v>
      </c>
      <c r="AA1766" s="609">
        <f t="shared" si="250"/>
        <v>1234540.9255503069</v>
      </c>
      <c r="AB1766" s="753">
        <f t="shared" si="251"/>
        <v>-183340.92555030691</v>
      </c>
      <c r="AC1766" s="714"/>
    </row>
    <row r="1767" spans="1:29" x14ac:dyDescent="0.25">
      <c r="A1767" s="713"/>
      <c r="B1767" s="730" t="s">
        <v>2616</v>
      </c>
      <c r="C1767" s="546" t="s">
        <v>40</v>
      </c>
      <c r="D1767" s="546" t="s">
        <v>502</v>
      </c>
      <c r="E1767" s="682">
        <v>45108</v>
      </c>
      <c r="F1767" s="546">
        <v>744</v>
      </c>
      <c r="G1767" s="546" t="s">
        <v>58</v>
      </c>
      <c r="H1767" s="546" t="s">
        <v>3</v>
      </c>
      <c r="I1767" s="546" t="s">
        <v>44</v>
      </c>
      <c r="J1767" s="546" t="s">
        <v>84</v>
      </c>
      <c r="K1767" s="546">
        <v>92</v>
      </c>
      <c r="L1767" s="726" t="s">
        <v>54</v>
      </c>
      <c r="M1767" s="696">
        <v>10</v>
      </c>
      <c r="N1767" s="726">
        <v>0</v>
      </c>
      <c r="O1767" s="696">
        <v>92</v>
      </c>
      <c r="P1767" s="726">
        <v>0</v>
      </c>
      <c r="Q1767" s="746">
        <f t="shared" si="243"/>
        <v>684480</v>
      </c>
      <c r="R1767" s="606">
        <f t="shared" si="244"/>
        <v>0</v>
      </c>
      <c r="S1767" s="747">
        <f t="shared" si="245"/>
        <v>-684480</v>
      </c>
      <c r="T1767" s="746">
        <v>77.150000000000006</v>
      </c>
      <c r="U1767" s="606">
        <f t="shared" si="246"/>
        <v>-573996</v>
      </c>
      <c r="V1767" s="747">
        <f t="shared" si="247"/>
        <v>-110484</v>
      </c>
      <c r="W1767" s="748">
        <v>59.54033706800562</v>
      </c>
      <c r="X1767" s="607">
        <f t="shared" si="248"/>
        <v>-442980.10778596182</v>
      </c>
      <c r="Y1767" s="702">
        <f t="shared" si="249"/>
        <v>-241499.89221403818</v>
      </c>
      <c r="Z1767" s="748">
        <v>94.759662931994384</v>
      </c>
      <c r="AA1767" s="607">
        <f t="shared" si="250"/>
        <v>-705011.89221403818</v>
      </c>
      <c r="AB1767" s="749">
        <f t="shared" si="251"/>
        <v>20531.892214038176</v>
      </c>
      <c r="AC1767" s="714"/>
    </row>
    <row r="1768" spans="1:29" x14ac:dyDescent="0.25">
      <c r="A1768" s="713"/>
      <c r="B1768" s="714" t="s">
        <v>2616</v>
      </c>
      <c r="C1768" s="676" t="s">
        <v>40</v>
      </c>
      <c r="D1768" s="676" t="s">
        <v>502</v>
      </c>
      <c r="E1768" s="680">
        <v>45139</v>
      </c>
      <c r="F1768" s="676">
        <v>744</v>
      </c>
      <c r="G1768" s="676" t="s">
        <v>58</v>
      </c>
      <c r="H1768" s="676" t="s">
        <v>3</v>
      </c>
      <c r="I1768" s="676" t="s">
        <v>44</v>
      </c>
      <c r="J1768" s="676" t="s">
        <v>84</v>
      </c>
      <c r="K1768" s="676">
        <v>92</v>
      </c>
      <c r="L1768" s="690" t="s">
        <v>54</v>
      </c>
      <c r="M1768" s="691">
        <v>10</v>
      </c>
      <c r="N1768" s="690">
        <v>0</v>
      </c>
      <c r="O1768" s="691">
        <v>92</v>
      </c>
      <c r="P1768" s="690">
        <v>0</v>
      </c>
      <c r="Q1768" s="738">
        <f t="shared" si="243"/>
        <v>684480</v>
      </c>
      <c r="R1768" s="677">
        <f t="shared" si="244"/>
        <v>0</v>
      </c>
      <c r="S1768" s="739">
        <f t="shared" si="245"/>
        <v>-684480</v>
      </c>
      <c r="T1768" s="738">
        <v>77.150000000000006</v>
      </c>
      <c r="U1768" s="677">
        <f t="shared" si="246"/>
        <v>-573996</v>
      </c>
      <c r="V1768" s="739">
        <f t="shared" si="247"/>
        <v>-110484</v>
      </c>
      <c r="W1768" s="740">
        <v>59.54033706800562</v>
      </c>
      <c r="X1768" s="678">
        <f t="shared" si="248"/>
        <v>-442980.10778596182</v>
      </c>
      <c r="Y1768" s="700">
        <f t="shared" si="249"/>
        <v>-241499.89221403818</v>
      </c>
      <c r="Z1768" s="740">
        <v>94.759662931994384</v>
      </c>
      <c r="AA1768" s="678">
        <f t="shared" si="250"/>
        <v>-705011.89221403818</v>
      </c>
      <c r="AB1768" s="741">
        <f t="shared" si="251"/>
        <v>20531.892214038176</v>
      </c>
      <c r="AC1768" s="714"/>
    </row>
    <row r="1769" spans="1:29" x14ac:dyDescent="0.25">
      <c r="A1769" s="713"/>
      <c r="B1769" s="714" t="s">
        <v>2616</v>
      </c>
      <c r="C1769" s="676" t="s">
        <v>40</v>
      </c>
      <c r="D1769" s="676" t="s">
        <v>502</v>
      </c>
      <c r="E1769" s="680">
        <v>45170</v>
      </c>
      <c r="F1769" s="676">
        <v>720</v>
      </c>
      <c r="G1769" s="676" t="s">
        <v>58</v>
      </c>
      <c r="H1769" s="676" t="s">
        <v>3</v>
      </c>
      <c r="I1769" s="676" t="s">
        <v>44</v>
      </c>
      <c r="J1769" s="676" t="s">
        <v>84</v>
      </c>
      <c r="K1769" s="676">
        <v>92</v>
      </c>
      <c r="L1769" s="690" t="s">
        <v>54</v>
      </c>
      <c r="M1769" s="691">
        <v>10</v>
      </c>
      <c r="N1769" s="690">
        <v>0</v>
      </c>
      <c r="O1769" s="691">
        <v>92</v>
      </c>
      <c r="P1769" s="690">
        <v>0</v>
      </c>
      <c r="Q1769" s="738">
        <f t="shared" si="243"/>
        <v>662400</v>
      </c>
      <c r="R1769" s="677">
        <f t="shared" si="244"/>
        <v>0</v>
      </c>
      <c r="S1769" s="739">
        <f t="shared" si="245"/>
        <v>-662400</v>
      </c>
      <c r="T1769" s="738">
        <v>77.150000000000006</v>
      </c>
      <c r="U1769" s="677">
        <f t="shared" si="246"/>
        <v>-555480</v>
      </c>
      <c r="V1769" s="739">
        <f t="shared" si="247"/>
        <v>-106920</v>
      </c>
      <c r="W1769" s="740">
        <v>59.54033706800562</v>
      </c>
      <c r="X1769" s="678">
        <f t="shared" si="248"/>
        <v>-428690.42688964045</v>
      </c>
      <c r="Y1769" s="700">
        <f t="shared" si="249"/>
        <v>-233709.57311035955</v>
      </c>
      <c r="Z1769" s="740">
        <v>94.759662931994384</v>
      </c>
      <c r="AA1769" s="678">
        <f t="shared" si="250"/>
        <v>-682269.5731103596</v>
      </c>
      <c r="AB1769" s="741">
        <f t="shared" si="251"/>
        <v>19869.573110359604</v>
      </c>
      <c r="AC1769" s="714"/>
    </row>
    <row r="1770" spans="1:29" x14ac:dyDescent="0.25">
      <c r="A1770" s="713"/>
      <c r="B1770" s="714" t="s">
        <v>2616</v>
      </c>
      <c r="C1770" s="676" t="s">
        <v>40</v>
      </c>
      <c r="D1770" s="676" t="s">
        <v>502</v>
      </c>
      <c r="E1770" s="680">
        <v>45200</v>
      </c>
      <c r="F1770" s="676">
        <v>744</v>
      </c>
      <c r="G1770" s="676" t="s">
        <v>58</v>
      </c>
      <c r="H1770" s="676" t="s">
        <v>3</v>
      </c>
      <c r="I1770" s="676" t="s">
        <v>44</v>
      </c>
      <c r="J1770" s="676" t="s">
        <v>84</v>
      </c>
      <c r="K1770" s="676">
        <v>92</v>
      </c>
      <c r="L1770" s="690" t="s">
        <v>54</v>
      </c>
      <c r="M1770" s="691">
        <v>10</v>
      </c>
      <c r="N1770" s="690">
        <v>0</v>
      </c>
      <c r="O1770" s="691">
        <v>92</v>
      </c>
      <c r="P1770" s="690">
        <v>0</v>
      </c>
      <c r="Q1770" s="738">
        <f t="shared" si="243"/>
        <v>684480</v>
      </c>
      <c r="R1770" s="677">
        <f t="shared" si="244"/>
        <v>0</v>
      </c>
      <c r="S1770" s="739">
        <f t="shared" si="245"/>
        <v>-684480</v>
      </c>
      <c r="T1770" s="738">
        <v>80.45</v>
      </c>
      <c r="U1770" s="677">
        <f t="shared" si="246"/>
        <v>-598548</v>
      </c>
      <c r="V1770" s="739">
        <f t="shared" si="247"/>
        <v>-85932</v>
      </c>
      <c r="W1770" s="740">
        <v>62.087104564109552</v>
      </c>
      <c r="X1770" s="678">
        <f t="shared" si="248"/>
        <v>-461928.05795697507</v>
      </c>
      <c r="Y1770" s="700">
        <f t="shared" si="249"/>
        <v>-222551.94204302493</v>
      </c>
      <c r="Z1770" s="740">
        <v>98.812895435890439</v>
      </c>
      <c r="AA1770" s="678">
        <f t="shared" si="250"/>
        <v>-735167.94204302481</v>
      </c>
      <c r="AB1770" s="741">
        <f t="shared" si="251"/>
        <v>50687.942043024814</v>
      </c>
      <c r="AC1770" s="714"/>
    </row>
    <row r="1771" spans="1:29" x14ac:dyDescent="0.25">
      <c r="A1771" s="713"/>
      <c r="B1771" s="714" t="s">
        <v>2616</v>
      </c>
      <c r="C1771" s="676" t="s">
        <v>40</v>
      </c>
      <c r="D1771" s="676" t="s">
        <v>502</v>
      </c>
      <c r="E1771" s="680">
        <v>45231</v>
      </c>
      <c r="F1771" s="676">
        <v>720</v>
      </c>
      <c r="G1771" s="676" t="s">
        <v>58</v>
      </c>
      <c r="H1771" s="676" t="s">
        <v>3</v>
      </c>
      <c r="I1771" s="676" t="s">
        <v>44</v>
      </c>
      <c r="J1771" s="676" t="s">
        <v>84</v>
      </c>
      <c r="K1771" s="676">
        <v>92</v>
      </c>
      <c r="L1771" s="690" t="s">
        <v>54</v>
      </c>
      <c r="M1771" s="691">
        <v>10</v>
      </c>
      <c r="N1771" s="690">
        <v>0</v>
      </c>
      <c r="O1771" s="691">
        <v>92</v>
      </c>
      <c r="P1771" s="690">
        <v>0</v>
      </c>
      <c r="Q1771" s="738">
        <f t="shared" si="243"/>
        <v>662400</v>
      </c>
      <c r="R1771" s="677">
        <f t="shared" si="244"/>
        <v>0</v>
      </c>
      <c r="S1771" s="739">
        <f t="shared" si="245"/>
        <v>-662400</v>
      </c>
      <c r="T1771" s="738">
        <v>80.45</v>
      </c>
      <c r="U1771" s="677">
        <f t="shared" si="246"/>
        <v>-579240</v>
      </c>
      <c r="V1771" s="739">
        <f t="shared" si="247"/>
        <v>-83160</v>
      </c>
      <c r="W1771" s="740">
        <v>62.087104564109552</v>
      </c>
      <c r="X1771" s="678">
        <f t="shared" si="248"/>
        <v>-447027.15286158875</v>
      </c>
      <c r="Y1771" s="700">
        <f t="shared" si="249"/>
        <v>-215372.84713841125</v>
      </c>
      <c r="Z1771" s="740">
        <v>98.812895435890439</v>
      </c>
      <c r="AA1771" s="678">
        <f t="shared" si="250"/>
        <v>-711452.84713841113</v>
      </c>
      <c r="AB1771" s="741">
        <f t="shared" si="251"/>
        <v>49052.847138411133</v>
      </c>
      <c r="AC1771" s="714"/>
    </row>
    <row r="1772" spans="1:29" x14ac:dyDescent="0.25">
      <c r="A1772" s="713"/>
      <c r="B1772" s="729" t="s">
        <v>2616</v>
      </c>
      <c r="C1772" s="545" t="s">
        <v>40</v>
      </c>
      <c r="D1772" s="545" t="s">
        <v>502</v>
      </c>
      <c r="E1772" s="681">
        <v>45261</v>
      </c>
      <c r="F1772" s="545">
        <v>744</v>
      </c>
      <c r="G1772" s="545" t="s">
        <v>58</v>
      </c>
      <c r="H1772" s="545" t="s">
        <v>3</v>
      </c>
      <c r="I1772" s="545" t="s">
        <v>44</v>
      </c>
      <c r="J1772" s="545" t="s">
        <v>84</v>
      </c>
      <c r="K1772" s="545">
        <v>92</v>
      </c>
      <c r="L1772" s="725" t="s">
        <v>54</v>
      </c>
      <c r="M1772" s="695">
        <v>10</v>
      </c>
      <c r="N1772" s="725">
        <v>0</v>
      </c>
      <c r="O1772" s="695">
        <v>92</v>
      </c>
      <c r="P1772" s="725">
        <v>0</v>
      </c>
      <c r="Q1772" s="742">
        <f t="shared" si="243"/>
        <v>684480</v>
      </c>
      <c r="R1772" s="603">
        <f t="shared" si="244"/>
        <v>0</v>
      </c>
      <c r="S1772" s="743">
        <f t="shared" si="245"/>
        <v>-684480</v>
      </c>
      <c r="T1772" s="742">
        <v>80.45</v>
      </c>
      <c r="U1772" s="603">
        <f t="shared" si="246"/>
        <v>-598548</v>
      </c>
      <c r="V1772" s="743">
        <f t="shared" si="247"/>
        <v>-85932</v>
      </c>
      <c r="W1772" s="744">
        <v>62.087104564109552</v>
      </c>
      <c r="X1772" s="604">
        <f t="shared" si="248"/>
        <v>-461928.05795697507</v>
      </c>
      <c r="Y1772" s="701">
        <f t="shared" si="249"/>
        <v>-222551.94204302493</v>
      </c>
      <c r="Z1772" s="744">
        <v>98.812895435890439</v>
      </c>
      <c r="AA1772" s="604">
        <f t="shared" si="250"/>
        <v>-735167.94204302481</v>
      </c>
      <c r="AB1772" s="745">
        <f t="shared" si="251"/>
        <v>50687.942043024814</v>
      </c>
      <c r="AC1772" s="714"/>
    </row>
    <row r="1773" spans="1:29" x14ac:dyDescent="0.25">
      <c r="A1773" s="713"/>
      <c r="B1773" s="731" t="s">
        <v>2618</v>
      </c>
      <c r="C1773" s="547" t="s">
        <v>40</v>
      </c>
      <c r="D1773" s="547" t="s">
        <v>2351</v>
      </c>
      <c r="E1773" s="683">
        <v>44986</v>
      </c>
      <c r="F1773" s="547">
        <v>744</v>
      </c>
      <c r="G1773" s="547" t="s">
        <v>59</v>
      </c>
      <c r="H1773" s="547" t="s">
        <v>3</v>
      </c>
      <c r="I1773" s="547" t="s">
        <v>44</v>
      </c>
      <c r="J1773" s="547" t="s">
        <v>85</v>
      </c>
      <c r="K1773" s="547">
        <v>71</v>
      </c>
      <c r="L1773" s="727" t="s">
        <v>54</v>
      </c>
      <c r="M1773" s="697">
        <v>0</v>
      </c>
      <c r="N1773" s="727">
        <v>20</v>
      </c>
      <c r="O1773" s="697">
        <v>0</v>
      </c>
      <c r="P1773" s="727">
        <v>71</v>
      </c>
      <c r="Q1773" s="750">
        <f t="shared" si="243"/>
        <v>0</v>
      </c>
      <c r="R1773" s="608">
        <f t="shared" si="244"/>
        <v>1056480</v>
      </c>
      <c r="S1773" s="751">
        <f t="shared" si="245"/>
        <v>1056480</v>
      </c>
      <c r="T1773" s="750">
        <v>69.3</v>
      </c>
      <c r="U1773" s="608">
        <f t="shared" si="246"/>
        <v>1031184</v>
      </c>
      <c r="V1773" s="751">
        <f t="shared" si="247"/>
        <v>25296</v>
      </c>
      <c r="W1773" s="752">
        <v>55.7</v>
      </c>
      <c r="X1773" s="609">
        <f t="shared" si="248"/>
        <v>828816</v>
      </c>
      <c r="Y1773" s="703">
        <f t="shared" si="249"/>
        <v>227664</v>
      </c>
      <c r="Z1773" s="752">
        <v>89.053218420260009</v>
      </c>
      <c r="AA1773" s="609">
        <f t="shared" si="250"/>
        <v>1325111.8900934688</v>
      </c>
      <c r="AB1773" s="753">
        <f t="shared" si="251"/>
        <v>-268631.89009346883</v>
      </c>
      <c r="AC1773" s="714"/>
    </row>
    <row r="1774" spans="1:29" x14ac:dyDescent="0.25">
      <c r="A1774" s="713"/>
      <c r="B1774" s="731" t="s">
        <v>2620</v>
      </c>
      <c r="C1774" s="547" t="s">
        <v>40</v>
      </c>
      <c r="D1774" s="547" t="s">
        <v>2351</v>
      </c>
      <c r="E1774" s="683">
        <v>44986</v>
      </c>
      <c r="F1774" s="547">
        <v>744</v>
      </c>
      <c r="G1774" s="547" t="s">
        <v>59</v>
      </c>
      <c r="H1774" s="547" t="s">
        <v>3</v>
      </c>
      <c r="I1774" s="547" t="s">
        <v>44</v>
      </c>
      <c r="J1774" s="547" t="s">
        <v>85</v>
      </c>
      <c r="K1774" s="547">
        <v>71</v>
      </c>
      <c r="L1774" s="727" t="s">
        <v>54</v>
      </c>
      <c r="M1774" s="697">
        <v>0</v>
      </c>
      <c r="N1774" s="727">
        <v>2</v>
      </c>
      <c r="O1774" s="697">
        <v>0</v>
      </c>
      <c r="P1774" s="727">
        <v>71</v>
      </c>
      <c r="Q1774" s="750">
        <f t="shared" si="243"/>
        <v>0</v>
      </c>
      <c r="R1774" s="608">
        <f t="shared" si="244"/>
        <v>105648</v>
      </c>
      <c r="S1774" s="751">
        <f t="shared" si="245"/>
        <v>105648</v>
      </c>
      <c r="T1774" s="750">
        <v>69.3</v>
      </c>
      <c r="U1774" s="608">
        <f t="shared" si="246"/>
        <v>103118.39999999999</v>
      </c>
      <c r="V1774" s="751">
        <f t="shared" si="247"/>
        <v>2529.6000000000058</v>
      </c>
      <c r="W1774" s="752">
        <v>55.7</v>
      </c>
      <c r="X1774" s="609">
        <f t="shared" si="248"/>
        <v>82881.600000000006</v>
      </c>
      <c r="Y1774" s="703">
        <f t="shared" si="249"/>
        <v>22766.399999999994</v>
      </c>
      <c r="Z1774" s="752">
        <v>89.053218420260009</v>
      </c>
      <c r="AA1774" s="609">
        <f t="shared" si="250"/>
        <v>132511.18900934688</v>
      </c>
      <c r="AB1774" s="753">
        <f t="shared" si="251"/>
        <v>-26863.189009346883</v>
      </c>
      <c r="AC1774" s="714"/>
    </row>
    <row r="1775" spans="1:29" x14ac:dyDescent="0.25">
      <c r="A1775" s="713"/>
      <c r="B1775" s="730" t="s">
        <v>2622</v>
      </c>
      <c r="C1775" s="546" t="s">
        <v>40</v>
      </c>
      <c r="D1775" s="546" t="s">
        <v>2351</v>
      </c>
      <c r="E1775" s="682">
        <v>45017</v>
      </c>
      <c r="F1775" s="546">
        <v>720</v>
      </c>
      <c r="G1775" s="546" t="s">
        <v>59</v>
      </c>
      <c r="H1775" s="546" t="s">
        <v>3</v>
      </c>
      <c r="I1775" s="546" t="s">
        <v>44</v>
      </c>
      <c r="J1775" s="546" t="s">
        <v>85</v>
      </c>
      <c r="K1775" s="546">
        <v>73.5</v>
      </c>
      <c r="L1775" s="726" t="s">
        <v>54</v>
      </c>
      <c r="M1775" s="696">
        <v>0</v>
      </c>
      <c r="N1775" s="726">
        <v>10</v>
      </c>
      <c r="O1775" s="696">
        <v>0</v>
      </c>
      <c r="P1775" s="726">
        <v>73.5</v>
      </c>
      <c r="Q1775" s="746">
        <f t="shared" si="243"/>
        <v>0</v>
      </c>
      <c r="R1775" s="606">
        <f t="shared" si="244"/>
        <v>529200</v>
      </c>
      <c r="S1775" s="747">
        <f t="shared" si="245"/>
        <v>529200</v>
      </c>
      <c r="T1775" s="746">
        <v>69.8</v>
      </c>
      <c r="U1775" s="606">
        <f t="shared" si="246"/>
        <v>502560</v>
      </c>
      <c r="V1775" s="747">
        <f t="shared" si="247"/>
        <v>26640</v>
      </c>
      <c r="W1775" s="748">
        <v>55.7</v>
      </c>
      <c r="X1775" s="607">
        <f t="shared" si="248"/>
        <v>401040</v>
      </c>
      <c r="Y1775" s="702">
        <f t="shared" si="249"/>
        <v>128160</v>
      </c>
      <c r="Z1775" s="748">
        <v>85.732008718771311</v>
      </c>
      <c r="AA1775" s="607">
        <f t="shared" si="250"/>
        <v>617270.46277515346</v>
      </c>
      <c r="AB1775" s="749">
        <f t="shared" si="251"/>
        <v>-88070.462775153457</v>
      </c>
      <c r="AC1775" s="714"/>
    </row>
    <row r="1776" spans="1:29" x14ac:dyDescent="0.25">
      <c r="A1776" s="713"/>
      <c r="B1776" s="729" t="s">
        <v>2622</v>
      </c>
      <c r="C1776" s="545" t="s">
        <v>40</v>
      </c>
      <c r="D1776" s="545" t="s">
        <v>2351</v>
      </c>
      <c r="E1776" s="681">
        <v>45047</v>
      </c>
      <c r="F1776" s="545">
        <v>744</v>
      </c>
      <c r="G1776" s="545" t="s">
        <v>59</v>
      </c>
      <c r="H1776" s="545" t="s">
        <v>3</v>
      </c>
      <c r="I1776" s="545" t="s">
        <v>44</v>
      </c>
      <c r="J1776" s="545" t="s">
        <v>85</v>
      </c>
      <c r="K1776" s="545">
        <v>73.5</v>
      </c>
      <c r="L1776" s="725" t="s">
        <v>54</v>
      </c>
      <c r="M1776" s="695">
        <v>0</v>
      </c>
      <c r="N1776" s="725">
        <v>10</v>
      </c>
      <c r="O1776" s="695">
        <v>0</v>
      </c>
      <c r="P1776" s="725">
        <v>73.5</v>
      </c>
      <c r="Q1776" s="742">
        <f t="shared" si="243"/>
        <v>0</v>
      </c>
      <c r="R1776" s="603">
        <f t="shared" si="244"/>
        <v>546840</v>
      </c>
      <c r="S1776" s="743">
        <f t="shared" si="245"/>
        <v>546840</v>
      </c>
      <c r="T1776" s="742">
        <v>70.2</v>
      </c>
      <c r="U1776" s="603">
        <f t="shared" si="246"/>
        <v>522288</v>
      </c>
      <c r="V1776" s="743">
        <f t="shared" si="247"/>
        <v>24552</v>
      </c>
      <c r="W1776" s="744">
        <v>55.7</v>
      </c>
      <c r="X1776" s="604">
        <f t="shared" si="248"/>
        <v>414408</v>
      </c>
      <c r="Y1776" s="701">
        <f t="shared" si="249"/>
        <v>132432</v>
      </c>
      <c r="Z1776" s="744">
        <v>86.223309628334476</v>
      </c>
      <c r="AA1776" s="604">
        <f t="shared" si="250"/>
        <v>641501.42363480851</v>
      </c>
      <c r="AB1776" s="745">
        <f t="shared" si="251"/>
        <v>-94661.423634808511</v>
      </c>
      <c r="AC1776" s="714"/>
    </row>
    <row r="1777" spans="1:29" x14ac:dyDescent="0.25">
      <c r="A1777" s="713"/>
      <c r="B1777" s="731" t="s">
        <v>2624</v>
      </c>
      <c r="C1777" s="547" t="s">
        <v>40</v>
      </c>
      <c r="D1777" s="547" t="s">
        <v>2351</v>
      </c>
      <c r="E1777" s="683">
        <v>45047</v>
      </c>
      <c r="F1777" s="547">
        <v>744</v>
      </c>
      <c r="G1777" s="547" t="s">
        <v>59</v>
      </c>
      <c r="H1777" s="547" t="s">
        <v>3</v>
      </c>
      <c r="I1777" s="547" t="s">
        <v>44</v>
      </c>
      <c r="J1777" s="547" t="s">
        <v>85</v>
      </c>
      <c r="K1777" s="547">
        <v>74</v>
      </c>
      <c r="L1777" s="727" t="s">
        <v>54</v>
      </c>
      <c r="M1777" s="697">
        <v>0</v>
      </c>
      <c r="N1777" s="727">
        <v>2</v>
      </c>
      <c r="O1777" s="697">
        <v>0</v>
      </c>
      <c r="P1777" s="727">
        <v>74</v>
      </c>
      <c r="Q1777" s="750">
        <f t="shared" si="243"/>
        <v>0</v>
      </c>
      <c r="R1777" s="608">
        <f t="shared" si="244"/>
        <v>110112</v>
      </c>
      <c r="S1777" s="751">
        <f t="shared" si="245"/>
        <v>110112</v>
      </c>
      <c r="T1777" s="750">
        <v>70.2</v>
      </c>
      <c r="U1777" s="608">
        <f t="shared" si="246"/>
        <v>104457.60000000001</v>
      </c>
      <c r="V1777" s="751">
        <f t="shared" si="247"/>
        <v>5654.3999999999942</v>
      </c>
      <c r="W1777" s="752">
        <v>55.7</v>
      </c>
      <c r="X1777" s="609">
        <f t="shared" si="248"/>
        <v>82881.600000000006</v>
      </c>
      <c r="Y1777" s="703">
        <f t="shared" si="249"/>
        <v>27230.399999999994</v>
      </c>
      <c r="Z1777" s="752">
        <v>86.223309628334476</v>
      </c>
      <c r="AA1777" s="609">
        <f t="shared" si="250"/>
        <v>128300.28472696171</v>
      </c>
      <c r="AB1777" s="753">
        <f t="shared" si="251"/>
        <v>-18188.284726961705</v>
      </c>
      <c r="AC1777" s="714"/>
    </row>
    <row r="1778" spans="1:29" x14ac:dyDescent="0.25">
      <c r="A1778" s="713"/>
      <c r="B1778" s="730" t="s">
        <v>2628</v>
      </c>
      <c r="C1778" s="546" t="s">
        <v>40</v>
      </c>
      <c r="D1778" s="546" t="s">
        <v>502</v>
      </c>
      <c r="E1778" s="682">
        <v>45200</v>
      </c>
      <c r="F1778" s="546">
        <v>744</v>
      </c>
      <c r="G1778" s="546" t="s">
        <v>58</v>
      </c>
      <c r="H1778" s="546" t="s">
        <v>3</v>
      </c>
      <c r="I1778" s="546" t="s">
        <v>44</v>
      </c>
      <c r="J1778" s="546" t="s">
        <v>84</v>
      </c>
      <c r="K1778" s="546">
        <v>93</v>
      </c>
      <c r="L1778" s="726" t="s">
        <v>54</v>
      </c>
      <c r="M1778" s="696">
        <v>5</v>
      </c>
      <c r="N1778" s="726">
        <v>0</v>
      </c>
      <c r="O1778" s="696">
        <v>93</v>
      </c>
      <c r="P1778" s="726">
        <v>0</v>
      </c>
      <c r="Q1778" s="746">
        <f t="shared" si="243"/>
        <v>345960</v>
      </c>
      <c r="R1778" s="606">
        <f t="shared" si="244"/>
        <v>0</v>
      </c>
      <c r="S1778" s="747">
        <f t="shared" si="245"/>
        <v>-345960</v>
      </c>
      <c r="T1778" s="746">
        <v>80.45</v>
      </c>
      <c r="U1778" s="606">
        <f t="shared" si="246"/>
        <v>-299274</v>
      </c>
      <c r="V1778" s="747">
        <f t="shared" si="247"/>
        <v>-46686</v>
      </c>
      <c r="W1778" s="748">
        <v>62.087104564109552</v>
      </c>
      <c r="X1778" s="607">
        <f t="shared" si="248"/>
        <v>-230964.02897848753</v>
      </c>
      <c r="Y1778" s="702">
        <f t="shared" si="249"/>
        <v>-114995.97102151247</v>
      </c>
      <c r="Z1778" s="748">
        <v>98.812895435890439</v>
      </c>
      <c r="AA1778" s="607">
        <f t="shared" si="250"/>
        <v>-367583.97102151241</v>
      </c>
      <c r="AB1778" s="749">
        <f t="shared" si="251"/>
        <v>21623.971021512407</v>
      </c>
      <c r="AC1778" s="714"/>
    </row>
    <row r="1779" spans="1:29" x14ac:dyDescent="0.25">
      <c r="A1779" s="713"/>
      <c r="B1779" s="714" t="s">
        <v>2628</v>
      </c>
      <c r="C1779" s="676" t="s">
        <v>40</v>
      </c>
      <c r="D1779" s="676" t="s">
        <v>502</v>
      </c>
      <c r="E1779" s="680">
        <v>45231</v>
      </c>
      <c r="F1779" s="676">
        <v>720</v>
      </c>
      <c r="G1779" s="676" t="s">
        <v>58</v>
      </c>
      <c r="H1779" s="676" t="s">
        <v>3</v>
      </c>
      <c r="I1779" s="676" t="s">
        <v>44</v>
      </c>
      <c r="J1779" s="676" t="s">
        <v>84</v>
      </c>
      <c r="K1779" s="676">
        <v>93</v>
      </c>
      <c r="L1779" s="690" t="s">
        <v>54</v>
      </c>
      <c r="M1779" s="691">
        <v>5</v>
      </c>
      <c r="N1779" s="690">
        <v>0</v>
      </c>
      <c r="O1779" s="691">
        <v>93</v>
      </c>
      <c r="P1779" s="690">
        <v>0</v>
      </c>
      <c r="Q1779" s="738">
        <f t="shared" si="243"/>
        <v>334800</v>
      </c>
      <c r="R1779" s="677">
        <f t="shared" si="244"/>
        <v>0</v>
      </c>
      <c r="S1779" s="739">
        <f t="shared" si="245"/>
        <v>-334800</v>
      </c>
      <c r="T1779" s="738">
        <v>80.45</v>
      </c>
      <c r="U1779" s="677">
        <f t="shared" si="246"/>
        <v>-289620</v>
      </c>
      <c r="V1779" s="739">
        <f t="shared" si="247"/>
        <v>-45180</v>
      </c>
      <c r="W1779" s="740">
        <v>62.087104564109552</v>
      </c>
      <c r="X1779" s="678">
        <f t="shared" si="248"/>
        <v>-223513.57643079438</v>
      </c>
      <c r="Y1779" s="700">
        <f t="shared" si="249"/>
        <v>-111286.42356920562</v>
      </c>
      <c r="Z1779" s="740">
        <v>98.812895435890439</v>
      </c>
      <c r="AA1779" s="678">
        <f t="shared" si="250"/>
        <v>-355726.42356920557</v>
      </c>
      <c r="AB1779" s="741">
        <f t="shared" si="251"/>
        <v>20926.423569205566</v>
      </c>
      <c r="AC1779" s="714"/>
    </row>
    <row r="1780" spans="1:29" x14ac:dyDescent="0.25">
      <c r="A1780" s="713"/>
      <c r="B1780" s="729" t="s">
        <v>2628</v>
      </c>
      <c r="C1780" s="545" t="s">
        <v>40</v>
      </c>
      <c r="D1780" s="545" t="s">
        <v>502</v>
      </c>
      <c r="E1780" s="681">
        <v>45261</v>
      </c>
      <c r="F1780" s="545">
        <v>744</v>
      </c>
      <c r="G1780" s="545" t="s">
        <v>58</v>
      </c>
      <c r="H1780" s="545" t="s">
        <v>3</v>
      </c>
      <c r="I1780" s="545" t="s">
        <v>44</v>
      </c>
      <c r="J1780" s="545" t="s">
        <v>84</v>
      </c>
      <c r="K1780" s="545">
        <v>93</v>
      </c>
      <c r="L1780" s="725" t="s">
        <v>54</v>
      </c>
      <c r="M1780" s="695">
        <v>5</v>
      </c>
      <c r="N1780" s="725">
        <v>0</v>
      </c>
      <c r="O1780" s="695">
        <v>93</v>
      </c>
      <c r="P1780" s="725">
        <v>0</v>
      </c>
      <c r="Q1780" s="742">
        <f t="shared" si="243"/>
        <v>345960</v>
      </c>
      <c r="R1780" s="603">
        <f t="shared" si="244"/>
        <v>0</v>
      </c>
      <c r="S1780" s="743">
        <f t="shared" si="245"/>
        <v>-345960</v>
      </c>
      <c r="T1780" s="742">
        <v>80.45</v>
      </c>
      <c r="U1780" s="603">
        <f t="shared" si="246"/>
        <v>-299274</v>
      </c>
      <c r="V1780" s="743">
        <f t="shared" si="247"/>
        <v>-46686</v>
      </c>
      <c r="W1780" s="744">
        <v>62.087104564109552</v>
      </c>
      <c r="X1780" s="604">
        <f t="shared" si="248"/>
        <v>-230964.02897848753</v>
      </c>
      <c r="Y1780" s="701">
        <f t="shared" si="249"/>
        <v>-114995.97102151247</v>
      </c>
      <c r="Z1780" s="744">
        <v>98.812895435890439</v>
      </c>
      <c r="AA1780" s="604">
        <f t="shared" si="250"/>
        <v>-367583.97102151241</v>
      </c>
      <c r="AB1780" s="745">
        <f t="shared" si="251"/>
        <v>21623.971021512407</v>
      </c>
      <c r="AC1780" s="714"/>
    </row>
    <row r="1781" spans="1:29" x14ac:dyDescent="0.25">
      <c r="A1781" s="713"/>
      <c r="B1781" s="730" t="s">
        <v>2630</v>
      </c>
      <c r="C1781" s="546" t="s">
        <v>40</v>
      </c>
      <c r="D1781" s="546" t="s">
        <v>502</v>
      </c>
      <c r="E1781" s="682">
        <v>45108</v>
      </c>
      <c r="F1781" s="546">
        <v>744</v>
      </c>
      <c r="G1781" s="546" t="s">
        <v>58</v>
      </c>
      <c r="H1781" s="546" t="s">
        <v>3</v>
      </c>
      <c r="I1781" s="546" t="s">
        <v>44</v>
      </c>
      <c r="J1781" s="546" t="s">
        <v>84</v>
      </c>
      <c r="K1781" s="546">
        <v>91</v>
      </c>
      <c r="L1781" s="726" t="s">
        <v>54</v>
      </c>
      <c r="M1781" s="696">
        <v>2</v>
      </c>
      <c r="N1781" s="726">
        <v>0</v>
      </c>
      <c r="O1781" s="696">
        <v>91</v>
      </c>
      <c r="P1781" s="726">
        <v>0</v>
      </c>
      <c r="Q1781" s="746">
        <f t="shared" si="243"/>
        <v>135408</v>
      </c>
      <c r="R1781" s="606">
        <f t="shared" si="244"/>
        <v>0</v>
      </c>
      <c r="S1781" s="747">
        <f t="shared" si="245"/>
        <v>-135408</v>
      </c>
      <c r="T1781" s="746">
        <v>77.150000000000006</v>
      </c>
      <c r="U1781" s="606">
        <f t="shared" si="246"/>
        <v>-114799.20000000001</v>
      </c>
      <c r="V1781" s="747">
        <f t="shared" si="247"/>
        <v>-20608.799999999988</v>
      </c>
      <c r="W1781" s="748">
        <v>59.54033706800562</v>
      </c>
      <c r="X1781" s="607">
        <f t="shared" si="248"/>
        <v>-88596.021557192362</v>
      </c>
      <c r="Y1781" s="702">
        <f t="shared" si="249"/>
        <v>-46811.978442807638</v>
      </c>
      <c r="Z1781" s="748">
        <v>94.759662931994384</v>
      </c>
      <c r="AA1781" s="607">
        <f t="shared" si="250"/>
        <v>-141002.37844280765</v>
      </c>
      <c r="AB1781" s="749">
        <f t="shared" si="251"/>
        <v>5594.3784428076469</v>
      </c>
      <c r="AC1781" s="714"/>
    </row>
    <row r="1782" spans="1:29" x14ac:dyDescent="0.25">
      <c r="A1782" s="713"/>
      <c r="B1782" s="714" t="s">
        <v>2630</v>
      </c>
      <c r="C1782" s="676" t="s">
        <v>40</v>
      </c>
      <c r="D1782" s="676" t="s">
        <v>502</v>
      </c>
      <c r="E1782" s="680">
        <v>45139</v>
      </c>
      <c r="F1782" s="676">
        <v>744</v>
      </c>
      <c r="G1782" s="676" t="s">
        <v>58</v>
      </c>
      <c r="H1782" s="676" t="s">
        <v>3</v>
      </c>
      <c r="I1782" s="676" t="s">
        <v>44</v>
      </c>
      <c r="J1782" s="676" t="s">
        <v>84</v>
      </c>
      <c r="K1782" s="676">
        <v>91</v>
      </c>
      <c r="L1782" s="690" t="s">
        <v>54</v>
      </c>
      <c r="M1782" s="691">
        <v>2</v>
      </c>
      <c r="N1782" s="690">
        <v>0</v>
      </c>
      <c r="O1782" s="691">
        <v>91</v>
      </c>
      <c r="P1782" s="690">
        <v>0</v>
      </c>
      <c r="Q1782" s="738">
        <f t="shared" si="243"/>
        <v>135408</v>
      </c>
      <c r="R1782" s="677">
        <f t="shared" si="244"/>
        <v>0</v>
      </c>
      <c r="S1782" s="739">
        <f t="shared" si="245"/>
        <v>-135408</v>
      </c>
      <c r="T1782" s="738">
        <v>77.150000000000006</v>
      </c>
      <c r="U1782" s="677">
        <f t="shared" si="246"/>
        <v>-114799.20000000001</v>
      </c>
      <c r="V1782" s="739">
        <f t="shared" si="247"/>
        <v>-20608.799999999988</v>
      </c>
      <c r="W1782" s="740">
        <v>59.54033706800562</v>
      </c>
      <c r="X1782" s="678">
        <f t="shared" si="248"/>
        <v>-88596.021557192362</v>
      </c>
      <c r="Y1782" s="700">
        <f t="shared" si="249"/>
        <v>-46811.978442807638</v>
      </c>
      <c r="Z1782" s="740">
        <v>94.759662931994384</v>
      </c>
      <c r="AA1782" s="678">
        <f t="shared" si="250"/>
        <v>-141002.37844280765</v>
      </c>
      <c r="AB1782" s="741">
        <f t="shared" si="251"/>
        <v>5594.3784428076469</v>
      </c>
      <c r="AC1782" s="714"/>
    </row>
    <row r="1783" spans="1:29" x14ac:dyDescent="0.25">
      <c r="A1783" s="713"/>
      <c r="B1783" s="714" t="s">
        <v>2630</v>
      </c>
      <c r="C1783" s="676" t="s">
        <v>40</v>
      </c>
      <c r="D1783" s="676" t="s">
        <v>502</v>
      </c>
      <c r="E1783" s="680">
        <v>45170</v>
      </c>
      <c r="F1783" s="676">
        <v>720</v>
      </c>
      <c r="G1783" s="676" t="s">
        <v>58</v>
      </c>
      <c r="H1783" s="676" t="s">
        <v>3</v>
      </c>
      <c r="I1783" s="676" t="s">
        <v>44</v>
      </c>
      <c r="J1783" s="676" t="s">
        <v>84</v>
      </c>
      <c r="K1783" s="676">
        <v>91</v>
      </c>
      <c r="L1783" s="690" t="s">
        <v>54</v>
      </c>
      <c r="M1783" s="691">
        <v>2</v>
      </c>
      <c r="N1783" s="690">
        <v>0</v>
      </c>
      <c r="O1783" s="691">
        <v>91</v>
      </c>
      <c r="P1783" s="690">
        <v>0</v>
      </c>
      <c r="Q1783" s="738">
        <f t="shared" si="243"/>
        <v>131040</v>
      </c>
      <c r="R1783" s="677">
        <f t="shared" si="244"/>
        <v>0</v>
      </c>
      <c r="S1783" s="739">
        <f t="shared" si="245"/>
        <v>-131040</v>
      </c>
      <c r="T1783" s="738">
        <v>77.150000000000006</v>
      </c>
      <c r="U1783" s="677">
        <f t="shared" si="246"/>
        <v>-111096.00000000001</v>
      </c>
      <c r="V1783" s="739">
        <f t="shared" si="247"/>
        <v>-19943.999999999985</v>
      </c>
      <c r="W1783" s="740">
        <v>59.54033706800562</v>
      </c>
      <c r="X1783" s="678">
        <f t="shared" si="248"/>
        <v>-85738.085377928088</v>
      </c>
      <c r="Y1783" s="700">
        <f t="shared" si="249"/>
        <v>-45301.914622071912</v>
      </c>
      <c r="Z1783" s="740">
        <v>94.759662931994384</v>
      </c>
      <c r="AA1783" s="678">
        <f t="shared" si="250"/>
        <v>-136453.91462207193</v>
      </c>
      <c r="AB1783" s="741">
        <f t="shared" si="251"/>
        <v>5413.9146220719267</v>
      </c>
      <c r="AC1783" s="714"/>
    </row>
    <row r="1784" spans="1:29" x14ac:dyDescent="0.25">
      <c r="A1784" s="713"/>
      <c r="B1784" s="714" t="s">
        <v>2630</v>
      </c>
      <c r="C1784" s="676" t="s">
        <v>40</v>
      </c>
      <c r="D1784" s="676" t="s">
        <v>502</v>
      </c>
      <c r="E1784" s="680">
        <v>45200</v>
      </c>
      <c r="F1784" s="676">
        <v>744</v>
      </c>
      <c r="G1784" s="676" t="s">
        <v>58</v>
      </c>
      <c r="H1784" s="676" t="s">
        <v>3</v>
      </c>
      <c r="I1784" s="676" t="s">
        <v>44</v>
      </c>
      <c r="J1784" s="676" t="s">
        <v>84</v>
      </c>
      <c r="K1784" s="676">
        <v>91</v>
      </c>
      <c r="L1784" s="690" t="s">
        <v>54</v>
      </c>
      <c r="M1784" s="691">
        <v>2</v>
      </c>
      <c r="N1784" s="690">
        <v>0</v>
      </c>
      <c r="O1784" s="691">
        <v>91</v>
      </c>
      <c r="P1784" s="690">
        <v>0</v>
      </c>
      <c r="Q1784" s="738">
        <f t="shared" si="243"/>
        <v>135408</v>
      </c>
      <c r="R1784" s="677">
        <f t="shared" si="244"/>
        <v>0</v>
      </c>
      <c r="S1784" s="739">
        <f t="shared" si="245"/>
        <v>-135408</v>
      </c>
      <c r="T1784" s="738">
        <v>80.45</v>
      </c>
      <c r="U1784" s="677">
        <f t="shared" si="246"/>
        <v>-119709.6</v>
      </c>
      <c r="V1784" s="739">
        <f t="shared" si="247"/>
        <v>-15698.399999999994</v>
      </c>
      <c r="W1784" s="740">
        <v>62.087104564109552</v>
      </c>
      <c r="X1784" s="678">
        <f t="shared" si="248"/>
        <v>-92385.61159139502</v>
      </c>
      <c r="Y1784" s="700">
        <f t="shared" si="249"/>
        <v>-43022.38840860498</v>
      </c>
      <c r="Z1784" s="740">
        <v>98.812895435890439</v>
      </c>
      <c r="AA1784" s="678">
        <f t="shared" si="250"/>
        <v>-147033.58840860496</v>
      </c>
      <c r="AB1784" s="741">
        <f t="shared" si="251"/>
        <v>11625.588408604963</v>
      </c>
      <c r="AC1784" s="714"/>
    </row>
    <row r="1785" spans="1:29" x14ac:dyDescent="0.25">
      <c r="A1785" s="713"/>
      <c r="B1785" s="714" t="s">
        <v>2630</v>
      </c>
      <c r="C1785" s="676" t="s">
        <v>40</v>
      </c>
      <c r="D1785" s="676" t="s">
        <v>502</v>
      </c>
      <c r="E1785" s="680">
        <v>45231</v>
      </c>
      <c r="F1785" s="676">
        <v>720</v>
      </c>
      <c r="G1785" s="676" t="s">
        <v>58</v>
      </c>
      <c r="H1785" s="676" t="s">
        <v>3</v>
      </c>
      <c r="I1785" s="676" t="s">
        <v>44</v>
      </c>
      <c r="J1785" s="676" t="s">
        <v>84</v>
      </c>
      <c r="K1785" s="676">
        <v>91</v>
      </c>
      <c r="L1785" s="690" t="s">
        <v>54</v>
      </c>
      <c r="M1785" s="691">
        <v>2</v>
      </c>
      <c r="N1785" s="690">
        <v>0</v>
      </c>
      <c r="O1785" s="691">
        <v>91</v>
      </c>
      <c r="P1785" s="690">
        <v>0</v>
      </c>
      <c r="Q1785" s="738">
        <f t="shared" si="243"/>
        <v>131040</v>
      </c>
      <c r="R1785" s="677">
        <f t="shared" si="244"/>
        <v>0</v>
      </c>
      <c r="S1785" s="739">
        <f t="shared" si="245"/>
        <v>-131040</v>
      </c>
      <c r="T1785" s="738">
        <v>80.45</v>
      </c>
      <c r="U1785" s="677">
        <f t="shared" si="246"/>
        <v>-115848</v>
      </c>
      <c r="V1785" s="739">
        <f t="shared" si="247"/>
        <v>-15192</v>
      </c>
      <c r="W1785" s="740">
        <v>62.087104564109552</v>
      </c>
      <c r="X1785" s="678">
        <f t="shared" si="248"/>
        <v>-89405.430572317753</v>
      </c>
      <c r="Y1785" s="700">
        <f t="shared" si="249"/>
        <v>-41634.569427682247</v>
      </c>
      <c r="Z1785" s="740">
        <v>98.812895435890439</v>
      </c>
      <c r="AA1785" s="678">
        <f t="shared" si="250"/>
        <v>-142290.56942768223</v>
      </c>
      <c r="AB1785" s="741">
        <f t="shared" si="251"/>
        <v>11250.569427682232</v>
      </c>
      <c r="AC1785" s="714"/>
    </row>
    <row r="1786" spans="1:29" x14ac:dyDescent="0.25">
      <c r="A1786" s="713"/>
      <c r="B1786" s="729" t="s">
        <v>2630</v>
      </c>
      <c r="C1786" s="545" t="s">
        <v>40</v>
      </c>
      <c r="D1786" s="545" t="s">
        <v>502</v>
      </c>
      <c r="E1786" s="681">
        <v>45261</v>
      </c>
      <c r="F1786" s="545">
        <v>744</v>
      </c>
      <c r="G1786" s="545" t="s">
        <v>58</v>
      </c>
      <c r="H1786" s="545" t="s">
        <v>3</v>
      </c>
      <c r="I1786" s="545" t="s">
        <v>44</v>
      </c>
      <c r="J1786" s="545" t="s">
        <v>84</v>
      </c>
      <c r="K1786" s="545">
        <v>91</v>
      </c>
      <c r="L1786" s="725" t="s">
        <v>54</v>
      </c>
      <c r="M1786" s="695">
        <v>2</v>
      </c>
      <c r="N1786" s="725">
        <v>0</v>
      </c>
      <c r="O1786" s="695">
        <v>91</v>
      </c>
      <c r="P1786" s="725">
        <v>0</v>
      </c>
      <c r="Q1786" s="742">
        <f t="shared" si="243"/>
        <v>135408</v>
      </c>
      <c r="R1786" s="603">
        <f t="shared" si="244"/>
        <v>0</v>
      </c>
      <c r="S1786" s="743">
        <f t="shared" si="245"/>
        <v>-135408</v>
      </c>
      <c r="T1786" s="742">
        <v>80.45</v>
      </c>
      <c r="U1786" s="603">
        <f t="shared" si="246"/>
        <v>-119709.6</v>
      </c>
      <c r="V1786" s="743">
        <f t="shared" si="247"/>
        <v>-15698.399999999994</v>
      </c>
      <c r="W1786" s="744">
        <v>62.087104564109552</v>
      </c>
      <c r="X1786" s="604">
        <f t="shared" si="248"/>
        <v>-92385.61159139502</v>
      </c>
      <c r="Y1786" s="701">
        <f t="shared" si="249"/>
        <v>-43022.38840860498</v>
      </c>
      <c r="Z1786" s="744">
        <v>98.812895435890439</v>
      </c>
      <c r="AA1786" s="604">
        <f t="shared" si="250"/>
        <v>-147033.58840860496</v>
      </c>
      <c r="AB1786" s="745">
        <f t="shared" si="251"/>
        <v>11625.588408604963</v>
      </c>
      <c r="AC1786" s="714"/>
    </row>
    <row r="1787" spans="1:29" x14ac:dyDescent="0.25">
      <c r="A1787" s="713"/>
      <c r="B1787" s="730" t="s">
        <v>2637</v>
      </c>
      <c r="C1787" s="546" t="s">
        <v>40</v>
      </c>
      <c r="D1787" s="546" t="s">
        <v>346</v>
      </c>
      <c r="E1787" s="682">
        <v>45200</v>
      </c>
      <c r="F1787" s="546">
        <v>744</v>
      </c>
      <c r="G1787" s="546" t="s">
        <v>59</v>
      </c>
      <c r="H1787" s="546" t="s">
        <v>3</v>
      </c>
      <c r="I1787" s="546" t="s">
        <v>44</v>
      </c>
      <c r="J1787" s="546" t="s">
        <v>85</v>
      </c>
      <c r="K1787" s="546">
        <v>93</v>
      </c>
      <c r="L1787" s="726" t="s">
        <v>54</v>
      </c>
      <c r="M1787" s="696">
        <v>0</v>
      </c>
      <c r="N1787" s="726">
        <v>5</v>
      </c>
      <c r="O1787" s="696">
        <v>0</v>
      </c>
      <c r="P1787" s="726">
        <v>93</v>
      </c>
      <c r="Q1787" s="746">
        <f t="shared" si="243"/>
        <v>0</v>
      </c>
      <c r="R1787" s="606">
        <f t="shared" si="244"/>
        <v>345960</v>
      </c>
      <c r="S1787" s="747">
        <f t="shared" si="245"/>
        <v>345960</v>
      </c>
      <c r="T1787" s="746">
        <v>80.45</v>
      </c>
      <c r="U1787" s="606">
        <f t="shared" si="246"/>
        <v>299274</v>
      </c>
      <c r="V1787" s="747">
        <f t="shared" si="247"/>
        <v>46686</v>
      </c>
      <c r="W1787" s="748">
        <v>62.087104564109552</v>
      </c>
      <c r="X1787" s="607">
        <f t="shared" si="248"/>
        <v>230964.02897848753</v>
      </c>
      <c r="Y1787" s="702">
        <f t="shared" si="249"/>
        <v>114995.97102151247</v>
      </c>
      <c r="Z1787" s="748">
        <v>98.812895435890439</v>
      </c>
      <c r="AA1787" s="607">
        <f t="shared" si="250"/>
        <v>367583.97102151241</v>
      </c>
      <c r="AB1787" s="749">
        <f t="shared" si="251"/>
        <v>-21623.971021512407</v>
      </c>
      <c r="AC1787" s="714"/>
    </row>
    <row r="1788" spans="1:29" x14ac:dyDescent="0.25">
      <c r="A1788" s="713"/>
      <c r="B1788" s="714" t="s">
        <v>2637</v>
      </c>
      <c r="C1788" s="676" t="s">
        <v>40</v>
      </c>
      <c r="D1788" s="676" t="s">
        <v>346</v>
      </c>
      <c r="E1788" s="680">
        <v>45231</v>
      </c>
      <c r="F1788" s="676">
        <v>720</v>
      </c>
      <c r="G1788" s="676" t="s">
        <v>59</v>
      </c>
      <c r="H1788" s="676" t="s">
        <v>3</v>
      </c>
      <c r="I1788" s="676" t="s">
        <v>44</v>
      </c>
      <c r="J1788" s="676" t="s">
        <v>85</v>
      </c>
      <c r="K1788" s="676">
        <v>93</v>
      </c>
      <c r="L1788" s="690" t="s">
        <v>54</v>
      </c>
      <c r="M1788" s="691">
        <v>0</v>
      </c>
      <c r="N1788" s="690">
        <v>5</v>
      </c>
      <c r="O1788" s="691">
        <v>0</v>
      </c>
      <c r="P1788" s="690">
        <v>93</v>
      </c>
      <c r="Q1788" s="738">
        <f t="shared" si="243"/>
        <v>0</v>
      </c>
      <c r="R1788" s="677">
        <f t="shared" si="244"/>
        <v>334800</v>
      </c>
      <c r="S1788" s="739">
        <f t="shared" si="245"/>
        <v>334800</v>
      </c>
      <c r="T1788" s="738">
        <v>80.45</v>
      </c>
      <c r="U1788" s="677">
        <f t="shared" si="246"/>
        <v>289620</v>
      </c>
      <c r="V1788" s="739">
        <f t="shared" si="247"/>
        <v>45180</v>
      </c>
      <c r="W1788" s="740">
        <v>62.087104564109552</v>
      </c>
      <c r="X1788" s="678">
        <f t="shared" si="248"/>
        <v>223513.57643079438</v>
      </c>
      <c r="Y1788" s="700">
        <f t="shared" si="249"/>
        <v>111286.42356920562</v>
      </c>
      <c r="Z1788" s="740">
        <v>98.812895435890439</v>
      </c>
      <c r="AA1788" s="678">
        <f t="shared" si="250"/>
        <v>355726.42356920557</v>
      </c>
      <c r="AB1788" s="741">
        <f t="shared" si="251"/>
        <v>-20926.423569205566</v>
      </c>
      <c r="AC1788" s="714"/>
    </row>
    <row r="1789" spans="1:29" x14ac:dyDescent="0.25">
      <c r="A1789" s="713"/>
      <c r="B1789" s="729" t="s">
        <v>2637</v>
      </c>
      <c r="C1789" s="545" t="s">
        <v>40</v>
      </c>
      <c r="D1789" s="545" t="s">
        <v>346</v>
      </c>
      <c r="E1789" s="681">
        <v>45261</v>
      </c>
      <c r="F1789" s="545">
        <v>744</v>
      </c>
      <c r="G1789" s="545" t="s">
        <v>59</v>
      </c>
      <c r="H1789" s="545" t="s">
        <v>3</v>
      </c>
      <c r="I1789" s="545" t="s">
        <v>44</v>
      </c>
      <c r="J1789" s="545" t="s">
        <v>85</v>
      </c>
      <c r="K1789" s="545">
        <v>93</v>
      </c>
      <c r="L1789" s="725" t="s">
        <v>54</v>
      </c>
      <c r="M1789" s="695">
        <v>0</v>
      </c>
      <c r="N1789" s="725">
        <v>5</v>
      </c>
      <c r="O1789" s="695">
        <v>0</v>
      </c>
      <c r="P1789" s="725">
        <v>93</v>
      </c>
      <c r="Q1789" s="742">
        <f t="shared" si="243"/>
        <v>0</v>
      </c>
      <c r="R1789" s="603">
        <f t="shared" si="244"/>
        <v>345960</v>
      </c>
      <c r="S1789" s="743">
        <f t="shared" si="245"/>
        <v>345960</v>
      </c>
      <c r="T1789" s="742">
        <v>80.45</v>
      </c>
      <c r="U1789" s="603">
        <f t="shared" si="246"/>
        <v>299274</v>
      </c>
      <c r="V1789" s="743">
        <f t="shared" si="247"/>
        <v>46686</v>
      </c>
      <c r="W1789" s="744">
        <v>62.087104564109552</v>
      </c>
      <c r="X1789" s="604">
        <f t="shared" si="248"/>
        <v>230964.02897848753</v>
      </c>
      <c r="Y1789" s="701">
        <f t="shared" si="249"/>
        <v>114995.97102151247</v>
      </c>
      <c r="Z1789" s="744">
        <v>98.812895435890439</v>
      </c>
      <c r="AA1789" s="604">
        <f t="shared" si="250"/>
        <v>367583.97102151241</v>
      </c>
      <c r="AB1789" s="745">
        <f t="shared" si="251"/>
        <v>-21623.971021512407</v>
      </c>
      <c r="AC1789" s="714"/>
    </row>
    <row r="1790" spans="1:29" x14ac:dyDescent="0.25">
      <c r="A1790" s="713"/>
      <c r="B1790" s="730" t="s">
        <v>2639</v>
      </c>
      <c r="C1790" s="546" t="s">
        <v>40</v>
      </c>
      <c r="D1790" s="546" t="s">
        <v>2634</v>
      </c>
      <c r="E1790" s="682">
        <v>45200</v>
      </c>
      <c r="F1790" s="546">
        <v>744</v>
      </c>
      <c r="G1790" s="546" t="s">
        <v>58</v>
      </c>
      <c r="H1790" s="546" t="s">
        <v>3</v>
      </c>
      <c r="I1790" s="546" t="s">
        <v>44</v>
      </c>
      <c r="J1790" s="546" t="s">
        <v>84</v>
      </c>
      <c r="K1790" s="546">
        <v>91</v>
      </c>
      <c r="L1790" s="726" t="s">
        <v>54</v>
      </c>
      <c r="M1790" s="696">
        <v>5</v>
      </c>
      <c r="N1790" s="726">
        <v>0</v>
      </c>
      <c r="O1790" s="696">
        <v>91</v>
      </c>
      <c r="P1790" s="726">
        <v>0</v>
      </c>
      <c r="Q1790" s="746">
        <f t="shared" si="243"/>
        <v>338520</v>
      </c>
      <c r="R1790" s="606">
        <f t="shared" si="244"/>
        <v>0</v>
      </c>
      <c r="S1790" s="747">
        <f t="shared" si="245"/>
        <v>-338520</v>
      </c>
      <c r="T1790" s="746">
        <v>80.45</v>
      </c>
      <c r="U1790" s="606">
        <f t="shared" si="246"/>
        <v>-299274</v>
      </c>
      <c r="V1790" s="747">
        <f t="shared" si="247"/>
        <v>-39246</v>
      </c>
      <c r="W1790" s="748">
        <v>62.087104564109552</v>
      </c>
      <c r="X1790" s="607">
        <f t="shared" si="248"/>
        <v>-230964.02897848753</v>
      </c>
      <c r="Y1790" s="702">
        <f t="shared" si="249"/>
        <v>-107555.97102151247</v>
      </c>
      <c r="Z1790" s="748">
        <v>98.812895435890439</v>
      </c>
      <c r="AA1790" s="607">
        <f t="shared" si="250"/>
        <v>-367583.97102151241</v>
      </c>
      <c r="AB1790" s="749">
        <f t="shared" si="251"/>
        <v>29063.971021512407</v>
      </c>
      <c r="AC1790" s="714"/>
    </row>
    <row r="1791" spans="1:29" x14ac:dyDescent="0.25">
      <c r="A1791" s="713"/>
      <c r="B1791" s="714" t="s">
        <v>2639</v>
      </c>
      <c r="C1791" s="676" t="s">
        <v>40</v>
      </c>
      <c r="D1791" s="676" t="s">
        <v>2634</v>
      </c>
      <c r="E1791" s="680">
        <v>45231</v>
      </c>
      <c r="F1791" s="676">
        <v>720</v>
      </c>
      <c r="G1791" s="676" t="s">
        <v>58</v>
      </c>
      <c r="H1791" s="676" t="s">
        <v>3</v>
      </c>
      <c r="I1791" s="676" t="s">
        <v>44</v>
      </c>
      <c r="J1791" s="676" t="s">
        <v>84</v>
      </c>
      <c r="K1791" s="676">
        <v>91</v>
      </c>
      <c r="L1791" s="690" t="s">
        <v>54</v>
      </c>
      <c r="M1791" s="691">
        <v>5</v>
      </c>
      <c r="N1791" s="690">
        <v>0</v>
      </c>
      <c r="O1791" s="691">
        <v>91</v>
      </c>
      <c r="P1791" s="690">
        <v>0</v>
      </c>
      <c r="Q1791" s="738">
        <f t="shared" si="243"/>
        <v>327600</v>
      </c>
      <c r="R1791" s="677">
        <f t="shared" si="244"/>
        <v>0</v>
      </c>
      <c r="S1791" s="739">
        <f t="shared" si="245"/>
        <v>-327600</v>
      </c>
      <c r="T1791" s="738">
        <v>80.45</v>
      </c>
      <c r="U1791" s="677">
        <f t="shared" si="246"/>
        <v>-289620</v>
      </c>
      <c r="V1791" s="739">
        <f t="shared" si="247"/>
        <v>-37980</v>
      </c>
      <c r="W1791" s="740">
        <v>62.087104564109552</v>
      </c>
      <c r="X1791" s="678">
        <f t="shared" si="248"/>
        <v>-223513.57643079438</v>
      </c>
      <c r="Y1791" s="700">
        <f t="shared" si="249"/>
        <v>-104086.42356920562</v>
      </c>
      <c r="Z1791" s="740">
        <v>98.812895435890439</v>
      </c>
      <c r="AA1791" s="678">
        <f t="shared" si="250"/>
        <v>-355726.42356920557</v>
      </c>
      <c r="AB1791" s="741">
        <f t="shared" si="251"/>
        <v>28126.423569205566</v>
      </c>
      <c r="AC1791" s="714"/>
    </row>
    <row r="1792" spans="1:29" x14ac:dyDescent="0.25">
      <c r="A1792" s="713"/>
      <c r="B1792" s="729" t="s">
        <v>2639</v>
      </c>
      <c r="C1792" s="545" t="s">
        <v>40</v>
      </c>
      <c r="D1792" s="545" t="s">
        <v>2634</v>
      </c>
      <c r="E1792" s="681">
        <v>45261</v>
      </c>
      <c r="F1792" s="545">
        <v>744</v>
      </c>
      <c r="G1792" s="545" t="s">
        <v>58</v>
      </c>
      <c r="H1792" s="545" t="s">
        <v>3</v>
      </c>
      <c r="I1792" s="545" t="s">
        <v>44</v>
      </c>
      <c r="J1792" s="545" t="s">
        <v>84</v>
      </c>
      <c r="K1792" s="545">
        <v>91</v>
      </c>
      <c r="L1792" s="725" t="s">
        <v>54</v>
      </c>
      <c r="M1792" s="695">
        <v>5</v>
      </c>
      <c r="N1792" s="725">
        <v>0</v>
      </c>
      <c r="O1792" s="695">
        <v>91</v>
      </c>
      <c r="P1792" s="725">
        <v>0</v>
      </c>
      <c r="Q1792" s="742">
        <f t="shared" si="243"/>
        <v>338520</v>
      </c>
      <c r="R1792" s="603">
        <f t="shared" si="244"/>
        <v>0</v>
      </c>
      <c r="S1792" s="743">
        <f t="shared" si="245"/>
        <v>-338520</v>
      </c>
      <c r="T1792" s="742">
        <v>80.45</v>
      </c>
      <c r="U1792" s="603">
        <f t="shared" si="246"/>
        <v>-299274</v>
      </c>
      <c r="V1792" s="743">
        <f t="shared" si="247"/>
        <v>-39246</v>
      </c>
      <c r="W1792" s="744">
        <v>62.087104564109552</v>
      </c>
      <c r="X1792" s="604">
        <f t="shared" si="248"/>
        <v>-230964.02897848753</v>
      </c>
      <c r="Y1792" s="701">
        <f t="shared" si="249"/>
        <v>-107555.97102151247</v>
      </c>
      <c r="Z1792" s="744">
        <v>98.812895435890439</v>
      </c>
      <c r="AA1792" s="604">
        <f t="shared" si="250"/>
        <v>-367583.97102151241</v>
      </c>
      <c r="AB1792" s="745">
        <f t="shared" si="251"/>
        <v>29063.971021512407</v>
      </c>
      <c r="AC1792" s="714"/>
    </row>
    <row r="1793" spans="1:29" x14ac:dyDescent="0.25">
      <c r="A1793" s="713"/>
      <c r="B1793" s="730" t="s">
        <v>2642</v>
      </c>
      <c r="C1793" s="546" t="s">
        <v>40</v>
      </c>
      <c r="D1793" s="546" t="s">
        <v>465</v>
      </c>
      <c r="E1793" s="682">
        <v>44927</v>
      </c>
      <c r="F1793" s="546">
        <v>744</v>
      </c>
      <c r="G1793" s="546" t="s">
        <v>59</v>
      </c>
      <c r="H1793" s="546" t="s">
        <v>3</v>
      </c>
      <c r="I1793" s="546" t="s">
        <v>44</v>
      </c>
      <c r="J1793" s="546" t="s">
        <v>85</v>
      </c>
      <c r="K1793" s="546">
        <v>71</v>
      </c>
      <c r="L1793" s="726" t="s">
        <v>54</v>
      </c>
      <c r="M1793" s="696">
        <v>0</v>
      </c>
      <c r="N1793" s="726">
        <v>5</v>
      </c>
      <c r="O1793" s="696">
        <v>0</v>
      </c>
      <c r="P1793" s="726">
        <v>71</v>
      </c>
      <c r="Q1793" s="746">
        <f t="shared" si="243"/>
        <v>0</v>
      </c>
      <c r="R1793" s="606">
        <f t="shared" si="244"/>
        <v>264120</v>
      </c>
      <c r="S1793" s="747">
        <f t="shared" si="245"/>
        <v>264120</v>
      </c>
      <c r="T1793" s="746">
        <v>68.72</v>
      </c>
      <c r="U1793" s="606">
        <f t="shared" si="246"/>
        <v>255638.39999999999</v>
      </c>
      <c r="V1793" s="747">
        <f t="shared" si="247"/>
        <v>8481.6000000000058</v>
      </c>
      <c r="W1793" s="748">
        <v>55.7</v>
      </c>
      <c r="X1793" s="607">
        <f t="shared" si="248"/>
        <v>207204</v>
      </c>
      <c r="Y1793" s="702">
        <f t="shared" si="249"/>
        <v>56916</v>
      </c>
      <c r="Z1793" s="748">
        <v>96.206580759134184</v>
      </c>
      <c r="AA1793" s="607">
        <f t="shared" si="250"/>
        <v>357888.48042397917</v>
      </c>
      <c r="AB1793" s="749">
        <f t="shared" si="251"/>
        <v>-93768.48042397917</v>
      </c>
      <c r="AC1793" s="714"/>
    </row>
    <row r="1794" spans="1:29" x14ac:dyDescent="0.25">
      <c r="A1794" s="713"/>
      <c r="B1794" s="714" t="s">
        <v>2642</v>
      </c>
      <c r="C1794" s="676" t="s">
        <v>40</v>
      </c>
      <c r="D1794" s="676" t="s">
        <v>465</v>
      </c>
      <c r="E1794" s="680">
        <v>44958</v>
      </c>
      <c r="F1794" s="676">
        <v>672</v>
      </c>
      <c r="G1794" s="676" t="s">
        <v>59</v>
      </c>
      <c r="H1794" s="676" t="s">
        <v>3</v>
      </c>
      <c r="I1794" s="676" t="s">
        <v>44</v>
      </c>
      <c r="J1794" s="676" t="s">
        <v>85</v>
      </c>
      <c r="K1794" s="676">
        <v>71</v>
      </c>
      <c r="L1794" s="690" t="s">
        <v>54</v>
      </c>
      <c r="M1794" s="691">
        <v>0</v>
      </c>
      <c r="N1794" s="690">
        <v>5</v>
      </c>
      <c r="O1794" s="691">
        <v>0</v>
      </c>
      <c r="P1794" s="690">
        <v>71</v>
      </c>
      <c r="Q1794" s="738">
        <f t="shared" si="243"/>
        <v>0</v>
      </c>
      <c r="R1794" s="677">
        <f t="shared" si="244"/>
        <v>238560</v>
      </c>
      <c r="S1794" s="739">
        <f t="shared" si="245"/>
        <v>238560</v>
      </c>
      <c r="T1794" s="738">
        <v>69.25</v>
      </c>
      <c r="U1794" s="677">
        <f t="shared" si="246"/>
        <v>232680</v>
      </c>
      <c r="V1794" s="739">
        <f t="shared" si="247"/>
        <v>5880</v>
      </c>
      <c r="W1794" s="740">
        <v>55.7</v>
      </c>
      <c r="X1794" s="678">
        <f t="shared" si="248"/>
        <v>187152</v>
      </c>
      <c r="Y1794" s="700">
        <f t="shared" si="249"/>
        <v>51408</v>
      </c>
      <c r="Z1794" s="740">
        <v>92.430648861364247</v>
      </c>
      <c r="AA1794" s="678">
        <f t="shared" si="250"/>
        <v>310566.98017418385</v>
      </c>
      <c r="AB1794" s="741">
        <f t="shared" si="251"/>
        <v>-72006.980174183846</v>
      </c>
      <c r="AC1794" s="714"/>
    </row>
    <row r="1795" spans="1:29" x14ac:dyDescent="0.25">
      <c r="A1795" s="713"/>
      <c r="B1795" s="714" t="s">
        <v>2642</v>
      </c>
      <c r="C1795" s="676" t="s">
        <v>40</v>
      </c>
      <c r="D1795" s="676" t="s">
        <v>465</v>
      </c>
      <c r="E1795" s="680">
        <v>44986</v>
      </c>
      <c r="F1795" s="676">
        <v>744</v>
      </c>
      <c r="G1795" s="676" t="s">
        <v>59</v>
      </c>
      <c r="H1795" s="676" t="s">
        <v>3</v>
      </c>
      <c r="I1795" s="676" t="s">
        <v>44</v>
      </c>
      <c r="J1795" s="676" t="s">
        <v>85</v>
      </c>
      <c r="K1795" s="676">
        <v>71</v>
      </c>
      <c r="L1795" s="690" t="s">
        <v>54</v>
      </c>
      <c r="M1795" s="691">
        <v>0</v>
      </c>
      <c r="N1795" s="690">
        <v>5</v>
      </c>
      <c r="O1795" s="691">
        <v>0</v>
      </c>
      <c r="P1795" s="690">
        <v>71</v>
      </c>
      <c r="Q1795" s="738">
        <f t="shared" ref="Q1795:Q1822" si="252">(O1795*(M1795*F1795))</f>
        <v>0</v>
      </c>
      <c r="R1795" s="677">
        <f t="shared" ref="R1795:R1822" si="253">(P1795*(N1795*F1795))</f>
        <v>264120</v>
      </c>
      <c r="S1795" s="739">
        <f t="shared" ref="S1795:S1822" si="254">R1795-Q1795</f>
        <v>264120</v>
      </c>
      <c r="T1795" s="738">
        <v>69.3</v>
      </c>
      <c r="U1795" s="677">
        <f t="shared" ref="U1795:U1822" si="255">(((F1795*N1795)*T1795)-(T1795*(M1795*F1795)))</f>
        <v>257796</v>
      </c>
      <c r="V1795" s="739">
        <f t="shared" ref="V1795:V1822" si="256">S1795-U1795</f>
        <v>6324</v>
      </c>
      <c r="W1795" s="740">
        <v>55.7</v>
      </c>
      <c r="X1795" s="678">
        <f t="shared" ref="X1795:X1822" si="257">(((F1795*N1795)*W1795)-(W1795*(M1795*F1795)))</f>
        <v>207204</v>
      </c>
      <c r="Y1795" s="700">
        <f t="shared" ref="Y1795:Y1822" si="258">S1795-X1795</f>
        <v>56916</v>
      </c>
      <c r="Z1795" s="740">
        <v>89.053218420260009</v>
      </c>
      <c r="AA1795" s="678">
        <f t="shared" ref="AA1795:AA1822" si="259">(((F1795*N1795)*Z1795)-(Z1795*(M1795*F1795)))</f>
        <v>331277.97252336721</v>
      </c>
      <c r="AB1795" s="741">
        <f t="shared" ref="AB1795:AB1822" si="260">S1795-AA1795</f>
        <v>-67157.972523367207</v>
      </c>
      <c r="AC1795" s="714"/>
    </row>
    <row r="1796" spans="1:29" x14ac:dyDescent="0.25">
      <c r="A1796" s="713"/>
      <c r="B1796" s="714" t="s">
        <v>2642</v>
      </c>
      <c r="C1796" s="676" t="s">
        <v>40</v>
      </c>
      <c r="D1796" s="676" t="s">
        <v>465</v>
      </c>
      <c r="E1796" s="680">
        <v>45017</v>
      </c>
      <c r="F1796" s="676">
        <v>720</v>
      </c>
      <c r="G1796" s="676" t="s">
        <v>59</v>
      </c>
      <c r="H1796" s="676" t="s">
        <v>3</v>
      </c>
      <c r="I1796" s="676" t="s">
        <v>44</v>
      </c>
      <c r="J1796" s="676" t="s">
        <v>85</v>
      </c>
      <c r="K1796" s="676">
        <v>71</v>
      </c>
      <c r="L1796" s="690" t="s">
        <v>54</v>
      </c>
      <c r="M1796" s="691">
        <v>0</v>
      </c>
      <c r="N1796" s="690">
        <v>5</v>
      </c>
      <c r="O1796" s="691">
        <v>0</v>
      </c>
      <c r="P1796" s="690">
        <v>71</v>
      </c>
      <c r="Q1796" s="738">
        <f t="shared" si="252"/>
        <v>0</v>
      </c>
      <c r="R1796" s="677">
        <f t="shared" si="253"/>
        <v>255600</v>
      </c>
      <c r="S1796" s="739">
        <f t="shared" si="254"/>
        <v>255600</v>
      </c>
      <c r="T1796" s="738">
        <v>69.8</v>
      </c>
      <c r="U1796" s="677">
        <f t="shared" si="255"/>
        <v>251280</v>
      </c>
      <c r="V1796" s="739">
        <f t="shared" si="256"/>
        <v>4320</v>
      </c>
      <c r="W1796" s="740">
        <v>55.7</v>
      </c>
      <c r="X1796" s="678">
        <f t="shared" si="257"/>
        <v>200520</v>
      </c>
      <c r="Y1796" s="700">
        <f t="shared" si="258"/>
        <v>55080</v>
      </c>
      <c r="Z1796" s="740">
        <v>85.732008718771311</v>
      </c>
      <c r="AA1796" s="678">
        <f t="shared" si="259"/>
        <v>308635.23138757673</v>
      </c>
      <c r="AB1796" s="741">
        <f t="shared" si="260"/>
        <v>-53035.231387576729</v>
      </c>
      <c r="AC1796" s="714"/>
    </row>
    <row r="1797" spans="1:29" x14ac:dyDescent="0.25">
      <c r="A1797" s="713"/>
      <c r="B1797" s="729" t="s">
        <v>2642</v>
      </c>
      <c r="C1797" s="545" t="s">
        <v>40</v>
      </c>
      <c r="D1797" s="545" t="s">
        <v>465</v>
      </c>
      <c r="E1797" s="681">
        <v>45047</v>
      </c>
      <c r="F1797" s="545">
        <v>744</v>
      </c>
      <c r="G1797" s="545" t="s">
        <v>59</v>
      </c>
      <c r="H1797" s="545" t="s">
        <v>3</v>
      </c>
      <c r="I1797" s="545" t="s">
        <v>44</v>
      </c>
      <c r="J1797" s="545" t="s">
        <v>85</v>
      </c>
      <c r="K1797" s="545">
        <v>71</v>
      </c>
      <c r="L1797" s="725" t="s">
        <v>54</v>
      </c>
      <c r="M1797" s="695">
        <v>0</v>
      </c>
      <c r="N1797" s="725">
        <v>5</v>
      </c>
      <c r="O1797" s="695">
        <v>0</v>
      </c>
      <c r="P1797" s="725">
        <v>71</v>
      </c>
      <c r="Q1797" s="742">
        <f t="shared" si="252"/>
        <v>0</v>
      </c>
      <c r="R1797" s="603">
        <f t="shared" si="253"/>
        <v>264120</v>
      </c>
      <c r="S1797" s="743">
        <f t="shared" si="254"/>
        <v>264120</v>
      </c>
      <c r="T1797" s="742">
        <v>70.2</v>
      </c>
      <c r="U1797" s="603">
        <f t="shared" si="255"/>
        <v>261144</v>
      </c>
      <c r="V1797" s="743">
        <f t="shared" si="256"/>
        <v>2976</v>
      </c>
      <c r="W1797" s="744">
        <v>55.7</v>
      </c>
      <c r="X1797" s="604">
        <f t="shared" si="257"/>
        <v>207204</v>
      </c>
      <c r="Y1797" s="701">
        <f t="shared" si="258"/>
        <v>56916</v>
      </c>
      <c r="Z1797" s="744">
        <v>86.223309628334476</v>
      </c>
      <c r="AA1797" s="604">
        <f t="shared" si="259"/>
        <v>320750.71181740426</v>
      </c>
      <c r="AB1797" s="745">
        <f t="shared" si="260"/>
        <v>-56630.711817404255</v>
      </c>
      <c r="AC1797" s="714"/>
    </row>
    <row r="1798" spans="1:29" x14ac:dyDescent="0.25">
      <c r="A1798" s="713"/>
      <c r="B1798" s="730" t="s">
        <v>2646</v>
      </c>
      <c r="C1798" s="546" t="s">
        <v>40</v>
      </c>
      <c r="D1798" s="546" t="s">
        <v>465</v>
      </c>
      <c r="E1798" s="682">
        <v>44927</v>
      </c>
      <c r="F1798" s="546">
        <v>744</v>
      </c>
      <c r="G1798" s="546" t="s">
        <v>59</v>
      </c>
      <c r="H1798" s="546" t="s">
        <v>3</v>
      </c>
      <c r="I1798" s="546" t="s">
        <v>44</v>
      </c>
      <c r="J1798" s="546" t="s">
        <v>85</v>
      </c>
      <c r="K1798" s="546">
        <v>70</v>
      </c>
      <c r="L1798" s="726" t="s">
        <v>54</v>
      </c>
      <c r="M1798" s="696">
        <v>0</v>
      </c>
      <c r="N1798" s="726">
        <v>20</v>
      </c>
      <c r="O1798" s="696">
        <v>0</v>
      </c>
      <c r="P1798" s="726">
        <v>70</v>
      </c>
      <c r="Q1798" s="746">
        <f t="shared" si="252"/>
        <v>0</v>
      </c>
      <c r="R1798" s="606">
        <f t="shared" si="253"/>
        <v>1041600</v>
      </c>
      <c r="S1798" s="747">
        <f t="shared" si="254"/>
        <v>1041600</v>
      </c>
      <c r="T1798" s="746">
        <v>68.72</v>
      </c>
      <c r="U1798" s="606">
        <f t="shared" si="255"/>
        <v>1022553.6</v>
      </c>
      <c r="V1798" s="747">
        <f t="shared" si="256"/>
        <v>19046.400000000023</v>
      </c>
      <c r="W1798" s="748">
        <v>55.7</v>
      </c>
      <c r="X1798" s="607">
        <f t="shared" si="257"/>
        <v>828816</v>
      </c>
      <c r="Y1798" s="702">
        <f t="shared" si="258"/>
        <v>212784</v>
      </c>
      <c r="Z1798" s="748">
        <v>96.206580759134184</v>
      </c>
      <c r="AA1798" s="607">
        <f t="shared" si="259"/>
        <v>1431553.9216959167</v>
      </c>
      <c r="AB1798" s="749">
        <f t="shared" si="260"/>
        <v>-389953.92169591668</v>
      </c>
      <c r="AC1798" s="714"/>
    </row>
    <row r="1799" spans="1:29" x14ac:dyDescent="0.25">
      <c r="A1799" s="713"/>
      <c r="B1799" s="714" t="s">
        <v>2646</v>
      </c>
      <c r="C1799" s="676" t="s">
        <v>40</v>
      </c>
      <c r="D1799" s="676" t="s">
        <v>465</v>
      </c>
      <c r="E1799" s="680">
        <v>44958</v>
      </c>
      <c r="F1799" s="676">
        <v>672</v>
      </c>
      <c r="G1799" s="676" t="s">
        <v>59</v>
      </c>
      <c r="H1799" s="676" t="s">
        <v>3</v>
      </c>
      <c r="I1799" s="676" t="s">
        <v>44</v>
      </c>
      <c r="J1799" s="676" t="s">
        <v>85</v>
      </c>
      <c r="K1799" s="676">
        <v>70</v>
      </c>
      <c r="L1799" s="690" t="s">
        <v>54</v>
      </c>
      <c r="M1799" s="691">
        <v>0</v>
      </c>
      <c r="N1799" s="690">
        <v>20</v>
      </c>
      <c r="O1799" s="691">
        <v>0</v>
      </c>
      <c r="P1799" s="690">
        <v>70</v>
      </c>
      <c r="Q1799" s="738">
        <f t="shared" si="252"/>
        <v>0</v>
      </c>
      <c r="R1799" s="677">
        <f t="shared" si="253"/>
        <v>940800</v>
      </c>
      <c r="S1799" s="739">
        <f t="shared" si="254"/>
        <v>940800</v>
      </c>
      <c r="T1799" s="738">
        <v>69.25</v>
      </c>
      <c r="U1799" s="677">
        <f t="shared" si="255"/>
        <v>930720</v>
      </c>
      <c r="V1799" s="739">
        <f t="shared" si="256"/>
        <v>10080</v>
      </c>
      <c r="W1799" s="740">
        <v>55.7</v>
      </c>
      <c r="X1799" s="678">
        <f t="shared" si="257"/>
        <v>748608</v>
      </c>
      <c r="Y1799" s="700">
        <f t="shared" si="258"/>
        <v>192192</v>
      </c>
      <c r="Z1799" s="740">
        <v>92.430648861364247</v>
      </c>
      <c r="AA1799" s="678">
        <f t="shared" si="259"/>
        <v>1242267.9206967354</v>
      </c>
      <c r="AB1799" s="741">
        <f t="shared" si="260"/>
        <v>-301467.92069673538</v>
      </c>
      <c r="AC1799" s="714"/>
    </row>
    <row r="1800" spans="1:29" x14ac:dyDescent="0.25">
      <c r="A1800" s="713"/>
      <c r="B1800" s="729" t="s">
        <v>2646</v>
      </c>
      <c r="C1800" s="545" t="s">
        <v>40</v>
      </c>
      <c r="D1800" s="545" t="s">
        <v>465</v>
      </c>
      <c r="E1800" s="681">
        <v>44986</v>
      </c>
      <c r="F1800" s="545">
        <v>744</v>
      </c>
      <c r="G1800" s="545" t="s">
        <v>59</v>
      </c>
      <c r="H1800" s="545" t="s">
        <v>3</v>
      </c>
      <c r="I1800" s="545" t="s">
        <v>44</v>
      </c>
      <c r="J1800" s="545" t="s">
        <v>85</v>
      </c>
      <c r="K1800" s="545">
        <v>70</v>
      </c>
      <c r="L1800" s="725" t="s">
        <v>54</v>
      </c>
      <c r="M1800" s="695">
        <v>0</v>
      </c>
      <c r="N1800" s="725">
        <v>20</v>
      </c>
      <c r="O1800" s="695">
        <v>0</v>
      </c>
      <c r="P1800" s="725">
        <v>70</v>
      </c>
      <c r="Q1800" s="742">
        <f t="shared" si="252"/>
        <v>0</v>
      </c>
      <c r="R1800" s="603">
        <f t="shared" si="253"/>
        <v>1041600</v>
      </c>
      <c r="S1800" s="743">
        <f t="shared" si="254"/>
        <v>1041600</v>
      </c>
      <c r="T1800" s="742">
        <v>69.3</v>
      </c>
      <c r="U1800" s="603">
        <f t="shared" si="255"/>
        <v>1031184</v>
      </c>
      <c r="V1800" s="743">
        <f t="shared" si="256"/>
        <v>10416</v>
      </c>
      <c r="W1800" s="744">
        <v>55.7</v>
      </c>
      <c r="X1800" s="604">
        <f t="shared" si="257"/>
        <v>828816</v>
      </c>
      <c r="Y1800" s="701">
        <f t="shared" si="258"/>
        <v>212784</v>
      </c>
      <c r="Z1800" s="744">
        <v>89.053218420260009</v>
      </c>
      <c r="AA1800" s="604">
        <f t="shared" si="259"/>
        <v>1325111.8900934688</v>
      </c>
      <c r="AB1800" s="745">
        <f t="shared" si="260"/>
        <v>-283511.89009346883</v>
      </c>
      <c r="AC1800" s="714"/>
    </row>
    <row r="1801" spans="1:29" x14ac:dyDescent="0.25">
      <c r="A1801" s="713"/>
      <c r="B1801" s="730" t="s">
        <v>2648</v>
      </c>
      <c r="C1801" s="546" t="s">
        <v>40</v>
      </c>
      <c r="D1801" s="546" t="s">
        <v>465</v>
      </c>
      <c r="E1801" s="682">
        <v>44927</v>
      </c>
      <c r="F1801" s="546">
        <v>744</v>
      </c>
      <c r="G1801" s="546" t="s">
        <v>59</v>
      </c>
      <c r="H1801" s="546" t="s">
        <v>3</v>
      </c>
      <c r="I1801" s="546" t="s">
        <v>44</v>
      </c>
      <c r="J1801" s="546" t="s">
        <v>85</v>
      </c>
      <c r="K1801" s="546">
        <v>70</v>
      </c>
      <c r="L1801" s="726" t="s">
        <v>54</v>
      </c>
      <c r="M1801" s="696">
        <v>0</v>
      </c>
      <c r="N1801" s="726">
        <v>2</v>
      </c>
      <c r="O1801" s="696">
        <v>0</v>
      </c>
      <c r="P1801" s="726">
        <v>70</v>
      </c>
      <c r="Q1801" s="746">
        <f t="shared" si="252"/>
        <v>0</v>
      </c>
      <c r="R1801" s="606">
        <f t="shared" si="253"/>
        <v>104160</v>
      </c>
      <c r="S1801" s="747">
        <f t="shared" si="254"/>
        <v>104160</v>
      </c>
      <c r="T1801" s="746">
        <v>68.72</v>
      </c>
      <c r="U1801" s="606">
        <f t="shared" si="255"/>
        <v>102255.36</v>
      </c>
      <c r="V1801" s="747">
        <f t="shared" si="256"/>
        <v>1904.6399999999994</v>
      </c>
      <c r="W1801" s="748">
        <v>55.7</v>
      </c>
      <c r="X1801" s="607">
        <f t="shared" si="257"/>
        <v>82881.600000000006</v>
      </c>
      <c r="Y1801" s="702">
        <f t="shared" si="258"/>
        <v>21278.399999999994</v>
      </c>
      <c r="Z1801" s="748">
        <v>96.206580759134184</v>
      </c>
      <c r="AA1801" s="607">
        <f t="shared" si="259"/>
        <v>143155.39216959168</v>
      </c>
      <c r="AB1801" s="749">
        <f t="shared" si="260"/>
        <v>-38995.39216959168</v>
      </c>
      <c r="AC1801" s="714"/>
    </row>
    <row r="1802" spans="1:29" x14ac:dyDescent="0.25">
      <c r="A1802" s="713"/>
      <c r="B1802" s="714" t="s">
        <v>2648</v>
      </c>
      <c r="C1802" s="676" t="s">
        <v>40</v>
      </c>
      <c r="D1802" s="676" t="s">
        <v>465</v>
      </c>
      <c r="E1802" s="680">
        <v>44958</v>
      </c>
      <c r="F1802" s="676">
        <v>672</v>
      </c>
      <c r="G1802" s="676" t="s">
        <v>59</v>
      </c>
      <c r="H1802" s="676" t="s">
        <v>3</v>
      </c>
      <c r="I1802" s="676" t="s">
        <v>44</v>
      </c>
      <c r="J1802" s="676" t="s">
        <v>85</v>
      </c>
      <c r="K1802" s="676">
        <v>70</v>
      </c>
      <c r="L1802" s="690" t="s">
        <v>54</v>
      </c>
      <c r="M1802" s="691">
        <v>0</v>
      </c>
      <c r="N1802" s="690">
        <v>2</v>
      </c>
      <c r="O1802" s="691">
        <v>0</v>
      </c>
      <c r="P1802" s="690">
        <v>70</v>
      </c>
      <c r="Q1802" s="738">
        <f t="shared" si="252"/>
        <v>0</v>
      </c>
      <c r="R1802" s="677">
        <f t="shared" si="253"/>
        <v>94080</v>
      </c>
      <c r="S1802" s="739">
        <f t="shared" si="254"/>
        <v>94080</v>
      </c>
      <c r="T1802" s="738">
        <v>69.25</v>
      </c>
      <c r="U1802" s="677">
        <f t="shared" si="255"/>
        <v>93072</v>
      </c>
      <c r="V1802" s="739">
        <f t="shared" si="256"/>
        <v>1008</v>
      </c>
      <c r="W1802" s="740">
        <v>55.7</v>
      </c>
      <c r="X1802" s="678">
        <f t="shared" si="257"/>
        <v>74860.800000000003</v>
      </c>
      <c r="Y1802" s="700">
        <f t="shared" si="258"/>
        <v>19219.199999999997</v>
      </c>
      <c r="Z1802" s="740">
        <v>92.430648861364247</v>
      </c>
      <c r="AA1802" s="678">
        <f t="shared" si="259"/>
        <v>124226.79206967355</v>
      </c>
      <c r="AB1802" s="741">
        <f t="shared" si="260"/>
        <v>-30146.792069673553</v>
      </c>
      <c r="AC1802" s="714"/>
    </row>
    <row r="1803" spans="1:29" x14ac:dyDescent="0.25">
      <c r="A1803" s="713"/>
      <c r="B1803" s="729" t="s">
        <v>2648</v>
      </c>
      <c r="C1803" s="545" t="s">
        <v>40</v>
      </c>
      <c r="D1803" s="545" t="s">
        <v>465</v>
      </c>
      <c r="E1803" s="681">
        <v>44986</v>
      </c>
      <c r="F1803" s="545">
        <v>744</v>
      </c>
      <c r="G1803" s="545" t="s">
        <v>59</v>
      </c>
      <c r="H1803" s="545" t="s">
        <v>3</v>
      </c>
      <c r="I1803" s="545" t="s">
        <v>44</v>
      </c>
      <c r="J1803" s="545" t="s">
        <v>85</v>
      </c>
      <c r="K1803" s="545">
        <v>70</v>
      </c>
      <c r="L1803" s="725" t="s">
        <v>54</v>
      </c>
      <c r="M1803" s="695">
        <v>0</v>
      </c>
      <c r="N1803" s="725">
        <v>2</v>
      </c>
      <c r="O1803" s="695">
        <v>0</v>
      </c>
      <c r="P1803" s="725">
        <v>70</v>
      </c>
      <c r="Q1803" s="742">
        <f t="shared" si="252"/>
        <v>0</v>
      </c>
      <c r="R1803" s="603">
        <f t="shared" si="253"/>
        <v>104160</v>
      </c>
      <c r="S1803" s="743">
        <f t="shared" si="254"/>
        <v>104160</v>
      </c>
      <c r="T1803" s="742">
        <v>69.3</v>
      </c>
      <c r="U1803" s="603">
        <f t="shared" si="255"/>
        <v>103118.39999999999</v>
      </c>
      <c r="V1803" s="743">
        <f t="shared" si="256"/>
        <v>1041.6000000000058</v>
      </c>
      <c r="W1803" s="744">
        <v>55.7</v>
      </c>
      <c r="X1803" s="604">
        <f t="shared" si="257"/>
        <v>82881.600000000006</v>
      </c>
      <c r="Y1803" s="701">
        <f t="shared" si="258"/>
        <v>21278.399999999994</v>
      </c>
      <c r="Z1803" s="744">
        <v>89.053218420260009</v>
      </c>
      <c r="AA1803" s="604">
        <f t="shared" si="259"/>
        <v>132511.18900934688</v>
      </c>
      <c r="AB1803" s="745">
        <f t="shared" si="260"/>
        <v>-28351.189009346883</v>
      </c>
      <c r="AC1803" s="714"/>
    </row>
    <row r="1804" spans="1:29" x14ac:dyDescent="0.25">
      <c r="A1804" s="713"/>
      <c r="B1804" s="731" t="s">
        <v>2652</v>
      </c>
      <c r="C1804" s="547" t="s">
        <v>40</v>
      </c>
      <c r="D1804" s="547" t="s">
        <v>2649</v>
      </c>
      <c r="E1804" s="683">
        <v>44896</v>
      </c>
      <c r="F1804" s="547">
        <v>744</v>
      </c>
      <c r="G1804" s="547" t="s">
        <v>59</v>
      </c>
      <c r="H1804" s="547" t="s">
        <v>6</v>
      </c>
      <c r="I1804" s="547" t="s">
        <v>44</v>
      </c>
      <c r="J1804" s="547" t="s">
        <v>85</v>
      </c>
      <c r="K1804" s="547">
        <v>149.5</v>
      </c>
      <c r="L1804" s="727" t="s">
        <v>92</v>
      </c>
      <c r="M1804" s="697">
        <v>0</v>
      </c>
      <c r="N1804" s="727">
        <v>1.915</v>
      </c>
      <c r="O1804" s="697">
        <v>0</v>
      </c>
      <c r="P1804" s="727">
        <v>205.2</v>
      </c>
      <c r="Q1804" s="750">
        <f t="shared" si="252"/>
        <v>0</v>
      </c>
      <c r="R1804" s="608">
        <f t="shared" si="253"/>
        <v>292360.75199999998</v>
      </c>
      <c r="S1804" s="751">
        <f t="shared" si="254"/>
        <v>292360.75199999998</v>
      </c>
      <c r="T1804" s="750">
        <v>215.7</v>
      </c>
      <c r="U1804" s="608">
        <f t="shared" si="255"/>
        <v>307320.73199999996</v>
      </c>
      <c r="V1804" s="751">
        <f t="shared" si="256"/>
        <v>-14959.979999999981</v>
      </c>
      <c r="W1804" s="752">
        <v>215.7</v>
      </c>
      <c r="X1804" s="609">
        <f t="shared" si="257"/>
        <v>307320.73199999996</v>
      </c>
      <c r="Y1804" s="703">
        <f t="shared" si="258"/>
        <v>-14959.979999999981</v>
      </c>
      <c r="Z1804" s="752">
        <v>215.7</v>
      </c>
      <c r="AA1804" s="609">
        <f t="shared" si="259"/>
        <v>307320.73199999996</v>
      </c>
      <c r="AB1804" s="753">
        <f t="shared" si="260"/>
        <v>-14959.979999999981</v>
      </c>
      <c r="AC1804" s="714"/>
    </row>
    <row r="1805" spans="1:29" x14ac:dyDescent="0.25">
      <c r="A1805" s="713"/>
      <c r="B1805" s="731" t="s">
        <v>2657</v>
      </c>
      <c r="C1805" s="547" t="s">
        <v>40</v>
      </c>
      <c r="D1805" s="547" t="s">
        <v>465</v>
      </c>
      <c r="E1805" s="683">
        <v>44896</v>
      </c>
      <c r="F1805" s="547">
        <v>744</v>
      </c>
      <c r="G1805" s="547" t="s">
        <v>59</v>
      </c>
      <c r="H1805" s="547" t="s">
        <v>6</v>
      </c>
      <c r="I1805" s="547" t="s">
        <v>44</v>
      </c>
      <c r="J1805" s="547" t="s">
        <v>85</v>
      </c>
      <c r="K1805" s="547">
        <v>150</v>
      </c>
      <c r="L1805" s="727" t="s">
        <v>92</v>
      </c>
      <c r="M1805" s="697">
        <v>0</v>
      </c>
      <c r="N1805" s="727">
        <v>1.885</v>
      </c>
      <c r="O1805" s="697">
        <v>0</v>
      </c>
      <c r="P1805" s="727">
        <v>205.7</v>
      </c>
      <c r="Q1805" s="750">
        <f t="shared" si="252"/>
        <v>0</v>
      </c>
      <c r="R1805" s="608">
        <f t="shared" si="253"/>
        <v>288481.908</v>
      </c>
      <c r="S1805" s="751">
        <f t="shared" si="254"/>
        <v>288481.908</v>
      </c>
      <c r="T1805" s="750">
        <v>215.7</v>
      </c>
      <c r="U1805" s="608">
        <f t="shared" si="255"/>
        <v>302506.30800000002</v>
      </c>
      <c r="V1805" s="751">
        <f t="shared" si="256"/>
        <v>-14024.400000000023</v>
      </c>
      <c r="W1805" s="752">
        <v>215.7</v>
      </c>
      <c r="X1805" s="609">
        <f t="shared" si="257"/>
        <v>302506.30800000002</v>
      </c>
      <c r="Y1805" s="703">
        <f t="shared" si="258"/>
        <v>-14024.400000000023</v>
      </c>
      <c r="Z1805" s="752">
        <v>215.7</v>
      </c>
      <c r="AA1805" s="609">
        <f t="shared" si="259"/>
        <v>302506.30800000002</v>
      </c>
      <c r="AB1805" s="753">
        <f t="shared" si="260"/>
        <v>-14024.400000000023</v>
      </c>
      <c r="AC1805" s="714"/>
    </row>
    <row r="1806" spans="1:29" x14ac:dyDescent="0.25">
      <c r="A1806" s="713"/>
      <c r="B1806" s="731" t="s">
        <v>2658</v>
      </c>
      <c r="C1806" s="547" t="s">
        <v>40</v>
      </c>
      <c r="D1806" s="547" t="s">
        <v>639</v>
      </c>
      <c r="E1806" s="683">
        <v>44896</v>
      </c>
      <c r="F1806" s="547">
        <v>744</v>
      </c>
      <c r="G1806" s="547" t="s">
        <v>58</v>
      </c>
      <c r="H1806" s="547" t="s">
        <v>3</v>
      </c>
      <c r="I1806" s="547" t="s">
        <v>44</v>
      </c>
      <c r="J1806" s="547" t="s">
        <v>84</v>
      </c>
      <c r="K1806" s="547">
        <v>-0.85</v>
      </c>
      <c r="L1806" s="727" t="s">
        <v>92</v>
      </c>
      <c r="M1806" s="697">
        <v>10</v>
      </c>
      <c r="N1806" s="727">
        <v>0</v>
      </c>
      <c r="O1806" s="697">
        <v>54.85</v>
      </c>
      <c r="P1806" s="727">
        <v>0</v>
      </c>
      <c r="Q1806" s="750">
        <f t="shared" si="252"/>
        <v>408084</v>
      </c>
      <c r="R1806" s="608">
        <f t="shared" si="253"/>
        <v>0</v>
      </c>
      <c r="S1806" s="751">
        <f t="shared" si="254"/>
        <v>-408084</v>
      </c>
      <c r="T1806" s="750">
        <v>55.7</v>
      </c>
      <c r="U1806" s="608">
        <f t="shared" si="255"/>
        <v>-414408</v>
      </c>
      <c r="V1806" s="751">
        <f t="shared" si="256"/>
        <v>6324</v>
      </c>
      <c r="W1806" s="752">
        <v>55.7</v>
      </c>
      <c r="X1806" s="609">
        <f t="shared" si="257"/>
        <v>-414408</v>
      </c>
      <c r="Y1806" s="703">
        <f t="shared" si="258"/>
        <v>6324</v>
      </c>
      <c r="Z1806" s="752">
        <v>55.7</v>
      </c>
      <c r="AA1806" s="609">
        <f t="shared" si="259"/>
        <v>-414408</v>
      </c>
      <c r="AB1806" s="753">
        <f t="shared" si="260"/>
        <v>6324</v>
      </c>
      <c r="AC1806" s="714"/>
    </row>
    <row r="1807" spans="1:29" x14ac:dyDescent="0.25">
      <c r="A1807" s="713"/>
      <c r="B1807" s="731" t="s">
        <v>2660</v>
      </c>
      <c r="C1807" s="547" t="s">
        <v>40</v>
      </c>
      <c r="D1807" s="547" t="s">
        <v>348</v>
      </c>
      <c r="E1807" s="683">
        <v>44896</v>
      </c>
      <c r="F1807" s="547">
        <v>744</v>
      </c>
      <c r="G1807" s="547" t="s">
        <v>59</v>
      </c>
      <c r="H1807" s="547" t="s">
        <v>6</v>
      </c>
      <c r="I1807" s="547" t="s">
        <v>44</v>
      </c>
      <c r="J1807" s="547" t="s">
        <v>85</v>
      </c>
      <c r="K1807" s="547">
        <v>150</v>
      </c>
      <c r="L1807" s="727" t="s">
        <v>92</v>
      </c>
      <c r="M1807" s="697">
        <v>0</v>
      </c>
      <c r="N1807" s="727">
        <v>1.2</v>
      </c>
      <c r="O1807" s="697">
        <v>0</v>
      </c>
      <c r="P1807" s="727">
        <v>205.7</v>
      </c>
      <c r="Q1807" s="750">
        <f t="shared" si="252"/>
        <v>0</v>
      </c>
      <c r="R1807" s="608">
        <f t="shared" si="253"/>
        <v>183648.96</v>
      </c>
      <c r="S1807" s="751">
        <f t="shared" si="254"/>
        <v>183648.96</v>
      </c>
      <c r="T1807" s="750">
        <v>215.7</v>
      </c>
      <c r="U1807" s="608">
        <f t="shared" si="255"/>
        <v>192576.96</v>
      </c>
      <c r="V1807" s="751">
        <f t="shared" si="256"/>
        <v>-8928</v>
      </c>
      <c r="W1807" s="752">
        <v>215.7</v>
      </c>
      <c r="X1807" s="609">
        <f t="shared" si="257"/>
        <v>192576.96</v>
      </c>
      <c r="Y1807" s="703">
        <f t="shared" si="258"/>
        <v>-8928</v>
      </c>
      <c r="Z1807" s="752">
        <v>215.7</v>
      </c>
      <c r="AA1807" s="609">
        <f t="shared" si="259"/>
        <v>192576.96</v>
      </c>
      <c r="AB1807" s="753">
        <f t="shared" si="260"/>
        <v>-8928</v>
      </c>
      <c r="AC1807" s="714"/>
    </row>
    <row r="1808" spans="1:29" x14ac:dyDescent="0.25">
      <c r="A1808" s="713"/>
      <c r="B1808" s="731" t="s">
        <v>2662</v>
      </c>
      <c r="C1808" s="547" t="s">
        <v>40</v>
      </c>
      <c r="D1808" s="547" t="s">
        <v>590</v>
      </c>
      <c r="E1808" s="683">
        <v>44896</v>
      </c>
      <c r="F1808" s="547">
        <v>744</v>
      </c>
      <c r="G1808" s="547" t="s">
        <v>59</v>
      </c>
      <c r="H1808" s="547" t="s">
        <v>6</v>
      </c>
      <c r="I1808" s="547" t="s">
        <v>44</v>
      </c>
      <c r="J1808" s="547" t="s">
        <v>85</v>
      </c>
      <c r="K1808" s="547">
        <v>149.5</v>
      </c>
      <c r="L1808" s="727" t="s">
        <v>92</v>
      </c>
      <c r="M1808" s="697">
        <v>0</v>
      </c>
      <c r="N1808" s="727">
        <v>5</v>
      </c>
      <c r="O1808" s="697">
        <v>0</v>
      </c>
      <c r="P1808" s="727">
        <v>205.2</v>
      </c>
      <c r="Q1808" s="750">
        <f t="shared" si="252"/>
        <v>0</v>
      </c>
      <c r="R1808" s="608">
        <f t="shared" si="253"/>
        <v>763344</v>
      </c>
      <c r="S1808" s="751">
        <f t="shared" si="254"/>
        <v>763344</v>
      </c>
      <c r="T1808" s="750">
        <v>215.7</v>
      </c>
      <c r="U1808" s="608">
        <f t="shared" si="255"/>
        <v>802404</v>
      </c>
      <c r="V1808" s="751">
        <f t="shared" si="256"/>
        <v>-39060</v>
      </c>
      <c r="W1808" s="752">
        <v>215.7</v>
      </c>
      <c r="X1808" s="609">
        <f t="shared" si="257"/>
        <v>802404</v>
      </c>
      <c r="Y1808" s="703">
        <f t="shared" si="258"/>
        <v>-39060</v>
      </c>
      <c r="Z1808" s="752">
        <v>215.7</v>
      </c>
      <c r="AA1808" s="609">
        <f t="shared" si="259"/>
        <v>802404</v>
      </c>
      <c r="AB1808" s="753">
        <f t="shared" si="260"/>
        <v>-39060</v>
      </c>
      <c r="AC1808" s="714"/>
    </row>
    <row r="1809" spans="1:29" x14ac:dyDescent="0.25">
      <c r="A1809" s="713"/>
      <c r="B1809" s="730" t="s">
        <v>2669</v>
      </c>
      <c r="C1809" s="546" t="s">
        <v>40</v>
      </c>
      <c r="D1809" s="546" t="s">
        <v>1195</v>
      </c>
      <c r="E1809" s="682">
        <v>44927</v>
      </c>
      <c r="F1809" s="546">
        <v>744</v>
      </c>
      <c r="G1809" s="546" t="s">
        <v>59</v>
      </c>
      <c r="H1809" s="546" t="s">
        <v>3</v>
      </c>
      <c r="I1809" s="546" t="s">
        <v>44</v>
      </c>
      <c r="J1809" s="546" t="s">
        <v>85</v>
      </c>
      <c r="K1809" s="546">
        <v>69.5</v>
      </c>
      <c r="L1809" s="726" t="s">
        <v>54</v>
      </c>
      <c r="M1809" s="696">
        <v>0</v>
      </c>
      <c r="N1809" s="726">
        <v>10</v>
      </c>
      <c r="O1809" s="696">
        <v>0</v>
      </c>
      <c r="P1809" s="726">
        <v>69.5</v>
      </c>
      <c r="Q1809" s="746">
        <f t="shared" si="252"/>
        <v>0</v>
      </c>
      <c r="R1809" s="606">
        <f t="shared" si="253"/>
        <v>517080</v>
      </c>
      <c r="S1809" s="747">
        <f t="shared" si="254"/>
        <v>517080</v>
      </c>
      <c r="T1809" s="746">
        <v>68.72</v>
      </c>
      <c r="U1809" s="606">
        <f t="shared" si="255"/>
        <v>511276.79999999999</v>
      </c>
      <c r="V1809" s="747">
        <f t="shared" si="256"/>
        <v>5803.2000000000116</v>
      </c>
      <c r="W1809" s="748">
        <v>55.7</v>
      </c>
      <c r="X1809" s="607">
        <f t="shared" si="257"/>
        <v>414408</v>
      </c>
      <c r="Y1809" s="702">
        <f t="shared" si="258"/>
        <v>102672</v>
      </c>
      <c r="Z1809" s="748">
        <v>96.206580759134184</v>
      </c>
      <c r="AA1809" s="607">
        <f t="shared" si="259"/>
        <v>715776.96084795834</v>
      </c>
      <c r="AB1809" s="749">
        <f t="shared" si="260"/>
        <v>-198696.96084795834</v>
      </c>
      <c r="AC1809" s="714"/>
    </row>
    <row r="1810" spans="1:29" x14ac:dyDescent="0.25">
      <c r="A1810" s="713"/>
      <c r="B1810" s="714" t="s">
        <v>2669</v>
      </c>
      <c r="C1810" s="676" t="s">
        <v>40</v>
      </c>
      <c r="D1810" s="676" t="s">
        <v>1195</v>
      </c>
      <c r="E1810" s="680">
        <v>44958</v>
      </c>
      <c r="F1810" s="676">
        <v>672</v>
      </c>
      <c r="G1810" s="676" t="s">
        <v>59</v>
      </c>
      <c r="H1810" s="676" t="s">
        <v>3</v>
      </c>
      <c r="I1810" s="676" t="s">
        <v>44</v>
      </c>
      <c r="J1810" s="676" t="s">
        <v>85</v>
      </c>
      <c r="K1810" s="676">
        <v>69.5</v>
      </c>
      <c r="L1810" s="690" t="s">
        <v>54</v>
      </c>
      <c r="M1810" s="691">
        <v>0</v>
      </c>
      <c r="N1810" s="690">
        <v>10</v>
      </c>
      <c r="O1810" s="691">
        <v>0</v>
      </c>
      <c r="P1810" s="690">
        <v>69.5</v>
      </c>
      <c r="Q1810" s="738">
        <f t="shared" si="252"/>
        <v>0</v>
      </c>
      <c r="R1810" s="677">
        <f t="shared" si="253"/>
        <v>467040</v>
      </c>
      <c r="S1810" s="739">
        <f t="shared" si="254"/>
        <v>467040</v>
      </c>
      <c r="T1810" s="738">
        <v>69.25</v>
      </c>
      <c r="U1810" s="677">
        <f t="shared" si="255"/>
        <v>465360</v>
      </c>
      <c r="V1810" s="739">
        <f t="shared" si="256"/>
        <v>1680</v>
      </c>
      <c r="W1810" s="740">
        <v>55.7</v>
      </c>
      <c r="X1810" s="678">
        <f t="shared" si="257"/>
        <v>374304</v>
      </c>
      <c r="Y1810" s="700">
        <f t="shared" si="258"/>
        <v>92736</v>
      </c>
      <c r="Z1810" s="740">
        <v>92.430648861364247</v>
      </c>
      <c r="AA1810" s="678">
        <f t="shared" si="259"/>
        <v>621133.96034836769</v>
      </c>
      <c r="AB1810" s="741">
        <f t="shared" si="260"/>
        <v>-154093.96034836769</v>
      </c>
      <c r="AC1810" s="714"/>
    </row>
    <row r="1811" spans="1:29" x14ac:dyDescent="0.25">
      <c r="A1811" s="713"/>
      <c r="B1811" s="729" t="s">
        <v>2669</v>
      </c>
      <c r="C1811" s="545" t="s">
        <v>40</v>
      </c>
      <c r="D1811" s="545" t="s">
        <v>1195</v>
      </c>
      <c r="E1811" s="681">
        <v>44986</v>
      </c>
      <c r="F1811" s="545">
        <v>744</v>
      </c>
      <c r="G1811" s="545" t="s">
        <v>59</v>
      </c>
      <c r="H1811" s="545" t="s">
        <v>3</v>
      </c>
      <c r="I1811" s="545" t="s">
        <v>44</v>
      </c>
      <c r="J1811" s="545" t="s">
        <v>85</v>
      </c>
      <c r="K1811" s="545">
        <v>69.5</v>
      </c>
      <c r="L1811" s="725" t="s">
        <v>54</v>
      </c>
      <c r="M1811" s="695">
        <v>0</v>
      </c>
      <c r="N1811" s="725">
        <v>10</v>
      </c>
      <c r="O1811" s="695">
        <v>0</v>
      </c>
      <c r="P1811" s="725">
        <v>69.5</v>
      </c>
      <c r="Q1811" s="742">
        <f t="shared" si="252"/>
        <v>0</v>
      </c>
      <c r="R1811" s="603">
        <f t="shared" si="253"/>
        <v>517080</v>
      </c>
      <c r="S1811" s="743">
        <f t="shared" si="254"/>
        <v>517080</v>
      </c>
      <c r="T1811" s="742">
        <v>69.3</v>
      </c>
      <c r="U1811" s="603">
        <f t="shared" si="255"/>
        <v>515592</v>
      </c>
      <c r="V1811" s="743">
        <f t="shared" si="256"/>
        <v>1488</v>
      </c>
      <c r="W1811" s="744">
        <v>55.7</v>
      </c>
      <c r="X1811" s="604">
        <f t="shared" si="257"/>
        <v>414408</v>
      </c>
      <c r="Y1811" s="701">
        <f t="shared" si="258"/>
        <v>102672</v>
      </c>
      <c r="Z1811" s="744">
        <v>89.053218420260009</v>
      </c>
      <c r="AA1811" s="604">
        <f t="shared" si="259"/>
        <v>662555.94504673441</v>
      </c>
      <c r="AB1811" s="745">
        <f t="shared" si="260"/>
        <v>-145475.94504673441</v>
      </c>
      <c r="AC1811" s="714"/>
    </row>
    <row r="1812" spans="1:29" x14ac:dyDescent="0.25">
      <c r="A1812" s="713"/>
      <c r="B1812" s="730" t="s">
        <v>2671</v>
      </c>
      <c r="C1812" s="546" t="s">
        <v>40</v>
      </c>
      <c r="D1812" s="546" t="s">
        <v>1854</v>
      </c>
      <c r="E1812" s="682">
        <v>44927</v>
      </c>
      <c r="F1812" s="546">
        <v>744</v>
      </c>
      <c r="G1812" s="546" t="s">
        <v>59</v>
      </c>
      <c r="H1812" s="546" t="s">
        <v>3</v>
      </c>
      <c r="I1812" s="546" t="s">
        <v>44</v>
      </c>
      <c r="J1812" s="546" t="s">
        <v>85</v>
      </c>
      <c r="K1812" s="546">
        <v>69.5</v>
      </c>
      <c r="L1812" s="726" t="s">
        <v>54</v>
      </c>
      <c r="M1812" s="696">
        <v>0</v>
      </c>
      <c r="N1812" s="726">
        <v>10</v>
      </c>
      <c r="O1812" s="696">
        <v>0</v>
      </c>
      <c r="P1812" s="726">
        <v>69.5</v>
      </c>
      <c r="Q1812" s="746">
        <f t="shared" si="252"/>
        <v>0</v>
      </c>
      <c r="R1812" s="606">
        <f t="shared" si="253"/>
        <v>517080</v>
      </c>
      <c r="S1812" s="747">
        <f t="shared" si="254"/>
        <v>517080</v>
      </c>
      <c r="T1812" s="746">
        <v>68.72</v>
      </c>
      <c r="U1812" s="606">
        <f t="shared" si="255"/>
        <v>511276.79999999999</v>
      </c>
      <c r="V1812" s="747">
        <f t="shared" si="256"/>
        <v>5803.2000000000116</v>
      </c>
      <c r="W1812" s="748">
        <v>55.7</v>
      </c>
      <c r="X1812" s="607">
        <f t="shared" si="257"/>
        <v>414408</v>
      </c>
      <c r="Y1812" s="702">
        <f t="shared" si="258"/>
        <v>102672</v>
      </c>
      <c r="Z1812" s="748">
        <v>96.206580759134184</v>
      </c>
      <c r="AA1812" s="607">
        <f t="shared" si="259"/>
        <v>715776.96084795834</v>
      </c>
      <c r="AB1812" s="749">
        <f t="shared" si="260"/>
        <v>-198696.96084795834</v>
      </c>
      <c r="AC1812" s="714"/>
    </row>
    <row r="1813" spans="1:29" x14ac:dyDescent="0.25">
      <c r="A1813" s="713"/>
      <c r="B1813" s="714" t="s">
        <v>2671</v>
      </c>
      <c r="C1813" s="676" t="s">
        <v>40</v>
      </c>
      <c r="D1813" s="676" t="s">
        <v>1854</v>
      </c>
      <c r="E1813" s="680">
        <v>44958</v>
      </c>
      <c r="F1813" s="676">
        <v>672</v>
      </c>
      <c r="G1813" s="676" t="s">
        <v>59</v>
      </c>
      <c r="H1813" s="676" t="s">
        <v>3</v>
      </c>
      <c r="I1813" s="676" t="s">
        <v>44</v>
      </c>
      <c r="J1813" s="676" t="s">
        <v>85</v>
      </c>
      <c r="K1813" s="676">
        <v>69.5</v>
      </c>
      <c r="L1813" s="690" t="s">
        <v>54</v>
      </c>
      <c r="M1813" s="691">
        <v>0</v>
      </c>
      <c r="N1813" s="690">
        <v>10</v>
      </c>
      <c r="O1813" s="691">
        <v>0</v>
      </c>
      <c r="P1813" s="690">
        <v>69.5</v>
      </c>
      <c r="Q1813" s="738">
        <f t="shared" si="252"/>
        <v>0</v>
      </c>
      <c r="R1813" s="677">
        <f t="shared" si="253"/>
        <v>467040</v>
      </c>
      <c r="S1813" s="739">
        <f t="shared" si="254"/>
        <v>467040</v>
      </c>
      <c r="T1813" s="738">
        <v>69.25</v>
      </c>
      <c r="U1813" s="677">
        <f t="shared" si="255"/>
        <v>465360</v>
      </c>
      <c r="V1813" s="739">
        <f t="shared" si="256"/>
        <v>1680</v>
      </c>
      <c r="W1813" s="740">
        <v>55.7</v>
      </c>
      <c r="X1813" s="678">
        <f t="shared" si="257"/>
        <v>374304</v>
      </c>
      <c r="Y1813" s="700">
        <f t="shared" si="258"/>
        <v>92736</v>
      </c>
      <c r="Z1813" s="740">
        <v>92.430648861364247</v>
      </c>
      <c r="AA1813" s="678">
        <f t="shared" si="259"/>
        <v>621133.96034836769</v>
      </c>
      <c r="AB1813" s="741">
        <f t="shared" si="260"/>
        <v>-154093.96034836769</v>
      </c>
      <c r="AC1813" s="714"/>
    </row>
    <row r="1814" spans="1:29" x14ac:dyDescent="0.25">
      <c r="A1814" s="713"/>
      <c r="B1814" s="729" t="s">
        <v>2671</v>
      </c>
      <c r="C1814" s="545" t="s">
        <v>40</v>
      </c>
      <c r="D1814" s="545" t="s">
        <v>1854</v>
      </c>
      <c r="E1814" s="681">
        <v>44986</v>
      </c>
      <c r="F1814" s="545">
        <v>744</v>
      </c>
      <c r="G1814" s="545" t="s">
        <v>59</v>
      </c>
      <c r="H1814" s="545" t="s">
        <v>3</v>
      </c>
      <c r="I1814" s="545" t="s">
        <v>44</v>
      </c>
      <c r="J1814" s="545" t="s">
        <v>85</v>
      </c>
      <c r="K1814" s="545">
        <v>69.5</v>
      </c>
      <c r="L1814" s="725" t="s">
        <v>54</v>
      </c>
      <c r="M1814" s="695">
        <v>0</v>
      </c>
      <c r="N1814" s="725">
        <v>10</v>
      </c>
      <c r="O1814" s="695">
        <v>0</v>
      </c>
      <c r="P1814" s="725">
        <v>69.5</v>
      </c>
      <c r="Q1814" s="742">
        <f t="shared" si="252"/>
        <v>0</v>
      </c>
      <c r="R1814" s="603">
        <f t="shared" si="253"/>
        <v>517080</v>
      </c>
      <c r="S1814" s="743">
        <f t="shared" si="254"/>
        <v>517080</v>
      </c>
      <c r="T1814" s="742">
        <v>69.3</v>
      </c>
      <c r="U1814" s="603">
        <f t="shared" si="255"/>
        <v>515592</v>
      </c>
      <c r="V1814" s="743">
        <f t="shared" si="256"/>
        <v>1488</v>
      </c>
      <c r="W1814" s="744">
        <v>55.7</v>
      </c>
      <c r="X1814" s="604">
        <f t="shared" si="257"/>
        <v>414408</v>
      </c>
      <c r="Y1814" s="701">
        <f t="shared" si="258"/>
        <v>102672</v>
      </c>
      <c r="Z1814" s="744">
        <v>89.053218420260009</v>
      </c>
      <c r="AA1814" s="604">
        <f t="shared" si="259"/>
        <v>662555.94504673441</v>
      </c>
      <c r="AB1814" s="745">
        <f t="shared" si="260"/>
        <v>-145475.94504673441</v>
      </c>
      <c r="AC1814" s="714"/>
    </row>
    <row r="1815" spans="1:29" x14ac:dyDescent="0.25">
      <c r="A1815" s="713"/>
      <c r="B1815" s="730" t="s">
        <v>2673</v>
      </c>
      <c r="C1815" s="546" t="s">
        <v>40</v>
      </c>
      <c r="D1815" s="546" t="s">
        <v>1854</v>
      </c>
      <c r="E1815" s="682">
        <v>44927</v>
      </c>
      <c r="F1815" s="546">
        <v>744</v>
      </c>
      <c r="G1815" s="546" t="s">
        <v>59</v>
      </c>
      <c r="H1815" s="546" t="s">
        <v>3</v>
      </c>
      <c r="I1815" s="546" t="s">
        <v>44</v>
      </c>
      <c r="J1815" s="546" t="s">
        <v>85</v>
      </c>
      <c r="K1815" s="546">
        <v>70</v>
      </c>
      <c r="L1815" s="726" t="s">
        <v>54</v>
      </c>
      <c r="M1815" s="696">
        <v>0</v>
      </c>
      <c r="N1815" s="726">
        <v>0.5</v>
      </c>
      <c r="O1815" s="696">
        <v>0</v>
      </c>
      <c r="P1815" s="726">
        <v>70</v>
      </c>
      <c r="Q1815" s="746">
        <f t="shared" si="252"/>
        <v>0</v>
      </c>
      <c r="R1815" s="606">
        <f t="shared" si="253"/>
        <v>26040</v>
      </c>
      <c r="S1815" s="747">
        <f t="shared" si="254"/>
        <v>26040</v>
      </c>
      <c r="T1815" s="746">
        <v>68.72</v>
      </c>
      <c r="U1815" s="606">
        <f t="shared" si="255"/>
        <v>25563.84</v>
      </c>
      <c r="V1815" s="747">
        <f t="shared" si="256"/>
        <v>476.15999999999985</v>
      </c>
      <c r="W1815" s="748">
        <v>55.7</v>
      </c>
      <c r="X1815" s="607">
        <f t="shared" si="257"/>
        <v>20720.400000000001</v>
      </c>
      <c r="Y1815" s="702">
        <f t="shared" si="258"/>
        <v>5319.5999999999985</v>
      </c>
      <c r="Z1815" s="748">
        <v>96.206580759134184</v>
      </c>
      <c r="AA1815" s="607">
        <f t="shared" si="259"/>
        <v>35788.84804239792</v>
      </c>
      <c r="AB1815" s="749">
        <f t="shared" si="260"/>
        <v>-9748.8480423979199</v>
      </c>
      <c r="AC1815" s="714"/>
    </row>
    <row r="1816" spans="1:29" x14ac:dyDescent="0.25">
      <c r="A1816" s="713"/>
      <c r="B1816" s="714" t="s">
        <v>2673</v>
      </c>
      <c r="C1816" s="676" t="s">
        <v>40</v>
      </c>
      <c r="D1816" s="676" t="s">
        <v>1854</v>
      </c>
      <c r="E1816" s="680">
        <v>44958</v>
      </c>
      <c r="F1816" s="676">
        <v>672</v>
      </c>
      <c r="G1816" s="676" t="s">
        <v>59</v>
      </c>
      <c r="H1816" s="676" t="s">
        <v>3</v>
      </c>
      <c r="I1816" s="676" t="s">
        <v>44</v>
      </c>
      <c r="J1816" s="676" t="s">
        <v>85</v>
      </c>
      <c r="K1816" s="676">
        <v>70</v>
      </c>
      <c r="L1816" s="690" t="s">
        <v>54</v>
      </c>
      <c r="M1816" s="691">
        <v>0</v>
      </c>
      <c r="N1816" s="690">
        <v>0.5</v>
      </c>
      <c r="O1816" s="691">
        <v>0</v>
      </c>
      <c r="P1816" s="690">
        <v>70</v>
      </c>
      <c r="Q1816" s="738">
        <f t="shared" si="252"/>
        <v>0</v>
      </c>
      <c r="R1816" s="677">
        <f t="shared" si="253"/>
        <v>23520</v>
      </c>
      <c r="S1816" s="739">
        <f t="shared" si="254"/>
        <v>23520</v>
      </c>
      <c r="T1816" s="738">
        <v>69.25</v>
      </c>
      <c r="U1816" s="677">
        <f t="shared" si="255"/>
        <v>23268</v>
      </c>
      <c r="V1816" s="739">
        <f t="shared" si="256"/>
        <v>252</v>
      </c>
      <c r="W1816" s="740">
        <v>55.7</v>
      </c>
      <c r="X1816" s="678">
        <f t="shared" si="257"/>
        <v>18715.2</v>
      </c>
      <c r="Y1816" s="700">
        <f t="shared" si="258"/>
        <v>4804.7999999999993</v>
      </c>
      <c r="Z1816" s="740">
        <v>92.430648861364247</v>
      </c>
      <c r="AA1816" s="678">
        <f t="shared" si="259"/>
        <v>31056.698017418388</v>
      </c>
      <c r="AB1816" s="741">
        <f t="shared" si="260"/>
        <v>-7536.6980174183882</v>
      </c>
      <c r="AC1816" s="714"/>
    </row>
    <row r="1817" spans="1:29" x14ac:dyDescent="0.25">
      <c r="A1817" s="713"/>
      <c r="B1817" s="729" t="s">
        <v>2673</v>
      </c>
      <c r="C1817" s="545" t="s">
        <v>40</v>
      </c>
      <c r="D1817" s="545" t="s">
        <v>1854</v>
      </c>
      <c r="E1817" s="681">
        <v>44986</v>
      </c>
      <c r="F1817" s="545">
        <v>744</v>
      </c>
      <c r="G1817" s="545" t="s">
        <v>59</v>
      </c>
      <c r="H1817" s="545" t="s">
        <v>3</v>
      </c>
      <c r="I1817" s="545" t="s">
        <v>44</v>
      </c>
      <c r="J1817" s="545" t="s">
        <v>85</v>
      </c>
      <c r="K1817" s="545">
        <v>70</v>
      </c>
      <c r="L1817" s="725" t="s">
        <v>54</v>
      </c>
      <c r="M1817" s="695">
        <v>0</v>
      </c>
      <c r="N1817" s="725">
        <v>0.5</v>
      </c>
      <c r="O1817" s="695">
        <v>0</v>
      </c>
      <c r="P1817" s="725">
        <v>70</v>
      </c>
      <c r="Q1817" s="742">
        <f t="shared" si="252"/>
        <v>0</v>
      </c>
      <c r="R1817" s="603">
        <f t="shared" si="253"/>
        <v>26040</v>
      </c>
      <c r="S1817" s="743">
        <f t="shared" si="254"/>
        <v>26040</v>
      </c>
      <c r="T1817" s="742">
        <v>69.3</v>
      </c>
      <c r="U1817" s="603">
        <f t="shared" si="255"/>
        <v>25779.599999999999</v>
      </c>
      <c r="V1817" s="743">
        <f t="shared" si="256"/>
        <v>260.40000000000146</v>
      </c>
      <c r="W1817" s="744">
        <v>55.7</v>
      </c>
      <c r="X1817" s="604">
        <f t="shared" si="257"/>
        <v>20720.400000000001</v>
      </c>
      <c r="Y1817" s="701">
        <f t="shared" si="258"/>
        <v>5319.5999999999985</v>
      </c>
      <c r="Z1817" s="744">
        <v>89.053218420260009</v>
      </c>
      <c r="AA1817" s="604">
        <f t="shared" si="259"/>
        <v>33127.797252336721</v>
      </c>
      <c r="AB1817" s="745">
        <f t="shared" si="260"/>
        <v>-7087.7972523367207</v>
      </c>
      <c r="AC1817" s="714"/>
    </row>
    <row r="1818" spans="1:29" x14ac:dyDescent="0.25">
      <c r="A1818" s="713"/>
      <c r="B1818" s="731" t="s">
        <v>2674</v>
      </c>
      <c r="C1818" s="547" t="s">
        <v>40</v>
      </c>
      <c r="D1818" s="547" t="s">
        <v>346</v>
      </c>
      <c r="E1818" s="683">
        <v>45017</v>
      </c>
      <c r="F1818" s="547">
        <v>720</v>
      </c>
      <c r="G1818" s="547" t="s">
        <v>58</v>
      </c>
      <c r="H1818" s="547" t="s">
        <v>3</v>
      </c>
      <c r="I1818" s="547" t="s">
        <v>44</v>
      </c>
      <c r="J1818" s="547" t="s">
        <v>84</v>
      </c>
      <c r="K1818" s="547">
        <v>70</v>
      </c>
      <c r="L1818" s="727" t="s">
        <v>54</v>
      </c>
      <c r="M1818" s="697">
        <v>26.58</v>
      </c>
      <c r="N1818" s="727">
        <v>0</v>
      </c>
      <c r="O1818" s="697">
        <v>70</v>
      </c>
      <c r="P1818" s="727">
        <v>0</v>
      </c>
      <c r="Q1818" s="750">
        <f t="shared" si="252"/>
        <v>1339632</v>
      </c>
      <c r="R1818" s="608">
        <f t="shared" si="253"/>
        <v>0</v>
      </c>
      <c r="S1818" s="751">
        <f t="shared" si="254"/>
        <v>-1339632</v>
      </c>
      <c r="T1818" s="750">
        <v>69.8</v>
      </c>
      <c r="U1818" s="608">
        <f t="shared" si="255"/>
        <v>-1335804.4799999997</v>
      </c>
      <c r="V1818" s="751">
        <f t="shared" si="256"/>
        <v>-3827.5200000002515</v>
      </c>
      <c r="W1818" s="752">
        <v>55.7</v>
      </c>
      <c r="X1818" s="609">
        <f t="shared" si="257"/>
        <v>-1065964.32</v>
      </c>
      <c r="Y1818" s="703">
        <f t="shared" si="258"/>
        <v>-273667.67999999993</v>
      </c>
      <c r="Z1818" s="752">
        <v>85.732008718771311</v>
      </c>
      <c r="AA1818" s="609">
        <f t="shared" si="259"/>
        <v>-1640704.8900563577</v>
      </c>
      <c r="AB1818" s="753">
        <f t="shared" si="260"/>
        <v>301072.89005635772</v>
      </c>
      <c r="AC1818" s="714"/>
    </row>
    <row r="1819" spans="1:29" x14ac:dyDescent="0.25">
      <c r="A1819" s="713"/>
      <c r="B1819" s="731" t="s">
        <v>2675</v>
      </c>
      <c r="C1819" s="547" t="s">
        <v>40</v>
      </c>
      <c r="D1819" s="547" t="s">
        <v>346</v>
      </c>
      <c r="E1819" s="683">
        <v>45047</v>
      </c>
      <c r="F1819" s="547">
        <v>744</v>
      </c>
      <c r="G1819" s="547" t="s">
        <v>58</v>
      </c>
      <c r="H1819" s="547" t="s">
        <v>3</v>
      </c>
      <c r="I1819" s="547" t="s">
        <v>44</v>
      </c>
      <c r="J1819" s="547" t="s">
        <v>84</v>
      </c>
      <c r="K1819" s="547">
        <v>70</v>
      </c>
      <c r="L1819" s="727" t="s">
        <v>54</v>
      </c>
      <c r="M1819" s="697">
        <v>2.36</v>
      </c>
      <c r="N1819" s="727">
        <v>0</v>
      </c>
      <c r="O1819" s="697">
        <v>70</v>
      </c>
      <c r="P1819" s="727">
        <v>0</v>
      </c>
      <c r="Q1819" s="750">
        <f t="shared" si="252"/>
        <v>122908.79999999999</v>
      </c>
      <c r="R1819" s="608">
        <f t="shared" si="253"/>
        <v>0</v>
      </c>
      <c r="S1819" s="751">
        <f t="shared" si="254"/>
        <v>-122908.79999999999</v>
      </c>
      <c r="T1819" s="750">
        <v>70.2</v>
      </c>
      <c r="U1819" s="608">
        <f t="shared" si="255"/>
        <v>-123259.96799999999</v>
      </c>
      <c r="V1819" s="751">
        <f t="shared" si="256"/>
        <v>351.16800000000512</v>
      </c>
      <c r="W1819" s="752">
        <v>55.7</v>
      </c>
      <c r="X1819" s="609">
        <f t="shared" si="257"/>
        <v>-97800.288</v>
      </c>
      <c r="Y1819" s="703">
        <f t="shared" si="258"/>
        <v>-25108.511999999988</v>
      </c>
      <c r="Z1819" s="752">
        <v>86.223309628334476</v>
      </c>
      <c r="AA1819" s="609">
        <f t="shared" si="259"/>
        <v>-151394.3359778148</v>
      </c>
      <c r="AB1819" s="753">
        <f t="shared" si="260"/>
        <v>28485.535977814812</v>
      </c>
      <c r="AC1819" s="714"/>
    </row>
    <row r="1820" spans="1:29" x14ac:dyDescent="0.25">
      <c r="A1820" s="713"/>
      <c r="B1820" s="731" t="s">
        <v>2680</v>
      </c>
      <c r="C1820" s="547" t="s">
        <v>40</v>
      </c>
      <c r="D1820" s="547" t="s">
        <v>2175</v>
      </c>
      <c r="E1820" s="683">
        <v>44896</v>
      </c>
      <c r="F1820" s="547">
        <v>744</v>
      </c>
      <c r="G1820" s="547" t="s">
        <v>58</v>
      </c>
      <c r="H1820" s="547" t="s">
        <v>3</v>
      </c>
      <c r="I1820" s="547" t="s">
        <v>44</v>
      </c>
      <c r="J1820" s="547" t="s">
        <v>84</v>
      </c>
      <c r="K1820" s="547">
        <v>-0.75</v>
      </c>
      <c r="L1820" s="727" t="s">
        <v>92</v>
      </c>
      <c r="M1820" s="697">
        <v>5</v>
      </c>
      <c r="N1820" s="727">
        <v>0</v>
      </c>
      <c r="O1820" s="697">
        <v>54.95</v>
      </c>
      <c r="P1820" s="727">
        <v>0</v>
      </c>
      <c r="Q1820" s="750">
        <f t="shared" si="252"/>
        <v>204414</v>
      </c>
      <c r="R1820" s="608">
        <f t="shared" si="253"/>
        <v>0</v>
      </c>
      <c r="S1820" s="751">
        <f t="shared" si="254"/>
        <v>-204414</v>
      </c>
      <c r="T1820" s="750">
        <v>55.7</v>
      </c>
      <c r="U1820" s="608">
        <f t="shared" si="255"/>
        <v>-207204</v>
      </c>
      <c r="V1820" s="751">
        <f t="shared" si="256"/>
        <v>2790</v>
      </c>
      <c r="W1820" s="752">
        <v>55.7</v>
      </c>
      <c r="X1820" s="609">
        <f t="shared" si="257"/>
        <v>-207204</v>
      </c>
      <c r="Y1820" s="703">
        <f t="shared" si="258"/>
        <v>2790</v>
      </c>
      <c r="Z1820" s="752">
        <v>55.7</v>
      </c>
      <c r="AA1820" s="609">
        <f t="shared" si="259"/>
        <v>-207204</v>
      </c>
      <c r="AB1820" s="753">
        <f t="shared" si="260"/>
        <v>2790</v>
      </c>
      <c r="AC1820" s="714"/>
    </row>
    <row r="1821" spans="1:29" x14ac:dyDescent="0.25">
      <c r="A1821" s="713"/>
      <c r="B1821" s="731" t="s">
        <v>2681</v>
      </c>
      <c r="C1821" s="547" t="s">
        <v>40</v>
      </c>
      <c r="D1821" s="547" t="s">
        <v>1249</v>
      </c>
      <c r="E1821" s="683">
        <v>44896</v>
      </c>
      <c r="F1821" s="547">
        <v>744</v>
      </c>
      <c r="G1821" s="547" t="s">
        <v>58</v>
      </c>
      <c r="H1821" s="547" t="s">
        <v>3</v>
      </c>
      <c r="I1821" s="547" t="s">
        <v>44</v>
      </c>
      <c r="J1821" s="547" t="s">
        <v>84</v>
      </c>
      <c r="K1821" s="547">
        <v>-0.1</v>
      </c>
      <c r="L1821" s="727" t="s">
        <v>92</v>
      </c>
      <c r="M1821" s="697">
        <v>1</v>
      </c>
      <c r="N1821" s="727">
        <v>0</v>
      </c>
      <c r="O1821" s="697">
        <v>55.6</v>
      </c>
      <c r="P1821" s="727">
        <v>0</v>
      </c>
      <c r="Q1821" s="750">
        <f t="shared" si="252"/>
        <v>41366.400000000001</v>
      </c>
      <c r="R1821" s="608">
        <f t="shared" si="253"/>
        <v>0</v>
      </c>
      <c r="S1821" s="751">
        <f t="shared" si="254"/>
        <v>-41366.400000000001</v>
      </c>
      <c r="T1821" s="750">
        <v>55.7</v>
      </c>
      <c r="U1821" s="608">
        <f t="shared" si="255"/>
        <v>-41440.800000000003</v>
      </c>
      <c r="V1821" s="751">
        <f t="shared" si="256"/>
        <v>74.400000000001455</v>
      </c>
      <c r="W1821" s="752">
        <v>55.7</v>
      </c>
      <c r="X1821" s="609">
        <f t="shared" si="257"/>
        <v>-41440.800000000003</v>
      </c>
      <c r="Y1821" s="703">
        <f t="shared" si="258"/>
        <v>74.400000000001455</v>
      </c>
      <c r="Z1821" s="752">
        <v>55.7</v>
      </c>
      <c r="AA1821" s="609">
        <f t="shared" si="259"/>
        <v>-41440.800000000003</v>
      </c>
      <c r="AB1821" s="753">
        <f t="shared" si="260"/>
        <v>74.400000000001455</v>
      </c>
      <c r="AC1821" s="714"/>
    </row>
    <row r="1822" spans="1:29" x14ac:dyDescent="0.25">
      <c r="A1822" s="713"/>
      <c r="B1822" s="732" t="s">
        <v>2682</v>
      </c>
      <c r="C1822" s="686" t="s">
        <v>40</v>
      </c>
      <c r="D1822" s="686" t="s">
        <v>2267</v>
      </c>
      <c r="E1822" s="689">
        <v>44896</v>
      </c>
      <c r="F1822" s="686">
        <v>744</v>
      </c>
      <c r="G1822" s="686" t="s">
        <v>58</v>
      </c>
      <c r="H1822" s="686" t="s">
        <v>3</v>
      </c>
      <c r="I1822" s="686" t="s">
        <v>44</v>
      </c>
      <c r="J1822" s="686" t="s">
        <v>84</v>
      </c>
      <c r="K1822" s="686">
        <v>-0.5</v>
      </c>
      <c r="L1822" s="733" t="s">
        <v>92</v>
      </c>
      <c r="M1822" s="698">
        <v>1</v>
      </c>
      <c r="N1822" s="733">
        <v>0</v>
      </c>
      <c r="O1822" s="698">
        <v>55.2</v>
      </c>
      <c r="P1822" s="733">
        <v>0</v>
      </c>
      <c r="Q1822" s="754">
        <f t="shared" si="252"/>
        <v>41068.800000000003</v>
      </c>
      <c r="R1822" s="687">
        <f t="shared" si="253"/>
        <v>0</v>
      </c>
      <c r="S1822" s="755">
        <f t="shared" si="254"/>
        <v>-41068.800000000003</v>
      </c>
      <c r="T1822" s="754">
        <v>55.7</v>
      </c>
      <c r="U1822" s="687">
        <f t="shared" si="255"/>
        <v>-41440.800000000003</v>
      </c>
      <c r="V1822" s="755">
        <f t="shared" si="256"/>
        <v>372</v>
      </c>
      <c r="W1822" s="756">
        <v>55.7</v>
      </c>
      <c r="X1822" s="688">
        <f t="shared" si="257"/>
        <v>-41440.800000000003</v>
      </c>
      <c r="Y1822" s="704">
        <f t="shared" si="258"/>
        <v>372</v>
      </c>
      <c r="Z1822" s="756">
        <v>55.7</v>
      </c>
      <c r="AA1822" s="688">
        <f t="shared" si="259"/>
        <v>-41440.800000000003</v>
      </c>
      <c r="AB1822" s="757">
        <f t="shared" si="260"/>
        <v>372</v>
      </c>
      <c r="AC1822" s="714"/>
    </row>
  </sheetData>
  <autoFilter ref="B2:AB2" xr:uid="{00000000-0001-0000-0300-000000000000}"/>
  <mergeCells count="6">
    <mergeCell ref="Z1:AB1"/>
    <mergeCell ref="M1:N1"/>
    <mergeCell ref="O1:P1"/>
    <mergeCell ref="Q1:S1"/>
    <mergeCell ref="T1:V1"/>
    <mergeCell ref="W1:Y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theme="3"/>
  </sheetPr>
  <dimension ref="A1:T965"/>
  <sheetViews>
    <sheetView showGridLines="0" zoomScale="90" zoomScaleNormal="90" workbookViewId="0">
      <pane ySplit="2" topLeftCell="A878" activePane="bottomLeft" state="frozen"/>
      <selection activeCell="F21" sqref="F21"/>
      <selection pane="bottomLeft" activeCell="D963" sqref="D963:D965"/>
    </sheetView>
  </sheetViews>
  <sheetFormatPr defaultRowHeight="15" x14ac:dyDescent="0.25"/>
  <cols>
    <col min="1" max="1" width="1.7109375" customWidth="1"/>
    <col min="2" max="2" width="12.5703125" bestFit="1" customWidth="1"/>
    <col min="3" max="3" width="8.7109375" customWidth="1"/>
    <col min="4" max="4" width="12.140625" bestFit="1" customWidth="1"/>
    <col min="5" max="5" width="11.42578125" bestFit="1" customWidth="1"/>
    <col min="6" max="6" width="10.28515625" customWidth="1"/>
    <col min="7" max="7" width="11.42578125" customWidth="1"/>
    <col min="8" max="9" width="13" customWidth="1"/>
    <col min="10" max="10" width="12.7109375" bestFit="1" customWidth="1"/>
    <col min="11" max="11" width="8.42578125" customWidth="1"/>
    <col min="12" max="12" width="13.28515625" customWidth="1"/>
    <col min="13" max="13" width="15.5703125" bestFit="1" customWidth="1"/>
    <col min="14" max="14" width="9.5703125" bestFit="1" customWidth="1"/>
    <col min="15" max="15" width="13.140625" bestFit="1" customWidth="1"/>
    <col min="16" max="16" width="15.5703125" bestFit="1" customWidth="1"/>
    <col min="18" max="18" width="13.140625" bestFit="1" customWidth="1"/>
    <col min="19" max="19" width="15.5703125" bestFit="1" customWidth="1"/>
    <col min="20" max="20" width="16" bestFit="1" customWidth="1"/>
  </cols>
  <sheetData>
    <row r="1" spans="1:20" x14ac:dyDescent="0.25">
      <c r="B1" s="538"/>
      <c r="C1" s="529"/>
      <c r="D1" s="529"/>
      <c r="E1" s="529"/>
      <c r="F1" s="529"/>
      <c r="G1" s="530"/>
      <c r="H1" s="531"/>
      <c r="I1" s="531"/>
      <c r="J1" s="532" t="s">
        <v>161</v>
      </c>
      <c r="K1" s="792" t="s">
        <v>21</v>
      </c>
      <c r="L1" s="793"/>
      <c r="M1" s="794"/>
      <c r="N1" s="792" t="s">
        <v>165</v>
      </c>
      <c r="O1" s="793"/>
      <c r="P1" s="794"/>
      <c r="Q1" s="792" t="s">
        <v>166</v>
      </c>
      <c r="R1" s="793"/>
      <c r="S1" s="794"/>
      <c r="T1" s="536"/>
    </row>
    <row r="2" spans="1:20" x14ac:dyDescent="0.25">
      <c r="B2" s="520" t="s">
        <v>10</v>
      </c>
      <c r="C2" s="520" t="s">
        <v>38</v>
      </c>
      <c r="D2" s="520" t="s">
        <v>34</v>
      </c>
      <c r="E2" s="520" t="s">
        <v>94</v>
      </c>
      <c r="F2" s="520" t="s">
        <v>41</v>
      </c>
      <c r="G2" s="533" t="s">
        <v>37</v>
      </c>
      <c r="H2" s="534" t="s">
        <v>16</v>
      </c>
      <c r="I2" s="534" t="s">
        <v>0</v>
      </c>
      <c r="J2" s="534" t="s">
        <v>23</v>
      </c>
      <c r="K2" s="535" t="s">
        <v>0</v>
      </c>
      <c r="L2" s="520" t="s">
        <v>20</v>
      </c>
      <c r="M2" s="533" t="s">
        <v>18</v>
      </c>
      <c r="N2" s="535" t="s">
        <v>0</v>
      </c>
      <c r="O2" s="520" t="s">
        <v>20</v>
      </c>
      <c r="P2" s="533" t="s">
        <v>18</v>
      </c>
      <c r="Q2" s="535" t="s">
        <v>0</v>
      </c>
      <c r="R2" s="520" t="s">
        <v>20</v>
      </c>
      <c r="S2" s="533" t="s">
        <v>18</v>
      </c>
      <c r="T2" s="537" t="s">
        <v>339</v>
      </c>
    </row>
    <row r="3" spans="1:20" ht="15" customHeight="1" x14ac:dyDescent="0.25">
      <c r="A3" s="690"/>
      <c r="B3" s="694" t="s">
        <v>389</v>
      </c>
      <c r="C3" s="527" t="s">
        <v>40</v>
      </c>
      <c r="D3" s="679">
        <v>44927</v>
      </c>
      <c r="E3" s="527">
        <v>744</v>
      </c>
      <c r="F3" s="527" t="s">
        <v>3</v>
      </c>
      <c r="G3" s="724" t="s">
        <v>44</v>
      </c>
      <c r="H3" s="174">
        <v>-18.75</v>
      </c>
      <c r="I3" s="174">
        <v>182.57269591821751</v>
      </c>
      <c r="J3" s="598">
        <f t="shared" ref="J3:J66" si="0">(I3*(E3*H3))*-1</f>
        <v>2546889.1080591343</v>
      </c>
      <c r="K3" s="734">
        <v>68.72</v>
      </c>
      <c r="L3" s="599">
        <f t="shared" ref="L3:L66" si="1">(((E3*H3)*K3))</f>
        <v>-958644</v>
      </c>
      <c r="M3" s="735">
        <f t="shared" ref="M3:M66" si="2">J3+L3</f>
        <v>1588245.1080591343</v>
      </c>
      <c r="N3" s="736">
        <v>55.7</v>
      </c>
      <c r="O3" s="600">
        <f t="shared" ref="O3:O66" si="3">((E3*H3)*N3)</f>
        <v>-777015</v>
      </c>
      <c r="P3" s="699">
        <f t="shared" ref="P3:P66" si="4">J3+O3</f>
        <v>1769874.1080591343</v>
      </c>
      <c r="Q3" s="736">
        <v>96.206580759134184</v>
      </c>
      <c r="R3" s="600">
        <f t="shared" ref="R3:R66" si="5">((E3*H3)*Q3)</f>
        <v>-1342081.8015899218</v>
      </c>
      <c r="S3" s="699">
        <f t="shared" ref="S3:S66" si="6">J3+R3</f>
        <v>1204807.3064692125</v>
      </c>
      <c r="T3" s="694" t="s">
        <v>54</v>
      </c>
    </row>
    <row r="4" spans="1:20" ht="15" customHeight="1" x14ac:dyDescent="0.25">
      <c r="A4" s="690"/>
      <c r="B4" s="691" t="s">
        <v>389</v>
      </c>
      <c r="C4" s="676" t="s">
        <v>40</v>
      </c>
      <c r="D4" s="680">
        <v>44958</v>
      </c>
      <c r="E4" s="676">
        <v>672</v>
      </c>
      <c r="F4" s="676" t="s">
        <v>3</v>
      </c>
      <c r="G4" s="690" t="s">
        <v>44</v>
      </c>
      <c r="H4" s="115">
        <v>-18.75</v>
      </c>
      <c r="I4" s="115">
        <v>182.57269591821751</v>
      </c>
      <c r="J4" s="601">
        <f t="shared" si="0"/>
        <v>2300415.9685695404</v>
      </c>
      <c r="K4" s="738">
        <v>69.25</v>
      </c>
      <c r="L4" s="677">
        <f t="shared" si="1"/>
        <v>-872550</v>
      </c>
      <c r="M4" s="739">
        <f t="shared" si="2"/>
        <v>1427865.9685695404</v>
      </c>
      <c r="N4" s="740">
        <v>55.7</v>
      </c>
      <c r="O4" s="678">
        <f t="shared" si="3"/>
        <v>-701820</v>
      </c>
      <c r="P4" s="700">
        <f t="shared" si="4"/>
        <v>1598595.9685695404</v>
      </c>
      <c r="Q4" s="740">
        <v>92.430648861364247</v>
      </c>
      <c r="R4" s="678">
        <f t="shared" si="5"/>
        <v>-1164626.1756531894</v>
      </c>
      <c r="S4" s="700">
        <f t="shared" si="6"/>
        <v>1135789.792916351</v>
      </c>
      <c r="T4" s="691" t="s">
        <v>54</v>
      </c>
    </row>
    <row r="5" spans="1:20" ht="15" customHeight="1" x14ac:dyDescent="0.25">
      <c r="A5" s="690"/>
      <c r="B5" s="691" t="s">
        <v>389</v>
      </c>
      <c r="C5" s="676" t="s">
        <v>40</v>
      </c>
      <c r="D5" s="680">
        <v>44986</v>
      </c>
      <c r="E5" s="676">
        <v>744</v>
      </c>
      <c r="F5" s="676" t="s">
        <v>3</v>
      </c>
      <c r="G5" s="690" t="s">
        <v>44</v>
      </c>
      <c r="H5" s="115">
        <v>-18.75</v>
      </c>
      <c r="I5" s="115">
        <v>182.57269591821751</v>
      </c>
      <c r="J5" s="601">
        <f t="shared" si="0"/>
        <v>2546889.1080591343</v>
      </c>
      <c r="K5" s="738">
        <v>69.3</v>
      </c>
      <c r="L5" s="677">
        <f t="shared" si="1"/>
        <v>-966735</v>
      </c>
      <c r="M5" s="739">
        <f t="shared" si="2"/>
        <v>1580154.1080591343</v>
      </c>
      <c r="N5" s="740">
        <v>55.7</v>
      </c>
      <c r="O5" s="678">
        <f t="shared" si="3"/>
        <v>-777015</v>
      </c>
      <c r="P5" s="700">
        <f t="shared" si="4"/>
        <v>1769874.1080591343</v>
      </c>
      <c r="Q5" s="740">
        <v>89.053218420260009</v>
      </c>
      <c r="R5" s="678">
        <f t="shared" si="5"/>
        <v>-1242292.3969626271</v>
      </c>
      <c r="S5" s="700">
        <f t="shared" si="6"/>
        <v>1304596.7110965073</v>
      </c>
      <c r="T5" s="691" t="s">
        <v>54</v>
      </c>
    </row>
    <row r="6" spans="1:20" ht="15" customHeight="1" x14ac:dyDescent="0.25">
      <c r="A6" s="690"/>
      <c r="B6" s="691" t="s">
        <v>389</v>
      </c>
      <c r="C6" s="676" t="s">
        <v>40</v>
      </c>
      <c r="D6" s="680">
        <v>45017</v>
      </c>
      <c r="E6" s="676">
        <v>720</v>
      </c>
      <c r="F6" s="676" t="s">
        <v>3</v>
      </c>
      <c r="G6" s="690" t="s">
        <v>44</v>
      </c>
      <c r="H6" s="115">
        <v>-18.75</v>
      </c>
      <c r="I6" s="115">
        <v>182.57269591821751</v>
      </c>
      <c r="J6" s="601">
        <f t="shared" si="0"/>
        <v>2464731.3948959364</v>
      </c>
      <c r="K6" s="738">
        <v>69.8</v>
      </c>
      <c r="L6" s="677">
        <f t="shared" si="1"/>
        <v>-942300</v>
      </c>
      <c r="M6" s="739">
        <f t="shared" si="2"/>
        <v>1522431.3948959364</v>
      </c>
      <c r="N6" s="740">
        <v>55.7</v>
      </c>
      <c r="O6" s="678">
        <f t="shared" si="3"/>
        <v>-751950</v>
      </c>
      <c r="P6" s="700">
        <f t="shared" si="4"/>
        <v>1712781.3948959364</v>
      </c>
      <c r="Q6" s="740">
        <v>85.732008718771311</v>
      </c>
      <c r="R6" s="678">
        <f t="shared" si="5"/>
        <v>-1157382.1177034127</v>
      </c>
      <c r="S6" s="700">
        <f t="shared" si="6"/>
        <v>1307349.2771925237</v>
      </c>
      <c r="T6" s="691" t="s">
        <v>54</v>
      </c>
    </row>
    <row r="7" spans="1:20" ht="15" customHeight="1" x14ac:dyDescent="0.25">
      <c r="A7" s="690"/>
      <c r="B7" s="691" t="s">
        <v>389</v>
      </c>
      <c r="C7" s="676" t="s">
        <v>40</v>
      </c>
      <c r="D7" s="680">
        <v>45047</v>
      </c>
      <c r="E7" s="676">
        <v>744</v>
      </c>
      <c r="F7" s="676" t="s">
        <v>3</v>
      </c>
      <c r="G7" s="690" t="s">
        <v>44</v>
      </c>
      <c r="H7" s="115">
        <v>-18.75</v>
      </c>
      <c r="I7" s="115">
        <v>182.57269591821751</v>
      </c>
      <c r="J7" s="601">
        <f t="shared" si="0"/>
        <v>2546889.1080591343</v>
      </c>
      <c r="K7" s="738">
        <v>70.2</v>
      </c>
      <c r="L7" s="677">
        <f t="shared" si="1"/>
        <v>-979290</v>
      </c>
      <c r="M7" s="739">
        <f t="shared" si="2"/>
        <v>1567599.1080591343</v>
      </c>
      <c r="N7" s="740">
        <v>55.7</v>
      </c>
      <c r="O7" s="678">
        <f t="shared" si="3"/>
        <v>-777015</v>
      </c>
      <c r="P7" s="700">
        <f t="shared" si="4"/>
        <v>1769874.1080591343</v>
      </c>
      <c r="Q7" s="740">
        <v>86.223309628334476</v>
      </c>
      <c r="R7" s="678">
        <f t="shared" si="5"/>
        <v>-1202815.169315266</v>
      </c>
      <c r="S7" s="700">
        <f t="shared" si="6"/>
        <v>1344073.9387438684</v>
      </c>
      <c r="T7" s="691" t="s">
        <v>54</v>
      </c>
    </row>
    <row r="8" spans="1:20" ht="15" customHeight="1" x14ac:dyDescent="0.25">
      <c r="A8" s="690"/>
      <c r="B8" s="691" t="s">
        <v>389</v>
      </c>
      <c r="C8" s="676" t="s">
        <v>40</v>
      </c>
      <c r="D8" s="680">
        <v>45078</v>
      </c>
      <c r="E8" s="676">
        <v>720</v>
      </c>
      <c r="F8" s="676" t="s">
        <v>3</v>
      </c>
      <c r="G8" s="690" t="s">
        <v>44</v>
      </c>
      <c r="H8" s="115">
        <v>-18.75</v>
      </c>
      <c r="I8" s="115">
        <v>182.57269591821751</v>
      </c>
      <c r="J8" s="601">
        <f t="shared" si="0"/>
        <v>2464731.3948959364</v>
      </c>
      <c r="K8" s="738">
        <v>72.400000000000006</v>
      </c>
      <c r="L8" s="677">
        <f t="shared" si="1"/>
        <v>-977400.00000000012</v>
      </c>
      <c r="M8" s="739">
        <f t="shared" si="2"/>
        <v>1487331.3948959364</v>
      </c>
      <c r="N8" s="740">
        <v>55.874535369068141</v>
      </c>
      <c r="O8" s="678">
        <f t="shared" si="3"/>
        <v>-754306.22748241993</v>
      </c>
      <c r="P8" s="700">
        <f t="shared" si="4"/>
        <v>1710425.1674135164</v>
      </c>
      <c r="Q8" s="740">
        <v>88.925464630931856</v>
      </c>
      <c r="R8" s="678">
        <f t="shared" si="5"/>
        <v>-1200493.7725175801</v>
      </c>
      <c r="S8" s="700">
        <f t="shared" si="6"/>
        <v>1264237.6223783563</v>
      </c>
      <c r="T8" s="691" t="s">
        <v>54</v>
      </c>
    </row>
    <row r="9" spans="1:20" ht="15" customHeight="1" x14ac:dyDescent="0.25">
      <c r="A9" s="690"/>
      <c r="B9" s="691" t="s">
        <v>389</v>
      </c>
      <c r="C9" s="676" t="s">
        <v>40</v>
      </c>
      <c r="D9" s="680">
        <v>45108</v>
      </c>
      <c r="E9" s="676">
        <v>744</v>
      </c>
      <c r="F9" s="676" t="s">
        <v>3</v>
      </c>
      <c r="G9" s="690" t="s">
        <v>44</v>
      </c>
      <c r="H9" s="115">
        <v>-18.75</v>
      </c>
      <c r="I9" s="115">
        <v>182.57269591821751</v>
      </c>
      <c r="J9" s="601">
        <f t="shared" si="0"/>
        <v>2546889.1080591343</v>
      </c>
      <c r="K9" s="738">
        <v>77.150000000000006</v>
      </c>
      <c r="L9" s="677">
        <f t="shared" si="1"/>
        <v>-1076242.5</v>
      </c>
      <c r="M9" s="739">
        <f t="shared" si="2"/>
        <v>1470646.6080591343</v>
      </c>
      <c r="N9" s="740">
        <v>59.54033706800562</v>
      </c>
      <c r="O9" s="678">
        <f t="shared" si="3"/>
        <v>-830587.70209867845</v>
      </c>
      <c r="P9" s="700">
        <f t="shared" si="4"/>
        <v>1716301.405960456</v>
      </c>
      <c r="Q9" s="740">
        <v>94.759662931994384</v>
      </c>
      <c r="R9" s="678">
        <f t="shared" si="5"/>
        <v>-1321897.2979013217</v>
      </c>
      <c r="S9" s="700">
        <f t="shared" si="6"/>
        <v>1224991.8101578127</v>
      </c>
      <c r="T9" s="691" t="s">
        <v>54</v>
      </c>
    </row>
    <row r="10" spans="1:20" ht="15" customHeight="1" x14ac:dyDescent="0.25">
      <c r="A10" s="690"/>
      <c r="B10" s="691" t="s">
        <v>389</v>
      </c>
      <c r="C10" s="676" t="s">
        <v>40</v>
      </c>
      <c r="D10" s="680">
        <v>45139</v>
      </c>
      <c r="E10" s="676">
        <v>744</v>
      </c>
      <c r="F10" s="676" t="s">
        <v>3</v>
      </c>
      <c r="G10" s="690" t="s">
        <v>44</v>
      </c>
      <c r="H10" s="115">
        <v>-18.75</v>
      </c>
      <c r="I10" s="115">
        <v>182.57269591821751</v>
      </c>
      <c r="J10" s="601">
        <f t="shared" si="0"/>
        <v>2546889.1080591343</v>
      </c>
      <c r="K10" s="738">
        <v>77.150000000000006</v>
      </c>
      <c r="L10" s="677">
        <f t="shared" si="1"/>
        <v>-1076242.5</v>
      </c>
      <c r="M10" s="739">
        <f t="shared" si="2"/>
        <v>1470646.6080591343</v>
      </c>
      <c r="N10" s="740">
        <v>59.54033706800562</v>
      </c>
      <c r="O10" s="678">
        <f t="shared" si="3"/>
        <v>-830587.70209867845</v>
      </c>
      <c r="P10" s="700">
        <f t="shared" si="4"/>
        <v>1716301.405960456</v>
      </c>
      <c r="Q10" s="740">
        <v>94.759662931994384</v>
      </c>
      <c r="R10" s="678">
        <f t="shared" si="5"/>
        <v>-1321897.2979013217</v>
      </c>
      <c r="S10" s="700">
        <f t="shared" si="6"/>
        <v>1224991.8101578127</v>
      </c>
      <c r="T10" s="691" t="s">
        <v>54</v>
      </c>
    </row>
    <row r="11" spans="1:20" ht="15" customHeight="1" x14ac:dyDescent="0.25">
      <c r="A11" s="690"/>
      <c r="B11" s="691" t="s">
        <v>389</v>
      </c>
      <c r="C11" s="676" t="s">
        <v>40</v>
      </c>
      <c r="D11" s="680">
        <v>45170</v>
      </c>
      <c r="E11" s="676">
        <v>720</v>
      </c>
      <c r="F11" s="676" t="s">
        <v>3</v>
      </c>
      <c r="G11" s="690" t="s">
        <v>44</v>
      </c>
      <c r="H11" s="115">
        <v>-18.75</v>
      </c>
      <c r="I11" s="115">
        <v>182.57269591821751</v>
      </c>
      <c r="J11" s="601">
        <f t="shared" si="0"/>
        <v>2464731.3948959364</v>
      </c>
      <c r="K11" s="738">
        <v>77.150000000000006</v>
      </c>
      <c r="L11" s="677">
        <f t="shared" si="1"/>
        <v>-1041525.0000000001</v>
      </c>
      <c r="M11" s="739">
        <f t="shared" si="2"/>
        <v>1423206.3948959364</v>
      </c>
      <c r="N11" s="740">
        <v>59.54033706800562</v>
      </c>
      <c r="O11" s="678">
        <f t="shared" si="3"/>
        <v>-803794.55041807587</v>
      </c>
      <c r="P11" s="700">
        <f t="shared" si="4"/>
        <v>1660936.8444778605</v>
      </c>
      <c r="Q11" s="740">
        <v>94.759662931994384</v>
      </c>
      <c r="R11" s="678">
        <f t="shared" si="5"/>
        <v>-1279255.4495819241</v>
      </c>
      <c r="S11" s="700">
        <f t="shared" si="6"/>
        <v>1185475.9453140122</v>
      </c>
      <c r="T11" s="691" t="s">
        <v>54</v>
      </c>
    </row>
    <row r="12" spans="1:20" ht="15" customHeight="1" x14ac:dyDescent="0.25">
      <c r="A12" s="690"/>
      <c r="B12" s="691" t="s">
        <v>389</v>
      </c>
      <c r="C12" s="676" t="s">
        <v>40</v>
      </c>
      <c r="D12" s="680">
        <v>45200</v>
      </c>
      <c r="E12" s="676">
        <v>744</v>
      </c>
      <c r="F12" s="676" t="s">
        <v>3</v>
      </c>
      <c r="G12" s="690" t="s">
        <v>44</v>
      </c>
      <c r="H12" s="115">
        <v>-18.75</v>
      </c>
      <c r="I12" s="115">
        <v>182.57269591821751</v>
      </c>
      <c r="J12" s="601">
        <f t="shared" si="0"/>
        <v>2546889.1080591343</v>
      </c>
      <c r="K12" s="738">
        <v>80.45</v>
      </c>
      <c r="L12" s="677">
        <f t="shared" si="1"/>
        <v>-1122277.5</v>
      </c>
      <c r="M12" s="739">
        <f t="shared" si="2"/>
        <v>1424611.6080591343</v>
      </c>
      <c r="N12" s="740">
        <v>62.087104564109552</v>
      </c>
      <c r="O12" s="678">
        <f t="shared" si="3"/>
        <v>-866115.10866932827</v>
      </c>
      <c r="P12" s="700">
        <f t="shared" si="4"/>
        <v>1680773.9993898061</v>
      </c>
      <c r="Q12" s="740">
        <v>98.812895435890439</v>
      </c>
      <c r="R12" s="678">
        <f t="shared" si="5"/>
        <v>-1378439.8913306717</v>
      </c>
      <c r="S12" s="700">
        <f t="shared" si="6"/>
        <v>1168449.2167284626</v>
      </c>
      <c r="T12" s="691" t="s">
        <v>54</v>
      </c>
    </row>
    <row r="13" spans="1:20" ht="15" customHeight="1" x14ac:dyDescent="0.25">
      <c r="A13" s="690"/>
      <c r="B13" s="691" t="s">
        <v>389</v>
      </c>
      <c r="C13" s="676" t="s">
        <v>40</v>
      </c>
      <c r="D13" s="680">
        <v>45231</v>
      </c>
      <c r="E13" s="676">
        <v>720</v>
      </c>
      <c r="F13" s="676" t="s">
        <v>3</v>
      </c>
      <c r="G13" s="690" t="s">
        <v>44</v>
      </c>
      <c r="H13" s="115">
        <v>-18.75</v>
      </c>
      <c r="I13" s="115">
        <v>182.57269591821751</v>
      </c>
      <c r="J13" s="601">
        <f t="shared" si="0"/>
        <v>2464731.3948959364</v>
      </c>
      <c r="K13" s="738">
        <v>80.45</v>
      </c>
      <c r="L13" s="677">
        <f t="shared" si="1"/>
        <v>-1086075</v>
      </c>
      <c r="M13" s="739">
        <f t="shared" si="2"/>
        <v>1378656.3948959364</v>
      </c>
      <c r="N13" s="740">
        <v>62.087104564109552</v>
      </c>
      <c r="O13" s="678">
        <f t="shared" si="3"/>
        <v>-838175.91161547892</v>
      </c>
      <c r="P13" s="700">
        <f t="shared" si="4"/>
        <v>1626555.4832804576</v>
      </c>
      <c r="Q13" s="740">
        <v>98.812895435890439</v>
      </c>
      <c r="R13" s="678">
        <f t="shared" si="5"/>
        <v>-1333974.088384521</v>
      </c>
      <c r="S13" s="700">
        <f t="shared" si="6"/>
        <v>1130757.3065114154</v>
      </c>
      <c r="T13" s="691" t="s">
        <v>54</v>
      </c>
    </row>
    <row r="14" spans="1:20" ht="15" customHeight="1" x14ac:dyDescent="0.25">
      <c r="A14" s="690"/>
      <c r="B14" s="695" t="s">
        <v>389</v>
      </c>
      <c r="C14" s="545" t="s">
        <v>40</v>
      </c>
      <c r="D14" s="681">
        <v>45261</v>
      </c>
      <c r="E14" s="545">
        <v>744</v>
      </c>
      <c r="F14" s="545" t="s">
        <v>3</v>
      </c>
      <c r="G14" s="725" t="s">
        <v>44</v>
      </c>
      <c r="H14" s="548">
        <v>-18.75</v>
      </c>
      <c r="I14" s="548">
        <v>182.57269591821751</v>
      </c>
      <c r="J14" s="602">
        <f t="shared" si="0"/>
        <v>2546889.1080591343</v>
      </c>
      <c r="K14" s="742">
        <v>80.45</v>
      </c>
      <c r="L14" s="603">
        <f t="shared" si="1"/>
        <v>-1122277.5</v>
      </c>
      <c r="M14" s="743">
        <f t="shared" si="2"/>
        <v>1424611.6080591343</v>
      </c>
      <c r="N14" s="744">
        <v>62.087104564109552</v>
      </c>
      <c r="O14" s="604">
        <f t="shared" si="3"/>
        <v>-866115.10866932827</v>
      </c>
      <c r="P14" s="701">
        <f t="shared" si="4"/>
        <v>1680773.9993898061</v>
      </c>
      <c r="Q14" s="744">
        <v>98.812895435890439</v>
      </c>
      <c r="R14" s="604">
        <f t="shared" si="5"/>
        <v>-1378439.8913306717</v>
      </c>
      <c r="S14" s="701">
        <f t="shared" si="6"/>
        <v>1168449.2167284626</v>
      </c>
      <c r="T14" s="695" t="s">
        <v>54</v>
      </c>
    </row>
    <row r="15" spans="1:20" ht="15" customHeight="1" x14ac:dyDescent="0.25">
      <c r="A15" s="690"/>
      <c r="B15" s="696" t="s">
        <v>391</v>
      </c>
      <c r="C15" s="546" t="s">
        <v>40</v>
      </c>
      <c r="D15" s="682">
        <v>44562</v>
      </c>
      <c r="E15" s="546">
        <v>744</v>
      </c>
      <c r="F15" s="546" t="s">
        <v>3</v>
      </c>
      <c r="G15" s="726" t="s">
        <v>44</v>
      </c>
      <c r="H15" s="549">
        <v>-5.0999999999999996</v>
      </c>
      <c r="I15" s="549">
        <v>179.27582593804104</v>
      </c>
      <c r="J15" s="605">
        <f t="shared" si="0"/>
        <v>680244.19393930282</v>
      </c>
      <c r="K15" s="746">
        <v>62.91</v>
      </c>
      <c r="L15" s="606">
        <f t="shared" si="1"/>
        <v>-238705.70399999997</v>
      </c>
      <c r="M15" s="747">
        <f t="shared" si="2"/>
        <v>441538.48993930285</v>
      </c>
      <c r="N15" s="748">
        <v>62.91</v>
      </c>
      <c r="O15" s="607">
        <f t="shared" si="3"/>
        <v>-238705.70399999997</v>
      </c>
      <c r="P15" s="702">
        <f t="shared" si="4"/>
        <v>441538.48993930285</v>
      </c>
      <c r="Q15" s="748">
        <v>62.91</v>
      </c>
      <c r="R15" s="607">
        <f t="shared" si="5"/>
        <v>-238705.70399999997</v>
      </c>
      <c r="S15" s="702">
        <f t="shared" si="6"/>
        <v>441538.48993930285</v>
      </c>
      <c r="T15" s="696" t="s">
        <v>54</v>
      </c>
    </row>
    <row r="16" spans="1:20" ht="15" customHeight="1" x14ac:dyDescent="0.25">
      <c r="A16" s="690"/>
      <c r="B16" s="691" t="s">
        <v>391</v>
      </c>
      <c r="C16" s="676" t="s">
        <v>40</v>
      </c>
      <c r="D16" s="680">
        <v>44593</v>
      </c>
      <c r="E16" s="676">
        <v>672</v>
      </c>
      <c r="F16" s="676" t="s">
        <v>3</v>
      </c>
      <c r="G16" s="690" t="s">
        <v>44</v>
      </c>
      <c r="H16" s="115">
        <v>-5.0999999999999996</v>
      </c>
      <c r="I16" s="115">
        <v>179.27582593804104</v>
      </c>
      <c r="J16" s="601">
        <f t="shared" si="0"/>
        <v>614414.11065485422</v>
      </c>
      <c r="K16" s="738">
        <v>55.7</v>
      </c>
      <c r="L16" s="677">
        <f t="shared" si="1"/>
        <v>-190895.04</v>
      </c>
      <c r="M16" s="739">
        <f t="shared" si="2"/>
        <v>423519.07065485418</v>
      </c>
      <c r="N16" s="740">
        <v>55.7</v>
      </c>
      <c r="O16" s="678">
        <f t="shared" si="3"/>
        <v>-190895.04</v>
      </c>
      <c r="P16" s="700">
        <f t="shared" si="4"/>
        <v>423519.07065485418</v>
      </c>
      <c r="Q16" s="740">
        <v>55.7</v>
      </c>
      <c r="R16" s="678">
        <f t="shared" si="5"/>
        <v>-190895.04</v>
      </c>
      <c r="S16" s="700">
        <f t="shared" si="6"/>
        <v>423519.07065485418</v>
      </c>
      <c r="T16" s="691" t="s">
        <v>54</v>
      </c>
    </row>
    <row r="17" spans="1:20" ht="15" customHeight="1" x14ac:dyDescent="0.25">
      <c r="A17" s="690"/>
      <c r="B17" s="691" t="s">
        <v>391</v>
      </c>
      <c r="C17" s="676" t="s">
        <v>40</v>
      </c>
      <c r="D17" s="680">
        <v>44621</v>
      </c>
      <c r="E17" s="676">
        <v>744</v>
      </c>
      <c r="F17" s="676" t="s">
        <v>3</v>
      </c>
      <c r="G17" s="690" t="s">
        <v>44</v>
      </c>
      <c r="H17" s="115">
        <v>-5.0999999999999996</v>
      </c>
      <c r="I17" s="115">
        <v>179.27582593804104</v>
      </c>
      <c r="J17" s="601">
        <f t="shared" si="0"/>
        <v>680244.19393930282</v>
      </c>
      <c r="K17" s="738">
        <v>55.7</v>
      </c>
      <c r="L17" s="677">
        <f t="shared" si="1"/>
        <v>-211348.08</v>
      </c>
      <c r="M17" s="739">
        <f t="shared" si="2"/>
        <v>468896.11393930286</v>
      </c>
      <c r="N17" s="740">
        <v>55.7</v>
      </c>
      <c r="O17" s="678">
        <f t="shared" si="3"/>
        <v>-211348.08</v>
      </c>
      <c r="P17" s="700">
        <f t="shared" si="4"/>
        <v>468896.11393930286</v>
      </c>
      <c r="Q17" s="740">
        <v>55.7</v>
      </c>
      <c r="R17" s="678">
        <f t="shared" si="5"/>
        <v>-211348.08</v>
      </c>
      <c r="S17" s="700">
        <f t="shared" si="6"/>
        <v>468896.11393930286</v>
      </c>
      <c r="T17" s="691" t="s">
        <v>54</v>
      </c>
    </row>
    <row r="18" spans="1:20" ht="15" customHeight="1" x14ac:dyDescent="0.25">
      <c r="A18" s="690"/>
      <c r="B18" s="691" t="s">
        <v>391</v>
      </c>
      <c r="C18" s="676" t="s">
        <v>40</v>
      </c>
      <c r="D18" s="680">
        <v>44652</v>
      </c>
      <c r="E18" s="676">
        <v>720</v>
      </c>
      <c r="F18" s="676" t="s">
        <v>3</v>
      </c>
      <c r="G18" s="690" t="s">
        <v>44</v>
      </c>
      <c r="H18" s="115">
        <v>-5.0999999999999996</v>
      </c>
      <c r="I18" s="115">
        <v>179.27582593804104</v>
      </c>
      <c r="J18" s="601">
        <f t="shared" si="0"/>
        <v>658300.83284448658</v>
      </c>
      <c r="K18" s="738">
        <v>55.7</v>
      </c>
      <c r="L18" s="677">
        <f t="shared" si="1"/>
        <v>-204530.4</v>
      </c>
      <c r="M18" s="739">
        <f t="shared" si="2"/>
        <v>453770.43284448655</v>
      </c>
      <c r="N18" s="740">
        <v>55.7</v>
      </c>
      <c r="O18" s="678">
        <f t="shared" si="3"/>
        <v>-204530.4</v>
      </c>
      <c r="P18" s="700">
        <f t="shared" si="4"/>
        <v>453770.43284448655</v>
      </c>
      <c r="Q18" s="740">
        <v>55.7</v>
      </c>
      <c r="R18" s="678">
        <f t="shared" si="5"/>
        <v>-204530.4</v>
      </c>
      <c r="S18" s="700">
        <f t="shared" si="6"/>
        <v>453770.43284448655</v>
      </c>
      <c r="T18" s="691" t="s">
        <v>54</v>
      </c>
    </row>
    <row r="19" spans="1:20" ht="15" customHeight="1" x14ac:dyDescent="0.25">
      <c r="A19" s="690"/>
      <c r="B19" s="691" t="s">
        <v>391</v>
      </c>
      <c r="C19" s="676" t="s">
        <v>40</v>
      </c>
      <c r="D19" s="680">
        <v>44682</v>
      </c>
      <c r="E19" s="676">
        <v>744</v>
      </c>
      <c r="F19" s="676" t="s">
        <v>3</v>
      </c>
      <c r="G19" s="690" t="s">
        <v>44</v>
      </c>
      <c r="H19" s="115">
        <v>-5.0999999999999996</v>
      </c>
      <c r="I19" s="115">
        <v>179.27582593804104</v>
      </c>
      <c r="J19" s="601">
        <f t="shared" si="0"/>
        <v>680244.19393930282</v>
      </c>
      <c r="K19" s="738">
        <v>55.7</v>
      </c>
      <c r="L19" s="677">
        <f t="shared" si="1"/>
        <v>-211348.08</v>
      </c>
      <c r="M19" s="739">
        <f t="shared" si="2"/>
        <v>468896.11393930286</v>
      </c>
      <c r="N19" s="740">
        <v>55.7</v>
      </c>
      <c r="O19" s="678">
        <f t="shared" si="3"/>
        <v>-211348.08</v>
      </c>
      <c r="P19" s="700">
        <f t="shared" si="4"/>
        <v>468896.11393930286</v>
      </c>
      <c r="Q19" s="740">
        <v>55.7</v>
      </c>
      <c r="R19" s="678">
        <f t="shared" si="5"/>
        <v>-211348.08</v>
      </c>
      <c r="S19" s="700">
        <f t="shared" si="6"/>
        <v>468896.11393930286</v>
      </c>
      <c r="T19" s="691" t="s">
        <v>54</v>
      </c>
    </row>
    <row r="20" spans="1:20" ht="15" customHeight="1" x14ac:dyDescent="0.25">
      <c r="A20" s="690"/>
      <c r="B20" s="691" t="s">
        <v>391</v>
      </c>
      <c r="C20" s="676" t="s">
        <v>40</v>
      </c>
      <c r="D20" s="680">
        <v>44713</v>
      </c>
      <c r="E20" s="676">
        <v>720</v>
      </c>
      <c r="F20" s="676" t="s">
        <v>3</v>
      </c>
      <c r="G20" s="690" t="s">
        <v>44</v>
      </c>
      <c r="H20" s="115">
        <v>-5.0999999999999996</v>
      </c>
      <c r="I20" s="115">
        <v>179.27582593804104</v>
      </c>
      <c r="J20" s="601">
        <f t="shared" si="0"/>
        <v>658300.83284448658</v>
      </c>
      <c r="K20" s="738">
        <v>55.71</v>
      </c>
      <c r="L20" s="677">
        <f t="shared" si="1"/>
        <v>-204567.11999999997</v>
      </c>
      <c r="M20" s="739">
        <f t="shared" si="2"/>
        <v>453733.71284448658</v>
      </c>
      <c r="N20" s="740">
        <v>55.71</v>
      </c>
      <c r="O20" s="678">
        <f t="shared" si="3"/>
        <v>-204567.11999999997</v>
      </c>
      <c r="P20" s="700">
        <f t="shared" si="4"/>
        <v>453733.71284448658</v>
      </c>
      <c r="Q20" s="740">
        <v>55.71</v>
      </c>
      <c r="R20" s="678">
        <f t="shared" si="5"/>
        <v>-204567.11999999997</v>
      </c>
      <c r="S20" s="700">
        <f t="shared" si="6"/>
        <v>453733.71284448658</v>
      </c>
      <c r="T20" s="691" t="s">
        <v>54</v>
      </c>
    </row>
    <row r="21" spans="1:20" ht="15" customHeight="1" x14ac:dyDescent="0.25">
      <c r="A21" s="690"/>
      <c r="B21" s="691" t="s">
        <v>391</v>
      </c>
      <c r="C21" s="676" t="s">
        <v>40</v>
      </c>
      <c r="D21" s="680">
        <v>44743</v>
      </c>
      <c r="E21" s="676">
        <v>744</v>
      </c>
      <c r="F21" s="676" t="s">
        <v>3</v>
      </c>
      <c r="G21" s="690" t="s">
        <v>44</v>
      </c>
      <c r="H21" s="115">
        <v>-5.0999999999999996</v>
      </c>
      <c r="I21" s="115">
        <v>179.27582593804104</v>
      </c>
      <c r="J21" s="601">
        <f t="shared" si="0"/>
        <v>680244.19393930282</v>
      </c>
      <c r="K21" s="738">
        <v>66.319999999999993</v>
      </c>
      <c r="L21" s="677">
        <f t="shared" si="1"/>
        <v>-251644.60799999995</v>
      </c>
      <c r="M21" s="739">
        <f t="shared" si="2"/>
        <v>428599.58593930287</v>
      </c>
      <c r="N21" s="740">
        <v>66.319999999999993</v>
      </c>
      <c r="O21" s="678">
        <f t="shared" si="3"/>
        <v>-251644.60799999995</v>
      </c>
      <c r="P21" s="700">
        <f t="shared" si="4"/>
        <v>428599.58593930287</v>
      </c>
      <c r="Q21" s="740">
        <v>66.319999999999993</v>
      </c>
      <c r="R21" s="678">
        <f t="shared" si="5"/>
        <v>-251644.60799999995</v>
      </c>
      <c r="S21" s="700">
        <f t="shared" si="6"/>
        <v>428599.58593930287</v>
      </c>
      <c r="T21" s="691" t="s">
        <v>54</v>
      </c>
    </row>
    <row r="22" spans="1:20" ht="15" customHeight="1" x14ac:dyDescent="0.25">
      <c r="A22" s="690"/>
      <c r="B22" s="691" t="s">
        <v>391</v>
      </c>
      <c r="C22" s="676" t="s">
        <v>40</v>
      </c>
      <c r="D22" s="680">
        <v>44774</v>
      </c>
      <c r="E22" s="676">
        <v>744</v>
      </c>
      <c r="F22" s="676" t="s">
        <v>3</v>
      </c>
      <c r="G22" s="690" t="s">
        <v>44</v>
      </c>
      <c r="H22" s="115">
        <v>-5.0999999999999996</v>
      </c>
      <c r="I22" s="115">
        <v>179.27582593804104</v>
      </c>
      <c r="J22" s="601">
        <f t="shared" si="0"/>
        <v>680244.19393930282</v>
      </c>
      <c r="K22" s="738">
        <v>76.900000000000006</v>
      </c>
      <c r="L22" s="677">
        <f t="shared" si="1"/>
        <v>-291789.36</v>
      </c>
      <c r="M22" s="739">
        <f t="shared" si="2"/>
        <v>388454.83393930283</v>
      </c>
      <c r="N22" s="740">
        <v>76.900000000000006</v>
      </c>
      <c r="O22" s="678">
        <f t="shared" si="3"/>
        <v>-291789.36</v>
      </c>
      <c r="P22" s="700">
        <f t="shared" si="4"/>
        <v>388454.83393930283</v>
      </c>
      <c r="Q22" s="740">
        <v>76.900000000000006</v>
      </c>
      <c r="R22" s="678">
        <f t="shared" si="5"/>
        <v>-291789.36</v>
      </c>
      <c r="S22" s="700">
        <f t="shared" si="6"/>
        <v>388454.83393930283</v>
      </c>
      <c r="T22" s="691" t="s">
        <v>54</v>
      </c>
    </row>
    <row r="23" spans="1:20" ht="15" customHeight="1" x14ac:dyDescent="0.25">
      <c r="A23" s="690"/>
      <c r="B23" s="691" t="s">
        <v>391</v>
      </c>
      <c r="C23" s="676" t="s">
        <v>40</v>
      </c>
      <c r="D23" s="680">
        <v>44805</v>
      </c>
      <c r="E23" s="676">
        <v>720</v>
      </c>
      <c r="F23" s="676" t="s">
        <v>3</v>
      </c>
      <c r="G23" s="690" t="s">
        <v>44</v>
      </c>
      <c r="H23" s="115">
        <v>-5.0999999999999996</v>
      </c>
      <c r="I23" s="115">
        <v>179.27582593804104</v>
      </c>
      <c r="J23" s="601">
        <f t="shared" si="0"/>
        <v>658300.83284448658</v>
      </c>
      <c r="K23" s="738">
        <v>56.08</v>
      </c>
      <c r="L23" s="677">
        <f t="shared" si="1"/>
        <v>-205925.75999999998</v>
      </c>
      <c r="M23" s="739">
        <f t="shared" si="2"/>
        <v>452375.07284448657</v>
      </c>
      <c r="N23" s="740">
        <v>56.08</v>
      </c>
      <c r="O23" s="678">
        <f t="shared" si="3"/>
        <v>-205925.75999999998</v>
      </c>
      <c r="P23" s="700">
        <f t="shared" si="4"/>
        <v>452375.07284448657</v>
      </c>
      <c r="Q23" s="740">
        <v>56.08</v>
      </c>
      <c r="R23" s="678">
        <f t="shared" si="5"/>
        <v>-205925.75999999998</v>
      </c>
      <c r="S23" s="700">
        <f t="shared" si="6"/>
        <v>452375.07284448657</v>
      </c>
      <c r="T23" s="691" t="s">
        <v>54</v>
      </c>
    </row>
    <row r="24" spans="1:20" ht="15" customHeight="1" x14ac:dyDescent="0.25">
      <c r="A24" s="690"/>
      <c r="B24" s="691" t="s">
        <v>391</v>
      </c>
      <c r="C24" s="676" t="s">
        <v>40</v>
      </c>
      <c r="D24" s="680">
        <v>44835</v>
      </c>
      <c r="E24" s="676">
        <v>744</v>
      </c>
      <c r="F24" s="676" t="s">
        <v>3</v>
      </c>
      <c r="G24" s="690" t="s">
        <v>44</v>
      </c>
      <c r="H24" s="115">
        <v>-5.0999999999999996</v>
      </c>
      <c r="I24" s="115">
        <v>179.27582593804104</v>
      </c>
      <c r="J24" s="601">
        <f t="shared" si="0"/>
        <v>680244.19393930282</v>
      </c>
      <c r="K24" s="738">
        <v>55.7</v>
      </c>
      <c r="L24" s="677">
        <f t="shared" si="1"/>
        <v>-211348.08</v>
      </c>
      <c r="M24" s="739">
        <f t="shared" si="2"/>
        <v>468896.11393930286</v>
      </c>
      <c r="N24" s="740">
        <v>55.7</v>
      </c>
      <c r="O24" s="678">
        <f t="shared" si="3"/>
        <v>-211348.08</v>
      </c>
      <c r="P24" s="700">
        <f t="shared" si="4"/>
        <v>468896.11393930286</v>
      </c>
      <c r="Q24" s="740">
        <v>55.7</v>
      </c>
      <c r="R24" s="678">
        <f t="shared" si="5"/>
        <v>-211348.08</v>
      </c>
      <c r="S24" s="700">
        <f t="shared" si="6"/>
        <v>468896.11393930286</v>
      </c>
      <c r="T24" s="691" t="s">
        <v>54</v>
      </c>
    </row>
    <row r="25" spans="1:20" ht="15" customHeight="1" x14ac:dyDescent="0.25">
      <c r="A25" s="690"/>
      <c r="B25" s="691" t="s">
        <v>391</v>
      </c>
      <c r="C25" s="676" t="s">
        <v>40</v>
      </c>
      <c r="D25" s="680">
        <v>44866</v>
      </c>
      <c r="E25" s="676">
        <v>720</v>
      </c>
      <c r="F25" s="676" t="s">
        <v>3</v>
      </c>
      <c r="G25" s="690" t="s">
        <v>44</v>
      </c>
      <c r="H25" s="115">
        <v>-5.0999999999999996</v>
      </c>
      <c r="I25" s="115">
        <v>179.27582593804104</v>
      </c>
      <c r="J25" s="601">
        <f t="shared" si="0"/>
        <v>658300.83284448658</v>
      </c>
      <c r="K25" s="738">
        <v>55.7</v>
      </c>
      <c r="L25" s="677">
        <f t="shared" si="1"/>
        <v>-204530.4</v>
      </c>
      <c r="M25" s="739">
        <f t="shared" si="2"/>
        <v>453770.43284448655</v>
      </c>
      <c r="N25" s="740">
        <v>55.7</v>
      </c>
      <c r="O25" s="678">
        <f t="shared" si="3"/>
        <v>-204530.4</v>
      </c>
      <c r="P25" s="700">
        <f t="shared" si="4"/>
        <v>453770.43284448655</v>
      </c>
      <c r="Q25" s="740">
        <v>55.7</v>
      </c>
      <c r="R25" s="678">
        <f t="shared" si="5"/>
        <v>-204530.4</v>
      </c>
      <c r="S25" s="700">
        <f t="shared" si="6"/>
        <v>453770.43284448655</v>
      </c>
      <c r="T25" s="691" t="s">
        <v>54</v>
      </c>
    </row>
    <row r="26" spans="1:20" ht="15" customHeight="1" x14ac:dyDescent="0.25">
      <c r="A26" s="690"/>
      <c r="B26" s="695" t="s">
        <v>391</v>
      </c>
      <c r="C26" s="545" t="s">
        <v>40</v>
      </c>
      <c r="D26" s="681">
        <v>44896</v>
      </c>
      <c r="E26" s="545">
        <v>744</v>
      </c>
      <c r="F26" s="545" t="s">
        <v>3</v>
      </c>
      <c r="G26" s="725" t="s">
        <v>44</v>
      </c>
      <c r="H26" s="548">
        <v>-5.0999999999999996</v>
      </c>
      <c r="I26" s="548">
        <v>179.27582593804104</v>
      </c>
      <c r="J26" s="602">
        <f t="shared" si="0"/>
        <v>680244.19393930282</v>
      </c>
      <c r="K26" s="742">
        <v>55.7</v>
      </c>
      <c r="L26" s="603">
        <f t="shared" si="1"/>
        <v>-211348.08</v>
      </c>
      <c r="M26" s="743">
        <f t="shared" si="2"/>
        <v>468896.11393930286</v>
      </c>
      <c r="N26" s="744">
        <v>55.7</v>
      </c>
      <c r="O26" s="604">
        <f t="shared" si="3"/>
        <v>-211348.08</v>
      </c>
      <c r="P26" s="701">
        <f t="shared" si="4"/>
        <v>468896.11393930286</v>
      </c>
      <c r="Q26" s="744">
        <v>78.400653594793155</v>
      </c>
      <c r="R26" s="604">
        <f t="shared" si="5"/>
        <v>-297483.44000008312</v>
      </c>
      <c r="S26" s="701">
        <f t="shared" si="6"/>
        <v>382760.75393921969</v>
      </c>
      <c r="T26" s="695" t="s">
        <v>54</v>
      </c>
    </row>
    <row r="27" spans="1:20" ht="15" customHeight="1" x14ac:dyDescent="0.25">
      <c r="A27" s="690"/>
      <c r="B27" s="696" t="s">
        <v>460</v>
      </c>
      <c r="C27" s="546" t="s">
        <v>40</v>
      </c>
      <c r="D27" s="682">
        <v>44562</v>
      </c>
      <c r="E27" s="546">
        <v>744</v>
      </c>
      <c r="F27" s="546" t="s">
        <v>3</v>
      </c>
      <c r="G27" s="726" t="s">
        <v>44</v>
      </c>
      <c r="H27" s="549">
        <v>-6.12</v>
      </c>
      <c r="I27" s="549">
        <v>209.70806996055788</v>
      </c>
      <c r="J27" s="605">
        <f t="shared" si="0"/>
        <v>954859.56079000898</v>
      </c>
      <c r="K27" s="746">
        <v>62.91</v>
      </c>
      <c r="L27" s="606">
        <f t="shared" si="1"/>
        <v>-286446.84479999996</v>
      </c>
      <c r="M27" s="747">
        <f t="shared" si="2"/>
        <v>668412.71599000902</v>
      </c>
      <c r="N27" s="748">
        <v>62.91</v>
      </c>
      <c r="O27" s="607">
        <f t="shared" si="3"/>
        <v>-286446.84479999996</v>
      </c>
      <c r="P27" s="702">
        <f t="shared" si="4"/>
        <v>668412.71599000902</v>
      </c>
      <c r="Q27" s="748">
        <v>62.91</v>
      </c>
      <c r="R27" s="607">
        <f t="shared" si="5"/>
        <v>-286446.84479999996</v>
      </c>
      <c r="S27" s="702">
        <f t="shared" si="6"/>
        <v>668412.71599000902</v>
      </c>
      <c r="T27" s="696" t="s">
        <v>54</v>
      </c>
    </row>
    <row r="28" spans="1:20" ht="15" customHeight="1" x14ac:dyDescent="0.25">
      <c r="A28" s="690"/>
      <c r="B28" s="691" t="s">
        <v>460</v>
      </c>
      <c r="C28" s="676" t="s">
        <v>40</v>
      </c>
      <c r="D28" s="680">
        <v>44593</v>
      </c>
      <c r="E28" s="676">
        <v>672</v>
      </c>
      <c r="F28" s="676" t="s">
        <v>3</v>
      </c>
      <c r="G28" s="690" t="s">
        <v>44</v>
      </c>
      <c r="H28" s="115">
        <v>-6.12</v>
      </c>
      <c r="I28" s="115">
        <v>209.70806996055788</v>
      </c>
      <c r="J28" s="601">
        <f t="shared" si="0"/>
        <v>862453.79684258881</v>
      </c>
      <c r="K28" s="738">
        <v>55.7</v>
      </c>
      <c r="L28" s="677">
        <f t="shared" si="1"/>
        <v>-229074.04800000004</v>
      </c>
      <c r="M28" s="739">
        <f t="shared" si="2"/>
        <v>633379.74884258874</v>
      </c>
      <c r="N28" s="740">
        <v>55.7</v>
      </c>
      <c r="O28" s="678">
        <f t="shared" si="3"/>
        <v>-229074.04800000004</v>
      </c>
      <c r="P28" s="700">
        <f t="shared" si="4"/>
        <v>633379.74884258874</v>
      </c>
      <c r="Q28" s="740">
        <v>55.7</v>
      </c>
      <c r="R28" s="678">
        <f t="shared" si="5"/>
        <v>-229074.04800000004</v>
      </c>
      <c r="S28" s="700">
        <f t="shared" si="6"/>
        <v>633379.74884258874</v>
      </c>
      <c r="T28" s="691" t="s">
        <v>54</v>
      </c>
    </row>
    <row r="29" spans="1:20" ht="15" customHeight="1" x14ac:dyDescent="0.25">
      <c r="A29" s="690"/>
      <c r="B29" s="691" t="s">
        <v>460</v>
      </c>
      <c r="C29" s="676" t="s">
        <v>40</v>
      </c>
      <c r="D29" s="680">
        <v>44621</v>
      </c>
      <c r="E29" s="676">
        <v>744</v>
      </c>
      <c r="F29" s="676" t="s">
        <v>3</v>
      </c>
      <c r="G29" s="690" t="s">
        <v>44</v>
      </c>
      <c r="H29" s="115">
        <v>-6.12</v>
      </c>
      <c r="I29" s="115">
        <v>209.70806996055788</v>
      </c>
      <c r="J29" s="601">
        <f t="shared" si="0"/>
        <v>954859.56079000898</v>
      </c>
      <c r="K29" s="738">
        <v>55.7</v>
      </c>
      <c r="L29" s="677">
        <f t="shared" si="1"/>
        <v>-253617.696</v>
      </c>
      <c r="M29" s="739">
        <f t="shared" si="2"/>
        <v>701241.86479000899</v>
      </c>
      <c r="N29" s="740">
        <v>55.7</v>
      </c>
      <c r="O29" s="678">
        <f t="shared" si="3"/>
        <v>-253617.696</v>
      </c>
      <c r="P29" s="700">
        <f t="shared" si="4"/>
        <v>701241.86479000899</v>
      </c>
      <c r="Q29" s="740">
        <v>55.7</v>
      </c>
      <c r="R29" s="678">
        <f t="shared" si="5"/>
        <v>-253617.696</v>
      </c>
      <c r="S29" s="700">
        <f t="shared" si="6"/>
        <v>701241.86479000899</v>
      </c>
      <c r="T29" s="691" t="s">
        <v>54</v>
      </c>
    </row>
    <row r="30" spans="1:20" ht="15" customHeight="1" x14ac:dyDescent="0.25">
      <c r="A30" s="690"/>
      <c r="B30" s="691" t="s">
        <v>460</v>
      </c>
      <c r="C30" s="676" t="s">
        <v>40</v>
      </c>
      <c r="D30" s="680">
        <v>44652</v>
      </c>
      <c r="E30" s="676">
        <v>720</v>
      </c>
      <c r="F30" s="676" t="s">
        <v>3</v>
      </c>
      <c r="G30" s="690" t="s">
        <v>44</v>
      </c>
      <c r="H30" s="115">
        <v>-6.12</v>
      </c>
      <c r="I30" s="115">
        <v>209.70806996055788</v>
      </c>
      <c r="J30" s="601">
        <f t="shared" si="0"/>
        <v>924057.63947420218</v>
      </c>
      <c r="K30" s="738">
        <v>55.7</v>
      </c>
      <c r="L30" s="677">
        <f t="shared" si="1"/>
        <v>-245436.47999999998</v>
      </c>
      <c r="M30" s="739">
        <f t="shared" si="2"/>
        <v>678621.1594742022</v>
      </c>
      <c r="N30" s="740">
        <v>55.7</v>
      </c>
      <c r="O30" s="678">
        <f t="shared" si="3"/>
        <v>-245436.47999999998</v>
      </c>
      <c r="P30" s="700">
        <f t="shared" si="4"/>
        <v>678621.1594742022</v>
      </c>
      <c r="Q30" s="740">
        <v>55.7</v>
      </c>
      <c r="R30" s="678">
        <f t="shared" si="5"/>
        <v>-245436.47999999998</v>
      </c>
      <c r="S30" s="700">
        <f t="shared" si="6"/>
        <v>678621.1594742022</v>
      </c>
      <c r="T30" s="691" t="s">
        <v>54</v>
      </c>
    </row>
    <row r="31" spans="1:20" ht="15" customHeight="1" x14ac:dyDescent="0.25">
      <c r="A31" s="690"/>
      <c r="B31" s="691" t="s">
        <v>460</v>
      </c>
      <c r="C31" s="676" t="s">
        <v>40</v>
      </c>
      <c r="D31" s="680">
        <v>44682</v>
      </c>
      <c r="E31" s="676">
        <v>744</v>
      </c>
      <c r="F31" s="676" t="s">
        <v>3</v>
      </c>
      <c r="G31" s="690" t="s">
        <v>44</v>
      </c>
      <c r="H31" s="115">
        <v>-6.12</v>
      </c>
      <c r="I31" s="115">
        <v>209.70806996055788</v>
      </c>
      <c r="J31" s="601">
        <f t="shared" si="0"/>
        <v>954859.56079000898</v>
      </c>
      <c r="K31" s="738">
        <v>55.7</v>
      </c>
      <c r="L31" s="677">
        <f t="shared" si="1"/>
        <v>-253617.696</v>
      </c>
      <c r="M31" s="739">
        <f t="shared" si="2"/>
        <v>701241.86479000899</v>
      </c>
      <c r="N31" s="740">
        <v>55.7</v>
      </c>
      <c r="O31" s="678">
        <f t="shared" si="3"/>
        <v>-253617.696</v>
      </c>
      <c r="P31" s="700">
        <f t="shared" si="4"/>
        <v>701241.86479000899</v>
      </c>
      <c r="Q31" s="740">
        <v>55.7</v>
      </c>
      <c r="R31" s="678">
        <f t="shared" si="5"/>
        <v>-253617.696</v>
      </c>
      <c r="S31" s="700">
        <f t="shared" si="6"/>
        <v>701241.86479000899</v>
      </c>
      <c r="T31" s="691" t="s">
        <v>54</v>
      </c>
    </row>
    <row r="32" spans="1:20" ht="15" customHeight="1" x14ac:dyDescent="0.25">
      <c r="A32" s="690"/>
      <c r="B32" s="691" t="s">
        <v>460</v>
      </c>
      <c r="C32" s="676" t="s">
        <v>40</v>
      </c>
      <c r="D32" s="680">
        <v>44713</v>
      </c>
      <c r="E32" s="676">
        <v>720</v>
      </c>
      <c r="F32" s="676" t="s">
        <v>3</v>
      </c>
      <c r="G32" s="690" t="s">
        <v>44</v>
      </c>
      <c r="H32" s="115">
        <v>-6.12</v>
      </c>
      <c r="I32" s="115">
        <v>209.70806996055788</v>
      </c>
      <c r="J32" s="601">
        <f t="shared" si="0"/>
        <v>924057.63947420218</v>
      </c>
      <c r="K32" s="738">
        <v>55.71</v>
      </c>
      <c r="L32" s="677">
        <f t="shared" si="1"/>
        <v>-245480.54399999999</v>
      </c>
      <c r="M32" s="739">
        <f t="shared" si="2"/>
        <v>678577.09547420219</v>
      </c>
      <c r="N32" s="740">
        <v>55.71</v>
      </c>
      <c r="O32" s="678">
        <f t="shared" si="3"/>
        <v>-245480.54399999999</v>
      </c>
      <c r="P32" s="700">
        <f t="shared" si="4"/>
        <v>678577.09547420219</v>
      </c>
      <c r="Q32" s="740">
        <v>55.71</v>
      </c>
      <c r="R32" s="678">
        <f t="shared" si="5"/>
        <v>-245480.54399999999</v>
      </c>
      <c r="S32" s="700">
        <f t="shared" si="6"/>
        <v>678577.09547420219</v>
      </c>
      <c r="T32" s="691" t="s">
        <v>54</v>
      </c>
    </row>
    <row r="33" spans="1:20" ht="15" customHeight="1" x14ac:dyDescent="0.25">
      <c r="A33" s="690"/>
      <c r="B33" s="691" t="s">
        <v>460</v>
      </c>
      <c r="C33" s="676" t="s">
        <v>40</v>
      </c>
      <c r="D33" s="680">
        <v>44743</v>
      </c>
      <c r="E33" s="676">
        <v>744</v>
      </c>
      <c r="F33" s="676" t="s">
        <v>3</v>
      </c>
      <c r="G33" s="690" t="s">
        <v>44</v>
      </c>
      <c r="H33" s="115">
        <v>-6.12</v>
      </c>
      <c r="I33" s="115">
        <v>209.70806996055788</v>
      </c>
      <c r="J33" s="601">
        <f t="shared" si="0"/>
        <v>954859.56079000898</v>
      </c>
      <c r="K33" s="738">
        <v>66.319999999999993</v>
      </c>
      <c r="L33" s="677">
        <f t="shared" si="1"/>
        <v>-301973.52959999995</v>
      </c>
      <c r="M33" s="739">
        <f t="shared" si="2"/>
        <v>652886.03119000909</v>
      </c>
      <c r="N33" s="740">
        <v>66.319999999999993</v>
      </c>
      <c r="O33" s="678">
        <f t="shared" si="3"/>
        <v>-301973.52959999995</v>
      </c>
      <c r="P33" s="700">
        <f t="shared" si="4"/>
        <v>652886.03119000909</v>
      </c>
      <c r="Q33" s="740">
        <v>66.319999999999993</v>
      </c>
      <c r="R33" s="678">
        <f t="shared" si="5"/>
        <v>-301973.52959999995</v>
      </c>
      <c r="S33" s="700">
        <f t="shared" si="6"/>
        <v>652886.03119000909</v>
      </c>
      <c r="T33" s="691" t="s">
        <v>54</v>
      </c>
    </row>
    <row r="34" spans="1:20" ht="15" customHeight="1" x14ac:dyDescent="0.25">
      <c r="A34" s="690"/>
      <c r="B34" s="691" t="s">
        <v>460</v>
      </c>
      <c r="C34" s="676" t="s">
        <v>40</v>
      </c>
      <c r="D34" s="680">
        <v>44774</v>
      </c>
      <c r="E34" s="676">
        <v>744</v>
      </c>
      <c r="F34" s="676" t="s">
        <v>3</v>
      </c>
      <c r="G34" s="690" t="s">
        <v>44</v>
      </c>
      <c r="H34" s="115">
        <v>-6.12</v>
      </c>
      <c r="I34" s="115">
        <v>209.70806996055788</v>
      </c>
      <c r="J34" s="601">
        <f t="shared" si="0"/>
        <v>954859.56079000898</v>
      </c>
      <c r="K34" s="738">
        <v>76.900000000000006</v>
      </c>
      <c r="L34" s="677">
        <f t="shared" si="1"/>
        <v>-350147.23200000002</v>
      </c>
      <c r="M34" s="739">
        <f t="shared" si="2"/>
        <v>604712.32879000902</v>
      </c>
      <c r="N34" s="740">
        <v>76.900000000000006</v>
      </c>
      <c r="O34" s="678">
        <f t="shared" si="3"/>
        <v>-350147.23200000002</v>
      </c>
      <c r="P34" s="700">
        <f t="shared" si="4"/>
        <v>604712.32879000902</v>
      </c>
      <c r="Q34" s="740">
        <v>76.900000000000006</v>
      </c>
      <c r="R34" s="678">
        <f t="shared" si="5"/>
        <v>-350147.23200000002</v>
      </c>
      <c r="S34" s="700">
        <f t="shared" si="6"/>
        <v>604712.32879000902</v>
      </c>
      <c r="T34" s="691" t="s">
        <v>54</v>
      </c>
    </row>
    <row r="35" spans="1:20" ht="15" customHeight="1" x14ac:dyDescent="0.25">
      <c r="A35" s="690"/>
      <c r="B35" s="691" t="s">
        <v>460</v>
      </c>
      <c r="C35" s="676" t="s">
        <v>40</v>
      </c>
      <c r="D35" s="680">
        <v>44805</v>
      </c>
      <c r="E35" s="676">
        <v>720</v>
      </c>
      <c r="F35" s="676" t="s">
        <v>3</v>
      </c>
      <c r="G35" s="690" t="s">
        <v>44</v>
      </c>
      <c r="H35" s="115">
        <v>-6.12</v>
      </c>
      <c r="I35" s="115">
        <v>209.70806996055788</v>
      </c>
      <c r="J35" s="601">
        <f t="shared" si="0"/>
        <v>924057.63947420218</v>
      </c>
      <c r="K35" s="738">
        <v>56.08</v>
      </c>
      <c r="L35" s="677">
        <f t="shared" si="1"/>
        <v>-247110.91199999998</v>
      </c>
      <c r="M35" s="739">
        <f t="shared" si="2"/>
        <v>676946.72747420217</v>
      </c>
      <c r="N35" s="740">
        <v>56.08</v>
      </c>
      <c r="O35" s="678">
        <f t="shared" si="3"/>
        <v>-247110.91199999998</v>
      </c>
      <c r="P35" s="700">
        <f t="shared" si="4"/>
        <v>676946.72747420217</v>
      </c>
      <c r="Q35" s="740">
        <v>56.08</v>
      </c>
      <c r="R35" s="678">
        <f t="shared" si="5"/>
        <v>-247110.91199999998</v>
      </c>
      <c r="S35" s="700">
        <f t="shared" si="6"/>
        <v>676946.72747420217</v>
      </c>
      <c r="T35" s="691" t="s">
        <v>54</v>
      </c>
    </row>
    <row r="36" spans="1:20" ht="15" customHeight="1" x14ac:dyDescent="0.25">
      <c r="A36" s="690"/>
      <c r="B36" s="691" t="s">
        <v>460</v>
      </c>
      <c r="C36" s="676" t="s">
        <v>40</v>
      </c>
      <c r="D36" s="680">
        <v>44835</v>
      </c>
      <c r="E36" s="676">
        <v>744</v>
      </c>
      <c r="F36" s="676" t="s">
        <v>3</v>
      </c>
      <c r="G36" s="690" t="s">
        <v>44</v>
      </c>
      <c r="H36" s="115">
        <v>-6.12</v>
      </c>
      <c r="I36" s="115">
        <v>209.70806996055788</v>
      </c>
      <c r="J36" s="601">
        <f t="shared" si="0"/>
        <v>954859.56079000898</v>
      </c>
      <c r="K36" s="738">
        <v>55.7</v>
      </c>
      <c r="L36" s="677">
        <f t="shared" si="1"/>
        <v>-253617.696</v>
      </c>
      <c r="M36" s="739">
        <f t="shared" si="2"/>
        <v>701241.86479000899</v>
      </c>
      <c r="N36" s="740">
        <v>55.7</v>
      </c>
      <c r="O36" s="678">
        <f t="shared" si="3"/>
        <v>-253617.696</v>
      </c>
      <c r="P36" s="700">
        <f t="shared" si="4"/>
        <v>701241.86479000899</v>
      </c>
      <c r="Q36" s="740">
        <v>55.7</v>
      </c>
      <c r="R36" s="678">
        <f t="shared" si="5"/>
        <v>-253617.696</v>
      </c>
      <c r="S36" s="700">
        <f t="shared" si="6"/>
        <v>701241.86479000899</v>
      </c>
      <c r="T36" s="691" t="s">
        <v>54</v>
      </c>
    </row>
    <row r="37" spans="1:20" ht="15" customHeight="1" x14ac:dyDescent="0.25">
      <c r="A37" s="690"/>
      <c r="B37" s="691" t="s">
        <v>460</v>
      </c>
      <c r="C37" s="676" t="s">
        <v>40</v>
      </c>
      <c r="D37" s="680">
        <v>44866</v>
      </c>
      <c r="E37" s="676">
        <v>720</v>
      </c>
      <c r="F37" s="676" t="s">
        <v>3</v>
      </c>
      <c r="G37" s="690" t="s">
        <v>44</v>
      </c>
      <c r="H37" s="115">
        <v>-6.12</v>
      </c>
      <c r="I37" s="115">
        <v>209.70806996055788</v>
      </c>
      <c r="J37" s="601">
        <f t="shared" si="0"/>
        <v>924057.63947420218</v>
      </c>
      <c r="K37" s="738">
        <v>55.7</v>
      </c>
      <c r="L37" s="677">
        <f t="shared" si="1"/>
        <v>-245436.47999999998</v>
      </c>
      <c r="M37" s="739">
        <f t="shared" si="2"/>
        <v>678621.1594742022</v>
      </c>
      <c r="N37" s="740">
        <v>55.7</v>
      </c>
      <c r="O37" s="678">
        <f t="shared" si="3"/>
        <v>-245436.47999999998</v>
      </c>
      <c r="P37" s="700">
        <f t="shared" si="4"/>
        <v>678621.1594742022</v>
      </c>
      <c r="Q37" s="740">
        <v>55.7</v>
      </c>
      <c r="R37" s="678">
        <f t="shared" si="5"/>
        <v>-245436.47999999998</v>
      </c>
      <c r="S37" s="700">
        <f t="shared" si="6"/>
        <v>678621.1594742022</v>
      </c>
      <c r="T37" s="691" t="s">
        <v>54</v>
      </c>
    </row>
    <row r="38" spans="1:20" ht="15" customHeight="1" x14ac:dyDescent="0.25">
      <c r="A38" s="690"/>
      <c r="B38" s="695" t="s">
        <v>460</v>
      </c>
      <c r="C38" s="545" t="s">
        <v>40</v>
      </c>
      <c r="D38" s="681">
        <v>44896</v>
      </c>
      <c r="E38" s="545">
        <v>744</v>
      </c>
      <c r="F38" s="545" t="s">
        <v>3</v>
      </c>
      <c r="G38" s="725" t="s">
        <v>44</v>
      </c>
      <c r="H38" s="548">
        <v>-6.12</v>
      </c>
      <c r="I38" s="548">
        <v>209.70806996055788</v>
      </c>
      <c r="J38" s="602">
        <f t="shared" si="0"/>
        <v>954859.56079000898</v>
      </c>
      <c r="K38" s="742">
        <v>55.7</v>
      </c>
      <c r="L38" s="603">
        <f t="shared" si="1"/>
        <v>-253617.696</v>
      </c>
      <c r="M38" s="743">
        <f t="shared" si="2"/>
        <v>701241.86479000899</v>
      </c>
      <c r="N38" s="744">
        <v>55.7</v>
      </c>
      <c r="O38" s="604">
        <f t="shared" si="3"/>
        <v>-253617.696</v>
      </c>
      <c r="P38" s="701">
        <f t="shared" si="4"/>
        <v>701241.86479000899</v>
      </c>
      <c r="Q38" s="744">
        <v>78.400653594793155</v>
      </c>
      <c r="R38" s="604">
        <f t="shared" si="5"/>
        <v>-356980.12800009974</v>
      </c>
      <c r="S38" s="701">
        <f t="shared" si="6"/>
        <v>597879.43278990919</v>
      </c>
      <c r="T38" s="695" t="s">
        <v>54</v>
      </c>
    </row>
    <row r="39" spans="1:20" ht="15" customHeight="1" x14ac:dyDescent="0.25">
      <c r="A39" s="690"/>
      <c r="B39" s="696" t="s">
        <v>660</v>
      </c>
      <c r="C39" s="546" t="s">
        <v>534</v>
      </c>
      <c r="D39" s="682">
        <v>44562</v>
      </c>
      <c r="E39" s="546">
        <v>744</v>
      </c>
      <c r="F39" s="546" t="s">
        <v>3</v>
      </c>
      <c r="G39" s="726" t="s">
        <v>13</v>
      </c>
      <c r="H39" s="549">
        <v>8</v>
      </c>
      <c r="I39" s="549">
        <v>325.21869272209017</v>
      </c>
      <c r="J39" s="605">
        <f t="shared" si="0"/>
        <v>-1935701.6590818807</v>
      </c>
      <c r="K39" s="746">
        <v>57.22</v>
      </c>
      <c r="L39" s="606">
        <f t="shared" si="1"/>
        <v>340573.44</v>
      </c>
      <c r="M39" s="747">
        <f t="shared" si="2"/>
        <v>-1595128.2190818808</v>
      </c>
      <c r="N39" s="748">
        <v>57.22</v>
      </c>
      <c r="O39" s="607">
        <f t="shared" si="3"/>
        <v>340573.44</v>
      </c>
      <c r="P39" s="702">
        <f t="shared" si="4"/>
        <v>-1595128.2190818808</v>
      </c>
      <c r="Q39" s="748">
        <v>57.22</v>
      </c>
      <c r="R39" s="607">
        <f t="shared" si="5"/>
        <v>340573.44</v>
      </c>
      <c r="S39" s="702">
        <f t="shared" si="6"/>
        <v>-1595128.2190818808</v>
      </c>
      <c r="T39" s="696" t="s">
        <v>54</v>
      </c>
    </row>
    <row r="40" spans="1:20" ht="15" customHeight="1" x14ac:dyDescent="0.25">
      <c r="A40" s="690"/>
      <c r="B40" s="691" t="s">
        <v>660</v>
      </c>
      <c r="C40" s="676" t="s">
        <v>534</v>
      </c>
      <c r="D40" s="680">
        <v>44593</v>
      </c>
      <c r="E40" s="676">
        <v>672</v>
      </c>
      <c r="F40" s="676" t="s">
        <v>3</v>
      </c>
      <c r="G40" s="690" t="s">
        <v>13</v>
      </c>
      <c r="H40" s="115">
        <v>8</v>
      </c>
      <c r="I40" s="115">
        <v>325.21869272209017</v>
      </c>
      <c r="J40" s="601">
        <f t="shared" si="0"/>
        <v>-1748375.6920739568</v>
      </c>
      <c r="K40" s="738">
        <v>55.7</v>
      </c>
      <c r="L40" s="677">
        <f t="shared" si="1"/>
        <v>299443.20000000001</v>
      </c>
      <c r="M40" s="739">
        <f t="shared" si="2"/>
        <v>-1448932.4920739569</v>
      </c>
      <c r="N40" s="740">
        <v>55.7</v>
      </c>
      <c r="O40" s="678">
        <f t="shared" si="3"/>
        <v>299443.20000000001</v>
      </c>
      <c r="P40" s="700">
        <f t="shared" si="4"/>
        <v>-1448932.4920739569</v>
      </c>
      <c r="Q40" s="740">
        <v>55.7</v>
      </c>
      <c r="R40" s="678">
        <f t="shared" si="5"/>
        <v>299443.20000000001</v>
      </c>
      <c r="S40" s="700">
        <f t="shared" si="6"/>
        <v>-1448932.4920739569</v>
      </c>
      <c r="T40" s="691" t="s">
        <v>54</v>
      </c>
    </row>
    <row r="41" spans="1:20" ht="15" customHeight="1" x14ac:dyDescent="0.25">
      <c r="A41" s="690"/>
      <c r="B41" s="691" t="s">
        <v>660</v>
      </c>
      <c r="C41" s="676" t="s">
        <v>534</v>
      </c>
      <c r="D41" s="680">
        <v>44621</v>
      </c>
      <c r="E41" s="676">
        <v>744</v>
      </c>
      <c r="F41" s="676" t="s">
        <v>3</v>
      </c>
      <c r="G41" s="690" t="s">
        <v>13</v>
      </c>
      <c r="H41" s="115">
        <v>8</v>
      </c>
      <c r="I41" s="115">
        <v>325.21869272209017</v>
      </c>
      <c r="J41" s="601">
        <f t="shared" si="0"/>
        <v>-1935701.6590818807</v>
      </c>
      <c r="K41" s="738">
        <v>55.7</v>
      </c>
      <c r="L41" s="677">
        <f t="shared" si="1"/>
        <v>331526.40000000002</v>
      </c>
      <c r="M41" s="739">
        <f t="shared" si="2"/>
        <v>-1604175.2590818806</v>
      </c>
      <c r="N41" s="740">
        <v>55.7</v>
      </c>
      <c r="O41" s="678">
        <f t="shared" si="3"/>
        <v>331526.40000000002</v>
      </c>
      <c r="P41" s="700">
        <f t="shared" si="4"/>
        <v>-1604175.2590818806</v>
      </c>
      <c r="Q41" s="740">
        <v>55.7</v>
      </c>
      <c r="R41" s="678">
        <f t="shared" si="5"/>
        <v>331526.40000000002</v>
      </c>
      <c r="S41" s="700">
        <f t="shared" si="6"/>
        <v>-1604175.2590818806</v>
      </c>
      <c r="T41" s="691" t="s">
        <v>54</v>
      </c>
    </row>
    <row r="42" spans="1:20" ht="15" customHeight="1" x14ac:dyDescent="0.25">
      <c r="A42" s="690"/>
      <c r="B42" s="691" t="s">
        <v>660</v>
      </c>
      <c r="C42" s="676" t="s">
        <v>534</v>
      </c>
      <c r="D42" s="680">
        <v>44652</v>
      </c>
      <c r="E42" s="676">
        <v>720</v>
      </c>
      <c r="F42" s="676" t="s">
        <v>3</v>
      </c>
      <c r="G42" s="690" t="s">
        <v>13</v>
      </c>
      <c r="H42" s="115">
        <v>8</v>
      </c>
      <c r="I42" s="115">
        <v>325.21869272209017</v>
      </c>
      <c r="J42" s="601">
        <f t="shared" si="0"/>
        <v>-1873259.6700792394</v>
      </c>
      <c r="K42" s="738">
        <v>55.7</v>
      </c>
      <c r="L42" s="677">
        <f t="shared" si="1"/>
        <v>320832</v>
      </c>
      <c r="M42" s="739">
        <f t="shared" si="2"/>
        <v>-1552427.6700792394</v>
      </c>
      <c r="N42" s="740">
        <v>55.7</v>
      </c>
      <c r="O42" s="678">
        <f t="shared" si="3"/>
        <v>320832</v>
      </c>
      <c r="P42" s="700">
        <f t="shared" si="4"/>
        <v>-1552427.6700792394</v>
      </c>
      <c r="Q42" s="740">
        <v>55.7</v>
      </c>
      <c r="R42" s="678">
        <f t="shared" si="5"/>
        <v>320832</v>
      </c>
      <c r="S42" s="700">
        <f t="shared" si="6"/>
        <v>-1552427.6700792394</v>
      </c>
      <c r="T42" s="691" t="s">
        <v>54</v>
      </c>
    </row>
    <row r="43" spans="1:20" ht="15" customHeight="1" x14ac:dyDescent="0.25">
      <c r="A43" s="690"/>
      <c r="B43" s="691" t="s">
        <v>660</v>
      </c>
      <c r="C43" s="676" t="s">
        <v>534</v>
      </c>
      <c r="D43" s="680">
        <v>44682</v>
      </c>
      <c r="E43" s="676">
        <v>744</v>
      </c>
      <c r="F43" s="676" t="s">
        <v>3</v>
      </c>
      <c r="G43" s="690" t="s">
        <v>13</v>
      </c>
      <c r="H43" s="115">
        <v>8</v>
      </c>
      <c r="I43" s="115">
        <v>325.21869272209017</v>
      </c>
      <c r="J43" s="601">
        <f t="shared" si="0"/>
        <v>-1935701.6590818807</v>
      </c>
      <c r="K43" s="738">
        <v>55.7</v>
      </c>
      <c r="L43" s="677">
        <f t="shared" si="1"/>
        <v>331526.40000000002</v>
      </c>
      <c r="M43" s="739">
        <f t="shared" si="2"/>
        <v>-1604175.2590818806</v>
      </c>
      <c r="N43" s="740">
        <v>55.7</v>
      </c>
      <c r="O43" s="678">
        <f t="shared" si="3"/>
        <v>331526.40000000002</v>
      </c>
      <c r="P43" s="700">
        <f t="shared" si="4"/>
        <v>-1604175.2590818806</v>
      </c>
      <c r="Q43" s="740">
        <v>55.7</v>
      </c>
      <c r="R43" s="678">
        <f t="shared" si="5"/>
        <v>331526.40000000002</v>
      </c>
      <c r="S43" s="700">
        <f t="shared" si="6"/>
        <v>-1604175.2590818806</v>
      </c>
      <c r="T43" s="691" t="s">
        <v>54</v>
      </c>
    </row>
    <row r="44" spans="1:20" ht="15" customHeight="1" x14ac:dyDescent="0.25">
      <c r="A44" s="690"/>
      <c r="B44" s="691" t="s">
        <v>660</v>
      </c>
      <c r="C44" s="676" t="s">
        <v>534</v>
      </c>
      <c r="D44" s="680">
        <v>44713</v>
      </c>
      <c r="E44" s="676">
        <v>720</v>
      </c>
      <c r="F44" s="676" t="s">
        <v>3</v>
      </c>
      <c r="G44" s="690" t="s">
        <v>13</v>
      </c>
      <c r="H44" s="115">
        <v>8</v>
      </c>
      <c r="I44" s="115">
        <v>325.21869272209017</v>
      </c>
      <c r="J44" s="601">
        <f t="shared" si="0"/>
        <v>-1873259.6700792394</v>
      </c>
      <c r="K44" s="738">
        <v>55.71</v>
      </c>
      <c r="L44" s="677">
        <f t="shared" si="1"/>
        <v>320889.59999999998</v>
      </c>
      <c r="M44" s="739">
        <f t="shared" si="2"/>
        <v>-1552370.0700792396</v>
      </c>
      <c r="N44" s="740">
        <v>55.71</v>
      </c>
      <c r="O44" s="678">
        <f t="shared" si="3"/>
        <v>320889.59999999998</v>
      </c>
      <c r="P44" s="700">
        <f t="shared" si="4"/>
        <v>-1552370.0700792396</v>
      </c>
      <c r="Q44" s="740">
        <v>55.71</v>
      </c>
      <c r="R44" s="678">
        <f t="shared" si="5"/>
        <v>320889.59999999998</v>
      </c>
      <c r="S44" s="700">
        <f t="shared" si="6"/>
        <v>-1552370.0700792396</v>
      </c>
      <c r="T44" s="691" t="s">
        <v>54</v>
      </c>
    </row>
    <row r="45" spans="1:20" ht="15" customHeight="1" x14ac:dyDescent="0.25">
      <c r="A45" s="690"/>
      <c r="B45" s="691" t="s">
        <v>660</v>
      </c>
      <c r="C45" s="676" t="s">
        <v>534</v>
      </c>
      <c r="D45" s="680">
        <v>44743</v>
      </c>
      <c r="E45" s="676">
        <v>744</v>
      </c>
      <c r="F45" s="676" t="s">
        <v>3</v>
      </c>
      <c r="G45" s="690" t="s">
        <v>13</v>
      </c>
      <c r="H45" s="115">
        <v>8</v>
      </c>
      <c r="I45" s="115">
        <v>325.21869272209017</v>
      </c>
      <c r="J45" s="601">
        <f t="shared" si="0"/>
        <v>-1935701.6590818807</v>
      </c>
      <c r="K45" s="738">
        <v>66.319999999999993</v>
      </c>
      <c r="L45" s="677">
        <f t="shared" si="1"/>
        <v>394736.63999999996</v>
      </c>
      <c r="M45" s="739">
        <f t="shared" si="2"/>
        <v>-1540965.0190818808</v>
      </c>
      <c r="N45" s="740">
        <v>66.319999999999993</v>
      </c>
      <c r="O45" s="678">
        <f t="shared" si="3"/>
        <v>394736.63999999996</v>
      </c>
      <c r="P45" s="700">
        <f t="shared" si="4"/>
        <v>-1540965.0190818808</v>
      </c>
      <c r="Q45" s="740">
        <v>66.319999999999993</v>
      </c>
      <c r="R45" s="678">
        <f t="shared" si="5"/>
        <v>394736.63999999996</v>
      </c>
      <c r="S45" s="700">
        <f t="shared" si="6"/>
        <v>-1540965.0190818808</v>
      </c>
      <c r="T45" s="691" t="s">
        <v>54</v>
      </c>
    </row>
    <row r="46" spans="1:20" ht="15" customHeight="1" x14ac:dyDescent="0.25">
      <c r="A46" s="690"/>
      <c r="B46" s="691" t="s">
        <v>660</v>
      </c>
      <c r="C46" s="676" t="s">
        <v>534</v>
      </c>
      <c r="D46" s="680">
        <v>44774</v>
      </c>
      <c r="E46" s="676">
        <v>744</v>
      </c>
      <c r="F46" s="676" t="s">
        <v>3</v>
      </c>
      <c r="G46" s="690" t="s">
        <v>13</v>
      </c>
      <c r="H46" s="115">
        <v>8</v>
      </c>
      <c r="I46" s="115">
        <v>325.21869272209017</v>
      </c>
      <c r="J46" s="601">
        <f t="shared" si="0"/>
        <v>-1935701.6590818807</v>
      </c>
      <c r="K46" s="738">
        <v>76.900000000000006</v>
      </c>
      <c r="L46" s="677">
        <f t="shared" si="1"/>
        <v>457708.80000000005</v>
      </c>
      <c r="M46" s="739">
        <f t="shared" si="2"/>
        <v>-1477992.8590818807</v>
      </c>
      <c r="N46" s="740">
        <v>76.900000000000006</v>
      </c>
      <c r="O46" s="678">
        <f t="shared" si="3"/>
        <v>457708.80000000005</v>
      </c>
      <c r="P46" s="700">
        <f t="shared" si="4"/>
        <v>-1477992.8590818807</v>
      </c>
      <c r="Q46" s="740">
        <v>76.900000000000006</v>
      </c>
      <c r="R46" s="678">
        <f t="shared" si="5"/>
        <v>457708.80000000005</v>
      </c>
      <c r="S46" s="700">
        <f t="shared" si="6"/>
        <v>-1477992.8590818807</v>
      </c>
      <c r="T46" s="691" t="s">
        <v>54</v>
      </c>
    </row>
    <row r="47" spans="1:20" ht="15" customHeight="1" x14ac:dyDescent="0.25">
      <c r="A47" s="690"/>
      <c r="B47" s="691" t="s">
        <v>660</v>
      </c>
      <c r="C47" s="676" t="s">
        <v>534</v>
      </c>
      <c r="D47" s="680">
        <v>44805</v>
      </c>
      <c r="E47" s="676">
        <v>720</v>
      </c>
      <c r="F47" s="676" t="s">
        <v>3</v>
      </c>
      <c r="G47" s="690" t="s">
        <v>13</v>
      </c>
      <c r="H47" s="115">
        <v>8</v>
      </c>
      <c r="I47" s="115">
        <v>325.21869272209017</v>
      </c>
      <c r="J47" s="601">
        <f t="shared" si="0"/>
        <v>-1873259.6700792394</v>
      </c>
      <c r="K47" s="738">
        <v>56.08</v>
      </c>
      <c r="L47" s="677">
        <f t="shared" si="1"/>
        <v>323020.79999999999</v>
      </c>
      <c r="M47" s="739">
        <f t="shared" si="2"/>
        <v>-1550238.8700792394</v>
      </c>
      <c r="N47" s="740">
        <v>56.08</v>
      </c>
      <c r="O47" s="678">
        <f t="shared" si="3"/>
        <v>323020.79999999999</v>
      </c>
      <c r="P47" s="700">
        <f t="shared" si="4"/>
        <v>-1550238.8700792394</v>
      </c>
      <c r="Q47" s="740">
        <v>56.08</v>
      </c>
      <c r="R47" s="678">
        <f t="shared" si="5"/>
        <v>323020.79999999999</v>
      </c>
      <c r="S47" s="700">
        <f t="shared" si="6"/>
        <v>-1550238.8700792394</v>
      </c>
      <c r="T47" s="691" t="s">
        <v>54</v>
      </c>
    </row>
    <row r="48" spans="1:20" ht="15" customHeight="1" x14ac:dyDescent="0.25">
      <c r="A48" s="690"/>
      <c r="B48" s="691" t="s">
        <v>660</v>
      </c>
      <c r="C48" s="676" t="s">
        <v>534</v>
      </c>
      <c r="D48" s="680">
        <v>44835</v>
      </c>
      <c r="E48" s="676">
        <v>744</v>
      </c>
      <c r="F48" s="676" t="s">
        <v>3</v>
      </c>
      <c r="G48" s="690" t="s">
        <v>13</v>
      </c>
      <c r="H48" s="115">
        <v>8</v>
      </c>
      <c r="I48" s="115">
        <v>325.21869272209017</v>
      </c>
      <c r="J48" s="601">
        <f t="shared" si="0"/>
        <v>-1935701.6590818807</v>
      </c>
      <c r="K48" s="738">
        <v>55.7</v>
      </c>
      <c r="L48" s="677">
        <f t="shared" si="1"/>
        <v>331526.40000000002</v>
      </c>
      <c r="M48" s="739">
        <f t="shared" si="2"/>
        <v>-1604175.2590818806</v>
      </c>
      <c r="N48" s="740">
        <v>55.7</v>
      </c>
      <c r="O48" s="678">
        <f t="shared" si="3"/>
        <v>331526.40000000002</v>
      </c>
      <c r="P48" s="700">
        <f t="shared" si="4"/>
        <v>-1604175.2590818806</v>
      </c>
      <c r="Q48" s="740">
        <v>55.7</v>
      </c>
      <c r="R48" s="678">
        <f t="shared" si="5"/>
        <v>331526.40000000002</v>
      </c>
      <c r="S48" s="700">
        <f t="shared" si="6"/>
        <v>-1604175.2590818806</v>
      </c>
      <c r="T48" s="691" t="s">
        <v>54</v>
      </c>
    </row>
    <row r="49" spans="1:20" ht="15" customHeight="1" x14ac:dyDescent="0.25">
      <c r="A49" s="690"/>
      <c r="B49" s="691" t="s">
        <v>660</v>
      </c>
      <c r="C49" s="676" t="s">
        <v>534</v>
      </c>
      <c r="D49" s="680">
        <v>44866</v>
      </c>
      <c r="E49" s="676">
        <v>720</v>
      </c>
      <c r="F49" s="676" t="s">
        <v>3</v>
      </c>
      <c r="G49" s="690" t="s">
        <v>13</v>
      </c>
      <c r="H49" s="115">
        <v>8</v>
      </c>
      <c r="I49" s="115">
        <v>325.21869272209017</v>
      </c>
      <c r="J49" s="601">
        <f t="shared" si="0"/>
        <v>-1873259.6700792394</v>
      </c>
      <c r="K49" s="738">
        <v>55.7</v>
      </c>
      <c r="L49" s="677">
        <f t="shared" si="1"/>
        <v>320832</v>
      </c>
      <c r="M49" s="739">
        <f t="shared" si="2"/>
        <v>-1552427.6700792394</v>
      </c>
      <c r="N49" s="740">
        <v>55.7</v>
      </c>
      <c r="O49" s="678">
        <f t="shared" si="3"/>
        <v>320832</v>
      </c>
      <c r="P49" s="700">
        <f t="shared" si="4"/>
        <v>-1552427.6700792394</v>
      </c>
      <c r="Q49" s="740">
        <v>55.7</v>
      </c>
      <c r="R49" s="678">
        <f t="shared" si="5"/>
        <v>320832</v>
      </c>
      <c r="S49" s="700">
        <f t="shared" si="6"/>
        <v>-1552427.6700792394</v>
      </c>
      <c r="T49" s="691" t="s">
        <v>54</v>
      </c>
    </row>
    <row r="50" spans="1:20" ht="15" customHeight="1" x14ac:dyDescent="0.25">
      <c r="A50" s="690"/>
      <c r="B50" s="695" t="s">
        <v>660</v>
      </c>
      <c r="C50" s="545" t="s">
        <v>534</v>
      </c>
      <c r="D50" s="681">
        <v>44896</v>
      </c>
      <c r="E50" s="545">
        <v>744</v>
      </c>
      <c r="F50" s="545" t="s">
        <v>3</v>
      </c>
      <c r="G50" s="725" t="s">
        <v>13</v>
      </c>
      <c r="H50" s="548">
        <v>8</v>
      </c>
      <c r="I50" s="548">
        <v>325.21869272209017</v>
      </c>
      <c r="J50" s="602">
        <f t="shared" si="0"/>
        <v>-1935701.6590818807</v>
      </c>
      <c r="K50" s="742">
        <v>55.7</v>
      </c>
      <c r="L50" s="603">
        <f t="shared" si="1"/>
        <v>331526.40000000002</v>
      </c>
      <c r="M50" s="743">
        <f t="shared" si="2"/>
        <v>-1604175.2590818806</v>
      </c>
      <c r="N50" s="744">
        <v>55.7</v>
      </c>
      <c r="O50" s="604">
        <f t="shared" si="3"/>
        <v>331526.40000000002</v>
      </c>
      <c r="P50" s="701">
        <f t="shared" si="4"/>
        <v>-1604175.2590818806</v>
      </c>
      <c r="Q50" s="744">
        <v>78.400653594793155</v>
      </c>
      <c r="R50" s="604">
        <f t="shared" si="5"/>
        <v>466640.69019620889</v>
      </c>
      <c r="S50" s="701">
        <f t="shared" si="6"/>
        <v>-1469060.9688856718</v>
      </c>
      <c r="T50" s="695" t="s">
        <v>54</v>
      </c>
    </row>
    <row r="51" spans="1:20" ht="15" customHeight="1" x14ac:dyDescent="0.25">
      <c r="A51" s="690"/>
      <c r="B51" s="696" t="s">
        <v>662</v>
      </c>
      <c r="C51" s="546" t="s">
        <v>534</v>
      </c>
      <c r="D51" s="682">
        <v>44562</v>
      </c>
      <c r="E51" s="546">
        <v>744</v>
      </c>
      <c r="F51" s="546" t="s">
        <v>3</v>
      </c>
      <c r="G51" s="726" t="s">
        <v>13</v>
      </c>
      <c r="H51" s="549">
        <v>4</v>
      </c>
      <c r="I51" s="549">
        <v>325.21869272209017</v>
      </c>
      <c r="J51" s="605">
        <f t="shared" si="0"/>
        <v>-967850.82954094035</v>
      </c>
      <c r="K51" s="746">
        <v>57.22</v>
      </c>
      <c r="L51" s="606">
        <f t="shared" si="1"/>
        <v>170286.72</v>
      </c>
      <c r="M51" s="747">
        <f t="shared" si="2"/>
        <v>-797564.10954094038</v>
      </c>
      <c r="N51" s="748">
        <v>57.22</v>
      </c>
      <c r="O51" s="607">
        <f t="shared" si="3"/>
        <v>170286.72</v>
      </c>
      <c r="P51" s="702">
        <f t="shared" si="4"/>
        <v>-797564.10954094038</v>
      </c>
      <c r="Q51" s="748">
        <v>57.22</v>
      </c>
      <c r="R51" s="607">
        <f t="shared" si="5"/>
        <v>170286.72</v>
      </c>
      <c r="S51" s="702">
        <f t="shared" si="6"/>
        <v>-797564.10954094038</v>
      </c>
      <c r="T51" s="696" t="s">
        <v>54</v>
      </c>
    </row>
    <row r="52" spans="1:20" ht="15" customHeight="1" x14ac:dyDescent="0.25">
      <c r="A52" s="690"/>
      <c r="B52" s="691" t="s">
        <v>662</v>
      </c>
      <c r="C52" s="676" t="s">
        <v>534</v>
      </c>
      <c r="D52" s="680">
        <v>44593</v>
      </c>
      <c r="E52" s="676">
        <v>672</v>
      </c>
      <c r="F52" s="676" t="s">
        <v>3</v>
      </c>
      <c r="G52" s="690" t="s">
        <v>13</v>
      </c>
      <c r="H52" s="115">
        <v>4</v>
      </c>
      <c r="I52" s="115">
        <v>325.21869272209017</v>
      </c>
      <c r="J52" s="601">
        <f t="shared" si="0"/>
        <v>-874187.84603697842</v>
      </c>
      <c r="K52" s="738">
        <v>55.7</v>
      </c>
      <c r="L52" s="677">
        <f t="shared" si="1"/>
        <v>149721.60000000001</v>
      </c>
      <c r="M52" s="739">
        <f t="shared" si="2"/>
        <v>-724466.24603697844</v>
      </c>
      <c r="N52" s="740">
        <v>55.7</v>
      </c>
      <c r="O52" s="678">
        <f t="shared" si="3"/>
        <v>149721.60000000001</v>
      </c>
      <c r="P52" s="700">
        <f t="shared" si="4"/>
        <v>-724466.24603697844</v>
      </c>
      <c r="Q52" s="740">
        <v>55.7</v>
      </c>
      <c r="R52" s="678">
        <f t="shared" si="5"/>
        <v>149721.60000000001</v>
      </c>
      <c r="S52" s="700">
        <f t="shared" si="6"/>
        <v>-724466.24603697844</v>
      </c>
      <c r="T52" s="691" t="s">
        <v>54</v>
      </c>
    </row>
    <row r="53" spans="1:20" ht="15" customHeight="1" x14ac:dyDescent="0.25">
      <c r="A53" s="690"/>
      <c r="B53" s="691" t="s">
        <v>662</v>
      </c>
      <c r="C53" s="676" t="s">
        <v>534</v>
      </c>
      <c r="D53" s="680">
        <v>44621</v>
      </c>
      <c r="E53" s="676">
        <v>744</v>
      </c>
      <c r="F53" s="676" t="s">
        <v>3</v>
      </c>
      <c r="G53" s="690" t="s">
        <v>13</v>
      </c>
      <c r="H53" s="115">
        <v>4</v>
      </c>
      <c r="I53" s="115">
        <v>325.21869272209017</v>
      </c>
      <c r="J53" s="601">
        <f t="shared" si="0"/>
        <v>-967850.82954094035</v>
      </c>
      <c r="K53" s="738">
        <v>55.7</v>
      </c>
      <c r="L53" s="677">
        <f t="shared" si="1"/>
        <v>165763.20000000001</v>
      </c>
      <c r="M53" s="739">
        <f t="shared" si="2"/>
        <v>-802087.62954094028</v>
      </c>
      <c r="N53" s="740">
        <v>55.7</v>
      </c>
      <c r="O53" s="678">
        <f t="shared" si="3"/>
        <v>165763.20000000001</v>
      </c>
      <c r="P53" s="700">
        <f t="shared" si="4"/>
        <v>-802087.62954094028</v>
      </c>
      <c r="Q53" s="740">
        <v>55.7</v>
      </c>
      <c r="R53" s="678">
        <f t="shared" si="5"/>
        <v>165763.20000000001</v>
      </c>
      <c r="S53" s="700">
        <f t="shared" si="6"/>
        <v>-802087.62954094028</v>
      </c>
      <c r="T53" s="691" t="s">
        <v>54</v>
      </c>
    </row>
    <row r="54" spans="1:20" ht="15" customHeight="1" x14ac:dyDescent="0.25">
      <c r="A54" s="690"/>
      <c r="B54" s="691" t="s">
        <v>662</v>
      </c>
      <c r="C54" s="676" t="s">
        <v>534</v>
      </c>
      <c r="D54" s="680">
        <v>44652</v>
      </c>
      <c r="E54" s="676">
        <v>720</v>
      </c>
      <c r="F54" s="676" t="s">
        <v>3</v>
      </c>
      <c r="G54" s="690" t="s">
        <v>13</v>
      </c>
      <c r="H54" s="115">
        <v>4</v>
      </c>
      <c r="I54" s="115">
        <v>325.21869272209017</v>
      </c>
      <c r="J54" s="601">
        <f t="shared" si="0"/>
        <v>-936629.83503961971</v>
      </c>
      <c r="K54" s="738">
        <v>55.7</v>
      </c>
      <c r="L54" s="677">
        <f t="shared" si="1"/>
        <v>160416</v>
      </c>
      <c r="M54" s="739">
        <f t="shared" si="2"/>
        <v>-776213.83503961971</v>
      </c>
      <c r="N54" s="740">
        <v>55.7</v>
      </c>
      <c r="O54" s="678">
        <f t="shared" si="3"/>
        <v>160416</v>
      </c>
      <c r="P54" s="700">
        <f t="shared" si="4"/>
        <v>-776213.83503961971</v>
      </c>
      <c r="Q54" s="740">
        <v>55.7</v>
      </c>
      <c r="R54" s="678">
        <f t="shared" si="5"/>
        <v>160416</v>
      </c>
      <c r="S54" s="700">
        <f t="shared" si="6"/>
        <v>-776213.83503961971</v>
      </c>
      <c r="T54" s="691" t="s">
        <v>54</v>
      </c>
    </row>
    <row r="55" spans="1:20" ht="15" customHeight="1" x14ac:dyDescent="0.25">
      <c r="A55" s="690"/>
      <c r="B55" s="691" t="s">
        <v>662</v>
      </c>
      <c r="C55" s="676" t="s">
        <v>534</v>
      </c>
      <c r="D55" s="680">
        <v>44682</v>
      </c>
      <c r="E55" s="676">
        <v>744</v>
      </c>
      <c r="F55" s="676" t="s">
        <v>3</v>
      </c>
      <c r="G55" s="690" t="s">
        <v>13</v>
      </c>
      <c r="H55" s="115">
        <v>4</v>
      </c>
      <c r="I55" s="115">
        <v>325.21869272209017</v>
      </c>
      <c r="J55" s="601">
        <f t="shared" si="0"/>
        <v>-967850.82954094035</v>
      </c>
      <c r="K55" s="738">
        <v>55.7</v>
      </c>
      <c r="L55" s="677">
        <f t="shared" si="1"/>
        <v>165763.20000000001</v>
      </c>
      <c r="M55" s="739">
        <f t="shared" si="2"/>
        <v>-802087.62954094028</v>
      </c>
      <c r="N55" s="740">
        <v>55.7</v>
      </c>
      <c r="O55" s="678">
        <f t="shared" si="3"/>
        <v>165763.20000000001</v>
      </c>
      <c r="P55" s="700">
        <f t="shared" si="4"/>
        <v>-802087.62954094028</v>
      </c>
      <c r="Q55" s="740">
        <v>55.7</v>
      </c>
      <c r="R55" s="678">
        <f t="shared" si="5"/>
        <v>165763.20000000001</v>
      </c>
      <c r="S55" s="700">
        <f t="shared" si="6"/>
        <v>-802087.62954094028</v>
      </c>
      <c r="T55" s="691" t="s">
        <v>54</v>
      </c>
    </row>
    <row r="56" spans="1:20" ht="15" customHeight="1" x14ac:dyDescent="0.25">
      <c r="A56" s="690"/>
      <c r="B56" s="691" t="s">
        <v>662</v>
      </c>
      <c r="C56" s="676" t="s">
        <v>534</v>
      </c>
      <c r="D56" s="680">
        <v>44713</v>
      </c>
      <c r="E56" s="676">
        <v>720</v>
      </c>
      <c r="F56" s="676" t="s">
        <v>3</v>
      </c>
      <c r="G56" s="690" t="s">
        <v>13</v>
      </c>
      <c r="H56" s="115">
        <v>4</v>
      </c>
      <c r="I56" s="115">
        <v>325.21869272209017</v>
      </c>
      <c r="J56" s="601">
        <f t="shared" si="0"/>
        <v>-936629.83503961971</v>
      </c>
      <c r="K56" s="738">
        <v>55.71</v>
      </c>
      <c r="L56" s="677">
        <f t="shared" si="1"/>
        <v>160444.79999999999</v>
      </c>
      <c r="M56" s="739">
        <f t="shared" si="2"/>
        <v>-776185.03503961978</v>
      </c>
      <c r="N56" s="740">
        <v>55.71</v>
      </c>
      <c r="O56" s="678">
        <f t="shared" si="3"/>
        <v>160444.79999999999</v>
      </c>
      <c r="P56" s="700">
        <f t="shared" si="4"/>
        <v>-776185.03503961978</v>
      </c>
      <c r="Q56" s="740">
        <v>55.71</v>
      </c>
      <c r="R56" s="678">
        <f t="shared" si="5"/>
        <v>160444.79999999999</v>
      </c>
      <c r="S56" s="700">
        <f t="shared" si="6"/>
        <v>-776185.03503961978</v>
      </c>
      <c r="T56" s="691" t="s">
        <v>54</v>
      </c>
    </row>
    <row r="57" spans="1:20" ht="15" customHeight="1" x14ac:dyDescent="0.25">
      <c r="A57" s="690"/>
      <c r="B57" s="691" t="s">
        <v>662</v>
      </c>
      <c r="C57" s="676" t="s">
        <v>534</v>
      </c>
      <c r="D57" s="680">
        <v>44743</v>
      </c>
      <c r="E57" s="676">
        <v>744</v>
      </c>
      <c r="F57" s="676" t="s">
        <v>3</v>
      </c>
      <c r="G57" s="690" t="s">
        <v>13</v>
      </c>
      <c r="H57" s="115">
        <v>4</v>
      </c>
      <c r="I57" s="115">
        <v>325.21869272209017</v>
      </c>
      <c r="J57" s="601">
        <f t="shared" si="0"/>
        <v>-967850.82954094035</v>
      </c>
      <c r="K57" s="738">
        <v>66.319999999999993</v>
      </c>
      <c r="L57" s="677">
        <f t="shared" si="1"/>
        <v>197368.31999999998</v>
      </c>
      <c r="M57" s="739">
        <f t="shared" si="2"/>
        <v>-770482.5095409404</v>
      </c>
      <c r="N57" s="740">
        <v>66.319999999999993</v>
      </c>
      <c r="O57" s="678">
        <f t="shared" si="3"/>
        <v>197368.31999999998</v>
      </c>
      <c r="P57" s="700">
        <f t="shared" si="4"/>
        <v>-770482.5095409404</v>
      </c>
      <c r="Q57" s="740">
        <v>66.319999999999993</v>
      </c>
      <c r="R57" s="678">
        <f t="shared" si="5"/>
        <v>197368.31999999998</v>
      </c>
      <c r="S57" s="700">
        <f t="shared" si="6"/>
        <v>-770482.5095409404</v>
      </c>
      <c r="T57" s="691" t="s">
        <v>54</v>
      </c>
    </row>
    <row r="58" spans="1:20" ht="15" customHeight="1" x14ac:dyDescent="0.25">
      <c r="A58" s="690"/>
      <c r="B58" s="691" t="s">
        <v>662</v>
      </c>
      <c r="C58" s="676" t="s">
        <v>534</v>
      </c>
      <c r="D58" s="680">
        <v>44774</v>
      </c>
      <c r="E58" s="676">
        <v>744</v>
      </c>
      <c r="F58" s="676" t="s">
        <v>3</v>
      </c>
      <c r="G58" s="690" t="s">
        <v>13</v>
      </c>
      <c r="H58" s="115">
        <v>4</v>
      </c>
      <c r="I58" s="115">
        <v>325.21869272209017</v>
      </c>
      <c r="J58" s="601">
        <f t="shared" si="0"/>
        <v>-967850.82954094035</v>
      </c>
      <c r="K58" s="738">
        <v>76.900000000000006</v>
      </c>
      <c r="L58" s="677">
        <f t="shared" si="1"/>
        <v>228854.40000000002</v>
      </c>
      <c r="M58" s="739">
        <f t="shared" si="2"/>
        <v>-738996.42954094033</v>
      </c>
      <c r="N58" s="740">
        <v>76.900000000000006</v>
      </c>
      <c r="O58" s="678">
        <f t="shared" si="3"/>
        <v>228854.40000000002</v>
      </c>
      <c r="P58" s="700">
        <f t="shared" si="4"/>
        <v>-738996.42954094033</v>
      </c>
      <c r="Q58" s="740">
        <v>76.900000000000006</v>
      </c>
      <c r="R58" s="678">
        <f t="shared" si="5"/>
        <v>228854.40000000002</v>
      </c>
      <c r="S58" s="700">
        <f t="shared" si="6"/>
        <v>-738996.42954094033</v>
      </c>
      <c r="T58" s="691" t="s">
        <v>54</v>
      </c>
    </row>
    <row r="59" spans="1:20" ht="15" customHeight="1" x14ac:dyDescent="0.25">
      <c r="A59" s="690"/>
      <c r="B59" s="691" t="s">
        <v>662</v>
      </c>
      <c r="C59" s="676" t="s">
        <v>534</v>
      </c>
      <c r="D59" s="680">
        <v>44805</v>
      </c>
      <c r="E59" s="676">
        <v>720</v>
      </c>
      <c r="F59" s="676" t="s">
        <v>3</v>
      </c>
      <c r="G59" s="690" t="s">
        <v>13</v>
      </c>
      <c r="H59" s="115">
        <v>4</v>
      </c>
      <c r="I59" s="115">
        <v>325.21869272209017</v>
      </c>
      <c r="J59" s="601">
        <f t="shared" si="0"/>
        <v>-936629.83503961971</v>
      </c>
      <c r="K59" s="738">
        <v>56.08</v>
      </c>
      <c r="L59" s="677">
        <f t="shared" si="1"/>
        <v>161510.39999999999</v>
      </c>
      <c r="M59" s="739">
        <f t="shared" si="2"/>
        <v>-775119.43503961968</v>
      </c>
      <c r="N59" s="740">
        <v>56.08</v>
      </c>
      <c r="O59" s="678">
        <f t="shared" si="3"/>
        <v>161510.39999999999</v>
      </c>
      <c r="P59" s="700">
        <f t="shared" si="4"/>
        <v>-775119.43503961968</v>
      </c>
      <c r="Q59" s="740">
        <v>56.08</v>
      </c>
      <c r="R59" s="678">
        <f t="shared" si="5"/>
        <v>161510.39999999999</v>
      </c>
      <c r="S59" s="700">
        <f t="shared" si="6"/>
        <v>-775119.43503961968</v>
      </c>
      <c r="T59" s="691" t="s">
        <v>54</v>
      </c>
    </row>
    <row r="60" spans="1:20" ht="15" customHeight="1" x14ac:dyDescent="0.25">
      <c r="A60" s="690"/>
      <c r="B60" s="691" t="s">
        <v>662</v>
      </c>
      <c r="C60" s="676" t="s">
        <v>534</v>
      </c>
      <c r="D60" s="680">
        <v>44835</v>
      </c>
      <c r="E60" s="676">
        <v>744</v>
      </c>
      <c r="F60" s="676" t="s">
        <v>3</v>
      </c>
      <c r="G60" s="690" t="s">
        <v>13</v>
      </c>
      <c r="H60" s="115">
        <v>4</v>
      </c>
      <c r="I60" s="115">
        <v>325.21869272209017</v>
      </c>
      <c r="J60" s="601">
        <f t="shared" si="0"/>
        <v>-967850.82954094035</v>
      </c>
      <c r="K60" s="738">
        <v>55.7</v>
      </c>
      <c r="L60" s="677">
        <f t="shared" si="1"/>
        <v>165763.20000000001</v>
      </c>
      <c r="M60" s="739">
        <f t="shared" si="2"/>
        <v>-802087.62954094028</v>
      </c>
      <c r="N60" s="740">
        <v>55.7</v>
      </c>
      <c r="O60" s="678">
        <f t="shared" si="3"/>
        <v>165763.20000000001</v>
      </c>
      <c r="P60" s="700">
        <f t="shared" si="4"/>
        <v>-802087.62954094028</v>
      </c>
      <c r="Q60" s="740">
        <v>55.7</v>
      </c>
      <c r="R60" s="678">
        <f t="shared" si="5"/>
        <v>165763.20000000001</v>
      </c>
      <c r="S60" s="700">
        <f t="shared" si="6"/>
        <v>-802087.62954094028</v>
      </c>
      <c r="T60" s="691" t="s">
        <v>54</v>
      </c>
    </row>
    <row r="61" spans="1:20" ht="15" customHeight="1" x14ac:dyDescent="0.25">
      <c r="A61" s="690"/>
      <c r="B61" s="691" t="s">
        <v>662</v>
      </c>
      <c r="C61" s="676" t="s">
        <v>534</v>
      </c>
      <c r="D61" s="680">
        <v>44866</v>
      </c>
      <c r="E61" s="676">
        <v>720</v>
      </c>
      <c r="F61" s="676" t="s">
        <v>3</v>
      </c>
      <c r="G61" s="690" t="s">
        <v>13</v>
      </c>
      <c r="H61" s="115">
        <v>4</v>
      </c>
      <c r="I61" s="115">
        <v>325.21869272209017</v>
      </c>
      <c r="J61" s="601">
        <f t="shared" si="0"/>
        <v>-936629.83503961971</v>
      </c>
      <c r="K61" s="738">
        <v>55.7</v>
      </c>
      <c r="L61" s="677">
        <f t="shared" si="1"/>
        <v>160416</v>
      </c>
      <c r="M61" s="739">
        <f t="shared" si="2"/>
        <v>-776213.83503961971</v>
      </c>
      <c r="N61" s="740">
        <v>55.7</v>
      </c>
      <c r="O61" s="678">
        <f t="shared" si="3"/>
        <v>160416</v>
      </c>
      <c r="P61" s="700">
        <f t="shared" si="4"/>
        <v>-776213.83503961971</v>
      </c>
      <c r="Q61" s="740">
        <v>55.7</v>
      </c>
      <c r="R61" s="678">
        <f t="shared" si="5"/>
        <v>160416</v>
      </c>
      <c r="S61" s="700">
        <f t="shared" si="6"/>
        <v>-776213.83503961971</v>
      </c>
      <c r="T61" s="691" t="s">
        <v>54</v>
      </c>
    </row>
    <row r="62" spans="1:20" ht="15" customHeight="1" x14ac:dyDescent="0.25">
      <c r="A62" s="690"/>
      <c r="B62" s="695" t="s">
        <v>662</v>
      </c>
      <c r="C62" s="545" t="s">
        <v>534</v>
      </c>
      <c r="D62" s="681">
        <v>44896</v>
      </c>
      <c r="E62" s="545">
        <v>744</v>
      </c>
      <c r="F62" s="545" t="s">
        <v>3</v>
      </c>
      <c r="G62" s="725" t="s">
        <v>13</v>
      </c>
      <c r="H62" s="548">
        <v>4</v>
      </c>
      <c r="I62" s="548">
        <v>325.21869272209017</v>
      </c>
      <c r="J62" s="602">
        <f t="shared" si="0"/>
        <v>-967850.82954094035</v>
      </c>
      <c r="K62" s="742">
        <v>55.7</v>
      </c>
      <c r="L62" s="603">
        <f t="shared" si="1"/>
        <v>165763.20000000001</v>
      </c>
      <c r="M62" s="743">
        <f t="shared" si="2"/>
        <v>-802087.62954094028</v>
      </c>
      <c r="N62" s="744">
        <v>55.7</v>
      </c>
      <c r="O62" s="604">
        <f t="shared" si="3"/>
        <v>165763.20000000001</v>
      </c>
      <c r="P62" s="701">
        <f t="shared" si="4"/>
        <v>-802087.62954094028</v>
      </c>
      <c r="Q62" s="744">
        <v>78.400653594793155</v>
      </c>
      <c r="R62" s="604">
        <f t="shared" si="5"/>
        <v>233320.34509810444</v>
      </c>
      <c r="S62" s="701">
        <f t="shared" si="6"/>
        <v>-734530.48444283591</v>
      </c>
      <c r="T62" s="695" t="s">
        <v>54</v>
      </c>
    </row>
    <row r="63" spans="1:20" ht="15" customHeight="1" x14ac:dyDescent="0.25">
      <c r="A63" s="690"/>
      <c r="B63" s="696" t="s">
        <v>664</v>
      </c>
      <c r="C63" s="546" t="s">
        <v>534</v>
      </c>
      <c r="D63" s="682">
        <v>44562</v>
      </c>
      <c r="E63" s="546">
        <v>744</v>
      </c>
      <c r="F63" s="546" t="s">
        <v>3</v>
      </c>
      <c r="G63" s="726" t="s">
        <v>13</v>
      </c>
      <c r="H63" s="549">
        <v>8</v>
      </c>
      <c r="I63" s="549">
        <v>327.35127431371046</v>
      </c>
      <c r="J63" s="605">
        <f t="shared" si="0"/>
        <v>-1948394.7847152047</v>
      </c>
      <c r="K63" s="746">
        <v>57.22</v>
      </c>
      <c r="L63" s="606">
        <f t="shared" si="1"/>
        <v>340573.44</v>
      </c>
      <c r="M63" s="747">
        <f t="shared" si="2"/>
        <v>-1607821.3447152048</v>
      </c>
      <c r="N63" s="748">
        <v>57.22</v>
      </c>
      <c r="O63" s="607">
        <f t="shared" si="3"/>
        <v>340573.44</v>
      </c>
      <c r="P63" s="702">
        <f t="shared" si="4"/>
        <v>-1607821.3447152048</v>
      </c>
      <c r="Q63" s="748">
        <v>57.22</v>
      </c>
      <c r="R63" s="607">
        <f t="shared" si="5"/>
        <v>340573.44</v>
      </c>
      <c r="S63" s="702">
        <f t="shared" si="6"/>
        <v>-1607821.3447152048</v>
      </c>
      <c r="T63" s="696" t="s">
        <v>54</v>
      </c>
    </row>
    <row r="64" spans="1:20" ht="15" customHeight="1" x14ac:dyDescent="0.25">
      <c r="A64" s="690"/>
      <c r="B64" s="691" t="s">
        <v>664</v>
      </c>
      <c r="C64" s="676" t="s">
        <v>534</v>
      </c>
      <c r="D64" s="680">
        <v>44593</v>
      </c>
      <c r="E64" s="676">
        <v>672</v>
      </c>
      <c r="F64" s="676" t="s">
        <v>3</v>
      </c>
      <c r="G64" s="690" t="s">
        <v>13</v>
      </c>
      <c r="H64" s="115">
        <v>8</v>
      </c>
      <c r="I64" s="115">
        <v>327.35127431371046</v>
      </c>
      <c r="J64" s="601">
        <f t="shared" si="0"/>
        <v>-1759840.4507105073</v>
      </c>
      <c r="K64" s="738">
        <v>55.7</v>
      </c>
      <c r="L64" s="677">
        <f t="shared" si="1"/>
        <v>299443.20000000001</v>
      </c>
      <c r="M64" s="739">
        <f t="shared" si="2"/>
        <v>-1460397.2507105074</v>
      </c>
      <c r="N64" s="740">
        <v>55.7</v>
      </c>
      <c r="O64" s="678">
        <f t="shared" si="3"/>
        <v>299443.20000000001</v>
      </c>
      <c r="P64" s="700">
        <f t="shared" si="4"/>
        <v>-1460397.2507105074</v>
      </c>
      <c r="Q64" s="740">
        <v>55.7</v>
      </c>
      <c r="R64" s="678">
        <f t="shared" si="5"/>
        <v>299443.20000000001</v>
      </c>
      <c r="S64" s="700">
        <f t="shared" si="6"/>
        <v>-1460397.2507105074</v>
      </c>
      <c r="T64" s="691" t="s">
        <v>54</v>
      </c>
    </row>
    <row r="65" spans="1:20" ht="15" customHeight="1" x14ac:dyDescent="0.25">
      <c r="A65" s="690"/>
      <c r="B65" s="691" t="s">
        <v>664</v>
      </c>
      <c r="C65" s="676" t="s">
        <v>534</v>
      </c>
      <c r="D65" s="680">
        <v>44621</v>
      </c>
      <c r="E65" s="676">
        <v>744</v>
      </c>
      <c r="F65" s="676" t="s">
        <v>3</v>
      </c>
      <c r="G65" s="690" t="s">
        <v>13</v>
      </c>
      <c r="H65" s="115">
        <v>8</v>
      </c>
      <c r="I65" s="115">
        <v>327.35127431371046</v>
      </c>
      <c r="J65" s="601">
        <f t="shared" si="0"/>
        <v>-1948394.7847152047</v>
      </c>
      <c r="K65" s="738">
        <v>55.7</v>
      </c>
      <c r="L65" s="677">
        <f t="shared" si="1"/>
        <v>331526.40000000002</v>
      </c>
      <c r="M65" s="739">
        <f t="shared" si="2"/>
        <v>-1616868.3847152046</v>
      </c>
      <c r="N65" s="740">
        <v>55.7</v>
      </c>
      <c r="O65" s="678">
        <f t="shared" si="3"/>
        <v>331526.40000000002</v>
      </c>
      <c r="P65" s="700">
        <f t="shared" si="4"/>
        <v>-1616868.3847152046</v>
      </c>
      <c r="Q65" s="740">
        <v>55.7</v>
      </c>
      <c r="R65" s="678">
        <f t="shared" si="5"/>
        <v>331526.40000000002</v>
      </c>
      <c r="S65" s="700">
        <f t="shared" si="6"/>
        <v>-1616868.3847152046</v>
      </c>
      <c r="T65" s="691" t="s">
        <v>54</v>
      </c>
    </row>
    <row r="66" spans="1:20" ht="15" customHeight="1" x14ac:dyDescent="0.25">
      <c r="A66" s="690"/>
      <c r="B66" s="691" t="s">
        <v>664</v>
      </c>
      <c r="C66" s="676" t="s">
        <v>534</v>
      </c>
      <c r="D66" s="680">
        <v>44652</v>
      </c>
      <c r="E66" s="676">
        <v>720</v>
      </c>
      <c r="F66" s="676" t="s">
        <v>3</v>
      </c>
      <c r="G66" s="690" t="s">
        <v>13</v>
      </c>
      <c r="H66" s="115">
        <v>8</v>
      </c>
      <c r="I66" s="115">
        <v>327.35127431371046</v>
      </c>
      <c r="J66" s="601">
        <f t="shared" si="0"/>
        <v>-1885543.3400469723</v>
      </c>
      <c r="K66" s="738">
        <v>55.7</v>
      </c>
      <c r="L66" s="677">
        <f t="shared" si="1"/>
        <v>320832</v>
      </c>
      <c r="M66" s="739">
        <f t="shared" si="2"/>
        <v>-1564711.3400469723</v>
      </c>
      <c r="N66" s="740">
        <v>55.7</v>
      </c>
      <c r="O66" s="678">
        <f t="shared" si="3"/>
        <v>320832</v>
      </c>
      <c r="P66" s="700">
        <f t="shared" si="4"/>
        <v>-1564711.3400469723</v>
      </c>
      <c r="Q66" s="740">
        <v>55.7</v>
      </c>
      <c r="R66" s="678">
        <f t="shared" si="5"/>
        <v>320832</v>
      </c>
      <c r="S66" s="700">
        <f t="shared" si="6"/>
        <v>-1564711.3400469723</v>
      </c>
      <c r="T66" s="691" t="s">
        <v>54</v>
      </c>
    </row>
    <row r="67" spans="1:20" ht="15" customHeight="1" x14ac:dyDescent="0.25">
      <c r="A67" s="690"/>
      <c r="B67" s="691" t="s">
        <v>664</v>
      </c>
      <c r="C67" s="676" t="s">
        <v>534</v>
      </c>
      <c r="D67" s="680">
        <v>44682</v>
      </c>
      <c r="E67" s="676">
        <v>744</v>
      </c>
      <c r="F67" s="676" t="s">
        <v>3</v>
      </c>
      <c r="G67" s="690" t="s">
        <v>13</v>
      </c>
      <c r="H67" s="115">
        <v>8</v>
      </c>
      <c r="I67" s="115">
        <v>327.35127431371046</v>
      </c>
      <c r="J67" s="601">
        <f t="shared" ref="J67:J130" si="7">(I67*(E67*H67))*-1</f>
        <v>-1948394.7847152047</v>
      </c>
      <c r="K67" s="738">
        <v>55.7</v>
      </c>
      <c r="L67" s="677">
        <f t="shared" ref="L67:L130" si="8">(((E67*H67)*K67))</f>
        <v>331526.40000000002</v>
      </c>
      <c r="M67" s="739">
        <f t="shared" ref="M67:M130" si="9">J67+L67</f>
        <v>-1616868.3847152046</v>
      </c>
      <c r="N67" s="740">
        <v>55.7</v>
      </c>
      <c r="O67" s="678">
        <f t="shared" ref="O67:O130" si="10">((E67*H67)*N67)</f>
        <v>331526.40000000002</v>
      </c>
      <c r="P67" s="700">
        <f t="shared" ref="P67:P130" si="11">J67+O67</f>
        <v>-1616868.3847152046</v>
      </c>
      <c r="Q67" s="740">
        <v>55.7</v>
      </c>
      <c r="R67" s="678">
        <f t="shared" ref="R67:R130" si="12">((E67*H67)*Q67)</f>
        <v>331526.40000000002</v>
      </c>
      <c r="S67" s="700">
        <f t="shared" ref="S67:S130" si="13">J67+R67</f>
        <v>-1616868.3847152046</v>
      </c>
      <c r="T67" s="691" t="s">
        <v>54</v>
      </c>
    </row>
    <row r="68" spans="1:20" ht="15" customHeight="1" x14ac:dyDescent="0.25">
      <c r="A68" s="690"/>
      <c r="B68" s="691" t="s">
        <v>664</v>
      </c>
      <c r="C68" s="676" t="s">
        <v>534</v>
      </c>
      <c r="D68" s="680">
        <v>44713</v>
      </c>
      <c r="E68" s="676">
        <v>720</v>
      </c>
      <c r="F68" s="676" t="s">
        <v>3</v>
      </c>
      <c r="G68" s="690" t="s">
        <v>13</v>
      </c>
      <c r="H68" s="115">
        <v>8</v>
      </c>
      <c r="I68" s="115">
        <v>327.35127431371046</v>
      </c>
      <c r="J68" s="601">
        <f t="shared" si="7"/>
        <v>-1885543.3400469723</v>
      </c>
      <c r="K68" s="738">
        <v>55.71</v>
      </c>
      <c r="L68" s="677">
        <f t="shared" si="8"/>
        <v>320889.59999999998</v>
      </c>
      <c r="M68" s="739">
        <f t="shared" si="9"/>
        <v>-1564653.7400469724</v>
      </c>
      <c r="N68" s="740">
        <v>55.71</v>
      </c>
      <c r="O68" s="678">
        <f t="shared" si="10"/>
        <v>320889.59999999998</v>
      </c>
      <c r="P68" s="700">
        <f t="shared" si="11"/>
        <v>-1564653.7400469724</v>
      </c>
      <c r="Q68" s="740">
        <v>55.71</v>
      </c>
      <c r="R68" s="678">
        <f t="shared" si="12"/>
        <v>320889.59999999998</v>
      </c>
      <c r="S68" s="700">
        <f t="shared" si="13"/>
        <v>-1564653.7400469724</v>
      </c>
      <c r="T68" s="691" t="s">
        <v>54</v>
      </c>
    </row>
    <row r="69" spans="1:20" ht="15" customHeight="1" x14ac:dyDescent="0.25">
      <c r="A69" s="690"/>
      <c r="B69" s="691" t="s">
        <v>664</v>
      </c>
      <c r="C69" s="676" t="s">
        <v>534</v>
      </c>
      <c r="D69" s="680">
        <v>44743</v>
      </c>
      <c r="E69" s="676">
        <v>744</v>
      </c>
      <c r="F69" s="676" t="s">
        <v>3</v>
      </c>
      <c r="G69" s="690" t="s">
        <v>13</v>
      </c>
      <c r="H69" s="115">
        <v>8</v>
      </c>
      <c r="I69" s="115">
        <v>327.35127431371046</v>
      </c>
      <c r="J69" s="601">
        <f t="shared" si="7"/>
        <v>-1948394.7847152047</v>
      </c>
      <c r="K69" s="738">
        <v>66.319999999999993</v>
      </c>
      <c r="L69" s="677">
        <f t="shared" si="8"/>
        <v>394736.63999999996</v>
      </c>
      <c r="M69" s="739">
        <f t="shared" si="9"/>
        <v>-1553658.1447152048</v>
      </c>
      <c r="N69" s="740">
        <v>66.319999999999993</v>
      </c>
      <c r="O69" s="678">
        <f t="shared" si="10"/>
        <v>394736.63999999996</v>
      </c>
      <c r="P69" s="700">
        <f t="shared" si="11"/>
        <v>-1553658.1447152048</v>
      </c>
      <c r="Q69" s="740">
        <v>66.319999999999993</v>
      </c>
      <c r="R69" s="678">
        <f t="shared" si="12"/>
        <v>394736.63999999996</v>
      </c>
      <c r="S69" s="700">
        <f t="shared" si="13"/>
        <v>-1553658.1447152048</v>
      </c>
      <c r="T69" s="691" t="s">
        <v>54</v>
      </c>
    </row>
    <row r="70" spans="1:20" ht="15" customHeight="1" x14ac:dyDescent="0.25">
      <c r="A70" s="690"/>
      <c r="B70" s="691" t="s">
        <v>664</v>
      </c>
      <c r="C70" s="676" t="s">
        <v>534</v>
      </c>
      <c r="D70" s="680">
        <v>44774</v>
      </c>
      <c r="E70" s="676">
        <v>744</v>
      </c>
      <c r="F70" s="676" t="s">
        <v>3</v>
      </c>
      <c r="G70" s="690" t="s">
        <v>13</v>
      </c>
      <c r="H70" s="115">
        <v>8</v>
      </c>
      <c r="I70" s="115">
        <v>327.35127431371046</v>
      </c>
      <c r="J70" s="601">
        <f t="shared" si="7"/>
        <v>-1948394.7847152047</v>
      </c>
      <c r="K70" s="738">
        <v>76.900000000000006</v>
      </c>
      <c r="L70" s="677">
        <f t="shared" si="8"/>
        <v>457708.80000000005</v>
      </c>
      <c r="M70" s="739">
        <f t="shared" si="9"/>
        <v>-1490685.9847152047</v>
      </c>
      <c r="N70" s="740">
        <v>76.900000000000006</v>
      </c>
      <c r="O70" s="678">
        <f t="shared" si="10"/>
        <v>457708.80000000005</v>
      </c>
      <c r="P70" s="700">
        <f t="shared" si="11"/>
        <v>-1490685.9847152047</v>
      </c>
      <c r="Q70" s="740">
        <v>76.900000000000006</v>
      </c>
      <c r="R70" s="678">
        <f t="shared" si="12"/>
        <v>457708.80000000005</v>
      </c>
      <c r="S70" s="700">
        <f t="shared" si="13"/>
        <v>-1490685.9847152047</v>
      </c>
      <c r="T70" s="691" t="s">
        <v>54</v>
      </c>
    </row>
    <row r="71" spans="1:20" ht="15" customHeight="1" x14ac:dyDescent="0.25">
      <c r="A71" s="690"/>
      <c r="B71" s="691" t="s">
        <v>664</v>
      </c>
      <c r="C71" s="676" t="s">
        <v>534</v>
      </c>
      <c r="D71" s="680">
        <v>44805</v>
      </c>
      <c r="E71" s="676">
        <v>720</v>
      </c>
      <c r="F71" s="676" t="s">
        <v>3</v>
      </c>
      <c r="G71" s="690" t="s">
        <v>13</v>
      </c>
      <c r="H71" s="115">
        <v>8</v>
      </c>
      <c r="I71" s="115">
        <v>327.35127431371046</v>
      </c>
      <c r="J71" s="601">
        <f t="shared" si="7"/>
        <v>-1885543.3400469723</v>
      </c>
      <c r="K71" s="738">
        <v>56.08</v>
      </c>
      <c r="L71" s="677">
        <f t="shared" si="8"/>
        <v>323020.79999999999</v>
      </c>
      <c r="M71" s="739">
        <f t="shared" si="9"/>
        <v>-1562522.5400469722</v>
      </c>
      <c r="N71" s="740">
        <v>56.08</v>
      </c>
      <c r="O71" s="678">
        <f t="shared" si="10"/>
        <v>323020.79999999999</v>
      </c>
      <c r="P71" s="700">
        <f t="shared" si="11"/>
        <v>-1562522.5400469722</v>
      </c>
      <c r="Q71" s="740">
        <v>56.08</v>
      </c>
      <c r="R71" s="678">
        <f t="shared" si="12"/>
        <v>323020.79999999999</v>
      </c>
      <c r="S71" s="700">
        <f t="shared" si="13"/>
        <v>-1562522.5400469722</v>
      </c>
      <c r="T71" s="691" t="s">
        <v>54</v>
      </c>
    </row>
    <row r="72" spans="1:20" ht="15" customHeight="1" x14ac:dyDescent="0.25">
      <c r="A72" s="690"/>
      <c r="B72" s="691" t="s">
        <v>664</v>
      </c>
      <c r="C72" s="676" t="s">
        <v>534</v>
      </c>
      <c r="D72" s="680">
        <v>44835</v>
      </c>
      <c r="E72" s="676">
        <v>744</v>
      </c>
      <c r="F72" s="676" t="s">
        <v>3</v>
      </c>
      <c r="G72" s="690" t="s">
        <v>13</v>
      </c>
      <c r="H72" s="115">
        <v>8</v>
      </c>
      <c r="I72" s="115">
        <v>327.35127431371046</v>
      </c>
      <c r="J72" s="601">
        <f t="shared" si="7"/>
        <v>-1948394.7847152047</v>
      </c>
      <c r="K72" s="738">
        <v>55.7</v>
      </c>
      <c r="L72" s="677">
        <f t="shared" si="8"/>
        <v>331526.40000000002</v>
      </c>
      <c r="M72" s="739">
        <f t="shared" si="9"/>
        <v>-1616868.3847152046</v>
      </c>
      <c r="N72" s="740">
        <v>55.7</v>
      </c>
      <c r="O72" s="678">
        <f t="shared" si="10"/>
        <v>331526.40000000002</v>
      </c>
      <c r="P72" s="700">
        <f t="shared" si="11"/>
        <v>-1616868.3847152046</v>
      </c>
      <c r="Q72" s="740">
        <v>55.7</v>
      </c>
      <c r="R72" s="678">
        <f t="shared" si="12"/>
        <v>331526.40000000002</v>
      </c>
      <c r="S72" s="700">
        <f t="shared" si="13"/>
        <v>-1616868.3847152046</v>
      </c>
      <c r="T72" s="691" t="s">
        <v>54</v>
      </c>
    </row>
    <row r="73" spans="1:20" ht="15" customHeight="1" x14ac:dyDescent="0.25">
      <c r="A73" s="690"/>
      <c r="B73" s="691" t="s">
        <v>664</v>
      </c>
      <c r="C73" s="676" t="s">
        <v>534</v>
      </c>
      <c r="D73" s="680">
        <v>44866</v>
      </c>
      <c r="E73" s="676">
        <v>720</v>
      </c>
      <c r="F73" s="676" t="s">
        <v>3</v>
      </c>
      <c r="G73" s="690" t="s">
        <v>13</v>
      </c>
      <c r="H73" s="115">
        <v>8</v>
      </c>
      <c r="I73" s="115">
        <v>327.35127431371046</v>
      </c>
      <c r="J73" s="601">
        <f t="shared" si="7"/>
        <v>-1885543.3400469723</v>
      </c>
      <c r="K73" s="738">
        <v>55.7</v>
      </c>
      <c r="L73" s="677">
        <f t="shared" si="8"/>
        <v>320832</v>
      </c>
      <c r="M73" s="739">
        <f t="shared" si="9"/>
        <v>-1564711.3400469723</v>
      </c>
      <c r="N73" s="740">
        <v>55.7</v>
      </c>
      <c r="O73" s="678">
        <f t="shared" si="10"/>
        <v>320832</v>
      </c>
      <c r="P73" s="700">
        <f t="shared" si="11"/>
        <v>-1564711.3400469723</v>
      </c>
      <c r="Q73" s="740">
        <v>55.7</v>
      </c>
      <c r="R73" s="678">
        <f t="shared" si="12"/>
        <v>320832</v>
      </c>
      <c r="S73" s="700">
        <f t="shared" si="13"/>
        <v>-1564711.3400469723</v>
      </c>
      <c r="T73" s="691" t="s">
        <v>54</v>
      </c>
    </row>
    <row r="74" spans="1:20" ht="15" customHeight="1" x14ac:dyDescent="0.25">
      <c r="A74" s="690"/>
      <c r="B74" s="695" t="s">
        <v>664</v>
      </c>
      <c r="C74" s="545" t="s">
        <v>534</v>
      </c>
      <c r="D74" s="681">
        <v>44896</v>
      </c>
      <c r="E74" s="545">
        <v>744</v>
      </c>
      <c r="F74" s="545" t="s">
        <v>3</v>
      </c>
      <c r="G74" s="725" t="s">
        <v>13</v>
      </c>
      <c r="H74" s="548">
        <v>8</v>
      </c>
      <c r="I74" s="548">
        <v>327.35127431371046</v>
      </c>
      <c r="J74" s="602">
        <f t="shared" si="7"/>
        <v>-1948394.7847152047</v>
      </c>
      <c r="K74" s="742">
        <v>55.7</v>
      </c>
      <c r="L74" s="603">
        <f t="shared" si="8"/>
        <v>331526.40000000002</v>
      </c>
      <c r="M74" s="743">
        <f t="shared" si="9"/>
        <v>-1616868.3847152046</v>
      </c>
      <c r="N74" s="744">
        <v>55.7</v>
      </c>
      <c r="O74" s="604">
        <f t="shared" si="10"/>
        <v>331526.40000000002</v>
      </c>
      <c r="P74" s="701">
        <f t="shared" si="11"/>
        <v>-1616868.3847152046</v>
      </c>
      <c r="Q74" s="744">
        <v>78.400653594793155</v>
      </c>
      <c r="R74" s="604">
        <f t="shared" si="12"/>
        <v>466640.69019620889</v>
      </c>
      <c r="S74" s="701">
        <f t="shared" si="13"/>
        <v>-1481754.0945189958</v>
      </c>
      <c r="T74" s="695" t="s">
        <v>54</v>
      </c>
    </row>
    <row r="75" spans="1:20" ht="15" customHeight="1" x14ac:dyDescent="0.25">
      <c r="A75" s="690"/>
      <c r="B75" s="696" t="s">
        <v>666</v>
      </c>
      <c r="C75" s="546" t="s">
        <v>534</v>
      </c>
      <c r="D75" s="682">
        <v>44562</v>
      </c>
      <c r="E75" s="546">
        <v>744</v>
      </c>
      <c r="F75" s="546" t="s">
        <v>3</v>
      </c>
      <c r="G75" s="726" t="s">
        <v>13</v>
      </c>
      <c r="H75" s="549">
        <v>20</v>
      </c>
      <c r="I75" s="549">
        <v>322.01982033465981</v>
      </c>
      <c r="J75" s="605">
        <f t="shared" si="7"/>
        <v>-4791654.926579738</v>
      </c>
      <c r="K75" s="746">
        <v>57.22</v>
      </c>
      <c r="L75" s="606">
        <f t="shared" si="8"/>
        <v>851433.6</v>
      </c>
      <c r="M75" s="747">
        <f t="shared" si="9"/>
        <v>-3940221.3265797379</v>
      </c>
      <c r="N75" s="748">
        <v>57.22</v>
      </c>
      <c r="O75" s="607">
        <f t="shared" si="10"/>
        <v>851433.6</v>
      </c>
      <c r="P75" s="702">
        <f t="shared" si="11"/>
        <v>-3940221.3265797379</v>
      </c>
      <c r="Q75" s="748">
        <v>57.22</v>
      </c>
      <c r="R75" s="607">
        <f t="shared" si="12"/>
        <v>851433.6</v>
      </c>
      <c r="S75" s="702">
        <f t="shared" si="13"/>
        <v>-3940221.3265797379</v>
      </c>
      <c r="T75" s="696" t="s">
        <v>54</v>
      </c>
    </row>
    <row r="76" spans="1:20" ht="15" customHeight="1" x14ac:dyDescent="0.25">
      <c r="A76" s="690"/>
      <c r="B76" s="691" t="s">
        <v>666</v>
      </c>
      <c r="C76" s="676" t="s">
        <v>534</v>
      </c>
      <c r="D76" s="680">
        <v>44593</v>
      </c>
      <c r="E76" s="676">
        <v>672</v>
      </c>
      <c r="F76" s="676" t="s">
        <v>3</v>
      </c>
      <c r="G76" s="690" t="s">
        <v>13</v>
      </c>
      <c r="H76" s="115">
        <v>20</v>
      </c>
      <c r="I76" s="115">
        <v>322.01982033465981</v>
      </c>
      <c r="J76" s="601">
        <f t="shared" si="7"/>
        <v>-4327946.3852978274</v>
      </c>
      <c r="K76" s="738">
        <v>55.7</v>
      </c>
      <c r="L76" s="677">
        <f t="shared" si="8"/>
        <v>748608</v>
      </c>
      <c r="M76" s="739">
        <f t="shared" si="9"/>
        <v>-3579338.3852978274</v>
      </c>
      <c r="N76" s="740">
        <v>55.7</v>
      </c>
      <c r="O76" s="678">
        <f t="shared" si="10"/>
        <v>748608</v>
      </c>
      <c r="P76" s="700">
        <f t="shared" si="11"/>
        <v>-3579338.3852978274</v>
      </c>
      <c r="Q76" s="740">
        <v>55.7</v>
      </c>
      <c r="R76" s="678">
        <f t="shared" si="12"/>
        <v>748608</v>
      </c>
      <c r="S76" s="700">
        <f t="shared" si="13"/>
        <v>-3579338.3852978274</v>
      </c>
      <c r="T76" s="691" t="s">
        <v>54</v>
      </c>
    </row>
    <row r="77" spans="1:20" ht="15" customHeight="1" x14ac:dyDescent="0.25">
      <c r="A77" s="690"/>
      <c r="B77" s="691" t="s">
        <v>666</v>
      </c>
      <c r="C77" s="676" t="s">
        <v>534</v>
      </c>
      <c r="D77" s="680">
        <v>44621</v>
      </c>
      <c r="E77" s="676">
        <v>744</v>
      </c>
      <c r="F77" s="676" t="s">
        <v>3</v>
      </c>
      <c r="G77" s="690" t="s">
        <v>13</v>
      </c>
      <c r="H77" s="115">
        <v>20</v>
      </c>
      <c r="I77" s="115">
        <v>322.01982033465981</v>
      </c>
      <c r="J77" s="601">
        <f t="shared" si="7"/>
        <v>-4791654.926579738</v>
      </c>
      <c r="K77" s="738">
        <v>55.7</v>
      </c>
      <c r="L77" s="677">
        <f t="shared" si="8"/>
        <v>828816</v>
      </c>
      <c r="M77" s="739">
        <f t="shared" si="9"/>
        <v>-3962838.926579738</v>
      </c>
      <c r="N77" s="740">
        <v>55.7</v>
      </c>
      <c r="O77" s="678">
        <f t="shared" si="10"/>
        <v>828816</v>
      </c>
      <c r="P77" s="700">
        <f t="shared" si="11"/>
        <v>-3962838.926579738</v>
      </c>
      <c r="Q77" s="740">
        <v>55.7</v>
      </c>
      <c r="R77" s="678">
        <f t="shared" si="12"/>
        <v>828816</v>
      </c>
      <c r="S77" s="700">
        <f t="shared" si="13"/>
        <v>-3962838.926579738</v>
      </c>
      <c r="T77" s="691" t="s">
        <v>54</v>
      </c>
    </row>
    <row r="78" spans="1:20" ht="15" customHeight="1" x14ac:dyDescent="0.25">
      <c r="A78" s="690"/>
      <c r="B78" s="691" t="s">
        <v>666</v>
      </c>
      <c r="C78" s="676" t="s">
        <v>534</v>
      </c>
      <c r="D78" s="680">
        <v>44652</v>
      </c>
      <c r="E78" s="676">
        <v>720</v>
      </c>
      <c r="F78" s="676" t="s">
        <v>3</v>
      </c>
      <c r="G78" s="690" t="s">
        <v>13</v>
      </c>
      <c r="H78" s="115">
        <v>20</v>
      </c>
      <c r="I78" s="115">
        <v>322.01982033465981</v>
      </c>
      <c r="J78" s="601">
        <f t="shared" si="7"/>
        <v>-4637085.4128191015</v>
      </c>
      <c r="K78" s="738">
        <v>55.7</v>
      </c>
      <c r="L78" s="677">
        <f t="shared" si="8"/>
        <v>802080</v>
      </c>
      <c r="M78" s="739">
        <f t="shared" si="9"/>
        <v>-3835005.4128191015</v>
      </c>
      <c r="N78" s="740">
        <v>55.7</v>
      </c>
      <c r="O78" s="678">
        <f t="shared" si="10"/>
        <v>802080</v>
      </c>
      <c r="P78" s="700">
        <f t="shared" si="11"/>
        <v>-3835005.4128191015</v>
      </c>
      <c r="Q78" s="740">
        <v>55.7</v>
      </c>
      <c r="R78" s="678">
        <f t="shared" si="12"/>
        <v>802080</v>
      </c>
      <c r="S78" s="700">
        <f t="shared" si="13"/>
        <v>-3835005.4128191015</v>
      </c>
      <c r="T78" s="691" t="s">
        <v>54</v>
      </c>
    </row>
    <row r="79" spans="1:20" ht="15" customHeight="1" x14ac:dyDescent="0.25">
      <c r="A79" s="690"/>
      <c r="B79" s="691" t="s">
        <v>666</v>
      </c>
      <c r="C79" s="676" t="s">
        <v>534</v>
      </c>
      <c r="D79" s="680">
        <v>44682</v>
      </c>
      <c r="E79" s="676">
        <v>744</v>
      </c>
      <c r="F79" s="676" t="s">
        <v>3</v>
      </c>
      <c r="G79" s="690" t="s">
        <v>13</v>
      </c>
      <c r="H79" s="115">
        <v>20</v>
      </c>
      <c r="I79" s="115">
        <v>322.01982033465981</v>
      </c>
      <c r="J79" s="601">
        <f t="shared" si="7"/>
        <v>-4791654.926579738</v>
      </c>
      <c r="K79" s="738">
        <v>55.7</v>
      </c>
      <c r="L79" s="677">
        <f t="shared" si="8"/>
        <v>828816</v>
      </c>
      <c r="M79" s="739">
        <f t="shared" si="9"/>
        <v>-3962838.926579738</v>
      </c>
      <c r="N79" s="740">
        <v>55.7</v>
      </c>
      <c r="O79" s="678">
        <f t="shared" si="10"/>
        <v>828816</v>
      </c>
      <c r="P79" s="700">
        <f t="shared" si="11"/>
        <v>-3962838.926579738</v>
      </c>
      <c r="Q79" s="740">
        <v>55.7</v>
      </c>
      <c r="R79" s="678">
        <f t="shared" si="12"/>
        <v>828816</v>
      </c>
      <c r="S79" s="700">
        <f t="shared" si="13"/>
        <v>-3962838.926579738</v>
      </c>
      <c r="T79" s="691" t="s">
        <v>54</v>
      </c>
    </row>
    <row r="80" spans="1:20" ht="15" customHeight="1" x14ac:dyDescent="0.25">
      <c r="A80" s="690"/>
      <c r="B80" s="691" t="s">
        <v>666</v>
      </c>
      <c r="C80" s="676" t="s">
        <v>534</v>
      </c>
      <c r="D80" s="680">
        <v>44713</v>
      </c>
      <c r="E80" s="676">
        <v>720</v>
      </c>
      <c r="F80" s="676" t="s">
        <v>3</v>
      </c>
      <c r="G80" s="690" t="s">
        <v>13</v>
      </c>
      <c r="H80" s="115">
        <v>20</v>
      </c>
      <c r="I80" s="115">
        <v>322.01982033465981</v>
      </c>
      <c r="J80" s="601">
        <f t="shared" si="7"/>
        <v>-4637085.4128191015</v>
      </c>
      <c r="K80" s="738">
        <v>55.71</v>
      </c>
      <c r="L80" s="677">
        <f t="shared" si="8"/>
        <v>802224</v>
      </c>
      <c r="M80" s="739">
        <f t="shared" si="9"/>
        <v>-3834861.4128191015</v>
      </c>
      <c r="N80" s="740">
        <v>55.71</v>
      </c>
      <c r="O80" s="678">
        <f t="shared" si="10"/>
        <v>802224</v>
      </c>
      <c r="P80" s="700">
        <f t="shared" si="11"/>
        <v>-3834861.4128191015</v>
      </c>
      <c r="Q80" s="740">
        <v>55.71</v>
      </c>
      <c r="R80" s="678">
        <f t="shared" si="12"/>
        <v>802224</v>
      </c>
      <c r="S80" s="700">
        <f t="shared" si="13"/>
        <v>-3834861.4128191015</v>
      </c>
      <c r="T80" s="691" t="s">
        <v>54</v>
      </c>
    </row>
    <row r="81" spans="1:20" ht="15" customHeight="1" x14ac:dyDescent="0.25">
      <c r="A81" s="690"/>
      <c r="B81" s="691" t="s">
        <v>666</v>
      </c>
      <c r="C81" s="676" t="s">
        <v>534</v>
      </c>
      <c r="D81" s="680">
        <v>44743</v>
      </c>
      <c r="E81" s="676">
        <v>744</v>
      </c>
      <c r="F81" s="676" t="s">
        <v>3</v>
      </c>
      <c r="G81" s="690" t="s">
        <v>13</v>
      </c>
      <c r="H81" s="115">
        <v>20</v>
      </c>
      <c r="I81" s="115">
        <v>322.01982033465981</v>
      </c>
      <c r="J81" s="601">
        <f t="shared" si="7"/>
        <v>-4791654.926579738</v>
      </c>
      <c r="K81" s="738">
        <v>66.319999999999993</v>
      </c>
      <c r="L81" s="677">
        <f t="shared" si="8"/>
        <v>986841.59999999986</v>
      </c>
      <c r="M81" s="739">
        <f t="shared" si="9"/>
        <v>-3804813.3265797384</v>
      </c>
      <c r="N81" s="740">
        <v>66.319999999999993</v>
      </c>
      <c r="O81" s="678">
        <f t="shared" si="10"/>
        <v>986841.59999999986</v>
      </c>
      <c r="P81" s="700">
        <f t="shared" si="11"/>
        <v>-3804813.3265797384</v>
      </c>
      <c r="Q81" s="740">
        <v>66.319999999999993</v>
      </c>
      <c r="R81" s="678">
        <f t="shared" si="12"/>
        <v>986841.59999999986</v>
      </c>
      <c r="S81" s="700">
        <f t="shared" si="13"/>
        <v>-3804813.3265797384</v>
      </c>
      <c r="T81" s="691" t="s">
        <v>54</v>
      </c>
    </row>
    <row r="82" spans="1:20" ht="15" customHeight="1" x14ac:dyDescent="0.25">
      <c r="A82" s="690"/>
      <c r="B82" s="691" t="s">
        <v>666</v>
      </c>
      <c r="C82" s="676" t="s">
        <v>534</v>
      </c>
      <c r="D82" s="680">
        <v>44774</v>
      </c>
      <c r="E82" s="676">
        <v>744</v>
      </c>
      <c r="F82" s="676" t="s">
        <v>3</v>
      </c>
      <c r="G82" s="690" t="s">
        <v>13</v>
      </c>
      <c r="H82" s="115">
        <v>20</v>
      </c>
      <c r="I82" s="115">
        <v>322.01982033465981</v>
      </c>
      <c r="J82" s="601">
        <f t="shared" si="7"/>
        <v>-4791654.926579738</v>
      </c>
      <c r="K82" s="738">
        <v>76.900000000000006</v>
      </c>
      <c r="L82" s="677">
        <f t="shared" si="8"/>
        <v>1144272</v>
      </c>
      <c r="M82" s="739">
        <f t="shared" si="9"/>
        <v>-3647382.926579738</v>
      </c>
      <c r="N82" s="740">
        <v>76.900000000000006</v>
      </c>
      <c r="O82" s="678">
        <f t="shared" si="10"/>
        <v>1144272</v>
      </c>
      <c r="P82" s="700">
        <f t="shared" si="11"/>
        <v>-3647382.926579738</v>
      </c>
      <c r="Q82" s="740">
        <v>76.900000000000006</v>
      </c>
      <c r="R82" s="678">
        <f t="shared" si="12"/>
        <v>1144272</v>
      </c>
      <c r="S82" s="700">
        <f t="shared" si="13"/>
        <v>-3647382.926579738</v>
      </c>
      <c r="T82" s="691" t="s">
        <v>54</v>
      </c>
    </row>
    <row r="83" spans="1:20" ht="15" customHeight="1" x14ac:dyDescent="0.25">
      <c r="A83" s="690"/>
      <c r="B83" s="691" t="s">
        <v>666</v>
      </c>
      <c r="C83" s="676" t="s">
        <v>534</v>
      </c>
      <c r="D83" s="680">
        <v>44805</v>
      </c>
      <c r="E83" s="676">
        <v>720</v>
      </c>
      <c r="F83" s="676" t="s">
        <v>3</v>
      </c>
      <c r="G83" s="690" t="s">
        <v>13</v>
      </c>
      <c r="H83" s="115">
        <v>20</v>
      </c>
      <c r="I83" s="115">
        <v>322.01982033465981</v>
      </c>
      <c r="J83" s="601">
        <f t="shared" si="7"/>
        <v>-4637085.4128191015</v>
      </c>
      <c r="K83" s="738">
        <v>56.08</v>
      </c>
      <c r="L83" s="677">
        <f t="shared" si="8"/>
        <v>807552</v>
      </c>
      <c r="M83" s="739">
        <f t="shared" si="9"/>
        <v>-3829533.4128191015</v>
      </c>
      <c r="N83" s="740">
        <v>56.08</v>
      </c>
      <c r="O83" s="678">
        <f t="shared" si="10"/>
        <v>807552</v>
      </c>
      <c r="P83" s="700">
        <f t="shared" si="11"/>
        <v>-3829533.4128191015</v>
      </c>
      <c r="Q83" s="740">
        <v>56.08</v>
      </c>
      <c r="R83" s="678">
        <f t="shared" si="12"/>
        <v>807552</v>
      </c>
      <c r="S83" s="700">
        <f t="shared" si="13"/>
        <v>-3829533.4128191015</v>
      </c>
      <c r="T83" s="691" t="s">
        <v>54</v>
      </c>
    </row>
    <row r="84" spans="1:20" ht="15" customHeight="1" x14ac:dyDescent="0.25">
      <c r="A84" s="690"/>
      <c r="B84" s="691" t="s">
        <v>666</v>
      </c>
      <c r="C84" s="676" t="s">
        <v>534</v>
      </c>
      <c r="D84" s="680">
        <v>44835</v>
      </c>
      <c r="E84" s="676">
        <v>744</v>
      </c>
      <c r="F84" s="676" t="s">
        <v>3</v>
      </c>
      <c r="G84" s="690" t="s">
        <v>13</v>
      </c>
      <c r="H84" s="115">
        <v>20</v>
      </c>
      <c r="I84" s="115">
        <v>322.01982033465981</v>
      </c>
      <c r="J84" s="601">
        <f t="shared" si="7"/>
        <v>-4791654.926579738</v>
      </c>
      <c r="K84" s="738">
        <v>55.7</v>
      </c>
      <c r="L84" s="677">
        <f t="shared" si="8"/>
        <v>828816</v>
      </c>
      <c r="M84" s="739">
        <f t="shared" si="9"/>
        <v>-3962838.926579738</v>
      </c>
      <c r="N84" s="740">
        <v>55.7</v>
      </c>
      <c r="O84" s="678">
        <f t="shared" si="10"/>
        <v>828816</v>
      </c>
      <c r="P84" s="700">
        <f t="shared" si="11"/>
        <v>-3962838.926579738</v>
      </c>
      <c r="Q84" s="740">
        <v>55.7</v>
      </c>
      <c r="R84" s="678">
        <f t="shared" si="12"/>
        <v>828816</v>
      </c>
      <c r="S84" s="700">
        <f t="shared" si="13"/>
        <v>-3962838.926579738</v>
      </c>
      <c r="T84" s="691" t="s">
        <v>54</v>
      </c>
    </row>
    <row r="85" spans="1:20" ht="15" customHeight="1" x14ac:dyDescent="0.25">
      <c r="A85" s="690"/>
      <c r="B85" s="691" t="s">
        <v>666</v>
      </c>
      <c r="C85" s="676" t="s">
        <v>534</v>
      </c>
      <c r="D85" s="680">
        <v>44866</v>
      </c>
      <c r="E85" s="676">
        <v>720</v>
      </c>
      <c r="F85" s="676" t="s">
        <v>3</v>
      </c>
      <c r="G85" s="690" t="s">
        <v>13</v>
      </c>
      <c r="H85" s="115">
        <v>20</v>
      </c>
      <c r="I85" s="115">
        <v>322.01982033465981</v>
      </c>
      <c r="J85" s="601">
        <f t="shared" si="7"/>
        <v>-4637085.4128191015</v>
      </c>
      <c r="K85" s="738">
        <v>55.7</v>
      </c>
      <c r="L85" s="677">
        <f t="shared" si="8"/>
        <v>802080</v>
      </c>
      <c r="M85" s="739">
        <f t="shared" si="9"/>
        <v>-3835005.4128191015</v>
      </c>
      <c r="N85" s="740">
        <v>55.7</v>
      </c>
      <c r="O85" s="678">
        <f t="shared" si="10"/>
        <v>802080</v>
      </c>
      <c r="P85" s="700">
        <f t="shared" si="11"/>
        <v>-3835005.4128191015</v>
      </c>
      <c r="Q85" s="740">
        <v>55.7</v>
      </c>
      <c r="R85" s="678">
        <f t="shared" si="12"/>
        <v>802080</v>
      </c>
      <c r="S85" s="700">
        <f t="shared" si="13"/>
        <v>-3835005.4128191015</v>
      </c>
      <c r="T85" s="691" t="s">
        <v>54</v>
      </c>
    </row>
    <row r="86" spans="1:20" ht="15" customHeight="1" x14ac:dyDescent="0.25">
      <c r="A86" s="690"/>
      <c r="B86" s="695" t="s">
        <v>666</v>
      </c>
      <c r="C86" s="545" t="s">
        <v>534</v>
      </c>
      <c r="D86" s="681">
        <v>44896</v>
      </c>
      <c r="E86" s="545">
        <v>744</v>
      </c>
      <c r="F86" s="545" t="s">
        <v>3</v>
      </c>
      <c r="G86" s="725" t="s">
        <v>13</v>
      </c>
      <c r="H86" s="548">
        <v>20</v>
      </c>
      <c r="I86" s="548">
        <v>322.01982033465981</v>
      </c>
      <c r="J86" s="602">
        <f t="shared" si="7"/>
        <v>-4791654.926579738</v>
      </c>
      <c r="K86" s="742">
        <v>55.7</v>
      </c>
      <c r="L86" s="603">
        <f t="shared" si="8"/>
        <v>828816</v>
      </c>
      <c r="M86" s="743">
        <f t="shared" si="9"/>
        <v>-3962838.926579738</v>
      </c>
      <c r="N86" s="744">
        <v>55.7</v>
      </c>
      <c r="O86" s="604">
        <f t="shared" si="10"/>
        <v>828816</v>
      </c>
      <c r="P86" s="701">
        <f t="shared" si="11"/>
        <v>-3962838.926579738</v>
      </c>
      <c r="Q86" s="744">
        <v>78.400653594793155</v>
      </c>
      <c r="R86" s="604">
        <f t="shared" si="12"/>
        <v>1166601.7254905221</v>
      </c>
      <c r="S86" s="701">
        <f t="shared" si="13"/>
        <v>-3625053.2010892159</v>
      </c>
      <c r="T86" s="695" t="s">
        <v>54</v>
      </c>
    </row>
    <row r="87" spans="1:20" ht="15" customHeight="1" x14ac:dyDescent="0.25">
      <c r="A87" s="690"/>
      <c r="B87" s="696" t="s">
        <v>668</v>
      </c>
      <c r="C87" s="546" t="s">
        <v>534</v>
      </c>
      <c r="D87" s="682">
        <v>44562</v>
      </c>
      <c r="E87" s="546">
        <v>744</v>
      </c>
      <c r="F87" s="546" t="s">
        <v>3</v>
      </c>
      <c r="G87" s="726" t="s">
        <v>13</v>
      </c>
      <c r="H87" s="549">
        <v>10</v>
      </c>
      <c r="I87" s="549">
        <v>325.21869272209017</v>
      </c>
      <c r="J87" s="605">
        <f t="shared" si="7"/>
        <v>-2419627.0738523509</v>
      </c>
      <c r="K87" s="746">
        <v>57.22</v>
      </c>
      <c r="L87" s="606">
        <f t="shared" si="8"/>
        <v>425716.8</v>
      </c>
      <c r="M87" s="747">
        <f t="shared" si="9"/>
        <v>-1993910.2738523509</v>
      </c>
      <c r="N87" s="748">
        <v>57.22</v>
      </c>
      <c r="O87" s="607">
        <f t="shared" si="10"/>
        <v>425716.8</v>
      </c>
      <c r="P87" s="702">
        <f t="shared" si="11"/>
        <v>-1993910.2738523509</v>
      </c>
      <c r="Q87" s="748">
        <v>57.22</v>
      </c>
      <c r="R87" s="607">
        <f t="shared" si="12"/>
        <v>425716.8</v>
      </c>
      <c r="S87" s="702">
        <f t="shared" si="13"/>
        <v>-1993910.2738523509</v>
      </c>
      <c r="T87" s="696" t="s">
        <v>54</v>
      </c>
    </row>
    <row r="88" spans="1:20" ht="15" customHeight="1" x14ac:dyDescent="0.25">
      <c r="A88" s="690"/>
      <c r="B88" s="691" t="s">
        <v>668</v>
      </c>
      <c r="C88" s="676" t="s">
        <v>534</v>
      </c>
      <c r="D88" s="680">
        <v>44593</v>
      </c>
      <c r="E88" s="676">
        <v>672</v>
      </c>
      <c r="F88" s="676" t="s">
        <v>3</v>
      </c>
      <c r="G88" s="690" t="s">
        <v>13</v>
      </c>
      <c r="H88" s="115">
        <v>10</v>
      </c>
      <c r="I88" s="115">
        <v>325.21869272209017</v>
      </c>
      <c r="J88" s="601">
        <f t="shared" si="7"/>
        <v>-2185469.6150924461</v>
      </c>
      <c r="K88" s="738">
        <v>55.7</v>
      </c>
      <c r="L88" s="677">
        <f t="shared" si="8"/>
        <v>374304</v>
      </c>
      <c r="M88" s="739">
        <f t="shared" si="9"/>
        <v>-1811165.6150924461</v>
      </c>
      <c r="N88" s="740">
        <v>55.7</v>
      </c>
      <c r="O88" s="678">
        <f t="shared" si="10"/>
        <v>374304</v>
      </c>
      <c r="P88" s="700">
        <f t="shared" si="11"/>
        <v>-1811165.6150924461</v>
      </c>
      <c r="Q88" s="740">
        <v>55.7</v>
      </c>
      <c r="R88" s="678">
        <f t="shared" si="12"/>
        <v>374304</v>
      </c>
      <c r="S88" s="700">
        <f t="shared" si="13"/>
        <v>-1811165.6150924461</v>
      </c>
      <c r="T88" s="691" t="s">
        <v>54</v>
      </c>
    </row>
    <row r="89" spans="1:20" ht="15" customHeight="1" x14ac:dyDescent="0.25">
      <c r="A89" s="690"/>
      <c r="B89" s="691" t="s">
        <v>668</v>
      </c>
      <c r="C89" s="676" t="s">
        <v>534</v>
      </c>
      <c r="D89" s="680">
        <v>44621</v>
      </c>
      <c r="E89" s="676">
        <v>744</v>
      </c>
      <c r="F89" s="676" t="s">
        <v>3</v>
      </c>
      <c r="G89" s="690" t="s">
        <v>13</v>
      </c>
      <c r="H89" s="115">
        <v>10</v>
      </c>
      <c r="I89" s="115">
        <v>325.21869272209017</v>
      </c>
      <c r="J89" s="601">
        <f t="shared" si="7"/>
        <v>-2419627.0738523509</v>
      </c>
      <c r="K89" s="738">
        <v>55.7</v>
      </c>
      <c r="L89" s="677">
        <f t="shared" si="8"/>
        <v>414408</v>
      </c>
      <c r="M89" s="739">
        <f t="shared" si="9"/>
        <v>-2005219.0738523509</v>
      </c>
      <c r="N89" s="740">
        <v>55.7</v>
      </c>
      <c r="O89" s="678">
        <f t="shared" si="10"/>
        <v>414408</v>
      </c>
      <c r="P89" s="700">
        <f t="shared" si="11"/>
        <v>-2005219.0738523509</v>
      </c>
      <c r="Q89" s="740">
        <v>55.7</v>
      </c>
      <c r="R89" s="678">
        <f t="shared" si="12"/>
        <v>414408</v>
      </c>
      <c r="S89" s="700">
        <f t="shared" si="13"/>
        <v>-2005219.0738523509</v>
      </c>
      <c r="T89" s="691" t="s">
        <v>54</v>
      </c>
    </row>
    <row r="90" spans="1:20" ht="15" customHeight="1" x14ac:dyDescent="0.25">
      <c r="A90" s="690"/>
      <c r="B90" s="691" t="s">
        <v>668</v>
      </c>
      <c r="C90" s="676" t="s">
        <v>534</v>
      </c>
      <c r="D90" s="680">
        <v>44652</v>
      </c>
      <c r="E90" s="676">
        <v>720</v>
      </c>
      <c r="F90" s="676" t="s">
        <v>3</v>
      </c>
      <c r="G90" s="690" t="s">
        <v>13</v>
      </c>
      <c r="H90" s="115">
        <v>10</v>
      </c>
      <c r="I90" s="115">
        <v>325.21869272209017</v>
      </c>
      <c r="J90" s="601">
        <f t="shared" si="7"/>
        <v>-2341574.5875990493</v>
      </c>
      <c r="K90" s="738">
        <v>55.7</v>
      </c>
      <c r="L90" s="677">
        <f t="shared" si="8"/>
        <v>401040</v>
      </c>
      <c r="M90" s="739">
        <f t="shared" si="9"/>
        <v>-1940534.5875990493</v>
      </c>
      <c r="N90" s="740">
        <v>55.7</v>
      </c>
      <c r="O90" s="678">
        <f t="shared" si="10"/>
        <v>401040</v>
      </c>
      <c r="P90" s="700">
        <f t="shared" si="11"/>
        <v>-1940534.5875990493</v>
      </c>
      <c r="Q90" s="740">
        <v>55.7</v>
      </c>
      <c r="R90" s="678">
        <f t="shared" si="12"/>
        <v>401040</v>
      </c>
      <c r="S90" s="700">
        <f t="shared" si="13"/>
        <v>-1940534.5875990493</v>
      </c>
      <c r="T90" s="691" t="s">
        <v>54</v>
      </c>
    </row>
    <row r="91" spans="1:20" ht="15" customHeight="1" x14ac:dyDescent="0.25">
      <c r="A91" s="690"/>
      <c r="B91" s="691" t="s">
        <v>668</v>
      </c>
      <c r="C91" s="676" t="s">
        <v>534</v>
      </c>
      <c r="D91" s="680">
        <v>44682</v>
      </c>
      <c r="E91" s="676">
        <v>744</v>
      </c>
      <c r="F91" s="676" t="s">
        <v>3</v>
      </c>
      <c r="G91" s="690" t="s">
        <v>13</v>
      </c>
      <c r="H91" s="115">
        <v>10</v>
      </c>
      <c r="I91" s="115">
        <v>325.21869272209017</v>
      </c>
      <c r="J91" s="601">
        <f t="shared" si="7"/>
        <v>-2419627.0738523509</v>
      </c>
      <c r="K91" s="738">
        <v>55.7</v>
      </c>
      <c r="L91" s="677">
        <f t="shared" si="8"/>
        <v>414408</v>
      </c>
      <c r="M91" s="739">
        <f t="shared" si="9"/>
        <v>-2005219.0738523509</v>
      </c>
      <c r="N91" s="740">
        <v>55.7</v>
      </c>
      <c r="O91" s="678">
        <f t="shared" si="10"/>
        <v>414408</v>
      </c>
      <c r="P91" s="700">
        <f t="shared" si="11"/>
        <v>-2005219.0738523509</v>
      </c>
      <c r="Q91" s="740">
        <v>55.7</v>
      </c>
      <c r="R91" s="678">
        <f t="shared" si="12"/>
        <v>414408</v>
      </c>
      <c r="S91" s="700">
        <f t="shared" si="13"/>
        <v>-2005219.0738523509</v>
      </c>
      <c r="T91" s="691" t="s">
        <v>54</v>
      </c>
    </row>
    <row r="92" spans="1:20" ht="15" customHeight="1" x14ac:dyDescent="0.25">
      <c r="A92" s="690"/>
      <c r="B92" s="691" t="s">
        <v>668</v>
      </c>
      <c r="C92" s="676" t="s">
        <v>534</v>
      </c>
      <c r="D92" s="680">
        <v>44713</v>
      </c>
      <c r="E92" s="676">
        <v>720</v>
      </c>
      <c r="F92" s="676" t="s">
        <v>3</v>
      </c>
      <c r="G92" s="690" t="s">
        <v>13</v>
      </c>
      <c r="H92" s="115">
        <v>10</v>
      </c>
      <c r="I92" s="115">
        <v>325.21869272209017</v>
      </c>
      <c r="J92" s="601">
        <f t="shared" si="7"/>
        <v>-2341574.5875990493</v>
      </c>
      <c r="K92" s="738">
        <v>55.71</v>
      </c>
      <c r="L92" s="677">
        <f t="shared" si="8"/>
        <v>401112</v>
      </c>
      <c r="M92" s="739">
        <f t="shared" si="9"/>
        <v>-1940462.5875990493</v>
      </c>
      <c r="N92" s="740">
        <v>55.71</v>
      </c>
      <c r="O92" s="678">
        <f t="shared" si="10"/>
        <v>401112</v>
      </c>
      <c r="P92" s="700">
        <f t="shared" si="11"/>
        <v>-1940462.5875990493</v>
      </c>
      <c r="Q92" s="740">
        <v>55.71</v>
      </c>
      <c r="R92" s="678">
        <f t="shared" si="12"/>
        <v>401112</v>
      </c>
      <c r="S92" s="700">
        <f t="shared" si="13"/>
        <v>-1940462.5875990493</v>
      </c>
      <c r="T92" s="691" t="s">
        <v>54</v>
      </c>
    </row>
    <row r="93" spans="1:20" ht="15" customHeight="1" x14ac:dyDescent="0.25">
      <c r="A93" s="690"/>
      <c r="B93" s="691" t="s">
        <v>668</v>
      </c>
      <c r="C93" s="676" t="s">
        <v>534</v>
      </c>
      <c r="D93" s="680">
        <v>44743</v>
      </c>
      <c r="E93" s="676">
        <v>744</v>
      </c>
      <c r="F93" s="676" t="s">
        <v>3</v>
      </c>
      <c r="G93" s="690" t="s">
        <v>13</v>
      </c>
      <c r="H93" s="115">
        <v>10</v>
      </c>
      <c r="I93" s="115">
        <v>325.21869272209017</v>
      </c>
      <c r="J93" s="601">
        <f t="shared" si="7"/>
        <v>-2419627.0738523509</v>
      </c>
      <c r="K93" s="738">
        <v>66.319999999999993</v>
      </c>
      <c r="L93" s="677">
        <f t="shared" si="8"/>
        <v>493420.79999999993</v>
      </c>
      <c r="M93" s="739">
        <f t="shared" si="9"/>
        <v>-1926206.2738523511</v>
      </c>
      <c r="N93" s="740">
        <v>66.319999999999993</v>
      </c>
      <c r="O93" s="678">
        <f t="shared" si="10"/>
        <v>493420.79999999993</v>
      </c>
      <c r="P93" s="700">
        <f t="shared" si="11"/>
        <v>-1926206.2738523511</v>
      </c>
      <c r="Q93" s="740">
        <v>66.319999999999993</v>
      </c>
      <c r="R93" s="678">
        <f t="shared" si="12"/>
        <v>493420.79999999993</v>
      </c>
      <c r="S93" s="700">
        <f t="shared" si="13"/>
        <v>-1926206.2738523511</v>
      </c>
      <c r="T93" s="691" t="s">
        <v>54</v>
      </c>
    </row>
    <row r="94" spans="1:20" ht="15" customHeight="1" x14ac:dyDescent="0.25">
      <c r="A94" s="690"/>
      <c r="B94" s="691" t="s">
        <v>668</v>
      </c>
      <c r="C94" s="676" t="s">
        <v>534</v>
      </c>
      <c r="D94" s="680">
        <v>44774</v>
      </c>
      <c r="E94" s="676">
        <v>744</v>
      </c>
      <c r="F94" s="676" t="s">
        <v>3</v>
      </c>
      <c r="G94" s="690" t="s">
        <v>13</v>
      </c>
      <c r="H94" s="115">
        <v>10</v>
      </c>
      <c r="I94" s="115">
        <v>325.21869272209017</v>
      </c>
      <c r="J94" s="601">
        <f t="shared" si="7"/>
        <v>-2419627.0738523509</v>
      </c>
      <c r="K94" s="738">
        <v>76.900000000000006</v>
      </c>
      <c r="L94" s="677">
        <f t="shared" si="8"/>
        <v>572136</v>
      </c>
      <c r="M94" s="739">
        <f t="shared" si="9"/>
        <v>-1847491.0738523509</v>
      </c>
      <c r="N94" s="740">
        <v>76.900000000000006</v>
      </c>
      <c r="O94" s="678">
        <f t="shared" si="10"/>
        <v>572136</v>
      </c>
      <c r="P94" s="700">
        <f t="shared" si="11"/>
        <v>-1847491.0738523509</v>
      </c>
      <c r="Q94" s="740">
        <v>76.900000000000006</v>
      </c>
      <c r="R94" s="678">
        <f t="shared" si="12"/>
        <v>572136</v>
      </c>
      <c r="S94" s="700">
        <f t="shared" si="13"/>
        <v>-1847491.0738523509</v>
      </c>
      <c r="T94" s="691" t="s">
        <v>54</v>
      </c>
    </row>
    <row r="95" spans="1:20" ht="15" customHeight="1" x14ac:dyDescent="0.25">
      <c r="A95" s="690"/>
      <c r="B95" s="691" t="s">
        <v>668</v>
      </c>
      <c r="C95" s="676" t="s">
        <v>534</v>
      </c>
      <c r="D95" s="680">
        <v>44805</v>
      </c>
      <c r="E95" s="676">
        <v>720</v>
      </c>
      <c r="F95" s="676" t="s">
        <v>3</v>
      </c>
      <c r="G95" s="690" t="s">
        <v>13</v>
      </c>
      <c r="H95" s="115">
        <v>10</v>
      </c>
      <c r="I95" s="115">
        <v>325.21869272209017</v>
      </c>
      <c r="J95" s="601">
        <f t="shared" si="7"/>
        <v>-2341574.5875990493</v>
      </c>
      <c r="K95" s="738">
        <v>56.08</v>
      </c>
      <c r="L95" s="677">
        <f t="shared" si="8"/>
        <v>403776</v>
      </c>
      <c r="M95" s="739">
        <f t="shared" si="9"/>
        <v>-1937798.5875990493</v>
      </c>
      <c r="N95" s="740">
        <v>56.08</v>
      </c>
      <c r="O95" s="678">
        <f t="shared" si="10"/>
        <v>403776</v>
      </c>
      <c r="P95" s="700">
        <f t="shared" si="11"/>
        <v>-1937798.5875990493</v>
      </c>
      <c r="Q95" s="740">
        <v>56.08</v>
      </c>
      <c r="R95" s="678">
        <f t="shared" si="12"/>
        <v>403776</v>
      </c>
      <c r="S95" s="700">
        <f t="shared" si="13"/>
        <v>-1937798.5875990493</v>
      </c>
      <c r="T95" s="691" t="s">
        <v>54</v>
      </c>
    </row>
    <row r="96" spans="1:20" ht="15" customHeight="1" x14ac:dyDescent="0.25">
      <c r="A96" s="690"/>
      <c r="B96" s="691" t="s">
        <v>668</v>
      </c>
      <c r="C96" s="676" t="s">
        <v>534</v>
      </c>
      <c r="D96" s="680">
        <v>44835</v>
      </c>
      <c r="E96" s="676">
        <v>744</v>
      </c>
      <c r="F96" s="676" t="s">
        <v>3</v>
      </c>
      <c r="G96" s="690" t="s">
        <v>13</v>
      </c>
      <c r="H96" s="115">
        <v>10</v>
      </c>
      <c r="I96" s="115">
        <v>325.21869272209017</v>
      </c>
      <c r="J96" s="601">
        <f t="shared" si="7"/>
        <v>-2419627.0738523509</v>
      </c>
      <c r="K96" s="738">
        <v>55.7</v>
      </c>
      <c r="L96" s="677">
        <f t="shared" si="8"/>
        <v>414408</v>
      </c>
      <c r="M96" s="739">
        <f t="shared" si="9"/>
        <v>-2005219.0738523509</v>
      </c>
      <c r="N96" s="740">
        <v>55.7</v>
      </c>
      <c r="O96" s="678">
        <f t="shared" si="10"/>
        <v>414408</v>
      </c>
      <c r="P96" s="700">
        <f t="shared" si="11"/>
        <v>-2005219.0738523509</v>
      </c>
      <c r="Q96" s="740">
        <v>55.7</v>
      </c>
      <c r="R96" s="678">
        <f t="shared" si="12"/>
        <v>414408</v>
      </c>
      <c r="S96" s="700">
        <f t="shared" si="13"/>
        <v>-2005219.0738523509</v>
      </c>
      <c r="T96" s="691" t="s">
        <v>54</v>
      </c>
    </row>
    <row r="97" spans="1:20" ht="15" customHeight="1" x14ac:dyDescent="0.25">
      <c r="A97" s="690"/>
      <c r="B97" s="691" t="s">
        <v>668</v>
      </c>
      <c r="C97" s="676" t="s">
        <v>534</v>
      </c>
      <c r="D97" s="680">
        <v>44866</v>
      </c>
      <c r="E97" s="676">
        <v>720</v>
      </c>
      <c r="F97" s="676" t="s">
        <v>3</v>
      </c>
      <c r="G97" s="690" t="s">
        <v>13</v>
      </c>
      <c r="H97" s="115">
        <v>10</v>
      </c>
      <c r="I97" s="115">
        <v>325.21869272209017</v>
      </c>
      <c r="J97" s="601">
        <f t="shared" si="7"/>
        <v>-2341574.5875990493</v>
      </c>
      <c r="K97" s="738">
        <v>55.7</v>
      </c>
      <c r="L97" s="677">
        <f t="shared" si="8"/>
        <v>401040</v>
      </c>
      <c r="M97" s="739">
        <f t="shared" si="9"/>
        <v>-1940534.5875990493</v>
      </c>
      <c r="N97" s="740">
        <v>55.7</v>
      </c>
      <c r="O97" s="678">
        <f t="shared" si="10"/>
        <v>401040</v>
      </c>
      <c r="P97" s="700">
        <f t="shared" si="11"/>
        <v>-1940534.5875990493</v>
      </c>
      <c r="Q97" s="740">
        <v>55.7</v>
      </c>
      <c r="R97" s="678">
        <f t="shared" si="12"/>
        <v>401040</v>
      </c>
      <c r="S97" s="700">
        <f t="shared" si="13"/>
        <v>-1940534.5875990493</v>
      </c>
      <c r="T97" s="691" t="s">
        <v>54</v>
      </c>
    </row>
    <row r="98" spans="1:20" ht="15" customHeight="1" x14ac:dyDescent="0.25">
      <c r="A98" s="690"/>
      <c r="B98" s="695" t="s">
        <v>668</v>
      </c>
      <c r="C98" s="545" t="s">
        <v>534</v>
      </c>
      <c r="D98" s="681">
        <v>44896</v>
      </c>
      <c r="E98" s="545">
        <v>744</v>
      </c>
      <c r="F98" s="545" t="s">
        <v>3</v>
      </c>
      <c r="G98" s="725" t="s">
        <v>13</v>
      </c>
      <c r="H98" s="548">
        <v>10</v>
      </c>
      <c r="I98" s="548">
        <v>325.21869272209017</v>
      </c>
      <c r="J98" s="602">
        <f t="shared" si="7"/>
        <v>-2419627.0738523509</v>
      </c>
      <c r="K98" s="742">
        <v>55.7</v>
      </c>
      <c r="L98" s="603">
        <f t="shared" si="8"/>
        <v>414408</v>
      </c>
      <c r="M98" s="743">
        <f t="shared" si="9"/>
        <v>-2005219.0738523509</v>
      </c>
      <c r="N98" s="744">
        <v>55.7</v>
      </c>
      <c r="O98" s="604">
        <f t="shared" si="10"/>
        <v>414408</v>
      </c>
      <c r="P98" s="701">
        <f t="shared" si="11"/>
        <v>-2005219.0738523509</v>
      </c>
      <c r="Q98" s="744">
        <v>78.400653594793155</v>
      </c>
      <c r="R98" s="604">
        <f t="shared" si="12"/>
        <v>583300.86274526105</v>
      </c>
      <c r="S98" s="701">
        <f t="shared" si="13"/>
        <v>-1836326.2111070899</v>
      </c>
      <c r="T98" s="695" t="s">
        <v>54</v>
      </c>
    </row>
    <row r="99" spans="1:20" ht="15" customHeight="1" x14ac:dyDescent="0.25">
      <c r="A99" s="690"/>
      <c r="B99" s="696" t="s">
        <v>670</v>
      </c>
      <c r="C99" s="546" t="s">
        <v>534</v>
      </c>
      <c r="D99" s="682">
        <v>44562</v>
      </c>
      <c r="E99" s="546">
        <v>744</v>
      </c>
      <c r="F99" s="546" t="s">
        <v>3</v>
      </c>
      <c r="G99" s="726" t="s">
        <v>13</v>
      </c>
      <c r="H99" s="549">
        <v>5</v>
      </c>
      <c r="I99" s="549">
        <v>335.88160068019153</v>
      </c>
      <c r="J99" s="605">
        <f t="shared" si="7"/>
        <v>-1249479.5545303125</v>
      </c>
      <c r="K99" s="746">
        <v>57.22</v>
      </c>
      <c r="L99" s="606">
        <f t="shared" si="8"/>
        <v>212858.4</v>
      </c>
      <c r="M99" s="747">
        <f t="shared" si="9"/>
        <v>-1036621.1545303125</v>
      </c>
      <c r="N99" s="748">
        <v>57.22</v>
      </c>
      <c r="O99" s="607">
        <f t="shared" si="10"/>
        <v>212858.4</v>
      </c>
      <c r="P99" s="702">
        <f t="shared" si="11"/>
        <v>-1036621.1545303125</v>
      </c>
      <c r="Q99" s="748">
        <v>57.22</v>
      </c>
      <c r="R99" s="607">
        <f t="shared" si="12"/>
        <v>212858.4</v>
      </c>
      <c r="S99" s="702">
        <f t="shared" si="13"/>
        <v>-1036621.1545303125</v>
      </c>
      <c r="T99" s="696" t="s">
        <v>54</v>
      </c>
    </row>
    <row r="100" spans="1:20" ht="15" customHeight="1" x14ac:dyDescent="0.25">
      <c r="A100" s="690"/>
      <c r="B100" s="691" t="s">
        <v>670</v>
      </c>
      <c r="C100" s="676" t="s">
        <v>534</v>
      </c>
      <c r="D100" s="680">
        <v>44593</v>
      </c>
      <c r="E100" s="676">
        <v>672</v>
      </c>
      <c r="F100" s="676" t="s">
        <v>3</v>
      </c>
      <c r="G100" s="690" t="s">
        <v>13</v>
      </c>
      <c r="H100" s="115">
        <v>5</v>
      </c>
      <c r="I100" s="115">
        <v>335.88160068019153</v>
      </c>
      <c r="J100" s="601">
        <f t="shared" si="7"/>
        <v>-1128562.1782854435</v>
      </c>
      <c r="K100" s="738">
        <v>55.7</v>
      </c>
      <c r="L100" s="677">
        <f t="shared" si="8"/>
        <v>187152</v>
      </c>
      <c r="M100" s="739">
        <f t="shared" si="9"/>
        <v>-941410.17828544346</v>
      </c>
      <c r="N100" s="740">
        <v>55.7</v>
      </c>
      <c r="O100" s="678">
        <f t="shared" si="10"/>
        <v>187152</v>
      </c>
      <c r="P100" s="700">
        <f t="shared" si="11"/>
        <v>-941410.17828544346</v>
      </c>
      <c r="Q100" s="740">
        <v>55.7</v>
      </c>
      <c r="R100" s="678">
        <f t="shared" si="12"/>
        <v>187152</v>
      </c>
      <c r="S100" s="700">
        <f t="shared" si="13"/>
        <v>-941410.17828544346</v>
      </c>
      <c r="T100" s="691" t="s">
        <v>54</v>
      </c>
    </row>
    <row r="101" spans="1:20" ht="15" customHeight="1" x14ac:dyDescent="0.25">
      <c r="A101" s="690"/>
      <c r="B101" s="691" t="s">
        <v>670</v>
      </c>
      <c r="C101" s="676" t="s">
        <v>534</v>
      </c>
      <c r="D101" s="680">
        <v>44621</v>
      </c>
      <c r="E101" s="676">
        <v>744</v>
      </c>
      <c r="F101" s="676" t="s">
        <v>3</v>
      </c>
      <c r="G101" s="690" t="s">
        <v>13</v>
      </c>
      <c r="H101" s="115">
        <v>5</v>
      </c>
      <c r="I101" s="115">
        <v>335.88160068019153</v>
      </c>
      <c r="J101" s="601">
        <f t="shared" si="7"/>
        <v>-1249479.5545303125</v>
      </c>
      <c r="K101" s="738">
        <v>55.7</v>
      </c>
      <c r="L101" s="677">
        <f t="shared" si="8"/>
        <v>207204</v>
      </c>
      <c r="M101" s="739">
        <f t="shared" si="9"/>
        <v>-1042275.5545303125</v>
      </c>
      <c r="N101" s="740">
        <v>55.7</v>
      </c>
      <c r="O101" s="678">
        <f t="shared" si="10"/>
        <v>207204</v>
      </c>
      <c r="P101" s="700">
        <f t="shared" si="11"/>
        <v>-1042275.5545303125</v>
      </c>
      <c r="Q101" s="740">
        <v>55.7</v>
      </c>
      <c r="R101" s="678">
        <f t="shared" si="12"/>
        <v>207204</v>
      </c>
      <c r="S101" s="700">
        <f t="shared" si="13"/>
        <v>-1042275.5545303125</v>
      </c>
      <c r="T101" s="691" t="s">
        <v>54</v>
      </c>
    </row>
    <row r="102" spans="1:20" ht="15" customHeight="1" x14ac:dyDescent="0.25">
      <c r="A102" s="690"/>
      <c r="B102" s="691" t="s">
        <v>670</v>
      </c>
      <c r="C102" s="676" t="s">
        <v>534</v>
      </c>
      <c r="D102" s="680">
        <v>44652</v>
      </c>
      <c r="E102" s="676">
        <v>720</v>
      </c>
      <c r="F102" s="676" t="s">
        <v>3</v>
      </c>
      <c r="G102" s="690" t="s">
        <v>13</v>
      </c>
      <c r="H102" s="115">
        <v>5</v>
      </c>
      <c r="I102" s="115">
        <v>335.88160068019153</v>
      </c>
      <c r="J102" s="601">
        <f t="shared" si="7"/>
        <v>-1209173.7624486894</v>
      </c>
      <c r="K102" s="738">
        <v>55.7</v>
      </c>
      <c r="L102" s="677">
        <f t="shared" si="8"/>
        <v>200520</v>
      </c>
      <c r="M102" s="739">
        <f t="shared" si="9"/>
        <v>-1008653.7624486894</v>
      </c>
      <c r="N102" s="740">
        <v>55.7</v>
      </c>
      <c r="O102" s="678">
        <f t="shared" si="10"/>
        <v>200520</v>
      </c>
      <c r="P102" s="700">
        <f t="shared" si="11"/>
        <v>-1008653.7624486894</v>
      </c>
      <c r="Q102" s="740">
        <v>55.7</v>
      </c>
      <c r="R102" s="678">
        <f t="shared" si="12"/>
        <v>200520</v>
      </c>
      <c r="S102" s="700">
        <f t="shared" si="13"/>
        <v>-1008653.7624486894</v>
      </c>
      <c r="T102" s="691" t="s">
        <v>54</v>
      </c>
    </row>
    <row r="103" spans="1:20" ht="15" customHeight="1" x14ac:dyDescent="0.25">
      <c r="A103" s="690"/>
      <c r="B103" s="691" t="s">
        <v>670</v>
      </c>
      <c r="C103" s="676" t="s">
        <v>534</v>
      </c>
      <c r="D103" s="680">
        <v>44682</v>
      </c>
      <c r="E103" s="676">
        <v>744</v>
      </c>
      <c r="F103" s="676" t="s">
        <v>3</v>
      </c>
      <c r="G103" s="690" t="s">
        <v>13</v>
      </c>
      <c r="H103" s="115">
        <v>5</v>
      </c>
      <c r="I103" s="115">
        <v>335.88160068019153</v>
      </c>
      <c r="J103" s="601">
        <f t="shared" si="7"/>
        <v>-1249479.5545303125</v>
      </c>
      <c r="K103" s="738">
        <v>55.7</v>
      </c>
      <c r="L103" s="677">
        <f t="shared" si="8"/>
        <v>207204</v>
      </c>
      <c r="M103" s="739">
        <f t="shared" si="9"/>
        <v>-1042275.5545303125</v>
      </c>
      <c r="N103" s="740">
        <v>55.7</v>
      </c>
      <c r="O103" s="678">
        <f t="shared" si="10"/>
        <v>207204</v>
      </c>
      <c r="P103" s="700">
        <f t="shared" si="11"/>
        <v>-1042275.5545303125</v>
      </c>
      <c r="Q103" s="740">
        <v>55.7</v>
      </c>
      <c r="R103" s="678">
        <f t="shared" si="12"/>
        <v>207204</v>
      </c>
      <c r="S103" s="700">
        <f t="shared" si="13"/>
        <v>-1042275.5545303125</v>
      </c>
      <c r="T103" s="691" t="s">
        <v>54</v>
      </c>
    </row>
    <row r="104" spans="1:20" ht="15" customHeight="1" x14ac:dyDescent="0.25">
      <c r="A104" s="690"/>
      <c r="B104" s="691" t="s">
        <v>670</v>
      </c>
      <c r="C104" s="676" t="s">
        <v>534</v>
      </c>
      <c r="D104" s="680">
        <v>44713</v>
      </c>
      <c r="E104" s="676">
        <v>720</v>
      </c>
      <c r="F104" s="676" t="s">
        <v>3</v>
      </c>
      <c r="G104" s="690" t="s">
        <v>13</v>
      </c>
      <c r="H104" s="115">
        <v>5</v>
      </c>
      <c r="I104" s="115">
        <v>335.88160068019153</v>
      </c>
      <c r="J104" s="601">
        <f t="shared" si="7"/>
        <v>-1209173.7624486894</v>
      </c>
      <c r="K104" s="738">
        <v>55.71</v>
      </c>
      <c r="L104" s="677">
        <f t="shared" si="8"/>
        <v>200556</v>
      </c>
      <c r="M104" s="739">
        <f t="shared" si="9"/>
        <v>-1008617.7624486894</v>
      </c>
      <c r="N104" s="740">
        <v>55.71</v>
      </c>
      <c r="O104" s="678">
        <f t="shared" si="10"/>
        <v>200556</v>
      </c>
      <c r="P104" s="700">
        <f t="shared" si="11"/>
        <v>-1008617.7624486894</v>
      </c>
      <c r="Q104" s="740">
        <v>55.71</v>
      </c>
      <c r="R104" s="678">
        <f t="shared" si="12"/>
        <v>200556</v>
      </c>
      <c r="S104" s="700">
        <f t="shared" si="13"/>
        <v>-1008617.7624486894</v>
      </c>
      <c r="T104" s="691" t="s">
        <v>54</v>
      </c>
    </row>
    <row r="105" spans="1:20" ht="15" customHeight="1" x14ac:dyDescent="0.25">
      <c r="A105" s="690"/>
      <c r="B105" s="691" t="s">
        <v>670</v>
      </c>
      <c r="C105" s="676" t="s">
        <v>534</v>
      </c>
      <c r="D105" s="680">
        <v>44743</v>
      </c>
      <c r="E105" s="676">
        <v>744</v>
      </c>
      <c r="F105" s="676" t="s">
        <v>3</v>
      </c>
      <c r="G105" s="690" t="s">
        <v>13</v>
      </c>
      <c r="H105" s="115">
        <v>5</v>
      </c>
      <c r="I105" s="115">
        <v>335.88160068019153</v>
      </c>
      <c r="J105" s="601">
        <f t="shared" si="7"/>
        <v>-1249479.5545303125</v>
      </c>
      <c r="K105" s="738">
        <v>66.319999999999993</v>
      </c>
      <c r="L105" s="677">
        <f t="shared" si="8"/>
        <v>246710.39999999997</v>
      </c>
      <c r="M105" s="739">
        <f t="shared" si="9"/>
        <v>-1002769.1545303126</v>
      </c>
      <c r="N105" s="740">
        <v>66.319999999999993</v>
      </c>
      <c r="O105" s="678">
        <f t="shared" si="10"/>
        <v>246710.39999999997</v>
      </c>
      <c r="P105" s="700">
        <f t="shared" si="11"/>
        <v>-1002769.1545303126</v>
      </c>
      <c r="Q105" s="740">
        <v>66.319999999999993</v>
      </c>
      <c r="R105" s="678">
        <f t="shared" si="12"/>
        <v>246710.39999999997</v>
      </c>
      <c r="S105" s="700">
        <f t="shared" si="13"/>
        <v>-1002769.1545303126</v>
      </c>
      <c r="T105" s="691" t="s">
        <v>54</v>
      </c>
    </row>
    <row r="106" spans="1:20" ht="15" customHeight="1" x14ac:dyDescent="0.25">
      <c r="A106" s="690"/>
      <c r="B106" s="691" t="s">
        <v>670</v>
      </c>
      <c r="C106" s="676" t="s">
        <v>534</v>
      </c>
      <c r="D106" s="680">
        <v>44774</v>
      </c>
      <c r="E106" s="676">
        <v>744</v>
      </c>
      <c r="F106" s="676" t="s">
        <v>3</v>
      </c>
      <c r="G106" s="690" t="s">
        <v>13</v>
      </c>
      <c r="H106" s="115">
        <v>5</v>
      </c>
      <c r="I106" s="115">
        <v>335.88160068019153</v>
      </c>
      <c r="J106" s="601">
        <f t="shared" si="7"/>
        <v>-1249479.5545303125</v>
      </c>
      <c r="K106" s="738">
        <v>76.900000000000006</v>
      </c>
      <c r="L106" s="677">
        <f t="shared" si="8"/>
        <v>286068</v>
      </c>
      <c r="M106" s="739">
        <f t="shared" si="9"/>
        <v>-963411.55453031254</v>
      </c>
      <c r="N106" s="740">
        <v>76.900000000000006</v>
      </c>
      <c r="O106" s="678">
        <f t="shared" si="10"/>
        <v>286068</v>
      </c>
      <c r="P106" s="700">
        <f t="shared" si="11"/>
        <v>-963411.55453031254</v>
      </c>
      <c r="Q106" s="740">
        <v>76.900000000000006</v>
      </c>
      <c r="R106" s="678">
        <f t="shared" si="12"/>
        <v>286068</v>
      </c>
      <c r="S106" s="700">
        <f t="shared" si="13"/>
        <v>-963411.55453031254</v>
      </c>
      <c r="T106" s="691" t="s">
        <v>54</v>
      </c>
    </row>
    <row r="107" spans="1:20" ht="15" customHeight="1" x14ac:dyDescent="0.25">
      <c r="A107" s="690"/>
      <c r="B107" s="691" t="s">
        <v>670</v>
      </c>
      <c r="C107" s="676" t="s">
        <v>534</v>
      </c>
      <c r="D107" s="680">
        <v>44805</v>
      </c>
      <c r="E107" s="676">
        <v>720</v>
      </c>
      <c r="F107" s="676" t="s">
        <v>3</v>
      </c>
      <c r="G107" s="690" t="s">
        <v>13</v>
      </c>
      <c r="H107" s="115">
        <v>5</v>
      </c>
      <c r="I107" s="115">
        <v>335.88160068019153</v>
      </c>
      <c r="J107" s="601">
        <f t="shared" si="7"/>
        <v>-1209173.7624486894</v>
      </c>
      <c r="K107" s="738">
        <v>56.08</v>
      </c>
      <c r="L107" s="677">
        <f t="shared" si="8"/>
        <v>201888</v>
      </c>
      <c r="M107" s="739">
        <f t="shared" si="9"/>
        <v>-1007285.7624486894</v>
      </c>
      <c r="N107" s="740">
        <v>56.08</v>
      </c>
      <c r="O107" s="678">
        <f t="shared" si="10"/>
        <v>201888</v>
      </c>
      <c r="P107" s="700">
        <f t="shared" si="11"/>
        <v>-1007285.7624486894</v>
      </c>
      <c r="Q107" s="740">
        <v>56.08</v>
      </c>
      <c r="R107" s="678">
        <f t="shared" si="12"/>
        <v>201888</v>
      </c>
      <c r="S107" s="700">
        <f t="shared" si="13"/>
        <v>-1007285.7624486894</v>
      </c>
      <c r="T107" s="691" t="s">
        <v>54</v>
      </c>
    </row>
    <row r="108" spans="1:20" ht="15" customHeight="1" x14ac:dyDescent="0.25">
      <c r="A108" s="690"/>
      <c r="B108" s="691" t="s">
        <v>670</v>
      </c>
      <c r="C108" s="676" t="s">
        <v>534</v>
      </c>
      <c r="D108" s="680">
        <v>44835</v>
      </c>
      <c r="E108" s="676">
        <v>744</v>
      </c>
      <c r="F108" s="676" t="s">
        <v>3</v>
      </c>
      <c r="G108" s="690" t="s">
        <v>13</v>
      </c>
      <c r="H108" s="115">
        <v>5</v>
      </c>
      <c r="I108" s="115">
        <v>335.88160068019153</v>
      </c>
      <c r="J108" s="601">
        <f t="shared" si="7"/>
        <v>-1249479.5545303125</v>
      </c>
      <c r="K108" s="738">
        <v>55.7</v>
      </c>
      <c r="L108" s="677">
        <f t="shared" si="8"/>
        <v>207204</v>
      </c>
      <c r="M108" s="739">
        <f t="shared" si="9"/>
        <v>-1042275.5545303125</v>
      </c>
      <c r="N108" s="740">
        <v>55.7</v>
      </c>
      <c r="O108" s="678">
        <f t="shared" si="10"/>
        <v>207204</v>
      </c>
      <c r="P108" s="700">
        <f t="shared" si="11"/>
        <v>-1042275.5545303125</v>
      </c>
      <c r="Q108" s="740">
        <v>55.7</v>
      </c>
      <c r="R108" s="678">
        <f t="shared" si="12"/>
        <v>207204</v>
      </c>
      <c r="S108" s="700">
        <f t="shared" si="13"/>
        <v>-1042275.5545303125</v>
      </c>
      <c r="T108" s="691" t="s">
        <v>54</v>
      </c>
    </row>
    <row r="109" spans="1:20" ht="15" customHeight="1" x14ac:dyDescent="0.25">
      <c r="A109" s="690"/>
      <c r="B109" s="691" t="s">
        <v>670</v>
      </c>
      <c r="C109" s="676" t="s">
        <v>534</v>
      </c>
      <c r="D109" s="680">
        <v>44866</v>
      </c>
      <c r="E109" s="676">
        <v>720</v>
      </c>
      <c r="F109" s="676" t="s">
        <v>3</v>
      </c>
      <c r="G109" s="690" t="s">
        <v>13</v>
      </c>
      <c r="H109" s="115">
        <v>5</v>
      </c>
      <c r="I109" s="115">
        <v>335.88160068019153</v>
      </c>
      <c r="J109" s="601">
        <f t="shared" si="7"/>
        <v>-1209173.7624486894</v>
      </c>
      <c r="K109" s="738">
        <v>55.7</v>
      </c>
      <c r="L109" s="677">
        <f t="shared" si="8"/>
        <v>200520</v>
      </c>
      <c r="M109" s="739">
        <f t="shared" si="9"/>
        <v>-1008653.7624486894</v>
      </c>
      <c r="N109" s="740">
        <v>55.7</v>
      </c>
      <c r="O109" s="678">
        <f t="shared" si="10"/>
        <v>200520</v>
      </c>
      <c r="P109" s="700">
        <f t="shared" si="11"/>
        <v>-1008653.7624486894</v>
      </c>
      <c r="Q109" s="740">
        <v>55.7</v>
      </c>
      <c r="R109" s="678">
        <f t="shared" si="12"/>
        <v>200520</v>
      </c>
      <c r="S109" s="700">
        <f t="shared" si="13"/>
        <v>-1008653.7624486894</v>
      </c>
      <c r="T109" s="691" t="s">
        <v>54</v>
      </c>
    </row>
    <row r="110" spans="1:20" ht="15" customHeight="1" x14ac:dyDescent="0.25">
      <c r="A110" s="690"/>
      <c r="B110" s="695" t="s">
        <v>670</v>
      </c>
      <c r="C110" s="545" t="s">
        <v>534</v>
      </c>
      <c r="D110" s="681">
        <v>44896</v>
      </c>
      <c r="E110" s="545">
        <v>744</v>
      </c>
      <c r="F110" s="545" t="s">
        <v>3</v>
      </c>
      <c r="G110" s="725" t="s">
        <v>13</v>
      </c>
      <c r="H110" s="548">
        <v>5</v>
      </c>
      <c r="I110" s="548">
        <v>335.88160068019153</v>
      </c>
      <c r="J110" s="602">
        <f t="shared" si="7"/>
        <v>-1249479.5545303125</v>
      </c>
      <c r="K110" s="742">
        <v>55.7</v>
      </c>
      <c r="L110" s="603">
        <f t="shared" si="8"/>
        <v>207204</v>
      </c>
      <c r="M110" s="743">
        <f t="shared" si="9"/>
        <v>-1042275.5545303125</v>
      </c>
      <c r="N110" s="744">
        <v>55.7</v>
      </c>
      <c r="O110" s="604">
        <f t="shared" si="10"/>
        <v>207204</v>
      </c>
      <c r="P110" s="701">
        <f t="shared" si="11"/>
        <v>-1042275.5545303125</v>
      </c>
      <c r="Q110" s="744">
        <v>78.400653594793155</v>
      </c>
      <c r="R110" s="604">
        <f t="shared" si="12"/>
        <v>291650.43137263053</v>
      </c>
      <c r="S110" s="701">
        <f t="shared" si="13"/>
        <v>-957829.12315768201</v>
      </c>
      <c r="T110" s="695" t="s">
        <v>54</v>
      </c>
    </row>
    <row r="111" spans="1:20" ht="15" customHeight="1" x14ac:dyDescent="0.25">
      <c r="A111" s="690"/>
      <c r="B111" s="696" t="s">
        <v>672</v>
      </c>
      <c r="C111" s="546" t="s">
        <v>40</v>
      </c>
      <c r="D111" s="682">
        <v>44743</v>
      </c>
      <c r="E111" s="546">
        <v>744</v>
      </c>
      <c r="F111" s="546" t="s">
        <v>3</v>
      </c>
      <c r="G111" s="726" t="s">
        <v>13</v>
      </c>
      <c r="H111" s="549">
        <v>10</v>
      </c>
      <c r="I111" s="549">
        <v>323.50410226725228</v>
      </c>
      <c r="J111" s="605">
        <f t="shared" si="7"/>
        <v>-2406870.5208683568</v>
      </c>
      <c r="K111" s="746">
        <v>66.319999999999993</v>
      </c>
      <c r="L111" s="606">
        <f t="shared" si="8"/>
        <v>493420.79999999993</v>
      </c>
      <c r="M111" s="747">
        <f t="shared" si="9"/>
        <v>-1913449.720868357</v>
      </c>
      <c r="N111" s="748">
        <v>66.319999999999993</v>
      </c>
      <c r="O111" s="607">
        <f t="shared" si="10"/>
        <v>493420.79999999993</v>
      </c>
      <c r="P111" s="702">
        <f t="shared" si="11"/>
        <v>-1913449.720868357</v>
      </c>
      <c r="Q111" s="748">
        <v>66.319999999999993</v>
      </c>
      <c r="R111" s="607">
        <f t="shared" si="12"/>
        <v>493420.79999999993</v>
      </c>
      <c r="S111" s="702">
        <f t="shared" si="13"/>
        <v>-1913449.720868357</v>
      </c>
      <c r="T111" s="696" t="s">
        <v>54</v>
      </c>
    </row>
    <row r="112" spans="1:20" ht="15" customHeight="1" x14ac:dyDescent="0.25">
      <c r="A112" s="690"/>
      <c r="B112" s="691" t="s">
        <v>672</v>
      </c>
      <c r="C112" s="676" t="s">
        <v>40</v>
      </c>
      <c r="D112" s="680">
        <v>44774</v>
      </c>
      <c r="E112" s="676">
        <v>744</v>
      </c>
      <c r="F112" s="676" t="s">
        <v>3</v>
      </c>
      <c r="G112" s="690" t="s">
        <v>13</v>
      </c>
      <c r="H112" s="115">
        <v>10</v>
      </c>
      <c r="I112" s="115">
        <v>323.50410226725228</v>
      </c>
      <c r="J112" s="601">
        <f t="shared" si="7"/>
        <v>-2406870.5208683568</v>
      </c>
      <c r="K112" s="738">
        <v>76.900000000000006</v>
      </c>
      <c r="L112" s="677">
        <f t="shared" si="8"/>
        <v>572136</v>
      </c>
      <c r="M112" s="739">
        <f t="shared" si="9"/>
        <v>-1834734.5208683568</v>
      </c>
      <c r="N112" s="740">
        <v>76.900000000000006</v>
      </c>
      <c r="O112" s="678">
        <f t="shared" si="10"/>
        <v>572136</v>
      </c>
      <c r="P112" s="700">
        <f t="shared" si="11"/>
        <v>-1834734.5208683568</v>
      </c>
      <c r="Q112" s="740">
        <v>76.900000000000006</v>
      </c>
      <c r="R112" s="678">
        <f t="shared" si="12"/>
        <v>572136</v>
      </c>
      <c r="S112" s="700">
        <f t="shared" si="13"/>
        <v>-1834734.5208683568</v>
      </c>
      <c r="T112" s="691" t="s">
        <v>54</v>
      </c>
    </row>
    <row r="113" spans="1:20" ht="15" customHeight="1" x14ac:dyDescent="0.25">
      <c r="A113" s="690"/>
      <c r="B113" s="691" t="s">
        <v>672</v>
      </c>
      <c r="C113" s="676" t="s">
        <v>40</v>
      </c>
      <c r="D113" s="680">
        <v>44805</v>
      </c>
      <c r="E113" s="676">
        <v>720</v>
      </c>
      <c r="F113" s="676" t="s">
        <v>3</v>
      </c>
      <c r="G113" s="690" t="s">
        <v>13</v>
      </c>
      <c r="H113" s="115">
        <v>10</v>
      </c>
      <c r="I113" s="115">
        <v>323.50410226725228</v>
      </c>
      <c r="J113" s="601">
        <f t="shared" si="7"/>
        <v>-2329229.5363242165</v>
      </c>
      <c r="K113" s="738">
        <v>56.08</v>
      </c>
      <c r="L113" s="677">
        <f t="shared" si="8"/>
        <v>403776</v>
      </c>
      <c r="M113" s="739">
        <f t="shared" si="9"/>
        <v>-1925453.5363242165</v>
      </c>
      <c r="N113" s="740">
        <v>56.08</v>
      </c>
      <c r="O113" s="678">
        <f t="shared" si="10"/>
        <v>403776</v>
      </c>
      <c r="P113" s="700">
        <f t="shared" si="11"/>
        <v>-1925453.5363242165</v>
      </c>
      <c r="Q113" s="740">
        <v>56.08</v>
      </c>
      <c r="R113" s="678">
        <f t="shared" si="12"/>
        <v>403776</v>
      </c>
      <c r="S113" s="700">
        <f t="shared" si="13"/>
        <v>-1925453.5363242165</v>
      </c>
      <c r="T113" s="691" t="s">
        <v>54</v>
      </c>
    </row>
    <row r="114" spans="1:20" ht="15" customHeight="1" x14ac:dyDescent="0.25">
      <c r="A114" s="690"/>
      <c r="B114" s="691" t="s">
        <v>672</v>
      </c>
      <c r="C114" s="676" t="s">
        <v>40</v>
      </c>
      <c r="D114" s="680">
        <v>44835</v>
      </c>
      <c r="E114" s="676">
        <v>744</v>
      </c>
      <c r="F114" s="676" t="s">
        <v>3</v>
      </c>
      <c r="G114" s="690" t="s">
        <v>13</v>
      </c>
      <c r="H114" s="115">
        <v>10</v>
      </c>
      <c r="I114" s="115">
        <v>323.50410226725228</v>
      </c>
      <c r="J114" s="601">
        <f t="shared" si="7"/>
        <v>-2406870.5208683568</v>
      </c>
      <c r="K114" s="738">
        <v>55.7</v>
      </c>
      <c r="L114" s="677">
        <f t="shared" si="8"/>
        <v>414408</v>
      </c>
      <c r="M114" s="739">
        <f t="shared" si="9"/>
        <v>-1992462.5208683568</v>
      </c>
      <c r="N114" s="740">
        <v>55.7</v>
      </c>
      <c r="O114" s="678">
        <f t="shared" si="10"/>
        <v>414408</v>
      </c>
      <c r="P114" s="700">
        <f t="shared" si="11"/>
        <v>-1992462.5208683568</v>
      </c>
      <c r="Q114" s="740">
        <v>55.7</v>
      </c>
      <c r="R114" s="678">
        <f t="shared" si="12"/>
        <v>414408</v>
      </c>
      <c r="S114" s="700">
        <f t="shared" si="13"/>
        <v>-1992462.5208683568</v>
      </c>
      <c r="T114" s="691" t="s">
        <v>54</v>
      </c>
    </row>
    <row r="115" spans="1:20" ht="15" customHeight="1" x14ac:dyDescent="0.25">
      <c r="A115" s="690"/>
      <c r="B115" s="691" t="s">
        <v>672</v>
      </c>
      <c r="C115" s="676" t="s">
        <v>40</v>
      </c>
      <c r="D115" s="680">
        <v>44866</v>
      </c>
      <c r="E115" s="676">
        <v>720</v>
      </c>
      <c r="F115" s="676" t="s">
        <v>3</v>
      </c>
      <c r="G115" s="690" t="s">
        <v>13</v>
      </c>
      <c r="H115" s="115">
        <v>10</v>
      </c>
      <c r="I115" s="115">
        <v>323.50410226725228</v>
      </c>
      <c r="J115" s="601">
        <f t="shared" si="7"/>
        <v>-2329229.5363242165</v>
      </c>
      <c r="K115" s="738">
        <v>55.7</v>
      </c>
      <c r="L115" s="677">
        <f t="shared" si="8"/>
        <v>401040</v>
      </c>
      <c r="M115" s="739">
        <f t="shared" si="9"/>
        <v>-1928189.5363242165</v>
      </c>
      <c r="N115" s="740">
        <v>55.7</v>
      </c>
      <c r="O115" s="678">
        <f t="shared" si="10"/>
        <v>401040</v>
      </c>
      <c r="P115" s="700">
        <f t="shared" si="11"/>
        <v>-1928189.5363242165</v>
      </c>
      <c r="Q115" s="740">
        <v>55.7</v>
      </c>
      <c r="R115" s="678">
        <f t="shared" si="12"/>
        <v>401040</v>
      </c>
      <c r="S115" s="700">
        <f t="shared" si="13"/>
        <v>-1928189.5363242165</v>
      </c>
      <c r="T115" s="691" t="s">
        <v>54</v>
      </c>
    </row>
    <row r="116" spans="1:20" ht="15" customHeight="1" x14ac:dyDescent="0.25">
      <c r="A116" s="690"/>
      <c r="B116" s="695" t="s">
        <v>672</v>
      </c>
      <c r="C116" s="545" t="s">
        <v>40</v>
      </c>
      <c r="D116" s="681">
        <v>44896</v>
      </c>
      <c r="E116" s="545">
        <v>744</v>
      </c>
      <c r="F116" s="545" t="s">
        <v>3</v>
      </c>
      <c r="G116" s="725" t="s">
        <v>13</v>
      </c>
      <c r="H116" s="548">
        <v>10</v>
      </c>
      <c r="I116" s="548">
        <v>323.50410226725228</v>
      </c>
      <c r="J116" s="602">
        <f t="shared" si="7"/>
        <v>-2406870.5208683568</v>
      </c>
      <c r="K116" s="742">
        <v>55.7</v>
      </c>
      <c r="L116" s="603">
        <f t="shared" si="8"/>
        <v>414408</v>
      </c>
      <c r="M116" s="743">
        <f t="shared" si="9"/>
        <v>-1992462.5208683568</v>
      </c>
      <c r="N116" s="744">
        <v>55.7</v>
      </c>
      <c r="O116" s="604">
        <f t="shared" si="10"/>
        <v>414408</v>
      </c>
      <c r="P116" s="701">
        <f t="shared" si="11"/>
        <v>-1992462.5208683568</v>
      </c>
      <c r="Q116" s="744">
        <v>78.400653594793155</v>
      </c>
      <c r="R116" s="604">
        <f t="shared" si="12"/>
        <v>583300.86274526105</v>
      </c>
      <c r="S116" s="701">
        <f t="shared" si="13"/>
        <v>-1823569.6581230958</v>
      </c>
      <c r="T116" s="695" t="s">
        <v>54</v>
      </c>
    </row>
    <row r="117" spans="1:20" ht="15" customHeight="1" x14ac:dyDescent="0.25">
      <c r="A117" s="690"/>
      <c r="B117" s="696" t="s">
        <v>677</v>
      </c>
      <c r="C117" s="546" t="s">
        <v>40</v>
      </c>
      <c r="D117" s="682">
        <v>44927</v>
      </c>
      <c r="E117" s="546">
        <v>744</v>
      </c>
      <c r="F117" s="546" t="s">
        <v>3</v>
      </c>
      <c r="G117" s="726" t="s">
        <v>44</v>
      </c>
      <c r="H117" s="549">
        <v>-1</v>
      </c>
      <c r="I117" s="549">
        <v>265.24573283812703</v>
      </c>
      <c r="J117" s="605">
        <f t="shared" si="7"/>
        <v>197342.8252315665</v>
      </c>
      <c r="K117" s="746">
        <v>68.72</v>
      </c>
      <c r="L117" s="606">
        <f t="shared" si="8"/>
        <v>-51127.68</v>
      </c>
      <c r="M117" s="747">
        <f t="shared" si="9"/>
        <v>146215.14523156651</v>
      </c>
      <c r="N117" s="748">
        <v>55.7</v>
      </c>
      <c r="O117" s="607">
        <f t="shared" si="10"/>
        <v>-41440.800000000003</v>
      </c>
      <c r="P117" s="702">
        <f t="shared" si="11"/>
        <v>155902.02523156651</v>
      </c>
      <c r="Q117" s="748">
        <v>96.206580759134184</v>
      </c>
      <c r="R117" s="607">
        <f t="shared" si="12"/>
        <v>-71577.69608479584</v>
      </c>
      <c r="S117" s="702">
        <f t="shared" si="13"/>
        <v>125765.12914677066</v>
      </c>
      <c r="T117" s="696" t="s">
        <v>54</v>
      </c>
    </row>
    <row r="118" spans="1:20" ht="15" customHeight="1" x14ac:dyDescent="0.25">
      <c r="A118" s="690"/>
      <c r="B118" s="691" t="s">
        <v>677</v>
      </c>
      <c r="C118" s="676" t="s">
        <v>40</v>
      </c>
      <c r="D118" s="680">
        <v>44958</v>
      </c>
      <c r="E118" s="676">
        <v>672</v>
      </c>
      <c r="F118" s="676" t="s">
        <v>3</v>
      </c>
      <c r="G118" s="690" t="s">
        <v>44</v>
      </c>
      <c r="H118" s="115">
        <v>-1</v>
      </c>
      <c r="I118" s="115">
        <v>265.24573283812703</v>
      </c>
      <c r="J118" s="601">
        <f t="shared" si="7"/>
        <v>178245.13246722135</v>
      </c>
      <c r="K118" s="738">
        <v>69.25</v>
      </c>
      <c r="L118" s="677">
        <f t="shared" si="8"/>
        <v>-46536</v>
      </c>
      <c r="M118" s="739">
        <f t="shared" si="9"/>
        <v>131709.13246722135</v>
      </c>
      <c r="N118" s="740">
        <v>55.7</v>
      </c>
      <c r="O118" s="678">
        <f t="shared" si="10"/>
        <v>-37430.400000000001</v>
      </c>
      <c r="P118" s="700">
        <f t="shared" si="11"/>
        <v>140814.73246722136</v>
      </c>
      <c r="Q118" s="740">
        <v>92.430648861364247</v>
      </c>
      <c r="R118" s="678">
        <f t="shared" si="12"/>
        <v>-62113.396034836776</v>
      </c>
      <c r="S118" s="700">
        <f t="shared" si="13"/>
        <v>116131.73643238458</v>
      </c>
      <c r="T118" s="691" t="s">
        <v>54</v>
      </c>
    </row>
    <row r="119" spans="1:20" ht="15" customHeight="1" x14ac:dyDescent="0.25">
      <c r="A119" s="690"/>
      <c r="B119" s="691" t="s">
        <v>677</v>
      </c>
      <c r="C119" s="676" t="s">
        <v>40</v>
      </c>
      <c r="D119" s="680">
        <v>44986</v>
      </c>
      <c r="E119" s="676">
        <v>744</v>
      </c>
      <c r="F119" s="676" t="s">
        <v>3</v>
      </c>
      <c r="G119" s="690" t="s">
        <v>44</v>
      </c>
      <c r="H119" s="115">
        <v>-1</v>
      </c>
      <c r="I119" s="115">
        <v>265.24573283812703</v>
      </c>
      <c r="J119" s="601">
        <f t="shared" si="7"/>
        <v>197342.8252315665</v>
      </c>
      <c r="K119" s="738">
        <v>69.3</v>
      </c>
      <c r="L119" s="677">
        <f t="shared" si="8"/>
        <v>-51559.199999999997</v>
      </c>
      <c r="M119" s="739">
        <f t="shared" si="9"/>
        <v>145783.62523156649</v>
      </c>
      <c r="N119" s="740">
        <v>55.7</v>
      </c>
      <c r="O119" s="678">
        <f t="shared" si="10"/>
        <v>-41440.800000000003</v>
      </c>
      <c r="P119" s="700">
        <f t="shared" si="11"/>
        <v>155902.02523156651</v>
      </c>
      <c r="Q119" s="740">
        <v>89.053218420260009</v>
      </c>
      <c r="R119" s="678">
        <f t="shared" si="12"/>
        <v>-66255.594504673441</v>
      </c>
      <c r="S119" s="700">
        <f t="shared" si="13"/>
        <v>131087.23072689306</v>
      </c>
      <c r="T119" s="691" t="s">
        <v>54</v>
      </c>
    </row>
    <row r="120" spans="1:20" ht="15" customHeight="1" x14ac:dyDescent="0.25">
      <c r="A120" s="690"/>
      <c r="B120" s="691" t="s">
        <v>677</v>
      </c>
      <c r="C120" s="676" t="s">
        <v>40</v>
      </c>
      <c r="D120" s="680">
        <v>45017</v>
      </c>
      <c r="E120" s="676">
        <v>720</v>
      </c>
      <c r="F120" s="676" t="s">
        <v>3</v>
      </c>
      <c r="G120" s="690" t="s">
        <v>44</v>
      </c>
      <c r="H120" s="115">
        <v>-1</v>
      </c>
      <c r="I120" s="115">
        <v>265.24573283812703</v>
      </c>
      <c r="J120" s="601">
        <f t="shared" si="7"/>
        <v>190976.92764345146</v>
      </c>
      <c r="K120" s="738">
        <v>69.8</v>
      </c>
      <c r="L120" s="677">
        <f t="shared" si="8"/>
        <v>-50256</v>
      </c>
      <c r="M120" s="739">
        <f t="shared" si="9"/>
        <v>140720.92764345146</v>
      </c>
      <c r="N120" s="740">
        <v>55.7</v>
      </c>
      <c r="O120" s="678">
        <f t="shared" si="10"/>
        <v>-40104</v>
      </c>
      <c r="P120" s="700">
        <f t="shared" si="11"/>
        <v>150872.92764345146</v>
      </c>
      <c r="Q120" s="740">
        <v>85.732008718771311</v>
      </c>
      <c r="R120" s="678">
        <f t="shared" si="12"/>
        <v>-61727.046277515343</v>
      </c>
      <c r="S120" s="700">
        <f t="shared" si="13"/>
        <v>129249.88136593612</v>
      </c>
      <c r="T120" s="691" t="s">
        <v>54</v>
      </c>
    </row>
    <row r="121" spans="1:20" ht="15" customHeight="1" x14ac:dyDescent="0.25">
      <c r="A121" s="690"/>
      <c r="B121" s="691" t="s">
        <v>677</v>
      </c>
      <c r="C121" s="676" t="s">
        <v>40</v>
      </c>
      <c r="D121" s="680">
        <v>45047</v>
      </c>
      <c r="E121" s="676">
        <v>744</v>
      </c>
      <c r="F121" s="676" t="s">
        <v>3</v>
      </c>
      <c r="G121" s="690" t="s">
        <v>44</v>
      </c>
      <c r="H121" s="115">
        <v>-1</v>
      </c>
      <c r="I121" s="115">
        <v>265.24573283812703</v>
      </c>
      <c r="J121" s="601">
        <f t="shared" si="7"/>
        <v>197342.8252315665</v>
      </c>
      <c r="K121" s="738">
        <v>70.2</v>
      </c>
      <c r="L121" s="677">
        <f t="shared" si="8"/>
        <v>-52228.800000000003</v>
      </c>
      <c r="M121" s="739">
        <f t="shared" si="9"/>
        <v>145114.02523156651</v>
      </c>
      <c r="N121" s="740">
        <v>55.7</v>
      </c>
      <c r="O121" s="678">
        <f t="shared" si="10"/>
        <v>-41440.800000000003</v>
      </c>
      <c r="P121" s="700">
        <f t="shared" si="11"/>
        <v>155902.02523156651</v>
      </c>
      <c r="Q121" s="740">
        <v>86.223309628334476</v>
      </c>
      <c r="R121" s="678">
        <f t="shared" si="12"/>
        <v>-64150.142363480853</v>
      </c>
      <c r="S121" s="700">
        <f t="shared" si="13"/>
        <v>133192.68286808566</v>
      </c>
      <c r="T121" s="691" t="s">
        <v>54</v>
      </c>
    </row>
    <row r="122" spans="1:20" ht="15" customHeight="1" x14ac:dyDescent="0.25">
      <c r="A122" s="690"/>
      <c r="B122" s="691" t="s">
        <v>677</v>
      </c>
      <c r="C122" s="676" t="s">
        <v>40</v>
      </c>
      <c r="D122" s="680">
        <v>45078</v>
      </c>
      <c r="E122" s="676">
        <v>720</v>
      </c>
      <c r="F122" s="676" t="s">
        <v>3</v>
      </c>
      <c r="G122" s="690" t="s">
        <v>44</v>
      </c>
      <c r="H122" s="115">
        <v>-1</v>
      </c>
      <c r="I122" s="115">
        <v>265.24573283812703</v>
      </c>
      <c r="J122" s="601">
        <f t="shared" si="7"/>
        <v>190976.92764345146</v>
      </c>
      <c r="K122" s="738">
        <v>72.400000000000006</v>
      </c>
      <c r="L122" s="677">
        <f t="shared" si="8"/>
        <v>-52128.000000000007</v>
      </c>
      <c r="M122" s="739">
        <f t="shared" si="9"/>
        <v>138848.92764345146</v>
      </c>
      <c r="N122" s="740">
        <v>55.874535369068141</v>
      </c>
      <c r="O122" s="678">
        <f t="shared" si="10"/>
        <v>-40229.665465729064</v>
      </c>
      <c r="P122" s="700">
        <f t="shared" si="11"/>
        <v>150747.26217772241</v>
      </c>
      <c r="Q122" s="740">
        <v>88.925464630931856</v>
      </c>
      <c r="R122" s="678">
        <f t="shared" si="12"/>
        <v>-64026.334534270936</v>
      </c>
      <c r="S122" s="700">
        <f t="shared" si="13"/>
        <v>126950.59310918053</v>
      </c>
      <c r="T122" s="691" t="s">
        <v>54</v>
      </c>
    </row>
    <row r="123" spans="1:20" x14ac:dyDescent="0.25">
      <c r="A123" s="690"/>
      <c r="B123" s="691" t="s">
        <v>677</v>
      </c>
      <c r="C123" s="676" t="s">
        <v>40</v>
      </c>
      <c r="D123" s="680">
        <v>45108</v>
      </c>
      <c r="E123" s="676">
        <v>744</v>
      </c>
      <c r="F123" s="676" t="s">
        <v>3</v>
      </c>
      <c r="G123" s="690" t="s">
        <v>44</v>
      </c>
      <c r="H123" s="115">
        <v>-1</v>
      </c>
      <c r="I123" s="115">
        <v>265.24573283812703</v>
      </c>
      <c r="J123" s="601">
        <f t="shared" si="7"/>
        <v>197342.8252315665</v>
      </c>
      <c r="K123" s="738">
        <v>77.150000000000006</v>
      </c>
      <c r="L123" s="677">
        <f t="shared" si="8"/>
        <v>-57399.600000000006</v>
      </c>
      <c r="M123" s="739">
        <f t="shared" si="9"/>
        <v>139943.2252315665</v>
      </c>
      <c r="N123" s="740">
        <v>59.54033706800562</v>
      </c>
      <c r="O123" s="678">
        <f t="shared" si="10"/>
        <v>-44298.010778596181</v>
      </c>
      <c r="P123" s="700">
        <f t="shared" si="11"/>
        <v>153044.81445297031</v>
      </c>
      <c r="Q123" s="740">
        <v>94.759662931994384</v>
      </c>
      <c r="R123" s="678">
        <f t="shared" si="12"/>
        <v>-70501.189221403823</v>
      </c>
      <c r="S123" s="700">
        <f t="shared" si="13"/>
        <v>126841.63601016268</v>
      </c>
      <c r="T123" s="691" t="s">
        <v>54</v>
      </c>
    </row>
    <row r="124" spans="1:20" x14ac:dyDescent="0.25">
      <c r="A124" s="690"/>
      <c r="B124" s="691" t="s">
        <v>677</v>
      </c>
      <c r="C124" s="676" t="s">
        <v>40</v>
      </c>
      <c r="D124" s="680">
        <v>45139</v>
      </c>
      <c r="E124" s="676">
        <v>744</v>
      </c>
      <c r="F124" s="676" t="s">
        <v>3</v>
      </c>
      <c r="G124" s="690" t="s">
        <v>44</v>
      </c>
      <c r="H124" s="115">
        <v>-1</v>
      </c>
      <c r="I124" s="115">
        <v>265.24573283812703</v>
      </c>
      <c r="J124" s="601">
        <f t="shared" si="7"/>
        <v>197342.8252315665</v>
      </c>
      <c r="K124" s="738">
        <v>77.150000000000006</v>
      </c>
      <c r="L124" s="677">
        <f t="shared" si="8"/>
        <v>-57399.600000000006</v>
      </c>
      <c r="M124" s="739">
        <f t="shared" si="9"/>
        <v>139943.2252315665</v>
      </c>
      <c r="N124" s="740">
        <v>59.54033706800562</v>
      </c>
      <c r="O124" s="678">
        <f t="shared" si="10"/>
        <v>-44298.010778596181</v>
      </c>
      <c r="P124" s="700">
        <f t="shared" si="11"/>
        <v>153044.81445297031</v>
      </c>
      <c r="Q124" s="740">
        <v>94.759662931994384</v>
      </c>
      <c r="R124" s="678">
        <f t="shared" si="12"/>
        <v>-70501.189221403823</v>
      </c>
      <c r="S124" s="700">
        <f t="shared" si="13"/>
        <v>126841.63601016268</v>
      </c>
      <c r="T124" s="691" t="s">
        <v>54</v>
      </c>
    </row>
    <row r="125" spans="1:20" x14ac:dyDescent="0.25">
      <c r="A125" s="690"/>
      <c r="B125" s="691" t="s">
        <v>677</v>
      </c>
      <c r="C125" s="676" t="s">
        <v>40</v>
      </c>
      <c r="D125" s="680">
        <v>45170</v>
      </c>
      <c r="E125" s="676">
        <v>720</v>
      </c>
      <c r="F125" s="676" t="s">
        <v>3</v>
      </c>
      <c r="G125" s="690" t="s">
        <v>44</v>
      </c>
      <c r="H125" s="115">
        <v>-1</v>
      </c>
      <c r="I125" s="115">
        <v>265.24573283812703</v>
      </c>
      <c r="J125" s="601">
        <f t="shared" si="7"/>
        <v>190976.92764345146</v>
      </c>
      <c r="K125" s="738">
        <v>77.150000000000006</v>
      </c>
      <c r="L125" s="677">
        <f t="shared" si="8"/>
        <v>-55548.000000000007</v>
      </c>
      <c r="M125" s="739">
        <f t="shared" si="9"/>
        <v>135428.92764345146</v>
      </c>
      <c r="N125" s="740">
        <v>59.54033706800562</v>
      </c>
      <c r="O125" s="678">
        <f t="shared" si="10"/>
        <v>-42869.042688964044</v>
      </c>
      <c r="P125" s="700">
        <f t="shared" si="11"/>
        <v>148107.88495448741</v>
      </c>
      <c r="Q125" s="740">
        <v>94.759662931994384</v>
      </c>
      <c r="R125" s="678">
        <f t="shared" si="12"/>
        <v>-68226.957311035963</v>
      </c>
      <c r="S125" s="700">
        <f t="shared" si="13"/>
        <v>122749.9703324155</v>
      </c>
      <c r="T125" s="691" t="s">
        <v>54</v>
      </c>
    </row>
    <row r="126" spans="1:20" x14ac:dyDescent="0.25">
      <c r="A126" s="690"/>
      <c r="B126" s="691" t="s">
        <v>677</v>
      </c>
      <c r="C126" s="676" t="s">
        <v>40</v>
      </c>
      <c r="D126" s="680">
        <v>45200</v>
      </c>
      <c r="E126" s="676">
        <v>744</v>
      </c>
      <c r="F126" s="676" t="s">
        <v>3</v>
      </c>
      <c r="G126" s="690" t="s">
        <v>44</v>
      </c>
      <c r="H126" s="115">
        <v>-1</v>
      </c>
      <c r="I126" s="115">
        <v>265.24573283812703</v>
      </c>
      <c r="J126" s="601">
        <f t="shared" si="7"/>
        <v>197342.8252315665</v>
      </c>
      <c r="K126" s="738">
        <v>80.45</v>
      </c>
      <c r="L126" s="677">
        <f t="shared" si="8"/>
        <v>-59854.8</v>
      </c>
      <c r="M126" s="739">
        <f t="shared" si="9"/>
        <v>137488.02523156651</v>
      </c>
      <c r="N126" s="740">
        <v>62.087104564109552</v>
      </c>
      <c r="O126" s="678">
        <f t="shared" si="10"/>
        <v>-46192.80579569751</v>
      </c>
      <c r="P126" s="700">
        <f t="shared" si="11"/>
        <v>151150.01943586901</v>
      </c>
      <c r="Q126" s="740">
        <v>98.812895435890439</v>
      </c>
      <c r="R126" s="678">
        <f t="shared" si="12"/>
        <v>-73516.794204302481</v>
      </c>
      <c r="S126" s="700">
        <f t="shared" si="13"/>
        <v>123826.03102726402</v>
      </c>
      <c r="T126" s="691" t="s">
        <v>54</v>
      </c>
    </row>
    <row r="127" spans="1:20" x14ac:dyDescent="0.25">
      <c r="A127" s="690"/>
      <c r="B127" s="691" t="s">
        <v>677</v>
      </c>
      <c r="C127" s="676" t="s">
        <v>40</v>
      </c>
      <c r="D127" s="680">
        <v>45231</v>
      </c>
      <c r="E127" s="676">
        <v>720</v>
      </c>
      <c r="F127" s="676" t="s">
        <v>3</v>
      </c>
      <c r="G127" s="690" t="s">
        <v>44</v>
      </c>
      <c r="H127" s="115">
        <v>-1</v>
      </c>
      <c r="I127" s="115">
        <v>265.24573283812703</v>
      </c>
      <c r="J127" s="601">
        <f t="shared" si="7"/>
        <v>190976.92764345146</v>
      </c>
      <c r="K127" s="738">
        <v>80.45</v>
      </c>
      <c r="L127" s="677">
        <f t="shared" si="8"/>
        <v>-57924</v>
      </c>
      <c r="M127" s="739">
        <f t="shared" si="9"/>
        <v>133052.92764345146</v>
      </c>
      <c r="N127" s="740">
        <v>62.087104564109552</v>
      </c>
      <c r="O127" s="678">
        <f t="shared" si="10"/>
        <v>-44702.715286158877</v>
      </c>
      <c r="P127" s="700">
        <f t="shared" si="11"/>
        <v>146274.21235729259</v>
      </c>
      <c r="Q127" s="740">
        <v>98.812895435890439</v>
      </c>
      <c r="R127" s="678">
        <f t="shared" si="12"/>
        <v>-71145.284713841116</v>
      </c>
      <c r="S127" s="700">
        <f t="shared" si="13"/>
        <v>119831.64292961035</v>
      </c>
      <c r="T127" s="691" t="s">
        <v>54</v>
      </c>
    </row>
    <row r="128" spans="1:20" x14ac:dyDescent="0.25">
      <c r="A128" s="690"/>
      <c r="B128" s="695" t="s">
        <v>677</v>
      </c>
      <c r="C128" s="545" t="s">
        <v>40</v>
      </c>
      <c r="D128" s="681">
        <v>45261</v>
      </c>
      <c r="E128" s="545">
        <v>744</v>
      </c>
      <c r="F128" s="545" t="s">
        <v>3</v>
      </c>
      <c r="G128" s="725" t="s">
        <v>44</v>
      </c>
      <c r="H128" s="548">
        <v>-1</v>
      </c>
      <c r="I128" s="548">
        <v>265.24573283812703</v>
      </c>
      <c r="J128" s="602">
        <f t="shared" si="7"/>
        <v>197342.8252315665</v>
      </c>
      <c r="K128" s="742">
        <v>80.45</v>
      </c>
      <c r="L128" s="603">
        <f t="shared" si="8"/>
        <v>-59854.8</v>
      </c>
      <c r="M128" s="743">
        <f t="shared" si="9"/>
        <v>137488.02523156651</v>
      </c>
      <c r="N128" s="744">
        <v>62.087104564109552</v>
      </c>
      <c r="O128" s="604">
        <f t="shared" si="10"/>
        <v>-46192.80579569751</v>
      </c>
      <c r="P128" s="701">
        <f t="shared" si="11"/>
        <v>151150.01943586901</v>
      </c>
      <c r="Q128" s="744">
        <v>98.812895435890439</v>
      </c>
      <c r="R128" s="604">
        <f t="shared" si="12"/>
        <v>-73516.794204302481</v>
      </c>
      <c r="S128" s="701">
        <f t="shared" si="13"/>
        <v>123826.03102726402</v>
      </c>
      <c r="T128" s="695" t="s">
        <v>54</v>
      </c>
    </row>
    <row r="129" spans="1:20" x14ac:dyDescent="0.25">
      <c r="A129" s="690"/>
      <c r="B129" s="696" t="s">
        <v>681</v>
      </c>
      <c r="C129" s="546" t="s">
        <v>40</v>
      </c>
      <c r="D129" s="682">
        <v>44927</v>
      </c>
      <c r="E129" s="546">
        <v>744</v>
      </c>
      <c r="F129" s="546" t="s">
        <v>3</v>
      </c>
      <c r="G129" s="726" t="s">
        <v>44</v>
      </c>
      <c r="H129" s="549">
        <v>-0.3</v>
      </c>
      <c r="I129" s="549">
        <v>272.86021567544179</v>
      </c>
      <c r="J129" s="605">
        <f t="shared" si="7"/>
        <v>60902.400138758603</v>
      </c>
      <c r="K129" s="746">
        <v>68.72</v>
      </c>
      <c r="L129" s="606">
        <f t="shared" si="8"/>
        <v>-15338.303999999998</v>
      </c>
      <c r="M129" s="747">
        <f t="shared" si="9"/>
        <v>45564.096138758607</v>
      </c>
      <c r="N129" s="748">
        <v>55.7</v>
      </c>
      <c r="O129" s="607">
        <f t="shared" si="10"/>
        <v>-12432.24</v>
      </c>
      <c r="P129" s="702">
        <f t="shared" si="11"/>
        <v>48470.160138758605</v>
      </c>
      <c r="Q129" s="748">
        <v>96.206580759134184</v>
      </c>
      <c r="R129" s="607">
        <f t="shared" si="12"/>
        <v>-21473.308825438748</v>
      </c>
      <c r="S129" s="702">
        <f t="shared" si="13"/>
        <v>39429.091313319856</v>
      </c>
      <c r="T129" s="696" t="s">
        <v>54</v>
      </c>
    </row>
    <row r="130" spans="1:20" x14ac:dyDescent="0.25">
      <c r="A130" s="690"/>
      <c r="B130" s="691" t="s">
        <v>681</v>
      </c>
      <c r="C130" s="676" t="s">
        <v>40</v>
      </c>
      <c r="D130" s="680">
        <v>44958</v>
      </c>
      <c r="E130" s="676">
        <v>672</v>
      </c>
      <c r="F130" s="676" t="s">
        <v>3</v>
      </c>
      <c r="G130" s="690" t="s">
        <v>44</v>
      </c>
      <c r="H130" s="115">
        <v>-0.3</v>
      </c>
      <c r="I130" s="115">
        <v>272.86021567544179</v>
      </c>
      <c r="J130" s="601">
        <f t="shared" si="7"/>
        <v>55008.619480169065</v>
      </c>
      <c r="K130" s="738">
        <v>69.25</v>
      </c>
      <c r="L130" s="677">
        <f t="shared" si="8"/>
        <v>-13960.8</v>
      </c>
      <c r="M130" s="739">
        <f t="shared" si="9"/>
        <v>41047.81948016907</v>
      </c>
      <c r="N130" s="740">
        <v>55.7</v>
      </c>
      <c r="O130" s="678">
        <f t="shared" si="10"/>
        <v>-11229.12</v>
      </c>
      <c r="P130" s="700">
        <f t="shared" si="11"/>
        <v>43779.499480169063</v>
      </c>
      <c r="Q130" s="740">
        <v>92.430648861364247</v>
      </c>
      <c r="R130" s="678">
        <f t="shared" si="12"/>
        <v>-18634.018810451031</v>
      </c>
      <c r="S130" s="700">
        <f t="shared" si="13"/>
        <v>36374.600669718035</v>
      </c>
      <c r="T130" s="691" t="s">
        <v>54</v>
      </c>
    </row>
    <row r="131" spans="1:20" x14ac:dyDescent="0.25">
      <c r="A131" s="690"/>
      <c r="B131" s="691" t="s">
        <v>681</v>
      </c>
      <c r="C131" s="676" t="s">
        <v>40</v>
      </c>
      <c r="D131" s="680">
        <v>44986</v>
      </c>
      <c r="E131" s="676">
        <v>744</v>
      </c>
      <c r="F131" s="676" t="s">
        <v>3</v>
      </c>
      <c r="G131" s="690" t="s">
        <v>44</v>
      </c>
      <c r="H131" s="115">
        <v>-0.3</v>
      </c>
      <c r="I131" s="115">
        <v>272.86021567544179</v>
      </c>
      <c r="J131" s="601">
        <f t="shared" ref="J131:J194" si="14">(I131*(E131*H131))*-1</f>
        <v>60902.400138758603</v>
      </c>
      <c r="K131" s="738">
        <v>69.3</v>
      </c>
      <c r="L131" s="677">
        <f t="shared" ref="L131:L194" si="15">(((E131*H131)*K131))</f>
        <v>-15467.759999999998</v>
      </c>
      <c r="M131" s="739">
        <f t="shared" ref="M131:M194" si="16">J131+L131</f>
        <v>45434.640138758608</v>
      </c>
      <c r="N131" s="740">
        <v>55.7</v>
      </c>
      <c r="O131" s="678">
        <f t="shared" ref="O131:O194" si="17">((E131*H131)*N131)</f>
        <v>-12432.24</v>
      </c>
      <c r="P131" s="700">
        <f t="shared" ref="P131:P194" si="18">J131+O131</f>
        <v>48470.160138758605</v>
      </c>
      <c r="Q131" s="740">
        <v>89.053218420260009</v>
      </c>
      <c r="R131" s="678">
        <f t="shared" ref="R131:R194" si="19">((E131*H131)*Q131)</f>
        <v>-19876.678351402032</v>
      </c>
      <c r="S131" s="700">
        <f t="shared" ref="S131:S194" si="20">J131+R131</f>
        <v>41025.721787356568</v>
      </c>
      <c r="T131" s="691" t="s">
        <v>54</v>
      </c>
    </row>
    <row r="132" spans="1:20" x14ac:dyDescent="0.25">
      <c r="A132" s="690"/>
      <c r="B132" s="691" t="s">
        <v>681</v>
      </c>
      <c r="C132" s="676" t="s">
        <v>40</v>
      </c>
      <c r="D132" s="680">
        <v>45017</v>
      </c>
      <c r="E132" s="676">
        <v>720</v>
      </c>
      <c r="F132" s="676" t="s">
        <v>3</v>
      </c>
      <c r="G132" s="690" t="s">
        <v>44</v>
      </c>
      <c r="H132" s="115">
        <v>-0.3</v>
      </c>
      <c r="I132" s="115">
        <v>272.86021567544179</v>
      </c>
      <c r="J132" s="601">
        <f t="shared" si="14"/>
        <v>58937.806585895429</v>
      </c>
      <c r="K132" s="738">
        <v>69.8</v>
      </c>
      <c r="L132" s="677">
        <f t="shared" si="15"/>
        <v>-15076.8</v>
      </c>
      <c r="M132" s="739">
        <f t="shared" si="16"/>
        <v>43861.006585895433</v>
      </c>
      <c r="N132" s="740">
        <v>55.7</v>
      </c>
      <c r="O132" s="678">
        <f t="shared" si="17"/>
        <v>-12031.2</v>
      </c>
      <c r="P132" s="700">
        <f t="shared" si="18"/>
        <v>46906.606585895424</v>
      </c>
      <c r="Q132" s="740">
        <v>85.732008718771311</v>
      </c>
      <c r="R132" s="678">
        <f t="shared" si="19"/>
        <v>-18518.113883254602</v>
      </c>
      <c r="S132" s="700">
        <f t="shared" si="20"/>
        <v>40419.692702640823</v>
      </c>
      <c r="T132" s="691" t="s">
        <v>54</v>
      </c>
    </row>
    <row r="133" spans="1:20" x14ac:dyDescent="0.25">
      <c r="A133" s="690"/>
      <c r="B133" s="691" t="s">
        <v>681</v>
      </c>
      <c r="C133" s="676" t="s">
        <v>40</v>
      </c>
      <c r="D133" s="680">
        <v>45047</v>
      </c>
      <c r="E133" s="676">
        <v>744</v>
      </c>
      <c r="F133" s="676" t="s">
        <v>3</v>
      </c>
      <c r="G133" s="690" t="s">
        <v>44</v>
      </c>
      <c r="H133" s="115">
        <v>-0.3</v>
      </c>
      <c r="I133" s="115">
        <v>272.86021567544179</v>
      </c>
      <c r="J133" s="601">
        <f t="shared" si="14"/>
        <v>60902.400138758603</v>
      </c>
      <c r="K133" s="738">
        <v>70.2</v>
      </c>
      <c r="L133" s="677">
        <f t="shared" si="15"/>
        <v>-15668.64</v>
      </c>
      <c r="M133" s="739">
        <f t="shared" si="16"/>
        <v>45233.760138758604</v>
      </c>
      <c r="N133" s="740">
        <v>55.7</v>
      </c>
      <c r="O133" s="678">
        <f t="shared" si="17"/>
        <v>-12432.24</v>
      </c>
      <c r="P133" s="700">
        <f t="shared" si="18"/>
        <v>48470.160138758605</v>
      </c>
      <c r="Q133" s="740">
        <v>86.223309628334476</v>
      </c>
      <c r="R133" s="678">
        <f t="shared" si="19"/>
        <v>-19245.042709044254</v>
      </c>
      <c r="S133" s="700">
        <f t="shared" si="20"/>
        <v>41657.35742971435</v>
      </c>
      <c r="T133" s="691" t="s">
        <v>54</v>
      </c>
    </row>
    <row r="134" spans="1:20" x14ac:dyDescent="0.25">
      <c r="A134" s="690"/>
      <c r="B134" s="691" t="s">
        <v>681</v>
      </c>
      <c r="C134" s="676" t="s">
        <v>40</v>
      </c>
      <c r="D134" s="680">
        <v>45078</v>
      </c>
      <c r="E134" s="676">
        <v>720</v>
      </c>
      <c r="F134" s="676" t="s">
        <v>3</v>
      </c>
      <c r="G134" s="690" t="s">
        <v>44</v>
      </c>
      <c r="H134" s="115">
        <v>-0.3</v>
      </c>
      <c r="I134" s="115">
        <v>272.86021567544179</v>
      </c>
      <c r="J134" s="601">
        <f t="shared" si="14"/>
        <v>58937.806585895429</v>
      </c>
      <c r="K134" s="738">
        <v>72.400000000000006</v>
      </c>
      <c r="L134" s="677">
        <f t="shared" si="15"/>
        <v>-15638.400000000001</v>
      </c>
      <c r="M134" s="739">
        <f t="shared" si="16"/>
        <v>43299.406585895427</v>
      </c>
      <c r="N134" s="740">
        <v>55.874535369068141</v>
      </c>
      <c r="O134" s="678">
        <f t="shared" si="17"/>
        <v>-12068.899639718718</v>
      </c>
      <c r="P134" s="700">
        <f t="shared" si="18"/>
        <v>46868.906946176707</v>
      </c>
      <c r="Q134" s="740">
        <v>88.925464630931856</v>
      </c>
      <c r="R134" s="678">
        <f t="shared" si="19"/>
        <v>-19207.900360281281</v>
      </c>
      <c r="S134" s="700">
        <f t="shared" si="20"/>
        <v>39729.906225614148</v>
      </c>
      <c r="T134" s="691" t="s">
        <v>54</v>
      </c>
    </row>
    <row r="135" spans="1:20" x14ac:dyDescent="0.25">
      <c r="A135" s="690"/>
      <c r="B135" s="691" t="s">
        <v>681</v>
      </c>
      <c r="C135" s="676" t="s">
        <v>40</v>
      </c>
      <c r="D135" s="680">
        <v>45108</v>
      </c>
      <c r="E135" s="676">
        <v>744</v>
      </c>
      <c r="F135" s="676" t="s">
        <v>3</v>
      </c>
      <c r="G135" s="690" t="s">
        <v>44</v>
      </c>
      <c r="H135" s="115">
        <v>-0.3</v>
      </c>
      <c r="I135" s="115">
        <v>272.86021567544179</v>
      </c>
      <c r="J135" s="601">
        <f t="shared" si="14"/>
        <v>60902.400138758603</v>
      </c>
      <c r="K135" s="738">
        <v>77.150000000000006</v>
      </c>
      <c r="L135" s="677">
        <f t="shared" si="15"/>
        <v>-17219.88</v>
      </c>
      <c r="M135" s="739">
        <f t="shared" si="16"/>
        <v>43682.520138758598</v>
      </c>
      <c r="N135" s="740">
        <v>59.54033706800562</v>
      </c>
      <c r="O135" s="678">
        <f t="shared" si="17"/>
        <v>-13289.403233578854</v>
      </c>
      <c r="P135" s="700">
        <f t="shared" si="18"/>
        <v>47612.996905179753</v>
      </c>
      <c r="Q135" s="740">
        <v>94.759662931994384</v>
      </c>
      <c r="R135" s="678">
        <f t="shared" si="19"/>
        <v>-21150.356766421144</v>
      </c>
      <c r="S135" s="700">
        <f t="shared" si="20"/>
        <v>39752.043372337459</v>
      </c>
      <c r="T135" s="691" t="s">
        <v>54</v>
      </c>
    </row>
    <row r="136" spans="1:20" x14ac:dyDescent="0.25">
      <c r="A136" s="690"/>
      <c r="B136" s="691" t="s">
        <v>681</v>
      </c>
      <c r="C136" s="676" t="s">
        <v>40</v>
      </c>
      <c r="D136" s="680">
        <v>45139</v>
      </c>
      <c r="E136" s="676">
        <v>744</v>
      </c>
      <c r="F136" s="676" t="s">
        <v>3</v>
      </c>
      <c r="G136" s="690" t="s">
        <v>44</v>
      </c>
      <c r="H136" s="115">
        <v>-0.3</v>
      </c>
      <c r="I136" s="115">
        <v>272.86021567544179</v>
      </c>
      <c r="J136" s="601">
        <f t="shared" si="14"/>
        <v>60902.400138758603</v>
      </c>
      <c r="K136" s="738">
        <v>77.150000000000006</v>
      </c>
      <c r="L136" s="677">
        <f t="shared" si="15"/>
        <v>-17219.88</v>
      </c>
      <c r="M136" s="739">
        <f t="shared" si="16"/>
        <v>43682.520138758598</v>
      </c>
      <c r="N136" s="740">
        <v>59.54033706800562</v>
      </c>
      <c r="O136" s="678">
        <f t="shared" si="17"/>
        <v>-13289.403233578854</v>
      </c>
      <c r="P136" s="700">
        <f t="shared" si="18"/>
        <v>47612.996905179753</v>
      </c>
      <c r="Q136" s="740">
        <v>94.759662931994384</v>
      </c>
      <c r="R136" s="678">
        <f t="shared" si="19"/>
        <v>-21150.356766421144</v>
      </c>
      <c r="S136" s="700">
        <f t="shared" si="20"/>
        <v>39752.043372337459</v>
      </c>
      <c r="T136" s="691" t="s">
        <v>54</v>
      </c>
    </row>
    <row r="137" spans="1:20" x14ac:dyDescent="0.25">
      <c r="A137" s="690"/>
      <c r="B137" s="691" t="s">
        <v>681</v>
      </c>
      <c r="C137" s="676" t="s">
        <v>40</v>
      </c>
      <c r="D137" s="680">
        <v>45170</v>
      </c>
      <c r="E137" s="676">
        <v>720</v>
      </c>
      <c r="F137" s="676" t="s">
        <v>3</v>
      </c>
      <c r="G137" s="690" t="s">
        <v>44</v>
      </c>
      <c r="H137" s="115">
        <v>-0.3</v>
      </c>
      <c r="I137" s="115">
        <v>272.86021567544179</v>
      </c>
      <c r="J137" s="601">
        <f t="shared" si="14"/>
        <v>58937.806585895429</v>
      </c>
      <c r="K137" s="738">
        <v>77.150000000000006</v>
      </c>
      <c r="L137" s="677">
        <f t="shared" si="15"/>
        <v>-16664.400000000001</v>
      </c>
      <c r="M137" s="739">
        <f t="shared" si="16"/>
        <v>42273.406585895427</v>
      </c>
      <c r="N137" s="740">
        <v>59.54033706800562</v>
      </c>
      <c r="O137" s="678">
        <f t="shared" si="17"/>
        <v>-12860.712806689215</v>
      </c>
      <c r="P137" s="700">
        <f t="shared" si="18"/>
        <v>46077.093779206218</v>
      </c>
      <c r="Q137" s="740">
        <v>94.759662931994384</v>
      </c>
      <c r="R137" s="678">
        <f t="shared" si="19"/>
        <v>-20468.087193310788</v>
      </c>
      <c r="S137" s="700">
        <f t="shared" si="20"/>
        <v>38469.719392584637</v>
      </c>
      <c r="T137" s="691" t="s">
        <v>54</v>
      </c>
    </row>
    <row r="138" spans="1:20" x14ac:dyDescent="0.25">
      <c r="A138" s="690"/>
      <c r="B138" s="691" t="s">
        <v>681</v>
      </c>
      <c r="C138" s="676" t="s">
        <v>40</v>
      </c>
      <c r="D138" s="680">
        <v>45200</v>
      </c>
      <c r="E138" s="676">
        <v>744</v>
      </c>
      <c r="F138" s="676" t="s">
        <v>3</v>
      </c>
      <c r="G138" s="690" t="s">
        <v>44</v>
      </c>
      <c r="H138" s="115">
        <v>-0.3</v>
      </c>
      <c r="I138" s="115">
        <v>272.86021567544179</v>
      </c>
      <c r="J138" s="601">
        <f t="shared" si="14"/>
        <v>60902.400138758603</v>
      </c>
      <c r="K138" s="738">
        <v>80.45</v>
      </c>
      <c r="L138" s="677">
        <f t="shared" si="15"/>
        <v>-17956.439999999999</v>
      </c>
      <c r="M138" s="739">
        <f t="shared" si="16"/>
        <v>42945.960138758601</v>
      </c>
      <c r="N138" s="740">
        <v>62.087104564109552</v>
      </c>
      <c r="O138" s="678">
        <f t="shared" si="17"/>
        <v>-13857.84173870925</v>
      </c>
      <c r="P138" s="700">
        <f t="shared" si="18"/>
        <v>47044.558400049355</v>
      </c>
      <c r="Q138" s="740">
        <v>98.812895435890439</v>
      </c>
      <c r="R138" s="678">
        <f t="shared" si="19"/>
        <v>-22055.038261290745</v>
      </c>
      <c r="S138" s="700">
        <f t="shared" si="20"/>
        <v>38847.361877467862</v>
      </c>
      <c r="T138" s="691" t="s">
        <v>54</v>
      </c>
    </row>
    <row r="139" spans="1:20" x14ac:dyDescent="0.25">
      <c r="A139" s="690"/>
      <c r="B139" s="691" t="s">
        <v>681</v>
      </c>
      <c r="C139" s="676" t="s">
        <v>40</v>
      </c>
      <c r="D139" s="680">
        <v>45231</v>
      </c>
      <c r="E139" s="676">
        <v>720</v>
      </c>
      <c r="F139" s="676" t="s">
        <v>3</v>
      </c>
      <c r="G139" s="690" t="s">
        <v>44</v>
      </c>
      <c r="H139" s="115">
        <v>-0.3</v>
      </c>
      <c r="I139" s="115">
        <v>272.86021567544179</v>
      </c>
      <c r="J139" s="601">
        <f t="shared" si="14"/>
        <v>58937.806585895429</v>
      </c>
      <c r="K139" s="738">
        <v>80.45</v>
      </c>
      <c r="L139" s="677">
        <f t="shared" si="15"/>
        <v>-17377.2</v>
      </c>
      <c r="M139" s="739">
        <f t="shared" si="16"/>
        <v>41560.606585895424</v>
      </c>
      <c r="N139" s="740">
        <v>62.087104564109552</v>
      </c>
      <c r="O139" s="678">
        <f t="shared" si="17"/>
        <v>-13410.814585847664</v>
      </c>
      <c r="P139" s="700">
        <f t="shared" si="18"/>
        <v>45526.992000047765</v>
      </c>
      <c r="Q139" s="740">
        <v>98.812895435890439</v>
      </c>
      <c r="R139" s="678">
        <f t="shared" si="19"/>
        <v>-21343.585414152334</v>
      </c>
      <c r="S139" s="700">
        <f t="shared" si="20"/>
        <v>37594.221171743091</v>
      </c>
      <c r="T139" s="691" t="s">
        <v>54</v>
      </c>
    </row>
    <row r="140" spans="1:20" x14ac:dyDescent="0.25">
      <c r="A140" s="690"/>
      <c r="B140" s="695" t="s">
        <v>681</v>
      </c>
      <c r="C140" s="545" t="s">
        <v>40</v>
      </c>
      <c r="D140" s="681">
        <v>45261</v>
      </c>
      <c r="E140" s="545">
        <v>744</v>
      </c>
      <c r="F140" s="545" t="s">
        <v>3</v>
      </c>
      <c r="G140" s="725" t="s">
        <v>44</v>
      </c>
      <c r="H140" s="548">
        <v>-0.3</v>
      </c>
      <c r="I140" s="548">
        <v>272.86021567544179</v>
      </c>
      <c r="J140" s="602">
        <f t="shared" si="14"/>
        <v>60902.400138758603</v>
      </c>
      <c r="K140" s="742">
        <v>80.45</v>
      </c>
      <c r="L140" s="603">
        <f t="shared" si="15"/>
        <v>-17956.439999999999</v>
      </c>
      <c r="M140" s="743">
        <f t="shared" si="16"/>
        <v>42945.960138758601</v>
      </c>
      <c r="N140" s="744">
        <v>62.087104564109552</v>
      </c>
      <c r="O140" s="604">
        <f t="shared" si="17"/>
        <v>-13857.84173870925</v>
      </c>
      <c r="P140" s="701">
        <f t="shared" si="18"/>
        <v>47044.558400049355</v>
      </c>
      <c r="Q140" s="744">
        <v>98.812895435890439</v>
      </c>
      <c r="R140" s="604">
        <f t="shared" si="19"/>
        <v>-22055.038261290745</v>
      </c>
      <c r="S140" s="701">
        <f t="shared" si="20"/>
        <v>38847.361877467862</v>
      </c>
      <c r="T140" s="695" t="s">
        <v>54</v>
      </c>
    </row>
    <row r="141" spans="1:20" x14ac:dyDescent="0.25">
      <c r="A141" s="690"/>
      <c r="B141" s="696" t="s">
        <v>683</v>
      </c>
      <c r="C141" s="546" t="s">
        <v>40</v>
      </c>
      <c r="D141" s="682">
        <v>44562</v>
      </c>
      <c r="E141" s="546">
        <v>744</v>
      </c>
      <c r="F141" s="546" t="s">
        <v>3</v>
      </c>
      <c r="G141" s="726" t="s">
        <v>44</v>
      </c>
      <c r="H141" s="549">
        <v>-0.3</v>
      </c>
      <c r="I141" s="549">
        <v>368.69906825163162</v>
      </c>
      <c r="J141" s="605">
        <f t="shared" si="14"/>
        <v>82293.632033764166</v>
      </c>
      <c r="K141" s="746">
        <v>62.91</v>
      </c>
      <c r="L141" s="606">
        <f t="shared" si="15"/>
        <v>-14041.511999999999</v>
      </c>
      <c r="M141" s="747">
        <f t="shared" si="16"/>
        <v>68252.120033764164</v>
      </c>
      <c r="N141" s="748">
        <v>62.91</v>
      </c>
      <c r="O141" s="607">
        <f t="shared" si="17"/>
        <v>-14041.511999999999</v>
      </c>
      <c r="P141" s="702">
        <f t="shared" si="18"/>
        <v>68252.120033764164</v>
      </c>
      <c r="Q141" s="748">
        <v>62.91</v>
      </c>
      <c r="R141" s="607">
        <f t="shared" si="19"/>
        <v>-14041.511999999999</v>
      </c>
      <c r="S141" s="702">
        <f t="shared" si="20"/>
        <v>68252.120033764164</v>
      </c>
      <c r="T141" s="696" t="s">
        <v>54</v>
      </c>
    </row>
    <row r="142" spans="1:20" x14ac:dyDescent="0.25">
      <c r="A142" s="690"/>
      <c r="B142" s="691" t="s">
        <v>683</v>
      </c>
      <c r="C142" s="676" t="s">
        <v>40</v>
      </c>
      <c r="D142" s="680">
        <v>44593</v>
      </c>
      <c r="E142" s="676">
        <v>672</v>
      </c>
      <c r="F142" s="676" t="s">
        <v>3</v>
      </c>
      <c r="G142" s="690" t="s">
        <v>44</v>
      </c>
      <c r="H142" s="115">
        <v>-0.3</v>
      </c>
      <c r="I142" s="115">
        <v>368.69906825163162</v>
      </c>
      <c r="J142" s="601">
        <f t="shared" si="14"/>
        <v>74329.732159528925</v>
      </c>
      <c r="K142" s="738">
        <v>55.7</v>
      </c>
      <c r="L142" s="677">
        <f t="shared" si="15"/>
        <v>-11229.12</v>
      </c>
      <c r="M142" s="739">
        <f t="shared" si="16"/>
        <v>63100.612159528922</v>
      </c>
      <c r="N142" s="740">
        <v>55.7</v>
      </c>
      <c r="O142" s="678">
        <f t="shared" si="17"/>
        <v>-11229.12</v>
      </c>
      <c r="P142" s="700">
        <f t="shared" si="18"/>
        <v>63100.612159528922</v>
      </c>
      <c r="Q142" s="740">
        <v>55.7</v>
      </c>
      <c r="R142" s="678">
        <f t="shared" si="19"/>
        <v>-11229.12</v>
      </c>
      <c r="S142" s="700">
        <f t="shared" si="20"/>
        <v>63100.612159528922</v>
      </c>
      <c r="T142" s="691" t="s">
        <v>54</v>
      </c>
    </row>
    <row r="143" spans="1:20" x14ac:dyDescent="0.25">
      <c r="A143" s="690"/>
      <c r="B143" s="691" t="s">
        <v>683</v>
      </c>
      <c r="C143" s="676" t="s">
        <v>40</v>
      </c>
      <c r="D143" s="680">
        <v>44621</v>
      </c>
      <c r="E143" s="676">
        <v>744</v>
      </c>
      <c r="F143" s="676" t="s">
        <v>3</v>
      </c>
      <c r="G143" s="690" t="s">
        <v>44</v>
      </c>
      <c r="H143" s="115">
        <v>-0.3</v>
      </c>
      <c r="I143" s="115">
        <v>368.69906825163162</v>
      </c>
      <c r="J143" s="601">
        <f t="shared" si="14"/>
        <v>82293.632033764166</v>
      </c>
      <c r="K143" s="738">
        <v>55.7</v>
      </c>
      <c r="L143" s="677">
        <f t="shared" si="15"/>
        <v>-12432.24</v>
      </c>
      <c r="M143" s="739">
        <f t="shared" si="16"/>
        <v>69861.392033764161</v>
      </c>
      <c r="N143" s="740">
        <v>55.7</v>
      </c>
      <c r="O143" s="678">
        <f t="shared" si="17"/>
        <v>-12432.24</v>
      </c>
      <c r="P143" s="700">
        <f t="shared" si="18"/>
        <v>69861.392033764161</v>
      </c>
      <c r="Q143" s="740">
        <v>55.7</v>
      </c>
      <c r="R143" s="678">
        <f t="shared" si="19"/>
        <v>-12432.24</v>
      </c>
      <c r="S143" s="700">
        <f t="shared" si="20"/>
        <v>69861.392033764161</v>
      </c>
      <c r="T143" s="691" t="s">
        <v>54</v>
      </c>
    </row>
    <row r="144" spans="1:20" x14ac:dyDescent="0.25">
      <c r="A144" s="690"/>
      <c r="B144" s="691" t="s">
        <v>683</v>
      </c>
      <c r="C144" s="676" t="s">
        <v>40</v>
      </c>
      <c r="D144" s="680">
        <v>44652</v>
      </c>
      <c r="E144" s="676">
        <v>720</v>
      </c>
      <c r="F144" s="676" t="s">
        <v>3</v>
      </c>
      <c r="G144" s="690" t="s">
        <v>44</v>
      </c>
      <c r="H144" s="115">
        <v>-0.3</v>
      </c>
      <c r="I144" s="115">
        <v>368.69906825163162</v>
      </c>
      <c r="J144" s="601">
        <f t="shared" si="14"/>
        <v>79638.998742352429</v>
      </c>
      <c r="K144" s="738">
        <v>55.7</v>
      </c>
      <c r="L144" s="677">
        <f t="shared" si="15"/>
        <v>-12031.2</v>
      </c>
      <c r="M144" s="739">
        <f t="shared" si="16"/>
        <v>67607.798742352432</v>
      </c>
      <c r="N144" s="740">
        <v>55.7</v>
      </c>
      <c r="O144" s="678">
        <f t="shared" si="17"/>
        <v>-12031.2</v>
      </c>
      <c r="P144" s="700">
        <f t="shared" si="18"/>
        <v>67607.798742352432</v>
      </c>
      <c r="Q144" s="740">
        <v>55.7</v>
      </c>
      <c r="R144" s="678">
        <f t="shared" si="19"/>
        <v>-12031.2</v>
      </c>
      <c r="S144" s="700">
        <f t="shared" si="20"/>
        <v>67607.798742352432</v>
      </c>
      <c r="T144" s="691" t="s">
        <v>54</v>
      </c>
    </row>
    <row r="145" spans="1:20" x14ac:dyDescent="0.25">
      <c r="A145" s="690"/>
      <c r="B145" s="691" t="s">
        <v>683</v>
      </c>
      <c r="C145" s="676" t="s">
        <v>40</v>
      </c>
      <c r="D145" s="680">
        <v>44682</v>
      </c>
      <c r="E145" s="676">
        <v>744</v>
      </c>
      <c r="F145" s="676" t="s">
        <v>3</v>
      </c>
      <c r="G145" s="690" t="s">
        <v>44</v>
      </c>
      <c r="H145" s="115">
        <v>-0.3</v>
      </c>
      <c r="I145" s="115">
        <v>368.69906825163162</v>
      </c>
      <c r="J145" s="601">
        <f t="shared" si="14"/>
        <v>82293.632033764166</v>
      </c>
      <c r="K145" s="738">
        <v>55.7</v>
      </c>
      <c r="L145" s="677">
        <f t="shared" si="15"/>
        <v>-12432.24</v>
      </c>
      <c r="M145" s="739">
        <f t="shared" si="16"/>
        <v>69861.392033764161</v>
      </c>
      <c r="N145" s="740">
        <v>55.7</v>
      </c>
      <c r="O145" s="678">
        <f t="shared" si="17"/>
        <v>-12432.24</v>
      </c>
      <c r="P145" s="700">
        <f t="shared" si="18"/>
        <v>69861.392033764161</v>
      </c>
      <c r="Q145" s="740">
        <v>55.7</v>
      </c>
      <c r="R145" s="678">
        <f t="shared" si="19"/>
        <v>-12432.24</v>
      </c>
      <c r="S145" s="700">
        <f t="shared" si="20"/>
        <v>69861.392033764161</v>
      </c>
      <c r="T145" s="691" t="s">
        <v>54</v>
      </c>
    </row>
    <row r="146" spans="1:20" x14ac:dyDescent="0.25">
      <c r="A146" s="690"/>
      <c r="B146" s="691" t="s">
        <v>683</v>
      </c>
      <c r="C146" s="676" t="s">
        <v>40</v>
      </c>
      <c r="D146" s="680">
        <v>44713</v>
      </c>
      <c r="E146" s="676">
        <v>720</v>
      </c>
      <c r="F146" s="676" t="s">
        <v>3</v>
      </c>
      <c r="G146" s="690" t="s">
        <v>44</v>
      </c>
      <c r="H146" s="115">
        <v>-0.3</v>
      </c>
      <c r="I146" s="115">
        <v>368.69906825163162</v>
      </c>
      <c r="J146" s="601">
        <f t="shared" si="14"/>
        <v>79638.998742352429</v>
      </c>
      <c r="K146" s="738">
        <v>55.71</v>
      </c>
      <c r="L146" s="677">
        <f t="shared" si="15"/>
        <v>-12033.36</v>
      </c>
      <c r="M146" s="739">
        <f t="shared" si="16"/>
        <v>67605.638742352428</v>
      </c>
      <c r="N146" s="740">
        <v>55.71</v>
      </c>
      <c r="O146" s="678">
        <f t="shared" si="17"/>
        <v>-12033.36</v>
      </c>
      <c r="P146" s="700">
        <f t="shared" si="18"/>
        <v>67605.638742352428</v>
      </c>
      <c r="Q146" s="740">
        <v>55.71</v>
      </c>
      <c r="R146" s="678">
        <f t="shared" si="19"/>
        <v>-12033.36</v>
      </c>
      <c r="S146" s="700">
        <f t="shared" si="20"/>
        <v>67605.638742352428</v>
      </c>
      <c r="T146" s="691" t="s">
        <v>54</v>
      </c>
    </row>
    <row r="147" spans="1:20" x14ac:dyDescent="0.25">
      <c r="A147" s="690"/>
      <c r="B147" s="691" t="s">
        <v>683</v>
      </c>
      <c r="C147" s="676" t="s">
        <v>40</v>
      </c>
      <c r="D147" s="680">
        <v>44743</v>
      </c>
      <c r="E147" s="676">
        <v>744</v>
      </c>
      <c r="F147" s="676" t="s">
        <v>3</v>
      </c>
      <c r="G147" s="690" t="s">
        <v>44</v>
      </c>
      <c r="H147" s="115">
        <v>-0.3</v>
      </c>
      <c r="I147" s="115">
        <v>368.69906825163162</v>
      </c>
      <c r="J147" s="601">
        <f t="shared" si="14"/>
        <v>82293.632033764166</v>
      </c>
      <c r="K147" s="738">
        <v>66.319999999999993</v>
      </c>
      <c r="L147" s="677">
        <f t="shared" si="15"/>
        <v>-14802.623999999998</v>
      </c>
      <c r="M147" s="739">
        <f t="shared" si="16"/>
        <v>67491.00803376417</v>
      </c>
      <c r="N147" s="740">
        <v>66.319999999999993</v>
      </c>
      <c r="O147" s="678">
        <f t="shared" si="17"/>
        <v>-14802.623999999998</v>
      </c>
      <c r="P147" s="700">
        <f t="shared" si="18"/>
        <v>67491.00803376417</v>
      </c>
      <c r="Q147" s="740">
        <v>66.319999999999993</v>
      </c>
      <c r="R147" s="678">
        <f t="shared" si="19"/>
        <v>-14802.623999999998</v>
      </c>
      <c r="S147" s="700">
        <f t="shared" si="20"/>
        <v>67491.00803376417</v>
      </c>
      <c r="T147" s="691" t="s">
        <v>54</v>
      </c>
    </row>
    <row r="148" spans="1:20" x14ac:dyDescent="0.25">
      <c r="A148" s="690"/>
      <c r="B148" s="691" t="s">
        <v>683</v>
      </c>
      <c r="C148" s="676" t="s">
        <v>40</v>
      </c>
      <c r="D148" s="680">
        <v>44774</v>
      </c>
      <c r="E148" s="676">
        <v>744</v>
      </c>
      <c r="F148" s="676" t="s">
        <v>3</v>
      </c>
      <c r="G148" s="690" t="s">
        <v>44</v>
      </c>
      <c r="H148" s="115">
        <v>-0.3</v>
      </c>
      <c r="I148" s="115">
        <v>368.69906825163162</v>
      </c>
      <c r="J148" s="601">
        <f t="shared" si="14"/>
        <v>82293.632033764166</v>
      </c>
      <c r="K148" s="738">
        <v>76.900000000000006</v>
      </c>
      <c r="L148" s="677">
        <f t="shared" si="15"/>
        <v>-17164.080000000002</v>
      </c>
      <c r="M148" s="739">
        <f t="shared" si="16"/>
        <v>65129.552033764165</v>
      </c>
      <c r="N148" s="740">
        <v>76.900000000000006</v>
      </c>
      <c r="O148" s="678">
        <f t="shared" si="17"/>
        <v>-17164.080000000002</v>
      </c>
      <c r="P148" s="700">
        <f t="shared" si="18"/>
        <v>65129.552033764165</v>
      </c>
      <c r="Q148" s="740">
        <v>76.900000000000006</v>
      </c>
      <c r="R148" s="678">
        <f t="shared" si="19"/>
        <v>-17164.080000000002</v>
      </c>
      <c r="S148" s="700">
        <f t="shared" si="20"/>
        <v>65129.552033764165</v>
      </c>
      <c r="T148" s="691" t="s">
        <v>54</v>
      </c>
    </row>
    <row r="149" spans="1:20" x14ac:dyDescent="0.25">
      <c r="A149" s="690"/>
      <c r="B149" s="691" t="s">
        <v>683</v>
      </c>
      <c r="C149" s="676" t="s">
        <v>40</v>
      </c>
      <c r="D149" s="680">
        <v>44805</v>
      </c>
      <c r="E149" s="676">
        <v>720</v>
      </c>
      <c r="F149" s="676" t="s">
        <v>3</v>
      </c>
      <c r="G149" s="690" t="s">
        <v>44</v>
      </c>
      <c r="H149" s="115">
        <v>-0.3</v>
      </c>
      <c r="I149" s="115">
        <v>368.69906825163162</v>
      </c>
      <c r="J149" s="601">
        <f t="shared" si="14"/>
        <v>79638.998742352429</v>
      </c>
      <c r="K149" s="738">
        <v>56.08</v>
      </c>
      <c r="L149" s="677">
        <f t="shared" si="15"/>
        <v>-12113.279999999999</v>
      </c>
      <c r="M149" s="739">
        <f t="shared" si="16"/>
        <v>67525.71874235243</v>
      </c>
      <c r="N149" s="740">
        <v>56.08</v>
      </c>
      <c r="O149" s="678">
        <f t="shared" si="17"/>
        <v>-12113.279999999999</v>
      </c>
      <c r="P149" s="700">
        <f t="shared" si="18"/>
        <v>67525.71874235243</v>
      </c>
      <c r="Q149" s="740">
        <v>56.08</v>
      </c>
      <c r="R149" s="678">
        <f t="shared" si="19"/>
        <v>-12113.279999999999</v>
      </c>
      <c r="S149" s="700">
        <f t="shared" si="20"/>
        <v>67525.71874235243</v>
      </c>
      <c r="T149" s="691" t="s">
        <v>54</v>
      </c>
    </row>
    <row r="150" spans="1:20" x14ac:dyDescent="0.25">
      <c r="A150" s="690"/>
      <c r="B150" s="691" t="s">
        <v>683</v>
      </c>
      <c r="C150" s="676" t="s">
        <v>40</v>
      </c>
      <c r="D150" s="680">
        <v>44835</v>
      </c>
      <c r="E150" s="676">
        <v>744</v>
      </c>
      <c r="F150" s="676" t="s">
        <v>3</v>
      </c>
      <c r="G150" s="690" t="s">
        <v>44</v>
      </c>
      <c r="H150" s="115">
        <v>-0.3</v>
      </c>
      <c r="I150" s="115">
        <v>368.69906825163162</v>
      </c>
      <c r="J150" s="601">
        <f t="shared" si="14"/>
        <v>82293.632033764166</v>
      </c>
      <c r="K150" s="738">
        <v>55.7</v>
      </c>
      <c r="L150" s="677">
        <f t="shared" si="15"/>
        <v>-12432.24</v>
      </c>
      <c r="M150" s="739">
        <f t="shared" si="16"/>
        <v>69861.392033764161</v>
      </c>
      <c r="N150" s="740">
        <v>55.7</v>
      </c>
      <c r="O150" s="678">
        <f t="shared" si="17"/>
        <v>-12432.24</v>
      </c>
      <c r="P150" s="700">
        <f t="shared" si="18"/>
        <v>69861.392033764161</v>
      </c>
      <c r="Q150" s="740">
        <v>55.7</v>
      </c>
      <c r="R150" s="678">
        <f t="shared" si="19"/>
        <v>-12432.24</v>
      </c>
      <c r="S150" s="700">
        <f t="shared" si="20"/>
        <v>69861.392033764161</v>
      </c>
      <c r="T150" s="691" t="s">
        <v>54</v>
      </c>
    </row>
    <row r="151" spans="1:20" x14ac:dyDescent="0.25">
      <c r="A151" s="690"/>
      <c r="B151" s="691" t="s">
        <v>683</v>
      </c>
      <c r="C151" s="676" t="s">
        <v>40</v>
      </c>
      <c r="D151" s="680">
        <v>44866</v>
      </c>
      <c r="E151" s="676">
        <v>720</v>
      </c>
      <c r="F151" s="676" t="s">
        <v>3</v>
      </c>
      <c r="G151" s="690" t="s">
        <v>44</v>
      </c>
      <c r="H151" s="115">
        <v>-0.3</v>
      </c>
      <c r="I151" s="115">
        <v>368.69906825163162</v>
      </c>
      <c r="J151" s="601">
        <f t="shared" si="14"/>
        <v>79638.998742352429</v>
      </c>
      <c r="K151" s="738">
        <v>55.7</v>
      </c>
      <c r="L151" s="677">
        <f t="shared" si="15"/>
        <v>-12031.2</v>
      </c>
      <c r="M151" s="739">
        <f t="shared" si="16"/>
        <v>67607.798742352432</v>
      </c>
      <c r="N151" s="740">
        <v>55.7</v>
      </c>
      <c r="O151" s="678">
        <f t="shared" si="17"/>
        <v>-12031.2</v>
      </c>
      <c r="P151" s="700">
        <f t="shared" si="18"/>
        <v>67607.798742352432</v>
      </c>
      <c r="Q151" s="740">
        <v>55.7</v>
      </c>
      <c r="R151" s="678">
        <f t="shared" si="19"/>
        <v>-12031.2</v>
      </c>
      <c r="S151" s="700">
        <f t="shared" si="20"/>
        <v>67607.798742352432</v>
      </c>
      <c r="T151" s="691" t="s">
        <v>54</v>
      </c>
    </row>
    <row r="152" spans="1:20" x14ac:dyDescent="0.25">
      <c r="A152" s="690"/>
      <c r="B152" s="695" t="s">
        <v>683</v>
      </c>
      <c r="C152" s="545" t="s">
        <v>40</v>
      </c>
      <c r="D152" s="681">
        <v>44896</v>
      </c>
      <c r="E152" s="545">
        <v>744</v>
      </c>
      <c r="F152" s="545" t="s">
        <v>3</v>
      </c>
      <c r="G152" s="725" t="s">
        <v>44</v>
      </c>
      <c r="H152" s="548">
        <v>-0.3</v>
      </c>
      <c r="I152" s="548">
        <v>368.69906825163162</v>
      </c>
      <c r="J152" s="602">
        <f t="shared" si="14"/>
        <v>82293.632033764166</v>
      </c>
      <c r="K152" s="742">
        <v>55.7</v>
      </c>
      <c r="L152" s="603">
        <f t="shared" si="15"/>
        <v>-12432.24</v>
      </c>
      <c r="M152" s="743">
        <f t="shared" si="16"/>
        <v>69861.392033764161</v>
      </c>
      <c r="N152" s="744">
        <v>55.7</v>
      </c>
      <c r="O152" s="604">
        <f t="shared" si="17"/>
        <v>-12432.24</v>
      </c>
      <c r="P152" s="701">
        <f t="shared" si="18"/>
        <v>69861.392033764161</v>
      </c>
      <c r="Q152" s="744">
        <v>78.400653594793155</v>
      </c>
      <c r="R152" s="604">
        <f t="shared" si="19"/>
        <v>-17499.02588235783</v>
      </c>
      <c r="S152" s="701">
        <f t="shared" si="20"/>
        <v>64794.606151406333</v>
      </c>
      <c r="T152" s="695" t="s">
        <v>54</v>
      </c>
    </row>
    <row r="153" spans="1:20" x14ac:dyDescent="0.25">
      <c r="A153" s="690"/>
      <c r="B153" s="697" t="s">
        <v>685</v>
      </c>
      <c r="C153" s="547" t="s">
        <v>40</v>
      </c>
      <c r="D153" s="683">
        <v>44562</v>
      </c>
      <c r="E153" s="547">
        <v>744</v>
      </c>
      <c r="F153" s="547" t="s">
        <v>3</v>
      </c>
      <c r="G153" s="727" t="s">
        <v>44</v>
      </c>
      <c r="H153" s="638">
        <v>-10</v>
      </c>
      <c r="I153" s="638">
        <v>515</v>
      </c>
      <c r="J153" s="639">
        <f t="shared" si="14"/>
        <v>3831600</v>
      </c>
      <c r="K153" s="750">
        <v>62.91</v>
      </c>
      <c r="L153" s="608">
        <f t="shared" si="15"/>
        <v>-468050.39999999997</v>
      </c>
      <c r="M153" s="751">
        <f t="shared" si="16"/>
        <v>3363549.6</v>
      </c>
      <c r="N153" s="752">
        <v>62.91</v>
      </c>
      <c r="O153" s="609">
        <f t="shared" si="17"/>
        <v>-468050.39999999997</v>
      </c>
      <c r="P153" s="703">
        <f t="shared" si="18"/>
        <v>3363549.6</v>
      </c>
      <c r="Q153" s="752">
        <v>62.91</v>
      </c>
      <c r="R153" s="609">
        <f t="shared" si="19"/>
        <v>-468050.39999999997</v>
      </c>
      <c r="S153" s="703">
        <f t="shared" si="20"/>
        <v>3363549.6</v>
      </c>
      <c r="T153" s="697" t="s">
        <v>54</v>
      </c>
    </row>
    <row r="154" spans="1:20" x14ac:dyDescent="0.25">
      <c r="A154" s="690"/>
      <c r="B154" s="697" t="s">
        <v>687</v>
      </c>
      <c r="C154" s="547" t="s">
        <v>40</v>
      </c>
      <c r="D154" s="683">
        <v>44621</v>
      </c>
      <c r="E154" s="547">
        <v>744</v>
      </c>
      <c r="F154" s="547" t="s">
        <v>3</v>
      </c>
      <c r="G154" s="727" t="s">
        <v>44</v>
      </c>
      <c r="H154" s="638">
        <v>10</v>
      </c>
      <c r="I154" s="638">
        <v>375</v>
      </c>
      <c r="J154" s="639">
        <f t="shared" si="14"/>
        <v>-2790000</v>
      </c>
      <c r="K154" s="750">
        <v>55.7</v>
      </c>
      <c r="L154" s="608">
        <f t="shared" si="15"/>
        <v>414408</v>
      </c>
      <c r="M154" s="751">
        <f t="shared" si="16"/>
        <v>-2375592</v>
      </c>
      <c r="N154" s="752">
        <v>55.7</v>
      </c>
      <c r="O154" s="609">
        <f t="shared" si="17"/>
        <v>414408</v>
      </c>
      <c r="P154" s="703">
        <f t="shared" si="18"/>
        <v>-2375592</v>
      </c>
      <c r="Q154" s="752">
        <v>55.7</v>
      </c>
      <c r="R154" s="609">
        <f t="shared" si="19"/>
        <v>414408</v>
      </c>
      <c r="S154" s="703">
        <f t="shared" si="20"/>
        <v>-2375592</v>
      </c>
      <c r="T154" s="697" t="s">
        <v>54</v>
      </c>
    </row>
    <row r="155" spans="1:20" x14ac:dyDescent="0.25">
      <c r="A155" s="690"/>
      <c r="B155" s="696" t="s">
        <v>689</v>
      </c>
      <c r="C155" s="546" t="s">
        <v>40</v>
      </c>
      <c r="D155" s="682">
        <v>44743</v>
      </c>
      <c r="E155" s="546">
        <v>744</v>
      </c>
      <c r="F155" s="546" t="s">
        <v>3</v>
      </c>
      <c r="G155" s="726" t="s">
        <v>44</v>
      </c>
      <c r="H155" s="549">
        <v>-7</v>
      </c>
      <c r="I155" s="549">
        <v>370</v>
      </c>
      <c r="J155" s="605">
        <f t="shared" si="14"/>
        <v>1926960</v>
      </c>
      <c r="K155" s="746">
        <v>66.319999999999993</v>
      </c>
      <c r="L155" s="606">
        <f t="shared" si="15"/>
        <v>-345394.55999999994</v>
      </c>
      <c r="M155" s="747">
        <f t="shared" si="16"/>
        <v>1581565.44</v>
      </c>
      <c r="N155" s="748">
        <v>66.319999999999993</v>
      </c>
      <c r="O155" s="607">
        <f t="shared" si="17"/>
        <v>-345394.55999999994</v>
      </c>
      <c r="P155" s="702">
        <f t="shared" si="18"/>
        <v>1581565.44</v>
      </c>
      <c r="Q155" s="748">
        <v>66.319999999999993</v>
      </c>
      <c r="R155" s="607">
        <f t="shared" si="19"/>
        <v>-345394.55999999994</v>
      </c>
      <c r="S155" s="702">
        <f t="shared" si="20"/>
        <v>1581565.44</v>
      </c>
      <c r="T155" s="696" t="s">
        <v>54</v>
      </c>
    </row>
    <row r="156" spans="1:20" x14ac:dyDescent="0.25">
      <c r="A156" s="690"/>
      <c r="B156" s="691" t="s">
        <v>689</v>
      </c>
      <c r="C156" s="676" t="s">
        <v>40</v>
      </c>
      <c r="D156" s="680">
        <v>44774</v>
      </c>
      <c r="E156" s="676">
        <v>744</v>
      </c>
      <c r="F156" s="676" t="s">
        <v>3</v>
      </c>
      <c r="G156" s="690" t="s">
        <v>44</v>
      </c>
      <c r="H156" s="115">
        <v>-7</v>
      </c>
      <c r="I156" s="115">
        <v>370</v>
      </c>
      <c r="J156" s="601">
        <f t="shared" si="14"/>
        <v>1926960</v>
      </c>
      <c r="K156" s="738">
        <v>76.900000000000006</v>
      </c>
      <c r="L156" s="677">
        <f t="shared" si="15"/>
        <v>-400495.2</v>
      </c>
      <c r="M156" s="739">
        <f t="shared" si="16"/>
        <v>1526464.8</v>
      </c>
      <c r="N156" s="740">
        <v>76.900000000000006</v>
      </c>
      <c r="O156" s="678">
        <f t="shared" si="17"/>
        <v>-400495.2</v>
      </c>
      <c r="P156" s="700">
        <f t="shared" si="18"/>
        <v>1526464.8</v>
      </c>
      <c r="Q156" s="740">
        <v>76.900000000000006</v>
      </c>
      <c r="R156" s="678">
        <f t="shared" si="19"/>
        <v>-400495.2</v>
      </c>
      <c r="S156" s="700">
        <f t="shared" si="20"/>
        <v>1526464.8</v>
      </c>
      <c r="T156" s="691" t="s">
        <v>54</v>
      </c>
    </row>
    <row r="157" spans="1:20" x14ac:dyDescent="0.25">
      <c r="A157" s="690"/>
      <c r="B157" s="695" t="s">
        <v>689</v>
      </c>
      <c r="C157" s="545" t="s">
        <v>40</v>
      </c>
      <c r="D157" s="681">
        <v>44805</v>
      </c>
      <c r="E157" s="545">
        <v>720</v>
      </c>
      <c r="F157" s="545" t="s">
        <v>3</v>
      </c>
      <c r="G157" s="725" t="s">
        <v>44</v>
      </c>
      <c r="H157" s="548">
        <v>-7</v>
      </c>
      <c r="I157" s="548">
        <v>370</v>
      </c>
      <c r="J157" s="602">
        <f t="shared" si="14"/>
        <v>1864800</v>
      </c>
      <c r="K157" s="742">
        <v>56.08</v>
      </c>
      <c r="L157" s="603">
        <f t="shared" si="15"/>
        <v>-282643.20000000001</v>
      </c>
      <c r="M157" s="743">
        <f t="shared" si="16"/>
        <v>1582156.8</v>
      </c>
      <c r="N157" s="744">
        <v>56.08</v>
      </c>
      <c r="O157" s="604">
        <f t="shared" si="17"/>
        <v>-282643.20000000001</v>
      </c>
      <c r="P157" s="701">
        <f t="shared" si="18"/>
        <v>1582156.8</v>
      </c>
      <c r="Q157" s="744">
        <v>56.08</v>
      </c>
      <c r="R157" s="604">
        <f t="shared" si="19"/>
        <v>-282643.20000000001</v>
      </c>
      <c r="S157" s="701">
        <f t="shared" si="20"/>
        <v>1582156.8</v>
      </c>
      <c r="T157" s="695" t="s">
        <v>54</v>
      </c>
    </row>
    <row r="158" spans="1:20" x14ac:dyDescent="0.25">
      <c r="A158" s="690"/>
      <c r="B158" s="696" t="s">
        <v>691</v>
      </c>
      <c r="C158" s="546" t="s">
        <v>40</v>
      </c>
      <c r="D158" s="682">
        <v>44562</v>
      </c>
      <c r="E158" s="546">
        <v>744</v>
      </c>
      <c r="F158" s="546" t="s">
        <v>3</v>
      </c>
      <c r="G158" s="726" t="s">
        <v>44</v>
      </c>
      <c r="H158" s="549">
        <v>7</v>
      </c>
      <c r="I158" s="549">
        <v>440</v>
      </c>
      <c r="J158" s="605">
        <f t="shared" si="14"/>
        <v>-2291520</v>
      </c>
      <c r="K158" s="746">
        <v>62.91</v>
      </c>
      <c r="L158" s="606">
        <f t="shared" si="15"/>
        <v>327635.27999999997</v>
      </c>
      <c r="M158" s="747">
        <f t="shared" si="16"/>
        <v>-1963884.72</v>
      </c>
      <c r="N158" s="748">
        <v>62.91</v>
      </c>
      <c r="O158" s="607">
        <f t="shared" si="17"/>
        <v>327635.27999999997</v>
      </c>
      <c r="P158" s="702">
        <f t="shared" si="18"/>
        <v>-1963884.72</v>
      </c>
      <c r="Q158" s="748">
        <v>62.91</v>
      </c>
      <c r="R158" s="607">
        <f t="shared" si="19"/>
        <v>327635.27999999997</v>
      </c>
      <c r="S158" s="702">
        <f t="shared" si="20"/>
        <v>-1963884.72</v>
      </c>
      <c r="T158" s="696" t="s">
        <v>54</v>
      </c>
    </row>
    <row r="159" spans="1:20" x14ac:dyDescent="0.25">
      <c r="A159" s="690"/>
      <c r="B159" s="691" t="s">
        <v>691</v>
      </c>
      <c r="C159" s="676" t="s">
        <v>40</v>
      </c>
      <c r="D159" s="680">
        <v>44593</v>
      </c>
      <c r="E159" s="676">
        <v>672</v>
      </c>
      <c r="F159" s="676" t="s">
        <v>3</v>
      </c>
      <c r="G159" s="690" t="s">
        <v>44</v>
      </c>
      <c r="H159" s="115">
        <v>7</v>
      </c>
      <c r="I159" s="115">
        <v>440</v>
      </c>
      <c r="J159" s="601">
        <f t="shared" si="14"/>
        <v>-2069760</v>
      </c>
      <c r="K159" s="738">
        <v>55.7</v>
      </c>
      <c r="L159" s="677">
        <f t="shared" si="15"/>
        <v>262012.80000000002</v>
      </c>
      <c r="M159" s="739">
        <f t="shared" si="16"/>
        <v>-1807747.2</v>
      </c>
      <c r="N159" s="740">
        <v>55.7</v>
      </c>
      <c r="O159" s="678">
        <f t="shared" si="17"/>
        <v>262012.80000000002</v>
      </c>
      <c r="P159" s="700">
        <f t="shared" si="18"/>
        <v>-1807747.2</v>
      </c>
      <c r="Q159" s="740">
        <v>55.7</v>
      </c>
      <c r="R159" s="678">
        <f t="shared" si="19"/>
        <v>262012.80000000002</v>
      </c>
      <c r="S159" s="700">
        <f t="shared" si="20"/>
        <v>-1807747.2</v>
      </c>
      <c r="T159" s="691" t="s">
        <v>54</v>
      </c>
    </row>
    <row r="160" spans="1:20" x14ac:dyDescent="0.25">
      <c r="A160" s="690"/>
      <c r="B160" s="695" t="s">
        <v>691</v>
      </c>
      <c r="C160" s="545" t="s">
        <v>40</v>
      </c>
      <c r="D160" s="681">
        <v>44621</v>
      </c>
      <c r="E160" s="545">
        <v>744</v>
      </c>
      <c r="F160" s="545" t="s">
        <v>3</v>
      </c>
      <c r="G160" s="725" t="s">
        <v>44</v>
      </c>
      <c r="H160" s="548">
        <v>7</v>
      </c>
      <c r="I160" s="548">
        <v>440</v>
      </c>
      <c r="J160" s="602">
        <f t="shared" si="14"/>
        <v>-2291520</v>
      </c>
      <c r="K160" s="742">
        <v>55.7</v>
      </c>
      <c r="L160" s="603">
        <f t="shared" si="15"/>
        <v>290085.60000000003</v>
      </c>
      <c r="M160" s="743">
        <f t="shared" si="16"/>
        <v>-2001434.4</v>
      </c>
      <c r="N160" s="744">
        <v>55.7</v>
      </c>
      <c r="O160" s="604">
        <f t="shared" si="17"/>
        <v>290085.60000000003</v>
      </c>
      <c r="P160" s="701">
        <f t="shared" si="18"/>
        <v>-2001434.4</v>
      </c>
      <c r="Q160" s="744">
        <v>55.7</v>
      </c>
      <c r="R160" s="604">
        <f t="shared" si="19"/>
        <v>290085.60000000003</v>
      </c>
      <c r="S160" s="701">
        <f t="shared" si="20"/>
        <v>-2001434.4</v>
      </c>
      <c r="T160" s="695" t="s">
        <v>54</v>
      </c>
    </row>
    <row r="161" spans="1:20" x14ac:dyDescent="0.25">
      <c r="A161" s="690"/>
      <c r="B161" s="696" t="s">
        <v>700</v>
      </c>
      <c r="C161" s="546" t="s">
        <v>40</v>
      </c>
      <c r="D161" s="682">
        <v>44743</v>
      </c>
      <c r="E161" s="546">
        <v>744</v>
      </c>
      <c r="F161" s="546" t="s">
        <v>3</v>
      </c>
      <c r="G161" s="726" t="s">
        <v>44</v>
      </c>
      <c r="H161" s="549">
        <v>2</v>
      </c>
      <c r="I161" s="549">
        <v>335</v>
      </c>
      <c r="J161" s="605">
        <f t="shared" si="14"/>
        <v>-498480</v>
      </c>
      <c r="K161" s="746">
        <v>66.319999999999993</v>
      </c>
      <c r="L161" s="606">
        <f t="shared" si="15"/>
        <v>98684.159999999989</v>
      </c>
      <c r="M161" s="747">
        <f t="shared" si="16"/>
        <v>-399795.84</v>
      </c>
      <c r="N161" s="748">
        <v>66.319999999999993</v>
      </c>
      <c r="O161" s="607">
        <f t="shared" si="17"/>
        <v>98684.159999999989</v>
      </c>
      <c r="P161" s="702">
        <f t="shared" si="18"/>
        <v>-399795.84</v>
      </c>
      <c r="Q161" s="748">
        <v>66.319999999999993</v>
      </c>
      <c r="R161" s="607">
        <f t="shared" si="19"/>
        <v>98684.159999999989</v>
      </c>
      <c r="S161" s="702">
        <f t="shared" si="20"/>
        <v>-399795.84</v>
      </c>
      <c r="T161" s="696" t="s">
        <v>54</v>
      </c>
    </row>
    <row r="162" spans="1:20" x14ac:dyDescent="0.25">
      <c r="A162" s="690"/>
      <c r="B162" s="691" t="s">
        <v>700</v>
      </c>
      <c r="C162" s="676" t="s">
        <v>40</v>
      </c>
      <c r="D162" s="680">
        <v>44774</v>
      </c>
      <c r="E162" s="676">
        <v>744</v>
      </c>
      <c r="F162" s="676" t="s">
        <v>3</v>
      </c>
      <c r="G162" s="690" t="s">
        <v>44</v>
      </c>
      <c r="H162" s="115">
        <v>2</v>
      </c>
      <c r="I162" s="115">
        <v>335</v>
      </c>
      <c r="J162" s="601">
        <f t="shared" si="14"/>
        <v>-498480</v>
      </c>
      <c r="K162" s="738">
        <v>76.900000000000006</v>
      </c>
      <c r="L162" s="677">
        <f t="shared" si="15"/>
        <v>114427.20000000001</v>
      </c>
      <c r="M162" s="739">
        <f t="shared" si="16"/>
        <v>-384052.8</v>
      </c>
      <c r="N162" s="740">
        <v>76.900000000000006</v>
      </c>
      <c r="O162" s="678">
        <f t="shared" si="17"/>
        <v>114427.20000000001</v>
      </c>
      <c r="P162" s="700">
        <f t="shared" si="18"/>
        <v>-384052.8</v>
      </c>
      <c r="Q162" s="740">
        <v>76.900000000000006</v>
      </c>
      <c r="R162" s="678">
        <f t="shared" si="19"/>
        <v>114427.20000000001</v>
      </c>
      <c r="S162" s="700">
        <f t="shared" si="20"/>
        <v>-384052.8</v>
      </c>
      <c r="T162" s="691" t="s">
        <v>54</v>
      </c>
    </row>
    <row r="163" spans="1:20" x14ac:dyDescent="0.25">
      <c r="A163" s="690"/>
      <c r="B163" s="695" t="s">
        <v>700</v>
      </c>
      <c r="C163" s="545" t="s">
        <v>40</v>
      </c>
      <c r="D163" s="681">
        <v>44805</v>
      </c>
      <c r="E163" s="545">
        <v>720</v>
      </c>
      <c r="F163" s="545" t="s">
        <v>3</v>
      </c>
      <c r="G163" s="725" t="s">
        <v>44</v>
      </c>
      <c r="H163" s="548">
        <v>2</v>
      </c>
      <c r="I163" s="548">
        <v>335</v>
      </c>
      <c r="J163" s="602">
        <f t="shared" si="14"/>
        <v>-482400</v>
      </c>
      <c r="K163" s="742">
        <v>56.08</v>
      </c>
      <c r="L163" s="603">
        <f t="shared" si="15"/>
        <v>80755.199999999997</v>
      </c>
      <c r="M163" s="743">
        <f t="shared" si="16"/>
        <v>-401644.79999999999</v>
      </c>
      <c r="N163" s="744">
        <v>56.08</v>
      </c>
      <c r="O163" s="604">
        <f t="shared" si="17"/>
        <v>80755.199999999997</v>
      </c>
      <c r="P163" s="701">
        <f t="shared" si="18"/>
        <v>-401644.79999999999</v>
      </c>
      <c r="Q163" s="744">
        <v>56.08</v>
      </c>
      <c r="R163" s="604">
        <f t="shared" si="19"/>
        <v>80755.199999999997</v>
      </c>
      <c r="S163" s="701">
        <f t="shared" si="20"/>
        <v>-401644.79999999999</v>
      </c>
      <c r="T163" s="695" t="s">
        <v>54</v>
      </c>
    </row>
    <row r="164" spans="1:20" x14ac:dyDescent="0.25">
      <c r="A164" s="690"/>
      <c r="B164" s="696" t="s">
        <v>702</v>
      </c>
      <c r="C164" s="546" t="s">
        <v>40</v>
      </c>
      <c r="D164" s="682">
        <v>44652</v>
      </c>
      <c r="E164" s="546">
        <v>720</v>
      </c>
      <c r="F164" s="546" t="s">
        <v>3</v>
      </c>
      <c r="G164" s="726" t="s">
        <v>44</v>
      </c>
      <c r="H164" s="549">
        <v>-2</v>
      </c>
      <c r="I164" s="549">
        <v>200</v>
      </c>
      <c r="J164" s="605">
        <f t="shared" si="14"/>
        <v>288000</v>
      </c>
      <c r="K164" s="746">
        <v>55.7</v>
      </c>
      <c r="L164" s="606">
        <f t="shared" si="15"/>
        <v>-80208</v>
      </c>
      <c r="M164" s="747">
        <f t="shared" si="16"/>
        <v>207792</v>
      </c>
      <c r="N164" s="748">
        <v>55.7</v>
      </c>
      <c r="O164" s="607">
        <f t="shared" si="17"/>
        <v>-80208</v>
      </c>
      <c r="P164" s="702">
        <f t="shared" si="18"/>
        <v>207792</v>
      </c>
      <c r="Q164" s="748">
        <v>55.7</v>
      </c>
      <c r="R164" s="607">
        <f t="shared" si="19"/>
        <v>-80208</v>
      </c>
      <c r="S164" s="702">
        <f t="shared" si="20"/>
        <v>207792</v>
      </c>
      <c r="T164" s="696" t="s">
        <v>54</v>
      </c>
    </row>
    <row r="165" spans="1:20" x14ac:dyDescent="0.25">
      <c r="A165" s="690"/>
      <c r="B165" s="691" t="s">
        <v>702</v>
      </c>
      <c r="C165" s="676" t="s">
        <v>40</v>
      </c>
      <c r="D165" s="680">
        <v>44682</v>
      </c>
      <c r="E165" s="676">
        <v>744</v>
      </c>
      <c r="F165" s="676" t="s">
        <v>3</v>
      </c>
      <c r="G165" s="690" t="s">
        <v>44</v>
      </c>
      <c r="H165" s="115">
        <v>-2</v>
      </c>
      <c r="I165" s="115">
        <v>200</v>
      </c>
      <c r="J165" s="601">
        <f t="shared" si="14"/>
        <v>297600</v>
      </c>
      <c r="K165" s="738">
        <v>55.7</v>
      </c>
      <c r="L165" s="677">
        <f t="shared" si="15"/>
        <v>-82881.600000000006</v>
      </c>
      <c r="M165" s="739">
        <f t="shared" si="16"/>
        <v>214718.4</v>
      </c>
      <c r="N165" s="740">
        <v>55.7</v>
      </c>
      <c r="O165" s="678">
        <f t="shared" si="17"/>
        <v>-82881.600000000006</v>
      </c>
      <c r="P165" s="700">
        <f t="shared" si="18"/>
        <v>214718.4</v>
      </c>
      <c r="Q165" s="740">
        <v>55.7</v>
      </c>
      <c r="R165" s="678">
        <f t="shared" si="19"/>
        <v>-82881.600000000006</v>
      </c>
      <c r="S165" s="700">
        <f t="shared" si="20"/>
        <v>214718.4</v>
      </c>
      <c r="T165" s="691" t="s">
        <v>54</v>
      </c>
    </row>
    <row r="166" spans="1:20" x14ac:dyDescent="0.25">
      <c r="A166" s="690"/>
      <c r="B166" s="695" t="s">
        <v>702</v>
      </c>
      <c r="C166" s="545" t="s">
        <v>40</v>
      </c>
      <c r="D166" s="681">
        <v>44713</v>
      </c>
      <c r="E166" s="545">
        <v>720</v>
      </c>
      <c r="F166" s="545" t="s">
        <v>3</v>
      </c>
      <c r="G166" s="725" t="s">
        <v>44</v>
      </c>
      <c r="H166" s="548">
        <v>-2</v>
      </c>
      <c r="I166" s="548">
        <v>200</v>
      </c>
      <c r="J166" s="602">
        <f t="shared" si="14"/>
        <v>288000</v>
      </c>
      <c r="K166" s="742">
        <v>55.71</v>
      </c>
      <c r="L166" s="603">
        <f t="shared" si="15"/>
        <v>-80222.399999999994</v>
      </c>
      <c r="M166" s="743">
        <f t="shared" si="16"/>
        <v>207777.6</v>
      </c>
      <c r="N166" s="744">
        <v>55.71</v>
      </c>
      <c r="O166" s="604">
        <f t="shared" si="17"/>
        <v>-80222.399999999994</v>
      </c>
      <c r="P166" s="701">
        <f t="shared" si="18"/>
        <v>207777.6</v>
      </c>
      <c r="Q166" s="744">
        <v>55.71</v>
      </c>
      <c r="R166" s="604">
        <f t="shared" si="19"/>
        <v>-80222.399999999994</v>
      </c>
      <c r="S166" s="701">
        <f t="shared" si="20"/>
        <v>207777.6</v>
      </c>
      <c r="T166" s="695" t="s">
        <v>54</v>
      </c>
    </row>
    <row r="167" spans="1:20" x14ac:dyDescent="0.25">
      <c r="A167" s="690"/>
      <c r="B167" s="696" t="s">
        <v>704</v>
      </c>
      <c r="C167" s="546" t="s">
        <v>40</v>
      </c>
      <c r="D167" s="682">
        <v>44652</v>
      </c>
      <c r="E167" s="546">
        <v>720</v>
      </c>
      <c r="F167" s="546" t="s">
        <v>3</v>
      </c>
      <c r="G167" s="726" t="s">
        <v>44</v>
      </c>
      <c r="H167" s="549">
        <v>-5</v>
      </c>
      <c r="I167" s="549">
        <v>195</v>
      </c>
      <c r="J167" s="605">
        <f t="shared" si="14"/>
        <v>702000</v>
      </c>
      <c r="K167" s="746">
        <v>55.7</v>
      </c>
      <c r="L167" s="606">
        <f t="shared" si="15"/>
        <v>-200520</v>
      </c>
      <c r="M167" s="747">
        <f t="shared" si="16"/>
        <v>501480</v>
      </c>
      <c r="N167" s="748">
        <v>55.7</v>
      </c>
      <c r="O167" s="607">
        <f t="shared" si="17"/>
        <v>-200520</v>
      </c>
      <c r="P167" s="702">
        <f t="shared" si="18"/>
        <v>501480</v>
      </c>
      <c r="Q167" s="748">
        <v>55.7</v>
      </c>
      <c r="R167" s="607">
        <f t="shared" si="19"/>
        <v>-200520</v>
      </c>
      <c r="S167" s="702">
        <f t="shared" si="20"/>
        <v>501480</v>
      </c>
      <c r="T167" s="696" t="s">
        <v>54</v>
      </c>
    </row>
    <row r="168" spans="1:20" x14ac:dyDescent="0.25">
      <c r="A168" s="690"/>
      <c r="B168" s="691" t="s">
        <v>704</v>
      </c>
      <c r="C168" s="676" t="s">
        <v>40</v>
      </c>
      <c r="D168" s="680">
        <v>44682</v>
      </c>
      <c r="E168" s="676">
        <v>744</v>
      </c>
      <c r="F168" s="676" t="s">
        <v>3</v>
      </c>
      <c r="G168" s="690" t="s">
        <v>44</v>
      </c>
      <c r="H168" s="115">
        <v>-5</v>
      </c>
      <c r="I168" s="115">
        <v>195</v>
      </c>
      <c r="J168" s="601">
        <f t="shared" si="14"/>
        <v>725400</v>
      </c>
      <c r="K168" s="738">
        <v>55.7</v>
      </c>
      <c r="L168" s="677">
        <f t="shared" si="15"/>
        <v>-207204</v>
      </c>
      <c r="M168" s="739">
        <f t="shared" si="16"/>
        <v>518196</v>
      </c>
      <c r="N168" s="740">
        <v>55.7</v>
      </c>
      <c r="O168" s="678">
        <f t="shared" si="17"/>
        <v>-207204</v>
      </c>
      <c r="P168" s="700">
        <f t="shared" si="18"/>
        <v>518196</v>
      </c>
      <c r="Q168" s="740">
        <v>55.7</v>
      </c>
      <c r="R168" s="678">
        <f t="shared" si="19"/>
        <v>-207204</v>
      </c>
      <c r="S168" s="700">
        <f t="shared" si="20"/>
        <v>518196</v>
      </c>
      <c r="T168" s="691" t="s">
        <v>54</v>
      </c>
    </row>
    <row r="169" spans="1:20" x14ac:dyDescent="0.25">
      <c r="A169" s="690"/>
      <c r="B169" s="695" t="s">
        <v>704</v>
      </c>
      <c r="C169" s="545" t="s">
        <v>40</v>
      </c>
      <c r="D169" s="681">
        <v>44713</v>
      </c>
      <c r="E169" s="545">
        <v>720</v>
      </c>
      <c r="F169" s="545" t="s">
        <v>3</v>
      </c>
      <c r="G169" s="725" t="s">
        <v>44</v>
      </c>
      <c r="H169" s="548">
        <v>-5</v>
      </c>
      <c r="I169" s="548">
        <v>195</v>
      </c>
      <c r="J169" s="602">
        <f t="shared" si="14"/>
        <v>702000</v>
      </c>
      <c r="K169" s="742">
        <v>55.71</v>
      </c>
      <c r="L169" s="603">
        <f t="shared" si="15"/>
        <v>-200556</v>
      </c>
      <c r="M169" s="743">
        <f t="shared" si="16"/>
        <v>501444</v>
      </c>
      <c r="N169" s="744">
        <v>55.71</v>
      </c>
      <c r="O169" s="604">
        <f t="shared" si="17"/>
        <v>-200556</v>
      </c>
      <c r="P169" s="701">
        <f t="shared" si="18"/>
        <v>501444</v>
      </c>
      <c r="Q169" s="744">
        <v>55.71</v>
      </c>
      <c r="R169" s="604">
        <f t="shared" si="19"/>
        <v>-200556</v>
      </c>
      <c r="S169" s="701">
        <f t="shared" si="20"/>
        <v>501444</v>
      </c>
      <c r="T169" s="695" t="s">
        <v>54</v>
      </c>
    </row>
    <row r="170" spans="1:20" x14ac:dyDescent="0.25">
      <c r="A170" s="690"/>
      <c r="B170" s="696" t="s">
        <v>706</v>
      </c>
      <c r="C170" s="546" t="s">
        <v>40</v>
      </c>
      <c r="D170" s="682">
        <v>44652</v>
      </c>
      <c r="E170" s="546">
        <v>720</v>
      </c>
      <c r="F170" s="546" t="s">
        <v>3</v>
      </c>
      <c r="G170" s="726" t="s">
        <v>44</v>
      </c>
      <c r="H170" s="549">
        <v>-5</v>
      </c>
      <c r="I170" s="549">
        <v>200</v>
      </c>
      <c r="J170" s="605">
        <f t="shared" si="14"/>
        <v>720000</v>
      </c>
      <c r="K170" s="746">
        <v>55.7</v>
      </c>
      <c r="L170" s="606">
        <f t="shared" si="15"/>
        <v>-200520</v>
      </c>
      <c r="M170" s="747">
        <f t="shared" si="16"/>
        <v>519480</v>
      </c>
      <c r="N170" s="748">
        <v>55.7</v>
      </c>
      <c r="O170" s="607">
        <f t="shared" si="17"/>
        <v>-200520</v>
      </c>
      <c r="P170" s="702">
        <f t="shared" si="18"/>
        <v>519480</v>
      </c>
      <c r="Q170" s="748">
        <v>55.7</v>
      </c>
      <c r="R170" s="607">
        <f t="shared" si="19"/>
        <v>-200520</v>
      </c>
      <c r="S170" s="702">
        <f t="shared" si="20"/>
        <v>519480</v>
      </c>
      <c r="T170" s="696" t="s">
        <v>54</v>
      </c>
    </row>
    <row r="171" spans="1:20" x14ac:dyDescent="0.25">
      <c r="A171" s="690"/>
      <c r="B171" s="691" t="s">
        <v>706</v>
      </c>
      <c r="C171" s="676" t="s">
        <v>40</v>
      </c>
      <c r="D171" s="680">
        <v>44682</v>
      </c>
      <c r="E171" s="676">
        <v>744</v>
      </c>
      <c r="F171" s="676" t="s">
        <v>3</v>
      </c>
      <c r="G171" s="690" t="s">
        <v>44</v>
      </c>
      <c r="H171" s="115">
        <v>-5</v>
      </c>
      <c r="I171" s="115">
        <v>200</v>
      </c>
      <c r="J171" s="601">
        <f t="shared" si="14"/>
        <v>744000</v>
      </c>
      <c r="K171" s="738">
        <v>55.7</v>
      </c>
      <c r="L171" s="677">
        <f t="shared" si="15"/>
        <v>-207204</v>
      </c>
      <c r="M171" s="739">
        <f t="shared" si="16"/>
        <v>536796</v>
      </c>
      <c r="N171" s="740">
        <v>55.7</v>
      </c>
      <c r="O171" s="678">
        <f t="shared" si="17"/>
        <v>-207204</v>
      </c>
      <c r="P171" s="700">
        <f t="shared" si="18"/>
        <v>536796</v>
      </c>
      <c r="Q171" s="740">
        <v>55.7</v>
      </c>
      <c r="R171" s="678">
        <f t="shared" si="19"/>
        <v>-207204</v>
      </c>
      <c r="S171" s="700">
        <f t="shared" si="20"/>
        <v>536796</v>
      </c>
      <c r="T171" s="691" t="s">
        <v>54</v>
      </c>
    </row>
    <row r="172" spans="1:20" x14ac:dyDescent="0.25">
      <c r="A172" s="690"/>
      <c r="B172" s="695" t="s">
        <v>706</v>
      </c>
      <c r="C172" s="545" t="s">
        <v>40</v>
      </c>
      <c r="D172" s="681">
        <v>44713</v>
      </c>
      <c r="E172" s="545">
        <v>720</v>
      </c>
      <c r="F172" s="545" t="s">
        <v>3</v>
      </c>
      <c r="G172" s="725" t="s">
        <v>44</v>
      </c>
      <c r="H172" s="548">
        <v>-5</v>
      </c>
      <c r="I172" s="548">
        <v>200</v>
      </c>
      <c r="J172" s="602">
        <f t="shared" si="14"/>
        <v>720000</v>
      </c>
      <c r="K172" s="742">
        <v>55.71</v>
      </c>
      <c r="L172" s="603">
        <f t="shared" si="15"/>
        <v>-200556</v>
      </c>
      <c r="M172" s="743">
        <f t="shared" si="16"/>
        <v>519444</v>
      </c>
      <c r="N172" s="744">
        <v>55.71</v>
      </c>
      <c r="O172" s="604">
        <f t="shared" si="17"/>
        <v>-200556</v>
      </c>
      <c r="P172" s="701">
        <f t="shared" si="18"/>
        <v>519444</v>
      </c>
      <c r="Q172" s="744">
        <v>55.71</v>
      </c>
      <c r="R172" s="604">
        <f t="shared" si="19"/>
        <v>-200556</v>
      </c>
      <c r="S172" s="701">
        <f t="shared" si="20"/>
        <v>519444</v>
      </c>
      <c r="T172" s="695" t="s">
        <v>54</v>
      </c>
    </row>
    <row r="173" spans="1:20" x14ac:dyDescent="0.25">
      <c r="A173" s="690"/>
      <c r="B173" s="696" t="s">
        <v>708</v>
      </c>
      <c r="C173" s="546" t="s">
        <v>40</v>
      </c>
      <c r="D173" s="682">
        <v>44743</v>
      </c>
      <c r="E173" s="546">
        <v>744</v>
      </c>
      <c r="F173" s="546" t="s">
        <v>3</v>
      </c>
      <c r="G173" s="726" t="s">
        <v>44</v>
      </c>
      <c r="H173" s="549">
        <v>5</v>
      </c>
      <c r="I173" s="549">
        <v>322</v>
      </c>
      <c r="J173" s="605">
        <f t="shared" si="14"/>
        <v>-1197840</v>
      </c>
      <c r="K173" s="746">
        <v>66.319999999999993</v>
      </c>
      <c r="L173" s="606">
        <f t="shared" si="15"/>
        <v>246710.39999999997</v>
      </c>
      <c r="M173" s="747">
        <f t="shared" si="16"/>
        <v>-951129.60000000009</v>
      </c>
      <c r="N173" s="748">
        <v>66.319999999999993</v>
      </c>
      <c r="O173" s="607">
        <f t="shared" si="17"/>
        <v>246710.39999999997</v>
      </c>
      <c r="P173" s="702">
        <f t="shared" si="18"/>
        <v>-951129.60000000009</v>
      </c>
      <c r="Q173" s="748">
        <v>66.319999999999993</v>
      </c>
      <c r="R173" s="607">
        <f t="shared" si="19"/>
        <v>246710.39999999997</v>
      </c>
      <c r="S173" s="702">
        <f t="shared" si="20"/>
        <v>-951129.60000000009</v>
      </c>
      <c r="T173" s="696" t="s">
        <v>54</v>
      </c>
    </row>
    <row r="174" spans="1:20" x14ac:dyDescent="0.25">
      <c r="A174" s="690"/>
      <c r="B174" s="691" t="s">
        <v>708</v>
      </c>
      <c r="C174" s="676" t="s">
        <v>40</v>
      </c>
      <c r="D174" s="680">
        <v>44774</v>
      </c>
      <c r="E174" s="676">
        <v>744</v>
      </c>
      <c r="F174" s="676" t="s">
        <v>3</v>
      </c>
      <c r="G174" s="690" t="s">
        <v>44</v>
      </c>
      <c r="H174" s="115">
        <v>5</v>
      </c>
      <c r="I174" s="115">
        <v>322</v>
      </c>
      <c r="J174" s="601">
        <f t="shared" si="14"/>
        <v>-1197840</v>
      </c>
      <c r="K174" s="738">
        <v>76.900000000000006</v>
      </c>
      <c r="L174" s="677">
        <f t="shared" si="15"/>
        <v>286068</v>
      </c>
      <c r="M174" s="739">
        <f t="shared" si="16"/>
        <v>-911772</v>
      </c>
      <c r="N174" s="740">
        <v>76.900000000000006</v>
      </c>
      <c r="O174" s="678">
        <f t="shared" si="17"/>
        <v>286068</v>
      </c>
      <c r="P174" s="700">
        <f t="shared" si="18"/>
        <v>-911772</v>
      </c>
      <c r="Q174" s="740">
        <v>76.900000000000006</v>
      </c>
      <c r="R174" s="678">
        <f t="shared" si="19"/>
        <v>286068</v>
      </c>
      <c r="S174" s="700">
        <f t="shared" si="20"/>
        <v>-911772</v>
      </c>
      <c r="T174" s="691" t="s">
        <v>54</v>
      </c>
    </row>
    <row r="175" spans="1:20" x14ac:dyDescent="0.25">
      <c r="A175" s="690"/>
      <c r="B175" s="695" t="s">
        <v>708</v>
      </c>
      <c r="C175" s="545" t="s">
        <v>40</v>
      </c>
      <c r="D175" s="681">
        <v>44805</v>
      </c>
      <c r="E175" s="545">
        <v>720</v>
      </c>
      <c r="F175" s="545" t="s">
        <v>3</v>
      </c>
      <c r="G175" s="725" t="s">
        <v>44</v>
      </c>
      <c r="H175" s="548">
        <v>5</v>
      </c>
      <c r="I175" s="548">
        <v>322</v>
      </c>
      <c r="J175" s="602">
        <f t="shared" si="14"/>
        <v>-1159200</v>
      </c>
      <c r="K175" s="742">
        <v>56.08</v>
      </c>
      <c r="L175" s="603">
        <f t="shared" si="15"/>
        <v>201888</v>
      </c>
      <c r="M175" s="743">
        <f t="shared" si="16"/>
        <v>-957312</v>
      </c>
      <c r="N175" s="744">
        <v>56.08</v>
      </c>
      <c r="O175" s="604">
        <f t="shared" si="17"/>
        <v>201888</v>
      </c>
      <c r="P175" s="701">
        <f t="shared" si="18"/>
        <v>-957312</v>
      </c>
      <c r="Q175" s="744">
        <v>56.08</v>
      </c>
      <c r="R175" s="604">
        <f t="shared" si="19"/>
        <v>201888</v>
      </c>
      <c r="S175" s="701">
        <f t="shared" si="20"/>
        <v>-957312</v>
      </c>
      <c r="T175" s="695" t="s">
        <v>54</v>
      </c>
    </row>
    <row r="176" spans="1:20" x14ac:dyDescent="0.25">
      <c r="A176" s="690"/>
      <c r="B176" s="696" t="s">
        <v>710</v>
      </c>
      <c r="C176" s="546" t="s">
        <v>40</v>
      </c>
      <c r="D176" s="682">
        <v>44743</v>
      </c>
      <c r="E176" s="546">
        <v>744</v>
      </c>
      <c r="F176" s="546" t="s">
        <v>3</v>
      </c>
      <c r="G176" s="726" t="s">
        <v>44</v>
      </c>
      <c r="H176" s="549">
        <v>2</v>
      </c>
      <c r="I176" s="549">
        <v>320</v>
      </c>
      <c r="J176" s="605">
        <f t="shared" si="14"/>
        <v>-476160</v>
      </c>
      <c r="K176" s="746">
        <v>66.319999999999993</v>
      </c>
      <c r="L176" s="606">
        <f t="shared" si="15"/>
        <v>98684.159999999989</v>
      </c>
      <c r="M176" s="747">
        <f t="shared" si="16"/>
        <v>-377475.84000000003</v>
      </c>
      <c r="N176" s="748">
        <v>66.319999999999993</v>
      </c>
      <c r="O176" s="607">
        <f t="shared" si="17"/>
        <v>98684.159999999989</v>
      </c>
      <c r="P176" s="702">
        <f t="shared" si="18"/>
        <v>-377475.84000000003</v>
      </c>
      <c r="Q176" s="748">
        <v>66.319999999999993</v>
      </c>
      <c r="R176" s="607">
        <f t="shared" si="19"/>
        <v>98684.159999999989</v>
      </c>
      <c r="S176" s="702">
        <f t="shared" si="20"/>
        <v>-377475.84000000003</v>
      </c>
      <c r="T176" s="696" t="s">
        <v>54</v>
      </c>
    </row>
    <row r="177" spans="1:20" x14ac:dyDescent="0.25">
      <c r="A177" s="690"/>
      <c r="B177" s="691" t="s">
        <v>710</v>
      </c>
      <c r="C177" s="676" t="s">
        <v>40</v>
      </c>
      <c r="D177" s="680">
        <v>44774</v>
      </c>
      <c r="E177" s="676">
        <v>744</v>
      </c>
      <c r="F177" s="676" t="s">
        <v>3</v>
      </c>
      <c r="G177" s="690" t="s">
        <v>44</v>
      </c>
      <c r="H177" s="115">
        <v>2</v>
      </c>
      <c r="I177" s="115">
        <v>320</v>
      </c>
      <c r="J177" s="601">
        <f t="shared" si="14"/>
        <v>-476160</v>
      </c>
      <c r="K177" s="738">
        <v>76.900000000000006</v>
      </c>
      <c r="L177" s="677">
        <f t="shared" si="15"/>
        <v>114427.20000000001</v>
      </c>
      <c r="M177" s="739">
        <f t="shared" si="16"/>
        <v>-361732.8</v>
      </c>
      <c r="N177" s="740">
        <v>76.900000000000006</v>
      </c>
      <c r="O177" s="678">
        <f t="shared" si="17"/>
        <v>114427.20000000001</v>
      </c>
      <c r="P177" s="700">
        <f t="shared" si="18"/>
        <v>-361732.8</v>
      </c>
      <c r="Q177" s="740">
        <v>76.900000000000006</v>
      </c>
      <c r="R177" s="678">
        <f t="shared" si="19"/>
        <v>114427.20000000001</v>
      </c>
      <c r="S177" s="700">
        <f t="shared" si="20"/>
        <v>-361732.8</v>
      </c>
      <c r="T177" s="691" t="s">
        <v>54</v>
      </c>
    </row>
    <row r="178" spans="1:20" x14ac:dyDescent="0.25">
      <c r="A178" s="690"/>
      <c r="B178" s="695" t="s">
        <v>710</v>
      </c>
      <c r="C178" s="545" t="s">
        <v>40</v>
      </c>
      <c r="D178" s="681">
        <v>44805</v>
      </c>
      <c r="E178" s="545">
        <v>720</v>
      </c>
      <c r="F178" s="545" t="s">
        <v>3</v>
      </c>
      <c r="G178" s="725" t="s">
        <v>44</v>
      </c>
      <c r="H178" s="548">
        <v>2</v>
      </c>
      <c r="I178" s="548">
        <v>320</v>
      </c>
      <c r="J178" s="602">
        <f t="shared" si="14"/>
        <v>-460800</v>
      </c>
      <c r="K178" s="742">
        <v>56.08</v>
      </c>
      <c r="L178" s="603">
        <f t="shared" si="15"/>
        <v>80755.199999999997</v>
      </c>
      <c r="M178" s="743">
        <f t="shared" si="16"/>
        <v>-380044.79999999999</v>
      </c>
      <c r="N178" s="744">
        <v>56.08</v>
      </c>
      <c r="O178" s="604">
        <f t="shared" si="17"/>
        <v>80755.199999999997</v>
      </c>
      <c r="P178" s="701">
        <f t="shared" si="18"/>
        <v>-380044.79999999999</v>
      </c>
      <c r="Q178" s="744">
        <v>56.08</v>
      </c>
      <c r="R178" s="604">
        <f t="shared" si="19"/>
        <v>80755.199999999997</v>
      </c>
      <c r="S178" s="701">
        <f t="shared" si="20"/>
        <v>-380044.79999999999</v>
      </c>
      <c r="T178" s="695" t="s">
        <v>54</v>
      </c>
    </row>
    <row r="179" spans="1:20" x14ac:dyDescent="0.25">
      <c r="A179" s="690"/>
      <c r="B179" s="696" t="s">
        <v>712</v>
      </c>
      <c r="C179" s="546" t="s">
        <v>40</v>
      </c>
      <c r="D179" s="682">
        <v>44652</v>
      </c>
      <c r="E179" s="546">
        <v>720</v>
      </c>
      <c r="F179" s="546" t="s">
        <v>3</v>
      </c>
      <c r="G179" s="726" t="s">
        <v>44</v>
      </c>
      <c r="H179" s="549">
        <v>-2</v>
      </c>
      <c r="I179" s="549">
        <v>200</v>
      </c>
      <c r="J179" s="605">
        <f t="shared" si="14"/>
        <v>288000</v>
      </c>
      <c r="K179" s="746">
        <v>55.7</v>
      </c>
      <c r="L179" s="606">
        <f t="shared" si="15"/>
        <v>-80208</v>
      </c>
      <c r="M179" s="747">
        <f t="shared" si="16"/>
        <v>207792</v>
      </c>
      <c r="N179" s="748">
        <v>55.7</v>
      </c>
      <c r="O179" s="607">
        <f t="shared" si="17"/>
        <v>-80208</v>
      </c>
      <c r="P179" s="702">
        <f t="shared" si="18"/>
        <v>207792</v>
      </c>
      <c r="Q179" s="748">
        <v>55.7</v>
      </c>
      <c r="R179" s="607">
        <f t="shared" si="19"/>
        <v>-80208</v>
      </c>
      <c r="S179" s="702">
        <f t="shared" si="20"/>
        <v>207792</v>
      </c>
      <c r="T179" s="696" t="s">
        <v>54</v>
      </c>
    </row>
    <row r="180" spans="1:20" x14ac:dyDescent="0.25">
      <c r="A180" s="690"/>
      <c r="B180" s="691" t="s">
        <v>712</v>
      </c>
      <c r="C180" s="676" t="s">
        <v>40</v>
      </c>
      <c r="D180" s="680">
        <v>44682</v>
      </c>
      <c r="E180" s="676">
        <v>744</v>
      </c>
      <c r="F180" s="676" t="s">
        <v>3</v>
      </c>
      <c r="G180" s="690" t="s">
        <v>44</v>
      </c>
      <c r="H180" s="115">
        <v>-2</v>
      </c>
      <c r="I180" s="115">
        <v>200</v>
      </c>
      <c r="J180" s="601">
        <f t="shared" si="14"/>
        <v>297600</v>
      </c>
      <c r="K180" s="738">
        <v>55.7</v>
      </c>
      <c r="L180" s="677">
        <f t="shared" si="15"/>
        <v>-82881.600000000006</v>
      </c>
      <c r="M180" s="739">
        <f t="shared" si="16"/>
        <v>214718.4</v>
      </c>
      <c r="N180" s="740">
        <v>55.7</v>
      </c>
      <c r="O180" s="678">
        <f t="shared" si="17"/>
        <v>-82881.600000000006</v>
      </c>
      <c r="P180" s="700">
        <f t="shared" si="18"/>
        <v>214718.4</v>
      </c>
      <c r="Q180" s="740">
        <v>55.7</v>
      </c>
      <c r="R180" s="678">
        <f t="shared" si="19"/>
        <v>-82881.600000000006</v>
      </c>
      <c r="S180" s="700">
        <f t="shared" si="20"/>
        <v>214718.4</v>
      </c>
      <c r="T180" s="691" t="s">
        <v>54</v>
      </c>
    </row>
    <row r="181" spans="1:20" x14ac:dyDescent="0.25">
      <c r="A181" s="690"/>
      <c r="B181" s="695" t="s">
        <v>712</v>
      </c>
      <c r="C181" s="545" t="s">
        <v>40</v>
      </c>
      <c r="D181" s="681">
        <v>44713</v>
      </c>
      <c r="E181" s="545">
        <v>720</v>
      </c>
      <c r="F181" s="545" t="s">
        <v>3</v>
      </c>
      <c r="G181" s="725" t="s">
        <v>44</v>
      </c>
      <c r="H181" s="548">
        <v>-2</v>
      </c>
      <c r="I181" s="548">
        <v>200</v>
      </c>
      <c r="J181" s="602">
        <f t="shared" si="14"/>
        <v>288000</v>
      </c>
      <c r="K181" s="742">
        <v>55.71</v>
      </c>
      <c r="L181" s="603">
        <f t="shared" si="15"/>
        <v>-80222.399999999994</v>
      </c>
      <c r="M181" s="743">
        <f t="shared" si="16"/>
        <v>207777.6</v>
      </c>
      <c r="N181" s="744">
        <v>55.71</v>
      </c>
      <c r="O181" s="604">
        <f t="shared" si="17"/>
        <v>-80222.399999999994</v>
      </c>
      <c r="P181" s="701">
        <f t="shared" si="18"/>
        <v>207777.6</v>
      </c>
      <c r="Q181" s="744">
        <v>55.71</v>
      </c>
      <c r="R181" s="604">
        <f t="shared" si="19"/>
        <v>-80222.399999999994</v>
      </c>
      <c r="S181" s="701">
        <f t="shared" si="20"/>
        <v>207777.6</v>
      </c>
      <c r="T181" s="695" t="s">
        <v>54</v>
      </c>
    </row>
    <row r="182" spans="1:20" x14ac:dyDescent="0.25">
      <c r="A182" s="690"/>
      <c r="B182" s="696" t="s">
        <v>714</v>
      </c>
      <c r="C182" s="546" t="s">
        <v>40</v>
      </c>
      <c r="D182" s="682">
        <v>44743</v>
      </c>
      <c r="E182" s="546">
        <v>744</v>
      </c>
      <c r="F182" s="546" t="s">
        <v>3</v>
      </c>
      <c r="G182" s="726" t="s">
        <v>44</v>
      </c>
      <c r="H182" s="549">
        <v>5</v>
      </c>
      <c r="I182" s="549">
        <v>320</v>
      </c>
      <c r="J182" s="605">
        <f t="shared" si="14"/>
        <v>-1190400</v>
      </c>
      <c r="K182" s="746">
        <v>66.319999999999993</v>
      </c>
      <c r="L182" s="606">
        <f t="shared" si="15"/>
        <v>246710.39999999997</v>
      </c>
      <c r="M182" s="747">
        <f t="shared" si="16"/>
        <v>-943689.60000000009</v>
      </c>
      <c r="N182" s="748">
        <v>66.319999999999993</v>
      </c>
      <c r="O182" s="607">
        <f t="shared" si="17"/>
        <v>246710.39999999997</v>
      </c>
      <c r="P182" s="702">
        <f t="shared" si="18"/>
        <v>-943689.60000000009</v>
      </c>
      <c r="Q182" s="748">
        <v>66.319999999999993</v>
      </c>
      <c r="R182" s="607">
        <f t="shared" si="19"/>
        <v>246710.39999999997</v>
      </c>
      <c r="S182" s="702">
        <f t="shared" si="20"/>
        <v>-943689.60000000009</v>
      </c>
      <c r="T182" s="696" t="s">
        <v>54</v>
      </c>
    </row>
    <row r="183" spans="1:20" x14ac:dyDescent="0.25">
      <c r="A183" s="690"/>
      <c r="B183" s="691" t="s">
        <v>714</v>
      </c>
      <c r="C183" s="676" t="s">
        <v>40</v>
      </c>
      <c r="D183" s="680">
        <v>44774</v>
      </c>
      <c r="E183" s="676">
        <v>744</v>
      </c>
      <c r="F183" s="676" t="s">
        <v>3</v>
      </c>
      <c r="G183" s="690" t="s">
        <v>44</v>
      </c>
      <c r="H183" s="115">
        <v>5</v>
      </c>
      <c r="I183" s="115">
        <v>320</v>
      </c>
      <c r="J183" s="601">
        <f t="shared" si="14"/>
        <v>-1190400</v>
      </c>
      <c r="K183" s="738">
        <v>76.900000000000006</v>
      </c>
      <c r="L183" s="677">
        <f t="shared" si="15"/>
        <v>286068</v>
      </c>
      <c r="M183" s="739">
        <f t="shared" si="16"/>
        <v>-904332</v>
      </c>
      <c r="N183" s="740">
        <v>76.900000000000006</v>
      </c>
      <c r="O183" s="678">
        <f t="shared" si="17"/>
        <v>286068</v>
      </c>
      <c r="P183" s="700">
        <f t="shared" si="18"/>
        <v>-904332</v>
      </c>
      <c r="Q183" s="740">
        <v>76.900000000000006</v>
      </c>
      <c r="R183" s="678">
        <f t="shared" si="19"/>
        <v>286068</v>
      </c>
      <c r="S183" s="700">
        <f t="shared" si="20"/>
        <v>-904332</v>
      </c>
      <c r="T183" s="691" t="s">
        <v>54</v>
      </c>
    </row>
    <row r="184" spans="1:20" x14ac:dyDescent="0.25">
      <c r="A184" s="690"/>
      <c r="B184" s="695" t="s">
        <v>714</v>
      </c>
      <c r="C184" s="545" t="s">
        <v>40</v>
      </c>
      <c r="D184" s="681">
        <v>44805</v>
      </c>
      <c r="E184" s="545">
        <v>720</v>
      </c>
      <c r="F184" s="545" t="s">
        <v>3</v>
      </c>
      <c r="G184" s="725" t="s">
        <v>44</v>
      </c>
      <c r="H184" s="548">
        <v>5</v>
      </c>
      <c r="I184" s="548">
        <v>320</v>
      </c>
      <c r="J184" s="602">
        <f t="shared" si="14"/>
        <v>-1152000</v>
      </c>
      <c r="K184" s="742">
        <v>56.08</v>
      </c>
      <c r="L184" s="603">
        <f t="shared" si="15"/>
        <v>201888</v>
      </c>
      <c r="M184" s="743">
        <f t="shared" si="16"/>
        <v>-950112</v>
      </c>
      <c r="N184" s="744">
        <v>56.08</v>
      </c>
      <c r="O184" s="604">
        <f t="shared" si="17"/>
        <v>201888</v>
      </c>
      <c r="P184" s="701">
        <f t="shared" si="18"/>
        <v>-950112</v>
      </c>
      <c r="Q184" s="744">
        <v>56.08</v>
      </c>
      <c r="R184" s="604">
        <f t="shared" si="19"/>
        <v>201888</v>
      </c>
      <c r="S184" s="701">
        <f t="shared" si="20"/>
        <v>-950112</v>
      </c>
      <c r="T184" s="695" t="s">
        <v>54</v>
      </c>
    </row>
    <row r="185" spans="1:20" x14ac:dyDescent="0.25">
      <c r="A185" s="690"/>
      <c r="B185" s="696" t="s">
        <v>716</v>
      </c>
      <c r="C185" s="546" t="s">
        <v>40</v>
      </c>
      <c r="D185" s="682">
        <v>44743</v>
      </c>
      <c r="E185" s="546">
        <v>744</v>
      </c>
      <c r="F185" s="546" t="s">
        <v>3</v>
      </c>
      <c r="G185" s="726" t="s">
        <v>44</v>
      </c>
      <c r="H185" s="549">
        <v>5</v>
      </c>
      <c r="I185" s="549">
        <v>322</v>
      </c>
      <c r="J185" s="605">
        <f t="shared" si="14"/>
        <v>-1197840</v>
      </c>
      <c r="K185" s="746">
        <v>66.319999999999993</v>
      </c>
      <c r="L185" s="606">
        <f t="shared" si="15"/>
        <v>246710.39999999997</v>
      </c>
      <c r="M185" s="747">
        <f t="shared" si="16"/>
        <v>-951129.60000000009</v>
      </c>
      <c r="N185" s="748">
        <v>66.319999999999993</v>
      </c>
      <c r="O185" s="607">
        <f t="shared" si="17"/>
        <v>246710.39999999997</v>
      </c>
      <c r="P185" s="702">
        <f t="shared" si="18"/>
        <v>-951129.60000000009</v>
      </c>
      <c r="Q185" s="748">
        <v>66.319999999999993</v>
      </c>
      <c r="R185" s="607">
        <f t="shared" si="19"/>
        <v>246710.39999999997</v>
      </c>
      <c r="S185" s="702">
        <f t="shared" si="20"/>
        <v>-951129.60000000009</v>
      </c>
      <c r="T185" s="696" t="s">
        <v>54</v>
      </c>
    </row>
    <row r="186" spans="1:20" x14ac:dyDescent="0.25">
      <c r="A186" s="690"/>
      <c r="B186" s="691" t="s">
        <v>716</v>
      </c>
      <c r="C186" s="676" t="s">
        <v>40</v>
      </c>
      <c r="D186" s="680">
        <v>44774</v>
      </c>
      <c r="E186" s="676">
        <v>744</v>
      </c>
      <c r="F186" s="676" t="s">
        <v>3</v>
      </c>
      <c r="G186" s="690" t="s">
        <v>44</v>
      </c>
      <c r="H186" s="115">
        <v>5</v>
      </c>
      <c r="I186" s="115">
        <v>322</v>
      </c>
      <c r="J186" s="601">
        <f t="shared" si="14"/>
        <v>-1197840</v>
      </c>
      <c r="K186" s="738">
        <v>76.900000000000006</v>
      </c>
      <c r="L186" s="677">
        <f t="shared" si="15"/>
        <v>286068</v>
      </c>
      <c r="M186" s="739">
        <f t="shared" si="16"/>
        <v>-911772</v>
      </c>
      <c r="N186" s="740">
        <v>76.900000000000006</v>
      </c>
      <c r="O186" s="678">
        <f t="shared" si="17"/>
        <v>286068</v>
      </c>
      <c r="P186" s="700">
        <f t="shared" si="18"/>
        <v>-911772</v>
      </c>
      <c r="Q186" s="740">
        <v>76.900000000000006</v>
      </c>
      <c r="R186" s="678">
        <f t="shared" si="19"/>
        <v>286068</v>
      </c>
      <c r="S186" s="700">
        <f t="shared" si="20"/>
        <v>-911772</v>
      </c>
      <c r="T186" s="691" t="s">
        <v>54</v>
      </c>
    </row>
    <row r="187" spans="1:20" x14ac:dyDescent="0.25">
      <c r="A187" s="690"/>
      <c r="B187" s="695" t="s">
        <v>716</v>
      </c>
      <c r="C187" s="545" t="s">
        <v>40</v>
      </c>
      <c r="D187" s="681">
        <v>44805</v>
      </c>
      <c r="E187" s="545">
        <v>720</v>
      </c>
      <c r="F187" s="545" t="s">
        <v>3</v>
      </c>
      <c r="G187" s="725" t="s">
        <v>44</v>
      </c>
      <c r="H187" s="548">
        <v>5</v>
      </c>
      <c r="I187" s="548">
        <v>322</v>
      </c>
      <c r="J187" s="602">
        <f t="shared" si="14"/>
        <v>-1159200</v>
      </c>
      <c r="K187" s="742">
        <v>56.08</v>
      </c>
      <c r="L187" s="603">
        <f t="shared" si="15"/>
        <v>201888</v>
      </c>
      <c r="M187" s="743">
        <f t="shared" si="16"/>
        <v>-957312</v>
      </c>
      <c r="N187" s="744">
        <v>56.08</v>
      </c>
      <c r="O187" s="604">
        <f t="shared" si="17"/>
        <v>201888</v>
      </c>
      <c r="P187" s="701">
        <f t="shared" si="18"/>
        <v>-957312</v>
      </c>
      <c r="Q187" s="744">
        <v>56.08</v>
      </c>
      <c r="R187" s="604">
        <f t="shared" si="19"/>
        <v>201888</v>
      </c>
      <c r="S187" s="701">
        <f t="shared" si="20"/>
        <v>-957312</v>
      </c>
      <c r="T187" s="695" t="s">
        <v>54</v>
      </c>
    </row>
    <row r="188" spans="1:20" x14ac:dyDescent="0.25">
      <c r="A188" s="690"/>
      <c r="B188" s="696" t="s">
        <v>718</v>
      </c>
      <c r="C188" s="546" t="s">
        <v>40</v>
      </c>
      <c r="D188" s="682">
        <v>44652</v>
      </c>
      <c r="E188" s="546">
        <v>720</v>
      </c>
      <c r="F188" s="546" t="s">
        <v>3</v>
      </c>
      <c r="G188" s="726" t="s">
        <v>44</v>
      </c>
      <c r="H188" s="549">
        <v>-5</v>
      </c>
      <c r="I188" s="549">
        <v>196</v>
      </c>
      <c r="J188" s="605">
        <f t="shared" si="14"/>
        <v>705600</v>
      </c>
      <c r="K188" s="746">
        <v>55.7</v>
      </c>
      <c r="L188" s="606">
        <f t="shared" si="15"/>
        <v>-200520</v>
      </c>
      <c r="M188" s="747">
        <f t="shared" si="16"/>
        <v>505080</v>
      </c>
      <c r="N188" s="748">
        <v>55.7</v>
      </c>
      <c r="O188" s="607">
        <f t="shared" si="17"/>
        <v>-200520</v>
      </c>
      <c r="P188" s="702">
        <f t="shared" si="18"/>
        <v>505080</v>
      </c>
      <c r="Q188" s="748">
        <v>55.7</v>
      </c>
      <c r="R188" s="607">
        <f t="shared" si="19"/>
        <v>-200520</v>
      </c>
      <c r="S188" s="702">
        <f t="shared" si="20"/>
        <v>505080</v>
      </c>
      <c r="T188" s="696" t="s">
        <v>54</v>
      </c>
    </row>
    <row r="189" spans="1:20" x14ac:dyDescent="0.25">
      <c r="A189" s="690"/>
      <c r="B189" s="691" t="s">
        <v>718</v>
      </c>
      <c r="C189" s="676" t="s">
        <v>40</v>
      </c>
      <c r="D189" s="680">
        <v>44682</v>
      </c>
      <c r="E189" s="676">
        <v>744</v>
      </c>
      <c r="F189" s="676" t="s">
        <v>3</v>
      </c>
      <c r="G189" s="690" t="s">
        <v>44</v>
      </c>
      <c r="H189" s="115">
        <v>-5</v>
      </c>
      <c r="I189" s="115">
        <v>196</v>
      </c>
      <c r="J189" s="601">
        <f t="shared" si="14"/>
        <v>729120</v>
      </c>
      <c r="K189" s="738">
        <v>55.7</v>
      </c>
      <c r="L189" s="677">
        <f t="shared" si="15"/>
        <v>-207204</v>
      </c>
      <c r="M189" s="739">
        <f t="shared" si="16"/>
        <v>521916</v>
      </c>
      <c r="N189" s="740">
        <v>55.7</v>
      </c>
      <c r="O189" s="678">
        <f t="shared" si="17"/>
        <v>-207204</v>
      </c>
      <c r="P189" s="700">
        <f t="shared" si="18"/>
        <v>521916</v>
      </c>
      <c r="Q189" s="740">
        <v>55.7</v>
      </c>
      <c r="R189" s="678">
        <f t="shared" si="19"/>
        <v>-207204</v>
      </c>
      <c r="S189" s="700">
        <f t="shared" si="20"/>
        <v>521916</v>
      </c>
      <c r="T189" s="691" t="s">
        <v>54</v>
      </c>
    </row>
    <row r="190" spans="1:20" x14ac:dyDescent="0.25">
      <c r="A190" s="690"/>
      <c r="B190" s="695" t="s">
        <v>718</v>
      </c>
      <c r="C190" s="545" t="s">
        <v>40</v>
      </c>
      <c r="D190" s="681">
        <v>44713</v>
      </c>
      <c r="E190" s="545">
        <v>720</v>
      </c>
      <c r="F190" s="545" t="s">
        <v>3</v>
      </c>
      <c r="G190" s="725" t="s">
        <v>44</v>
      </c>
      <c r="H190" s="548">
        <v>-5</v>
      </c>
      <c r="I190" s="548">
        <v>196</v>
      </c>
      <c r="J190" s="602">
        <f t="shared" si="14"/>
        <v>705600</v>
      </c>
      <c r="K190" s="742">
        <v>55.71</v>
      </c>
      <c r="L190" s="603">
        <f t="shared" si="15"/>
        <v>-200556</v>
      </c>
      <c r="M190" s="743">
        <f t="shared" si="16"/>
        <v>505044</v>
      </c>
      <c r="N190" s="744">
        <v>55.71</v>
      </c>
      <c r="O190" s="604">
        <f t="shared" si="17"/>
        <v>-200556</v>
      </c>
      <c r="P190" s="701">
        <f t="shared" si="18"/>
        <v>505044</v>
      </c>
      <c r="Q190" s="744">
        <v>55.71</v>
      </c>
      <c r="R190" s="604">
        <f t="shared" si="19"/>
        <v>-200556</v>
      </c>
      <c r="S190" s="701">
        <f t="shared" si="20"/>
        <v>505044</v>
      </c>
      <c r="T190" s="695" t="s">
        <v>54</v>
      </c>
    </row>
    <row r="191" spans="1:20" x14ac:dyDescent="0.25">
      <c r="A191" s="690"/>
      <c r="B191" s="696" t="s">
        <v>722</v>
      </c>
      <c r="C191" s="546" t="s">
        <v>40</v>
      </c>
      <c r="D191" s="682">
        <v>44652</v>
      </c>
      <c r="E191" s="546">
        <v>720</v>
      </c>
      <c r="F191" s="546" t="s">
        <v>3</v>
      </c>
      <c r="G191" s="726" t="s">
        <v>44</v>
      </c>
      <c r="H191" s="549">
        <v>-10</v>
      </c>
      <c r="I191" s="549">
        <v>175</v>
      </c>
      <c r="J191" s="605">
        <f t="shared" si="14"/>
        <v>1260000</v>
      </c>
      <c r="K191" s="746">
        <v>55.7</v>
      </c>
      <c r="L191" s="606">
        <f t="shared" si="15"/>
        <v>-401040</v>
      </c>
      <c r="M191" s="747">
        <f t="shared" si="16"/>
        <v>858960</v>
      </c>
      <c r="N191" s="748">
        <v>55.7</v>
      </c>
      <c r="O191" s="607">
        <f t="shared" si="17"/>
        <v>-401040</v>
      </c>
      <c r="P191" s="702">
        <f t="shared" si="18"/>
        <v>858960</v>
      </c>
      <c r="Q191" s="748">
        <v>55.7</v>
      </c>
      <c r="R191" s="607">
        <f t="shared" si="19"/>
        <v>-401040</v>
      </c>
      <c r="S191" s="702">
        <f t="shared" si="20"/>
        <v>858960</v>
      </c>
      <c r="T191" s="696" t="s">
        <v>54</v>
      </c>
    </row>
    <row r="192" spans="1:20" x14ac:dyDescent="0.25">
      <c r="A192" s="690"/>
      <c r="B192" s="691" t="s">
        <v>722</v>
      </c>
      <c r="C192" s="676" t="s">
        <v>40</v>
      </c>
      <c r="D192" s="680">
        <v>44682</v>
      </c>
      <c r="E192" s="676">
        <v>744</v>
      </c>
      <c r="F192" s="676" t="s">
        <v>3</v>
      </c>
      <c r="G192" s="690" t="s">
        <v>44</v>
      </c>
      <c r="H192" s="115">
        <v>-10</v>
      </c>
      <c r="I192" s="115">
        <v>175</v>
      </c>
      <c r="J192" s="601">
        <f t="shared" si="14"/>
        <v>1302000</v>
      </c>
      <c r="K192" s="738">
        <v>55.7</v>
      </c>
      <c r="L192" s="677">
        <f t="shared" si="15"/>
        <v>-414408</v>
      </c>
      <c r="M192" s="739">
        <f t="shared" si="16"/>
        <v>887592</v>
      </c>
      <c r="N192" s="740">
        <v>55.7</v>
      </c>
      <c r="O192" s="678">
        <f t="shared" si="17"/>
        <v>-414408</v>
      </c>
      <c r="P192" s="700">
        <f t="shared" si="18"/>
        <v>887592</v>
      </c>
      <c r="Q192" s="740">
        <v>55.7</v>
      </c>
      <c r="R192" s="678">
        <f t="shared" si="19"/>
        <v>-414408</v>
      </c>
      <c r="S192" s="700">
        <f t="shared" si="20"/>
        <v>887592</v>
      </c>
      <c r="T192" s="691" t="s">
        <v>54</v>
      </c>
    </row>
    <row r="193" spans="1:20" x14ac:dyDescent="0.25">
      <c r="A193" s="690"/>
      <c r="B193" s="695" t="s">
        <v>722</v>
      </c>
      <c r="C193" s="545" t="s">
        <v>40</v>
      </c>
      <c r="D193" s="681">
        <v>44713</v>
      </c>
      <c r="E193" s="545">
        <v>720</v>
      </c>
      <c r="F193" s="545" t="s">
        <v>3</v>
      </c>
      <c r="G193" s="725" t="s">
        <v>44</v>
      </c>
      <c r="H193" s="548">
        <v>-10</v>
      </c>
      <c r="I193" s="548">
        <v>175</v>
      </c>
      <c r="J193" s="602">
        <f t="shared" si="14"/>
        <v>1260000</v>
      </c>
      <c r="K193" s="742">
        <v>55.71</v>
      </c>
      <c r="L193" s="603">
        <f t="shared" si="15"/>
        <v>-401112</v>
      </c>
      <c r="M193" s="743">
        <f t="shared" si="16"/>
        <v>858888</v>
      </c>
      <c r="N193" s="744">
        <v>55.71</v>
      </c>
      <c r="O193" s="604">
        <f t="shared" si="17"/>
        <v>-401112</v>
      </c>
      <c r="P193" s="701">
        <f t="shared" si="18"/>
        <v>858888</v>
      </c>
      <c r="Q193" s="744">
        <v>55.71</v>
      </c>
      <c r="R193" s="604">
        <f t="shared" si="19"/>
        <v>-401112</v>
      </c>
      <c r="S193" s="701">
        <f t="shared" si="20"/>
        <v>858888</v>
      </c>
      <c r="T193" s="695" t="s">
        <v>54</v>
      </c>
    </row>
    <row r="194" spans="1:20" x14ac:dyDescent="0.25">
      <c r="A194" s="690"/>
      <c r="B194" s="696" t="s">
        <v>724</v>
      </c>
      <c r="C194" s="546" t="s">
        <v>40</v>
      </c>
      <c r="D194" s="682">
        <v>44743</v>
      </c>
      <c r="E194" s="546">
        <v>744</v>
      </c>
      <c r="F194" s="546" t="s">
        <v>3</v>
      </c>
      <c r="G194" s="726" t="s">
        <v>44</v>
      </c>
      <c r="H194" s="549">
        <v>10</v>
      </c>
      <c r="I194" s="549">
        <v>270</v>
      </c>
      <c r="J194" s="605">
        <f t="shared" si="14"/>
        <v>-2008800</v>
      </c>
      <c r="K194" s="746">
        <v>66.319999999999993</v>
      </c>
      <c r="L194" s="606">
        <f t="shared" si="15"/>
        <v>493420.79999999993</v>
      </c>
      <c r="M194" s="747">
        <f t="shared" si="16"/>
        <v>-1515379.2000000002</v>
      </c>
      <c r="N194" s="748">
        <v>66.319999999999993</v>
      </c>
      <c r="O194" s="607">
        <f t="shared" si="17"/>
        <v>493420.79999999993</v>
      </c>
      <c r="P194" s="702">
        <f t="shared" si="18"/>
        <v>-1515379.2000000002</v>
      </c>
      <c r="Q194" s="748">
        <v>66.319999999999993</v>
      </c>
      <c r="R194" s="607">
        <f t="shared" si="19"/>
        <v>493420.79999999993</v>
      </c>
      <c r="S194" s="702">
        <f t="shared" si="20"/>
        <v>-1515379.2000000002</v>
      </c>
      <c r="T194" s="696" t="s">
        <v>54</v>
      </c>
    </row>
    <row r="195" spans="1:20" x14ac:dyDescent="0.25">
      <c r="A195" s="690"/>
      <c r="B195" s="691" t="s">
        <v>724</v>
      </c>
      <c r="C195" s="676" t="s">
        <v>40</v>
      </c>
      <c r="D195" s="680">
        <v>44774</v>
      </c>
      <c r="E195" s="676">
        <v>744</v>
      </c>
      <c r="F195" s="676" t="s">
        <v>3</v>
      </c>
      <c r="G195" s="690" t="s">
        <v>44</v>
      </c>
      <c r="H195" s="115">
        <v>10</v>
      </c>
      <c r="I195" s="115">
        <v>270</v>
      </c>
      <c r="J195" s="601">
        <f t="shared" ref="J195:J258" si="21">(I195*(E195*H195))*-1</f>
        <v>-2008800</v>
      </c>
      <c r="K195" s="738">
        <v>76.900000000000006</v>
      </c>
      <c r="L195" s="677">
        <f t="shared" ref="L195:L258" si="22">(((E195*H195)*K195))</f>
        <v>572136</v>
      </c>
      <c r="M195" s="739">
        <f t="shared" ref="M195:M258" si="23">J195+L195</f>
        <v>-1436664</v>
      </c>
      <c r="N195" s="740">
        <v>76.900000000000006</v>
      </c>
      <c r="O195" s="678">
        <f t="shared" ref="O195:O258" si="24">((E195*H195)*N195)</f>
        <v>572136</v>
      </c>
      <c r="P195" s="700">
        <f t="shared" ref="P195:P258" si="25">J195+O195</f>
        <v>-1436664</v>
      </c>
      <c r="Q195" s="740">
        <v>76.900000000000006</v>
      </c>
      <c r="R195" s="678">
        <f t="shared" ref="R195:R258" si="26">((E195*H195)*Q195)</f>
        <v>572136</v>
      </c>
      <c r="S195" s="700">
        <f t="shared" ref="S195:S258" si="27">J195+R195</f>
        <v>-1436664</v>
      </c>
      <c r="T195" s="691" t="s">
        <v>54</v>
      </c>
    </row>
    <row r="196" spans="1:20" x14ac:dyDescent="0.25">
      <c r="A196" s="690"/>
      <c r="B196" s="695" t="s">
        <v>724</v>
      </c>
      <c r="C196" s="545" t="s">
        <v>40</v>
      </c>
      <c r="D196" s="681">
        <v>44805</v>
      </c>
      <c r="E196" s="545">
        <v>720</v>
      </c>
      <c r="F196" s="545" t="s">
        <v>3</v>
      </c>
      <c r="G196" s="725" t="s">
        <v>44</v>
      </c>
      <c r="H196" s="548">
        <v>10</v>
      </c>
      <c r="I196" s="548">
        <v>270</v>
      </c>
      <c r="J196" s="602">
        <f t="shared" si="21"/>
        <v>-1944000</v>
      </c>
      <c r="K196" s="742">
        <v>56.08</v>
      </c>
      <c r="L196" s="603">
        <f t="shared" si="22"/>
        <v>403776</v>
      </c>
      <c r="M196" s="743">
        <f t="shared" si="23"/>
        <v>-1540224</v>
      </c>
      <c r="N196" s="744">
        <v>56.08</v>
      </c>
      <c r="O196" s="604">
        <f t="shared" si="24"/>
        <v>403776</v>
      </c>
      <c r="P196" s="701">
        <f t="shared" si="25"/>
        <v>-1540224</v>
      </c>
      <c r="Q196" s="744">
        <v>56.08</v>
      </c>
      <c r="R196" s="604">
        <f t="shared" si="26"/>
        <v>403776</v>
      </c>
      <c r="S196" s="701">
        <f t="shared" si="27"/>
        <v>-1540224</v>
      </c>
      <c r="T196" s="695" t="s">
        <v>54</v>
      </c>
    </row>
    <row r="197" spans="1:20" x14ac:dyDescent="0.25">
      <c r="A197" s="690"/>
      <c r="B197" s="696" t="s">
        <v>726</v>
      </c>
      <c r="C197" s="546" t="s">
        <v>40</v>
      </c>
      <c r="D197" s="682">
        <v>44927</v>
      </c>
      <c r="E197" s="546">
        <v>744</v>
      </c>
      <c r="F197" s="546" t="s">
        <v>3</v>
      </c>
      <c r="G197" s="726" t="s">
        <v>44</v>
      </c>
      <c r="H197" s="549">
        <v>-2</v>
      </c>
      <c r="I197" s="549">
        <v>219.13674214591981</v>
      </c>
      <c r="J197" s="605">
        <f t="shared" si="21"/>
        <v>326075.4723131287</v>
      </c>
      <c r="K197" s="746">
        <v>68.72</v>
      </c>
      <c r="L197" s="606">
        <f t="shared" si="22"/>
        <v>-102255.36</v>
      </c>
      <c r="M197" s="747">
        <f t="shared" si="23"/>
        <v>223820.11231312872</v>
      </c>
      <c r="N197" s="748">
        <v>55.7</v>
      </c>
      <c r="O197" s="607">
        <f t="shared" si="24"/>
        <v>-82881.600000000006</v>
      </c>
      <c r="P197" s="702">
        <f t="shared" si="25"/>
        <v>243193.8723131287</v>
      </c>
      <c r="Q197" s="748">
        <v>96.206580759134184</v>
      </c>
      <c r="R197" s="607">
        <f t="shared" si="26"/>
        <v>-143155.39216959168</v>
      </c>
      <c r="S197" s="702">
        <f t="shared" si="27"/>
        <v>182920.08014353702</v>
      </c>
      <c r="T197" s="696" t="s">
        <v>54</v>
      </c>
    </row>
    <row r="198" spans="1:20" x14ac:dyDescent="0.25">
      <c r="A198" s="690"/>
      <c r="B198" s="691" t="s">
        <v>726</v>
      </c>
      <c r="C198" s="676" t="s">
        <v>40</v>
      </c>
      <c r="D198" s="680">
        <v>44958</v>
      </c>
      <c r="E198" s="676">
        <v>672</v>
      </c>
      <c r="F198" s="676" t="s">
        <v>3</v>
      </c>
      <c r="G198" s="690" t="s">
        <v>44</v>
      </c>
      <c r="H198" s="115">
        <v>-2</v>
      </c>
      <c r="I198" s="115">
        <v>219.13674214591981</v>
      </c>
      <c r="J198" s="601">
        <f t="shared" si="21"/>
        <v>294519.7814441162</v>
      </c>
      <c r="K198" s="738">
        <v>69.25</v>
      </c>
      <c r="L198" s="677">
        <f t="shared" si="22"/>
        <v>-93072</v>
      </c>
      <c r="M198" s="739">
        <f t="shared" si="23"/>
        <v>201447.7814441162</v>
      </c>
      <c r="N198" s="740">
        <v>55.7</v>
      </c>
      <c r="O198" s="678">
        <f t="shared" si="24"/>
        <v>-74860.800000000003</v>
      </c>
      <c r="P198" s="700">
        <f t="shared" si="25"/>
        <v>219658.98144411622</v>
      </c>
      <c r="Q198" s="740">
        <v>92.430648861364247</v>
      </c>
      <c r="R198" s="678">
        <f t="shared" si="26"/>
        <v>-124226.79206967355</v>
      </c>
      <c r="S198" s="700">
        <f t="shared" si="27"/>
        <v>170292.98937444267</v>
      </c>
      <c r="T198" s="691" t="s">
        <v>54</v>
      </c>
    </row>
    <row r="199" spans="1:20" x14ac:dyDescent="0.25">
      <c r="A199" s="690"/>
      <c r="B199" s="691" t="s">
        <v>726</v>
      </c>
      <c r="C199" s="676" t="s">
        <v>40</v>
      </c>
      <c r="D199" s="680">
        <v>44986</v>
      </c>
      <c r="E199" s="676">
        <v>744</v>
      </c>
      <c r="F199" s="676" t="s">
        <v>3</v>
      </c>
      <c r="G199" s="690" t="s">
        <v>44</v>
      </c>
      <c r="H199" s="115">
        <v>-2</v>
      </c>
      <c r="I199" s="115">
        <v>219.13674214591981</v>
      </c>
      <c r="J199" s="601">
        <f t="shared" si="21"/>
        <v>326075.4723131287</v>
      </c>
      <c r="K199" s="738">
        <v>69.3</v>
      </c>
      <c r="L199" s="677">
        <f t="shared" si="22"/>
        <v>-103118.39999999999</v>
      </c>
      <c r="M199" s="739">
        <f t="shared" si="23"/>
        <v>222957.07231312871</v>
      </c>
      <c r="N199" s="740">
        <v>55.7</v>
      </c>
      <c r="O199" s="678">
        <f t="shared" si="24"/>
        <v>-82881.600000000006</v>
      </c>
      <c r="P199" s="700">
        <f t="shared" si="25"/>
        <v>243193.8723131287</v>
      </c>
      <c r="Q199" s="740">
        <v>89.053218420260009</v>
      </c>
      <c r="R199" s="678">
        <f t="shared" si="26"/>
        <v>-132511.18900934688</v>
      </c>
      <c r="S199" s="700">
        <f t="shared" si="27"/>
        <v>193564.28330378182</v>
      </c>
      <c r="T199" s="691" t="s">
        <v>54</v>
      </c>
    </row>
    <row r="200" spans="1:20" x14ac:dyDescent="0.25">
      <c r="A200" s="690"/>
      <c r="B200" s="691" t="s">
        <v>726</v>
      </c>
      <c r="C200" s="676" t="s">
        <v>40</v>
      </c>
      <c r="D200" s="680">
        <v>45017</v>
      </c>
      <c r="E200" s="676">
        <v>720</v>
      </c>
      <c r="F200" s="676" t="s">
        <v>3</v>
      </c>
      <c r="G200" s="690" t="s">
        <v>44</v>
      </c>
      <c r="H200" s="115">
        <v>-2</v>
      </c>
      <c r="I200" s="115">
        <v>219.13674214591981</v>
      </c>
      <c r="J200" s="601">
        <f t="shared" si="21"/>
        <v>315556.90869012452</v>
      </c>
      <c r="K200" s="738">
        <v>69.8</v>
      </c>
      <c r="L200" s="677">
        <f t="shared" si="22"/>
        <v>-100512</v>
      </c>
      <c r="M200" s="739">
        <f t="shared" si="23"/>
        <v>215044.90869012452</v>
      </c>
      <c r="N200" s="740">
        <v>55.7</v>
      </c>
      <c r="O200" s="678">
        <f t="shared" si="24"/>
        <v>-80208</v>
      </c>
      <c r="P200" s="700">
        <f t="shared" si="25"/>
        <v>235348.90869012452</v>
      </c>
      <c r="Q200" s="740">
        <v>85.732008718771311</v>
      </c>
      <c r="R200" s="678">
        <f t="shared" si="26"/>
        <v>-123454.09255503069</v>
      </c>
      <c r="S200" s="700">
        <f t="shared" si="27"/>
        <v>192102.81613509383</v>
      </c>
      <c r="T200" s="691" t="s">
        <v>54</v>
      </c>
    </row>
    <row r="201" spans="1:20" x14ac:dyDescent="0.25">
      <c r="A201" s="690"/>
      <c r="B201" s="691" t="s">
        <v>726</v>
      </c>
      <c r="C201" s="676" t="s">
        <v>40</v>
      </c>
      <c r="D201" s="680">
        <v>45047</v>
      </c>
      <c r="E201" s="676">
        <v>744</v>
      </c>
      <c r="F201" s="676" t="s">
        <v>3</v>
      </c>
      <c r="G201" s="690" t="s">
        <v>44</v>
      </c>
      <c r="H201" s="115">
        <v>-2</v>
      </c>
      <c r="I201" s="115">
        <v>219.13674214591981</v>
      </c>
      <c r="J201" s="601">
        <f t="shared" si="21"/>
        <v>326075.4723131287</v>
      </c>
      <c r="K201" s="738">
        <v>70.2</v>
      </c>
      <c r="L201" s="677">
        <f t="shared" si="22"/>
        <v>-104457.60000000001</v>
      </c>
      <c r="M201" s="739">
        <f t="shared" si="23"/>
        <v>221617.8723131287</v>
      </c>
      <c r="N201" s="740">
        <v>55.7</v>
      </c>
      <c r="O201" s="678">
        <f t="shared" si="24"/>
        <v>-82881.600000000006</v>
      </c>
      <c r="P201" s="700">
        <f t="shared" si="25"/>
        <v>243193.8723131287</v>
      </c>
      <c r="Q201" s="740">
        <v>86.223309628334476</v>
      </c>
      <c r="R201" s="678">
        <f t="shared" si="26"/>
        <v>-128300.28472696171</v>
      </c>
      <c r="S201" s="700">
        <f t="shared" si="27"/>
        <v>197775.18758616701</v>
      </c>
      <c r="T201" s="691" t="s">
        <v>54</v>
      </c>
    </row>
    <row r="202" spans="1:20" x14ac:dyDescent="0.25">
      <c r="A202" s="690"/>
      <c r="B202" s="691" t="s">
        <v>726</v>
      </c>
      <c r="C202" s="676" t="s">
        <v>40</v>
      </c>
      <c r="D202" s="680">
        <v>45078</v>
      </c>
      <c r="E202" s="676">
        <v>720</v>
      </c>
      <c r="F202" s="676" t="s">
        <v>3</v>
      </c>
      <c r="G202" s="690" t="s">
        <v>44</v>
      </c>
      <c r="H202" s="115">
        <v>-2</v>
      </c>
      <c r="I202" s="115">
        <v>219.13674214591981</v>
      </c>
      <c r="J202" s="601">
        <f t="shared" si="21"/>
        <v>315556.90869012452</v>
      </c>
      <c r="K202" s="738">
        <v>72.400000000000006</v>
      </c>
      <c r="L202" s="677">
        <f t="shared" si="22"/>
        <v>-104256.00000000001</v>
      </c>
      <c r="M202" s="739">
        <f t="shared" si="23"/>
        <v>211300.90869012452</v>
      </c>
      <c r="N202" s="740">
        <v>55.874535369068141</v>
      </c>
      <c r="O202" s="678">
        <f t="shared" si="24"/>
        <v>-80459.330931458127</v>
      </c>
      <c r="P202" s="700">
        <f t="shared" si="25"/>
        <v>235097.57775866639</v>
      </c>
      <c r="Q202" s="740">
        <v>88.925464630931856</v>
      </c>
      <c r="R202" s="678">
        <f t="shared" si="26"/>
        <v>-128052.66906854187</v>
      </c>
      <c r="S202" s="700">
        <f t="shared" si="27"/>
        <v>187504.23962158264</v>
      </c>
      <c r="T202" s="691" t="s">
        <v>54</v>
      </c>
    </row>
    <row r="203" spans="1:20" x14ac:dyDescent="0.25">
      <c r="A203" s="690"/>
      <c r="B203" s="691" t="s">
        <v>726</v>
      </c>
      <c r="C203" s="676" t="s">
        <v>40</v>
      </c>
      <c r="D203" s="680">
        <v>45108</v>
      </c>
      <c r="E203" s="676">
        <v>744</v>
      </c>
      <c r="F203" s="676" t="s">
        <v>3</v>
      </c>
      <c r="G203" s="690" t="s">
        <v>44</v>
      </c>
      <c r="H203" s="115">
        <v>-2</v>
      </c>
      <c r="I203" s="115">
        <v>219.13674214591981</v>
      </c>
      <c r="J203" s="601">
        <f t="shared" si="21"/>
        <v>326075.4723131287</v>
      </c>
      <c r="K203" s="738">
        <v>77.150000000000006</v>
      </c>
      <c r="L203" s="677">
        <f t="shared" si="22"/>
        <v>-114799.20000000001</v>
      </c>
      <c r="M203" s="739">
        <f t="shared" si="23"/>
        <v>211276.27231312869</v>
      </c>
      <c r="N203" s="740">
        <v>59.54033706800562</v>
      </c>
      <c r="O203" s="678">
        <f t="shared" si="24"/>
        <v>-88596.021557192362</v>
      </c>
      <c r="P203" s="700">
        <f t="shared" si="25"/>
        <v>237479.45075593633</v>
      </c>
      <c r="Q203" s="740">
        <v>94.759662931994384</v>
      </c>
      <c r="R203" s="678">
        <f t="shared" si="26"/>
        <v>-141002.37844280765</v>
      </c>
      <c r="S203" s="700">
        <f t="shared" si="27"/>
        <v>185073.09387032106</v>
      </c>
      <c r="T203" s="691" t="s">
        <v>54</v>
      </c>
    </row>
    <row r="204" spans="1:20" x14ac:dyDescent="0.25">
      <c r="A204" s="690"/>
      <c r="B204" s="691" t="s">
        <v>726</v>
      </c>
      <c r="C204" s="676" t="s">
        <v>40</v>
      </c>
      <c r="D204" s="680">
        <v>45139</v>
      </c>
      <c r="E204" s="676">
        <v>744</v>
      </c>
      <c r="F204" s="676" t="s">
        <v>3</v>
      </c>
      <c r="G204" s="690" t="s">
        <v>44</v>
      </c>
      <c r="H204" s="115">
        <v>-2</v>
      </c>
      <c r="I204" s="115">
        <v>219.13674214591981</v>
      </c>
      <c r="J204" s="601">
        <f t="shared" si="21"/>
        <v>326075.4723131287</v>
      </c>
      <c r="K204" s="738">
        <v>77.150000000000006</v>
      </c>
      <c r="L204" s="677">
        <f t="shared" si="22"/>
        <v>-114799.20000000001</v>
      </c>
      <c r="M204" s="739">
        <f t="shared" si="23"/>
        <v>211276.27231312869</v>
      </c>
      <c r="N204" s="740">
        <v>59.54033706800562</v>
      </c>
      <c r="O204" s="678">
        <f t="shared" si="24"/>
        <v>-88596.021557192362</v>
      </c>
      <c r="P204" s="700">
        <f t="shared" si="25"/>
        <v>237479.45075593633</v>
      </c>
      <c r="Q204" s="740">
        <v>94.759662931994384</v>
      </c>
      <c r="R204" s="678">
        <f t="shared" si="26"/>
        <v>-141002.37844280765</v>
      </c>
      <c r="S204" s="700">
        <f t="shared" si="27"/>
        <v>185073.09387032106</v>
      </c>
      <c r="T204" s="691" t="s">
        <v>54</v>
      </c>
    </row>
    <row r="205" spans="1:20" x14ac:dyDescent="0.25">
      <c r="A205" s="690"/>
      <c r="B205" s="691" t="s">
        <v>726</v>
      </c>
      <c r="C205" s="676" t="s">
        <v>40</v>
      </c>
      <c r="D205" s="680">
        <v>45170</v>
      </c>
      <c r="E205" s="676">
        <v>720</v>
      </c>
      <c r="F205" s="676" t="s">
        <v>3</v>
      </c>
      <c r="G205" s="690" t="s">
        <v>44</v>
      </c>
      <c r="H205" s="115">
        <v>-2</v>
      </c>
      <c r="I205" s="115">
        <v>219.13674214591981</v>
      </c>
      <c r="J205" s="601">
        <f t="shared" si="21"/>
        <v>315556.90869012452</v>
      </c>
      <c r="K205" s="738">
        <v>77.150000000000006</v>
      </c>
      <c r="L205" s="677">
        <f t="shared" si="22"/>
        <v>-111096.00000000001</v>
      </c>
      <c r="M205" s="739">
        <f t="shared" si="23"/>
        <v>204460.90869012452</v>
      </c>
      <c r="N205" s="740">
        <v>59.54033706800562</v>
      </c>
      <c r="O205" s="678">
        <f t="shared" si="24"/>
        <v>-85738.085377928088</v>
      </c>
      <c r="P205" s="700">
        <f t="shared" si="25"/>
        <v>229818.82331219641</v>
      </c>
      <c r="Q205" s="740">
        <v>94.759662931994384</v>
      </c>
      <c r="R205" s="678">
        <f t="shared" si="26"/>
        <v>-136453.91462207193</v>
      </c>
      <c r="S205" s="700">
        <f t="shared" si="27"/>
        <v>179102.99406805259</v>
      </c>
      <c r="T205" s="691" t="s">
        <v>54</v>
      </c>
    </row>
    <row r="206" spans="1:20" x14ac:dyDescent="0.25">
      <c r="A206" s="690"/>
      <c r="B206" s="691" t="s">
        <v>726</v>
      </c>
      <c r="C206" s="676" t="s">
        <v>40</v>
      </c>
      <c r="D206" s="680">
        <v>45200</v>
      </c>
      <c r="E206" s="676">
        <v>744</v>
      </c>
      <c r="F206" s="676" t="s">
        <v>3</v>
      </c>
      <c r="G206" s="690" t="s">
        <v>44</v>
      </c>
      <c r="H206" s="115">
        <v>-2</v>
      </c>
      <c r="I206" s="115">
        <v>219.13674214591981</v>
      </c>
      <c r="J206" s="601">
        <f t="shared" si="21"/>
        <v>326075.4723131287</v>
      </c>
      <c r="K206" s="738">
        <v>80.45</v>
      </c>
      <c r="L206" s="677">
        <f t="shared" si="22"/>
        <v>-119709.6</v>
      </c>
      <c r="M206" s="739">
        <f t="shared" si="23"/>
        <v>206365.8723131287</v>
      </c>
      <c r="N206" s="740">
        <v>62.087104564109552</v>
      </c>
      <c r="O206" s="678">
        <f t="shared" si="24"/>
        <v>-92385.61159139502</v>
      </c>
      <c r="P206" s="700">
        <f t="shared" si="25"/>
        <v>233689.86072173368</v>
      </c>
      <c r="Q206" s="740">
        <v>98.812895435890439</v>
      </c>
      <c r="R206" s="678">
        <f t="shared" si="26"/>
        <v>-147033.58840860496</v>
      </c>
      <c r="S206" s="700">
        <f t="shared" si="27"/>
        <v>179041.88390452374</v>
      </c>
      <c r="T206" s="691" t="s">
        <v>54</v>
      </c>
    </row>
    <row r="207" spans="1:20" x14ac:dyDescent="0.25">
      <c r="A207" s="690"/>
      <c r="B207" s="691" t="s">
        <v>726</v>
      </c>
      <c r="C207" s="676" t="s">
        <v>40</v>
      </c>
      <c r="D207" s="680">
        <v>45231</v>
      </c>
      <c r="E207" s="676">
        <v>720</v>
      </c>
      <c r="F207" s="676" t="s">
        <v>3</v>
      </c>
      <c r="G207" s="690" t="s">
        <v>44</v>
      </c>
      <c r="H207" s="115">
        <v>-2</v>
      </c>
      <c r="I207" s="115">
        <v>219.13674214591981</v>
      </c>
      <c r="J207" s="601">
        <f t="shared" si="21"/>
        <v>315556.90869012452</v>
      </c>
      <c r="K207" s="738">
        <v>80.45</v>
      </c>
      <c r="L207" s="677">
        <f t="shared" si="22"/>
        <v>-115848</v>
      </c>
      <c r="M207" s="739">
        <f t="shared" si="23"/>
        <v>199708.90869012452</v>
      </c>
      <c r="N207" s="740">
        <v>62.087104564109552</v>
      </c>
      <c r="O207" s="678">
        <f t="shared" si="24"/>
        <v>-89405.430572317753</v>
      </c>
      <c r="P207" s="700">
        <f t="shared" si="25"/>
        <v>226151.47811780678</v>
      </c>
      <c r="Q207" s="740">
        <v>98.812895435890439</v>
      </c>
      <c r="R207" s="678">
        <f t="shared" si="26"/>
        <v>-142290.56942768223</v>
      </c>
      <c r="S207" s="700">
        <f t="shared" si="27"/>
        <v>173266.33926244228</v>
      </c>
      <c r="T207" s="691" t="s">
        <v>54</v>
      </c>
    </row>
    <row r="208" spans="1:20" x14ac:dyDescent="0.25">
      <c r="A208" s="690"/>
      <c r="B208" s="695" t="s">
        <v>726</v>
      </c>
      <c r="C208" s="545" t="s">
        <v>40</v>
      </c>
      <c r="D208" s="681">
        <v>45261</v>
      </c>
      <c r="E208" s="545">
        <v>744</v>
      </c>
      <c r="F208" s="545" t="s">
        <v>3</v>
      </c>
      <c r="G208" s="725" t="s">
        <v>44</v>
      </c>
      <c r="H208" s="548">
        <v>-2</v>
      </c>
      <c r="I208" s="548">
        <v>219.13674214591981</v>
      </c>
      <c r="J208" s="602">
        <f t="shared" si="21"/>
        <v>326075.4723131287</v>
      </c>
      <c r="K208" s="742">
        <v>80.45</v>
      </c>
      <c r="L208" s="603">
        <f t="shared" si="22"/>
        <v>-119709.6</v>
      </c>
      <c r="M208" s="743">
        <f t="shared" si="23"/>
        <v>206365.8723131287</v>
      </c>
      <c r="N208" s="744">
        <v>62.087104564109552</v>
      </c>
      <c r="O208" s="604">
        <f t="shared" si="24"/>
        <v>-92385.61159139502</v>
      </c>
      <c r="P208" s="701">
        <f t="shared" si="25"/>
        <v>233689.86072173368</v>
      </c>
      <c r="Q208" s="744">
        <v>98.812895435890439</v>
      </c>
      <c r="R208" s="604">
        <f t="shared" si="26"/>
        <v>-147033.58840860496</v>
      </c>
      <c r="S208" s="701">
        <f t="shared" si="27"/>
        <v>179041.88390452374</v>
      </c>
      <c r="T208" s="695" t="s">
        <v>54</v>
      </c>
    </row>
    <row r="209" spans="1:20" x14ac:dyDescent="0.25">
      <c r="A209" s="690"/>
      <c r="B209" s="697" t="s">
        <v>728</v>
      </c>
      <c r="C209" s="547" t="s">
        <v>40</v>
      </c>
      <c r="D209" s="683">
        <v>44896</v>
      </c>
      <c r="E209" s="547">
        <v>744</v>
      </c>
      <c r="F209" s="547" t="s">
        <v>3</v>
      </c>
      <c r="G209" s="727" t="s">
        <v>44</v>
      </c>
      <c r="H209" s="638">
        <v>-30</v>
      </c>
      <c r="I209" s="638">
        <v>225</v>
      </c>
      <c r="J209" s="639">
        <f t="shared" si="21"/>
        <v>5022000</v>
      </c>
      <c r="K209" s="750">
        <v>55.7</v>
      </c>
      <c r="L209" s="608">
        <f t="shared" si="22"/>
        <v>-1243224</v>
      </c>
      <c r="M209" s="751">
        <f t="shared" si="23"/>
        <v>3778776</v>
      </c>
      <c r="N209" s="752">
        <v>55.7</v>
      </c>
      <c r="O209" s="609">
        <f t="shared" si="24"/>
        <v>-1243224</v>
      </c>
      <c r="P209" s="703">
        <f t="shared" si="25"/>
        <v>3778776</v>
      </c>
      <c r="Q209" s="752">
        <v>78.400653594793155</v>
      </c>
      <c r="R209" s="609">
        <f t="shared" si="26"/>
        <v>-1749902.5882357832</v>
      </c>
      <c r="S209" s="703">
        <f t="shared" si="27"/>
        <v>3272097.4117642166</v>
      </c>
      <c r="T209" s="697" t="s">
        <v>54</v>
      </c>
    </row>
    <row r="210" spans="1:20" x14ac:dyDescent="0.25">
      <c r="A210" s="690"/>
      <c r="B210" s="697" t="s">
        <v>730</v>
      </c>
      <c r="C210" s="547" t="s">
        <v>40</v>
      </c>
      <c r="D210" s="683">
        <v>44866</v>
      </c>
      <c r="E210" s="547">
        <v>720</v>
      </c>
      <c r="F210" s="547" t="s">
        <v>3</v>
      </c>
      <c r="G210" s="727" t="s">
        <v>44</v>
      </c>
      <c r="H210" s="638">
        <v>15.5</v>
      </c>
      <c r="I210" s="638">
        <v>250</v>
      </c>
      <c r="J210" s="639">
        <f t="shared" si="21"/>
        <v>-2790000</v>
      </c>
      <c r="K210" s="750">
        <v>55.7</v>
      </c>
      <c r="L210" s="608">
        <f t="shared" si="22"/>
        <v>621612</v>
      </c>
      <c r="M210" s="751">
        <f t="shared" si="23"/>
        <v>-2168388</v>
      </c>
      <c r="N210" s="752">
        <v>55.7</v>
      </c>
      <c r="O210" s="609">
        <f t="shared" si="24"/>
        <v>621612</v>
      </c>
      <c r="P210" s="703">
        <f t="shared" si="25"/>
        <v>-2168388</v>
      </c>
      <c r="Q210" s="752">
        <v>55.7</v>
      </c>
      <c r="R210" s="609">
        <f t="shared" si="26"/>
        <v>621612</v>
      </c>
      <c r="S210" s="703">
        <f t="shared" si="27"/>
        <v>-2168388</v>
      </c>
      <c r="T210" s="697" t="s">
        <v>54</v>
      </c>
    </row>
    <row r="211" spans="1:20" x14ac:dyDescent="0.25">
      <c r="A211" s="690"/>
      <c r="B211" s="697" t="s">
        <v>732</v>
      </c>
      <c r="C211" s="547" t="s">
        <v>40</v>
      </c>
      <c r="D211" s="683">
        <v>44835</v>
      </c>
      <c r="E211" s="547">
        <v>744</v>
      </c>
      <c r="F211" s="547" t="s">
        <v>3</v>
      </c>
      <c r="G211" s="727" t="s">
        <v>44</v>
      </c>
      <c r="H211" s="638">
        <v>15</v>
      </c>
      <c r="I211" s="638">
        <v>250</v>
      </c>
      <c r="J211" s="639">
        <f t="shared" si="21"/>
        <v>-2790000</v>
      </c>
      <c r="K211" s="750">
        <v>55.7</v>
      </c>
      <c r="L211" s="608">
        <f t="shared" si="22"/>
        <v>621612</v>
      </c>
      <c r="M211" s="751">
        <f t="shared" si="23"/>
        <v>-2168388</v>
      </c>
      <c r="N211" s="752">
        <v>55.7</v>
      </c>
      <c r="O211" s="609">
        <f t="shared" si="24"/>
        <v>621612</v>
      </c>
      <c r="P211" s="703">
        <f t="shared" si="25"/>
        <v>-2168388</v>
      </c>
      <c r="Q211" s="752">
        <v>55.7</v>
      </c>
      <c r="R211" s="609">
        <f t="shared" si="26"/>
        <v>621612</v>
      </c>
      <c r="S211" s="703">
        <f t="shared" si="27"/>
        <v>-2168388</v>
      </c>
      <c r="T211" s="697" t="s">
        <v>54</v>
      </c>
    </row>
    <row r="212" spans="1:20" x14ac:dyDescent="0.25">
      <c r="A212" s="690"/>
      <c r="B212" s="697" t="s">
        <v>734</v>
      </c>
      <c r="C212" s="547" t="s">
        <v>40</v>
      </c>
      <c r="D212" s="683">
        <v>44896</v>
      </c>
      <c r="E212" s="547">
        <v>744</v>
      </c>
      <c r="F212" s="547" t="s">
        <v>3</v>
      </c>
      <c r="G212" s="727" t="s">
        <v>44</v>
      </c>
      <c r="H212" s="638">
        <v>-10</v>
      </c>
      <c r="I212" s="638">
        <v>218</v>
      </c>
      <c r="J212" s="639">
        <f t="shared" si="21"/>
        <v>1621920</v>
      </c>
      <c r="K212" s="750">
        <v>55.7</v>
      </c>
      <c r="L212" s="608">
        <f t="shared" si="22"/>
        <v>-414408</v>
      </c>
      <c r="M212" s="751">
        <f t="shared" si="23"/>
        <v>1207512</v>
      </c>
      <c r="N212" s="752">
        <v>55.7</v>
      </c>
      <c r="O212" s="609">
        <f t="shared" si="24"/>
        <v>-414408</v>
      </c>
      <c r="P212" s="703">
        <f t="shared" si="25"/>
        <v>1207512</v>
      </c>
      <c r="Q212" s="752">
        <v>78.400653594793155</v>
      </c>
      <c r="R212" s="609">
        <f t="shared" si="26"/>
        <v>-583300.86274526105</v>
      </c>
      <c r="S212" s="703">
        <f t="shared" si="27"/>
        <v>1038619.1372547389</v>
      </c>
      <c r="T212" s="697" t="s">
        <v>54</v>
      </c>
    </row>
    <row r="213" spans="1:20" x14ac:dyDescent="0.25">
      <c r="A213" s="690"/>
      <c r="B213" s="696" t="s">
        <v>736</v>
      </c>
      <c r="C213" s="546" t="s">
        <v>40</v>
      </c>
      <c r="D213" s="682">
        <v>44835</v>
      </c>
      <c r="E213" s="546">
        <v>744</v>
      </c>
      <c r="F213" s="546" t="s">
        <v>3</v>
      </c>
      <c r="G213" s="726" t="s">
        <v>44</v>
      </c>
      <c r="H213" s="549">
        <v>5</v>
      </c>
      <c r="I213" s="549">
        <v>240</v>
      </c>
      <c r="J213" s="605">
        <f t="shared" si="21"/>
        <v>-892800</v>
      </c>
      <c r="K213" s="746">
        <v>55.7</v>
      </c>
      <c r="L213" s="606">
        <f t="shared" si="22"/>
        <v>207204</v>
      </c>
      <c r="M213" s="747">
        <f t="shared" si="23"/>
        <v>-685596</v>
      </c>
      <c r="N213" s="748">
        <v>55.7</v>
      </c>
      <c r="O213" s="607">
        <f t="shared" si="24"/>
        <v>207204</v>
      </c>
      <c r="P213" s="702">
        <f t="shared" si="25"/>
        <v>-685596</v>
      </c>
      <c r="Q213" s="748">
        <v>55.7</v>
      </c>
      <c r="R213" s="607">
        <f t="shared" si="26"/>
        <v>207204</v>
      </c>
      <c r="S213" s="702">
        <f t="shared" si="27"/>
        <v>-685596</v>
      </c>
      <c r="T213" s="696" t="s">
        <v>54</v>
      </c>
    </row>
    <row r="214" spans="1:20" x14ac:dyDescent="0.25">
      <c r="A214" s="690"/>
      <c r="B214" s="695" t="s">
        <v>736</v>
      </c>
      <c r="C214" s="545" t="s">
        <v>40</v>
      </c>
      <c r="D214" s="681">
        <v>44866</v>
      </c>
      <c r="E214" s="545">
        <v>720</v>
      </c>
      <c r="F214" s="545" t="s">
        <v>3</v>
      </c>
      <c r="G214" s="725" t="s">
        <v>44</v>
      </c>
      <c r="H214" s="548">
        <v>5</v>
      </c>
      <c r="I214" s="548">
        <v>240</v>
      </c>
      <c r="J214" s="602">
        <f t="shared" si="21"/>
        <v>-864000</v>
      </c>
      <c r="K214" s="742">
        <v>55.7</v>
      </c>
      <c r="L214" s="603">
        <f t="shared" si="22"/>
        <v>200520</v>
      </c>
      <c r="M214" s="743">
        <f t="shared" si="23"/>
        <v>-663480</v>
      </c>
      <c r="N214" s="744">
        <v>55.7</v>
      </c>
      <c r="O214" s="604">
        <f t="shared" si="24"/>
        <v>200520</v>
      </c>
      <c r="P214" s="701">
        <f t="shared" si="25"/>
        <v>-663480</v>
      </c>
      <c r="Q214" s="744">
        <v>55.7</v>
      </c>
      <c r="R214" s="604">
        <f t="shared" si="26"/>
        <v>200520</v>
      </c>
      <c r="S214" s="701">
        <f t="shared" si="27"/>
        <v>-663480</v>
      </c>
      <c r="T214" s="695" t="s">
        <v>54</v>
      </c>
    </row>
    <row r="215" spans="1:20" x14ac:dyDescent="0.25">
      <c r="A215" s="690"/>
      <c r="B215" s="696" t="s">
        <v>739</v>
      </c>
      <c r="C215" s="546" t="s">
        <v>40</v>
      </c>
      <c r="D215" s="682">
        <v>44562</v>
      </c>
      <c r="E215" s="546">
        <v>744</v>
      </c>
      <c r="F215" s="546" t="s">
        <v>3</v>
      </c>
      <c r="G215" s="726" t="s">
        <v>44</v>
      </c>
      <c r="H215" s="549">
        <v>-1</v>
      </c>
      <c r="I215" s="549">
        <v>195</v>
      </c>
      <c r="J215" s="605">
        <f t="shared" si="21"/>
        <v>145080</v>
      </c>
      <c r="K215" s="746">
        <v>62.91</v>
      </c>
      <c r="L215" s="606">
        <f t="shared" si="22"/>
        <v>-46805.04</v>
      </c>
      <c r="M215" s="747">
        <f t="shared" si="23"/>
        <v>98274.959999999992</v>
      </c>
      <c r="N215" s="748">
        <v>62.91</v>
      </c>
      <c r="O215" s="607">
        <f t="shared" si="24"/>
        <v>-46805.04</v>
      </c>
      <c r="P215" s="702">
        <f t="shared" si="25"/>
        <v>98274.959999999992</v>
      </c>
      <c r="Q215" s="748">
        <v>62.91</v>
      </c>
      <c r="R215" s="607">
        <f t="shared" si="26"/>
        <v>-46805.04</v>
      </c>
      <c r="S215" s="702">
        <f t="shared" si="27"/>
        <v>98274.959999999992</v>
      </c>
      <c r="T215" s="696" t="s">
        <v>54</v>
      </c>
    </row>
    <row r="216" spans="1:20" x14ac:dyDescent="0.25">
      <c r="A216" s="690"/>
      <c r="B216" s="691" t="s">
        <v>739</v>
      </c>
      <c r="C216" s="676" t="s">
        <v>40</v>
      </c>
      <c r="D216" s="680">
        <v>44593</v>
      </c>
      <c r="E216" s="676">
        <v>672</v>
      </c>
      <c r="F216" s="676" t="s">
        <v>3</v>
      </c>
      <c r="G216" s="690" t="s">
        <v>44</v>
      </c>
      <c r="H216" s="115">
        <v>-1</v>
      </c>
      <c r="I216" s="115">
        <v>195</v>
      </c>
      <c r="J216" s="601">
        <f t="shared" si="21"/>
        <v>131040</v>
      </c>
      <c r="K216" s="738">
        <v>55.7</v>
      </c>
      <c r="L216" s="677">
        <f t="shared" si="22"/>
        <v>-37430.400000000001</v>
      </c>
      <c r="M216" s="739">
        <f t="shared" si="23"/>
        <v>93609.600000000006</v>
      </c>
      <c r="N216" s="740">
        <v>55.7</v>
      </c>
      <c r="O216" s="678">
        <f t="shared" si="24"/>
        <v>-37430.400000000001</v>
      </c>
      <c r="P216" s="700">
        <f t="shared" si="25"/>
        <v>93609.600000000006</v>
      </c>
      <c r="Q216" s="740">
        <v>55.7</v>
      </c>
      <c r="R216" s="678">
        <f t="shared" si="26"/>
        <v>-37430.400000000001</v>
      </c>
      <c r="S216" s="700">
        <f t="shared" si="27"/>
        <v>93609.600000000006</v>
      </c>
      <c r="T216" s="691" t="s">
        <v>54</v>
      </c>
    </row>
    <row r="217" spans="1:20" x14ac:dyDescent="0.25">
      <c r="A217" s="690"/>
      <c r="B217" s="695" t="s">
        <v>739</v>
      </c>
      <c r="C217" s="545" t="s">
        <v>40</v>
      </c>
      <c r="D217" s="681">
        <v>44621</v>
      </c>
      <c r="E217" s="545">
        <v>744</v>
      </c>
      <c r="F217" s="545" t="s">
        <v>3</v>
      </c>
      <c r="G217" s="725" t="s">
        <v>44</v>
      </c>
      <c r="H217" s="548">
        <v>-1</v>
      </c>
      <c r="I217" s="548">
        <v>195</v>
      </c>
      <c r="J217" s="602">
        <f t="shared" si="21"/>
        <v>145080</v>
      </c>
      <c r="K217" s="742">
        <v>55.7</v>
      </c>
      <c r="L217" s="603">
        <f t="shared" si="22"/>
        <v>-41440.800000000003</v>
      </c>
      <c r="M217" s="743">
        <f t="shared" si="23"/>
        <v>103639.2</v>
      </c>
      <c r="N217" s="744">
        <v>55.7</v>
      </c>
      <c r="O217" s="604">
        <f t="shared" si="24"/>
        <v>-41440.800000000003</v>
      </c>
      <c r="P217" s="701">
        <f t="shared" si="25"/>
        <v>103639.2</v>
      </c>
      <c r="Q217" s="744">
        <v>55.7</v>
      </c>
      <c r="R217" s="604">
        <f t="shared" si="26"/>
        <v>-41440.800000000003</v>
      </c>
      <c r="S217" s="701">
        <f t="shared" si="27"/>
        <v>103639.2</v>
      </c>
      <c r="T217" s="695" t="s">
        <v>54</v>
      </c>
    </row>
    <row r="218" spans="1:20" x14ac:dyDescent="0.25">
      <c r="A218" s="690"/>
      <c r="B218" s="696" t="s">
        <v>741</v>
      </c>
      <c r="C218" s="546" t="s">
        <v>40</v>
      </c>
      <c r="D218" s="682">
        <v>44562</v>
      </c>
      <c r="E218" s="546">
        <v>744</v>
      </c>
      <c r="F218" s="546" t="s">
        <v>3</v>
      </c>
      <c r="G218" s="726" t="s">
        <v>44</v>
      </c>
      <c r="H218" s="549">
        <v>-3</v>
      </c>
      <c r="I218" s="549">
        <v>194.5</v>
      </c>
      <c r="J218" s="605">
        <f t="shared" si="21"/>
        <v>434124</v>
      </c>
      <c r="K218" s="746">
        <v>62.91</v>
      </c>
      <c r="L218" s="606">
        <f t="shared" si="22"/>
        <v>-140415.12</v>
      </c>
      <c r="M218" s="747">
        <f t="shared" si="23"/>
        <v>293708.88</v>
      </c>
      <c r="N218" s="748">
        <v>62.91</v>
      </c>
      <c r="O218" s="607">
        <f t="shared" si="24"/>
        <v>-140415.12</v>
      </c>
      <c r="P218" s="702">
        <f t="shared" si="25"/>
        <v>293708.88</v>
      </c>
      <c r="Q218" s="748">
        <v>62.91</v>
      </c>
      <c r="R218" s="607">
        <f t="shared" si="26"/>
        <v>-140415.12</v>
      </c>
      <c r="S218" s="702">
        <f t="shared" si="27"/>
        <v>293708.88</v>
      </c>
      <c r="T218" s="696" t="s">
        <v>54</v>
      </c>
    </row>
    <row r="219" spans="1:20" x14ac:dyDescent="0.25">
      <c r="A219" s="690"/>
      <c r="B219" s="691" t="s">
        <v>741</v>
      </c>
      <c r="C219" s="676" t="s">
        <v>40</v>
      </c>
      <c r="D219" s="680">
        <v>44593</v>
      </c>
      <c r="E219" s="676">
        <v>672</v>
      </c>
      <c r="F219" s="676" t="s">
        <v>3</v>
      </c>
      <c r="G219" s="690" t="s">
        <v>44</v>
      </c>
      <c r="H219" s="115">
        <v>-3</v>
      </c>
      <c r="I219" s="115">
        <v>194.5</v>
      </c>
      <c r="J219" s="601">
        <f t="shared" si="21"/>
        <v>392112</v>
      </c>
      <c r="K219" s="738">
        <v>55.7</v>
      </c>
      <c r="L219" s="677">
        <f t="shared" si="22"/>
        <v>-112291.20000000001</v>
      </c>
      <c r="M219" s="739">
        <f t="shared" si="23"/>
        <v>279820.79999999999</v>
      </c>
      <c r="N219" s="740">
        <v>55.7</v>
      </c>
      <c r="O219" s="678">
        <f t="shared" si="24"/>
        <v>-112291.20000000001</v>
      </c>
      <c r="P219" s="700">
        <f t="shared" si="25"/>
        <v>279820.79999999999</v>
      </c>
      <c r="Q219" s="740">
        <v>55.7</v>
      </c>
      <c r="R219" s="678">
        <f t="shared" si="26"/>
        <v>-112291.20000000001</v>
      </c>
      <c r="S219" s="700">
        <f t="shared" si="27"/>
        <v>279820.79999999999</v>
      </c>
      <c r="T219" s="691" t="s">
        <v>54</v>
      </c>
    </row>
    <row r="220" spans="1:20" x14ac:dyDescent="0.25">
      <c r="A220" s="690"/>
      <c r="B220" s="695" t="s">
        <v>741</v>
      </c>
      <c r="C220" s="545" t="s">
        <v>40</v>
      </c>
      <c r="D220" s="681">
        <v>44621</v>
      </c>
      <c r="E220" s="545">
        <v>744</v>
      </c>
      <c r="F220" s="545" t="s">
        <v>3</v>
      </c>
      <c r="G220" s="725" t="s">
        <v>44</v>
      </c>
      <c r="H220" s="548">
        <v>-3</v>
      </c>
      <c r="I220" s="548">
        <v>194.5</v>
      </c>
      <c r="J220" s="602">
        <f t="shared" si="21"/>
        <v>434124</v>
      </c>
      <c r="K220" s="742">
        <v>55.7</v>
      </c>
      <c r="L220" s="603">
        <f t="shared" si="22"/>
        <v>-124322.40000000001</v>
      </c>
      <c r="M220" s="743">
        <f t="shared" si="23"/>
        <v>309801.59999999998</v>
      </c>
      <c r="N220" s="744">
        <v>55.7</v>
      </c>
      <c r="O220" s="604">
        <f t="shared" si="24"/>
        <v>-124322.40000000001</v>
      </c>
      <c r="P220" s="701">
        <f t="shared" si="25"/>
        <v>309801.59999999998</v>
      </c>
      <c r="Q220" s="744">
        <v>55.7</v>
      </c>
      <c r="R220" s="604">
        <f t="shared" si="26"/>
        <v>-124322.40000000001</v>
      </c>
      <c r="S220" s="701">
        <f t="shared" si="27"/>
        <v>309801.59999999998</v>
      </c>
      <c r="T220" s="695" t="s">
        <v>54</v>
      </c>
    </row>
    <row r="221" spans="1:20" x14ac:dyDescent="0.25">
      <c r="A221" s="690"/>
      <c r="B221" s="696" t="s">
        <v>743</v>
      </c>
      <c r="C221" s="546" t="s">
        <v>40</v>
      </c>
      <c r="D221" s="682">
        <v>44562</v>
      </c>
      <c r="E221" s="546">
        <v>744</v>
      </c>
      <c r="F221" s="546" t="s">
        <v>3</v>
      </c>
      <c r="G221" s="726" t="s">
        <v>44</v>
      </c>
      <c r="H221" s="549">
        <v>-1</v>
      </c>
      <c r="I221" s="549">
        <v>193.5</v>
      </c>
      <c r="J221" s="605">
        <f t="shared" si="21"/>
        <v>143964</v>
      </c>
      <c r="K221" s="746">
        <v>62.91</v>
      </c>
      <c r="L221" s="606">
        <f t="shared" si="22"/>
        <v>-46805.04</v>
      </c>
      <c r="M221" s="747">
        <f t="shared" si="23"/>
        <v>97158.959999999992</v>
      </c>
      <c r="N221" s="748">
        <v>62.91</v>
      </c>
      <c r="O221" s="607">
        <f t="shared" si="24"/>
        <v>-46805.04</v>
      </c>
      <c r="P221" s="702">
        <f t="shared" si="25"/>
        <v>97158.959999999992</v>
      </c>
      <c r="Q221" s="748">
        <v>62.91</v>
      </c>
      <c r="R221" s="607">
        <f t="shared" si="26"/>
        <v>-46805.04</v>
      </c>
      <c r="S221" s="702">
        <f t="shared" si="27"/>
        <v>97158.959999999992</v>
      </c>
      <c r="T221" s="696" t="s">
        <v>54</v>
      </c>
    </row>
    <row r="222" spans="1:20" x14ac:dyDescent="0.25">
      <c r="A222" s="690"/>
      <c r="B222" s="691" t="s">
        <v>743</v>
      </c>
      <c r="C222" s="676" t="s">
        <v>40</v>
      </c>
      <c r="D222" s="680">
        <v>44593</v>
      </c>
      <c r="E222" s="676">
        <v>672</v>
      </c>
      <c r="F222" s="676" t="s">
        <v>3</v>
      </c>
      <c r="G222" s="690" t="s">
        <v>44</v>
      </c>
      <c r="H222" s="115">
        <v>-1</v>
      </c>
      <c r="I222" s="115">
        <v>193.5</v>
      </c>
      <c r="J222" s="601">
        <f t="shared" si="21"/>
        <v>130032</v>
      </c>
      <c r="K222" s="738">
        <v>55.7</v>
      </c>
      <c r="L222" s="677">
        <f t="shared" si="22"/>
        <v>-37430.400000000001</v>
      </c>
      <c r="M222" s="739">
        <f t="shared" si="23"/>
        <v>92601.600000000006</v>
      </c>
      <c r="N222" s="740">
        <v>55.7</v>
      </c>
      <c r="O222" s="678">
        <f t="shared" si="24"/>
        <v>-37430.400000000001</v>
      </c>
      <c r="P222" s="700">
        <f t="shared" si="25"/>
        <v>92601.600000000006</v>
      </c>
      <c r="Q222" s="740">
        <v>55.7</v>
      </c>
      <c r="R222" s="678">
        <f t="shared" si="26"/>
        <v>-37430.400000000001</v>
      </c>
      <c r="S222" s="700">
        <f t="shared" si="27"/>
        <v>92601.600000000006</v>
      </c>
      <c r="T222" s="691" t="s">
        <v>54</v>
      </c>
    </row>
    <row r="223" spans="1:20" x14ac:dyDescent="0.25">
      <c r="A223" s="690"/>
      <c r="B223" s="695" t="s">
        <v>743</v>
      </c>
      <c r="C223" s="545" t="s">
        <v>40</v>
      </c>
      <c r="D223" s="681">
        <v>44621</v>
      </c>
      <c r="E223" s="545">
        <v>744</v>
      </c>
      <c r="F223" s="545" t="s">
        <v>3</v>
      </c>
      <c r="G223" s="725" t="s">
        <v>44</v>
      </c>
      <c r="H223" s="548">
        <v>-1</v>
      </c>
      <c r="I223" s="548">
        <v>193.5</v>
      </c>
      <c r="J223" s="602">
        <f t="shared" si="21"/>
        <v>143964</v>
      </c>
      <c r="K223" s="742">
        <v>55.7</v>
      </c>
      <c r="L223" s="603">
        <f t="shared" si="22"/>
        <v>-41440.800000000003</v>
      </c>
      <c r="M223" s="743">
        <f t="shared" si="23"/>
        <v>102523.2</v>
      </c>
      <c r="N223" s="744">
        <v>55.7</v>
      </c>
      <c r="O223" s="604">
        <f t="shared" si="24"/>
        <v>-41440.800000000003</v>
      </c>
      <c r="P223" s="701">
        <f t="shared" si="25"/>
        <v>102523.2</v>
      </c>
      <c r="Q223" s="744">
        <v>55.7</v>
      </c>
      <c r="R223" s="604">
        <f t="shared" si="26"/>
        <v>-41440.800000000003</v>
      </c>
      <c r="S223" s="701">
        <f t="shared" si="27"/>
        <v>102523.2</v>
      </c>
      <c r="T223" s="695" t="s">
        <v>54</v>
      </c>
    </row>
    <row r="224" spans="1:20" x14ac:dyDescent="0.25">
      <c r="A224" s="690"/>
      <c r="B224" s="696" t="s">
        <v>745</v>
      </c>
      <c r="C224" s="546" t="s">
        <v>40</v>
      </c>
      <c r="D224" s="682">
        <v>44743</v>
      </c>
      <c r="E224" s="546">
        <v>744</v>
      </c>
      <c r="F224" s="546" t="s">
        <v>3</v>
      </c>
      <c r="G224" s="726" t="s">
        <v>44</v>
      </c>
      <c r="H224" s="549">
        <v>3</v>
      </c>
      <c r="I224" s="549">
        <v>267</v>
      </c>
      <c r="J224" s="605">
        <f t="shared" si="21"/>
        <v>-595944</v>
      </c>
      <c r="K224" s="746">
        <v>66.319999999999993</v>
      </c>
      <c r="L224" s="606">
        <f t="shared" si="22"/>
        <v>148026.23999999999</v>
      </c>
      <c r="M224" s="747">
        <f t="shared" si="23"/>
        <v>-447917.76</v>
      </c>
      <c r="N224" s="748">
        <v>66.319999999999993</v>
      </c>
      <c r="O224" s="607">
        <f t="shared" si="24"/>
        <v>148026.23999999999</v>
      </c>
      <c r="P224" s="702">
        <f t="shared" si="25"/>
        <v>-447917.76</v>
      </c>
      <c r="Q224" s="748">
        <v>66.319999999999993</v>
      </c>
      <c r="R224" s="607">
        <f t="shared" si="26"/>
        <v>148026.23999999999</v>
      </c>
      <c r="S224" s="702">
        <f t="shared" si="27"/>
        <v>-447917.76</v>
      </c>
      <c r="T224" s="696" t="s">
        <v>54</v>
      </c>
    </row>
    <row r="225" spans="1:20" x14ac:dyDescent="0.25">
      <c r="A225" s="690"/>
      <c r="B225" s="691" t="s">
        <v>745</v>
      </c>
      <c r="C225" s="676" t="s">
        <v>40</v>
      </c>
      <c r="D225" s="680">
        <v>44774</v>
      </c>
      <c r="E225" s="676">
        <v>744</v>
      </c>
      <c r="F225" s="676" t="s">
        <v>3</v>
      </c>
      <c r="G225" s="690" t="s">
        <v>44</v>
      </c>
      <c r="H225" s="115">
        <v>3</v>
      </c>
      <c r="I225" s="115">
        <v>267</v>
      </c>
      <c r="J225" s="601">
        <f t="shared" si="21"/>
        <v>-595944</v>
      </c>
      <c r="K225" s="738">
        <v>76.900000000000006</v>
      </c>
      <c r="L225" s="677">
        <f t="shared" si="22"/>
        <v>171640.80000000002</v>
      </c>
      <c r="M225" s="739">
        <f t="shared" si="23"/>
        <v>-424303.19999999995</v>
      </c>
      <c r="N225" s="740">
        <v>76.900000000000006</v>
      </c>
      <c r="O225" s="678">
        <f t="shared" si="24"/>
        <v>171640.80000000002</v>
      </c>
      <c r="P225" s="700">
        <f t="shared" si="25"/>
        <v>-424303.19999999995</v>
      </c>
      <c r="Q225" s="740">
        <v>76.900000000000006</v>
      </c>
      <c r="R225" s="678">
        <f t="shared" si="26"/>
        <v>171640.80000000002</v>
      </c>
      <c r="S225" s="700">
        <f t="shared" si="27"/>
        <v>-424303.19999999995</v>
      </c>
      <c r="T225" s="691" t="s">
        <v>54</v>
      </c>
    </row>
    <row r="226" spans="1:20" x14ac:dyDescent="0.25">
      <c r="A226" s="690"/>
      <c r="B226" s="691" t="s">
        <v>745</v>
      </c>
      <c r="C226" s="676" t="s">
        <v>40</v>
      </c>
      <c r="D226" s="680">
        <v>44805</v>
      </c>
      <c r="E226" s="676">
        <v>720</v>
      </c>
      <c r="F226" s="676" t="s">
        <v>3</v>
      </c>
      <c r="G226" s="690" t="s">
        <v>44</v>
      </c>
      <c r="H226" s="115">
        <v>3</v>
      </c>
      <c r="I226" s="115">
        <v>267</v>
      </c>
      <c r="J226" s="601">
        <f t="shared" si="21"/>
        <v>-576720</v>
      </c>
      <c r="K226" s="738">
        <v>56.08</v>
      </c>
      <c r="L226" s="677">
        <f t="shared" si="22"/>
        <v>121132.8</v>
      </c>
      <c r="M226" s="739">
        <f t="shared" si="23"/>
        <v>-455587.2</v>
      </c>
      <c r="N226" s="740">
        <v>56.08</v>
      </c>
      <c r="O226" s="678">
        <f t="shared" si="24"/>
        <v>121132.8</v>
      </c>
      <c r="P226" s="700">
        <f t="shared" si="25"/>
        <v>-455587.2</v>
      </c>
      <c r="Q226" s="740">
        <v>56.08</v>
      </c>
      <c r="R226" s="678">
        <f t="shared" si="26"/>
        <v>121132.8</v>
      </c>
      <c r="S226" s="700">
        <f t="shared" si="27"/>
        <v>-455587.2</v>
      </c>
      <c r="T226" s="691" t="s">
        <v>54</v>
      </c>
    </row>
    <row r="227" spans="1:20" x14ac:dyDescent="0.25">
      <c r="A227" s="690"/>
      <c r="B227" s="691" t="s">
        <v>745</v>
      </c>
      <c r="C227" s="676" t="s">
        <v>40</v>
      </c>
      <c r="D227" s="680">
        <v>44835</v>
      </c>
      <c r="E227" s="676">
        <v>744</v>
      </c>
      <c r="F227" s="676" t="s">
        <v>3</v>
      </c>
      <c r="G227" s="690" t="s">
        <v>44</v>
      </c>
      <c r="H227" s="115">
        <v>3</v>
      </c>
      <c r="I227" s="115">
        <v>267</v>
      </c>
      <c r="J227" s="601">
        <f t="shared" si="21"/>
        <v>-595944</v>
      </c>
      <c r="K227" s="738">
        <v>55.7</v>
      </c>
      <c r="L227" s="677">
        <f t="shared" si="22"/>
        <v>124322.40000000001</v>
      </c>
      <c r="M227" s="739">
        <f t="shared" si="23"/>
        <v>-471621.6</v>
      </c>
      <c r="N227" s="740">
        <v>55.7</v>
      </c>
      <c r="O227" s="678">
        <f t="shared" si="24"/>
        <v>124322.40000000001</v>
      </c>
      <c r="P227" s="700">
        <f t="shared" si="25"/>
        <v>-471621.6</v>
      </c>
      <c r="Q227" s="740">
        <v>55.7</v>
      </c>
      <c r="R227" s="678">
        <f t="shared" si="26"/>
        <v>124322.40000000001</v>
      </c>
      <c r="S227" s="700">
        <f t="shared" si="27"/>
        <v>-471621.6</v>
      </c>
      <c r="T227" s="691" t="s">
        <v>54</v>
      </c>
    </row>
    <row r="228" spans="1:20" x14ac:dyDescent="0.25">
      <c r="A228" s="690"/>
      <c r="B228" s="691" t="s">
        <v>745</v>
      </c>
      <c r="C228" s="676" t="s">
        <v>40</v>
      </c>
      <c r="D228" s="680">
        <v>44866</v>
      </c>
      <c r="E228" s="676">
        <v>720</v>
      </c>
      <c r="F228" s="676" t="s">
        <v>3</v>
      </c>
      <c r="G228" s="690" t="s">
        <v>44</v>
      </c>
      <c r="H228" s="115">
        <v>3</v>
      </c>
      <c r="I228" s="115">
        <v>267</v>
      </c>
      <c r="J228" s="601">
        <f t="shared" si="21"/>
        <v>-576720</v>
      </c>
      <c r="K228" s="738">
        <v>55.7</v>
      </c>
      <c r="L228" s="677">
        <f t="shared" si="22"/>
        <v>120312</v>
      </c>
      <c r="M228" s="739">
        <f t="shared" si="23"/>
        <v>-456408</v>
      </c>
      <c r="N228" s="740">
        <v>55.7</v>
      </c>
      <c r="O228" s="678">
        <f t="shared" si="24"/>
        <v>120312</v>
      </c>
      <c r="P228" s="700">
        <f t="shared" si="25"/>
        <v>-456408</v>
      </c>
      <c r="Q228" s="740">
        <v>55.7</v>
      </c>
      <c r="R228" s="678">
        <f t="shared" si="26"/>
        <v>120312</v>
      </c>
      <c r="S228" s="700">
        <f t="shared" si="27"/>
        <v>-456408</v>
      </c>
      <c r="T228" s="691" t="s">
        <v>54</v>
      </c>
    </row>
    <row r="229" spans="1:20" x14ac:dyDescent="0.25">
      <c r="A229" s="690"/>
      <c r="B229" s="695" t="s">
        <v>745</v>
      </c>
      <c r="C229" s="545" t="s">
        <v>40</v>
      </c>
      <c r="D229" s="681">
        <v>44896</v>
      </c>
      <c r="E229" s="545">
        <v>744</v>
      </c>
      <c r="F229" s="545" t="s">
        <v>3</v>
      </c>
      <c r="G229" s="725" t="s">
        <v>44</v>
      </c>
      <c r="H229" s="548">
        <v>3</v>
      </c>
      <c r="I229" s="548">
        <v>267</v>
      </c>
      <c r="J229" s="602">
        <f t="shared" si="21"/>
        <v>-595944</v>
      </c>
      <c r="K229" s="742">
        <v>55.7</v>
      </c>
      <c r="L229" s="603">
        <f t="shared" si="22"/>
        <v>124322.40000000001</v>
      </c>
      <c r="M229" s="743">
        <f t="shared" si="23"/>
        <v>-471621.6</v>
      </c>
      <c r="N229" s="744">
        <v>55.7</v>
      </c>
      <c r="O229" s="604">
        <f t="shared" si="24"/>
        <v>124322.40000000001</v>
      </c>
      <c r="P229" s="701">
        <f t="shared" si="25"/>
        <v>-471621.6</v>
      </c>
      <c r="Q229" s="744">
        <v>78.400653594793155</v>
      </c>
      <c r="R229" s="604">
        <f t="shared" si="26"/>
        <v>174990.25882357833</v>
      </c>
      <c r="S229" s="701">
        <f t="shared" si="27"/>
        <v>-420953.74117642164</v>
      </c>
      <c r="T229" s="695" t="s">
        <v>54</v>
      </c>
    </row>
    <row r="230" spans="1:20" x14ac:dyDescent="0.25">
      <c r="A230" s="690"/>
      <c r="B230" s="696" t="s">
        <v>747</v>
      </c>
      <c r="C230" s="546" t="s">
        <v>40</v>
      </c>
      <c r="D230" s="682">
        <v>44835</v>
      </c>
      <c r="E230" s="546">
        <v>744</v>
      </c>
      <c r="F230" s="546" t="s">
        <v>3</v>
      </c>
      <c r="G230" s="726" t="s">
        <v>44</v>
      </c>
      <c r="H230" s="549">
        <v>2.5</v>
      </c>
      <c r="I230" s="549">
        <v>250</v>
      </c>
      <c r="J230" s="605">
        <f t="shared" si="21"/>
        <v>-465000</v>
      </c>
      <c r="K230" s="746">
        <v>55.7</v>
      </c>
      <c r="L230" s="606">
        <f t="shared" si="22"/>
        <v>103602</v>
      </c>
      <c r="M230" s="747">
        <f t="shared" si="23"/>
        <v>-361398</v>
      </c>
      <c r="N230" s="748">
        <v>55.7</v>
      </c>
      <c r="O230" s="607">
        <f t="shared" si="24"/>
        <v>103602</v>
      </c>
      <c r="P230" s="702">
        <f t="shared" si="25"/>
        <v>-361398</v>
      </c>
      <c r="Q230" s="748">
        <v>55.7</v>
      </c>
      <c r="R230" s="607">
        <f t="shared" si="26"/>
        <v>103602</v>
      </c>
      <c r="S230" s="702">
        <f t="shared" si="27"/>
        <v>-361398</v>
      </c>
      <c r="T230" s="696" t="s">
        <v>54</v>
      </c>
    </row>
    <row r="231" spans="1:20" x14ac:dyDescent="0.25">
      <c r="A231" s="690"/>
      <c r="B231" s="695" t="s">
        <v>747</v>
      </c>
      <c r="C231" s="545" t="s">
        <v>40</v>
      </c>
      <c r="D231" s="681">
        <v>44866</v>
      </c>
      <c r="E231" s="545">
        <v>720</v>
      </c>
      <c r="F231" s="545" t="s">
        <v>3</v>
      </c>
      <c r="G231" s="725" t="s">
        <v>44</v>
      </c>
      <c r="H231" s="548">
        <v>2.5</v>
      </c>
      <c r="I231" s="548">
        <v>250</v>
      </c>
      <c r="J231" s="602">
        <f t="shared" si="21"/>
        <v>-450000</v>
      </c>
      <c r="K231" s="742">
        <v>55.7</v>
      </c>
      <c r="L231" s="603">
        <f t="shared" si="22"/>
        <v>100260</v>
      </c>
      <c r="M231" s="743">
        <f t="shared" si="23"/>
        <v>-349740</v>
      </c>
      <c r="N231" s="744">
        <v>55.7</v>
      </c>
      <c r="O231" s="604">
        <f t="shared" si="24"/>
        <v>100260</v>
      </c>
      <c r="P231" s="701">
        <f t="shared" si="25"/>
        <v>-349740</v>
      </c>
      <c r="Q231" s="744">
        <v>55.7</v>
      </c>
      <c r="R231" s="604">
        <f t="shared" si="26"/>
        <v>100260</v>
      </c>
      <c r="S231" s="701">
        <f t="shared" si="27"/>
        <v>-349740</v>
      </c>
      <c r="T231" s="695" t="s">
        <v>54</v>
      </c>
    </row>
    <row r="232" spans="1:20" x14ac:dyDescent="0.25">
      <c r="A232" s="690"/>
      <c r="B232" s="697" t="s">
        <v>749</v>
      </c>
      <c r="C232" s="547" t="s">
        <v>40</v>
      </c>
      <c r="D232" s="683">
        <v>44896</v>
      </c>
      <c r="E232" s="547">
        <v>744</v>
      </c>
      <c r="F232" s="547" t="s">
        <v>3</v>
      </c>
      <c r="G232" s="727" t="s">
        <v>44</v>
      </c>
      <c r="H232" s="638">
        <v>-5</v>
      </c>
      <c r="I232" s="638">
        <v>225</v>
      </c>
      <c r="J232" s="639">
        <f t="shared" si="21"/>
        <v>837000</v>
      </c>
      <c r="K232" s="750">
        <v>55.7</v>
      </c>
      <c r="L232" s="608">
        <f t="shared" si="22"/>
        <v>-207204</v>
      </c>
      <c r="M232" s="751">
        <f t="shared" si="23"/>
        <v>629796</v>
      </c>
      <c r="N232" s="752">
        <v>55.7</v>
      </c>
      <c r="O232" s="609">
        <f t="shared" si="24"/>
        <v>-207204</v>
      </c>
      <c r="P232" s="703">
        <f t="shared" si="25"/>
        <v>629796</v>
      </c>
      <c r="Q232" s="752">
        <v>78.400653594793155</v>
      </c>
      <c r="R232" s="609">
        <f t="shared" si="26"/>
        <v>-291650.43137263053</v>
      </c>
      <c r="S232" s="703">
        <f t="shared" si="27"/>
        <v>545349.56862736947</v>
      </c>
      <c r="T232" s="697" t="s">
        <v>54</v>
      </c>
    </row>
    <row r="233" spans="1:20" x14ac:dyDescent="0.25">
      <c r="A233" s="690"/>
      <c r="B233" s="696" t="s">
        <v>751</v>
      </c>
      <c r="C233" s="546" t="s">
        <v>40</v>
      </c>
      <c r="D233" s="682">
        <v>44562</v>
      </c>
      <c r="E233" s="546">
        <v>744</v>
      </c>
      <c r="F233" s="546" t="s">
        <v>3</v>
      </c>
      <c r="G233" s="726" t="s">
        <v>44</v>
      </c>
      <c r="H233" s="549">
        <v>-3</v>
      </c>
      <c r="I233" s="549">
        <v>201</v>
      </c>
      <c r="J233" s="605">
        <f t="shared" si="21"/>
        <v>448632</v>
      </c>
      <c r="K233" s="746">
        <v>62.91</v>
      </c>
      <c r="L233" s="606">
        <f t="shared" si="22"/>
        <v>-140415.12</v>
      </c>
      <c r="M233" s="747">
        <f t="shared" si="23"/>
        <v>308216.88</v>
      </c>
      <c r="N233" s="748">
        <v>62.91</v>
      </c>
      <c r="O233" s="607">
        <f t="shared" si="24"/>
        <v>-140415.12</v>
      </c>
      <c r="P233" s="702">
        <f t="shared" si="25"/>
        <v>308216.88</v>
      </c>
      <c r="Q233" s="748">
        <v>62.91</v>
      </c>
      <c r="R233" s="607">
        <f t="shared" si="26"/>
        <v>-140415.12</v>
      </c>
      <c r="S233" s="702">
        <f t="shared" si="27"/>
        <v>308216.88</v>
      </c>
      <c r="T233" s="696" t="s">
        <v>54</v>
      </c>
    </row>
    <row r="234" spans="1:20" x14ac:dyDescent="0.25">
      <c r="A234" s="690"/>
      <c r="B234" s="691" t="s">
        <v>751</v>
      </c>
      <c r="C234" s="676" t="s">
        <v>40</v>
      </c>
      <c r="D234" s="680">
        <v>44593</v>
      </c>
      <c r="E234" s="676">
        <v>672</v>
      </c>
      <c r="F234" s="676" t="s">
        <v>3</v>
      </c>
      <c r="G234" s="690" t="s">
        <v>44</v>
      </c>
      <c r="H234" s="115">
        <v>-3</v>
      </c>
      <c r="I234" s="115">
        <v>201</v>
      </c>
      <c r="J234" s="601">
        <f t="shared" si="21"/>
        <v>405216</v>
      </c>
      <c r="K234" s="738">
        <v>55.7</v>
      </c>
      <c r="L234" s="677">
        <f t="shared" si="22"/>
        <v>-112291.20000000001</v>
      </c>
      <c r="M234" s="739">
        <f t="shared" si="23"/>
        <v>292924.79999999999</v>
      </c>
      <c r="N234" s="740">
        <v>55.7</v>
      </c>
      <c r="O234" s="678">
        <f t="shared" si="24"/>
        <v>-112291.20000000001</v>
      </c>
      <c r="P234" s="700">
        <f t="shared" si="25"/>
        <v>292924.79999999999</v>
      </c>
      <c r="Q234" s="740">
        <v>55.7</v>
      </c>
      <c r="R234" s="678">
        <f t="shared" si="26"/>
        <v>-112291.20000000001</v>
      </c>
      <c r="S234" s="700">
        <f t="shared" si="27"/>
        <v>292924.79999999999</v>
      </c>
      <c r="T234" s="691" t="s">
        <v>54</v>
      </c>
    </row>
    <row r="235" spans="1:20" x14ac:dyDescent="0.25">
      <c r="A235" s="690"/>
      <c r="B235" s="695" t="s">
        <v>751</v>
      </c>
      <c r="C235" s="545" t="s">
        <v>40</v>
      </c>
      <c r="D235" s="681">
        <v>44621</v>
      </c>
      <c r="E235" s="545">
        <v>744</v>
      </c>
      <c r="F235" s="545" t="s">
        <v>3</v>
      </c>
      <c r="G235" s="725" t="s">
        <v>44</v>
      </c>
      <c r="H235" s="548">
        <v>-3</v>
      </c>
      <c r="I235" s="548">
        <v>201</v>
      </c>
      <c r="J235" s="602">
        <f t="shared" si="21"/>
        <v>448632</v>
      </c>
      <c r="K235" s="742">
        <v>55.7</v>
      </c>
      <c r="L235" s="603">
        <f t="shared" si="22"/>
        <v>-124322.40000000001</v>
      </c>
      <c r="M235" s="743">
        <f t="shared" si="23"/>
        <v>324309.59999999998</v>
      </c>
      <c r="N235" s="744">
        <v>55.7</v>
      </c>
      <c r="O235" s="604">
        <f t="shared" si="24"/>
        <v>-124322.40000000001</v>
      </c>
      <c r="P235" s="701">
        <f t="shared" si="25"/>
        <v>324309.59999999998</v>
      </c>
      <c r="Q235" s="744">
        <v>55.7</v>
      </c>
      <c r="R235" s="604">
        <f t="shared" si="26"/>
        <v>-124322.40000000001</v>
      </c>
      <c r="S235" s="701">
        <f t="shared" si="27"/>
        <v>324309.59999999998</v>
      </c>
      <c r="T235" s="695" t="s">
        <v>54</v>
      </c>
    </row>
    <row r="236" spans="1:20" x14ac:dyDescent="0.25">
      <c r="A236" s="690"/>
      <c r="B236" s="696" t="s">
        <v>753</v>
      </c>
      <c r="C236" s="546" t="s">
        <v>40</v>
      </c>
      <c r="D236" s="682">
        <v>44743</v>
      </c>
      <c r="E236" s="546">
        <v>744</v>
      </c>
      <c r="F236" s="546" t="s">
        <v>3</v>
      </c>
      <c r="G236" s="726" t="s">
        <v>44</v>
      </c>
      <c r="H236" s="549">
        <v>7</v>
      </c>
      <c r="I236" s="549">
        <v>290</v>
      </c>
      <c r="J236" s="605">
        <f t="shared" si="21"/>
        <v>-1510320</v>
      </c>
      <c r="K236" s="746">
        <v>66.319999999999993</v>
      </c>
      <c r="L236" s="606">
        <f t="shared" si="22"/>
        <v>345394.55999999994</v>
      </c>
      <c r="M236" s="747">
        <f t="shared" si="23"/>
        <v>-1164925.4399999999</v>
      </c>
      <c r="N236" s="748">
        <v>66.319999999999993</v>
      </c>
      <c r="O236" s="607">
        <f t="shared" si="24"/>
        <v>345394.55999999994</v>
      </c>
      <c r="P236" s="702">
        <f t="shared" si="25"/>
        <v>-1164925.4399999999</v>
      </c>
      <c r="Q236" s="748">
        <v>66.319999999999993</v>
      </c>
      <c r="R236" s="607">
        <f t="shared" si="26"/>
        <v>345394.55999999994</v>
      </c>
      <c r="S236" s="702">
        <f t="shared" si="27"/>
        <v>-1164925.4399999999</v>
      </c>
      <c r="T236" s="696" t="s">
        <v>54</v>
      </c>
    </row>
    <row r="237" spans="1:20" x14ac:dyDescent="0.25">
      <c r="A237" s="690"/>
      <c r="B237" s="691" t="s">
        <v>753</v>
      </c>
      <c r="C237" s="676" t="s">
        <v>40</v>
      </c>
      <c r="D237" s="680">
        <v>44774</v>
      </c>
      <c r="E237" s="676">
        <v>744</v>
      </c>
      <c r="F237" s="676" t="s">
        <v>3</v>
      </c>
      <c r="G237" s="690" t="s">
        <v>44</v>
      </c>
      <c r="H237" s="115">
        <v>7</v>
      </c>
      <c r="I237" s="115">
        <v>290</v>
      </c>
      <c r="J237" s="601">
        <f t="shared" si="21"/>
        <v>-1510320</v>
      </c>
      <c r="K237" s="738">
        <v>76.900000000000006</v>
      </c>
      <c r="L237" s="677">
        <f t="shared" si="22"/>
        <v>400495.2</v>
      </c>
      <c r="M237" s="739">
        <f t="shared" si="23"/>
        <v>-1109824.8</v>
      </c>
      <c r="N237" s="740">
        <v>76.900000000000006</v>
      </c>
      <c r="O237" s="678">
        <f t="shared" si="24"/>
        <v>400495.2</v>
      </c>
      <c r="P237" s="700">
        <f t="shared" si="25"/>
        <v>-1109824.8</v>
      </c>
      <c r="Q237" s="740">
        <v>76.900000000000006</v>
      </c>
      <c r="R237" s="678">
        <f t="shared" si="26"/>
        <v>400495.2</v>
      </c>
      <c r="S237" s="700">
        <f t="shared" si="27"/>
        <v>-1109824.8</v>
      </c>
      <c r="T237" s="691" t="s">
        <v>54</v>
      </c>
    </row>
    <row r="238" spans="1:20" x14ac:dyDescent="0.25">
      <c r="A238" s="690"/>
      <c r="B238" s="695" t="s">
        <v>753</v>
      </c>
      <c r="C238" s="545" t="s">
        <v>40</v>
      </c>
      <c r="D238" s="681">
        <v>44805</v>
      </c>
      <c r="E238" s="545">
        <v>720</v>
      </c>
      <c r="F238" s="545" t="s">
        <v>3</v>
      </c>
      <c r="G238" s="725" t="s">
        <v>44</v>
      </c>
      <c r="H238" s="548">
        <v>7</v>
      </c>
      <c r="I238" s="548">
        <v>290</v>
      </c>
      <c r="J238" s="602">
        <f t="shared" si="21"/>
        <v>-1461600</v>
      </c>
      <c r="K238" s="742">
        <v>56.08</v>
      </c>
      <c r="L238" s="603">
        <f t="shared" si="22"/>
        <v>282643.20000000001</v>
      </c>
      <c r="M238" s="743">
        <f t="shared" si="23"/>
        <v>-1178956.8</v>
      </c>
      <c r="N238" s="744">
        <v>56.08</v>
      </c>
      <c r="O238" s="604">
        <f t="shared" si="24"/>
        <v>282643.20000000001</v>
      </c>
      <c r="P238" s="701">
        <f t="shared" si="25"/>
        <v>-1178956.8</v>
      </c>
      <c r="Q238" s="744">
        <v>56.08</v>
      </c>
      <c r="R238" s="604">
        <f t="shared" si="26"/>
        <v>282643.20000000001</v>
      </c>
      <c r="S238" s="701">
        <f t="shared" si="27"/>
        <v>-1178956.8</v>
      </c>
      <c r="T238" s="695" t="s">
        <v>54</v>
      </c>
    </row>
    <row r="239" spans="1:20" x14ac:dyDescent="0.25">
      <c r="A239" s="690"/>
      <c r="B239" s="696" t="s">
        <v>755</v>
      </c>
      <c r="C239" s="546" t="s">
        <v>40</v>
      </c>
      <c r="D239" s="682">
        <v>44652</v>
      </c>
      <c r="E239" s="546">
        <v>720</v>
      </c>
      <c r="F239" s="546" t="s">
        <v>3</v>
      </c>
      <c r="G239" s="726" t="s">
        <v>44</v>
      </c>
      <c r="H239" s="549">
        <v>-4</v>
      </c>
      <c r="I239" s="549">
        <v>187</v>
      </c>
      <c r="J239" s="605">
        <f t="shared" si="21"/>
        <v>538560</v>
      </c>
      <c r="K239" s="746">
        <v>55.7</v>
      </c>
      <c r="L239" s="606">
        <f t="shared" si="22"/>
        <v>-160416</v>
      </c>
      <c r="M239" s="747">
        <f t="shared" si="23"/>
        <v>378144</v>
      </c>
      <c r="N239" s="748">
        <v>55.7</v>
      </c>
      <c r="O239" s="607">
        <f t="shared" si="24"/>
        <v>-160416</v>
      </c>
      <c r="P239" s="702">
        <f t="shared" si="25"/>
        <v>378144</v>
      </c>
      <c r="Q239" s="748">
        <v>55.7</v>
      </c>
      <c r="R239" s="607">
        <f t="shared" si="26"/>
        <v>-160416</v>
      </c>
      <c r="S239" s="702">
        <f t="shared" si="27"/>
        <v>378144</v>
      </c>
      <c r="T239" s="696" t="s">
        <v>54</v>
      </c>
    </row>
    <row r="240" spans="1:20" x14ac:dyDescent="0.25">
      <c r="A240" s="690"/>
      <c r="B240" s="691" t="s">
        <v>755</v>
      </c>
      <c r="C240" s="676" t="s">
        <v>40</v>
      </c>
      <c r="D240" s="680">
        <v>44682</v>
      </c>
      <c r="E240" s="676">
        <v>744</v>
      </c>
      <c r="F240" s="676" t="s">
        <v>3</v>
      </c>
      <c r="G240" s="690" t="s">
        <v>44</v>
      </c>
      <c r="H240" s="115">
        <v>-4</v>
      </c>
      <c r="I240" s="115">
        <v>187</v>
      </c>
      <c r="J240" s="601">
        <f t="shared" si="21"/>
        <v>556512</v>
      </c>
      <c r="K240" s="738">
        <v>55.7</v>
      </c>
      <c r="L240" s="677">
        <f t="shared" si="22"/>
        <v>-165763.20000000001</v>
      </c>
      <c r="M240" s="739">
        <f t="shared" si="23"/>
        <v>390748.8</v>
      </c>
      <c r="N240" s="740">
        <v>55.7</v>
      </c>
      <c r="O240" s="678">
        <f t="shared" si="24"/>
        <v>-165763.20000000001</v>
      </c>
      <c r="P240" s="700">
        <f t="shared" si="25"/>
        <v>390748.8</v>
      </c>
      <c r="Q240" s="740">
        <v>55.7</v>
      </c>
      <c r="R240" s="678">
        <f t="shared" si="26"/>
        <v>-165763.20000000001</v>
      </c>
      <c r="S240" s="700">
        <f t="shared" si="27"/>
        <v>390748.8</v>
      </c>
      <c r="T240" s="691" t="s">
        <v>54</v>
      </c>
    </row>
    <row r="241" spans="1:20" x14ac:dyDescent="0.25">
      <c r="A241" s="690"/>
      <c r="B241" s="695" t="s">
        <v>755</v>
      </c>
      <c r="C241" s="545" t="s">
        <v>40</v>
      </c>
      <c r="D241" s="681">
        <v>44713</v>
      </c>
      <c r="E241" s="545">
        <v>720</v>
      </c>
      <c r="F241" s="545" t="s">
        <v>3</v>
      </c>
      <c r="G241" s="725" t="s">
        <v>44</v>
      </c>
      <c r="H241" s="548">
        <v>-4</v>
      </c>
      <c r="I241" s="548">
        <v>187</v>
      </c>
      <c r="J241" s="602">
        <f t="shared" si="21"/>
        <v>538560</v>
      </c>
      <c r="K241" s="742">
        <v>55.71</v>
      </c>
      <c r="L241" s="603">
        <f t="shared" si="22"/>
        <v>-160444.79999999999</v>
      </c>
      <c r="M241" s="743">
        <f t="shared" si="23"/>
        <v>378115.2</v>
      </c>
      <c r="N241" s="744">
        <v>55.71</v>
      </c>
      <c r="O241" s="604">
        <f t="shared" si="24"/>
        <v>-160444.79999999999</v>
      </c>
      <c r="P241" s="701">
        <f t="shared" si="25"/>
        <v>378115.2</v>
      </c>
      <c r="Q241" s="744">
        <v>55.71</v>
      </c>
      <c r="R241" s="604">
        <f t="shared" si="26"/>
        <v>-160444.79999999999</v>
      </c>
      <c r="S241" s="701">
        <f t="shared" si="27"/>
        <v>378115.2</v>
      </c>
      <c r="T241" s="695" t="s">
        <v>54</v>
      </c>
    </row>
    <row r="242" spans="1:20" x14ac:dyDescent="0.25">
      <c r="A242" s="690"/>
      <c r="B242" s="696" t="s">
        <v>757</v>
      </c>
      <c r="C242" s="546" t="s">
        <v>40</v>
      </c>
      <c r="D242" s="682">
        <v>44652</v>
      </c>
      <c r="E242" s="546">
        <v>720</v>
      </c>
      <c r="F242" s="546" t="s">
        <v>3</v>
      </c>
      <c r="G242" s="726" t="s">
        <v>44</v>
      </c>
      <c r="H242" s="549">
        <v>-1</v>
      </c>
      <c r="I242" s="549">
        <v>187</v>
      </c>
      <c r="J242" s="605">
        <f t="shared" si="21"/>
        <v>134640</v>
      </c>
      <c r="K242" s="746">
        <v>55.7</v>
      </c>
      <c r="L242" s="606">
        <f t="shared" si="22"/>
        <v>-40104</v>
      </c>
      <c r="M242" s="747">
        <f t="shared" si="23"/>
        <v>94536</v>
      </c>
      <c r="N242" s="748">
        <v>55.7</v>
      </c>
      <c r="O242" s="607">
        <f t="shared" si="24"/>
        <v>-40104</v>
      </c>
      <c r="P242" s="702">
        <f t="shared" si="25"/>
        <v>94536</v>
      </c>
      <c r="Q242" s="748">
        <v>55.7</v>
      </c>
      <c r="R242" s="607">
        <f t="shared" si="26"/>
        <v>-40104</v>
      </c>
      <c r="S242" s="702">
        <f t="shared" si="27"/>
        <v>94536</v>
      </c>
      <c r="T242" s="696" t="s">
        <v>54</v>
      </c>
    </row>
    <row r="243" spans="1:20" x14ac:dyDescent="0.25">
      <c r="A243" s="690"/>
      <c r="B243" s="691" t="s">
        <v>757</v>
      </c>
      <c r="C243" s="676" t="s">
        <v>40</v>
      </c>
      <c r="D243" s="680">
        <v>44682</v>
      </c>
      <c r="E243" s="676">
        <v>744</v>
      </c>
      <c r="F243" s="676" t="s">
        <v>3</v>
      </c>
      <c r="G243" s="690" t="s">
        <v>44</v>
      </c>
      <c r="H243" s="115">
        <v>-1</v>
      </c>
      <c r="I243" s="115">
        <v>187</v>
      </c>
      <c r="J243" s="601">
        <f t="shared" si="21"/>
        <v>139128</v>
      </c>
      <c r="K243" s="738">
        <v>55.7</v>
      </c>
      <c r="L243" s="677">
        <f t="shared" si="22"/>
        <v>-41440.800000000003</v>
      </c>
      <c r="M243" s="739">
        <f t="shared" si="23"/>
        <v>97687.2</v>
      </c>
      <c r="N243" s="740">
        <v>55.7</v>
      </c>
      <c r="O243" s="678">
        <f t="shared" si="24"/>
        <v>-41440.800000000003</v>
      </c>
      <c r="P243" s="700">
        <f t="shared" si="25"/>
        <v>97687.2</v>
      </c>
      <c r="Q243" s="740">
        <v>55.7</v>
      </c>
      <c r="R243" s="678">
        <f t="shared" si="26"/>
        <v>-41440.800000000003</v>
      </c>
      <c r="S243" s="700">
        <f t="shared" si="27"/>
        <v>97687.2</v>
      </c>
      <c r="T243" s="691" t="s">
        <v>54</v>
      </c>
    </row>
    <row r="244" spans="1:20" x14ac:dyDescent="0.25">
      <c r="A244" s="690"/>
      <c r="B244" s="695" t="s">
        <v>757</v>
      </c>
      <c r="C244" s="545" t="s">
        <v>40</v>
      </c>
      <c r="D244" s="681">
        <v>44713</v>
      </c>
      <c r="E244" s="545">
        <v>720</v>
      </c>
      <c r="F244" s="545" t="s">
        <v>3</v>
      </c>
      <c r="G244" s="725" t="s">
        <v>44</v>
      </c>
      <c r="H244" s="548">
        <v>-1</v>
      </c>
      <c r="I244" s="548">
        <v>187</v>
      </c>
      <c r="J244" s="602">
        <f t="shared" si="21"/>
        <v>134640</v>
      </c>
      <c r="K244" s="742">
        <v>55.71</v>
      </c>
      <c r="L244" s="603">
        <f t="shared" si="22"/>
        <v>-40111.199999999997</v>
      </c>
      <c r="M244" s="743">
        <f t="shared" si="23"/>
        <v>94528.8</v>
      </c>
      <c r="N244" s="744">
        <v>55.71</v>
      </c>
      <c r="O244" s="604">
        <f t="shared" si="24"/>
        <v>-40111.199999999997</v>
      </c>
      <c r="P244" s="701">
        <f t="shared" si="25"/>
        <v>94528.8</v>
      </c>
      <c r="Q244" s="744">
        <v>55.71</v>
      </c>
      <c r="R244" s="604">
        <f t="shared" si="26"/>
        <v>-40111.199999999997</v>
      </c>
      <c r="S244" s="701">
        <f t="shared" si="27"/>
        <v>94528.8</v>
      </c>
      <c r="T244" s="695" t="s">
        <v>54</v>
      </c>
    </row>
    <row r="245" spans="1:20" x14ac:dyDescent="0.25">
      <c r="A245" s="690"/>
      <c r="B245" s="696" t="s">
        <v>759</v>
      </c>
      <c r="C245" s="546" t="s">
        <v>40</v>
      </c>
      <c r="D245" s="682">
        <v>44743</v>
      </c>
      <c r="E245" s="546">
        <v>744</v>
      </c>
      <c r="F245" s="546" t="s">
        <v>3</v>
      </c>
      <c r="G245" s="726" t="s">
        <v>44</v>
      </c>
      <c r="H245" s="549">
        <v>3</v>
      </c>
      <c r="I245" s="549">
        <v>278</v>
      </c>
      <c r="J245" s="605">
        <f t="shared" si="21"/>
        <v>-620496</v>
      </c>
      <c r="K245" s="746">
        <v>66.319999999999993</v>
      </c>
      <c r="L245" s="606">
        <f t="shared" si="22"/>
        <v>148026.23999999999</v>
      </c>
      <c r="M245" s="747">
        <f t="shared" si="23"/>
        <v>-472469.76000000001</v>
      </c>
      <c r="N245" s="748">
        <v>66.319999999999993</v>
      </c>
      <c r="O245" s="607">
        <f t="shared" si="24"/>
        <v>148026.23999999999</v>
      </c>
      <c r="P245" s="702">
        <f t="shared" si="25"/>
        <v>-472469.76000000001</v>
      </c>
      <c r="Q245" s="748">
        <v>66.319999999999993</v>
      </c>
      <c r="R245" s="607">
        <f t="shared" si="26"/>
        <v>148026.23999999999</v>
      </c>
      <c r="S245" s="702">
        <f t="shared" si="27"/>
        <v>-472469.76000000001</v>
      </c>
      <c r="T245" s="696" t="s">
        <v>54</v>
      </c>
    </row>
    <row r="246" spans="1:20" x14ac:dyDescent="0.25">
      <c r="A246" s="690"/>
      <c r="B246" s="691" t="s">
        <v>759</v>
      </c>
      <c r="C246" s="676" t="s">
        <v>40</v>
      </c>
      <c r="D246" s="680">
        <v>44774</v>
      </c>
      <c r="E246" s="676">
        <v>744</v>
      </c>
      <c r="F246" s="676" t="s">
        <v>3</v>
      </c>
      <c r="G246" s="690" t="s">
        <v>44</v>
      </c>
      <c r="H246" s="115">
        <v>3</v>
      </c>
      <c r="I246" s="115">
        <v>278</v>
      </c>
      <c r="J246" s="601">
        <f t="shared" si="21"/>
        <v>-620496</v>
      </c>
      <c r="K246" s="738">
        <v>76.900000000000006</v>
      </c>
      <c r="L246" s="677">
        <f t="shared" si="22"/>
        <v>171640.80000000002</v>
      </c>
      <c r="M246" s="739">
        <f t="shared" si="23"/>
        <v>-448855.19999999995</v>
      </c>
      <c r="N246" s="740">
        <v>76.900000000000006</v>
      </c>
      <c r="O246" s="678">
        <f t="shared" si="24"/>
        <v>171640.80000000002</v>
      </c>
      <c r="P246" s="700">
        <f t="shared" si="25"/>
        <v>-448855.19999999995</v>
      </c>
      <c r="Q246" s="740">
        <v>76.900000000000006</v>
      </c>
      <c r="R246" s="678">
        <f t="shared" si="26"/>
        <v>171640.80000000002</v>
      </c>
      <c r="S246" s="700">
        <f t="shared" si="27"/>
        <v>-448855.19999999995</v>
      </c>
      <c r="T246" s="691" t="s">
        <v>54</v>
      </c>
    </row>
    <row r="247" spans="1:20" x14ac:dyDescent="0.25">
      <c r="A247" s="690"/>
      <c r="B247" s="691" t="s">
        <v>759</v>
      </c>
      <c r="C247" s="676" t="s">
        <v>40</v>
      </c>
      <c r="D247" s="680">
        <v>44805</v>
      </c>
      <c r="E247" s="676">
        <v>720</v>
      </c>
      <c r="F247" s="676" t="s">
        <v>3</v>
      </c>
      <c r="G247" s="690" t="s">
        <v>44</v>
      </c>
      <c r="H247" s="115">
        <v>3</v>
      </c>
      <c r="I247" s="115">
        <v>278</v>
      </c>
      <c r="J247" s="601">
        <f t="shared" si="21"/>
        <v>-600480</v>
      </c>
      <c r="K247" s="738">
        <v>56.08</v>
      </c>
      <c r="L247" s="677">
        <f t="shared" si="22"/>
        <v>121132.8</v>
      </c>
      <c r="M247" s="739">
        <f t="shared" si="23"/>
        <v>-479347.20000000001</v>
      </c>
      <c r="N247" s="740">
        <v>56.08</v>
      </c>
      <c r="O247" s="678">
        <f t="shared" si="24"/>
        <v>121132.8</v>
      </c>
      <c r="P247" s="700">
        <f t="shared" si="25"/>
        <v>-479347.20000000001</v>
      </c>
      <c r="Q247" s="740">
        <v>56.08</v>
      </c>
      <c r="R247" s="678">
        <f t="shared" si="26"/>
        <v>121132.8</v>
      </c>
      <c r="S247" s="700">
        <f t="shared" si="27"/>
        <v>-479347.20000000001</v>
      </c>
      <c r="T247" s="691" t="s">
        <v>54</v>
      </c>
    </row>
    <row r="248" spans="1:20" x14ac:dyDescent="0.25">
      <c r="A248" s="690"/>
      <c r="B248" s="691" t="s">
        <v>759</v>
      </c>
      <c r="C248" s="676" t="s">
        <v>40</v>
      </c>
      <c r="D248" s="680">
        <v>44835</v>
      </c>
      <c r="E248" s="676">
        <v>744</v>
      </c>
      <c r="F248" s="676" t="s">
        <v>3</v>
      </c>
      <c r="G248" s="690" t="s">
        <v>44</v>
      </c>
      <c r="H248" s="115">
        <v>3</v>
      </c>
      <c r="I248" s="115">
        <v>278</v>
      </c>
      <c r="J248" s="601">
        <f t="shared" si="21"/>
        <v>-620496</v>
      </c>
      <c r="K248" s="738">
        <v>55.7</v>
      </c>
      <c r="L248" s="677">
        <f t="shared" si="22"/>
        <v>124322.40000000001</v>
      </c>
      <c r="M248" s="739">
        <f t="shared" si="23"/>
        <v>-496173.6</v>
      </c>
      <c r="N248" s="740">
        <v>55.7</v>
      </c>
      <c r="O248" s="678">
        <f t="shared" si="24"/>
        <v>124322.40000000001</v>
      </c>
      <c r="P248" s="700">
        <f t="shared" si="25"/>
        <v>-496173.6</v>
      </c>
      <c r="Q248" s="740">
        <v>55.7</v>
      </c>
      <c r="R248" s="678">
        <f t="shared" si="26"/>
        <v>124322.40000000001</v>
      </c>
      <c r="S248" s="700">
        <f t="shared" si="27"/>
        <v>-496173.6</v>
      </c>
      <c r="T248" s="691" t="s">
        <v>54</v>
      </c>
    </row>
    <row r="249" spans="1:20" x14ac:dyDescent="0.25">
      <c r="A249" s="690"/>
      <c r="B249" s="691" t="s">
        <v>759</v>
      </c>
      <c r="C249" s="676" t="s">
        <v>40</v>
      </c>
      <c r="D249" s="680">
        <v>44866</v>
      </c>
      <c r="E249" s="676">
        <v>720</v>
      </c>
      <c r="F249" s="676" t="s">
        <v>3</v>
      </c>
      <c r="G249" s="690" t="s">
        <v>44</v>
      </c>
      <c r="H249" s="115">
        <v>3</v>
      </c>
      <c r="I249" s="115">
        <v>278</v>
      </c>
      <c r="J249" s="601">
        <f t="shared" si="21"/>
        <v>-600480</v>
      </c>
      <c r="K249" s="738">
        <v>55.7</v>
      </c>
      <c r="L249" s="677">
        <f t="shared" si="22"/>
        <v>120312</v>
      </c>
      <c r="M249" s="739">
        <f t="shared" si="23"/>
        <v>-480168</v>
      </c>
      <c r="N249" s="740">
        <v>55.7</v>
      </c>
      <c r="O249" s="678">
        <f t="shared" si="24"/>
        <v>120312</v>
      </c>
      <c r="P249" s="700">
        <f t="shared" si="25"/>
        <v>-480168</v>
      </c>
      <c r="Q249" s="740">
        <v>55.7</v>
      </c>
      <c r="R249" s="678">
        <f t="shared" si="26"/>
        <v>120312</v>
      </c>
      <c r="S249" s="700">
        <f t="shared" si="27"/>
        <v>-480168</v>
      </c>
      <c r="T249" s="691" t="s">
        <v>54</v>
      </c>
    </row>
    <row r="250" spans="1:20" x14ac:dyDescent="0.25">
      <c r="A250" s="690"/>
      <c r="B250" s="695" t="s">
        <v>759</v>
      </c>
      <c r="C250" s="545" t="s">
        <v>40</v>
      </c>
      <c r="D250" s="681">
        <v>44896</v>
      </c>
      <c r="E250" s="545">
        <v>744</v>
      </c>
      <c r="F250" s="545" t="s">
        <v>3</v>
      </c>
      <c r="G250" s="725" t="s">
        <v>44</v>
      </c>
      <c r="H250" s="548">
        <v>3</v>
      </c>
      <c r="I250" s="548">
        <v>278</v>
      </c>
      <c r="J250" s="602">
        <f t="shared" si="21"/>
        <v>-620496</v>
      </c>
      <c r="K250" s="742">
        <v>55.7</v>
      </c>
      <c r="L250" s="603">
        <f t="shared" si="22"/>
        <v>124322.40000000001</v>
      </c>
      <c r="M250" s="743">
        <f t="shared" si="23"/>
        <v>-496173.6</v>
      </c>
      <c r="N250" s="744">
        <v>55.7</v>
      </c>
      <c r="O250" s="604">
        <f t="shared" si="24"/>
        <v>124322.40000000001</v>
      </c>
      <c r="P250" s="701">
        <f t="shared" si="25"/>
        <v>-496173.6</v>
      </c>
      <c r="Q250" s="744">
        <v>78.400653594793155</v>
      </c>
      <c r="R250" s="604">
        <f t="shared" si="26"/>
        <v>174990.25882357833</v>
      </c>
      <c r="S250" s="701">
        <f t="shared" si="27"/>
        <v>-445505.74117642164</v>
      </c>
      <c r="T250" s="695" t="s">
        <v>54</v>
      </c>
    </row>
    <row r="251" spans="1:20" x14ac:dyDescent="0.25">
      <c r="A251" s="690"/>
      <c r="B251" s="696" t="s">
        <v>762</v>
      </c>
      <c r="C251" s="546" t="s">
        <v>40</v>
      </c>
      <c r="D251" s="682">
        <v>44562</v>
      </c>
      <c r="E251" s="546">
        <v>744</v>
      </c>
      <c r="F251" s="546" t="s">
        <v>3</v>
      </c>
      <c r="G251" s="726" t="s">
        <v>44</v>
      </c>
      <c r="H251" s="549">
        <v>-5</v>
      </c>
      <c r="I251" s="549">
        <v>202</v>
      </c>
      <c r="J251" s="605">
        <f t="shared" si="21"/>
        <v>751440</v>
      </c>
      <c r="K251" s="746">
        <v>62.91</v>
      </c>
      <c r="L251" s="606">
        <f t="shared" si="22"/>
        <v>-234025.19999999998</v>
      </c>
      <c r="M251" s="747">
        <f t="shared" si="23"/>
        <v>517414.80000000005</v>
      </c>
      <c r="N251" s="748">
        <v>62.91</v>
      </c>
      <c r="O251" s="607">
        <f t="shared" si="24"/>
        <v>-234025.19999999998</v>
      </c>
      <c r="P251" s="702">
        <f t="shared" si="25"/>
        <v>517414.80000000005</v>
      </c>
      <c r="Q251" s="748">
        <v>62.91</v>
      </c>
      <c r="R251" s="607">
        <f t="shared" si="26"/>
        <v>-234025.19999999998</v>
      </c>
      <c r="S251" s="702">
        <f t="shared" si="27"/>
        <v>517414.80000000005</v>
      </c>
      <c r="T251" s="696" t="s">
        <v>54</v>
      </c>
    </row>
    <row r="252" spans="1:20" x14ac:dyDescent="0.25">
      <c r="A252" s="690"/>
      <c r="B252" s="691" t="s">
        <v>762</v>
      </c>
      <c r="C252" s="676" t="s">
        <v>40</v>
      </c>
      <c r="D252" s="680">
        <v>44593</v>
      </c>
      <c r="E252" s="676">
        <v>672</v>
      </c>
      <c r="F252" s="676" t="s">
        <v>3</v>
      </c>
      <c r="G252" s="690" t="s">
        <v>44</v>
      </c>
      <c r="H252" s="115">
        <v>-5</v>
      </c>
      <c r="I252" s="115">
        <v>202</v>
      </c>
      <c r="J252" s="601">
        <f t="shared" si="21"/>
        <v>678720</v>
      </c>
      <c r="K252" s="738">
        <v>55.7</v>
      </c>
      <c r="L252" s="677">
        <f t="shared" si="22"/>
        <v>-187152</v>
      </c>
      <c r="M252" s="739">
        <f t="shared" si="23"/>
        <v>491568</v>
      </c>
      <c r="N252" s="740">
        <v>55.7</v>
      </c>
      <c r="O252" s="678">
        <f t="shared" si="24"/>
        <v>-187152</v>
      </c>
      <c r="P252" s="700">
        <f t="shared" si="25"/>
        <v>491568</v>
      </c>
      <c r="Q252" s="740">
        <v>55.7</v>
      </c>
      <c r="R252" s="678">
        <f t="shared" si="26"/>
        <v>-187152</v>
      </c>
      <c r="S252" s="700">
        <f t="shared" si="27"/>
        <v>491568</v>
      </c>
      <c r="T252" s="691" t="s">
        <v>54</v>
      </c>
    </row>
    <row r="253" spans="1:20" x14ac:dyDescent="0.25">
      <c r="A253" s="690"/>
      <c r="B253" s="695" t="s">
        <v>762</v>
      </c>
      <c r="C253" s="545" t="s">
        <v>40</v>
      </c>
      <c r="D253" s="681">
        <v>44621</v>
      </c>
      <c r="E253" s="545">
        <v>744</v>
      </c>
      <c r="F253" s="545" t="s">
        <v>3</v>
      </c>
      <c r="G253" s="725" t="s">
        <v>44</v>
      </c>
      <c r="H253" s="548">
        <v>-5</v>
      </c>
      <c r="I253" s="548">
        <v>202</v>
      </c>
      <c r="J253" s="602">
        <f t="shared" si="21"/>
        <v>751440</v>
      </c>
      <c r="K253" s="742">
        <v>55.7</v>
      </c>
      <c r="L253" s="603">
        <f t="shared" si="22"/>
        <v>-207204</v>
      </c>
      <c r="M253" s="743">
        <f t="shared" si="23"/>
        <v>544236</v>
      </c>
      <c r="N253" s="744">
        <v>55.7</v>
      </c>
      <c r="O253" s="604">
        <f t="shared" si="24"/>
        <v>-207204</v>
      </c>
      <c r="P253" s="701">
        <f t="shared" si="25"/>
        <v>544236</v>
      </c>
      <c r="Q253" s="744">
        <v>55.7</v>
      </c>
      <c r="R253" s="604">
        <f t="shared" si="26"/>
        <v>-207204</v>
      </c>
      <c r="S253" s="701">
        <f t="shared" si="27"/>
        <v>544236</v>
      </c>
      <c r="T253" s="695" t="s">
        <v>54</v>
      </c>
    </row>
    <row r="254" spans="1:20" x14ac:dyDescent="0.25">
      <c r="A254" s="690"/>
      <c r="B254" s="696" t="s">
        <v>764</v>
      </c>
      <c r="C254" s="546" t="s">
        <v>40</v>
      </c>
      <c r="D254" s="682">
        <v>44743</v>
      </c>
      <c r="E254" s="546">
        <v>744</v>
      </c>
      <c r="F254" s="546" t="s">
        <v>3</v>
      </c>
      <c r="G254" s="726" t="s">
        <v>44</v>
      </c>
      <c r="H254" s="549">
        <v>-4</v>
      </c>
      <c r="I254" s="549">
        <v>300</v>
      </c>
      <c r="J254" s="605">
        <f t="shared" si="21"/>
        <v>892800</v>
      </c>
      <c r="K254" s="746">
        <v>66.319999999999993</v>
      </c>
      <c r="L254" s="606">
        <f t="shared" si="22"/>
        <v>-197368.31999999998</v>
      </c>
      <c r="M254" s="747">
        <f t="shared" si="23"/>
        <v>695431.68000000005</v>
      </c>
      <c r="N254" s="748">
        <v>66.319999999999993</v>
      </c>
      <c r="O254" s="607">
        <f t="shared" si="24"/>
        <v>-197368.31999999998</v>
      </c>
      <c r="P254" s="702">
        <f t="shared" si="25"/>
        <v>695431.68000000005</v>
      </c>
      <c r="Q254" s="748">
        <v>66.319999999999993</v>
      </c>
      <c r="R254" s="607">
        <f t="shared" si="26"/>
        <v>-197368.31999999998</v>
      </c>
      <c r="S254" s="702">
        <f t="shared" si="27"/>
        <v>695431.68000000005</v>
      </c>
      <c r="T254" s="696" t="s">
        <v>54</v>
      </c>
    </row>
    <row r="255" spans="1:20" x14ac:dyDescent="0.25">
      <c r="A255" s="690"/>
      <c r="B255" s="691" t="s">
        <v>764</v>
      </c>
      <c r="C255" s="676" t="s">
        <v>40</v>
      </c>
      <c r="D255" s="680">
        <v>44774</v>
      </c>
      <c r="E255" s="676">
        <v>744</v>
      </c>
      <c r="F255" s="676" t="s">
        <v>3</v>
      </c>
      <c r="G255" s="690" t="s">
        <v>44</v>
      </c>
      <c r="H255" s="115">
        <v>-4</v>
      </c>
      <c r="I255" s="115">
        <v>300</v>
      </c>
      <c r="J255" s="601">
        <f t="shared" si="21"/>
        <v>892800</v>
      </c>
      <c r="K255" s="738">
        <v>76.900000000000006</v>
      </c>
      <c r="L255" s="677">
        <f t="shared" si="22"/>
        <v>-228854.40000000002</v>
      </c>
      <c r="M255" s="739">
        <f t="shared" si="23"/>
        <v>663945.6</v>
      </c>
      <c r="N255" s="740">
        <v>76.900000000000006</v>
      </c>
      <c r="O255" s="678">
        <f t="shared" si="24"/>
        <v>-228854.40000000002</v>
      </c>
      <c r="P255" s="700">
        <f t="shared" si="25"/>
        <v>663945.6</v>
      </c>
      <c r="Q255" s="740">
        <v>76.900000000000006</v>
      </c>
      <c r="R255" s="678">
        <f t="shared" si="26"/>
        <v>-228854.40000000002</v>
      </c>
      <c r="S255" s="700">
        <f t="shared" si="27"/>
        <v>663945.6</v>
      </c>
      <c r="T255" s="691" t="s">
        <v>54</v>
      </c>
    </row>
    <row r="256" spans="1:20" x14ac:dyDescent="0.25">
      <c r="A256" s="690"/>
      <c r="B256" s="695" t="s">
        <v>764</v>
      </c>
      <c r="C256" s="545" t="s">
        <v>40</v>
      </c>
      <c r="D256" s="681">
        <v>44805</v>
      </c>
      <c r="E256" s="545">
        <v>720</v>
      </c>
      <c r="F256" s="545" t="s">
        <v>3</v>
      </c>
      <c r="G256" s="725" t="s">
        <v>44</v>
      </c>
      <c r="H256" s="548">
        <v>-4</v>
      </c>
      <c r="I256" s="548">
        <v>300</v>
      </c>
      <c r="J256" s="602">
        <f t="shared" si="21"/>
        <v>864000</v>
      </c>
      <c r="K256" s="742">
        <v>56.08</v>
      </c>
      <c r="L256" s="603">
        <f t="shared" si="22"/>
        <v>-161510.39999999999</v>
      </c>
      <c r="M256" s="743">
        <f t="shared" si="23"/>
        <v>702489.59999999998</v>
      </c>
      <c r="N256" s="744">
        <v>56.08</v>
      </c>
      <c r="O256" s="604">
        <f t="shared" si="24"/>
        <v>-161510.39999999999</v>
      </c>
      <c r="P256" s="701">
        <f t="shared" si="25"/>
        <v>702489.59999999998</v>
      </c>
      <c r="Q256" s="744">
        <v>56.08</v>
      </c>
      <c r="R256" s="604">
        <f t="shared" si="26"/>
        <v>-161510.39999999999</v>
      </c>
      <c r="S256" s="701">
        <f t="shared" si="27"/>
        <v>702489.59999999998</v>
      </c>
      <c r="T256" s="695" t="s">
        <v>54</v>
      </c>
    </row>
    <row r="257" spans="1:20" x14ac:dyDescent="0.25">
      <c r="A257" s="690"/>
      <c r="B257" s="696" t="s">
        <v>766</v>
      </c>
      <c r="C257" s="546" t="s">
        <v>40</v>
      </c>
      <c r="D257" s="682">
        <v>44835</v>
      </c>
      <c r="E257" s="546">
        <v>744</v>
      </c>
      <c r="F257" s="546" t="s">
        <v>3</v>
      </c>
      <c r="G257" s="726" t="s">
        <v>44</v>
      </c>
      <c r="H257" s="549">
        <v>4</v>
      </c>
      <c r="I257" s="549">
        <v>270</v>
      </c>
      <c r="J257" s="605">
        <f t="shared" si="21"/>
        <v>-803520</v>
      </c>
      <c r="K257" s="746">
        <v>55.7</v>
      </c>
      <c r="L257" s="606">
        <f t="shared" si="22"/>
        <v>165763.20000000001</v>
      </c>
      <c r="M257" s="747">
        <f t="shared" si="23"/>
        <v>-637756.80000000005</v>
      </c>
      <c r="N257" s="748">
        <v>55.7</v>
      </c>
      <c r="O257" s="607">
        <f t="shared" si="24"/>
        <v>165763.20000000001</v>
      </c>
      <c r="P257" s="702">
        <f t="shared" si="25"/>
        <v>-637756.80000000005</v>
      </c>
      <c r="Q257" s="748">
        <v>55.7</v>
      </c>
      <c r="R257" s="607">
        <f t="shared" si="26"/>
        <v>165763.20000000001</v>
      </c>
      <c r="S257" s="702">
        <f t="shared" si="27"/>
        <v>-637756.80000000005</v>
      </c>
      <c r="T257" s="696" t="s">
        <v>54</v>
      </c>
    </row>
    <row r="258" spans="1:20" x14ac:dyDescent="0.25">
      <c r="A258" s="690"/>
      <c r="B258" s="691" t="s">
        <v>766</v>
      </c>
      <c r="C258" s="676" t="s">
        <v>40</v>
      </c>
      <c r="D258" s="680">
        <v>44866</v>
      </c>
      <c r="E258" s="676">
        <v>720</v>
      </c>
      <c r="F258" s="676" t="s">
        <v>3</v>
      </c>
      <c r="G258" s="690" t="s">
        <v>44</v>
      </c>
      <c r="H258" s="115">
        <v>4</v>
      </c>
      <c r="I258" s="115">
        <v>270</v>
      </c>
      <c r="J258" s="601">
        <f t="shared" si="21"/>
        <v>-777600</v>
      </c>
      <c r="K258" s="738">
        <v>55.7</v>
      </c>
      <c r="L258" s="677">
        <f t="shared" si="22"/>
        <v>160416</v>
      </c>
      <c r="M258" s="739">
        <f t="shared" si="23"/>
        <v>-617184</v>
      </c>
      <c r="N258" s="740">
        <v>55.7</v>
      </c>
      <c r="O258" s="678">
        <f t="shared" si="24"/>
        <v>160416</v>
      </c>
      <c r="P258" s="700">
        <f t="shared" si="25"/>
        <v>-617184</v>
      </c>
      <c r="Q258" s="740">
        <v>55.7</v>
      </c>
      <c r="R258" s="678">
        <f t="shared" si="26"/>
        <v>160416</v>
      </c>
      <c r="S258" s="700">
        <f t="shared" si="27"/>
        <v>-617184</v>
      </c>
      <c r="T258" s="691" t="s">
        <v>54</v>
      </c>
    </row>
    <row r="259" spans="1:20" x14ac:dyDescent="0.25">
      <c r="A259" s="690"/>
      <c r="B259" s="695" t="s">
        <v>766</v>
      </c>
      <c r="C259" s="545" t="s">
        <v>40</v>
      </c>
      <c r="D259" s="681">
        <v>44896</v>
      </c>
      <c r="E259" s="545">
        <v>744</v>
      </c>
      <c r="F259" s="545" t="s">
        <v>3</v>
      </c>
      <c r="G259" s="725" t="s">
        <v>44</v>
      </c>
      <c r="H259" s="548">
        <v>4</v>
      </c>
      <c r="I259" s="548">
        <v>270</v>
      </c>
      <c r="J259" s="602">
        <f t="shared" ref="J259:J322" si="28">(I259*(E259*H259))*-1</f>
        <v>-803520</v>
      </c>
      <c r="K259" s="742">
        <v>55.7</v>
      </c>
      <c r="L259" s="603">
        <f t="shared" ref="L259:L322" si="29">(((E259*H259)*K259))</f>
        <v>165763.20000000001</v>
      </c>
      <c r="M259" s="743">
        <f t="shared" ref="M259:M322" si="30">J259+L259</f>
        <v>-637756.80000000005</v>
      </c>
      <c r="N259" s="744">
        <v>55.7</v>
      </c>
      <c r="O259" s="604">
        <f t="shared" ref="O259:O322" si="31">((E259*H259)*N259)</f>
        <v>165763.20000000001</v>
      </c>
      <c r="P259" s="701">
        <f t="shared" ref="P259:P322" si="32">J259+O259</f>
        <v>-637756.80000000005</v>
      </c>
      <c r="Q259" s="744">
        <v>78.400653594793155</v>
      </c>
      <c r="R259" s="604">
        <f t="shared" ref="R259:R322" si="33">((E259*H259)*Q259)</f>
        <v>233320.34509810444</v>
      </c>
      <c r="S259" s="701">
        <f t="shared" ref="S259:S322" si="34">J259+R259</f>
        <v>-570199.65490189556</v>
      </c>
      <c r="T259" s="695" t="s">
        <v>54</v>
      </c>
    </row>
    <row r="260" spans="1:20" x14ac:dyDescent="0.25">
      <c r="A260" s="690"/>
      <c r="B260" s="696" t="s">
        <v>768</v>
      </c>
      <c r="C260" s="546" t="s">
        <v>40</v>
      </c>
      <c r="D260" s="682">
        <v>44562</v>
      </c>
      <c r="E260" s="546">
        <v>744</v>
      </c>
      <c r="F260" s="546" t="s">
        <v>3</v>
      </c>
      <c r="G260" s="726" t="s">
        <v>44</v>
      </c>
      <c r="H260" s="549">
        <v>-10</v>
      </c>
      <c r="I260" s="549">
        <v>230</v>
      </c>
      <c r="J260" s="605">
        <f t="shared" si="28"/>
        <v>1711200</v>
      </c>
      <c r="K260" s="746">
        <v>62.91</v>
      </c>
      <c r="L260" s="606">
        <f t="shared" si="29"/>
        <v>-468050.39999999997</v>
      </c>
      <c r="M260" s="747">
        <f t="shared" si="30"/>
        <v>1243149.6000000001</v>
      </c>
      <c r="N260" s="748">
        <v>62.91</v>
      </c>
      <c r="O260" s="607">
        <f t="shared" si="31"/>
        <v>-468050.39999999997</v>
      </c>
      <c r="P260" s="702">
        <f t="shared" si="32"/>
        <v>1243149.6000000001</v>
      </c>
      <c r="Q260" s="748">
        <v>62.91</v>
      </c>
      <c r="R260" s="607">
        <f t="shared" si="33"/>
        <v>-468050.39999999997</v>
      </c>
      <c r="S260" s="702">
        <f t="shared" si="34"/>
        <v>1243149.6000000001</v>
      </c>
      <c r="T260" s="696" t="s">
        <v>54</v>
      </c>
    </row>
    <row r="261" spans="1:20" x14ac:dyDescent="0.25">
      <c r="A261" s="690"/>
      <c r="B261" s="691" t="s">
        <v>768</v>
      </c>
      <c r="C261" s="676" t="s">
        <v>40</v>
      </c>
      <c r="D261" s="680">
        <v>44593</v>
      </c>
      <c r="E261" s="676">
        <v>672</v>
      </c>
      <c r="F261" s="676" t="s">
        <v>3</v>
      </c>
      <c r="G261" s="690" t="s">
        <v>44</v>
      </c>
      <c r="H261" s="115">
        <v>-10</v>
      </c>
      <c r="I261" s="115">
        <v>230</v>
      </c>
      <c r="J261" s="601">
        <f t="shared" si="28"/>
        <v>1545600</v>
      </c>
      <c r="K261" s="738">
        <v>55.7</v>
      </c>
      <c r="L261" s="677">
        <f t="shared" si="29"/>
        <v>-374304</v>
      </c>
      <c r="M261" s="739">
        <f t="shared" si="30"/>
        <v>1171296</v>
      </c>
      <c r="N261" s="740">
        <v>55.7</v>
      </c>
      <c r="O261" s="678">
        <f t="shared" si="31"/>
        <v>-374304</v>
      </c>
      <c r="P261" s="700">
        <f t="shared" si="32"/>
        <v>1171296</v>
      </c>
      <c r="Q261" s="740">
        <v>55.7</v>
      </c>
      <c r="R261" s="678">
        <f t="shared" si="33"/>
        <v>-374304</v>
      </c>
      <c r="S261" s="700">
        <f t="shared" si="34"/>
        <v>1171296</v>
      </c>
      <c r="T261" s="691" t="s">
        <v>54</v>
      </c>
    </row>
    <row r="262" spans="1:20" x14ac:dyDescent="0.25">
      <c r="A262" s="690"/>
      <c r="B262" s="695" t="s">
        <v>768</v>
      </c>
      <c r="C262" s="545" t="s">
        <v>40</v>
      </c>
      <c r="D262" s="681">
        <v>44621</v>
      </c>
      <c r="E262" s="545">
        <v>744</v>
      </c>
      <c r="F262" s="545" t="s">
        <v>3</v>
      </c>
      <c r="G262" s="725" t="s">
        <v>44</v>
      </c>
      <c r="H262" s="548">
        <v>-10</v>
      </c>
      <c r="I262" s="548">
        <v>230</v>
      </c>
      <c r="J262" s="602">
        <f t="shared" si="28"/>
        <v>1711200</v>
      </c>
      <c r="K262" s="742">
        <v>55.7</v>
      </c>
      <c r="L262" s="603">
        <f t="shared" si="29"/>
        <v>-414408</v>
      </c>
      <c r="M262" s="743">
        <f t="shared" si="30"/>
        <v>1296792</v>
      </c>
      <c r="N262" s="744">
        <v>55.7</v>
      </c>
      <c r="O262" s="604">
        <f t="shared" si="31"/>
        <v>-414408</v>
      </c>
      <c r="P262" s="701">
        <f t="shared" si="32"/>
        <v>1296792</v>
      </c>
      <c r="Q262" s="744">
        <v>55.7</v>
      </c>
      <c r="R262" s="604">
        <f t="shared" si="33"/>
        <v>-414408</v>
      </c>
      <c r="S262" s="701">
        <f t="shared" si="34"/>
        <v>1296792</v>
      </c>
      <c r="T262" s="695" t="s">
        <v>54</v>
      </c>
    </row>
    <row r="263" spans="1:20" x14ac:dyDescent="0.25">
      <c r="A263" s="690"/>
      <c r="B263" s="696" t="s">
        <v>770</v>
      </c>
      <c r="C263" s="546" t="s">
        <v>40</v>
      </c>
      <c r="D263" s="682">
        <v>44743</v>
      </c>
      <c r="E263" s="546">
        <v>744</v>
      </c>
      <c r="F263" s="546" t="s">
        <v>3</v>
      </c>
      <c r="G263" s="726" t="s">
        <v>44</v>
      </c>
      <c r="H263" s="549">
        <v>5</v>
      </c>
      <c r="I263" s="549">
        <v>290</v>
      </c>
      <c r="J263" s="605">
        <f t="shared" si="28"/>
        <v>-1078800</v>
      </c>
      <c r="K263" s="746">
        <v>66.319999999999993</v>
      </c>
      <c r="L263" s="606">
        <f t="shared" si="29"/>
        <v>246710.39999999997</v>
      </c>
      <c r="M263" s="747">
        <f t="shared" si="30"/>
        <v>-832089.60000000009</v>
      </c>
      <c r="N263" s="748">
        <v>66.319999999999993</v>
      </c>
      <c r="O263" s="607">
        <f t="shared" si="31"/>
        <v>246710.39999999997</v>
      </c>
      <c r="P263" s="702">
        <f t="shared" si="32"/>
        <v>-832089.60000000009</v>
      </c>
      <c r="Q263" s="748">
        <v>66.319999999999993</v>
      </c>
      <c r="R263" s="607">
        <f t="shared" si="33"/>
        <v>246710.39999999997</v>
      </c>
      <c r="S263" s="702">
        <f t="shared" si="34"/>
        <v>-832089.60000000009</v>
      </c>
      <c r="T263" s="696" t="s">
        <v>54</v>
      </c>
    </row>
    <row r="264" spans="1:20" x14ac:dyDescent="0.25">
      <c r="A264" s="690"/>
      <c r="B264" s="691" t="s">
        <v>770</v>
      </c>
      <c r="C264" s="676" t="s">
        <v>40</v>
      </c>
      <c r="D264" s="680">
        <v>44774</v>
      </c>
      <c r="E264" s="676">
        <v>744</v>
      </c>
      <c r="F264" s="676" t="s">
        <v>3</v>
      </c>
      <c r="G264" s="690" t="s">
        <v>44</v>
      </c>
      <c r="H264" s="115">
        <v>5</v>
      </c>
      <c r="I264" s="115">
        <v>290</v>
      </c>
      <c r="J264" s="601">
        <f t="shared" si="28"/>
        <v>-1078800</v>
      </c>
      <c r="K264" s="738">
        <v>76.900000000000006</v>
      </c>
      <c r="L264" s="677">
        <f t="shared" si="29"/>
        <v>286068</v>
      </c>
      <c r="M264" s="739">
        <f t="shared" si="30"/>
        <v>-792732</v>
      </c>
      <c r="N264" s="740">
        <v>76.900000000000006</v>
      </c>
      <c r="O264" s="678">
        <f t="shared" si="31"/>
        <v>286068</v>
      </c>
      <c r="P264" s="700">
        <f t="shared" si="32"/>
        <v>-792732</v>
      </c>
      <c r="Q264" s="740">
        <v>76.900000000000006</v>
      </c>
      <c r="R264" s="678">
        <f t="shared" si="33"/>
        <v>286068</v>
      </c>
      <c r="S264" s="700">
        <f t="shared" si="34"/>
        <v>-792732</v>
      </c>
      <c r="T264" s="691" t="s">
        <v>54</v>
      </c>
    </row>
    <row r="265" spans="1:20" x14ac:dyDescent="0.25">
      <c r="A265" s="690"/>
      <c r="B265" s="691" t="s">
        <v>770</v>
      </c>
      <c r="C265" s="676" t="s">
        <v>40</v>
      </c>
      <c r="D265" s="680">
        <v>44805</v>
      </c>
      <c r="E265" s="676">
        <v>720</v>
      </c>
      <c r="F265" s="676" t="s">
        <v>3</v>
      </c>
      <c r="G265" s="690" t="s">
        <v>44</v>
      </c>
      <c r="H265" s="115">
        <v>5</v>
      </c>
      <c r="I265" s="115">
        <v>290</v>
      </c>
      <c r="J265" s="601">
        <f t="shared" si="28"/>
        <v>-1044000</v>
      </c>
      <c r="K265" s="738">
        <v>56.08</v>
      </c>
      <c r="L265" s="677">
        <f t="shared" si="29"/>
        <v>201888</v>
      </c>
      <c r="M265" s="739">
        <f t="shared" si="30"/>
        <v>-842112</v>
      </c>
      <c r="N265" s="740">
        <v>56.08</v>
      </c>
      <c r="O265" s="678">
        <f t="shared" si="31"/>
        <v>201888</v>
      </c>
      <c r="P265" s="700">
        <f t="shared" si="32"/>
        <v>-842112</v>
      </c>
      <c r="Q265" s="740">
        <v>56.08</v>
      </c>
      <c r="R265" s="678">
        <f t="shared" si="33"/>
        <v>201888</v>
      </c>
      <c r="S265" s="700">
        <f t="shared" si="34"/>
        <v>-842112</v>
      </c>
      <c r="T265" s="691" t="s">
        <v>54</v>
      </c>
    </row>
    <row r="266" spans="1:20" x14ac:dyDescent="0.25">
      <c r="A266" s="690"/>
      <c r="B266" s="691" t="s">
        <v>770</v>
      </c>
      <c r="C266" s="676" t="s">
        <v>40</v>
      </c>
      <c r="D266" s="680">
        <v>44835</v>
      </c>
      <c r="E266" s="676">
        <v>744</v>
      </c>
      <c r="F266" s="676" t="s">
        <v>3</v>
      </c>
      <c r="G266" s="690" t="s">
        <v>44</v>
      </c>
      <c r="H266" s="115">
        <v>5</v>
      </c>
      <c r="I266" s="115">
        <v>290</v>
      </c>
      <c r="J266" s="601">
        <f t="shared" si="28"/>
        <v>-1078800</v>
      </c>
      <c r="K266" s="738">
        <v>55.7</v>
      </c>
      <c r="L266" s="677">
        <f t="shared" si="29"/>
        <v>207204</v>
      </c>
      <c r="M266" s="739">
        <f t="shared" si="30"/>
        <v>-871596</v>
      </c>
      <c r="N266" s="740">
        <v>55.7</v>
      </c>
      <c r="O266" s="678">
        <f t="shared" si="31"/>
        <v>207204</v>
      </c>
      <c r="P266" s="700">
        <f t="shared" si="32"/>
        <v>-871596</v>
      </c>
      <c r="Q266" s="740">
        <v>55.7</v>
      </c>
      <c r="R266" s="678">
        <f t="shared" si="33"/>
        <v>207204</v>
      </c>
      <c r="S266" s="700">
        <f t="shared" si="34"/>
        <v>-871596</v>
      </c>
      <c r="T266" s="691" t="s">
        <v>54</v>
      </c>
    </row>
    <row r="267" spans="1:20" x14ac:dyDescent="0.25">
      <c r="A267" s="690"/>
      <c r="B267" s="691" t="s">
        <v>770</v>
      </c>
      <c r="C267" s="676" t="s">
        <v>40</v>
      </c>
      <c r="D267" s="680">
        <v>44866</v>
      </c>
      <c r="E267" s="676">
        <v>720</v>
      </c>
      <c r="F267" s="676" t="s">
        <v>3</v>
      </c>
      <c r="G267" s="690" t="s">
        <v>44</v>
      </c>
      <c r="H267" s="115">
        <v>5</v>
      </c>
      <c r="I267" s="115">
        <v>290</v>
      </c>
      <c r="J267" s="601">
        <f t="shared" si="28"/>
        <v>-1044000</v>
      </c>
      <c r="K267" s="738">
        <v>55.7</v>
      </c>
      <c r="L267" s="677">
        <f t="shared" si="29"/>
        <v>200520</v>
      </c>
      <c r="M267" s="739">
        <f t="shared" si="30"/>
        <v>-843480</v>
      </c>
      <c r="N267" s="740">
        <v>55.7</v>
      </c>
      <c r="O267" s="678">
        <f t="shared" si="31"/>
        <v>200520</v>
      </c>
      <c r="P267" s="700">
        <f t="shared" si="32"/>
        <v>-843480</v>
      </c>
      <c r="Q267" s="740">
        <v>55.7</v>
      </c>
      <c r="R267" s="678">
        <f t="shared" si="33"/>
        <v>200520</v>
      </c>
      <c r="S267" s="700">
        <f t="shared" si="34"/>
        <v>-843480</v>
      </c>
      <c r="T267" s="691" t="s">
        <v>54</v>
      </c>
    </row>
    <row r="268" spans="1:20" x14ac:dyDescent="0.25">
      <c r="A268" s="690"/>
      <c r="B268" s="695" t="s">
        <v>770</v>
      </c>
      <c r="C268" s="545" t="s">
        <v>40</v>
      </c>
      <c r="D268" s="681">
        <v>44896</v>
      </c>
      <c r="E268" s="545">
        <v>744</v>
      </c>
      <c r="F268" s="545" t="s">
        <v>3</v>
      </c>
      <c r="G268" s="725" t="s">
        <v>44</v>
      </c>
      <c r="H268" s="548">
        <v>5</v>
      </c>
      <c r="I268" s="548">
        <v>290</v>
      </c>
      <c r="J268" s="602">
        <f t="shared" si="28"/>
        <v>-1078800</v>
      </c>
      <c r="K268" s="742">
        <v>55.7</v>
      </c>
      <c r="L268" s="603">
        <f t="shared" si="29"/>
        <v>207204</v>
      </c>
      <c r="M268" s="743">
        <f t="shared" si="30"/>
        <v>-871596</v>
      </c>
      <c r="N268" s="744">
        <v>55.7</v>
      </c>
      <c r="O268" s="604">
        <f t="shared" si="31"/>
        <v>207204</v>
      </c>
      <c r="P268" s="701">
        <f t="shared" si="32"/>
        <v>-871596</v>
      </c>
      <c r="Q268" s="744">
        <v>78.400653594793155</v>
      </c>
      <c r="R268" s="604">
        <f t="shared" si="33"/>
        <v>291650.43137263053</v>
      </c>
      <c r="S268" s="701">
        <f t="shared" si="34"/>
        <v>-787149.56862736947</v>
      </c>
      <c r="T268" s="695" t="s">
        <v>54</v>
      </c>
    </row>
    <row r="269" spans="1:20" x14ac:dyDescent="0.25">
      <c r="A269" s="690"/>
      <c r="B269" s="696" t="s">
        <v>772</v>
      </c>
      <c r="C269" s="546" t="s">
        <v>40</v>
      </c>
      <c r="D269" s="682">
        <v>44562</v>
      </c>
      <c r="E269" s="546">
        <v>744</v>
      </c>
      <c r="F269" s="546" t="s">
        <v>3</v>
      </c>
      <c r="G269" s="726" t="s">
        <v>44</v>
      </c>
      <c r="H269" s="549">
        <v>2</v>
      </c>
      <c r="I269" s="549">
        <v>232</v>
      </c>
      <c r="J269" s="605">
        <f t="shared" si="28"/>
        <v>-345216</v>
      </c>
      <c r="K269" s="746">
        <v>62.91</v>
      </c>
      <c r="L269" s="606">
        <f t="shared" si="29"/>
        <v>93610.08</v>
      </c>
      <c r="M269" s="747">
        <f t="shared" si="30"/>
        <v>-251605.91999999998</v>
      </c>
      <c r="N269" s="748">
        <v>62.91</v>
      </c>
      <c r="O269" s="607">
        <f t="shared" si="31"/>
        <v>93610.08</v>
      </c>
      <c r="P269" s="702">
        <f t="shared" si="32"/>
        <v>-251605.91999999998</v>
      </c>
      <c r="Q269" s="748">
        <v>62.91</v>
      </c>
      <c r="R269" s="607">
        <f t="shared" si="33"/>
        <v>93610.08</v>
      </c>
      <c r="S269" s="702">
        <f t="shared" si="34"/>
        <v>-251605.91999999998</v>
      </c>
      <c r="T269" s="696" t="s">
        <v>54</v>
      </c>
    </row>
    <row r="270" spans="1:20" x14ac:dyDescent="0.25">
      <c r="A270" s="690"/>
      <c r="B270" s="691" t="s">
        <v>772</v>
      </c>
      <c r="C270" s="676" t="s">
        <v>40</v>
      </c>
      <c r="D270" s="680">
        <v>44593</v>
      </c>
      <c r="E270" s="676">
        <v>672</v>
      </c>
      <c r="F270" s="676" t="s">
        <v>3</v>
      </c>
      <c r="G270" s="690" t="s">
        <v>44</v>
      </c>
      <c r="H270" s="115">
        <v>2</v>
      </c>
      <c r="I270" s="115">
        <v>232</v>
      </c>
      <c r="J270" s="601">
        <f t="shared" si="28"/>
        <v>-311808</v>
      </c>
      <c r="K270" s="738">
        <v>55.7</v>
      </c>
      <c r="L270" s="677">
        <f t="shared" si="29"/>
        <v>74860.800000000003</v>
      </c>
      <c r="M270" s="739">
        <f t="shared" si="30"/>
        <v>-236947.20000000001</v>
      </c>
      <c r="N270" s="740">
        <v>55.7</v>
      </c>
      <c r="O270" s="678">
        <f t="shared" si="31"/>
        <v>74860.800000000003</v>
      </c>
      <c r="P270" s="700">
        <f t="shared" si="32"/>
        <v>-236947.20000000001</v>
      </c>
      <c r="Q270" s="740">
        <v>55.7</v>
      </c>
      <c r="R270" s="678">
        <f t="shared" si="33"/>
        <v>74860.800000000003</v>
      </c>
      <c r="S270" s="700">
        <f t="shared" si="34"/>
        <v>-236947.20000000001</v>
      </c>
      <c r="T270" s="691" t="s">
        <v>54</v>
      </c>
    </row>
    <row r="271" spans="1:20" x14ac:dyDescent="0.25">
      <c r="A271" s="690"/>
      <c r="B271" s="691" t="s">
        <v>772</v>
      </c>
      <c r="C271" s="676" t="s">
        <v>40</v>
      </c>
      <c r="D271" s="680">
        <v>44621</v>
      </c>
      <c r="E271" s="676">
        <v>744</v>
      </c>
      <c r="F271" s="676" t="s">
        <v>3</v>
      </c>
      <c r="G271" s="690" t="s">
        <v>44</v>
      </c>
      <c r="H271" s="115">
        <v>2</v>
      </c>
      <c r="I271" s="115">
        <v>232</v>
      </c>
      <c r="J271" s="601">
        <f t="shared" si="28"/>
        <v>-345216</v>
      </c>
      <c r="K271" s="738">
        <v>55.7</v>
      </c>
      <c r="L271" s="677">
        <f t="shared" si="29"/>
        <v>82881.600000000006</v>
      </c>
      <c r="M271" s="739">
        <f t="shared" si="30"/>
        <v>-262334.40000000002</v>
      </c>
      <c r="N271" s="740">
        <v>55.7</v>
      </c>
      <c r="O271" s="678">
        <f t="shared" si="31"/>
        <v>82881.600000000006</v>
      </c>
      <c r="P271" s="700">
        <f t="shared" si="32"/>
        <v>-262334.40000000002</v>
      </c>
      <c r="Q271" s="740">
        <v>55.7</v>
      </c>
      <c r="R271" s="678">
        <f t="shared" si="33"/>
        <v>82881.600000000006</v>
      </c>
      <c r="S271" s="700">
        <f t="shared" si="34"/>
        <v>-262334.40000000002</v>
      </c>
      <c r="T271" s="691" t="s">
        <v>54</v>
      </c>
    </row>
    <row r="272" spans="1:20" x14ac:dyDescent="0.25">
      <c r="A272" s="690"/>
      <c r="B272" s="691" t="s">
        <v>772</v>
      </c>
      <c r="C272" s="676" t="s">
        <v>40</v>
      </c>
      <c r="D272" s="680">
        <v>44652</v>
      </c>
      <c r="E272" s="676">
        <v>720</v>
      </c>
      <c r="F272" s="676" t="s">
        <v>3</v>
      </c>
      <c r="G272" s="690" t="s">
        <v>44</v>
      </c>
      <c r="H272" s="115">
        <v>2</v>
      </c>
      <c r="I272" s="115">
        <v>232</v>
      </c>
      <c r="J272" s="601">
        <f t="shared" si="28"/>
        <v>-334080</v>
      </c>
      <c r="K272" s="738">
        <v>55.7</v>
      </c>
      <c r="L272" s="677">
        <f t="shared" si="29"/>
        <v>80208</v>
      </c>
      <c r="M272" s="739">
        <f t="shared" si="30"/>
        <v>-253872</v>
      </c>
      <c r="N272" s="740">
        <v>55.7</v>
      </c>
      <c r="O272" s="678">
        <f t="shared" si="31"/>
        <v>80208</v>
      </c>
      <c r="P272" s="700">
        <f t="shared" si="32"/>
        <v>-253872</v>
      </c>
      <c r="Q272" s="740">
        <v>55.7</v>
      </c>
      <c r="R272" s="678">
        <f t="shared" si="33"/>
        <v>80208</v>
      </c>
      <c r="S272" s="700">
        <f t="shared" si="34"/>
        <v>-253872</v>
      </c>
      <c r="T272" s="691" t="s">
        <v>54</v>
      </c>
    </row>
    <row r="273" spans="1:20" x14ac:dyDescent="0.25">
      <c r="A273" s="690"/>
      <c r="B273" s="691" t="s">
        <v>772</v>
      </c>
      <c r="C273" s="676" t="s">
        <v>40</v>
      </c>
      <c r="D273" s="680">
        <v>44682</v>
      </c>
      <c r="E273" s="676">
        <v>744</v>
      </c>
      <c r="F273" s="676" t="s">
        <v>3</v>
      </c>
      <c r="G273" s="690" t="s">
        <v>44</v>
      </c>
      <c r="H273" s="115">
        <v>2</v>
      </c>
      <c r="I273" s="115">
        <v>232</v>
      </c>
      <c r="J273" s="601">
        <f t="shared" si="28"/>
        <v>-345216</v>
      </c>
      <c r="K273" s="738">
        <v>55.7</v>
      </c>
      <c r="L273" s="677">
        <f t="shared" si="29"/>
        <v>82881.600000000006</v>
      </c>
      <c r="M273" s="739">
        <f t="shared" si="30"/>
        <v>-262334.40000000002</v>
      </c>
      <c r="N273" s="740">
        <v>55.7</v>
      </c>
      <c r="O273" s="678">
        <f t="shared" si="31"/>
        <v>82881.600000000006</v>
      </c>
      <c r="P273" s="700">
        <f t="shared" si="32"/>
        <v>-262334.40000000002</v>
      </c>
      <c r="Q273" s="740">
        <v>55.7</v>
      </c>
      <c r="R273" s="678">
        <f t="shared" si="33"/>
        <v>82881.600000000006</v>
      </c>
      <c r="S273" s="700">
        <f t="shared" si="34"/>
        <v>-262334.40000000002</v>
      </c>
      <c r="T273" s="691" t="s">
        <v>54</v>
      </c>
    </row>
    <row r="274" spans="1:20" x14ac:dyDescent="0.25">
      <c r="A274" s="690"/>
      <c r="B274" s="691" t="s">
        <v>772</v>
      </c>
      <c r="C274" s="676" t="s">
        <v>40</v>
      </c>
      <c r="D274" s="680">
        <v>44713</v>
      </c>
      <c r="E274" s="676">
        <v>720</v>
      </c>
      <c r="F274" s="676" t="s">
        <v>3</v>
      </c>
      <c r="G274" s="690" t="s">
        <v>44</v>
      </c>
      <c r="H274" s="115">
        <v>2</v>
      </c>
      <c r="I274" s="115">
        <v>232</v>
      </c>
      <c r="J274" s="601">
        <f t="shared" si="28"/>
        <v>-334080</v>
      </c>
      <c r="K274" s="738">
        <v>55.71</v>
      </c>
      <c r="L274" s="677">
        <f t="shared" si="29"/>
        <v>80222.399999999994</v>
      </c>
      <c r="M274" s="739">
        <f t="shared" si="30"/>
        <v>-253857.6</v>
      </c>
      <c r="N274" s="740">
        <v>55.71</v>
      </c>
      <c r="O274" s="678">
        <f t="shared" si="31"/>
        <v>80222.399999999994</v>
      </c>
      <c r="P274" s="700">
        <f t="shared" si="32"/>
        <v>-253857.6</v>
      </c>
      <c r="Q274" s="740">
        <v>55.71</v>
      </c>
      <c r="R274" s="678">
        <f t="shared" si="33"/>
        <v>80222.399999999994</v>
      </c>
      <c r="S274" s="700">
        <f t="shared" si="34"/>
        <v>-253857.6</v>
      </c>
      <c r="T274" s="691" t="s">
        <v>54</v>
      </c>
    </row>
    <row r="275" spans="1:20" x14ac:dyDescent="0.25">
      <c r="A275" s="690"/>
      <c r="B275" s="691" t="s">
        <v>772</v>
      </c>
      <c r="C275" s="676" t="s">
        <v>40</v>
      </c>
      <c r="D275" s="680">
        <v>44743</v>
      </c>
      <c r="E275" s="676">
        <v>744</v>
      </c>
      <c r="F275" s="676" t="s">
        <v>3</v>
      </c>
      <c r="G275" s="690" t="s">
        <v>44</v>
      </c>
      <c r="H275" s="115">
        <v>2</v>
      </c>
      <c r="I275" s="115">
        <v>232</v>
      </c>
      <c r="J275" s="601">
        <f t="shared" si="28"/>
        <v>-345216</v>
      </c>
      <c r="K275" s="738">
        <v>66.319999999999993</v>
      </c>
      <c r="L275" s="677">
        <f t="shared" si="29"/>
        <v>98684.159999999989</v>
      </c>
      <c r="M275" s="739">
        <f t="shared" si="30"/>
        <v>-246531.84000000003</v>
      </c>
      <c r="N275" s="740">
        <v>66.319999999999993</v>
      </c>
      <c r="O275" s="678">
        <f t="shared" si="31"/>
        <v>98684.159999999989</v>
      </c>
      <c r="P275" s="700">
        <f t="shared" si="32"/>
        <v>-246531.84000000003</v>
      </c>
      <c r="Q275" s="740">
        <v>66.319999999999993</v>
      </c>
      <c r="R275" s="678">
        <f t="shared" si="33"/>
        <v>98684.159999999989</v>
      </c>
      <c r="S275" s="700">
        <f t="shared" si="34"/>
        <v>-246531.84000000003</v>
      </c>
      <c r="T275" s="691" t="s">
        <v>54</v>
      </c>
    </row>
    <row r="276" spans="1:20" x14ac:dyDescent="0.25">
      <c r="A276" s="690"/>
      <c r="B276" s="691" t="s">
        <v>772</v>
      </c>
      <c r="C276" s="676" t="s">
        <v>40</v>
      </c>
      <c r="D276" s="680">
        <v>44774</v>
      </c>
      <c r="E276" s="676">
        <v>744</v>
      </c>
      <c r="F276" s="676" t="s">
        <v>3</v>
      </c>
      <c r="G276" s="690" t="s">
        <v>44</v>
      </c>
      <c r="H276" s="115">
        <v>2</v>
      </c>
      <c r="I276" s="115">
        <v>232</v>
      </c>
      <c r="J276" s="601">
        <f t="shared" si="28"/>
        <v>-345216</v>
      </c>
      <c r="K276" s="738">
        <v>76.900000000000006</v>
      </c>
      <c r="L276" s="677">
        <f t="shared" si="29"/>
        <v>114427.20000000001</v>
      </c>
      <c r="M276" s="739">
        <f t="shared" si="30"/>
        <v>-230788.8</v>
      </c>
      <c r="N276" s="740">
        <v>76.900000000000006</v>
      </c>
      <c r="O276" s="678">
        <f t="shared" si="31"/>
        <v>114427.20000000001</v>
      </c>
      <c r="P276" s="700">
        <f t="shared" si="32"/>
        <v>-230788.8</v>
      </c>
      <c r="Q276" s="740">
        <v>76.900000000000006</v>
      </c>
      <c r="R276" s="678">
        <f t="shared" si="33"/>
        <v>114427.20000000001</v>
      </c>
      <c r="S276" s="700">
        <f t="shared" si="34"/>
        <v>-230788.8</v>
      </c>
      <c r="T276" s="691" t="s">
        <v>54</v>
      </c>
    </row>
    <row r="277" spans="1:20" x14ac:dyDescent="0.25">
      <c r="A277" s="690"/>
      <c r="B277" s="691" t="s">
        <v>772</v>
      </c>
      <c r="C277" s="676" t="s">
        <v>40</v>
      </c>
      <c r="D277" s="680">
        <v>44805</v>
      </c>
      <c r="E277" s="676">
        <v>720</v>
      </c>
      <c r="F277" s="676" t="s">
        <v>3</v>
      </c>
      <c r="G277" s="690" t="s">
        <v>44</v>
      </c>
      <c r="H277" s="115">
        <v>2</v>
      </c>
      <c r="I277" s="115">
        <v>232</v>
      </c>
      <c r="J277" s="601">
        <f t="shared" si="28"/>
        <v>-334080</v>
      </c>
      <c r="K277" s="738">
        <v>56.08</v>
      </c>
      <c r="L277" s="677">
        <f t="shared" si="29"/>
        <v>80755.199999999997</v>
      </c>
      <c r="M277" s="739">
        <f t="shared" si="30"/>
        <v>-253324.79999999999</v>
      </c>
      <c r="N277" s="740">
        <v>56.08</v>
      </c>
      <c r="O277" s="678">
        <f t="shared" si="31"/>
        <v>80755.199999999997</v>
      </c>
      <c r="P277" s="700">
        <f t="shared" si="32"/>
        <v>-253324.79999999999</v>
      </c>
      <c r="Q277" s="740">
        <v>56.08</v>
      </c>
      <c r="R277" s="678">
        <f t="shared" si="33"/>
        <v>80755.199999999997</v>
      </c>
      <c r="S277" s="700">
        <f t="shared" si="34"/>
        <v>-253324.79999999999</v>
      </c>
      <c r="T277" s="691" t="s">
        <v>54</v>
      </c>
    </row>
    <row r="278" spans="1:20" x14ac:dyDescent="0.25">
      <c r="A278" s="690"/>
      <c r="B278" s="691" t="s">
        <v>772</v>
      </c>
      <c r="C278" s="676" t="s">
        <v>40</v>
      </c>
      <c r="D278" s="680">
        <v>44835</v>
      </c>
      <c r="E278" s="676">
        <v>744</v>
      </c>
      <c r="F278" s="676" t="s">
        <v>3</v>
      </c>
      <c r="G278" s="690" t="s">
        <v>44</v>
      </c>
      <c r="H278" s="115">
        <v>2</v>
      </c>
      <c r="I278" s="115">
        <v>232</v>
      </c>
      <c r="J278" s="601">
        <f t="shared" si="28"/>
        <v>-345216</v>
      </c>
      <c r="K278" s="738">
        <v>55.7</v>
      </c>
      <c r="L278" s="677">
        <f t="shared" si="29"/>
        <v>82881.600000000006</v>
      </c>
      <c r="M278" s="739">
        <f t="shared" si="30"/>
        <v>-262334.40000000002</v>
      </c>
      <c r="N278" s="740">
        <v>55.7</v>
      </c>
      <c r="O278" s="678">
        <f t="shared" si="31"/>
        <v>82881.600000000006</v>
      </c>
      <c r="P278" s="700">
        <f t="shared" si="32"/>
        <v>-262334.40000000002</v>
      </c>
      <c r="Q278" s="740">
        <v>55.7</v>
      </c>
      <c r="R278" s="678">
        <f t="shared" si="33"/>
        <v>82881.600000000006</v>
      </c>
      <c r="S278" s="700">
        <f t="shared" si="34"/>
        <v>-262334.40000000002</v>
      </c>
      <c r="T278" s="691" t="s">
        <v>54</v>
      </c>
    </row>
    <row r="279" spans="1:20" x14ac:dyDescent="0.25">
      <c r="A279" s="690"/>
      <c r="B279" s="691" t="s">
        <v>772</v>
      </c>
      <c r="C279" s="676" t="s">
        <v>40</v>
      </c>
      <c r="D279" s="680">
        <v>44866</v>
      </c>
      <c r="E279" s="676">
        <v>720</v>
      </c>
      <c r="F279" s="676" t="s">
        <v>3</v>
      </c>
      <c r="G279" s="690" t="s">
        <v>44</v>
      </c>
      <c r="H279" s="115">
        <v>2</v>
      </c>
      <c r="I279" s="115">
        <v>232</v>
      </c>
      <c r="J279" s="601">
        <f t="shared" si="28"/>
        <v>-334080</v>
      </c>
      <c r="K279" s="738">
        <v>55.7</v>
      </c>
      <c r="L279" s="677">
        <f t="shared" si="29"/>
        <v>80208</v>
      </c>
      <c r="M279" s="739">
        <f t="shared" si="30"/>
        <v>-253872</v>
      </c>
      <c r="N279" s="740">
        <v>55.7</v>
      </c>
      <c r="O279" s="678">
        <f t="shared" si="31"/>
        <v>80208</v>
      </c>
      <c r="P279" s="700">
        <f t="shared" si="32"/>
        <v>-253872</v>
      </c>
      <c r="Q279" s="740">
        <v>55.7</v>
      </c>
      <c r="R279" s="678">
        <f t="shared" si="33"/>
        <v>80208</v>
      </c>
      <c r="S279" s="700">
        <f t="shared" si="34"/>
        <v>-253872</v>
      </c>
      <c r="T279" s="691" t="s">
        <v>54</v>
      </c>
    </row>
    <row r="280" spans="1:20" x14ac:dyDescent="0.25">
      <c r="A280" s="690"/>
      <c r="B280" s="695" t="s">
        <v>772</v>
      </c>
      <c r="C280" s="545" t="s">
        <v>40</v>
      </c>
      <c r="D280" s="681">
        <v>44896</v>
      </c>
      <c r="E280" s="545">
        <v>744</v>
      </c>
      <c r="F280" s="545" t="s">
        <v>3</v>
      </c>
      <c r="G280" s="725" t="s">
        <v>44</v>
      </c>
      <c r="H280" s="548">
        <v>2</v>
      </c>
      <c r="I280" s="548">
        <v>232</v>
      </c>
      <c r="J280" s="602">
        <f t="shared" si="28"/>
        <v>-345216</v>
      </c>
      <c r="K280" s="742">
        <v>55.7</v>
      </c>
      <c r="L280" s="603">
        <f t="shared" si="29"/>
        <v>82881.600000000006</v>
      </c>
      <c r="M280" s="743">
        <f t="shared" si="30"/>
        <v>-262334.40000000002</v>
      </c>
      <c r="N280" s="744">
        <v>55.7</v>
      </c>
      <c r="O280" s="604">
        <f t="shared" si="31"/>
        <v>82881.600000000006</v>
      </c>
      <c r="P280" s="701">
        <f t="shared" si="32"/>
        <v>-262334.40000000002</v>
      </c>
      <c r="Q280" s="744">
        <v>78.400653594793155</v>
      </c>
      <c r="R280" s="604">
        <f t="shared" si="33"/>
        <v>116660.17254905222</v>
      </c>
      <c r="S280" s="701">
        <f t="shared" si="34"/>
        <v>-228555.82745094778</v>
      </c>
      <c r="T280" s="695" t="s">
        <v>54</v>
      </c>
    </row>
    <row r="281" spans="1:20" x14ac:dyDescent="0.25">
      <c r="A281" s="690"/>
      <c r="B281" s="696" t="s">
        <v>774</v>
      </c>
      <c r="C281" s="546" t="s">
        <v>40</v>
      </c>
      <c r="D281" s="682">
        <v>44743</v>
      </c>
      <c r="E281" s="546">
        <v>744</v>
      </c>
      <c r="F281" s="546" t="s">
        <v>3</v>
      </c>
      <c r="G281" s="726" t="s">
        <v>44</v>
      </c>
      <c r="H281" s="549">
        <v>2</v>
      </c>
      <c r="I281" s="549">
        <v>282</v>
      </c>
      <c r="J281" s="605">
        <f t="shared" si="28"/>
        <v>-419616</v>
      </c>
      <c r="K281" s="746">
        <v>66.319999999999993</v>
      </c>
      <c r="L281" s="606">
        <f t="shared" si="29"/>
        <v>98684.159999999989</v>
      </c>
      <c r="M281" s="747">
        <f t="shared" si="30"/>
        <v>-320931.84000000003</v>
      </c>
      <c r="N281" s="748">
        <v>66.319999999999993</v>
      </c>
      <c r="O281" s="607">
        <f t="shared" si="31"/>
        <v>98684.159999999989</v>
      </c>
      <c r="P281" s="702">
        <f t="shared" si="32"/>
        <v>-320931.84000000003</v>
      </c>
      <c r="Q281" s="748">
        <v>66.319999999999993</v>
      </c>
      <c r="R281" s="607">
        <f t="shared" si="33"/>
        <v>98684.159999999989</v>
      </c>
      <c r="S281" s="702">
        <f t="shared" si="34"/>
        <v>-320931.84000000003</v>
      </c>
      <c r="T281" s="696" t="s">
        <v>54</v>
      </c>
    </row>
    <row r="282" spans="1:20" x14ac:dyDescent="0.25">
      <c r="A282" s="690"/>
      <c r="B282" s="691" t="s">
        <v>774</v>
      </c>
      <c r="C282" s="676" t="s">
        <v>40</v>
      </c>
      <c r="D282" s="680">
        <v>44774</v>
      </c>
      <c r="E282" s="676">
        <v>744</v>
      </c>
      <c r="F282" s="676" t="s">
        <v>3</v>
      </c>
      <c r="G282" s="690" t="s">
        <v>44</v>
      </c>
      <c r="H282" s="115">
        <v>2</v>
      </c>
      <c r="I282" s="115">
        <v>282</v>
      </c>
      <c r="J282" s="601">
        <f t="shared" si="28"/>
        <v>-419616</v>
      </c>
      <c r="K282" s="738">
        <v>76.900000000000006</v>
      </c>
      <c r="L282" s="677">
        <f t="shared" si="29"/>
        <v>114427.20000000001</v>
      </c>
      <c r="M282" s="739">
        <f t="shared" si="30"/>
        <v>-305188.8</v>
      </c>
      <c r="N282" s="740">
        <v>76.900000000000006</v>
      </c>
      <c r="O282" s="678">
        <f t="shared" si="31"/>
        <v>114427.20000000001</v>
      </c>
      <c r="P282" s="700">
        <f t="shared" si="32"/>
        <v>-305188.8</v>
      </c>
      <c r="Q282" s="740">
        <v>76.900000000000006</v>
      </c>
      <c r="R282" s="678">
        <f t="shared" si="33"/>
        <v>114427.20000000001</v>
      </c>
      <c r="S282" s="700">
        <f t="shared" si="34"/>
        <v>-305188.8</v>
      </c>
      <c r="T282" s="691" t="s">
        <v>54</v>
      </c>
    </row>
    <row r="283" spans="1:20" x14ac:dyDescent="0.25">
      <c r="A283" s="690"/>
      <c r="B283" s="691" t="s">
        <v>774</v>
      </c>
      <c r="C283" s="676" t="s">
        <v>40</v>
      </c>
      <c r="D283" s="680">
        <v>44805</v>
      </c>
      <c r="E283" s="676">
        <v>720</v>
      </c>
      <c r="F283" s="676" t="s">
        <v>3</v>
      </c>
      <c r="G283" s="690" t="s">
        <v>44</v>
      </c>
      <c r="H283" s="115">
        <v>2</v>
      </c>
      <c r="I283" s="115">
        <v>282</v>
      </c>
      <c r="J283" s="601">
        <f t="shared" si="28"/>
        <v>-406080</v>
      </c>
      <c r="K283" s="738">
        <v>56.08</v>
      </c>
      <c r="L283" s="677">
        <f t="shared" si="29"/>
        <v>80755.199999999997</v>
      </c>
      <c r="M283" s="739">
        <f t="shared" si="30"/>
        <v>-325324.79999999999</v>
      </c>
      <c r="N283" s="740">
        <v>56.08</v>
      </c>
      <c r="O283" s="678">
        <f t="shared" si="31"/>
        <v>80755.199999999997</v>
      </c>
      <c r="P283" s="700">
        <f t="shared" si="32"/>
        <v>-325324.79999999999</v>
      </c>
      <c r="Q283" s="740">
        <v>56.08</v>
      </c>
      <c r="R283" s="678">
        <f t="shared" si="33"/>
        <v>80755.199999999997</v>
      </c>
      <c r="S283" s="700">
        <f t="shared" si="34"/>
        <v>-325324.79999999999</v>
      </c>
      <c r="T283" s="691" t="s">
        <v>54</v>
      </c>
    </row>
    <row r="284" spans="1:20" x14ac:dyDescent="0.25">
      <c r="A284" s="690"/>
      <c r="B284" s="691" t="s">
        <v>774</v>
      </c>
      <c r="C284" s="676" t="s">
        <v>40</v>
      </c>
      <c r="D284" s="680">
        <v>44835</v>
      </c>
      <c r="E284" s="676">
        <v>744</v>
      </c>
      <c r="F284" s="676" t="s">
        <v>3</v>
      </c>
      <c r="G284" s="690" t="s">
        <v>44</v>
      </c>
      <c r="H284" s="115">
        <v>2</v>
      </c>
      <c r="I284" s="115">
        <v>282</v>
      </c>
      <c r="J284" s="601">
        <f t="shared" si="28"/>
        <v>-419616</v>
      </c>
      <c r="K284" s="738">
        <v>55.7</v>
      </c>
      <c r="L284" s="677">
        <f t="shared" si="29"/>
        <v>82881.600000000006</v>
      </c>
      <c r="M284" s="739">
        <f t="shared" si="30"/>
        <v>-336734.4</v>
      </c>
      <c r="N284" s="740">
        <v>55.7</v>
      </c>
      <c r="O284" s="678">
        <f t="shared" si="31"/>
        <v>82881.600000000006</v>
      </c>
      <c r="P284" s="700">
        <f t="shared" si="32"/>
        <v>-336734.4</v>
      </c>
      <c r="Q284" s="740">
        <v>55.7</v>
      </c>
      <c r="R284" s="678">
        <f t="shared" si="33"/>
        <v>82881.600000000006</v>
      </c>
      <c r="S284" s="700">
        <f t="shared" si="34"/>
        <v>-336734.4</v>
      </c>
      <c r="T284" s="691" t="s">
        <v>54</v>
      </c>
    </row>
    <row r="285" spans="1:20" x14ac:dyDescent="0.25">
      <c r="A285" s="690"/>
      <c r="B285" s="691" t="s">
        <v>774</v>
      </c>
      <c r="C285" s="676" t="s">
        <v>40</v>
      </c>
      <c r="D285" s="680">
        <v>44866</v>
      </c>
      <c r="E285" s="676">
        <v>720</v>
      </c>
      <c r="F285" s="676" t="s">
        <v>3</v>
      </c>
      <c r="G285" s="690" t="s">
        <v>44</v>
      </c>
      <c r="H285" s="115">
        <v>2</v>
      </c>
      <c r="I285" s="115">
        <v>282</v>
      </c>
      <c r="J285" s="601">
        <f t="shared" si="28"/>
        <v>-406080</v>
      </c>
      <c r="K285" s="738">
        <v>55.7</v>
      </c>
      <c r="L285" s="677">
        <f t="shared" si="29"/>
        <v>80208</v>
      </c>
      <c r="M285" s="739">
        <f t="shared" si="30"/>
        <v>-325872</v>
      </c>
      <c r="N285" s="740">
        <v>55.7</v>
      </c>
      <c r="O285" s="678">
        <f t="shared" si="31"/>
        <v>80208</v>
      </c>
      <c r="P285" s="700">
        <f t="shared" si="32"/>
        <v>-325872</v>
      </c>
      <c r="Q285" s="740">
        <v>55.7</v>
      </c>
      <c r="R285" s="678">
        <f t="shared" si="33"/>
        <v>80208</v>
      </c>
      <c r="S285" s="700">
        <f t="shared" si="34"/>
        <v>-325872</v>
      </c>
      <c r="T285" s="691" t="s">
        <v>54</v>
      </c>
    </row>
    <row r="286" spans="1:20" x14ac:dyDescent="0.25">
      <c r="A286" s="690"/>
      <c r="B286" s="695" t="s">
        <v>774</v>
      </c>
      <c r="C286" s="545" t="s">
        <v>40</v>
      </c>
      <c r="D286" s="681">
        <v>44896</v>
      </c>
      <c r="E286" s="545">
        <v>744</v>
      </c>
      <c r="F286" s="545" t="s">
        <v>3</v>
      </c>
      <c r="G286" s="725" t="s">
        <v>44</v>
      </c>
      <c r="H286" s="548">
        <v>2</v>
      </c>
      <c r="I286" s="548">
        <v>282</v>
      </c>
      <c r="J286" s="602">
        <f t="shared" si="28"/>
        <v>-419616</v>
      </c>
      <c r="K286" s="742">
        <v>55.7</v>
      </c>
      <c r="L286" s="603">
        <f t="shared" si="29"/>
        <v>82881.600000000006</v>
      </c>
      <c r="M286" s="743">
        <f t="shared" si="30"/>
        <v>-336734.4</v>
      </c>
      <c r="N286" s="744">
        <v>55.7</v>
      </c>
      <c r="O286" s="604">
        <f t="shared" si="31"/>
        <v>82881.600000000006</v>
      </c>
      <c r="P286" s="701">
        <f t="shared" si="32"/>
        <v>-336734.4</v>
      </c>
      <c r="Q286" s="744">
        <v>78.400653594793155</v>
      </c>
      <c r="R286" s="604">
        <f t="shared" si="33"/>
        <v>116660.17254905222</v>
      </c>
      <c r="S286" s="701">
        <f t="shared" si="34"/>
        <v>-302955.82745094778</v>
      </c>
      <c r="T286" s="695" t="s">
        <v>54</v>
      </c>
    </row>
    <row r="287" spans="1:20" x14ac:dyDescent="0.25">
      <c r="A287" s="690"/>
      <c r="B287" s="697" t="s">
        <v>776</v>
      </c>
      <c r="C287" s="547" t="s">
        <v>40</v>
      </c>
      <c r="D287" s="683">
        <v>44562</v>
      </c>
      <c r="E287" s="547">
        <v>744</v>
      </c>
      <c r="F287" s="547" t="s">
        <v>3</v>
      </c>
      <c r="G287" s="727" t="s">
        <v>44</v>
      </c>
      <c r="H287" s="638">
        <v>-2</v>
      </c>
      <c r="I287" s="638">
        <v>184</v>
      </c>
      <c r="J287" s="639">
        <f t="shared" si="28"/>
        <v>273792</v>
      </c>
      <c r="K287" s="750">
        <v>62.91</v>
      </c>
      <c r="L287" s="608">
        <f t="shared" si="29"/>
        <v>-93610.08</v>
      </c>
      <c r="M287" s="751">
        <f t="shared" si="30"/>
        <v>180181.91999999998</v>
      </c>
      <c r="N287" s="752">
        <v>62.91</v>
      </c>
      <c r="O287" s="609">
        <f t="shared" si="31"/>
        <v>-93610.08</v>
      </c>
      <c r="P287" s="703">
        <f t="shared" si="32"/>
        <v>180181.91999999998</v>
      </c>
      <c r="Q287" s="752">
        <v>62.91</v>
      </c>
      <c r="R287" s="609">
        <f t="shared" si="33"/>
        <v>-93610.08</v>
      </c>
      <c r="S287" s="703">
        <f t="shared" si="34"/>
        <v>180181.91999999998</v>
      </c>
      <c r="T287" s="697" t="s">
        <v>54</v>
      </c>
    </row>
    <row r="288" spans="1:20" x14ac:dyDescent="0.25">
      <c r="A288" s="690"/>
      <c r="B288" s="697" t="s">
        <v>778</v>
      </c>
      <c r="C288" s="547" t="s">
        <v>40</v>
      </c>
      <c r="D288" s="683">
        <v>44562</v>
      </c>
      <c r="E288" s="547">
        <v>744</v>
      </c>
      <c r="F288" s="547" t="s">
        <v>3</v>
      </c>
      <c r="G288" s="727" t="s">
        <v>44</v>
      </c>
      <c r="H288" s="638">
        <v>-2</v>
      </c>
      <c r="I288" s="638">
        <v>185</v>
      </c>
      <c r="J288" s="639">
        <f t="shared" si="28"/>
        <v>275280</v>
      </c>
      <c r="K288" s="750">
        <v>62.91</v>
      </c>
      <c r="L288" s="608">
        <f t="shared" si="29"/>
        <v>-93610.08</v>
      </c>
      <c r="M288" s="751">
        <f t="shared" si="30"/>
        <v>181669.91999999998</v>
      </c>
      <c r="N288" s="752">
        <v>62.91</v>
      </c>
      <c r="O288" s="609">
        <f t="shared" si="31"/>
        <v>-93610.08</v>
      </c>
      <c r="P288" s="703">
        <f t="shared" si="32"/>
        <v>181669.91999999998</v>
      </c>
      <c r="Q288" s="752">
        <v>62.91</v>
      </c>
      <c r="R288" s="609">
        <f t="shared" si="33"/>
        <v>-93610.08</v>
      </c>
      <c r="S288" s="703">
        <f t="shared" si="34"/>
        <v>181669.91999999998</v>
      </c>
      <c r="T288" s="697" t="s">
        <v>54</v>
      </c>
    </row>
    <row r="289" spans="1:20" x14ac:dyDescent="0.25">
      <c r="A289" s="690"/>
      <c r="B289" s="697" t="s">
        <v>780</v>
      </c>
      <c r="C289" s="547" t="s">
        <v>40</v>
      </c>
      <c r="D289" s="683">
        <v>44593</v>
      </c>
      <c r="E289" s="547">
        <v>672</v>
      </c>
      <c r="F289" s="547" t="s">
        <v>3</v>
      </c>
      <c r="G289" s="727" t="s">
        <v>44</v>
      </c>
      <c r="H289" s="638">
        <v>-4</v>
      </c>
      <c r="I289" s="638">
        <v>228</v>
      </c>
      <c r="J289" s="639">
        <f t="shared" si="28"/>
        <v>612864</v>
      </c>
      <c r="K289" s="750">
        <v>55.7</v>
      </c>
      <c r="L289" s="608">
        <f t="shared" si="29"/>
        <v>-149721.60000000001</v>
      </c>
      <c r="M289" s="751">
        <f t="shared" si="30"/>
        <v>463142.40000000002</v>
      </c>
      <c r="N289" s="752">
        <v>55.7</v>
      </c>
      <c r="O289" s="609">
        <f t="shared" si="31"/>
        <v>-149721.60000000001</v>
      </c>
      <c r="P289" s="703">
        <f t="shared" si="32"/>
        <v>463142.40000000002</v>
      </c>
      <c r="Q289" s="752">
        <v>55.7</v>
      </c>
      <c r="R289" s="609">
        <f t="shared" si="33"/>
        <v>-149721.60000000001</v>
      </c>
      <c r="S289" s="703">
        <f t="shared" si="34"/>
        <v>463142.40000000002</v>
      </c>
      <c r="T289" s="697" t="s">
        <v>54</v>
      </c>
    </row>
    <row r="290" spans="1:20" x14ac:dyDescent="0.25">
      <c r="A290" s="690"/>
      <c r="B290" s="697" t="s">
        <v>782</v>
      </c>
      <c r="C290" s="547" t="s">
        <v>40</v>
      </c>
      <c r="D290" s="683">
        <v>44621</v>
      </c>
      <c r="E290" s="547">
        <v>744</v>
      </c>
      <c r="F290" s="547" t="s">
        <v>3</v>
      </c>
      <c r="G290" s="727" t="s">
        <v>44</v>
      </c>
      <c r="H290" s="638">
        <v>-4</v>
      </c>
      <c r="I290" s="638">
        <v>220</v>
      </c>
      <c r="J290" s="639">
        <f t="shared" si="28"/>
        <v>654720</v>
      </c>
      <c r="K290" s="750">
        <v>55.7</v>
      </c>
      <c r="L290" s="608">
        <f t="shared" si="29"/>
        <v>-165763.20000000001</v>
      </c>
      <c r="M290" s="751">
        <f t="shared" si="30"/>
        <v>488956.8</v>
      </c>
      <c r="N290" s="752">
        <v>55.7</v>
      </c>
      <c r="O290" s="609">
        <f t="shared" si="31"/>
        <v>-165763.20000000001</v>
      </c>
      <c r="P290" s="703">
        <f t="shared" si="32"/>
        <v>488956.8</v>
      </c>
      <c r="Q290" s="752">
        <v>55.7</v>
      </c>
      <c r="R290" s="609">
        <f t="shared" si="33"/>
        <v>-165763.20000000001</v>
      </c>
      <c r="S290" s="703">
        <f t="shared" si="34"/>
        <v>488956.8</v>
      </c>
      <c r="T290" s="697" t="s">
        <v>54</v>
      </c>
    </row>
    <row r="291" spans="1:20" x14ac:dyDescent="0.25">
      <c r="A291" s="690"/>
      <c r="B291" s="696" t="s">
        <v>784</v>
      </c>
      <c r="C291" s="546" t="s">
        <v>40</v>
      </c>
      <c r="D291" s="682">
        <v>44562</v>
      </c>
      <c r="E291" s="546">
        <v>744</v>
      </c>
      <c r="F291" s="546" t="s">
        <v>3</v>
      </c>
      <c r="G291" s="726" t="s">
        <v>44</v>
      </c>
      <c r="H291" s="549">
        <v>2</v>
      </c>
      <c r="I291" s="549">
        <v>227</v>
      </c>
      <c r="J291" s="605">
        <f t="shared" si="28"/>
        <v>-337776</v>
      </c>
      <c r="K291" s="746">
        <v>62.91</v>
      </c>
      <c r="L291" s="606">
        <f t="shared" si="29"/>
        <v>93610.08</v>
      </c>
      <c r="M291" s="747">
        <f t="shared" si="30"/>
        <v>-244165.91999999998</v>
      </c>
      <c r="N291" s="748">
        <v>62.91</v>
      </c>
      <c r="O291" s="607">
        <f t="shared" si="31"/>
        <v>93610.08</v>
      </c>
      <c r="P291" s="702">
        <f t="shared" si="32"/>
        <v>-244165.91999999998</v>
      </c>
      <c r="Q291" s="748">
        <v>62.91</v>
      </c>
      <c r="R291" s="607">
        <f t="shared" si="33"/>
        <v>93610.08</v>
      </c>
      <c r="S291" s="702">
        <f t="shared" si="34"/>
        <v>-244165.91999999998</v>
      </c>
      <c r="T291" s="696" t="s">
        <v>54</v>
      </c>
    </row>
    <row r="292" spans="1:20" x14ac:dyDescent="0.25">
      <c r="A292" s="690"/>
      <c r="B292" s="691" t="s">
        <v>784</v>
      </c>
      <c r="C292" s="676" t="s">
        <v>40</v>
      </c>
      <c r="D292" s="680">
        <v>44593</v>
      </c>
      <c r="E292" s="676">
        <v>672</v>
      </c>
      <c r="F292" s="676" t="s">
        <v>3</v>
      </c>
      <c r="G292" s="690" t="s">
        <v>44</v>
      </c>
      <c r="H292" s="115">
        <v>2</v>
      </c>
      <c r="I292" s="115">
        <v>227</v>
      </c>
      <c r="J292" s="601">
        <f t="shared" si="28"/>
        <v>-305088</v>
      </c>
      <c r="K292" s="738">
        <v>55.7</v>
      </c>
      <c r="L292" s="677">
        <f t="shared" si="29"/>
        <v>74860.800000000003</v>
      </c>
      <c r="M292" s="739">
        <f t="shared" si="30"/>
        <v>-230227.20000000001</v>
      </c>
      <c r="N292" s="740">
        <v>55.7</v>
      </c>
      <c r="O292" s="678">
        <f t="shared" si="31"/>
        <v>74860.800000000003</v>
      </c>
      <c r="P292" s="700">
        <f t="shared" si="32"/>
        <v>-230227.20000000001</v>
      </c>
      <c r="Q292" s="740">
        <v>55.7</v>
      </c>
      <c r="R292" s="678">
        <f t="shared" si="33"/>
        <v>74860.800000000003</v>
      </c>
      <c r="S292" s="700">
        <f t="shared" si="34"/>
        <v>-230227.20000000001</v>
      </c>
      <c r="T292" s="691" t="s">
        <v>54</v>
      </c>
    </row>
    <row r="293" spans="1:20" x14ac:dyDescent="0.25">
      <c r="A293" s="690"/>
      <c r="B293" s="691" t="s">
        <v>784</v>
      </c>
      <c r="C293" s="676" t="s">
        <v>40</v>
      </c>
      <c r="D293" s="680">
        <v>44621</v>
      </c>
      <c r="E293" s="676">
        <v>744</v>
      </c>
      <c r="F293" s="676" t="s">
        <v>3</v>
      </c>
      <c r="G293" s="690" t="s">
        <v>44</v>
      </c>
      <c r="H293" s="115">
        <v>2</v>
      </c>
      <c r="I293" s="115">
        <v>227</v>
      </c>
      <c r="J293" s="601">
        <f t="shared" si="28"/>
        <v>-337776</v>
      </c>
      <c r="K293" s="738">
        <v>55.7</v>
      </c>
      <c r="L293" s="677">
        <f t="shared" si="29"/>
        <v>82881.600000000006</v>
      </c>
      <c r="M293" s="739">
        <f t="shared" si="30"/>
        <v>-254894.4</v>
      </c>
      <c r="N293" s="740">
        <v>55.7</v>
      </c>
      <c r="O293" s="678">
        <f t="shared" si="31"/>
        <v>82881.600000000006</v>
      </c>
      <c r="P293" s="700">
        <f t="shared" si="32"/>
        <v>-254894.4</v>
      </c>
      <c r="Q293" s="740">
        <v>55.7</v>
      </c>
      <c r="R293" s="678">
        <f t="shared" si="33"/>
        <v>82881.600000000006</v>
      </c>
      <c r="S293" s="700">
        <f t="shared" si="34"/>
        <v>-254894.4</v>
      </c>
      <c r="T293" s="691" t="s">
        <v>54</v>
      </c>
    </row>
    <row r="294" spans="1:20" x14ac:dyDescent="0.25">
      <c r="A294" s="690"/>
      <c r="B294" s="691" t="s">
        <v>784</v>
      </c>
      <c r="C294" s="676" t="s">
        <v>40</v>
      </c>
      <c r="D294" s="680">
        <v>44652</v>
      </c>
      <c r="E294" s="676">
        <v>720</v>
      </c>
      <c r="F294" s="676" t="s">
        <v>3</v>
      </c>
      <c r="G294" s="690" t="s">
        <v>44</v>
      </c>
      <c r="H294" s="115">
        <v>2</v>
      </c>
      <c r="I294" s="115">
        <v>227</v>
      </c>
      <c r="J294" s="601">
        <f t="shared" si="28"/>
        <v>-326880</v>
      </c>
      <c r="K294" s="738">
        <v>55.7</v>
      </c>
      <c r="L294" s="677">
        <f t="shared" si="29"/>
        <v>80208</v>
      </c>
      <c r="M294" s="739">
        <f t="shared" si="30"/>
        <v>-246672</v>
      </c>
      <c r="N294" s="740">
        <v>55.7</v>
      </c>
      <c r="O294" s="678">
        <f t="shared" si="31"/>
        <v>80208</v>
      </c>
      <c r="P294" s="700">
        <f t="shared" si="32"/>
        <v>-246672</v>
      </c>
      <c r="Q294" s="740">
        <v>55.7</v>
      </c>
      <c r="R294" s="678">
        <f t="shared" si="33"/>
        <v>80208</v>
      </c>
      <c r="S294" s="700">
        <f t="shared" si="34"/>
        <v>-246672</v>
      </c>
      <c r="T294" s="691" t="s">
        <v>54</v>
      </c>
    </row>
    <row r="295" spans="1:20" x14ac:dyDescent="0.25">
      <c r="A295" s="690"/>
      <c r="B295" s="691" t="s">
        <v>784</v>
      </c>
      <c r="C295" s="676" t="s">
        <v>40</v>
      </c>
      <c r="D295" s="680">
        <v>44682</v>
      </c>
      <c r="E295" s="676">
        <v>744</v>
      </c>
      <c r="F295" s="676" t="s">
        <v>3</v>
      </c>
      <c r="G295" s="690" t="s">
        <v>44</v>
      </c>
      <c r="H295" s="115">
        <v>2</v>
      </c>
      <c r="I295" s="115">
        <v>227</v>
      </c>
      <c r="J295" s="601">
        <f t="shared" si="28"/>
        <v>-337776</v>
      </c>
      <c r="K295" s="738">
        <v>55.7</v>
      </c>
      <c r="L295" s="677">
        <f t="shared" si="29"/>
        <v>82881.600000000006</v>
      </c>
      <c r="M295" s="739">
        <f t="shared" si="30"/>
        <v>-254894.4</v>
      </c>
      <c r="N295" s="740">
        <v>55.7</v>
      </c>
      <c r="O295" s="678">
        <f t="shared" si="31"/>
        <v>82881.600000000006</v>
      </c>
      <c r="P295" s="700">
        <f t="shared" si="32"/>
        <v>-254894.4</v>
      </c>
      <c r="Q295" s="740">
        <v>55.7</v>
      </c>
      <c r="R295" s="678">
        <f t="shared" si="33"/>
        <v>82881.600000000006</v>
      </c>
      <c r="S295" s="700">
        <f t="shared" si="34"/>
        <v>-254894.4</v>
      </c>
      <c r="T295" s="691" t="s">
        <v>54</v>
      </c>
    </row>
    <row r="296" spans="1:20" x14ac:dyDescent="0.25">
      <c r="A296" s="690"/>
      <c r="B296" s="691" t="s">
        <v>784</v>
      </c>
      <c r="C296" s="676" t="s">
        <v>40</v>
      </c>
      <c r="D296" s="680">
        <v>44713</v>
      </c>
      <c r="E296" s="676">
        <v>720</v>
      </c>
      <c r="F296" s="676" t="s">
        <v>3</v>
      </c>
      <c r="G296" s="690" t="s">
        <v>44</v>
      </c>
      <c r="H296" s="115">
        <v>2</v>
      </c>
      <c r="I296" s="115">
        <v>227</v>
      </c>
      <c r="J296" s="601">
        <f t="shared" si="28"/>
        <v>-326880</v>
      </c>
      <c r="K296" s="738">
        <v>55.71</v>
      </c>
      <c r="L296" s="677">
        <f t="shared" si="29"/>
        <v>80222.399999999994</v>
      </c>
      <c r="M296" s="739">
        <f t="shared" si="30"/>
        <v>-246657.6</v>
      </c>
      <c r="N296" s="740">
        <v>55.71</v>
      </c>
      <c r="O296" s="678">
        <f t="shared" si="31"/>
        <v>80222.399999999994</v>
      </c>
      <c r="P296" s="700">
        <f t="shared" si="32"/>
        <v>-246657.6</v>
      </c>
      <c r="Q296" s="740">
        <v>55.71</v>
      </c>
      <c r="R296" s="678">
        <f t="shared" si="33"/>
        <v>80222.399999999994</v>
      </c>
      <c r="S296" s="700">
        <f t="shared" si="34"/>
        <v>-246657.6</v>
      </c>
      <c r="T296" s="691" t="s">
        <v>54</v>
      </c>
    </row>
    <row r="297" spans="1:20" x14ac:dyDescent="0.25">
      <c r="A297" s="690"/>
      <c r="B297" s="691" t="s">
        <v>784</v>
      </c>
      <c r="C297" s="676" t="s">
        <v>40</v>
      </c>
      <c r="D297" s="680">
        <v>44743</v>
      </c>
      <c r="E297" s="676">
        <v>744</v>
      </c>
      <c r="F297" s="676" t="s">
        <v>3</v>
      </c>
      <c r="G297" s="690" t="s">
        <v>44</v>
      </c>
      <c r="H297" s="115">
        <v>2</v>
      </c>
      <c r="I297" s="115">
        <v>227</v>
      </c>
      <c r="J297" s="601">
        <f t="shared" si="28"/>
        <v>-337776</v>
      </c>
      <c r="K297" s="738">
        <v>66.319999999999993</v>
      </c>
      <c r="L297" s="677">
        <f t="shared" si="29"/>
        <v>98684.159999999989</v>
      </c>
      <c r="M297" s="739">
        <f t="shared" si="30"/>
        <v>-239091.84000000003</v>
      </c>
      <c r="N297" s="740">
        <v>66.319999999999993</v>
      </c>
      <c r="O297" s="678">
        <f t="shared" si="31"/>
        <v>98684.159999999989</v>
      </c>
      <c r="P297" s="700">
        <f t="shared" si="32"/>
        <v>-239091.84000000003</v>
      </c>
      <c r="Q297" s="740">
        <v>66.319999999999993</v>
      </c>
      <c r="R297" s="678">
        <f t="shared" si="33"/>
        <v>98684.159999999989</v>
      </c>
      <c r="S297" s="700">
        <f t="shared" si="34"/>
        <v>-239091.84000000003</v>
      </c>
      <c r="T297" s="691" t="s">
        <v>54</v>
      </c>
    </row>
    <row r="298" spans="1:20" x14ac:dyDescent="0.25">
      <c r="A298" s="690"/>
      <c r="B298" s="691" t="s">
        <v>784</v>
      </c>
      <c r="C298" s="676" t="s">
        <v>40</v>
      </c>
      <c r="D298" s="680">
        <v>44774</v>
      </c>
      <c r="E298" s="676">
        <v>744</v>
      </c>
      <c r="F298" s="676" t="s">
        <v>3</v>
      </c>
      <c r="G298" s="690" t="s">
        <v>44</v>
      </c>
      <c r="H298" s="115">
        <v>2</v>
      </c>
      <c r="I298" s="115">
        <v>227</v>
      </c>
      <c r="J298" s="601">
        <f t="shared" si="28"/>
        <v>-337776</v>
      </c>
      <c r="K298" s="738">
        <v>76.900000000000006</v>
      </c>
      <c r="L298" s="677">
        <f t="shared" si="29"/>
        <v>114427.20000000001</v>
      </c>
      <c r="M298" s="739">
        <f t="shared" si="30"/>
        <v>-223348.8</v>
      </c>
      <c r="N298" s="740">
        <v>76.900000000000006</v>
      </c>
      <c r="O298" s="678">
        <f t="shared" si="31"/>
        <v>114427.20000000001</v>
      </c>
      <c r="P298" s="700">
        <f t="shared" si="32"/>
        <v>-223348.8</v>
      </c>
      <c r="Q298" s="740">
        <v>76.900000000000006</v>
      </c>
      <c r="R298" s="678">
        <f t="shared" si="33"/>
        <v>114427.20000000001</v>
      </c>
      <c r="S298" s="700">
        <f t="shared" si="34"/>
        <v>-223348.8</v>
      </c>
      <c r="T298" s="691" t="s">
        <v>54</v>
      </c>
    </row>
    <row r="299" spans="1:20" x14ac:dyDescent="0.25">
      <c r="A299" s="690"/>
      <c r="B299" s="691" t="s">
        <v>784</v>
      </c>
      <c r="C299" s="676" t="s">
        <v>40</v>
      </c>
      <c r="D299" s="680">
        <v>44805</v>
      </c>
      <c r="E299" s="676">
        <v>720</v>
      </c>
      <c r="F299" s="676" t="s">
        <v>3</v>
      </c>
      <c r="G299" s="690" t="s">
        <v>44</v>
      </c>
      <c r="H299" s="115">
        <v>2</v>
      </c>
      <c r="I299" s="115">
        <v>227</v>
      </c>
      <c r="J299" s="601">
        <f t="shared" si="28"/>
        <v>-326880</v>
      </c>
      <c r="K299" s="738">
        <v>56.08</v>
      </c>
      <c r="L299" s="677">
        <f t="shared" si="29"/>
        <v>80755.199999999997</v>
      </c>
      <c r="M299" s="739">
        <f t="shared" si="30"/>
        <v>-246124.79999999999</v>
      </c>
      <c r="N299" s="740">
        <v>56.08</v>
      </c>
      <c r="O299" s="678">
        <f t="shared" si="31"/>
        <v>80755.199999999997</v>
      </c>
      <c r="P299" s="700">
        <f t="shared" si="32"/>
        <v>-246124.79999999999</v>
      </c>
      <c r="Q299" s="740">
        <v>56.08</v>
      </c>
      <c r="R299" s="678">
        <f t="shared" si="33"/>
        <v>80755.199999999997</v>
      </c>
      <c r="S299" s="700">
        <f t="shared" si="34"/>
        <v>-246124.79999999999</v>
      </c>
      <c r="T299" s="691" t="s">
        <v>54</v>
      </c>
    </row>
    <row r="300" spans="1:20" x14ac:dyDescent="0.25">
      <c r="A300" s="690"/>
      <c r="B300" s="691" t="s">
        <v>784</v>
      </c>
      <c r="C300" s="676" t="s">
        <v>40</v>
      </c>
      <c r="D300" s="680">
        <v>44835</v>
      </c>
      <c r="E300" s="676">
        <v>744</v>
      </c>
      <c r="F300" s="676" t="s">
        <v>3</v>
      </c>
      <c r="G300" s="690" t="s">
        <v>44</v>
      </c>
      <c r="H300" s="115">
        <v>2</v>
      </c>
      <c r="I300" s="115">
        <v>227</v>
      </c>
      <c r="J300" s="601">
        <f t="shared" si="28"/>
        <v>-337776</v>
      </c>
      <c r="K300" s="738">
        <v>55.7</v>
      </c>
      <c r="L300" s="677">
        <f t="shared" si="29"/>
        <v>82881.600000000006</v>
      </c>
      <c r="M300" s="739">
        <f t="shared" si="30"/>
        <v>-254894.4</v>
      </c>
      <c r="N300" s="740">
        <v>55.7</v>
      </c>
      <c r="O300" s="678">
        <f t="shared" si="31"/>
        <v>82881.600000000006</v>
      </c>
      <c r="P300" s="700">
        <f t="shared" si="32"/>
        <v>-254894.4</v>
      </c>
      <c r="Q300" s="740">
        <v>55.7</v>
      </c>
      <c r="R300" s="678">
        <f t="shared" si="33"/>
        <v>82881.600000000006</v>
      </c>
      <c r="S300" s="700">
        <f t="shared" si="34"/>
        <v>-254894.4</v>
      </c>
      <c r="T300" s="691" t="s">
        <v>54</v>
      </c>
    </row>
    <row r="301" spans="1:20" x14ac:dyDescent="0.25">
      <c r="A301" s="690"/>
      <c r="B301" s="691" t="s">
        <v>784</v>
      </c>
      <c r="C301" s="676" t="s">
        <v>40</v>
      </c>
      <c r="D301" s="680">
        <v>44866</v>
      </c>
      <c r="E301" s="676">
        <v>720</v>
      </c>
      <c r="F301" s="676" t="s">
        <v>3</v>
      </c>
      <c r="G301" s="690" t="s">
        <v>44</v>
      </c>
      <c r="H301" s="115">
        <v>2</v>
      </c>
      <c r="I301" s="115">
        <v>227</v>
      </c>
      <c r="J301" s="601">
        <f t="shared" si="28"/>
        <v>-326880</v>
      </c>
      <c r="K301" s="738">
        <v>55.7</v>
      </c>
      <c r="L301" s="677">
        <f t="shared" si="29"/>
        <v>80208</v>
      </c>
      <c r="M301" s="739">
        <f t="shared" si="30"/>
        <v>-246672</v>
      </c>
      <c r="N301" s="740">
        <v>55.7</v>
      </c>
      <c r="O301" s="678">
        <f t="shared" si="31"/>
        <v>80208</v>
      </c>
      <c r="P301" s="700">
        <f t="shared" si="32"/>
        <v>-246672</v>
      </c>
      <c r="Q301" s="740">
        <v>55.7</v>
      </c>
      <c r="R301" s="678">
        <f t="shared" si="33"/>
        <v>80208</v>
      </c>
      <c r="S301" s="700">
        <f t="shared" si="34"/>
        <v>-246672</v>
      </c>
      <c r="T301" s="691" t="s">
        <v>54</v>
      </c>
    </row>
    <row r="302" spans="1:20" x14ac:dyDescent="0.25">
      <c r="A302" s="690"/>
      <c r="B302" s="695" t="s">
        <v>784</v>
      </c>
      <c r="C302" s="545" t="s">
        <v>40</v>
      </c>
      <c r="D302" s="681">
        <v>44896</v>
      </c>
      <c r="E302" s="545">
        <v>744</v>
      </c>
      <c r="F302" s="545" t="s">
        <v>3</v>
      </c>
      <c r="G302" s="725" t="s">
        <v>44</v>
      </c>
      <c r="H302" s="548">
        <v>2</v>
      </c>
      <c r="I302" s="548">
        <v>227</v>
      </c>
      <c r="J302" s="602">
        <f t="shared" si="28"/>
        <v>-337776</v>
      </c>
      <c r="K302" s="742">
        <v>55.7</v>
      </c>
      <c r="L302" s="603">
        <f t="shared" si="29"/>
        <v>82881.600000000006</v>
      </c>
      <c r="M302" s="743">
        <f t="shared" si="30"/>
        <v>-254894.4</v>
      </c>
      <c r="N302" s="744">
        <v>55.7</v>
      </c>
      <c r="O302" s="604">
        <f t="shared" si="31"/>
        <v>82881.600000000006</v>
      </c>
      <c r="P302" s="701">
        <f t="shared" si="32"/>
        <v>-254894.4</v>
      </c>
      <c r="Q302" s="744">
        <v>78.400653594793155</v>
      </c>
      <c r="R302" s="604">
        <f t="shared" si="33"/>
        <v>116660.17254905222</v>
      </c>
      <c r="S302" s="701">
        <f t="shared" si="34"/>
        <v>-221115.82745094778</v>
      </c>
      <c r="T302" s="695" t="s">
        <v>54</v>
      </c>
    </row>
    <row r="303" spans="1:20" x14ac:dyDescent="0.25">
      <c r="A303" s="690"/>
      <c r="B303" s="697" t="s">
        <v>786</v>
      </c>
      <c r="C303" s="547" t="s">
        <v>40</v>
      </c>
      <c r="D303" s="683">
        <v>44593</v>
      </c>
      <c r="E303" s="547">
        <v>672</v>
      </c>
      <c r="F303" s="547" t="s">
        <v>3</v>
      </c>
      <c r="G303" s="727" t="s">
        <v>44</v>
      </c>
      <c r="H303" s="638">
        <v>-2</v>
      </c>
      <c r="I303" s="638">
        <v>199</v>
      </c>
      <c r="J303" s="639">
        <f t="shared" si="28"/>
        <v>267456</v>
      </c>
      <c r="K303" s="750">
        <v>55.7</v>
      </c>
      <c r="L303" s="608">
        <f t="shared" si="29"/>
        <v>-74860.800000000003</v>
      </c>
      <c r="M303" s="751">
        <f t="shared" si="30"/>
        <v>192595.20000000001</v>
      </c>
      <c r="N303" s="752">
        <v>55.7</v>
      </c>
      <c r="O303" s="609">
        <f t="shared" si="31"/>
        <v>-74860.800000000003</v>
      </c>
      <c r="P303" s="703">
        <f t="shared" si="32"/>
        <v>192595.20000000001</v>
      </c>
      <c r="Q303" s="752">
        <v>55.7</v>
      </c>
      <c r="R303" s="609">
        <f t="shared" si="33"/>
        <v>-74860.800000000003</v>
      </c>
      <c r="S303" s="703">
        <f t="shared" si="34"/>
        <v>192595.20000000001</v>
      </c>
      <c r="T303" s="697" t="s">
        <v>54</v>
      </c>
    </row>
    <row r="304" spans="1:20" x14ac:dyDescent="0.25">
      <c r="A304" s="690"/>
      <c r="B304" s="696" t="s">
        <v>788</v>
      </c>
      <c r="C304" s="546" t="s">
        <v>40</v>
      </c>
      <c r="D304" s="682">
        <v>44743</v>
      </c>
      <c r="E304" s="546">
        <v>744</v>
      </c>
      <c r="F304" s="546" t="s">
        <v>3</v>
      </c>
      <c r="G304" s="726" t="s">
        <v>44</v>
      </c>
      <c r="H304" s="549">
        <v>9</v>
      </c>
      <c r="I304" s="549">
        <v>265</v>
      </c>
      <c r="J304" s="605">
        <f t="shared" si="28"/>
        <v>-1774440</v>
      </c>
      <c r="K304" s="746">
        <v>66.319999999999993</v>
      </c>
      <c r="L304" s="606">
        <f t="shared" si="29"/>
        <v>444078.72</v>
      </c>
      <c r="M304" s="747">
        <f t="shared" si="30"/>
        <v>-1330361.28</v>
      </c>
      <c r="N304" s="748">
        <v>66.319999999999993</v>
      </c>
      <c r="O304" s="607">
        <f t="shared" si="31"/>
        <v>444078.72</v>
      </c>
      <c r="P304" s="702">
        <f t="shared" si="32"/>
        <v>-1330361.28</v>
      </c>
      <c r="Q304" s="748">
        <v>66.319999999999993</v>
      </c>
      <c r="R304" s="607">
        <f t="shared" si="33"/>
        <v>444078.72</v>
      </c>
      <c r="S304" s="702">
        <f t="shared" si="34"/>
        <v>-1330361.28</v>
      </c>
      <c r="T304" s="696" t="s">
        <v>54</v>
      </c>
    </row>
    <row r="305" spans="1:20" x14ac:dyDescent="0.25">
      <c r="A305" s="690"/>
      <c r="B305" s="691" t="s">
        <v>788</v>
      </c>
      <c r="C305" s="676" t="s">
        <v>40</v>
      </c>
      <c r="D305" s="680">
        <v>44774</v>
      </c>
      <c r="E305" s="676">
        <v>744</v>
      </c>
      <c r="F305" s="676" t="s">
        <v>3</v>
      </c>
      <c r="G305" s="690" t="s">
        <v>44</v>
      </c>
      <c r="H305" s="115">
        <v>9</v>
      </c>
      <c r="I305" s="115">
        <v>265</v>
      </c>
      <c r="J305" s="601">
        <f t="shared" si="28"/>
        <v>-1774440</v>
      </c>
      <c r="K305" s="738">
        <v>76.900000000000006</v>
      </c>
      <c r="L305" s="677">
        <f t="shared" si="29"/>
        <v>514922.4</v>
      </c>
      <c r="M305" s="739">
        <f t="shared" si="30"/>
        <v>-1259517.6000000001</v>
      </c>
      <c r="N305" s="740">
        <v>76.900000000000006</v>
      </c>
      <c r="O305" s="678">
        <f t="shared" si="31"/>
        <v>514922.4</v>
      </c>
      <c r="P305" s="700">
        <f t="shared" si="32"/>
        <v>-1259517.6000000001</v>
      </c>
      <c r="Q305" s="740">
        <v>76.900000000000006</v>
      </c>
      <c r="R305" s="678">
        <f t="shared" si="33"/>
        <v>514922.4</v>
      </c>
      <c r="S305" s="700">
        <f t="shared" si="34"/>
        <v>-1259517.6000000001</v>
      </c>
      <c r="T305" s="691" t="s">
        <v>54</v>
      </c>
    </row>
    <row r="306" spans="1:20" x14ac:dyDescent="0.25">
      <c r="A306" s="690"/>
      <c r="B306" s="691" t="s">
        <v>788</v>
      </c>
      <c r="C306" s="676" t="s">
        <v>40</v>
      </c>
      <c r="D306" s="680">
        <v>44805</v>
      </c>
      <c r="E306" s="676">
        <v>720</v>
      </c>
      <c r="F306" s="676" t="s">
        <v>3</v>
      </c>
      <c r="G306" s="690" t="s">
        <v>44</v>
      </c>
      <c r="H306" s="115">
        <v>9</v>
      </c>
      <c r="I306" s="115">
        <v>265</v>
      </c>
      <c r="J306" s="601">
        <f t="shared" si="28"/>
        <v>-1717200</v>
      </c>
      <c r="K306" s="738">
        <v>56.08</v>
      </c>
      <c r="L306" s="677">
        <f t="shared" si="29"/>
        <v>363398.39999999997</v>
      </c>
      <c r="M306" s="739">
        <f t="shared" si="30"/>
        <v>-1353801.6</v>
      </c>
      <c r="N306" s="740">
        <v>56.08</v>
      </c>
      <c r="O306" s="678">
        <f t="shared" si="31"/>
        <v>363398.39999999997</v>
      </c>
      <c r="P306" s="700">
        <f t="shared" si="32"/>
        <v>-1353801.6</v>
      </c>
      <c r="Q306" s="740">
        <v>56.08</v>
      </c>
      <c r="R306" s="678">
        <f t="shared" si="33"/>
        <v>363398.39999999997</v>
      </c>
      <c r="S306" s="700">
        <f t="shared" si="34"/>
        <v>-1353801.6</v>
      </c>
      <c r="T306" s="691" t="s">
        <v>54</v>
      </c>
    </row>
    <row r="307" spans="1:20" x14ac:dyDescent="0.25">
      <c r="A307" s="690"/>
      <c r="B307" s="691" t="s">
        <v>788</v>
      </c>
      <c r="C307" s="676" t="s">
        <v>40</v>
      </c>
      <c r="D307" s="680">
        <v>44835</v>
      </c>
      <c r="E307" s="676">
        <v>744</v>
      </c>
      <c r="F307" s="676" t="s">
        <v>3</v>
      </c>
      <c r="G307" s="690" t="s">
        <v>44</v>
      </c>
      <c r="H307" s="115">
        <v>9</v>
      </c>
      <c r="I307" s="115">
        <v>265</v>
      </c>
      <c r="J307" s="601">
        <f t="shared" si="28"/>
        <v>-1774440</v>
      </c>
      <c r="K307" s="738">
        <v>55.7</v>
      </c>
      <c r="L307" s="677">
        <f t="shared" si="29"/>
        <v>372967.2</v>
      </c>
      <c r="M307" s="739">
        <f t="shared" si="30"/>
        <v>-1401472.8</v>
      </c>
      <c r="N307" s="740">
        <v>55.7</v>
      </c>
      <c r="O307" s="678">
        <f t="shared" si="31"/>
        <v>372967.2</v>
      </c>
      <c r="P307" s="700">
        <f t="shared" si="32"/>
        <v>-1401472.8</v>
      </c>
      <c r="Q307" s="740">
        <v>55.7</v>
      </c>
      <c r="R307" s="678">
        <f t="shared" si="33"/>
        <v>372967.2</v>
      </c>
      <c r="S307" s="700">
        <f t="shared" si="34"/>
        <v>-1401472.8</v>
      </c>
      <c r="T307" s="691" t="s">
        <v>54</v>
      </c>
    </row>
    <row r="308" spans="1:20" x14ac:dyDescent="0.25">
      <c r="A308" s="690"/>
      <c r="B308" s="691" t="s">
        <v>788</v>
      </c>
      <c r="C308" s="676" t="s">
        <v>40</v>
      </c>
      <c r="D308" s="680">
        <v>44866</v>
      </c>
      <c r="E308" s="676">
        <v>720</v>
      </c>
      <c r="F308" s="676" t="s">
        <v>3</v>
      </c>
      <c r="G308" s="690" t="s">
        <v>44</v>
      </c>
      <c r="H308" s="115">
        <v>9</v>
      </c>
      <c r="I308" s="115">
        <v>265</v>
      </c>
      <c r="J308" s="601">
        <f t="shared" si="28"/>
        <v>-1717200</v>
      </c>
      <c r="K308" s="738">
        <v>55.7</v>
      </c>
      <c r="L308" s="677">
        <f t="shared" si="29"/>
        <v>360936</v>
      </c>
      <c r="M308" s="739">
        <f t="shared" si="30"/>
        <v>-1356264</v>
      </c>
      <c r="N308" s="740">
        <v>55.7</v>
      </c>
      <c r="O308" s="678">
        <f t="shared" si="31"/>
        <v>360936</v>
      </c>
      <c r="P308" s="700">
        <f t="shared" si="32"/>
        <v>-1356264</v>
      </c>
      <c r="Q308" s="740">
        <v>55.7</v>
      </c>
      <c r="R308" s="678">
        <f t="shared" si="33"/>
        <v>360936</v>
      </c>
      <c r="S308" s="700">
        <f t="shared" si="34"/>
        <v>-1356264</v>
      </c>
      <c r="T308" s="691" t="s">
        <v>54</v>
      </c>
    </row>
    <row r="309" spans="1:20" x14ac:dyDescent="0.25">
      <c r="A309" s="690"/>
      <c r="B309" s="695" t="s">
        <v>788</v>
      </c>
      <c r="C309" s="545" t="s">
        <v>40</v>
      </c>
      <c r="D309" s="681">
        <v>44896</v>
      </c>
      <c r="E309" s="545">
        <v>744</v>
      </c>
      <c r="F309" s="545" t="s">
        <v>3</v>
      </c>
      <c r="G309" s="725" t="s">
        <v>44</v>
      </c>
      <c r="H309" s="548">
        <v>9</v>
      </c>
      <c r="I309" s="548">
        <v>265</v>
      </c>
      <c r="J309" s="602">
        <f t="shared" si="28"/>
        <v>-1774440</v>
      </c>
      <c r="K309" s="742">
        <v>55.7</v>
      </c>
      <c r="L309" s="603">
        <f t="shared" si="29"/>
        <v>372967.2</v>
      </c>
      <c r="M309" s="743">
        <f t="shared" si="30"/>
        <v>-1401472.8</v>
      </c>
      <c r="N309" s="744">
        <v>55.7</v>
      </c>
      <c r="O309" s="604">
        <f t="shared" si="31"/>
        <v>372967.2</v>
      </c>
      <c r="P309" s="701">
        <f t="shared" si="32"/>
        <v>-1401472.8</v>
      </c>
      <c r="Q309" s="744">
        <v>78.400653594793155</v>
      </c>
      <c r="R309" s="604">
        <f t="shared" si="33"/>
        <v>524970.77647073497</v>
      </c>
      <c r="S309" s="701">
        <f t="shared" si="34"/>
        <v>-1249469.223529265</v>
      </c>
      <c r="T309" s="695" t="s">
        <v>54</v>
      </c>
    </row>
    <row r="310" spans="1:20" x14ac:dyDescent="0.25">
      <c r="A310" s="690"/>
      <c r="B310" s="697" t="s">
        <v>790</v>
      </c>
      <c r="C310" s="547" t="s">
        <v>40</v>
      </c>
      <c r="D310" s="683">
        <v>44593</v>
      </c>
      <c r="E310" s="547">
        <v>672</v>
      </c>
      <c r="F310" s="547" t="s">
        <v>3</v>
      </c>
      <c r="G310" s="727" t="s">
        <v>44</v>
      </c>
      <c r="H310" s="638">
        <v>-1</v>
      </c>
      <c r="I310" s="638">
        <v>197</v>
      </c>
      <c r="J310" s="639">
        <f t="shared" si="28"/>
        <v>132384</v>
      </c>
      <c r="K310" s="750">
        <v>55.7</v>
      </c>
      <c r="L310" s="608">
        <f t="shared" si="29"/>
        <v>-37430.400000000001</v>
      </c>
      <c r="M310" s="751">
        <f t="shared" si="30"/>
        <v>94953.600000000006</v>
      </c>
      <c r="N310" s="752">
        <v>55.7</v>
      </c>
      <c r="O310" s="609">
        <f t="shared" si="31"/>
        <v>-37430.400000000001</v>
      </c>
      <c r="P310" s="703">
        <f t="shared" si="32"/>
        <v>94953.600000000006</v>
      </c>
      <c r="Q310" s="752">
        <v>55.7</v>
      </c>
      <c r="R310" s="609">
        <f t="shared" si="33"/>
        <v>-37430.400000000001</v>
      </c>
      <c r="S310" s="703">
        <f t="shared" si="34"/>
        <v>94953.600000000006</v>
      </c>
      <c r="T310" s="697" t="s">
        <v>54</v>
      </c>
    </row>
    <row r="311" spans="1:20" x14ac:dyDescent="0.25">
      <c r="A311" s="690"/>
      <c r="B311" s="696" t="s">
        <v>792</v>
      </c>
      <c r="C311" s="546" t="s">
        <v>40</v>
      </c>
      <c r="D311" s="682">
        <v>44652</v>
      </c>
      <c r="E311" s="546">
        <v>720</v>
      </c>
      <c r="F311" s="546" t="s">
        <v>3</v>
      </c>
      <c r="G311" s="726" t="s">
        <v>44</v>
      </c>
      <c r="H311" s="549">
        <v>6</v>
      </c>
      <c r="I311" s="549">
        <v>178</v>
      </c>
      <c r="J311" s="605">
        <f t="shared" si="28"/>
        <v>-768960</v>
      </c>
      <c r="K311" s="746">
        <v>55.7</v>
      </c>
      <c r="L311" s="606">
        <f t="shared" si="29"/>
        <v>240624</v>
      </c>
      <c r="M311" s="747">
        <f t="shared" si="30"/>
        <v>-528336</v>
      </c>
      <c r="N311" s="748">
        <v>55.7</v>
      </c>
      <c r="O311" s="607">
        <f t="shared" si="31"/>
        <v>240624</v>
      </c>
      <c r="P311" s="702">
        <f t="shared" si="32"/>
        <v>-528336</v>
      </c>
      <c r="Q311" s="748">
        <v>55.7</v>
      </c>
      <c r="R311" s="607">
        <f t="shared" si="33"/>
        <v>240624</v>
      </c>
      <c r="S311" s="702">
        <f t="shared" si="34"/>
        <v>-528336</v>
      </c>
      <c r="T311" s="696" t="s">
        <v>54</v>
      </c>
    </row>
    <row r="312" spans="1:20" x14ac:dyDescent="0.25">
      <c r="A312" s="690"/>
      <c r="B312" s="691" t="s">
        <v>792</v>
      </c>
      <c r="C312" s="676" t="s">
        <v>40</v>
      </c>
      <c r="D312" s="680">
        <v>44682</v>
      </c>
      <c r="E312" s="676">
        <v>744</v>
      </c>
      <c r="F312" s="676" t="s">
        <v>3</v>
      </c>
      <c r="G312" s="690" t="s">
        <v>44</v>
      </c>
      <c r="H312" s="115">
        <v>6</v>
      </c>
      <c r="I312" s="115">
        <v>178</v>
      </c>
      <c r="J312" s="601">
        <f t="shared" si="28"/>
        <v>-794592</v>
      </c>
      <c r="K312" s="738">
        <v>55.7</v>
      </c>
      <c r="L312" s="677">
        <f t="shared" si="29"/>
        <v>248644.80000000002</v>
      </c>
      <c r="M312" s="739">
        <f t="shared" si="30"/>
        <v>-545947.19999999995</v>
      </c>
      <c r="N312" s="740">
        <v>55.7</v>
      </c>
      <c r="O312" s="678">
        <f t="shared" si="31"/>
        <v>248644.80000000002</v>
      </c>
      <c r="P312" s="700">
        <f t="shared" si="32"/>
        <v>-545947.19999999995</v>
      </c>
      <c r="Q312" s="740">
        <v>55.7</v>
      </c>
      <c r="R312" s="678">
        <f t="shared" si="33"/>
        <v>248644.80000000002</v>
      </c>
      <c r="S312" s="700">
        <f t="shared" si="34"/>
        <v>-545947.19999999995</v>
      </c>
      <c r="T312" s="691" t="s">
        <v>54</v>
      </c>
    </row>
    <row r="313" spans="1:20" x14ac:dyDescent="0.25">
      <c r="A313" s="690"/>
      <c r="B313" s="695" t="s">
        <v>792</v>
      </c>
      <c r="C313" s="545" t="s">
        <v>40</v>
      </c>
      <c r="D313" s="681">
        <v>44713</v>
      </c>
      <c r="E313" s="545">
        <v>720</v>
      </c>
      <c r="F313" s="545" t="s">
        <v>3</v>
      </c>
      <c r="G313" s="725" t="s">
        <v>44</v>
      </c>
      <c r="H313" s="548">
        <v>6</v>
      </c>
      <c r="I313" s="548">
        <v>178</v>
      </c>
      <c r="J313" s="602">
        <f t="shared" si="28"/>
        <v>-768960</v>
      </c>
      <c r="K313" s="742">
        <v>55.71</v>
      </c>
      <c r="L313" s="603">
        <f t="shared" si="29"/>
        <v>240667.2</v>
      </c>
      <c r="M313" s="743">
        <f t="shared" si="30"/>
        <v>-528292.80000000005</v>
      </c>
      <c r="N313" s="744">
        <v>55.71</v>
      </c>
      <c r="O313" s="604">
        <f t="shared" si="31"/>
        <v>240667.2</v>
      </c>
      <c r="P313" s="701">
        <f t="shared" si="32"/>
        <v>-528292.80000000005</v>
      </c>
      <c r="Q313" s="744">
        <v>55.71</v>
      </c>
      <c r="R313" s="604">
        <f t="shared" si="33"/>
        <v>240667.2</v>
      </c>
      <c r="S313" s="701">
        <f t="shared" si="34"/>
        <v>-528292.80000000005</v>
      </c>
      <c r="T313" s="695" t="s">
        <v>54</v>
      </c>
    </row>
    <row r="314" spans="1:20" x14ac:dyDescent="0.25">
      <c r="A314" s="690"/>
      <c r="B314" s="697" t="s">
        <v>794</v>
      </c>
      <c r="C314" s="547" t="s">
        <v>40</v>
      </c>
      <c r="D314" s="683">
        <v>44896</v>
      </c>
      <c r="E314" s="547">
        <v>744</v>
      </c>
      <c r="F314" s="547" t="s">
        <v>3</v>
      </c>
      <c r="G314" s="727" t="s">
        <v>44</v>
      </c>
      <c r="H314" s="638">
        <v>-10</v>
      </c>
      <c r="I314" s="638">
        <v>237</v>
      </c>
      <c r="J314" s="639">
        <f t="shared" si="28"/>
        <v>1763280</v>
      </c>
      <c r="K314" s="750">
        <v>55.7</v>
      </c>
      <c r="L314" s="608">
        <f t="shared" si="29"/>
        <v>-414408</v>
      </c>
      <c r="M314" s="751">
        <f t="shared" si="30"/>
        <v>1348872</v>
      </c>
      <c r="N314" s="752">
        <v>55.7</v>
      </c>
      <c r="O314" s="609">
        <f t="shared" si="31"/>
        <v>-414408</v>
      </c>
      <c r="P314" s="703">
        <f t="shared" si="32"/>
        <v>1348872</v>
      </c>
      <c r="Q314" s="752">
        <v>78.400653594793155</v>
      </c>
      <c r="R314" s="609">
        <f t="shared" si="33"/>
        <v>-583300.86274526105</v>
      </c>
      <c r="S314" s="703">
        <f t="shared" si="34"/>
        <v>1179979.1372547389</v>
      </c>
      <c r="T314" s="697" t="s">
        <v>54</v>
      </c>
    </row>
    <row r="315" spans="1:20" x14ac:dyDescent="0.25">
      <c r="A315" s="690"/>
      <c r="B315" s="697" t="s">
        <v>796</v>
      </c>
      <c r="C315" s="547" t="s">
        <v>40</v>
      </c>
      <c r="D315" s="683">
        <v>44866</v>
      </c>
      <c r="E315" s="547">
        <v>720</v>
      </c>
      <c r="F315" s="547" t="s">
        <v>3</v>
      </c>
      <c r="G315" s="727" t="s">
        <v>44</v>
      </c>
      <c r="H315" s="638">
        <v>5</v>
      </c>
      <c r="I315" s="638">
        <v>262</v>
      </c>
      <c r="J315" s="639">
        <f t="shared" si="28"/>
        <v>-943200</v>
      </c>
      <c r="K315" s="750">
        <v>55.7</v>
      </c>
      <c r="L315" s="608">
        <f t="shared" si="29"/>
        <v>200520</v>
      </c>
      <c r="M315" s="751">
        <f t="shared" si="30"/>
        <v>-742680</v>
      </c>
      <c r="N315" s="752">
        <v>55.7</v>
      </c>
      <c r="O315" s="609">
        <f t="shared" si="31"/>
        <v>200520</v>
      </c>
      <c r="P315" s="703">
        <f t="shared" si="32"/>
        <v>-742680</v>
      </c>
      <c r="Q315" s="752">
        <v>55.7</v>
      </c>
      <c r="R315" s="609">
        <f t="shared" si="33"/>
        <v>200520</v>
      </c>
      <c r="S315" s="703">
        <f t="shared" si="34"/>
        <v>-742680</v>
      </c>
      <c r="T315" s="697" t="s">
        <v>54</v>
      </c>
    </row>
    <row r="316" spans="1:20" x14ac:dyDescent="0.25">
      <c r="A316" s="690"/>
      <c r="B316" s="697" t="s">
        <v>798</v>
      </c>
      <c r="C316" s="547" t="s">
        <v>40</v>
      </c>
      <c r="D316" s="683">
        <v>44835</v>
      </c>
      <c r="E316" s="547">
        <v>744</v>
      </c>
      <c r="F316" s="547" t="s">
        <v>3</v>
      </c>
      <c r="G316" s="727" t="s">
        <v>44</v>
      </c>
      <c r="H316" s="638">
        <v>5.1612900000000002</v>
      </c>
      <c r="I316" s="638">
        <v>262</v>
      </c>
      <c r="J316" s="639">
        <f t="shared" si="28"/>
        <v>-1006079.93712</v>
      </c>
      <c r="K316" s="750">
        <v>55.7</v>
      </c>
      <c r="L316" s="608">
        <f t="shared" si="29"/>
        <v>213887.98663200001</v>
      </c>
      <c r="M316" s="751">
        <f t="shared" si="30"/>
        <v>-792191.95048799994</v>
      </c>
      <c r="N316" s="752">
        <v>55.7</v>
      </c>
      <c r="O316" s="609">
        <f t="shared" si="31"/>
        <v>213887.98663200001</v>
      </c>
      <c r="P316" s="703">
        <f t="shared" si="32"/>
        <v>-792191.95048799994</v>
      </c>
      <c r="Q316" s="752">
        <v>55.7</v>
      </c>
      <c r="R316" s="609">
        <f t="shared" si="33"/>
        <v>213887.98663200001</v>
      </c>
      <c r="S316" s="703">
        <f t="shared" si="34"/>
        <v>-792191.95048799994</v>
      </c>
      <c r="T316" s="697" t="s">
        <v>54</v>
      </c>
    </row>
    <row r="317" spans="1:20" x14ac:dyDescent="0.25">
      <c r="A317" s="690"/>
      <c r="B317" s="696" t="s">
        <v>800</v>
      </c>
      <c r="C317" s="546" t="s">
        <v>40</v>
      </c>
      <c r="D317" s="682">
        <v>44562</v>
      </c>
      <c r="E317" s="546">
        <v>744</v>
      </c>
      <c r="F317" s="546" t="s">
        <v>3</v>
      </c>
      <c r="G317" s="726" t="s">
        <v>44</v>
      </c>
      <c r="H317" s="549">
        <v>5</v>
      </c>
      <c r="I317" s="549">
        <v>225</v>
      </c>
      <c r="J317" s="605">
        <f t="shared" si="28"/>
        <v>-837000</v>
      </c>
      <c r="K317" s="746">
        <v>62.91</v>
      </c>
      <c r="L317" s="606">
        <f t="shared" si="29"/>
        <v>234025.19999999998</v>
      </c>
      <c r="M317" s="747">
        <f t="shared" si="30"/>
        <v>-602974.80000000005</v>
      </c>
      <c r="N317" s="748">
        <v>62.91</v>
      </c>
      <c r="O317" s="607">
        <f t="shared" si="31"/>
        <v>234025.19999999998</v>
      </c>
      <c r="P317" s="702">
        <f t="shared" si="32"/>
        <v>-602974.80000000005</v>
      </c>
      <c r="Q317" s="748">
        <v>62.91</v>
      </c>
      <c r="R317" s="607">
        <f t="shared" si="33"/>
        <v>234025.19999999998</v>
      </c>
      <c r="S317" s="702">
        <f t="shared" si="34"/>
        <v>-602974.80000000005</v>
      </c>
      <c r="T317" s="696" t="s">
        <v>54</v>
      </c>
    </row>
    <row r="318" spans="1:20" x14ac:dyDescent="0.25">
      <c r="A318" s="690"/>
      <c r="B318" s="691" t="s">
        <v>800</v>
      </c>
      <c r="C318" s="676" t="s">
        <v>40</v>
      </c>
      <c r="D318" s="680">
        <v>44593</v>
      </c>
      <c r="E318" s="676">
        <v>672</v>
      </c>
      <c r="F318" s="676" t="s">
        <v>3</v>
      </c>
      <c r="G318" s="690" t="s">
        <v>44</v>
      </c>
      <c r="H318" s="115">
        <v>5</v>
      </c>
      <c r="I318" s="115">
        <v>225</v>
      </c>
      <c r="J318" s="601">
        <f t="shared" si="28"/>
        <v>-756000</v>
      </c>
      <c r="K318" s="738">
        <v>55.7</v>
      </c>
      <c r="L318" s="677">
        <f t="shared" si="29"/>
        <v>187152</v>
      </c>
      <c r="M318" s="739">
        <f t="shared" si="30"/>
        <v>-568848</v>
      </c>
      <c r="N318" s="740">
        <v>55.7</v>
      </c>
      <c r="O318" s="678">
        <f t="shared" si="31"/>
        <v>187152</v>
      </c>
      <c r="P318" s="700">
        <f t="shared" si="32"/>
        <v>-568848</v>
      </c>
      <c r="Q318" s="740">
        <v>55.7</v>
      </c>
      <c r="R318" s="678">
        <f t="shared" si="33"/>
        <v>187152</v>
      </c>
      <c r="S318" s="700">
        <f t="shared" si="34"/>
        <v>-568848</v>
      </c>
      <c r="T318" s="691" t="s">
        <v>54</v>
      </c>
    </row>
    <row r="319" spans="1:20" x14ac:dyDescent="0.25">
      <c r="A319" s="690"/>
      <c r="B319" s="691" t="s">
        <v>800</v>
      </c>
      <c r="C319" s="676" t="s">
        <v>40</v>
      </c>
      <c r="D319" s="680">
        <v>44621</v>
      </c>
      <c r="E319" s="676">
        <v>744</v>
      </c>
      <c r="F319" s="676" t="s">
        <v>3</v>
      </c>
      <c r="G319" s="690" t="s">
        <v>44</v>
      </c>
      <c r="H319" s="115">
        <v>5</v>
      </c>
      <c r="I319" s="115">
        <v>225</v>
      </c>
      <c r="J319" s="601">
        <f t="shared" si="28"/>
        <v>-837000</v>
      </c>
      <c r="K319" s="738">
        <v>55.7</v>
      </c>
      <c r="L319" s="677">
        <f t="shared" si="29"/>
        <v>207204</v>
      </c>
      <c r="M319" s="739">
        <f t="shared" si="30"/>
        <v>-629796</v>
      </c>
      <c r="N319" s="740">
        <v>55.7</v>
      </c>
      <c r="O319" s="678">
        <f t="shared" si="31"/>
        <v>207204</v>
      </c>
      <c r="P319" s="700">
        <f t="shared" si="32"/>
        <v>-629796</v>
      </c>
      <c r="Q319" s="740">
        <v>55.7</v>
      </c>
      <c r="R319" s="678">
        <f t="shared" si="33"/>
        <v>207204</v>
      </c>
      <c r="S319" s="700">
        <f t="shared" si="34"/>
        <v>-629796</v>
      </c>
      <c r="T319" s="691" t="s">
        <v>54</v>
      </c>
    </row>
    <row r="320" spans="1:20" x14ac:dyDescent="0.25">
      <c r="A320" s="690"/>
      <c r="B320" s="691" t="s">
        <v>800</v>
      </c>
      <c r="C320" s="676" t="s">
        <v>40</v>
      </c>
      <c r="D320" s="680">
        <v>44652</v>
      </c>
      <c r="E320" s="676">
        <v>720</v>
      </c>
      <c r="F320" s="676" t="s">
        <v>3</v>
      </c>
      <c r="G320" s="690" t="s">
        <v>44</v>
      </c>
      <c r="H320" s="115">
        <v>5</v>
      </c>
      <c r="I320" s="115">
        <v>225</v>
      </c>
      <c r="J320" s="601">
        <f t="shared" si="28"/>
        <v>-810000</v>
      </c>
      <c r="K320" s="738">
        <v>55.7</v>
      </c>
      <c r="L320" s="677">
        <f t="shared" si="29"/>
        <v>200520</v>
      </c>
      <c r="M320" s="739">
        <f t="shared" si="30"/>
        <v>-609480</v>
      </c>
      <c r="N320" s="740">
        <v>55.7</v>
      </c>
      <c r="O320" s="678">
        <f t="shared" si="31"/>
        <v>200520</v>
      </c>
      <c r="P320" s="700">
        <f t="shared" si="32"/>
        <v>-609480</v>
      </c>
      <c r="Q320" s="740">
        <v>55.7</v>
      </c>
      <c r="R320" s="678">
        <f t="shared" si="33"/>
        <v>200520</v>
      </c>
      <c r="S320" s="700">
        <f t="shared" si="34"/>
        <v>-609480</v>
      </c>
      <c r="T320" s="691" t="s">
        <v>54</v>
      </c>
    </row>
    <row r="321" spans="1:20" x14ac:dyDescent="0.25">
      <c r="A321" s="690"/>
      <c r="B321" s="691" t="s">
        <v>800</v>
      </c>
      <c r="C321" s="676" t="s">
        <v>40</v>
      </c>
      <c r="D321" s="680">
        <v>44682</v>
      </c>
      <c r="E321" s="676">
        <v>744</v>
      </c>
      <c r="F321" s="676" t="s">
        <v>3</v>
      </c>
      <c r="G321" s="690" t="s">
        <v>44</v>
      </c>
      <c r="H321" s="115">
        <v>5</v>
      </c>
      <c r="I321" s="115">
        <v>225</v>
      </c>
      <c r="J321" s="601">
        <f t="shared" si="28"/>
        <v>-837000</v>
      </c>
      <c r="K321" s="738">
        <v>55.7</v>
      </c>
      <c r="L321" s="677">
        <f t="shared" si="29"/>
        <v>207204</v>
      </c>
      <c r="M321" s="739">
        <f t="shared" si="30"/>
        <v>-629796</v>
      </c>
      <c r="N321" s="740">
        <v>55.7</v>
      </c>
      <c r="O321" s="678">
        <f t="shared" si="31"/>
        <v>207204</v>
      </c>
      <c r="P321" s="700">
        <f t="shared" si="32"/>
        <v>-629796</v>
      </c>
      <c r="Q321" s="740">
        <v>55.7</v>
      </c>
      <c r="R321" s="678">
        <f t="shared" si="33"/>
        <v>207204</v>
      </c>
      <c r="S321" s="700">
        <f t="shared" si="34"/>
        <v>-629796</v>
      </c>
      <c r="T321" s="691" t="s">
        <v>54</v>
      </c>
    </row>
    <row r="322" spans="1:20" x14ac:dyDescent="0.25">
      <c r="A322" s="690"/>
      <c r="B322" s="691" t="s">
        <v>800</v>
      </c>
      <c r="C322" s="676" t="s">
        <v>40</v>
      </c>
      <c r="D322" s="680">
        <v>44713</v>
      </c>
      <c r="E322" s="676">
        <v>720</v>
      </c>
      <c r="F322" s="676" t="s">
        <v>3</v>
      </c>
      <c r="G322" s="690" t="s">
        <v>44</v>
      </c>
      <c r="H322" s="115">
        <v>5</v>
      </c>
      <c r="I322" s="115">
        <v>225</v>
      </c>
      <c r="J322" s="601">
        <f t="shared" si="28"/>
        <v>-810000</v>
      </c>
      <c r="K322" s="738">
        <v>55.71</v>
      </c>
      <c r="L322" s="677">
        <f t="shared" si="29"/>
        <v>200556</v>
      </c>
      <c r="M322" s="739">
        <f t="shared" si="30"/>
        <v>-609444</v>
      </c>
      <c r="N322" s="740">
        <v>55.71</v>
      </c>
      <c r="O322" s="678">
        <f t="shared" si="31"/>
        <v>200556</v>
      </c>
      <c r="P322" s="700">
        <f t="shared" si="32"/>
        <v>-609444</v>
      </c>
      <c r="Q322" s="740">
        <v>55.71</v>
      </c>
      <c r="R322" s="678">
        <f t="shared" si="33"/>
        <v>200556</v>
      </c>
      <c r="S322" s="700">
        <f t="shared" si="34"/>
        <v>-609444</v>
      </c>
      <c r="T322" s="691" t="s">
        <v>54</v>
      </c>
    </row>
    <row r="323" spans="1:20" x14ac:dyDescent="0.25">
      <c r="A323" s="690"/>
      <c r="B323" s="691" t="s">
        <v>800</v>
      </c>
      <c r="C323" s="676" t="s">
        <v>40</v>
      </c>
      <c r="D323" s="680">
        <v>44743</v>
      </c>
      <c r="E323" s="676">
        <v>744</v>
      </c>
      <c r="F323" s="676" t="s">
        <v>3</v>
      </c>
      <c r="G323" s="690" t="s">
        <v>44</v>
      </c>
      <c r="H323" s="115">
        <v>5</v>
      </c>
      <c r="I323" s="115">
        <v>225</v>
      </c>
      <c r="J323" s="601">
        <f t="shared" ref="J323:J386" si="35">(I323*(E323*H323))*-1</f>
        <v>-837000</v>
      </c>
      <c r="K323" s="738">
        <v>66.319999999999993</v>
      </c>
      <c r="L323" s="677">
        <f t="shared" ref="L323:L386" si="36">(((E323*H323)*K323))</f>
        <v>246710.39999999997</v>
      </c>
      <c r="M323" s="739">
        <f t="shared" ref="M323:M386" si="37">J323+L323</f>
        <v>-590289.60000000009</v>
      </c>
      <c r="N323" s="740">
        <v>66.319999999999993</v>
      </c>
      <c r="O323" s="678">
        <f t="shared" ref="O323:O386" si="38">((E323*H323)*N323)</f>
        <v>246710.39999999997</v>
      </c>
      <c r="P323" s="700">
        <f t="shared" ref="P323:P386" si="39">J323+O323</f>
        <v>-590289.60000000009</v>
      </c>
      <c r="Q323" s="740">
        <v>66.319999999999993</v>
      </c>
      <c r="R323" s="678">
        <f t="shared" ref="R323:R386" si="40">((E323*H323)*Q323)</f>
        <v>246710.39999999997</v>
      </c>
      <c r="S323" s="700">
        <f t="shared" ref="S323:S386" si="41">J323+R323</f>
        <v>-590289.60000000009</v>
      </c>
      <c r="T323" s="691" t="s">
        <v>54</v>
      </c>
    </row>
    <row r="324" spans="1:20" x14ac:dyDescent="0.25">
      <c r="A324" s="690"/>
      <c r="B324" s="691" t="s">
        <v>800</v>
      </c>
      <c r="C324" s="676" t="s">
        <v>40</v>
      </c>
      <c r="D324" s="680">
        <v>44774</v>
      </c>
      <c r="E324" s="676">
        <v>744</v>
      </c>
      <c r="F324" s="676" t="s">
        <v>3</v>
      </c>
      <c r="G324" s="690" t="s">
        <v>44</v>
      </c>
      <c r="H324" s="115">
        <v>5</v>
      </c>
      <c r="I324" s="115">
        <v>225</v>
      </c>
      <c r="J324" s="601">
        <f t="shared" si="35"/>
        <v>-837000</v>
      </c>
      <c r="K324" s="738">
        <v>76.900000000000006</v>
      </c>
      <c r="L324" s="677">
        <f t="shared" si="36"/>
        <v>286068</v>
      </c>
      <c r="M324" s="739">
        <f t="shared" si="37"/>
        <v>-550932</v>
      </c>
      <c r="N324" s="740">
        <v>76.900000000000006</v>
      </c>
      <c r="O324" s="678">
        <f t="shared" si="38"/>
        <v>286068</v>
      </c>
      <c r="P324" s="700">
        <f t="shared" si="39"/>
        <v>-550932</v>
      </c>
      <c r="Q324" s="740">
        <v>76.900000000000006</v>
      </c>
      <c r="R324" s="678">
        <f t="shared" si="40"/>
        <v>286068</v>
      </c>
      <c r="S324" s="700">
        <f t="shared" si="41"/>
        <v>-550932</v>
      </c>
      <c r="T324" s="691" t="s">
        <v>54</v>
      </c>
    </row>
    <row r="325" spans="1:20" x14ac:dyDescent="0.25">
      <c r="A325" s="690"/>
      <c r="B325" s="691" t="s">
        <v>800</v>
      </c>
      <c r="C325" s="676" t="s">
        <v>40</v>
      </c>
      <c r="D325" s="680">
        <v>44805</v>
      </c>
      <c r="E325" s="676">
        <v>720</v>
      </c>
      <c r="F325" s="676" t="s">
        <v>3</v>
      </c>
      <c r="G325" s="690" t="s">
        <v>44</v>
      </c>
      <c r="H325" s="115">
        <v>5</v>
      </c>
      <c r="I325" s="115">
        <v>225</v>
      </c>
      <c r="J325" s="601">
        <f t="shared" si="35"/>
        <v>-810000</v>
      </c>
      <c r="K325" s="738">
        <v>56.08</v>
      </c>
      <c r="L325" s="677">
        <f t="shared" si="36"/>
        <v>201888</v>
      </c>
      <c r="M325" s="739">
        <f t="shared" si="37"/>
        <v>-608112</v>
      </c>
      <c r="N325" s="740">
        <v>56.08</v>
      </c>
      <c r="O325" s="678">
        <f t="shared" si="38"/>
        <v>201888</v>
      </c>
      <c r="P325" s="700">
        <f t="shared" si="39"/>
        <v>-608112</v>
      </c>
      <c r="Q325" s="740">
        <v>56.08</v>
      </c>
      <c r="R325" s="678">
        <f t="shared" si="40"/>
        <v>201888</v>
      </c>
      <c r="S325" s="700">
        <f t="shared" si="41"/>
        <v>-608112</v>
      </c>
      <c r="T325" s="691" t="s">
        <v>54</v>
      </c>
    </row>
    <row r="326" spans="1:20" x14ac:dyDescent="0.25">
      <c r="A326" s="690"/>
      <c r="B326" s="691" t="s">
        <v>800</v>
      </c>
      <c r="C326" s="676" t="s">
        <v>40</v>
      </c>
      <c r="D326" s="680">
        <v>44835</v>
      </c>
      <c r="E326" s="676">
        <v>744</v>
      </c>
      <c r="F326" s="676" t="s">
        <v>3</v>
      </c>
      <c r="G326" s="690" t="s">
        <v>44</v>
      </c>
      <c r="H326" s="115">
        <v>5</v>
      </c>
      <c r="I326" s="115">
        <v>225</v>
      </c>
      <c r="J326" s="601">
        <f t="shared" si="35"/>
        <v>-837000</v>
      </c>
      <c r="K326" s="738">
        <v>55.7</v>
      </c>
      <c r="L326" s="677">
        <f t="shared" si="36"/>
        <v>207204</v>
      </c>
      <c r="M326" s="739">
        <f t="shared" si="37"/>
        <v>-629796</v>
      </c>
      <c r="N326" s="740">
        <v>55.7</v>
      </c>
      <c r="O326" s="678">
        <f t="shared" si="38"/>
        <v>207204</v>
      </c>
      <c r="P326" s="700">
        <f t="shared" si="39"/>
        <v>-629796</v>
      </c>
      <c r="Q326" s="740">
        <v>55.7</v>
      </c>
      <c r="R326" s="678">
        <f t="shared" si="40"/>
        <v>207204</v>
      </c>
      <c r="S326" s="700">
        <f t="shared" si="41"/>
        <v>-629796</v>
      </c>
      <c r="T326" s="691" t="s">
        <v>54</v>
      </c>
    </row>
    <row r="327" spans="1:20" x14ac:dyDescent="0.25">
      <c r="A327" s="690"/>
      <c r="B327" s="691" t="s">
        <v>800</v>
      </c>
      <c r="C327" s="676" t="s">
        <v>40</v>
      </c>
      <c r="D327" s="680">
        <v>44866</v>
      </c>
      <c r="E327" s="676">
        <v>720</v>
      </c>
      <c r="F327" s="676" t="s">
        <v>3</v>
      </c>
      <c r="G327" s="690" t="s">
        <v>44</v>
      </c>
      <c r="H327" s="115">
        <v>5</v>
      </c>
      <c r="I327" s="115">
        <v>225</v>
      </c>
      <c r="J327" s="601">
        <f t="shared" si="35"/>
        <v>-810000</v>
      </c>
      <c r="K327" s="738">
        <v>55.7</v>
      </c>
      <c r="L327" s="677">
        <f t="shared" si="36"/>
        <v>200520</v>
      </c>
      <c r="M327" s="739">
        <f t="shared" si="37"/>
        <v>-609480</v>
      </c>
      <c r="N327" s="740">
        <v>55.7</v>
      </c>
      <c r="O327" s="678">
        <f t="shared" si="38"/>
        <v>200520</v>
      </c>
      <c r="P327" s="700">
        <f t="shared" si="39"/>
        <v>-609480</v>
      </c>
      <c r="Q327" s="740">
        <v>55.7</v>
      </c>
      <c r="R327" s="678">
        <f t="shared" si="40"/>
        <v>200520</v>
      </c>
      <c r="S327" s="700">
        <f t="shared" si="41"/>
        <v>-609480</v>
      </c>
      <c r="T327" s="691" t="s">
        <v>54</v>
      </c>
    </row>
    <row r="328" spans="1:20" x14ac:dyDescent="0.25">
      <c r="A328" s="690"/>
      <c r="B328" s="695" t="s">
        <v>800</v>
      </c>
      <c r="C328" s="545" t="s">
        <v>40</v>
      </c>
      <c r="D328" s="681">
        <v>44896</v>
      </c>
      <c r="E328" s="545">
        <v>744</v>
      </c>
      <c r="F328" s="545" t="s">
        <v>3</v>
      </c>
      <c r="G328" s="725" t="s">
        <v>44</v>
      </c>
      <c r="H328" s="548">
        <v>5</v>
      </c>
      <c r="I328" s="548">
        <v>225</v>
      </c>
      <c r="J328" s="602">
        <f t="shared" si="35"/>
        <v>-837000</v>
      </c>
      <c r="K328" s="742">
        <v>55.7</v>
      </c>
      <c r="L328" s="603">
        <f t="shared" si="36"/>
        <v>207204</v>
      </c>
      <c r="M328" s="743">
        <f t="shared" si="37"/>
        <v>-629796</v>
      </c>
      <c r="N328" s="744">
        <v>55.7</v>
      </c>
      <c r="O328" s="604">
        <f t="shared" si="38"/>
        <v>207204</v>
      </c>
      <c r="P328" s="701">
        <f t="shared" si="39"/>
        <v>-629796</v>
      </c>
      <c r="Q328" s="744">
        <v>78.400653594793155</v>
      </c>
      <c r="R328" s="604">
        <f t="shared" si="40"/>
        <v>291650.43137263053</v>
      </c>
      <c r="S328" s="701">
        <f t="shared" si="41"/>
        <v>-545349.56862736947</v>
      </c>
      <c r="T328" s="695" t="s">
        <v>54</v>
      </c>
    </row>
    <row r="329" spans="1:20" x14ac:dyDescent="0.25">
      <c r="A329" s="690"/>
      <c r="B329" s="696" t="s">
        <v>802</v>
      </c>
      <c r="C329" s="546" t="s">
        <v>40</v>
      </c>
      <c r="D329" s="682">
        <v>44743</v>
      </c>
      <c r="E329" s="546">
        <v>744</v>
      </c>
      <c r="F329" s="546" t="s">
        <v>3</v>
      </c>
      <c r="G329" s="726" t="s">
        <v>44</v>
      </c>
      <c r="H329" s="549">
        <v>1</v>
      </c>
      <c r="I329" s="549">
        <v>266</v>
      </c>
      <c r="J329" s="605">
        <f t="shared" si="35"/>
        <v>-197904</v>
      </c>
      <c r="K329" s="746">
        <v>66.319999999999993</v>
      </c>
      <c r="L329" s="606">
        <f t="shared" si="36"/>
        <v>49342.079999999994</v>
      </c>
      <c r="M329" s="747">
        <f t="shared" si="37"/>
        <v>-148561.92000000001</v>
      </c>
      <c r="N329" s="748">
        <v>66.319999999999993</v>
      </c>
      <c r="O329" s="607">
        <f t="shared" si="38"/>
        <v>49342.079999999994</v>
      </c>
      <c r="P329" s="702">
        <f t="shared" si="39"/>
        <v>-148561.92000000001</v>
      </c>
      <c r="Q329" s="748">
        <v>66.319999999999993</v>
      </c>
      <c r="R329" s="607">
        <f t="shared" si="40"/>
        <v>49342.079999999994</v>
      </c>
      <c r="S329" s="702">
        <f t="shared" si="41"/>
        <v>-148561.92000000001</v>
      </c>
      <c r="T329" s="696" t="s">
        <v>54</v>
      </c>
    </row>
    <row r="330" spans="1:20" x14ac:dyDescent="0.25">
      <c r="A330" s="690"/>
      <c r="B330" s="691" t="s">
        <v>802</v>
      </c>
      <c r="C330" s="676" t="s">
        <v>40</v>
      </c>
      <c r="D330" s="680">
        <v>44774</v>
      </c>
      <c r="E330" s="676">
        <v>744</v>
      </c>
      <c r="F330" s="676" t="s">
        <v>3</v>
      </c>
      <c r="G330" s="690" t="s">
        <v>44</v>
      </c>
      <c r="H330" s="115">
        <v>1</v>
      </c>
      <c r="I330" s="115">
        <v>266</v>
      </c>
      <c r="J330" s="601">
        <f t="shared" si="35"/>
        <v>-197904</v>
      </c>
      <c r="K330" s="738">
        <v>76.900000000000006</v>
      </c>
      <c r="L330" s="677">
        <f t="shared" si="36"/>
        <v>57213.600000000006</v>
      </c>
      <c r="M330" s="739">
        <f t="shared" si="37"/>
        <v>-140690.4</v>
      </c>
      <c r="N330" s="740">
        <v>76.900000000000006</v>
      </c>
      <c r="O330" s="678">
        <f t="shared" si="38"/>
        <v>57213.600000000006</v>
      </c>
      <c r="P330" s="700">
        <f t="shared" si="39"/>
        <v>-140690.4</v>
      </c>
      <c r="Q330" s="740">
        <v>76.900000000000006</v>
      </c>
      <c r="R330" s="678">
        <f t="shared" si="40"/>
        <v>57213.600000000006</v>
      </c>
      <c r="S330" s="700">
        <f t="shared" si="41"/>
        <v>-140690.4</v>
      </c>
      <c r="T330" s="691" t="s">
        <v>54</v>
      </c>
    </row>
    <row r="331" spans="1:20" x14ac:dyDescent="0.25">
      <c r="A331" s="690"/>
      <c r="B331" s="691" t="s">
        <v>802</v>
      </c>
      <c r="C331" s="676" t="s">
        <v>40</v>
      </c>
      <c r="D331" s="680">
        <v>44805</v>
      </c>
      <c r="E331" s="676">
        <v>720</v>
      </c>
      <c r="F331" s="676" t="s">
        <v>3</v>
      </c>
      <c r="G331" s="690" t="s">
        <v>44</v>
      </c>
      <c r="H331" s="115">
        <v>1</v>
      </c>
      <c r="I331" s="115">
        <v>266</v>
      </c>
      <c r="J331" s="601">
        <f t="shared" si="35"/>
        <v>-191520</v>
      </c>
      <c r="K331" s="738">
        <v>56.08</v>
      </c>
      <c r="L331" s="677">
        <f t="shared" si="36"/>
        <v>40377.599999999999</v>
      </c>
      <c r="M331" s="739">
        <f t="shared" si="37"/>
        <v>-151142.39999999999</v>
      </c>
      <c r="N331" s="740">
        <v>56.08</v>
      </c>
      <c r="O331" s="678">
        <f t="shared" si="38"/>
        <v>40377.599999999999</v>
      </c>
      <c r="P331" s="700">
        <f t="shared" si="39"/>
        <v>-151142.39999999999</v>
      </c>
      <c r="Q331" s="740">
        <v>56.08</v>
      </c>
      <c r="R331" s="678">
        <f t="shared" si="40"/>
        <v>40377.599999999999</v>
      </c>
      <c r="S331" s="700">
        <f t="shared" si="41"/>
        <v>-151142.39999999999</v>
      </c>
      <c r="T331" s="691" t="s">
        <v>54</v>
      </c>
    </row>
    <row r="332" spans="1:20" x14ac:dyDescent="0.25">
      <c r="A332" s="690"/>
      <c r="B332" s="691" t="s">
        <v>802</v>
      </c>
      <c r="C332" s="676" t="s">
        <v>40</v>
      </c>
      <c r="D332" s="680">
        <v>44835</v>
      </c>
      <c r="E332" s="676">
        <v>744</v>
      </c>
      <c r="F332" s="676" t="s">
        <v>3</v>
      </c>
      <c r="G332" s="690" t="s">
        <v>44</v>
      </c>
      <c r="H332" s="115">
        <v>1</v>
      </c>
      <c r="I332" s="115">
        <v>266</v>
      </c>
      <c r="J332" s="601">
        <f t="shared" si="35"/>
        <v>-197904</v>
      </c>
      <c r="K332" s="738">
        <v>55.7</v>
      </c>
      <c r="L332" s="677">
        <f t="shared" si="36"/>
        <v>41440.800000000003</v>
      </c>
      <c r="M332" s="739">
        <f t="shared" si="37"/>
        <v>-156463.20000000001</v>
      </c>
      <c r="N332" s="740">
        <v>55.7</v>
      </c>
      <c r="O332" s="678">
        <f t="shared" si="38"/>
        <v>41440.800000000003</v>
      </c>
      <c r="P332" s="700">
        <f t="shared" si="39"/>
        <v>-156463.20000000001</v>
      </c>
      <c r="Q332" s="740">
        <v>55.7</v>
      </c>
      <c r="R332" s="678">
        <f t="shared" si="40"/>
        <v>41440.800000000003</v>
      </c>
      <c r="S332" s="700">
        <f t="shared" si="41"/>
        <v>-156463.20000000001</v>
      </c>
      <c r="T332" s="691" t="s">
        <v>54</v>
      </c>
    </row>
    <row r="333" spans="1:20" x14ac:dyDescent="0.25">
      <c r="A333" s="690"/>
      <c r="B333" s="691" t="s">
        <v>802</v>
      </c>
      <c r="C333" s="676" t="s">
        <v>40</v>
      </c>
      <c r="D333" s="680">
        <v>44866</v>
      </c>
      <c r="E333" s="676">
        <v>720</v>
      </c>
      <c r="F333" s="676" t="s">
        <v>3</v>
      </c>
      <c r="G333" s="690" t="s">
        <v>44</v>
      </c>
      <c r="H333" s="115">
        <v>1</v>
      </c>
      <c r="I333" s="115">
        <v>266</v>
      </c>
      <c r="J333" s="601">
        <f t="shared" si="35"/>
        <v>-191520</v>
      </c>
      <c r="K333" s="738">
        <v>55.7</v>
      </c>
      <c r="L333" s="677">
        <f t="shared" si="36"/>
        <v>40104</v>
      </c>
      <c r="M333" s="739">
        <f t="shared" si="37"/>
        <v>-151416</v>
      </c>
      <c r="N333" s="740">
        <v>55.7</v>
      </c>
      <c r="O333" s="678">
        <f t="shared" si="38"/>
        <v>40104</v>
      </c>
      <c r="P333" s="700">
        <f t="shared" si="39"/>
        <v>-151416</v>
      </c>
      <c r="Q333" s="740">
        <v>55.7</v>
      </c>
      <c r="R333" s="678">
        <f t="shared" si="40"/>
        <v>40104</v>
      </c>
      <c r="S333" s="700">
        <f t="shared" si="41"/>
        <v>-151416</v>
      </c>
      <c r="T333" s="691" t="s">
        <v>54</v>
      </c>
    </row>
    <row r="334" spans="1:20" x14ac:dyDescent="0.25">
      <c r="A334" s="690"/>
      <c r="B334" s="695" t="s">
        <v>802</v>
      </c>
      <c r="C334" s="545" t="s">
        <v>40</v>
      </c>
      <c r="D334" s="681">
        <v>44896</v>
      </c>
      <c r="E334" s="545">
        <v>744</v>
      </c>
      <c r="F334" s="545" t="s">
        <v>3</v>
      </c>
      <c r="G334" s="725" t="s">
        <v>44</v>
      </c>
      <c r="H334" s="548">
        <v>1</v>
      </c>
      <c r="I334" s="548">
        <v>266</v>
      </c>
      <c r="J334" s="602">
        <f t="shared" si="35"/>
        <v>-197904</v>
      </c>
      <c r="K334" s="742">
        <v>55.7</v>
      </c>
      <c r="L334" s="603">
        <f t="shared" si="36"/>
        <v>41440.800000000003</v>
      </c>
      <c r="M334" s="743">
        <f t="shared" si="37"/>
        <v>-156463.20000000001</v>
      </c>
      <c r="N334" s="744">
        <v>55.7</v>
      </c>
      <c r="O334" s="604">
        <f t="shared" si="38"/>
        <v>41440.800000000003</v>
      </c>
      <c r="P334" s="701">
        <f t="shared" si="39"/>
        <v>-156463.20000000001</v>
      </c>
      <c r="Q334" s="744">
        <v>78.400653594793155</v>
      </c>
      <c r="R334" s="604">
        <f t="shared" si="40"/>
        <v>58330.086274526111</v>
      </c>
      <c r="S334" s="701">
        <f t="shared" si="41"/>
        <v>-139573.91372547389</v>
      </c>
      <c r="T334" s="695" t="s">
        <v>54</v>
      </c>
    </row>
    <row r="335" spans="1:20" x14ac:dyDescent="0.25">
      <c r="A335" s="690"/>
      <c r="B335" s="697" t="s">
        <v>804</v>
      </c>
      <c r="C335" s="547" t="s">
        <v>40</v>
      </c>
      <c r="D335" s="683">
        <v>44621</v>
      </c>
      <c r="E335" s="547">
        <v>744</v>
      </c>
      <c r="F335" s="547" t="s">
        <v>3</v>
      </c>
      <c r="G335" s="727" t="s">
        <v>44</v>
      </c>
      <c r="H335" s="638">
        <v>-4</v>
      </c>
      <c r="I335" s="638">
        <v>190</v>
      </c>
      <c r="J335" s="639">
        <f t="shared" si="35"/>
        <v>565440</v>
      </c>
      <c r="K335" s="750">
        <v>55.7</v>
      </c>
      <c r="L335" s="608">
        <f t="shared" si="36"/>
        <v>-165763.20000000001</v>
      </c>
      <c r="M335" s="751">
        <f t="shared" si="37"/>
        <v>399676.8</v>
      </c>
      <c r="N335" s="752">
        <v>55.7</v>
      </c>
      <c r="O335" s="609">
        <f t="shared" si="38"/>
        <v>-165763.20000000001</v>
      </c>
      <c r="P335" s="703">
        <f t="shared" si="39"/>
        <v>399676.8</v>
      </c>
      <c r="Q335" s="752">
        <v>55.7</v>
      </c>
      <c r="R335" s="609">
        <f t="shared" si="40"/>
        <v>-165763.20000000001</v>
      </c>
      <c r="S335" s="703">
        <f t="shared" si="41"/>
        <v>399676.8</v>
      </c>
      <c r="T335" s="697" t="s">
        <v>54</v>
      </c>
    </row>
    <row r="336" spans="1:20" x14ac:dyDescent="0.25">
      <c r="A336" s="690"/>
      <c r="B336" s="697" t="s">
        <v>806</v>
      </c>
      <c r="C336" s="547" t="s">
        <v>40</v>
      </c>
      <c r="D336" s="683">
        <v>44593</v>
      </c>
      <c r="E336" s="547">
        <v>672</v>
      </c>
      <c r="F336" s="547" t="s">
        <v>3</v>
      </c>
      <c r="G336" s="727" t="s">
        <v>44</v>
      </c>
      <c r="H336" s="638">
        <v>-1</v>
      </c>
      <c r="I336" s="638">
        <v>194.5</v>
      </c>
      <c r="J336" s="639">
        <f t="shared" si="35"/>
        <v>130704</v>
      </c>
      <c r="K336" s="750">
        <v>55.7</v>
      </c>
      <c r="L336" s="608">
        <f t="shared" si="36"/>
        <v>-37430.400000000001</v>
      </c>
      <c r="M336" s="751">
        <f t="shared" si="37"/>
        <v>93273.600000000006</v>
      </c>
      <c r="N336" s="752">
        <v>55.7</v>
      </c>
      <c r="O336" s="609">
        <f t="shared" si="38"/>
        <v>-37430.400000000001</v>
      </c>
      <c r="P336" s="703">
        <f t="shared" si="39"/>
        <v>93273.600000000006</v>
      </c>
      <c r="Q336" s="752">
        <v>55.7</v>
      </c>
      <c r="R336" s="609">
        <f t="shared" si="40"/>
        <v>-37430.400000000001</v>
      </c>
      <c r="S336" s="703">
        <f t="shared" si="41"/>
        <v>93273.600000000006</v>
      </c>
      <c r="T336" s="697" t="s">
        <v>54</v>
      </c>
    </row>
    <row r="337" spans="1:20" x14ac:dyDescent="0.25">
      <c r="A337" s="690"/>
      <c r="B337" s="696" t="s">
        <v>808</v>
      </c>
      <c r="C337" s="546" t="s">
        <v>40</v>
      </c>
      <c r="D337" s="682">
        <v>44743</v>
      </c>
      <c r="E337" s="546">
        <v>744</v>
      </c>
      <c r="F337" s="546" t="s">
        <v>3</v>
      </c>
      <c r="G337" s="726" t="s">
        <v>44</v>
      </c>
      <c r="H337" s="549">
        <v>1</v>
      </c>
      <c r="I337" s="549">
        <v>267</v>
      </c>
      <c r="J337" s="605">
        <f t="shared" si="35"/>
        <v>-198648</v>
      </c>
      <c r="K337" s="746">
        <v>66.319999999999993</v>
      </c>
      <c r="L337" s="606">
        <f t="shared" si="36"/>
        <v>49342.079999999994</v>
      </c>
      <c r="M337" s="747">
        <f t="shared" si="37"/>
        <v>-149305.92000000001</v>
      </c>
      <c r="N337" s="748">
        <v>66.319999999999993</v>
      </c>
      <c r="O337" s="607">
        <f t="shared" si="38"/>
        <v>49342.079999999994</v>
      </c>
      <c r="P337" s="702">
        <f t="shared" si="39"/>
        <v>-149305.92000000001</v>
      </c>
      <c r="Q337" s="748">
        <v>66.319999999999993</v>
      </c>
      <c r="R337" s="607">
        <f t="shared" si="40"/>
        <v>49342.079999999994</v>
      </c>
      <c r="S337" s="702">
        <f t="shared" si="41"/>
        <v>-149305.92000000001</v>
      </c>
      <c r="T337" s="696" t="s">
        <v>54</v>
      </c>
    </row>
    <row r="338" spans="1:20" x14ac:dyDescent="0.25">
      <c r="A338" s="690"/>
      <c r="B338" s="691" t="s">
        <v>808</v>
      </c>
      <c r="C338" s="676" t="s">
        <v>40</v>
      </c>
      <c r="D338" s="680">
        <v>44774</v>
      </c>
      <c r="E338" s="676">
        <v>744</v>
      </c>
      <c r="F338" s="676" t="s">
        <v>3</v>
      </c>
      <c r="G338" s="690" t="s">
        <v>44</v>
      </c>
      <c r="H338" s="115">
        <v>1</v>
      </c>
      <c r="I338" s="115">
        <v>267</v>
      </c>
      <c r="J338" s="601">
        <f t="shared" si="35"/>
        <v>-198648</v>
      </c>
      <c r="K338" s="738">
        <v>76.900000000000006</v>
      </c>
      <c r="L338" s="677">
        <f t="shared" si="36"/>
        <v>57213.600000000006</v>
      </c>
      <c r="M338" s="739">
        <f t="shared" si="37"/>
        <v>-141434.4</v>
      </c>
      <c r="N338" s="740">
        <v>76.900000000000006</v>
      </c>
      <c r="O338" s="678">
        <f t="shared" si="38"/>
        <v>57213.600000000006</v>
      </c>
      <c r="P338" s="700">
        <f t="shared" si="39"/>
        <v>-141434.4</v>
      </c>
      <c r="Q338" s="740">
        <v>76.900000000000006</v>
      </c>
      <c r="R338" s="678">
        <f t="shared" si="40"/>
        <v>57213.600000000006</v>
      </c>
      <c r="S338" s="700">
        <f t="shared" si="41"/>
        <v>-141434.4</v>
      </c>
      <c r="T338" s="691" t="s">
        <v>54</v>
      </c>
    </row>
    <row r="339" spans="1:20" x14ac:dyDescent="0.25">
      <c r="A339" s="690"/>
      <c r="B339" s="691" t="s">
        <v>808</v>
      </c>
      <c r="C339" s="676" t="s">
        <v>40</v>
      </c>
      <c r="D339" s="680">
        <v>44805</v>
      </c>
      <c r="E339" s="676">
        <v>720</v>
      </c>
      <c r="F339" s="676" t="s">
        <v>3</v>
      </c>
      <c r="G339" s="690" t="s">
        <v>44</v>
      </c>
      <c r="H339" s="115">
        <v>1</v>
      </c>
      <c r="I339" s="115">
        <v>267</v>
      </c>
      <c r="J339" s="601">
        <f t="shared" si="35"/>
        <v>-192240</v>
      </c>
      <c r="K339" s="738">
        <v>56.08</v>
      </c>
      <c r="L339" s="677">
        <f t="shared" si="36"/>
        <v>40377.599999999999</v>
      </c>
      <c r="M339" s="739">
        <f t="shared" si="37"/>
        <v>-151862.39999999999</v>
      </c>
      <c r="N339" s="740">
        <v>56.08</v>
      </c>
      <c r="O339" s="678">
        <f t="shared" si="38"/>
        <v>40377.599999999999</v>
      </c>
      <c r="P339" s="700">
        <f t="shared" si="39"/>
        <v>-151862.39999999999</v>
      </c>
      <c r="Q339" s="740">
        <v>56.08</v>
      </c>
      <c r="R339" s="678">
        <f t="shared" si="40"/>
        <v>40377.599999999999</v>
      </c>
      <c r="S339" s="700">
        <f t="shared" si="41"/>
        <v>-151862.39999999999</v>
      </c>
      <c r="T339" s="691" t="s">
        <v>54</v>
      </c>
    </row>
    <row r="340" spans="1:20" x14ac:dyDescent="0.25">
      <c r="A340" s="690"/>
      <c r="B340" s="691" t="s">
        <v>808</v>
      </c>
      <c r="C340" s="676" t="s">
        <v>40</v>
      </c>
      <c r="D340" s="680">
        <v>44835</v>
      </c>
      <c r="E340" s="676">
        <v>744</v>
      </c>
      <c r="F340" s="676" t="s">
        <v>3</v>
      </c>
      <c r="G340" s="690" t="s">
        <v>44</v>
      </c>
      <c r="H340" s="115">
        <v>1</v>
      </c>
      <c r="I340" s="115">
        <v>267</v>
      </c>
      <c r="J340" s="601">
        <f t="shared" si="35"/>
        <v>-198648</v>
      </c>
      <c r="K340" s="738">
        <v>55.7</v>
      </c>
      <c r="L340" s="677">
        <f t="shared" si="36"/>
        <v>41440.800000000003</v>
      </c>
      <c r="M340" s="739">
        <f t="shared" si="37"/>
        <v>-157207.20000000001</v>
      </c>
      <c r="N340" s="740">
        <v>55.7</v>
      </c>
      <c r="O340" s="678">
        <f t="shared" si="38"/>
        <v>41440.800000000003</v>
      </c>
      <c r="P340" s="700">
        <f t="shared" si="39"/>
        <v>-157207.20000000001</v>
      </c>
      <c r="Q340" s="740">
        <v>55.7</v>
      </c>
      <c r="R340" s="678">
        <f t="shared" si="40"/>
        <v>41440.800000000003</v>
      </c>
      <c r="S340" s="700">
        <f t="shared" si="41"/>
        <v>-157207.20000000001</v>
      </c>
      <c r="T340" s="691" t="s">
        <v>54</v>
      </c>
    </row>
    <row r="341" spans="1:20" x14ac:dyDescent="0.25">
      <c r="A341" s="690"/>
      <c r="B341" s="691" t="s">
        <v>808</v>
      </c>
      <c r="C341" s="676" t="s">
        <v>40</v>
      </c>
      <c r="D341" s="680">
        <v>44866</v>
      </c>
      <c r="E341" s="676">
        <v>720</v>
      </c>
      <c r="F341" s="676" t="s">
        <v>3</v>
      </c>
      <c r="G341" s="690" t="s">
        <v>44</v>
      </c>
      <c r="H341" s="115">
        <v>1</v>
      </c>
      <c r="I341" s="115">
        <v>267</v>
      </c>
      <c r="J341" s="601">
        <f t="shared" si="35"/>
        <v>-192240</v>
      </c>
      <c r="K341" s="738">
        <v>55.7</v>
      </c>
      <c r="L341" s="677">
        <f t="shared" si="36"/>
        <v>40104</v>
      </c>
      <c r="M341" s="739">
        <f t="shared" si="37"/>
        <v>-152136</v>
      </c>
      <c r="N341" s="740">
        <v>55.7</v>
      </c>
      <c r="O341" s="678">
        <f t="shared" si="38"/>
        <v>40104</v>
      </c>
      <c r="P341" s="700">
        <f t="shared" si="39"/>
        <v>-152136</v>
      </c>
      <c r="Q341" s="740">
        <v>55.7</v>
      </c>
      <c r="R341" s="678">
        <f t="shared" si="40"/>
        <v>40104</v>
      </c>
      <c r="S341" s="700">
        <f t="shared" si="41"/>
        <v>-152136</v>
      </c>
      <c r="T341" s="691" t="s">
        <v>54</v>
      </c>
    </row>
    <row r="342" spans="1:20" x14ac:dyDescent="0.25">
      <c r="A342" s="690"/>
      <c r="B342" s="695" t="s">
        <v>808</v>
      </c>
      <c r="C342" s="545" t="s">
        <v>40</v>
      </c>
      <c r="D342" s="681">
        <v>44896</v>
      </c>
      <c r="E342" s="545">
        <v>744</v>
      </c>
      <c r="F342" s="545" t="s">
        <v>3</v>
      </c>
      <c r="G342" s="725" t="s">
        <v>44</v>
      </c>
      <c r="H342" s="548">
        <v>1</v>
      </c>
      <c r="I342" s="548">
        <v>267</v>
      </c>
      <c r="J342" s="602">
        <f t="shared" si="35"/>
        <v>-198648</v>
      </c>
      <c r="K342" s="742">
        <v>55.7</v>
      </c>
      <c r="L342" s="603">
        <f t="shared" si="36"/>
        <v>41440.800000000003</v>
      </c>
      <c r="M342" s="743">
        <f t="shared" si="37"/>
        <v>-157207.20000000001</v>
      </c>
      <c r="N342" s="744">
        <v>55.7</v>
      </c>
      <c r="O342" s="604">
        <f t="shared" si="38"/>
        <v>41440.800000000003</v>
      </c>
      <c r="P342" s="701">
        <f t="shared" si="39"/>
        <v>-157207.20000000001</v>
      </c>
      <c r="Q342" s="744">
        <v>78.400653594793155</v>
      </c>
      <c r="R342" s="604">
        <f t="shared" si="40"/>
        <v>58330.086274526111</v>
      </c>
      <c r="S342" s="701">
        <f t="shared" si="41"/>
        <v>-140317.91372547389</v>
      </c>
      <c r="T342" s="695" t="s">
        <v>54</v>
      </c>
    </row>
    <row r="343" spans="1:20" x14ac:dyDescent="0.25">
      <c r="A343" s="690"/>
      <c r="B343" s="696" t="s">
        <v>812</v>
      </c>
      <c r="C343" s="546" t="s">
        <v>40</v>
      </c>
      <c r="D343" s="682">
        <v>44562</v>
      </c>
      <c r="E343" s="546">
        <v>744</v>
      </c>
      <c r="F343" s="546" t="s">
        <v>3</v>
      </c>
      <c r="G343" s="726" t="s">
        <v>44</v>
      </c>
      <c r="H343" s="549">
        <v>2.25</v>
      </c>
      <c r="I343" s="549">
        <v>234</v>
      </c>
      <c r="J343" s="605">
        <f t="shared" si="35"/>
        <v>-391716</v>
      </c>
      <c r="K343" s="746">
        <v>62.91</v>
      </c>
      <c r="L343" s="606">
        <f t="shared" si="36"/>
        <v>105311.34</v>
      </c>
      <c r="M343" s="747">
        <f t="shared" si="37"/>
        <v>-286404.66000000003</v>
      </c>
      <c r="N343" s="748">
        <v>62.91</v>
      </c>
      <c r="O343" s="607">
        <f t="shared" si="38"/>
        <v>105311.34</v>
      </c>
      <c r="P343" s="702">
        <f t="shared" si="39"/>
        <v>-286404.66000000003</v>
      </c>
      <c r="Q343" s="748">
        <v>62.91</v>
      </c>
      <c r="R343" s="607">
        <f t="shared" si="40"/>
        <v>105311.34</v>
      </c>
      <c r="S343" s="702">
        <f t="shared" si="41"/>
        <v>-286404.66000000003</v>
      </c>
      <c r="T343" s="696" t="s">
        <v>54</v>
      </c>
    </row>
    <row r="344" spans="1:20" x14ac:dyDescent="0.25">
      <c r="A344" s="690"/>
      <c r="B344" s="691" t="s">
        <v>812</v>
      </c>
      <c r="C344" s="676" t="s">
        <v>40</v>
      </c>
      <c r="D344" s="680">
        <v>44593</v>
      </c>
      <c r="E344" s="676">
        <v>672</v>
      </c>
      <c r="F344" s="676" t="s">
        <v>3</v>
      </c>
      <c r="G344" s="690" t="s">
        <v>44</v>
      </c>
      <c r="H344" s="115">
        <v>2.25</v>
      </c>
      <c r="I344" s="115">
        <v>234</v>
      </c>
      <c r="J344" s="601">
        <f t="shared" si="35"/>
        <v>-353808</v>
      </c>
      <c r="K344" s="738">
        <v>55.7</v>
      </c>
      <c r="L344" s="677">
        <f t="shared" si="36"/>
        <v>84218.400000000009</v>
      </c>
      <c r="M344" s="739">
        <f t="shared" si="37"/>
        <v>-269589.59999999998</v>
      </c>
      <c r="N344" s="740">
        <v>55.7</v>
      </c>
      <c r="O344" s="678">
        <f t="shared" si="38"/>
        <v>84218.400000000009</v>
      </c>
      <c r="P344" s="700">
        <f t="shared" si="39"/>
        <v>-269589.59999999998</v>
      </c>
      <c r="Q344" s="740">
        <v>55.7</v>
      </c>
      <c r="R344" s="678">
        <f t="shared" si="40"/>
        <v>84218.400000000009</v>
      </c>
      <c r="S344" s="700">
        <f t="shared" si="41"/>
        <v>-269589.59999999998</v>
      </c>
      <c r="T344" s="691" t="s">
        <v>54</v>
      </c>
    </row>
    <row r="345" spans="1:20" x14ac:dyDescent="0.25">
      <c r="A345" s="690"/>
      <c r="B345" s="691" t="s">
        <v>812</v>
      </c>
      <c r="C345" s="676" t="s">
        <v>40</v>
      </c>
      <c r="D345" s="680">
        <v>44621</v>
      </c>
      <c r="E345" s="676">
        <v>744</v>
      </c>
      <c r="F345" s="676" t="s">
        <v>3</v>
      </c>
      <c r="G345" s="690" t="s">
        <v>44</v>
      </c>
      <c r="H345" s="115">
        <v>2.25</v>
      </c>
      <c r="I345" s="115">
        <v>234</v>
      </c>
      <c r="J345" s="601">
        <f t="shared" si="35"/>
        <v>-391716</v>
      </c>
      <c r="K345" s="738">
        <v>55.7</v>
      </c>
      <c r="L345" s="677">
        <f t="shared" si="36"/>
        <v>93241.8</v>
      </c>
      <c r="M345" s="739">
        <f t="shared" si="37"/>
        <v>-298474.2</v>
      </c>
      <c r="N345" s="740">
        <v>55.7</v>
      </c>
      <c r="O345" s="678">
        <f t="shared" si="38"/>
        <v>93241.8</v>
      </c>
      <c r="P345" s="700">
        <f t="shared" si="39"/>
        <v>-298474.2</v>
      </c>
      <c r="Q345" s="740">
        <v>55.7</v>
      </c>
      <c r="R345" s="678">
        <f t="shared" si="40"/>
        <v>93241.8</v>
      </c>
      <c r="S345" s="700">
        <f t="shared" si="41"/>
        <v>-298474.2</v>
      </c>
      <c r="T345" s="691" t="s">
        <v>54</v>
      </c>
    </row>
    <row r="346" spans="1:20" x14ac:dyDescent="0.25">
      <c r="A346" s="690"/>
      <c r="B346" s="691" t="s">
        <v>812</v>
      </c>
      <c r="C346" s="676" t="s">
        <v>40</v>
      </c>
      <c r="D346" s="680">
        <v>44652</v>
      </c>
      <c r="E346" s="676">
        <v>720</v>
      </c>
      <c r="F346" s="676" t="s">
        <v>3</v>
      </c>
      <c r="G346" s="690" t="s">
        <v>44</v>
      </c>
      <c r="H346" s="115">
        <v>2.25</v>
      </c>
      <c r="I346" s="115">
        <v>234</v>
      </c>
      <c r="J346" s="601">
        <f t="shared" si="35"/>
        <v>-379080</v>
      </c>
      <c r="K346" s="738">
        <v>55.7</v>
      </c>
      <c r="L346" s="677">
        <f t="shared" si="36"/>
        <v>90234</v>
      </c>
      <c r="M346" s="739">
        <f t="shared" si="37"/>
        <v>-288846</v>
      </c>
      <c r="N346" s="740">
        <v>55.7</v>
      </c>
      <c r="O346" s="678">
        <f t="shared" si="38"/>
        <v>90234</v>
      </c>
      <c r="P346" s="700">
        <f t="shared" si="39"/>
        <v>-288846</v>
      </c>
      <c r="Q346" s="740">
        <v>55.7</v>
      </c>
      <c r="R346" s="678">
        <f t="shared" si="40"/>
        <v>90234</v>
      </c>
      <c r="S346" s="700">
        <f t="shared" si="41"/>
        <v>-288846</v>
      </c>
      <c r="T346" s="691" t="s">
        <v>54</v>
      </c>
    </row>
    <row r="347" spans="1:20" x14ac:dyDescent="0.25">
      <c r="A347" s="690"/>
      <c r="B347" s="691" t="s">
        <v>812</v>
      </c>
      <c r="C347" s="676" t="s">
        <v>40</v>
      </c>
      <c r="D347" s="680">
        <v>44682</v>
      </c>
      <c r="E347" s="676">
        <v>744</v>
      </c>
      <c r="F347" s="676" t="s">
        <v>3</v>
      </c>
      <c r="G347" s="690" t="s">
        <v>44</v>
      </c>
      <c r="H347" s="115">
        <v>2.25</v>
      </c>
      <c r="I347" s="115">
        <v>234</v>
      </c>
      <c r="J347" s="601">
        <f t="shared" si="35"/>
        <v>-391716</v>
      </c>
      <c r="K347" s="738">
        <v>55.7</v>
      </c>
      <c r="L347" s="677">
        <f t="shared" si="36"/>
        <v>93241.8</v>
      </c>
      <c r="M347" s="739">
        <f t="shared" si="37"/>
        <v>-298474.2</v>
      </c>
      <c r="N347" s="740">
        <v>55.7</v>
      </c>
      <c r="O347" s="678">
        <f t="shared" si="38"/>
        <v>93241.8</v>
      </c>
      <c r="P347" s="700">
        <f t="shared" si="39"/>
        <v>-298474.2</v>
      </c>
      <c r="Q347" s="740">
        <v>55.7</v>
      </c>
      <c r="R347" s="678">
        <f t="shared" si="40"/>
        <v>93241.8</v>
      </c>
      <c r="S347" s="700">
        <f t="shared" si="41"/>
        <v>-298474.2</v>
      </c>
      <c r="T347" s="691" t="s">
        <v>54</v>
      </c>
    </row>
    <row r="348" spans="1:20" x14ac:dyDescent="0.25">
      <c r="A348" s="690"/>
      <c r="B348" s="691" t="s">
        <v>812</v>
      </c>
      <c r="C348" s="676" t="s">
        <v>40</v>
      </c>
      <c r="D348" s="680">
        <v>44713</v>
      </c>
      <c r="E348" s="676">
        <v>720</v>
      </c>
      <c r="F348" s="676" t="s">
        <v>3</v>
      </c>
      <c r="G348" s="690" t="s">
        <v>44</v>
      </c>
      <c r="H348" s="115">
        <v>2.25</v>
      </c>
      <c r="I348" s="115">
        <v>234</v>
      </c>
      <c r="J348" s="601">
        <f t="shared" si="35"/>
        <v>-379080</v>
      </c>
      <c r="K348" s="738">
        <v>55.71</v>
      </c>
      <c r="L348" s="677">
        <f t="shared" si="36"/>
        <v>90250.2</v>
      </c>
      <c r="M348" s="739">
        <f t="shared" si="37"/>
        <v>-288829.8</v>
      </c>
      <c r="N348" s="740">
        <v>55.71</v>
      </c>
      <c r="O348" s="678">
        <f t="shared" si="38"/>
        <v>90250.2</v>
      </c>
      <c r="P348" s="700">
        <f t="shared" si="39"/>
        <v>-288829.8</v>
      </c>
      <c r="Q348" s="740">
        <v>55.71</v>
      </c>
      <c r="R348" s="678">
        <f t="shared" si="40"/>
        <v>90250.2</v>
      </c>
      <c r="S348" s="700">
        <f t="shared" si="41"/>
        <v>-288829.8</v>
      </c>
      <c r="T348" s="691" t="s">
        <v>54</v>
      </c>
    </row>
    <row r="349" spans="1:20" x14ac:dyDescent="0.25">
      <c r="A349" s="690"/>
      <c r="B349" s="691" t="s">
        <v>812</v>
      </c>
      <c r="C349" s="676" t="s">
        <v>40</v>
      </c>
      <c r="D349" s="680">
        <v>44743</v>
      </c>
      <c r="E349" s="676">
        <v>744</v>
      </c>
      <c r="F349" s="676" t="s">
        <v>3</v>
      </c>
      <c r="G349" s="690" t="s">
        <v>44</v>
      </c>
      <c r="H349" s="115">
        <v>2.25</v>
      </c>
      <c r="I349" s="115">
        <v>234</v>
      </c>
      <c r="J349" s="601">
        <f t="shared" si="35"/>
        <v>-391716</v>
      </c>
      <c r="K349" s="738">
        <v>66.319999999999993</v>
      </c>
      <c r="L349" s="677">
        <f t="shared" si="36"/>
        <v>111019.68</v>
      </c>
      <c r="M349" s="739">
        <f t="shared" si="37"/>
        <v>-280696.32000000001</v>
      </c>
      <c r="N349" s="740">
        <v>66.319999999999993</v>
      </c>
      <c r="O349" s="678">
        <f t="shared" si="38"/>
        <v>111019.68</v>
      </c>
      <c r="P349" s="700">
        <f t="shared" si="39"/>
        <v>-280696.32000000001</v>
      </c>
      <c r="Q349" s="740">
        <v>66.319999999999993</v>
      </c>
      <c r="R349" s="678">
        <f t="shared" si="40"/>
        <v>111019.68</v>
      </c>
      <c r="S349" s="700">
        <f t="shared" si="41"/>
        <v>-280696.32000000001</v>
      </c>
      <c r="T349" s="691" t="s">
        <v>54</v>
      </c>
    </row>
    <row r="350" spans="1:20" x14ac:dyDescent="0.25">
      <c r="A350" s="690"/>
      <c r="B350" s="691" t="s">
        <v>812</v>
      </c>
      <c r="C350" s="676" t="s">
        <v>40</v>
      </c>
      <c r="D350" s="680">
        <v>44774</v>
      </c>
      <c r="E350" s="676">
        <v>744</v>
      </c>
      <c r="F350" s="676" t="s">
        <v>3</v>
      </c>
      <c r="G350" s="690" t="s">
        <v>44</v>
      </c>
      <c r="H350" s="115">
        <v>2.25</v>
      </c>
      <c r="I350" s="115">
        <v>234</v>
      </c>
      <c r="J350" s="601">
        <f t="shared" si="35"/>
        <v>-391716</v>
      </c>
      <c r="K350" s="738">
        <v>76.900000000000006</v>
      </c>
      <c r="L350" s="677">
        <f t="shared" si="36"/>
        <v>128730.6</v>
      </c>
      <c r="M350" s="739">
        <f t="shared" si="37"/>
        <v>-262985.40000000002</v>
      </c>
      <c r="N350" s="740">
        <v>76.900000000000006</v>
      </c>
      <c r="O350" s="678">
        <f t="shared" si="38"/>
        <v>128730.6</v>
      </c>
      <c r="P350" s="700">
        <f t="shared" si="39"/>
        <v>-262985.40000000002</v>
      </c>
      <c r="Q350" s="740">
        <v>76.900000000000006</v>
      </c>
      <c r="R350" s="678">
        <f t="shared" si="40"/>
        <v>128730.6</v>
      </c>
      <c r="S350" s="700">
        <f t="shared" si="41"/>
        <v>-262985.40000000002</v>
      </c>
      <c r="T350" s="691" t="s">
        <v>54</v>
      </c>
    </row>
    <row r="351" spans="1:20" x14ac:dyDescent="0.25">
      <c r="A351" s="690"/>
      <c r="B351" s="691" t="s">
        <v>812</v>
      </c>
      <c r="C351" s="676" t="s">
        <v>40</v>
      </c>
      <c r="D351" s="680">
        <v>44805</v>
      </c>
      <c r="E351" s="676">
        <v>720</v>
      </c>
      <c r="F351" s="676" t="s">
        <v>3</v>
      </c>
      <c r="G351" s="690" t="s">
        <v>44</v>
      </c>
      <c r="H351" s="115">
        <v>2.25</v>
      </c>
      <c r="I351" s="115">
        <v>234</v>
      </c>
      <c r="J351" s="601">
        <f t="shared" si="35"/>
        <v>-379080</v>
      </c>
      <c r="K351" s="738">
        <v>56.08</v>
      </c>
      <c r="L351" s="677">
        <f t="shared" si="36"/>
        <v>90849.599999999991</v>
      </c>
      <c r="M351" s="739">
        <f t="shared" si="37"/>
        <v>-288230.40000000002</v>
      </c>
      <c r="N351" s="740">
        <v>56.08</v>
      </c>
      <c r="O351" s="678">
        <f t="shared" si="38"/>
        <v>90849.599999999991</v>
      </c>
      <c r="P351" s="700">
        <f t="shared" si="39"/>
        <v>-288230.40000000002</v>
      </c>
      <c r="Q351" s="740">
        <v>56.08</v>
      </c>
      <c r="R351" s="678">
        <f t="shared" si="40"/>
        <v>90849.599999999991</v>
      </c>
      <c r="S351" s="700">
        <f t="shared" si="41"/>
        <v>-288230.40000000002</v>
      </c>
      <c r="T351" s="691" t="s">
        <v>54</v>
      </c>
    </row>
    <row r="352" spans="1:20" x14ac:dyDescent="0.25">
      <c r="A352" s="690"/>
      <c r="B352" s="691" t="s">
        <v>812</v>
      </c>
      <c r="C352" s="676" t="s">
        <v>40</v>
      </c>
      <c r="D352" s="680">
        <v>44835</v>
      </c>
      <c r="E352" s="676">
        <v>744</v>
      </c>
      <c r="F352" s="676" t="s">
        <v>3</v>
      </c>
      <c r="G352" s="690" t="s">
        <v>44</v>
      </c>
      <c r="H352" s="115">
        <v>2.25</v>
      </c>
      <c r="I352" s="115">
        <v>234</v>
      </c>
      <c r="J352" s="601">
        <f t="shared" si="35"/>
        <v>-391716</v>
      </c>
      <c r="K352" s="738">
        <v>55.7</v>
      </c>
      <c r="L352" s="677">
        <f t="shared" si="36"/>
        <v>93241.8</v>
      </c>
      <c r="M352" s="739">
        <f t="shared" si="37"/>
        <v>-298474.2</v>
      </c>
      <c r="N352" s="740">
        <v>55.7</v>
      </c>
      <c r="O352" s="678">
        <f t="shared" si="38"/>
        <v>93241.8</v>
      </c>
      <c r="P352" s="700">
        <f t="shared" si="39"/>
        <v>-298474.2</v>
      </c>
      <c r="Q352" s="740">
        <v>55.7</v>
      </c>
      <c r="R352" s="678">
        <f t="shared" si="40"/>
        <v>93241.8</v>
      </c>
      <c r="S352" s="700">
        <f t="shared" si="41"/>
        <v>-298474.2</v>
      </c>
      <c r="T352" s="691" t="s">
        <v>54</v>
      </c>
    </row>
    <row r="353" spans="1:20" x14ac:dyDescent="0.25">
      <c r="A353" s="690"/>
      <c r="B353" s="691" t="s">
        <v>812</v>
      </c>
      <c r="C353" s="676" t="s">
        <v>40</v>
      </c>
      <c r="D353" s="680">
        <v>44866</v>
      </c>
      <c r="E353" s="676">
        <v>720</v>
      </c>
      <c r="F353" s="676" t="s">
        <v>3</v>
      </c>
      <c r="G353" s="690" t="s">
        <v>44</v>
      </c>
      <c r="H353" s="115">
        <v>2.25</v>
      </c>
      <c r="I353" s="115">
        <v>234</v>
      </c>
      <c r="J353" s="601">
        <f t="shared" si="35"/>
        <v>-379080</v>
      </c>
      <c r="K353" s="738">
        <v>55.7</v>
      </c>
      <c r="L353" s="677">
        <f t="shared" si="36"/>
        <v>90234</v>
      </c>
      <c r="M353" s="739">
        <f t="shared" si="37"/>
        <v>-288846</v>
      </c>
      <c r="N353" s="740">
        <v>55.7</v>
      </c>
      <c r="O353" s="678">
        <f t="shared" si="38"/>
        <v>90234</v>
      </c>
      <c r="P353" s="700">
        <f t="shared" si="39"/>
        <v>-288846</v>
      </c>
      <c r="Q353" s="740">
        <v>55.7</v>
      </c>
      <c r="R353" s="678">
        <f t="shared" si="40"/>
        <v>90234</v>
      </c>
      <c r="S353" s="700">
        <f t="shared" si="41"/>
        <v>-288846</v>
      </c>
      <c r="T353" s="691" t="s">
        <v>54</v>
      </c>
    </row>
    <row r="354" spans="1:20" x14ac:dyDescent="0.25">
      <c r="A354" s="690"/>
      <c r="B354" s="695" t="s">
        <v>812</v>
      </c>
      <c r="C354" s="545" t="s">
        <v>40</v>
      </c>
      <c r="D354" s="681">
        <v>44896</v>
      </c>
      <c r="E354" s="545">
        <v>744</v>
      </c>
      <c r="F354" s="545" t="s">
        <v>3</v>
      </c>
      <c r="G354" s="725" t="s">
        <v>44</v>
      </c>
      <c r="H354" s="548">
        <v>2.25</v>
      </c>
      <c r="I354" s="548">
        <v>234</v>
      </c>
      <c r="J354" s="602">
        <f t="shared" si="35"/>
        <v>-391716</v>
      </c>
      <c r="K354" s="742">
        <v>55.7</v>
      </c>
      <c r="L354" s="603">
        <f t="shared" si="36"/>
        <v>93241.8</v>
      </c>
      <c r="M354" s="743">
        <f t="shared" si="37"/>
        <v>-298474.2</v>
      </c>
      <c r="N354" s="744">
        <v>55.7</v>
      </c>
      <c r="O354" s="604">
        <f t="shared" si="38"/>
        <v>93241.8</v>
      </c>
      <c r="P354" s="701">
        <f t="shared" si="39"/>
        <v>-298474.2</v>
      </c>
      <c r="Q354" s="744">
        <v>78.400653594793155</v>
      </c>
      <c r="R354" s="604">
        <f t="shared" si="40"/>
        <v>131242.69411768374</v>
      </c>
      <c r="S354" s="701">
        <f t="shared" si="41"/>
        <v>-260473.30588231626</v>
      </c>
      <c r="T354" s="695" t="s">
        <v>54</v>
      </c>
    </row>
    <row r="355" spans="1:20" x14ac:dyDescent="0.25">
      <c r="A355" s="690"/>
      <c r="B355" s="696" t="s">
        <v>814</v>
      </c>
      <c r="C355" s="546" t="s">
        <v>40</v>
      </c>
      <c r="D355" s="682">
        <v>44562</v>
      </c>
      <c r="E355" s="546">
        <v>744</v>
      </c>
      <c r="F355" s="546" t="s">
        <v>3</v>
      </c>
      <c r="G355" s="726" t="s">
        <v>44</v>
      </c>
      <c r="H355" s="549">
        <v>5</v>
      </c>
      <c r="I355" s="549">
        <v>234</v>
      </c>
      <c r="J355" s="605">
        <f t="shared" si="35"/>
        <v>-870480</v>
      </c>
      <c r="K355" s="746">
        <v>62.91</v>
      </c>
      <c r="L355" s="606">
        <f t="shared" si="36"/>
        <v>234025.19999999998</v>
      </c>
      <c r="M355" s="747">
        <f t="shared" si="37"/>
        <v>-636454.80000000005</v>
      </c>
      <c r="N355" s="748">
        <v>62.91</v>
      </c>
      <c r="O355" s="607">
        <f t="shared" si="38"/>
        <v>234025.19999999998</v>
      </c>
      <c r="P355" s="702">
        <f t="shared" si="39"/>
        <v>-636454.80000000005</v>
      </c>
      <c r="Q355" s="748">
        <v>62.91</v>
      </c>
      <c r="R355" s="607">
        <f t="shared" si="40"/>
        <v>234025.19999999998</v>
      </c>
      <c r="S355" s="702">
        <f t="shared" si="41"/>
        <v>-636454.80000000005</v>
      </c>
      <c r="T355" s="696" t="s">
        <v>54</v>
      </c>
    </row>
    <row r="356" spans="1:20" x14ac:dyDescent="0.25">
      <c r="A356" s="690"/>
      <c r="B356" s="691" t="s">
        <v>814</v>
      </c>
      <c r="C356" s="676" t="s">
        <v>40</v>
      </c>
      <c r="D356" s="680">
        <v>44593</v>
      </c>
      <c r="E356" s="676">
        <v>672</v>
      </c>
      <c r="F356" s="676" t="s">
        <v>3</v>
      </c>
      <c r="G356" s="690" t="s">
        <v>44</v>
      </c>
      <c r="H356" s="115">
        <v>5</v>
      </c>
      <c r="I356" s="115">
        <v>234</v>
      </c>
      <c r="J356" s="601">
        <f t="shared" si="35"/>
        <v>-786240</v>
      </c>
      <c r="K356" s="738">
        <v>55.7</v>
      </c>
      <c r="L356" s="677">
        <f t="shared" si="36"/>
        <v>187152</v>
      </c>
      <c r="M356" s="739">
        <f t="shared" si="37"/>
        <v>-599088</v>
      </c>
      <c r="N356" s="740">
        <v>55.7</v>
      </c>
      <c r="O356" s="678">
        <f t="shared" si="38"/>
        <v>187152</v>
      </c>
      <c r="P356" s="700">
        <f t="shared" si="39"/>
        <v>-599088</v>
      </c>
      <c r="Q356" s="740">
        <v>55.7</v>
      </c>
      <c r="R356" s="678">
        <f t="shared" si="40"/>
        <v>187152</v>
      </c>
      <c r="S356" s="700">
        <f t="shared" si="41"/>
        <v>-599088</v>
      </c>
      <c r="T356" s="691" t="s">
        <v>54</v>
      </c>
    </row>
    <row r="357" spans="1:20" x14ac:dyDescent="0.25">
      <c r="A357" s="690"/>
      <c r="B357" s="691" t="s">
        <v>814</v>
      </c>
      <c r="C357" s="676" t="s">
        <v>40</v>
      </c>
      <c r="D357" s="680">
        <v>44621</v>
      </c>
      <c r="E357" s="676">
        <v>744</v>
      </c>
      <c r="F357" s="676" t="s">
        <v>3</v>
      </c>
      <c r="G357" s="690" t="s">
        <v>44</v>
      </c>
      <c r="H357" s="115">
        <v>5</v>
      </c>
      <c r="I357" s="115">
        <v>234</v>
      </c>
      <c r="J357" s="601">
        <f t="shared" si="35"/>
        <v>-870480</v>
      </c>
      <c r="K357" s="738">
        <v>55.7</v>
      </c>
      <c r="L357" s="677">
        <f t="shared" si="36"/>
        <v>207204</v>
      </c>
      <c r="M357" s="739">
        <f t="shared" si="37"/>
        <v>-663276</v>
      </c>
      <c r="N357" s="740">
        <v>55.7</v>
      </c>
      <c r="O357" s="678">
        <f t="shared" si="38"/>
        <v>207204</v>
      </c>
      <c r="P357" s="700">
        <f t="shared" si="39"/>
        <v>-663276</v>
      </c>
      <c r="Q357" s="740">
        <v>55.7</v>
      </c>
      <c r="R357" s="678">
        <f t="shared" si="40"/>
        <v>207204</v>
      </c>
      <c r="S357" s="700">
        <f t="shared" si="41"/>
        <v>-663276</v>
      </c>
      <c r="T357" s="691" t="s">
        <v>54</v>
      </c>
    </row>
    <row r="358" spans="1:20" x14ac:dyDescent="0.25">
      <c r="A358" s="690"/>
      <c r="B358" s="691" t="s">
        <v>814</v>
      </c>
      <c r="C358" s="676" t="s">
        <v>40</v>
      </c>
      <c r="D358" s="680">
        <v>44652</v>
      </c>
      <c r="E358" s="676">
        <v>720</v>
      </c>
      <c r="F358" s="676" t="s">
        <v>3</v>
      </c>
      <c r="G358" s="690" t="s">
        <v>44</v>
      </c>
      <c r="H358" s="115">
        <v>5</v>
      </c>
      <c r="I358" s="115">
        <v>234</v>
      </c>
      <c r="J358" s="601">
        <f t="shared" si="35"/>
        <v>-842400</v>
      </c>
      <c r="K358" s="738">
        <v>55.7</v>
      </c>
      <c r="L358" s="677">
        <f t="shared" si="36"/>
        <v>200520</v>
      </c>
      <c r="M358" s="739">
        <f t="shared" si="37"/>
        <v>-641880</v>
      </c>
      <c r="N358" s="740">
        <v>55.7</v>
      </c>
      <c r="O358" s="678">
        <f t="shared" si="38"/>
        <v>200520</v>
      </c>
      <c r="P358" s="700">
        <f t="shared" si="39"/>
        <v>-641880</v>
      </c>
      <c r="Q358" s="740">
        <v>55.7</v>
      </c>
      <c r="R358" s="678">
        <f t="shared" si="40"/>
        <v>200520</v>
      </c>
      <c r="S358" s="700">
        <f t="shared" si="41"/>
        <v>-641880</v>
      </c>
      <c r="T358" s="691" t="s">
        <v>54</v>
      </c>
    </row>
    <row r="359" spans="1:20" x14ac:dyDescent="0.25">
      <c r="A359" s="690"/>
      <c r="B359" s="691" t="s">
        <v>814</v>
      </c>
      <c r="C359" s="676" t="s">
        <v>40</v>
      </c>
      <c r="D359" s="680">
        <v>44682</v>
      </c>
      <c r="E359" s="676">
        <v>744</v>
      </c>
      <c r="F359" s="676" t="s">
        <v>3</v>
      </c>
      <c r="G359" s="690" t="s">
        <v>44</v>
      </c>
      <c r="H359" s="115">
        <v>5</v>
      </c>
      <c r="I359" s="115">
        <v>234</v>
      </c>
      <c r="J359" s="601">
        <f t="shared" si="35"/>
        <v>-870480</v>
      </c>
      <c r="K359" s="738">
        <v>55.7</v>
      </c>
      <c r="L359" s="677">
        <f t="shared" si="36"/>
        <v>207204</v>
      </c>
      <c r="M359" s="739">
        <f t="shared" si="37"/>
        <v>-663276</v>
      </c>
      <c r="N359" s="740">
        <v>55.7</v>
      </c>
      <c r="O359" s="678">
        <f t="shared" si="38"/>
        <v>207204</v>
      </c>
      <c r="P359" s="700">
        <f t="shared" si="39"/>
        <v>-663276</v>
      </c>
      <c r="Q359" s="740">
        <v>55.7</v>
      </c>
      <c r="R359" s="678">
        <f t="shared" si="40"/>
        <v>207204</v>
      </c>
      <c r="S359" s="700">
        <f t="shared" si="41"/>
        <v>-663276</v>
      </c>
      <c r="T359" s="691" t="s">
        <v>54</v>
      </c>
    </row>
    <row r="360" spans="1:20" x14ac:dyDescent="0.25">
      <c r="A360" s="690"/>
      <c r="B360" s="691" t="s">
        <v>814</v>
      </c>
      <c r="C360" s="676" t="s">
        <v>40</v>
      </c>
      <c r="D360" s="680">
        <v>44713</v>
      </c>
      <c r="E360" s="676">
        <v>720</v>
      </c>
      <c r="F360" s="676" t="s">
        <v>3</v>
      </c>
      <c r="G360" s="690" t="s">
        <v>44</v>
      </c>
      <c r="H360" s="115">
        <v>5</v>
      </c>
      <c r="I360" s="115">
        <v>234</v>
      </c>
      <c r="J360" s="601">
        <f t="shared" si="35"/>
        <v>-842400</v>
      </c>
      <c r="K360" s="738">
        <v>55.71</v>
      </c>
      <c r="L360" s="677">
        <f t="shared" si="36"/>
        <v>200556</v>
      </c>
      <c r="M360" s="739">
        <f t="shared" si="37"/>
        <v>-641844</v>
      </c>
      <c r="N360" s="740">
        <v>55.71</v>
      </c>
      <c r="O360" s="678">
        <f t="shared" si="38"/>
        <v>200556</v>
      </c>
      <c r="P360" s="700">
        <f t="shared" si="39"/>
        <v>-641844</v>
      </c>
      <c r="Q360" s="740">
        <v>55.71</v>
      </c>
      <c r="R360" s="678">
        <f t="shared" si="40"/>
        <v>200556</v>
      </c>
      <c r="S360" s="700">
        <f t="shared" si="41"/>
        <v>-641844</v>
      </c>
      <c r="T360" s="691" t="s">
        <v>54</v>
      </c>
    </row>
    <row r="361" spans="1:20" x14ac:dyDescent="0.25">
      <c r="A361" s="690"/>
      <c r="B361" s="691" t="s">
        <v>814</v>
      </c>
      <c r="C361" s="676" t="s">
        <v>40</v>
      </c>
      <c r="D361" s="680">
        <v>44743</v>
      </c>
      <c r="E361" s="676">
        <v>744</v>
      </c>
      <c r="F361" s="676" t="s">
        <v>3</v>
      </c>
      <c r="G361" s="690" t="s">
        <v>44</v>
      </c>
      <c r="H361" s="115">
        <v>5</v>
      </c>
      <c r="I361" s="115">
        <v>234</v>
      </c>
      <c r="J361" s="601">
        <f t="shared" si="35"/>
        <v>-870480</v>
      </c>
      <c r="K361" s="738">
        <v>66.319999999999993</v>
      </c>
      <c r="L361" s="677">
        <f t="shared" si="36"/>
        <v>246710.39999999997</v>
      </c>
      <c r="M361" s="739">
        <f t="shared" si="37"/>
        <v>-623769.60000000009</v>
      </c>
      <c r="N361" s="740">
        <v>66.319999999999993</v>
      </c>
      <c r="O361" s="678">
        <f t="shared" si="38"/>
        <v>246710.39999999997</v>
      </c>
      <c r="P361" s="700">
        <f t="shared" si="39"/>
        <v>-623769.60000000009</v>
      </c>
      <c r="Q361" s="740">
        <v>66.319999999999993</v>
      </c>
      <c r="R361" s="678">
        <f t="shared" si="40"/>
        <v>246710.39999999997</v>
      </c>
      <c r="S361" s="700">
        <f t="shared" si="41"/>
        <v>-623769.60000000009</v>
      </c>
      <c r="T361" s="691" t="s">
        <v>54</v>
      </c>
    </row>
    <row r="362" spans="1:20" x14ac:dyDescent="0.25">
      <c r="A362" s="690"/>
      <c r="B362" s="691" t="s">
        <v>814</v>
      </c>
      <c r="C362" s="676" t="s">
        <v>40</v>
      </c>
      <c r="D362" s="680">
        <v>44774</v>
      </c>
      <c r="E362" s="676">
        <v>744</v>
      </c>
      <c r="F362" s="676" t="s">
        <v>3</v>
      </c>
      <c r="G362" s="690" t="s">
        <v>44</v>
      </c>
      <c r="H362" s="115">
        <v>5</v>
      </c>
      <c r="I362" s="115">
        <v>234</v>
      </c>
      <c r="J362" s="601">
        <f t="shared" si="35"/>
        <v>-870480</v>
      </c>
      <c r="K362" s="738">
        <v>76.900000000000006</v>
      </c>
      <c r="L362" s="677">
        <f t="shared" si="36"/>
        <v>286068</v>
      </c>
      <c r="M362" s="739">
        <f t="shared" si="37"/>
        <v>-584412</v>
      </c>
      <c r="N362" s="740">
        <v>76.900000000000006</v>
      </c>
      <c r="O362" s="678">
        <f t="shared" si="38"/>
        <v>286068</v>
      </c>
      <c r="P362" s="700">
        <f t="shared" si="39"/>
        <v>-584412</v>
      </c>
      <c r="Q362" s="740">
        <v>76.900000000000006</v>
      </c>
      <c r="R362" s="678">
        <f t="shared" si="40"/>
        <v>286068</v>
      </c>
      <c r="S362" s="700">
        <f t="shared" si="41"/>
        <v>-584412</v>
      </c>
      <c r="T362" s="691" t="s">
        <v>54</v>
      </c>
    </row>
    <row r="363" spans="1:20" x14ac:dyDescent="0.25">
      <c r="A363" s="690"/>
      <c r="B363" s="691" t="s">
        <v>814</v>
      </c>
      <c r="C363" s="676" t="s">
        <v>40</v>
      </c>
      <c r="D363" s="680">
        <v>44805</v>
      </c>
      <c r="E363" s="676">
        <v>720</v>
      </c>
      <c r="F363" s="676" t="s">
        <v>3</v>
      </c>
      <c r="G363" s="690" t="s">
        <v>44</v>
      </c>
      <c r="H363" s="115">
        <v>5</v>
      </c>
      <c r="I363" s="115">
        <v>234</v>
      </c>
      <c r="J363" s="601">
        <f t="shared" si="35"/>
        <v>-842400</v>
      </c>
      <c r="K363" s="738">
        <v>56.08</v>
      </c>
      <c r="L363" s="677">
        <f t="shared" si="36"/>
        <v>201888</v>
      </c>
      <c r="M363" s="739">
        <f t="shared" si="37"/>
        <v>-640512</v>
      </c>
      <c r="N363" s="740">
        <v>56.08</v>
      </c>
      <c r="O363" s="678">
        <f t="shared" si="38"/>
        <v>201888</v>
      </c>
      <c r="P363" s="700">
        <f t="shared" si="39"/>
        <v>-640512</v>
      </c>
      <c r="Q363" s="740">
        <v>56.08</v>
      </c>
      <c r="R363" s="678">
        <f t="shared" si="40"/>
        <v>201888</v>
      </c>
      <c r="S363" s="700">
        <f t="shared" si="41"/>
        <v>-640512</v>
      </c>
      <c r="T363" s="691" t="s">
        <v>54</v>
      </c>
    </row>
    <row r="364" spans="1:20" x14ac:dyDescent="0.25">
      <c r="A364" s="690"/>
      <c r="B364" s="691" t="s">
        <v>814</v>
      </c>
      <c r="C364" s="676" t="s">
        <v>40</v>
      </c>
      <c r="D364" s="680">
        <v>44835</v>
      </c>
      <c r="E364" s="676">
        <v>744</v>
      </c>
      <c r="F364" s="676" t="s">
        <v>3</v>
      </c>
      <c r="G364" s="690" t="s">
        <v>44</v>
      </c>
      <c r="H364" s="115">
        <v>5</v>
      </c>
      <c r="I364" s="115">
        <v>234</v>
      </c>
      <c r="J364" s="601">
        <f t="shared" si="35"/>
        <v>-870480</v>
      </c>
      <c r="K364" s="738">
        <v>55.7</v>
      </c>
      <c r="L364" s="677">
        <f t="shared" si="36"/>
        <v>207204</v>
      </c>
      <c r="M364" s="739">
        <f t="shared" si="37"/>
        <v>-663276</v>
      </c>
      <c r="N364" s="740">
        <v>55.7</v>
      </c>
      <c r="O364" s="678">
        <f t="shared" si="38"/>
        <v>207204</v>
      </c>
      <c r="P364" s="700">
        <f t="shared" si="39"/>
        <v>-663276</v>
      </c>
      <c r="Q364" s="740">
        <v>55.7</v>
      </c>
      <c r="R364" s="678">
        <f t="shared" si="40"/>
        <v>207204</v>
      </c>
      <c r="S364" s="700">
        <f t="shared" si="41"/>
        <v>-663276</v>
      </c>
      <c r="T364" s="691" t="s">
        <v>54</v>
      </c>
    </row>
    <row r="365" spans="1:20" x14ac:dyDescent="0.25">
      <c r="A365" s="690"/>
      <c r="B365" s="691" t="s">
        <v>814</v>
      </c>
      <c r="C365" s="676" t="s">
        <v>40</v>
      </c>
      <c r="D365" s="680">
        <v>44866</v>
      </c>
      <c r="E365" s="676">
        <v>720</v>
      </c>
      <c r="F365" s="676" t="s">
        <v>3</v>
      </c>
      <c r="G365" s="690" t="s">
        <v>44</v>
      </c>
      <c r="H365" s="115">
        <v>5</v>
      </c>
      <c r="I365" s="115">
        <v>234</v>
      </c>
      <c r="J365" s="601">
        <f t="shared" si="35"/>
        <v>-842400</v>
      </c>
      <c r="K365" s="738">
        <v>55.7</v>
      </c>
      <c r="L365" s="677">
        <f t="shared" si="36"/>
        <v>200520</v>
      </c>
      <c r="M365" s="739">
        <f t="shared" si="37"/>
        <v>-641880</v>
      </c>
      <c r="N365" s="740">
        <v>55.7</v>
      </c>
      <c r="O365" s="678">
        <f t="shared" si="38"/>
        <v>200520</v>
      </c>
      <c r="P365" s="700">
        <f t="shared" si="39"/>
        <v>-641880</v>
      </c>
      <c r="Q365" s="740">
        <v>55.7</v>
      </c>
      <c r="R365" s="678">
        <f t="shared" si="40"/>
        <v>200520</v>
      </c>
      <c r="S365" s="700">
        <f t="shared" si="41"/>
        <v>-641880</v>
      </c>
      <c r="T365" s="691" t="s">
        <v>54</v>
      </c>
    </row>
    <row r="366" spans="1:20" x14ac:dyDescent="0.25">
      <c r="A366" s="690"/>
      <c r="B366" s="695" t="s">
        <v>814</v>
      </c>
      <c r="C366" s="545" t="s">
        <v>40</v>
      </c>
      <c r="D366" s="681">
        <v>44896</v>
      </c>
      <c r="E366" s="545">
        <v>744</v>
      </c>
      <c r="F366" s="545" t="s">
        <v>3</v>
      </c>
      <c r="G366" s="725" t="s">
        <v>44</v>
      </c>
      <c r="H366" s="548">
        <v>5</v>
      </c>
      <c r="I366" s="548">
        <v>234</v>
      </c>
      <c r="J366" s="602">
        <f t="shared" si="35"/>
        <v>-870480</v>
      </c>
      <c r="K366" s="742">
        <v>55.7</v>
      </c>
      <c r="L366" s="603">
        <f t="shared" si="36"/>
        <v>207204</v>
      </c>
      <c r="M366" s="743">
        <f t="shared" si="37"/>
        <v>-663276</v>
      </c>
      <c r="N366" s="744">
        <v>55.7</v>
      </c>
      <c r="O366" s="604">
        <f t="shared" si="38"/>
        <v>207204</v>
      </c>
      <c r="P366" s="701">
        <f t="shared" si="39"/>
        <v>-663276</v>
      </c>
      <c r="Q366" s="744">
        <v>78.400653594793155</v>
      </c>
      <c r="R366" s="604">
        <f t="shared" si="40"/>
        <v>291650.43137263053</v>
      </c>
      <c r="S366" s="701">
        <f t="shared" si="41"/>
        <v>-578829.56862736947</v>
      </c>
      <c r="T366" s="695" t="s">
        <v>54</v>
      </c>
    </row>
    <row r="367" spans="1:20" x14ac:dyDescent="0.25">
      <c r="A367" s="690"/>
      <c r="B367" s="697" t="s">
        <v>817</v>
      </c>
      <c r="C367" s="547" t="s">
        <v>40</v>
      </c>
      <c r="D367" s="683">
        <v>44562</v>
      </c>
      <c r="E367" s="547">
        <v>744</v>
      </c>
      <c r="F367" s="547" t="s">
        <v>3</v>
      </c>
      <c r="G367" s="727" t="s">
        <v>44</v>
      </c>
      <c r="H367" s="638">
        <v>-4</v>
      </c>
      <c r="I367" s="638">
        <v>161</v>
      </c>
      <c r="J367" s="639">
        <f t="shared" si="35"/>
        <v>479136</v>
      </c>
      <c r="K367" s="750">
        <v>62.91</v>
      </c>
      <c r="L367" s="608">
        <f t="shared" si="36"/>
        <v>-187220.16</v>
      </c>
      <c r="M367" s="751">
        <f t="shared" si="37"/>
        <v>291915.83999999997</v>
      </c>
      <c r="N367" s="752">
        <v>62.91</v>
      </c>
      <c r="O367" s="609">
        <f t="shared" si="38"/>
        <v>-187220.16</v>
      </c>
      <c r="P367" s="703">
        <f t="shared" si="39"/>
        <v>291915.83999999997</v>
      </c>
      <c r="Q367" s="752">
        <v>62.91</v>
      </c>
      <c r="R367" s="609">
        <f t="shared" si="40"/>
        <v>-187220.16</v>
      </c>
      <c r="S367" s="703">
        <f t="shared" si="41"/>
        <v>291915.83999999997</v>
      </c>
      <c r="T367" s="697" t="s">
        <v>54</v>
      </c>
    </row>
    <row r="368" spans="1:20" x14ac:dyDescent="0.25">
      <c r="A368" s="690"/>
      <c r="B368" s="696" t="s">
        <v>819</v>
      </c>
      <c r="C368" s="546" t="s">
        <v>40</v>
      </c>
      <c r="D368" s="682">
        <v>44652</v>
      </c>
      <c r="E368" s="546">
        <v>720</v>
      </c>
      <c r="F368" s="546" t="s">
        <v>3</v>
      </c>
      <c r="G368" s="726" t="s">
        <v>44</v>
      </c>
      <c r="H368" s="549">
        <v>-1</v>
      </c>
      <c r="I368" s="549">
        <v>175</v>
      </c>
      <c r="J368" s="605">
        <f t="shared" si="35"/>
        <v>126000</v>
      </c>
      <c r="K368" s="746">
        <v>55.7</v>
      </c>
      <c r="L368" s="606">
        <f t="shared" si="36"/>
        <v>-40104</v>
      </c>
      <c r="M368" s="747">
        <f t="shared" si="37"/>
        <v>85896</v>
      </c>
      <c r="N368" s="748">
        <v>55.7</v>
      </c>
      <c r="O368" s="607">
        <f t="shared" si="38"/>
        <v>-40104</v>
      </c>
      <c r="P368" s="702">
        <f t="shared" si="39"/>
        <v>85896</v>
      </c>
      <c r="Q368" s="748">
        <v>55.7</v>
      </c>
      <c r="R368" s="607">
        <f t="shared" si="40"/>
        <v>-40104</v>
      </c>
      <c r="S368" s="702">
        <f t="shared" si="41"/>
        <v>85896</v>
      </c>
      <c r="T368" s="696" t="s">
        <v>54</v>
      </c>
    </row>
    <row r="369" spans="1:20" x14ac:dyDescent="0.25">
      <c r="A369" s="690"/>
      <c r="B369" s="691" t="s">
        <v>819</v>
      </c>
      <c r="C369" s="676" t="s">
        <v>40</v>
      </c>
      <c r="D369" s="680">
        <v>44682</v>
      </c>
      <c r="E369" s="676">
        <v>744</v>
      </c>
      <c r="F369" s="676" t="s">
        <v>3</v>
      </c>
      <c r="G369" s="690" t="s">
        <v>44</v>
      </c>
      <c r="H369" s="115">
        <v>-1</v>
      </c>
      <c r="I369" s="115">
        <v>175</v>
      </c>
      <c r="J369" s="601">
        <f t="shared" si="35"/>
        <v>130200</v>
      </c>
      <c r="K369" s="738">
        <v>55.7</v>
      </c>
      <c r="L369" s="677">
        <f t="shared" si="36"/>
        <v>-41440.800000000003</v>
      </c>
      <c r="M369" s="739">
        <f t="shared" si="37"/>
        <v>88759.2</v>
      </c>
      <c r="N369" s="740">
        <v>55.7</v>
      </c>
      <c r="O369" s="678">
        <f t="shared" si="38"/>
        <v>-41440.800000000003</v>
      </c>
      <c r="P369" s="700">
        <f t="shared" si="39"/>
        <v>88759.2</v>
      </c>
      <c r="Q369" s="740">
        <v>55.7</v>
      </c>
      <c r="R369" s="678">
        <f t="shared" si="40"/>
        <v>-41440.800000000003</v>
      </c>
      <c r="S369" s="700">
        <f t="shared" si="41"/>
        <v>88759.2</v>
      </c>
      <c r="T369" s="691" t="s">
        <v>54</v>
      </c>
    </row>
    <row r="370" spans="1:20" x14ac:dyDescent="0.25">
      <c r="A370" s="690"/>
      <c r="B370" s="695" t="s">
        <v>819</v>
      </c>
      <c r="C370" s="545" t="s">
        <v>40</v>
      </c>
      <c r="D370" s="681">
        <v>44713</v>
      </c>
      <c r="E370" s="545">
        <v>720</v>
      </c>
      <c r="F370" s="545" t="s">
        <v>3</v>
      </c>
      <c r="G370" s="725" t="s">
        <v>44</v>
      </c>
      <c r="H370" s="548">
        <v>-1</v>
      </c>
      <c r="I370" s="548">
        <v>175</v>
      </c>
      <c r="J370" s="602">
        <f t="shared" si="35"/>
        <v>126000</v>
      </c>
      <c r="K370" s="742">
        <v>55.71</v>
      </c>
      <c r="L370" s="603">
        <f t="shared" si="36"/>
        <v>-40111.199999999997</v>
      </c>
      <c r="M370" s="743">
        <f t="shared" si="37"/>
        <v>85888.8</v>
      </c>
      <c r="N370" s="744">
        <v>55.71</v>
      </c>
      <c r="O370" s="604">
        <f t="shared" si="38"/>
        <v>-40111.199999999997</v>
      </c>
      <c r="P370" s="701">
        <f t="shared" si="39"/>
        <v>85888.8</v>
      </c>
      <c r="Q370" s="744">
        <v>55.71</v>
      </c>
      <c r="R370" s="604">
        <f t="shared" si="40"/>
        <v>-40111.199999999997</v>
      </c>
      <c r="S370" s="701">
        <f t="shared" si="41"/>
        <v>85888.8</v>
      </c>
      <c r="T370" s="695" t="s">
        <v>54</v>
      </c>
    </row>
    <row r="371" spans="1:20" x14ac:dyDescent="0.25">
      <c r="A371" s="690"/>
      <c r="B371" s="696" t="s">
        <v>821</v>
      </c>
      <c r="C371" s="546" t="s">
        <v>40</v>
      </c>
      <c r="D371" s="682">
        <v>44652</v>
      </c>
      <c r="E371" s="546">
        <v>720</v>
      </c>
      <c r="F371" s="546" t="s">
        <v>3</v>
      </c>
      <c r="G371" s="726" t="s">
        <v>44</v>
      </c>
      <c r="H371" s="549">
        <v>-2</v>
      </c>
      <c r="I371" s="549">
        <v>175</v>
      </c>
      <c r="J371" s="605">
        <f t="shared" si="35"/>
        <v>252000</v>
      </c>
      <c r="K371" s="746">
        <v>55.7</v>
      </c>
      <c r="L371" s="606">
        <f t="shared" si="36"/>
        <v>-80208</v>
      </c>
      <c r="M371" s="747">
        <f t="shared" si="37"/>
        <v>171792</v>
      </c>
      <c r="N371" s="748">
        <v>55.7</v>
      </c>
      <c r="O371" s="607">
        <f t="shared" si="38"/>
        <v>-80208</v>
      </c>
      <c r="P371" s="702">
        <f t="shared" si="39"/>
        <v>171792</v>
      </c>
      <c r="Q371" s="748">
        <v>55.7</v>
      </c>
      <c r="R371" s="607">
        <f t="shared" si="40"/>
        <v>-80208</v>
      </c>
      <c r="S371" s="702">
        <f t="shared" si="41"/>
        <v>171792</v>
      </c>
      <c r="T371" s="696" t="s">
        <v>54</v>
      </c>
    </row>
    <row r="372" spans="1:20" x14ac:dyDescent="0.25">
      <c r="A372" s="690"/>
      <c r="B372" s="691" t="s">
        <v>821</v>
      </c>
      <c r="C372" s="676" t="s">
        <v>40</v>
      </c>
      <c r="D372" s="680">
        <v>44682</v>
      </c>
      <c r="E372" s="676">
        <v>744</v>
      </c>
      <c r="F372" s="676" t="s">
        <v>3</v>
      </c>
      <c r="G372" s="690" t="s">
        <v>44</v>
      </c>
      <c r="H372" s="115">
        <v>-2</v>
      </c>
      <c r="I372" s="115">
        <v>175</v>
      </c>
      <c r="J372" s="601">
        <f t="shared" si="35"/>
        <v>260400</v>
      </c>
      <c r="K372" s="738">
        <v>55.7</v>
      </c>
      <c r="L372" s="677">
        <f t="shared" si="36"/>
        <v>-82881.600000000006</v>
      </c>
      <c r="M372" s="739">
        <f t="shared" si="37"/>
        <v>177518.4</v>
      </c>
      <c r="N372" s="740">
        <v>55.7</v>
      </c>
      <c r="O372" s="678">
        <f t="shared" si="38"/>
        <v>-82881.600000000006</v>
      </c>
      <c r="P372" s="700">
        <f t="shared" si="39"/>
        <v>177518.4</v>
      </c>
      <c r="Q372" s="740">
        <v>55.7</v>
      </c>
      <c r="R372" s="678">
        <f t="shared" si="40"/>
        <v>-82881.600000000006</v>
      </c>
      <c r="S372" s="700">
        <f t="shared" si="41"/>
        <v>177518.4</v>
      </c>
      <c r="T372" s="691" t="s">
        <v>54</v>
      </c>
    </row>
    <row r="373" spans="1:20" x14ac:dyDescent="0.25">
      <c r="A373" s="690"/>
      <c r="B373" s="695" t="s">
        <v>821</v>
      </c>
      <c r="C373" s="545" t="s">
        <v>40</v>
      </c>
      <c r="D373" s="681">
        <v>44713</v>
      </c>
      <c r="E373" s="545">
        <v>720</v>
      </c>
      <c r="F373" s="545" t="s">
        <v>3</v>
      </c>
      <c r="G373" s="725" t="s">
        <v>44</v>
      </c>
      <c r="H373" s="548">
        <v>-2</v>
      </c>
      <c r="I373" s="548">
        <v>175</v>
      </c>
      <c r="J373" s="602">
        <f t="shared" si="35"/>
        <v>252000</v>
      </c>
      <c r="K373" s="742">
        <v>55.71</v>
      </c>
      <c r="L373" s="603">
        <f t="shared" si="36"/>
        <v>-80222.399999999994</v>
      </c>
      <c r="M373" s="743">
        <f t="shared" si="37"/>
        <v>171777.6</v>
      </c>
      <c r="N373" s="744">
        <v>55.71</v>
      </c>
      <c r="O373" s="604">
        <f t="shared" si="38"/>
        <v>-80222.399999999994</v>
      </c>
      <c r="P373" s="701">
        <f t="shared" si="39"/>
        <v>171777.6</v>
      </c>
      <c r="Q373" s="744">
        <v>55.71</v>
      </c>
      <c r="R373" s="604">
        <f t="shared" si="40"/>
        <v>-80222.399999999994</v>
      </c>
      <c r="S373" s="701">
        <f t="shared" si="41"/>
        <v>171777.6</v>
      </c>
      <c r="T373" s="695" t="s">
        <v>54</v>
      </c>
    </row>
    <row r="374" spans="1:20" x14ac:dyDescent="0.25">
      <c r="A374" s="690"/>
      <c r="B374" s="696" t="s">
        <v>823</v>
      </c>
      <c r="C374" s="546" t="s">
        <v>40</v>
      </c>
      <c r="D374" s="682">
        <v>44927</v>
      </c>
      <c r="E374" s="546">
        <v>744</v>
      </c>
      <c r="F374" s="546" t="s">
        <v>3</v>
      </c>
      <c r="G374" s="726" t="s">
        <v>11</v>
      </c>
      <c r="H374" s="549">
        <v>-1</v>
      </c>
      <c r="I374" s="549">
        <v>202.17712386254072</v>
      </c>
      <c r="J374" s="605">
        <f t="shared" si="35"/>
        <v>150419.7801537303</v>
      </c>
      <c r="K374" s="746">
        <v>68.72</v>
      </c>
      <c r="L374" s="606">
        <f t="shared" si="36"/>
        <v>-51127.68</v>
      </c>
      <c r="M374" s="747">
        <f t="shared" si="37"/>
        <v>99292.100153730309</v>
      </c>
      <c r="N374" s="748">
        <v>55.7</v>
      </c>
      <c r="O374" s="607">
        <f t="shared" si="38"/>
        <v>-41440.800000000003</v>
      </c>
      <c r="P374" s="702">
        <f t="shared" si="39"/>
        <v>108978.9801537303</v>
      </c>
      <c r="Q374" s="748">
        <v>96.206580759134184</v>
      </c>
      <c r="R374" s="607">
        <f t="shared" si="40"/>
        <v>-71577.69608479584</v>
      </c>
      <c r="S374" s="702">
        <f t="shared" si="41"/>
        <v>78842.084068934462</v>
      </c>
      <c r="T374" s="696" t="s">
        <v>54</v>
      </c>
    </row>
    <row r="375" spans="1:20" x14ac:dyDescent="0.25">
      <c r="A375" s="690"/>
      <c r="B375" s="691" t="s">
        <v>823</v>
      </c>
      <c r="C375" s="676" t="s">
        <v>40</v>
      </c>
      <c r="D375" s="680">
        <v>44958</v>
      </c>
      <c r="E375" s="676">
        <v>672</v>
      </c>
      <c r="F375" s="676" t="s">
        <v>3</v>
      </c>
      <c r="G375" s="690" t="s">
        <v>11</v>
      </c>
      <c r="H375" s="115">
        <v>-1</v>
      </c>
      <c r="I375" s="115">
        <v>202.17712386254072</v>
      </c>
      <c r="J375" s="601">
        <f t="shared" si="35"/>
        <v>135863.02723562738</v>
      </c>
      <c r="K375" s="738">
        <v>69.25</v>
      </c>
      <c r="L375" s="677">
        <f t="shared" si="36"/>
        <v>-46536</v>
      </c>
      <c r="M375" s="739">
        <f t="shared" si="37"/>
        <v>89327.027235627378</v>
      </c>
      <c r="N375" s="740">
        <v>55.7</v>
      </c>
      <c r="O375" s="678">
        <f t="shared" si="38"/>
        <v>-37430.400000000001</v>
      </c>
      <c r="P375" s="700">
        <f t="shared" si="39"/>
        <v>98432.627235627384</v>
      </c>
      <c r="Q375" s="740">
        <v>92.430648861364247</v>
      </c>
      <c r="R375" s="678">
        <f t="shared" si="40"/>
        <v>-62113.396034836776</v>
      </c>
      <c r="S375" s="700">
        <f t="shared" si="41"/>
        <v>73749.631200790609</v>
      </c>
      <c r="T375" s="691" t="s">
        <v>54</v>
      </c>
    </row>
    <row r="376" spans="1:20" x14ac:dyDescent="0.25">
      <c r="A376" s="690"/>
      <c r="B376" s="691" t="s">
        <v>823</v>
      </c>
      <c r="C376" s="676" t="s">
        <v>40</v>
      </c>
      <c r="D376" s="680">
        <v>44986</v>
      </c>
      <c r="E376" s="676">
        <v>744</v>
      </c>
      <c r="F376" s="676" t="s">
        <v>3</v>
      </c>
      <c r="G376" s="690" t="s">
        <v>11</v>
      </c>
      <c r="H376" s="115">
        <v>-1</v>
      </c>
      <c r="I376" s="115">
        <v>202.17712386254072</v>
      </c>
      <c r="J376" s="601">
        <f t="shared" si="35"/>
        <v>150419.7801537303</v>
      </c>
      <c r="K376" s="738">
        <v>69.3</v>
      </c>
      <c r="L376" s="677">
        <f t="shared" si="36"/>
        <v>-51559.199999999997</v>
      </c>
      <c r="M376" s="739">
        <f t="shared" si="37"/>
        <v>98860.580153730305</v>
      </c>
      <c r="N376" s="740">
        <v>55.7</v>
      </c>
      <c r="O376" s="678">
        <f t="shared" si="38"/>
        <v>-41440.800000000003</v>
      </c>
      <c r="P376" s="700">
        <f t="shared" si="39"/>
        <v>108978.9801537303</v>
      </c>
      <c r="Q376" s="740">
        <v>89.053218420260009</v>
      </c>
      <c r="R376" s="678">
        <f t="shared" si="40"/>
        <v>-66255.594504673441</v>
      </c>
      <c r="S376" s="700">
        <f t="shared" si="41"/>
        <v>84164.185649056861</v>
      </c>
      <c r="T376" s="691" t="s">
        <v>54</v>
      </c>
    </row>
    <row r="377" spans="1:20" x14ac:dyDescent="0.25">
      <c r="A377" s="690"/>
      <c r="B377" s="691" t="s">
        <v>823</v>
      </c>
      <c r="C377" s="676" t="s">
        <v>40</v>
      </c>
      <c r="D377" s="680">
        <v>45017</v>
      </c>
      <c r="E377" s="676">
        <v>720</v>
      </c>
      <c r="F377" s="676" t="s">
        <v>3</v>
      </c>
      <c r="G377" s="690" t="s">
        <v>11</v>
      </c>
      <c r="H377" s="115">
        <v>-1</v>
      </c>
      <c r="I377" s="115">
        <v>202.17712386254072</v>
      </c>
      <c r="J377" s="601">
        <f t="shared" si="35"/>
        <v>145567.52918102933</v>
      </c>
      <c r="K377" s="738">
        <v>69.8</v>
      </c>
      <c r="L377" s="677">
        <f t="shared" si="36"/>
        <v>-50256</v>
      </c>
      <c r="M377" s="739">
        <f t="shared" si="37"/>
        <v>95311.529181029327</v>
      </c>
      <c r="N377" s="740">
        <v>55.7</v>
      </c>
      <c r="O377" s="678">
        <f t="shared" si="38"/>
        <v>-40104</v>
      </c>
      <c r="P377" s="700">
        <f t="shared" si="39"/>
        <v>105463.52918102933</v>
      </c>
      <c r="Q377" s="740">
        <v>85.732008718771311</v>
      </c>
      <c r="R377" s="678">
        <f t="shared" si="40"/>
        <v>-61727.046277515343</v>
      </c>
      <c r="S377" s="700">
        <f t="shared" si="41"/>
        <v>83840.482903513985</v>
      </c>
      <c r="T377" s="691" t="s">
        <v>54</v>
      </c>
    </row>
    <row r="378" spans="1:20" x14ac:dyDescent="0.25">
      <c r="A378" s="690"/>
      <c r="B378" s="691" t="s">
        <v>823</v>
      </c>
      <c r="C378" s="676" t="s">
        <v>40</v>
      </c>
      <c r="D378" s="680">
        <v>45047</v>
      </c>
      <c r="E378" s="676">
        <v>744</v>
      </c>
      <c r="F378" s="676" t="s">
        <v>3</v>
      </c>
      <c r="G378" s="690" t="s">
        <v>11</v>
      </c>
      <c r="H378" s="115">
        <v>-1</v>
      </c>
      <c r="I378" s="115">
        <v>202.17712386254072</v>
      </c>
      <c r="J378" s="601">
        <f t="shared" si="35"/>
        <v>150419.7801537303</v>
      </c>
      <c r="K378" s="738">
        <v>70.2</v>
      </c>
      <c r="L378" s="677">
        <f t="shared" si="36"/>
        <v>-52228.800000000003</v>
      </c>
      <c r="M378" s="739">
        <f t="shared" si="37"/>
        <v>98190.980153730299</v>
      </c>
      <c r="N378" s="740">
        <v>55.7</v>
      </c>
      <c r="O378" s="678">
        <f t="shared" si="38"/>
        <v>-41440.800000000003</v>
      </c>
      <c r="P378" s="700">
        <f t="shared" si="39"/>
        <v>108978.9801537303</v>
      </c>
      <c r="Q378" s="740">
        <v>86.223309628334476</v>
      </c>
      <c r="R378" s="678">
        <f t="shared" si="40"/>
        <v>-64150.142363480853</v>
      </c>
      <c r="S378" s="700">
        <f t="shared" si="41"/>
        <v>86269.637790249457</v>
      </c>
      <c r="T378" s="691" t="s">
        <v>54</v>
      </c>
    </row>
    <row r="379" spans="1:20" x14ac:dyDescent="0.25">
      <c r="A379" s="690"/>
      <c r="B379" s="691" t="s">
        <v>823</v>
      </c>
      <c r="C379" s="676" t="s">
        <v>40</v>
      </c>
      <c r="D379" s="680">
        <v>45078</v>
      </c>
      <c r="E379" s="676">
        <v>720</v>
      </c>
      <c r="F379" s="676" t="s">
        <v>3</v>
      </c>
      <c r="G379" s="690" t="s">
        <v>11</v>
      </c>
      <c r="H379" s="115">
        <v>-1</v>
      </c>
      <c r="I379" s="115">
        <v>202.17712386254072</v>
      </c>
      <c r="J379" s="601">
        <f t="shared" si="35"/>
        <v>145567.52918102933</v>
      </c>
      <c r="K379" s="738">
        <v>72.400000000000006</v>
      </c>
      <c r="L379" s="677">
        <f t="shared" si="36"/>
        <v>-52128.000000000007</v>
      </c>
      <c r="M379" s="739">
        <f t="shared" si="37"/>
        <v>93439.529181029327</v>
      </c>
      <c r="N379" s="740">
        <v>55.874535369068141</v>
      </c>
      <c r="O379" s="678">
        <f t="shared" si="38"/>
        <v>-40229.665465729064</v>
      </c>
      <c r="P379" s="700">
        <f t="shared" si="39"/>
        <v>105337.86371530026</v>
      </c>
      <c r="Q379" s="740">
        <v>88.925464630931856</v>
      </c>
      <c r="R379" s="678">
        <f t="shared" si="40"/>
        <v>-64026.334534270936</v>
      </c>
      <c r="S379" s="700">
        <f t="shared" si="41"/>
        <v>81541.194646758391</v>
      </c>
      <c r="T379" s="691" t="s">
        <v>54</v>
      </c>
    </row>
    <row r="380" spans="1:20" x14ac:dyDescent="0.25">
      <c r="A380" s="690"/>
      <c r="B380" s="691" t="s">
        <v>823</v>
      </c>
      <c r="C380" s="676" t="s">
        <v>40</v>
      </c>
      <c r="D380" s="680">
        <v>45108</v>
      </c>
      <c r="E380" s="676">
        <v>744</v>
      </c>
      <c r="F380" s="676" t="s">
        <v>3</v>
      </c>
      <c r="G380" s="690" t="s">
        <v>11</v>
      </c>
      <c r="H380" s="115">
        <v>-1</v>
      </c>
      <c r="I380" s="115">
        <v>202.17712386254072</v>
      </c>
      <c r="J380" s="601">
        <f t="shared" si="35"/>
        <v>150419.7801537303</v>
      </c>
      <c r="K380" s="738">
        <v>77.150000000000006</v>
      </c>
      <c r="L380" s="677">
        <f t="shared" si="36"/>
        <v>-57399.600000000006</v>
      </c>
      <c r="M380" s="739">
        <f t="shared" si="37"/>
        <v>93020.180153730296</v>
      </c>
      <c r="N380" s="740">
        <v>59.54033706800562</v>
      </c>
      <c r="O380" s="678">
        <f t="shared" si="38"/>
        <v>-44298.010778596181</v>
      </c>
      <c r="P380" s="700">
        <f t="shared" si="39"/>
        <v>106121.76937513411</v>
      </c>
      <c r="Q380" s="740">
        <v>94.759662931994384</v>
      </c>
      <c r="R380" s="678">
        <f t="shared" si="40"/>
        <v>-70501.189221403823</v>
      </c>
      <c r="S380" s="700">
        <f t="shared" si="41"/>
        <v>79918.590932326479</v>
      </c>
      <c r="T380" s="691" t="s">
        <v>54</v>
      </c>
    </row>
    <row r="381" spans="1:20" x14ac:dyDescent="0.25">
      <c r="A381" s="690"/>
      <c r="B381" s="691" t="s">
        <v>823</v>
      </c>
      <c r="C381" s="676" t="s">
        <v>40</v>
      </c>
      <c r="D381" s="680">
        <v>45139</v>
      </c>
      <c r="E381" s="676">
        <v>744</v>
      </c>
      <c r="F381" s="676" t="s">
        <v>3</v>
      </c>
      <c r="G381" s="690" t="s">
        <v>11</v>
      </c>
      <c r="H381" s="115">
        <v>-1</v>
      </c>
      <c r="I381" s="115">
        <v>202.17712386254072</v>
      </c>
      <c r="J381" s="601">
        <f t="shared" si="35"/>
        <v>150419.7801537303</v>
      </c>
      <c r="K381" s="738">
        <v>77.150000000000006</v>
      </c>
      <c r="L381" s="677">
        <f t="shared" si="36"/>
        <v>-57399.600000000006</v>
      </c>
      <c r="M381" s="739">
        <f t="shared" si="37"/>
        <v>93020.180153730296</v>
      </c>
      <c r="N381" s="740">
        <v>59.54033706800562</v>
      </c>
      <c r="O381" s="678">
        <f t="shared" si="38"/>
        <v>-44298.010778596181</v>
      </c>
      <c r="P381" s="700">
        <f t="shared" si="39"/>
        <v>106121.76937513411</v>
      </c>
      <c r="Q381" s="740">
        <v>94.759662931994384</v>
      </c>
      <c r="R381" s="678">
        <f t="shared" si="40"/>
        <v>-70501.189221403823</v>
      </c>
      <c r="S381" s="700">
        <f t="shared" si="41"/>
        <v>79918.590932326479</v>
      </c>
      <c r="T381" s="691" t="s">
        <v>54</v>
      </c>
    </row>
    <row r="382" spans="1:20" x14ac:dyDescent="0.25">
      <c r="A382" s="690"/>
      <c r="B382" s="691" t="s">
        <v>823</v>
      </c>
      <c r="C382" s="676" t="s">
        <v>40</v>
      </c>
      <c r="D382" s="680">
        <v>45170</v>
      </c>
      <c r="E382" s="676">
        <v>720</v>
      </c>
      <c r="F382" s="676" t="s">
        <v>3</v>
      </c>
      <c r="G382" s="690" t="s">
        <v>11</v>
      </c>
      <c r="H382" s="115">
        <v>-1</v>
      </c>
      <c r="I382" s="115">
        <v>202.17712386254072</v>
      </c>
      <c r="J382" s="601">
        <f t="shared" si="35"/>
        <v>145567.52918102933</v>
      </c>
      <c r="K382" s="738">
        <v>77.150000000000006</v>
      </c>
      <c r="L382" s="677">
        <f t="shared" si="36"/>
        <v>-55548.000000000007</v>
      </c>
      <c r="M382" s="739">
        <f t="shared" si="37"/>
        <v>90019.529181029327</v>
      </c>
      <c r="N382" s="740">
        <v>59.54033706800562</v>
      </c>
      <c r="O382" s="678">
        <f t="shared" si="38"/>
        <v>-42869.042688964044</v>
      </c>
      <c r="P382" s="700">
        <f t="shared" si="39"/>
        <v>102698.48649206528</v>
      </c>
      <c r="Q382" s="740">
        <v>94.759662931994384</v>
      </c>
      <c r="R382" s="678">
        <f t="shared" si="40"/>
        <v>-68226.957311035963</v>
      </c>
      <c r="S382" s="700">
        <f t="shared" si="41"/>
        <v>77340.571869993364</v>
      </c>
      <c r="T382" s="691" t="s">
        <v>54</v>
      </c>
    </row>
    <row r="383" spans="1:20" x14ac:dyDescent="0.25">
      <c r="A383" s="690"/>
      <c r="B383" s="691" t="s">
        <v>823</v>
      </c>
      <c r="C383" s="676" t="s">
        <v>40</v>
      </c>
      <c r="D383" s="680">
        <v>45200</v>
      </c>
      <c r="E383" s="676">
        <v>744</v>
      </c>
      <c r="F383" s="676" t="s">
        <v>3</v>
      </c>
      <c r="G383" s="690" t="s">
        <v>11</v>
      </c>
      <c r="H383" s="115">
        <v>-1</v>
      </c>
      <c r="I383" s="115">
        <v>202.17712386254072</v>
      </c>
      <c r="J383" s="601">
        <f t="shared" si="35"/>
        <v>150419.7801537303</v>
      </c>
      <c r="K383" s="738">
        <v>80.45</v>
      </c>
      <c r="L383" s="677">
        <f t="shared" si="36"/>
        <v>-59854.8</v>
      </c>
      <c r="M383" s="739">
        <f t="shared" si="37"/>
        <v>90564.980153730299</v>
      </c>
      <c r="N383" s="740">
        <v>62.087104564109552</v>
      </c>
      <c r="O383" s="678">
        <f t="shared" si="38"/>
        <v>-46192.80579569751</v>
      </c>
      <c r="P383" s="700">
        <f t="shared" si="39"/>
        <v>104226.97435803279</v>
      </c>
      <c r="Q383" s="740">
        <v>98.812895435890439</v>
      </c>
      <c r="R383" s="678">
        <f t="shared" si="40"/>
        <v>-73516.794204302481</v>
      </c>
      <c r="S383" s="700">
        <f t="shared" si="41"/>
        <v>76902.985949427821</v>
      </c>
      <c r="T383" s="691" t="s">
        <v>54</v>
      </c>
    </row>
    <row r="384" spans="1:20" x14ac:dyDescent="0.25">
      <c r="A384" s="690"/>
      <c r="B384" s="691" t="s">
        <v>823</v>
      </c>
      <c r="C384" s="676" t="s">
        <v>40</v>
      </c>
      <c r="D384" s="680">
        <v>45231</v>
      </c>
      <c r="E384" s="676">
        <v>720</v>
      </c>
      <c r="F384" s="676" t="s">
        <v>3</v>
      </c>
      <c r="G384" s="690" t="s">
        <v>11</v>
      </c>
      <c r="H384" s="115">
        <v>-1</v>
      </c>
      <c r="I384" s="115">
        <v>202.17712386254072</v>
      </c>
      <c r="J384" s="601">
        <f t="shared" si="35"/>
        <v>145567.52918102933</v>
      </c>
      <c r="K384" s="738">
        <v>80.45</v>
      </c>
      <c r="L384" s="677">
        <f t="shared" si="36"/>
        <v>-57924</v>
      </c>
      <c r="M384" s="739">
        <f t="shared" si="37"/>
        <v>87643.529181029327</v>
      </c>
      <c r="N384" s="740">
        <v>62.087104564109552</v>
      </c>
      <c r="O384" s="678">
        <f t="shared" si="38"/>
        <v>-44702.715286158877</v>
      </c>
      <c r="P384" s="700">
        <f t="shared" si="39"/>
        <v>100864.81389487046</v>
      </c>
      <c r="Q384" s="740">
        <v>98.812895435890439</v>
      </c>
      <c r="R384" s="678">
        <f t="shared" si="40"/>
        <v>-71145.284713841116</v>
      </c>
      <c r="S384" s="700">
        <f t="shared" si="41"/>
        <v>74422.244467188211</v>
      </c>
      <c r="T384" s="691" t="s">
        <v>54</v>
      </c>
    </row>
    <row r="385" spans="1:20" x14ac:dyDescent="0.25">
      <c r="A385" s="690"/>
      <c r="B385" s="695" t="s">
        <v>823</v>
      </c>
      <c r="C385" s="545" t="s">
        <v>40</v>
      </c>
      <c r="D385" s="681">
        <v>45261</v>
      </c>
      <c r="E385" s="545">
        <v>744</v>
      </c>
      <c r="F385" s="545" t="s">
        <v>3</v>
      </c>
      <c r="G385" s="725" t="s">
        <v>11</v>
      </c>
      <c r="H385" s="548">
        <v>-1</v>
      </c>
      <c r="I385" s="548">
        <v>202.17712386254072</v>
      </c>
      <c r="J385" s="602">
        <f t="shared" si="35"/>
        <v>150419.7801537303</v>
      </c>
      <c r="K385" s="742">
        <v>80.45</v>
      </c>
      <c r="L385" s="603">
        <f t="shared" si="36"/>
        <v>-59854.8</v>
      </c>
      <c r="M385" s="743">
        <f t="shared" si="37"/>
        <v>90564.980153730299</v>
      </c>
      <c r="N385" s="744">
        <v>62.087104564109552</v>
      </c>
      <c r="O385" s="604">
        <f t="shared" si="38"/>
        <v>-46192.80579569751</v>
      </c>
      <c r="P385" s="701">
        <f t="shared" si="39"/>
        <v>104226.97435803279</v>
      </c>
      <c r="Q385" s="744">
        <v>98.812895435890439</v>
      </c>
      <c r="R385" s="604">
        <f t="shared" si="40"/>
        <v>-73516.794204302481</v>
      </c>
      <c r="S385" s="701">
        <f t="shared" si="41"/>
        <v>76902.985949427821</v>
      </c>
      <c r="T385" s="695" t="s">
        <v>54</v>
      </c>
    </row>
    <row r="386" spans="1:20" x14ac:dyDescent="0.25">
      <c r="A386" s="690"/>
      <c r="B386" s="696" t="s">
        <v>825</v>
      </c>
      <c r="C386" s="546" t="s">
        <v>40</v>
      </c>
      <c r="D386" s="682">
        <v>44927</v>
      </c>
      <c r="E386" s="546">
        <v>744</v>
      </c>
      <c r="F386" s="546" t="s">
        <v>3</v>
      </c>
      <c r="G386" s="726" t="s">
        <v>13</v>
      </c>
      <c r="H386" s="549">
        <v>-0.7</v>
      </c>
      <c r="I386" s="549">
        <v>214.94620536964857</v>
      </c>
      <c r="J386" s="605">
        <f t="shared" si="35"/>
        <v>111943.98375651297</v>
      </c>
      <c r="K386" s="746">
        <v>68.72</v>
      </c>
      <c r="L386" s="606">
        <f t="shared" si="36"/>
        <v>-35789.375999999997</v>
      </c>
      <c r="M386" s="747">
        <f t="shared" si="37"/>
        <v>76154.607756512967</v>
      </c>
      <c r="N386" s="748">
        <v>55.7</v>
      </c>
      <c r="O386" s="607">
        <f t="shared" si="38"/>
        <v>-29008.559999999998</v>
      </c>
      <c r="P386" s="702">
        <f t="shared" si="39"/>
        <v>82935.423756512973</v>
      </c>
      <c r="Q386" s="748">
        <v>96.206580759134184</v>
      </c>
      <c r="R386" s="607">
        <f t="shared" si="40"/>
        <v>-50104.387259357078</v>
      </c>
      <c r="S386" s="702">
        <f t="shared" si="41"/>
        <v>61839.596497155893</v>
      </c>
      <c r="T386" s="696" t="s">
        <v>54</v>
      </c>
    </row>
    <row r="387" spans="1:20" x14ac:dyDescent="0.25">
      <c r="A387" s="690"/>
      <c r="B387" s="691" t="s">
        <v>825</v>
      </c>
      <c r="C387" s="676" t="s">
        <v>40</v>
      </c>
      <c r="D387" s="680">
        <v>44958</v>
      </c>
      <c r="E387" s="676">
        <v>672</v>
      </c>
      <c r="F387" s="676" t="s">
        <v>3</v>
      </c>
      <c r="G387" s="690" t="s">
        <v>13</v>
      </c>
      <c r="H387" s="115">
        <v>-0.7</v>
      </c>
      <c r="I387" s="115">
        <v>214.94620536964857</v>
      </c>
      <c r="J387" s="601">
        <f t="shared" ref="J387:J450" si="42">(I387*(E387*H387))*-1</f>
        <v>101110.69500588268</v>
      </c>
      <c r="K387" s="738">
        <v>69.25</v>
      </c>
      <c r="L387" s="677">
        <f t="shared" ref="L387:L450" si="43">(((E387*H387)*K387))</f>
        <v>-32575.199999999997</v>
      </c>
      <c r="M387" s="739">
        <f t="shared" ref="M387:M450" si="44">J387+L387</f>
        <v>68535.49500588268</v>
      </c>
      <c r="N387" s="740">
        <v>55.7</v>
      </c>
      <c r="O387" s="678">
        <f t="shared" ref="O387:O450" si="45">((E387*H387)*N387)</f>
        <v>-26201.279999999999</v>
      </c>
      <c r="P387" s="700">
        <f t="shared" ref="P387:P450" si="46">J387+O387</f>
        <v>74909.415005882678</v>
      </c>
      <c r="Q387" s="740">
        <v>92.430648861364247</v>
      </c>
      <c r="R387" s="678">
        <f t="shared" ref="R387:R450" si="47">((E387*H387)*Q387)</f>
        <v>-43479.377224385738</v>
      </c>
      <c r="S387" s="700">
        <f t="shared" ref="S387:S450" si="48">J387+R387</f>
        <v>57631.317781496939</v>
      </c>
      <c r="T387" s="691" t="s">
        <v>54</v>
      </c>
    </row>
    <row r="388" spans="1:20" x14ac:dyDescent="0.25">
      <c r="A388" s="690"/>
      <c r="B388" s="691" t="s">
        <v>825</v>
      </c>
      <c r="C388" s="676" t="s">
        <v>40</v>
      </c>
      <c r="D388" s="680">
        <v>44986</v>
      </c>
      <c r="E388" s="676">
        <v>744</v>
      </c>
      <c r="F388" s="676" t="s">
        <v>3</v>
      </c>
      <c r="G388" s="690" t="s">
        <v>13</v>
      </c>
      <c r="H388" s="115">
        <v>-0.7</v>
      </c>
      <c r="I388" s="115">
        <v>214.94620536964857</v>
      </c>
      <c r="J388" s="601">
        <f t="shared" si="42"/>
        <v>111943.98375651297</v>
      </c>
      <c r="K388" s="738">
        <v>69.3</v>
      </c>
      <c r="L388" s="677">
        <f t="shared" si="43"/>
        <v>-36091.439999999995</v>
      </c>
      <c r="M388" s="739">
        <f t="shared" si="44"/>
        <v>75852.543756512983</v>
      </c>
      <c r="N388" s="740">
        <v>55.7</v>
      </c>
      <c r="O388" s="678">
        <f t="shared" si="45"/>
        <v>-29008.559999999998</v>
      </c>
      <c r="P388" s="700">
        <f t="shared" si="46"/>
        <v>82935.423756512973</v>
      </c>
      <c r="Q388" s="740">
        <v>89.053218420260009</v>
      </c>
      <c r="R388" s="678">
        <f t="shared" si="47"/>
        <v>-46378.916153271406</v>
      </c>
      <c r="S388" s="700">
        <f t="shared" si="48"/>
        <v>65565.067603241565</v>
      </c>
      <c r="T388" s="691" t="s">
        <v>54</v>
      </c>
    </row>
    <row r="389" spans="1:20" x14ac:dyDescent="0.25">
      <c r="A389" s="690"/>
      <c r="B389" s="691" t="s">
        <v>825</v>
      </c>
      <c r="C389" s="676" t="s">
        <v>40</v>
      </c>
      <c r="D389" s="680">
        <v>45017</v>
      </c>
      <c r="E389" s="676">
        <v>720</v>
      </c>
      <c r="F389" s="676" t="s">
        <v>3</v>
      </c>
      <c r="G389" s="690" t="s">
        <v>13</v>
      </c>
      <c r="H389" s="115">
        <v>-0.7</v>
      </c>
      <c r="I389" s="115">
        <v>214.94620536964857</v>
      </c>
      <c r="J389" s="601">
        <f t="shared" si="42"/>
        <v>108332.88750630287</v>
      </c>
      <c r="K389" s="738">
        <v>69.8</v>
      </c>
      <c r="L389" s="677">
        <f t="shared" si="43"/>
        <v>-35179.199999999997</v>
      </c>
      <c r="M389" s="739">
        <f t="shared" si="44"/>
        <v>73153.687506302871</v>
      </c>
      <c r="N389" s="740">
        <v>55.7</v>
      </c>
      <c r="O389" s="678">
        <f t="shared" si="45"/>
        <v>-28072.799999999999</v>
      </c>
      <c r="P389" s="700">
        <f t="shared" si="46"/>
        <v>80260.087506302865</v>
      </c>
      <c r="Q389" s="740">
        <v>85.732008718771311</v>
      </c>
      <c r="R389" s="678">
        <f t="shared" si="47"/>
        <v>-43208.932394260737</v>
      </c>
      <c r="S389" s="700">
        <f t="shared" si="48"/>
        <v>65123.955112042131</v>
      </c>
      <c r="T389" s="691" t="s">
        <v>54</v>
      </c>
    </row>
    <row r="390" spans="1:20" x14ac:dyDescent="0.25">
      <c r="A390" s="690"/>
      <c r="B390" s="691" t="s">
        <v>825</v>
      </c>
      <c r="C390" s="676" t="s">
        <v>40</v>
      </c>
      <c r="D390" s="680">
        <v>45047</v>
      </c>
      <c r="E390" s="676">
        <v>744</v>
      </c>
      <c r="F390" s="676" t="s">
        <v>3</v>
      </c>
      <c r="G390" s="690" t="s">
        <v>13</v>
      </c>
      <c r="H390" s="115">
        <v>-0.7</v>
      </c>
      <c r="I390" s="115">
        <v>214.94620536964857</v>
      </c>
      <c r="J390" s="601">
        <f t="shared" si="42"/>
        <v>111943.98375651297</v>
      </c>
      <c r="K390" s="738">
        <v>70.2</v>
      </c>
      <c r="L390" s="677">
        <f t="shared" si="43"/>
        <v>-36560.159999999996</v>
      </c>
      <c r="M390" s="739">
        <f t="shared" si="44"/>
        <v>75383.823756512982</v>
      </c>
      <c r="N390" s="740">
        <v>55.7</v>
      </c>
      <c r="O390" s="678">
        <f t="shared" si="45"/>
        <v>-29008.559999999998</v>
      </c>
      <c r="P390" s="700">
        <f t="shared" si="46"/>
        <v>82935.423756512973</v>
      </c>
      <c r="Q390" s="740">
        <v>86.223309628334476</v>
      </c>
      <c r="R390" s="678">
        <f t="shared" si="47"/>
        <v>-44905.099654436592</v>
      </c>
      <c r="S390" s="700">
        <f t="shared" si="48"/>
        <v>67038.884102076379</v>
      </c>
      <c r="T390" s="691" t="s">
        <v>54</v>
      </c>
    </row>
    <row r="391" spans="1:20" x14ac:dyDescent="0.25">
      <c r="A391" s="690"/>
      <c r="B391" s="691" t="s">
        <v>825</v>
      </c>
      <c r="C391" s="676" t="s">
        <v>40</v>
      </c>
      <c r="D391" s="680">
        <v>45078</v>
      </c>
      <c r="E391" s="676">
        <v>720</v>
      </c>
      <c r="F391" s="676" t="s">
        <v>3</v>
      </c>
      <c r="G391" s="690" t="s">
        <v>13</v>
      </c>
      <c r="H391" s="115">
        <v>-0.7</v>
      </c>
      <c r="I391" s="115">
        <v>214.94620536964857</v>
      </c>
      <c r="J391" s="601">
        <f t="shared" si="42"/>
        <v>108332.88750630287</v>
      </c>
      <c r="K391" s="738">
        <v>72.400000000000006</v>
      </c>
      <c r="L391" s="677">
        <f t="shared" si="43"/>
        <v>-36489.599999999999</v>
      </c>
      <c r="M391" s="739">
        <f t="shared" si="44"/>
        <v>71843.287506302877</v>
      </c>
      <c r="N391" s="740">
        <v>55.874535369068141</v>
      </c>
      <c r="O391" s="678">
        <f t="shared" si="45"/>
        <v>-28160.765826010342</v>
      </c>
      <c r="P391" s="700">
        <f t="shared" si="46"/>
        <v>80172.121680292534</v>
      </c>
      <c r="Q391" s="740">
        <v>88.925464630931856</v>
      </c>
      <c r="R391" s="678">
        <f t="shared" si="47"/>
        <v>-44818.434173989648</v>
      </c>
      <c r="S391" s="700">
        <f t="shared" si="48"/>
        <v>63514.45333231322</v>
      </c>
      <c r="T391" s="691" t="s">
        <v>54</v>
      </c>
    </row>
    <row r="392" spans="1:20" x14ac:dyDescent="0.25">
      <c r="A392" s="690"/>
      <c r="B392" s="691" t="s">
        <v>825</v>
      </c>
      <c r="C392" s="676" t="s">
        <v>40</v>
      </c>
      <c r="D392" s="680">
        <v>45108</v>
      </c>
      <c r="E392" s="676">
        <v>744</v>
      </c>
      <c r="F392" s="676" t="s">
        <v>3</v>
      </c>
      <c r="G392" s="690" t="s">
        <v>13</v>
      </c>
      <c r="H392" s="115">
        <v>-0.7</v>
      </c>
      <c r="I392" s="115">
        <v>214.94620536964857</v>
      </c>
      <c r="J392" s="601">
        <f t="shared" si="42"/>
        <v>111943.98375651297</v>
      </c>
      <c r="K392" s="738">
        <v>77.150000000000006</v>
      </c>
      <c r="L392" s="677">
        <f t="shared" si="43"/>
        <v>-40179.72</v>
      </c>
      <c r="M392" s="739">
        <f t="shared" si="44"/>
        <v>71764.26375651297</v>
      </c>
      <c r="N392" s="740">
        <v>59.54033706800562</v>
      </c>
      <c r="O392" s="678">
        <f t="shared" si="45"/>
        <v>-31008.607545017323</v>
      </c>
      <c r="P392" s="700">
        <f t="shared" si="46"/>
        <v>80935.376211495648</v>
      </c>
      <c r="Q392" s="740">
        <v>94.759662931994384</v>
      </c>
      <c r="R392" s="678">
        <f t="shared" si="47"/>
        <v>-49350.832454982672</v>
      </c>
      <c r="S392" s="700">
        <f t="shared" si="48"/>
        <v>62593.151301530299</v>
      </c>
      <c r="T392" s="691" t="s">
        <v>54</v>
      </c>
    </row>
    <row r="393" spans="1:20" x14ac:dyDescent="0.25">
      <c r="A393" s="690"/>
      <c r="B393" s="691" t="s">
        <v>825</v>
      </c>
      <c r="C393" s="676" t="s">
        <v>40</v>
      </c>
      <c r="D393" s="680">
        <v>45139</v>
      </c>
      <c r="E393" s="676">
        <v>744</v>
      </c>
      <c r="F393" s="676" t="s">
        <v>3</v>
      </c>
      <c r="G393" s="690" t="s">
        <v>13</v>
      </c>
      <c r="H393" s="115">
        <v>-0.7</v>
      </c>
      <c r="I393" s="115">
        <v>214.94620536964857</v>
      </c>
      <c r="J393" s="601">
        <f t="shared" si="42"/>
        <v>111943.98375651297</v>
      </c>
      <c r="K393" s="738">
        <v>77.150000000000006</v>
      </c>
      <c r="L393" s="677">
        <f t="shared" si="43"/>
        <v>-40179.72</v>
      </c>
      <c r="M393" s="739">
        <f t="shared" si="44"/>
        <v>71764.26375651297</v>
      </c>
      <c r="N393" s="740">
        <v>59.54033706800562</v>
      </c>
      <c r="O393" s="678">
        <f t="shared" si="45"/>
        <v>-31008.607545017323</v>
      </c>
      <c r="P393" s="700">
        <f t="shared" si="46"/>
        <v>80935.376211495648</v>
      </c>
      <c r="Q393" s="740">
        <v>94.759662931994384</v>
      </c>
      <c r="R393" s="678">
        <f t="shared" si="47"/>
        <v>-49350.832454982672</v>
      </c>
      <c r="S393" s="700">
        <f t="shared" si="48"/>
        <v>62593.151301530299</v>
      </c>
      <c r="T393" s="691" t="s">
        <v>54</v>
      </c>
    </row>
    <row r="394" spans="1:20" x14ac:dyDescent="0.25">
      <c r="A394" s="690"/>
      <c r="B394" s="691" t="s">
        <v>825</v>
      </c>
      <c r="C394" s="676" t="s">
        <v>40</v>
      </c>
      <c r="D394" s="680">
        <v>45170</v>
      </c>
      <c r="E394" s="676">
        <v>720</v>
      </c>
      <c r="F394" s="676" t="s">
        <v>3</v>
      </c>
      <c r="G394" s="690" t="s">
        <v>13</v>
      </c>
      <c r="H394" s="115">
        <v>-0.7</v>
      </c>
      <c r="I394" s="115">
        <v>214.94620536964857</v>
      </c>
      <c r="J394" s="601">
        <f t="shared" si="42"/>
        <v>108332.88750630287</v>
      </c>
      <c r="K394" s="738">
        <v>77.150000000000006</v>
      </c>
      <c r="L394" s="677">
        <f t="shared" si="43"/>
        <v>-38883.599999999999</v>
      </c>
      <c r="M394" s="739">
        <f t="shared" si="44"/>
        <v>69449.287506302877</v>
      </c>
      <c r="N394" s="740">
        <v>59.54033706800562</v>
      </c>
      <c r="O394" s="678">
        <f t="shared" si="45"/>
        <v>-30008.329882274829</v>
      </c>
      <c r="P394" s="700">
        <f t="shared" si="46"/>
        <v>78324.557624028035</v>
      </c>
      <c r="Q394" s="740">
        <v>94.759662931994384</v>
      </c>
      <c r="R394" s="678">
        <f t="shared" si="47"/>
        <v>-47758.870117725164</v>
      </c>
      <c r="S394" s="700">
        <f t="shared" si="48"/>
        <v>60574.017388577704</v>
      </c>
      <c r="T394" s="691" t="s">
        <v>54</v>
      </c>
    </row>
    <row r="395" spans="1:20" x14ac:dyDescent="0.25">
      <c r="A395" s="690"/>
      <c r="B395" s="691" t="s">
        <v>825</v>
      </c>
      <c r="C395" s="676" t="s">
        <v>40</v>
      </c>
      <c r="D395" s="680">
        <v>45200</v>
      </c>
      <c r="E395" s="676">
        <v>744</v>
      </c>
      <c r="F395" s="676" t="s">
        <v>3</v>
      </c>
      <c r="G395" s="690" t="s">
        <v>13</v>
      </c>
      <c r="H395" s="115">
        <v>-0.7</v>
      </c>
      <c r="I395" s="115">
        <v>214.94620536964857</v>
      </c>
      <c r="J395" s="601">
        <f t="shared" si="42"/>
        <v>111943.98375651297</v>
      </c>
      <c r="K395" s="738">
        <v>80.45</v>
      </c>
      <c r="L395" s="677">
        <f t="shared" si="43"/>
        <v>-41898.36</v>
      </c>
      <c r="M395" s="739">
        <f t="shared" si="44"/>
        <v>70045.62375651297</v>
      </c>
      <c r="N395" s="740">
        <v>62.087104564109552</v>
      </c>
      <c r="O395" s="678">
        <f t="shared" si="45"/>
        <v>-32334.96405698825</v>
      </c>
      <c r="P395" s="700">
        <f t="shared" si="46"/>
        <v>79609.019699524724</v>
      </c>
      <c r="Q395" s="740">
        <v>98.812895435890439</v>
      </c>
      <c r="R395" s="678">
        <f t="shared" si="47"/>
        <v>-51461.75594301174</v>
      </c>
      <c r="S395" s="700">
        <f t="shared" si="48"/>
        <v>60482.227813501231</v>
      </c>
      <c r="T395" s="691" t="s">
        <v>54</v>
      </c>
    </row>
    <row r="396" spans="1:20" x14ac:dyDescent="0.25">
      <c r="A396" s="690"/>
      <c r="B396" s="691" t="s">
        <v>825</v>
      </c>
      <c r="C396" s="676" t="s">
        <v>40</v>
      </c>
      <c r="D396" s="680">
        <v>45231</v>
      </c>
      <c r="E396" s="676">
        <v>720</v>
      </c>
      <c r="F396" s="676" t="s">
        <v>3</v>
      </c>
      <c r="G396" s="690" t="s">
        <v>13</v>
      </c>
      <c r="H396" s="115">
        <v>-0.7</v>
      </c>
      <c r="I396" s="115">
        <v>214.94620536964857</v>
      </c>
      <c r="J396" s="601">
        <f t="shared" si="42"/>
        <v>108332.88750630287</v>
      </c>
      <c r="K396" s="738">
        <v>80.45</v>
      </c>
      <c r="L396" s="677">
        <f t="shared" si="43"/>
        <v>-40546.799999999996</v>
      </c>
      <c r="M396" s="739">
        <f t="shared" si="44"/>
        <v>67786.087506302865</v>
      </c>
      <c r="N396" s="740">
        <v>62.087104564109552</v>
      </c>
      <c r="O396" s="678">
        <f t="shared" si="45"/>
        <v>-31291.900700311209</v>
      </c>
      <c r="P396" s="700">
        <f t="shared" si="46"/>
        <v>77040.986805991663</v>
      </c>
      <c r="Q396" s="740">
        <v>98.812895435890439</v>
      </c>
      <c r="R396" s="678">
        <f t="shared" si="47"/>
        <v>-49801.699299688778</v>
      </c>
      <c r="S396" s="700">
        <f t="shared" si="48"/>
        <v>58531.18820661409</v>
      </c>
      <c r="T396" s="691" t="s">
        <v>54</v>
      </c>
    </row>
    <row r="397" spans="1:20" x14ac:dyDescent="0.25">
      <c r="A397" s="690"/>
      <c r="B397" s="695" t="s">
        <v>825</v>
      </c>
      <c r="C397" s="545" t="s">
        <v>40</v>
      </c>
      <c r="D397" s="681">
        <v>45261</v>
      </c>
      <c r="E397" s="545">
        <v>744</v>
      </c>
      <c r="F397" s="545" t="s">
        <v>3</v>
      </c>
      <c r="G397" s="725" t="s">
        <v>13</v>
      </c>
      <c r="H397" s="548">
        <v>-0.7</v>
      </c>
      <c r="I397" s="548">
        <v>214.94620536964857</v>
      </c>
      <c r="J397" s="602">
        <f t="shared" si="42"/>
        <v>111943.98375651297</v>
      </c>
      <c r="K397" s="742">
        <v>80.45</v>
      </c>
      <c r="L397" s="603">
        <f t="shared" si="43"/>
        <v>-41898.36</v>
      </c>
      <c r="M397" s="743">
        <f t="shared" si="44"/>
        <v>70045.62375651297</v>
      </c>
      <c r="N397" s="744">
        <v>62.087104564109552</v>
      </c>
      <c r="O397" s="604">
        <f t="shared" si="45"/>
        <v>-32334.96405698825</v>
      </c>
      <c r="P397" s="701">
        <f t="shared" si="46"/>
        <v>79609.019699524724</v>
      </c>
      <c r="Q397" s="744">
        <v>98.812895435890439</v>
      </c>
      <c r="R397" s="604">
        <f t="shared" si="47"/>
        <v>-51461.75594301174</v>
      </c>
      <c r="S397" s="701">
        <f t="shared" si="48"/>
        <v>60482.227813501231</v>
      </c>
      <c r="T397" s="695" t="s">
        <v>54</v>
      </c>
    </row>
    <row r="398" spans="1:20" x14ac:dyDescent="0.25">
      <c r="A398" s="690"/>
      <c r="B398" s="697" t="s">
        <v>850</v>
      </c>
      <c r="C398" s="547" t="s">
        <v>40</v>
      </c>
      <c r="D398" s="683">
        <v>44621</v>
      </c>
      <c r="E398" s="547">
        <v>744</v>
      </c>
      <c r="F398" s="547" t="s">
        <v>3</v>
      </c>
      <c r="G398" s="727" t="s">
        <v>44</v>
      </c>
      <c r="H398" s="638">
        <v>20</v>
      </c>
      <c r="I398" s="638">
        <v>130</v>
      </c>
      <c r="J398" s="639">
        <f t="shared" si="42"/>
        <v>-1934400</v>
      </c>
      <c r="K398" s="750">
        <v>55.7</v>
      </c>
      <c r="L398" s="608">
        <f t="shared" si="43"/>
        <v>828816</v>
      </c>
      <c r="M398" s="751">
        <f t="shared" si="44"/>
        <v>-1105584</v>
      </c>
      <c r="N398" s="752">
        <v>55.7</v>
      </c>
      <c r="O398" s="609">
        <f t="shared" si="45"/>
        <v>828816</v>
      </c>
      <c r="P398" s="703">
        <f t="shared" si="46"/>
        <v>-1105584</v>
      </c>
      <c r="Q398" s="752">
        <v>55.7</v>
      </c>
      <c r="R398" s="609">
        <f t="shared" si="47"/>
        <v>828816</v>
      </c>
      <c r="S398" s="703">
        <f t="shared" si="48"/>
        <v>-1105584</v>
      </c>
      <c r="T398" s="697" t="s">
        <v>54</v>
      </c>
    </row>
    <row r="399" spans="1:20" x14ac:dyDescent="0.25">
      <c r="A399" s="690"/>
      <c r="B399" s="697" t="s">
        <v>852</v>
      </c>
      <c r="C399" s="547" t="s">
        <v>40</v>
      </c>
      <c r="D399" s="683">
        <v>44743</v>
      </c>
      <c r="E399" s="547">
        <v>744</v>
      </c>
      <c r="F399" s="547" t="s">
        <v>3</v>
      </c>
      <c r="G399" s="727" t="s">
        <v>44</v>
      </c>
      <c r="H399" s="638">
        <v>-20</v>
      </c>
      <c r="I399" s="638">
        <v>210</v>
      </c>
      <c r="J399" s="639">
        <f t="shared" si="42"/>
        <v>3124800</v>
      </c>
      <c r="K399" s="750">
        <v>66.319999999999993</v>
      </c>
      <c r="L399" s="608">
        <f t="shared" si="43"/>
        <v>-986841.59999999986</v>
      </c>
      <c r="M399" s="751">
        <f t="shared" si="44"/>
        <v>2137958.4000000004</v>
      </c>
      <c r="N399" s="752">
        <v>66.319999999999993</v>
      </c>
      <c r="O399" s="609">
        <f t="shared" si="45"/>
        <v>-986841.59999999986</v>
      </c>
      <c r="P399" s="703">
        <f t="shared" si="46"/>
        <v>2137958.4000000004</v>
      </c>
      <c r="Q399" s="752">
        <v>66.319999999999993</v>
      </c>
      <c r="R399" s="609">
        <f t="shared" si="47"/>
        <v>-986841.59999999986</v>
      </c>
      <c r="S399" s="703">
        <f t="shared" si="48"/>
        <v>2137958.4000000004</v>
      </c>
      <c r="T399" s="697" t="s">
        <v>54</v>
      </c>
    </row>
    <row r="400" spans="1:20" x14ac:dyDescent="0.25">
      <c r="A400" s="690"/>
      <c r="B400" s="697" t="s">
        <v>854</v>
      </c>
      <c r="C400" s="547" t="s">
        <v>40</v>
      </c>
      <c r="D400" s="683">
        <v>44593</v>
      </c>
      <c r="E400" s="547">
        <v>672</v>
      </c>
      <c r="F400" s="547" t="s">
        <v>3</v>
      </c>
      <c r="G400" s="727" t="s">
        <v>44</v>
      </c>
      <c r="H400" s="638">
        <v>-0.6</v>
      </c>
      <c r="I400" s="638">
        <v>107</v>
      </c>
      <c r="J400" s="639">
        <f t="shared" si="42"/>
        <v>43142.400000000001</v>
      </c>
      <c r="K400" s="750">
        <v>55.7</v>
      </c>
      <c r="L400" s="608">
        <f t="shared" si="43"/>
        <v>-22458.240000000002</v>
      </c>
      <c r="M400" s="751">
        <f t="shared" si="44"/>
        <v>20684.16</v>
      </c>
      <c r="N400" s="752">
        <v>55.7</v>
      </c>
      <c r="O400" s="609">
        <f t="shared" si="45"/>
        <v>-22458.240000000002</v>
      </c>
      <c r="P400" s="703">
        <f t="shared" si="46"/>
        <v>20684.16</v>
      </c>
      <c r="Q400" s="752">
        <v>55.7</v>
      </c>
      <c r="R400" s="609">
        <f t="shared" si="47"/>
        <v>-22458.240000000002</v>
      </c>
      <c r="S400" s="703">
        <f t="shared" si="48"/>
        <v>20684.16</v>
      </c>
      <c r="T400" s="697" t="s">
        <v>54</v>
      </c>
    </row>
    <row r="401" spans="1:20" x14ac:dyDescent="0.25">
      <c r="A401" s="690"/>
      <c r="B401" s="697" t="s">
        <v>856</v>
      </c>
      <c r="C401" s="547" t="s">
        <v>40</v>
      </c>
      <c r="D401" s="683">
        <v>44593</v>
      </c>
      <c r="E401" s="547">
        <v>672</v>
      </c>
      <c r="F401" s="547" t="s">
        <v>3</v>
      </c>
      <c r="G401" s="727" t="s">
        <v>44</v>
      </c>
      <c r="H401" s="638">
        <v>-1</v>
      </c>
      <c r="I401" s="638">
        <v>106</v>
      </c>
      <c r="J401" s="639">
        <f t="shared" si="42"/>
        <v>71232</v>
      </c>
      <c r="K401" s="750">
        <v>55.7</v>
      </c>
      <c r="L401" s="608">
        <f t="shared" si="43"/>
        <v>-37430.400000000001</v>
      </c>
      <c r="M401" s="751">
        <f t="shared" si="44"/>
        <v>33801.599999999999</v>
      </c>
      <c r="N401" s="752">
        <v>55.7</v>
      </c>
      <c r="O401" s="609">
        <f t="shared" si="45"/>
        <v>-37430.400000000001</v>
      </c>
      <c r="P401" s="703">
        <f t="shared" si="46"/>
        <v>33801.599999999999</v>
      </c>
      <c r="Q401" s="752">
        <v>55.7</v>
      </c>
      <c r="R401" s="609">
        <f t="shared" si="47"/>
        <v>-37430.400000000001</v>
      </c>
      <c r="S401" s="703">
        <f t="shared" si="48"/>
        <v>33801.599999999999</v>
      </c>
      <c r="T401" s="697" t="s">
        <v>54</v>
      </c>
    </row>
    <row r="402" spans="1:20" x14ac:dyDescent="0.25">
      <c r="A402" s="690"/>
      <c r="B402" s="697" t="s">
        <v>858</v>
      </c>
      <c r="C402" s="547" t="s">
        <v>40</v>
      </c>
      <c r="D402" s="683">
        <v>44562</v>
      </c>
      <c r="E402" s="547">
        <v>744</v>
      </c>
      <c r="F402" s="547" t="s">
        <v>3</v>
      </c>
      <c r="G402" s="727" t="s">
        <v>44</v>
      </c>
      <c r="H402" s="638">
        <v>-1.6</v>
      </c>
      <c r="I402" s="638">
        <v>71</v>
      </c>
      <c r="J402" s="639">
        <f t="shared" si="42"/>
        <v>84518.400000000009</v>
      </c>
      <c r="K402" s="750">
        <v>62.91</v>
      </c>
      <c r="L402" s="608">
        <f t="shared" si="43"/>
        <v>-74888.063999999998</v>
      </c>
      <c r="M402" s="751">
        <f t="shared" si="44"/>
        <v>9630.3360000000102</v>
      </c>
      <c r="N402" s="752">
        <v>62.91</v>
      </c>
      <c r="O402" s="609">
        <f t="shared" si="45"/>
        <v>-74888.063999999998</v>
      </c>
      <c r="P402" s="703">
        <f t="shared" si="46"/>
        <v>9630.3360000000102</v>
      </c>
      <c r="Q402" s="752">
        <v>62.91</v>
      </c>
      <c r="R402" s="609">
        <f t="shared" si="47"/>
        <v>-74888.063999999998</v>
      </c>
      <c r="S402" s="703">
        <f t="shared" si="48"/>
        <v>9630.3360000000102</v>
      </c>
      <c r="T402" s="697" t="s">
        <v>54</v>
      </c>
    </row>
    <row r="403" spans="1:20" x14ac:dyDescent="0.25">
      <c r="A403" s="690"/>
      <c r="B403" s="696" t="s">
        <v>860</v>
      </c>
      <c r="C403" s="546" t="s">
        <v>40</v>
      </c>
      <c r="D403" s="682">
        <v>44652</v>
      </c>
      <c r="E403" s="546">
        <v>720</v>
      </c>
      <c r="F403" s="546" t="s">
        <v>3</v>
      </c>
      <c r="G403" s="726" t="s">
        <v>44</v>
      </c>
      <c r="H403" s="549">
        <v>-1.6</v>
      </c>
      <c r="I403" s="549">
        <v>139</v>
      </c>
      <c r="J403" s="605">
        <f t="shared" si="42"/>
        <v>160128</v>
      </c>
      <c r="K403" s="746">
        <v>55.7</v>
      </c>
      <c r="L403" s="606">
        <f t="shared" si="43"/>
        <v>-64166.400000000001</v>
      </c>
      <c r="M403" s="747">
        <f t="shared" si="44"/>
        <v>95961.600000000006</v>
      </c>
      <c r="N403" s="748">
        <v>55.7</v>
      </c>
      <c r="O403" s="607">
        <f t="shared" si="45"/>
        <v>-64166.400000000001</v>
      </c>
      <c r="P403" s="702">
        <f t="shared" si="46"/>
        <v>95961.600000000006</v>
      </c>
      <c r="Q403" s="748">
        <v>55.7</v>
      </c>
      <c r="R403" s="607">
        <f t="shared" si="47"/>
        <v>-64166.400000000001</v>
      </c>
      <c r="S403" s="702">
        <f t="shared" si="48"/>
        <v>95961.600000000006</v>
      </c>
      <c r="T403" s="696" t="s">
        <v>54</v>
      </c>
    </row>
    <row r="404" spans="1:20" x14ac:dyDescent="0.25">
      <c r="A404" s="690"/>
      <c r="B404" s="691" t="s">
        <v>860</v>
      </c>
      <c r="C404" s="676" t="s">
        <v>40</v>
      </c>
      <c r="D404" s="680">
        <v>44682</v>
      </c>
      <c r="E404" s="676">
        <v>744</v>
      </c>
      <c r="F404" s="676" t="s">
        <v>3</v>
      </c>
      <c r="G404" s="690" t="s">
        <v>44</v>
      </c>
      <c r="H404" s="115">
        <v>-1.6</v>
      </c>
      <c r="I404" s="115">
        <v>139</v>
      </c>
      <c r="J404" s="601">
        <f t="shared" si="42"/>
        <v>165465.60000000001</v>
      </c>
      <c r="K404" s="738">
        <v>55.7</v>
      </c>
      <c r="L404" s="677">
        <f t="shared" si="43"/>
        <v>-66305.280000000013</v>
      </c>
      <c r="M404" s="739">
        <f t="shared" si="44"/>
        <v>99160.319999999992</v>
      </c>
      <c r="N404" s="740">
        <v>55.7</v>
      </c>
      <c r="O404" s="678">
        <f t="shared" si="45"/>
        <v>-66305.280000000013</v>
      </c>
      <c r="P404" s="700">
        <f t="shared" si="46"/>
        <v>99160.319999999992</v>
      </c>
      <c r="Q404" s="740">
        <v>55.7</v>
      </c>
      <c r="R404" s="678">
        <f t="shared" si="47"/>
        <v>-66305.280000000013</v>
      </c>
      <c r="S404" s="700">
        <f t="shared" si="48"/>
        <v>99160.319999999992</v>
      </c>
      <c r="T404" s="691" t="s">
        <v>54</v>
      </c>
    </row>
    <row r="405" spans="1:20" x14ac:dyDescent="0.25">
      <c r="A405" s="690"/>
      <c r="B405" s="695" t="s">
        <v>860</v>
      </c>
      <c r="C405" s="545" t="s">
        <v>40</v>
      </c>
      <c r="D405" s="681">
        <v>44713</v>
      </c>
      <c r="E405" s="545">
        <v>720</v>
      </c>
      <c r="F405" s="545" t="s">
        <v>3</v>
      </c>
      <c r="G405" s="725" t="s">
        <v>44</v>
      </c>
      <c r="H405" s="548">
        <v>-1.6</v>
      </c>
      <c r="I405" s="548">
        <v>139</v>
      </c>
      <c r="J405" s="602">
        <f t="shared" si="42"/>
        <v>160128</v>
      </c>
      <c r="K405" s="742">
        <v>55.71</v>
      </c>
      <c r="L405" s="603">
        <f t="shared" si="43"/>
        <v>-64177.919999999998</v>
      </c>
      <c r="M405" s="743">
        <f t="shared" si="44"/>
        <v>95950.080000000002</v>
      </c>
      <c r="N405" s="744">
        <v>55.71</v>
      </c>
      <c r="O405" s="604">
        <f t="shared" si="45"/>
        <v>-64177.919999999998</v>
      </c>
      <c r="P405" s="701">
        <f t="shared" si="46"/>
        <v>95950.080000000002</v>
      </c>
      <c r="Q405" s="744">
        <v>55.71</v>
      </c>
      <c r="R405" s="604">
        <f t="shared" si="47"/>
        <v>-64177.919999999998</v>
      </c>
      <c r="S405" s="701">
        <f t="shared" si="48"/>
        <v>95950.080000000002</v>
      </c>
      <c r="T405" s="695" t="s">
        <v>54</v>
      </c>
    </row>
    <row r="406" spans="1:20" x14ac:dyDescent="0.25">
      <c r="A406" s="690"/>
      <c r="B406" s="696" t="s">
        <v>862</v>
      </c>
      <c r="C406" s="546" t="s">
        <v>40</v>
      </c>
      <c r="D406" s="682">
        <v>44743</v>
      </c>
      <c r="E406" s="546">
        <v>744</v>
      </c>
      <c r="F406" s="546" t="s">
        <v>3</v>
      </c>
      <c r="G406" s="726" t="s">
        <v>44</v>
      </c>
      <c r="H406" s="549">
        <v>-1.6</v>
      </c>
      <c r="I406" s="549">
        <v>212</v>
      </c>
      <c r="J406" s="605">
        <f t="shared" si="42"/>
        <v>252364.80000000002</v>
      </c>
      <c r="K406" s="746">
        <v>66.319999999999993</v>
      </c>
      <c r="L406" s="606">
        <f t="shared" si="43"/>
        <v>-78947.327999999994</v>
      </c>
      <c r="M406" s="747">
        <f t="shared" si="44"/>
        <v>173417.47200000001</v>
      </c>
      <c r="N406" s="748">
        <v>66.319999999999993</v>
      </c>
      <c r="O406" s="607">
        <f t="shared" si="45"/>
        <v>-78947.327999999994</v>
      </c>
      <c r="P406" s="702">
        <f t="shared" si="46"/>
        <v>173417.47200000001</v>
      </c>
      <c r="Q406" s="748">
        <v>66.319999999999993</v>
      </c>
      <c r="R406" s="607">
        <f t="shared" si="47"/>
        <v>-78947.327999999994</v>
      </c>
      <c r="S406" s="702">
        <f t="shared" si="48"/>
        <v>173417.47200000001</v>
      </c>
      <c r="T406" s="696" t="s">
        <v>54</v>
      </c>
    </row>
    <row r="407" spans="1:20" x14ac:dyDescent="0.25">
      <c r="A407" s="690"/>
      <c r="B407" s="691" t="s">
        <v>862</v>
      </c>
      <c r="C407" s="676" t="s">
        <v>40</v>
      </c>
      <c r="D407" s="680">
        <v>44774</v>
      </c>
      <c r="E407" s="676">
        <v>744</v>
      </c>
      <c r="F407" s="676" t="s">
        <v>3</v>
      </c>
      <c r="G407" s="690" t="s">
        <v>44</v>
      </c>
      <c r="H407" s="115">
        <v>-1.6</v>
      </c>
      <c r="I407" s="115">
        <v>212</v>
      </c>
      <c r="J407" s="601">
        <f t="shared" si="42"/>
        <v>252364.80000000002</v>
      </c>
      <c r="K407" s="738">
        <v>76.900000000000006</v>
      </c>
      <c r="L407" s="677">
        <f t="shared" si="43"/>
        <v>-91541.760000000009</v>
      </c>
      <c r="M407" s="739">
        <f t="shared" si="44"/>
        <v>160823.04000000001</v>
      </c>
      <c r="N407" s="740">
        <v>76.900000000000006</v>
      </c>
      <c r="O407" s="678">
        <f t="shared" si="45"/>
        <v>-91541.760000000009</v>
      </c>
      <c r="P407" s="700">
        <f t="shared" si="46"/>
        <v>160823.04000000001</v>
      </c>
      <c r="Q407" s="740">
        <v>76.900000000000006</v>
      </c>
      <c r="R407" s="678">
        <f t="shared" si="47"/>
        <v>-91541.760000000009</v>
      </c>
      <c r="S407" s="700">
        <f t="shared" si="48"/>
        <v>160823.04000000001</v>
      </c>
      <c r="T407" s="691" t="s">
        <v>54</v>
      </c>
    </row>
    <row r="408" spans="1:20" x14ac:dyDescent="0.25">
      <c r="A408" s="690"/>
      <c r="B408" s="691" t="s">
        <v>862</v>
      </c>
      <c r="C408" s="676" t="s">
        <v>40</v>
      </c>
      <c r="D408" s="680">
        <v>44805</v>
      </c>
      <c r="E408" s="676">
        <v>720</v>
      </c>
      <c r="F408" s="676" t="s">
        <v>3</v>
      </c>
      <c r="G408" s="690" t="s">
        <v>44</v>
      </c>
      <c r="H408" s="115">
        <v>-1.6</v>
      </c>
      <c r="I408" s="115">
        <v>212</v>
      </c>
      <c r="J408" s="601">
        <f t="shared" si="42"/>
        <v>244224</v>
      </c>
      <c r="K408" s="738">
        <v>56.08</v>
      </c>
      <c r="L408" s="677">
        <f t="shared" si="43"/>
        <v>-64604.159999999996</v>
      </c>
      <c r="M408" s="739">
        <f t="shared" si="44"/>
        <v>179619.84</v>
      </c>
      <c r="N408" s="740">
        <v>56.08</v>
      </c>
      <c r="O408" s="678">
        <f t="shared" si="45"/>
        <v>-64604.159999999996</v>
      </c>
      <c r="P408" s="700">
        <f t="shared" si="46"/>
        <v>179619.84</v>
      </c>
      <c r="Q408" s="740">
        <v>56.08</v>
      </c>
      <c r="R408" s="678">
        <f t="shared" si="47"/>
        <v>-64604.159999999996</v>
      </c>
      <c r="S408" s="700">
        <f t="shared" si="48"/>
        <v>179619.84</v>
      </c>
      <c r="T408" s="691" t="s">
        <v>54</v>
      </c>
    </row>
    <row r="409" spans="1:20" x14ac:dyDescent="0.25">
      <c r="A409" s="690"/>
      <c r="B409" s="691" t="s">
        <v>862</v>
      </c>
      <c r="C409" s="676" t="s">
        <v>40</v>
      </c>
      <c r="D409" s="680">
        <v>44835</v>
      </c>
      <c r="E409" s="676">
        <v>744</v>
      </c>
      <c r="F409" s="676" t="s">
        <v>3</v>
      </c>
      <c r="G409" s="690" t="s">
        <v>44</v>
      </c>
      <c r="H409" s="115">
        <v>-1.6</v>
      </c>
      <c r="I409" s="115">
        <v>212</v>
      </c>
      <c r="J409" s="601">
        <f t="shared" si="42"/>
        <v>252364.80000000002</v>
      </c>
      <c r="K409" s="738">
        <v>55.7</v>
      </c>
      <c r="L409" s="677">
        <f t="shared" si="43"/>
        <v>-66305.280000000013</v>
      </c>
      <c r="M409" s="739">
        <f t="shared" si="44"/>
        <v>186059.52000000002</v>
      </c>
      <c r="N409" s="740">
        <v>55.7</v>
      </c>
      <c r="O409" s="678">
        <f t="shared" si="45"/>
        <v>-66305.280000000013</v>
      </c>
      <c r="P409" s="700">
        <f t="shared" si="46"/>
        <v>186059.52000000002</v>
      </c>
      <c r="Q409" s="740">
        <v>55.7</v>
      </c>
      <c r="R409" s="678">
        <f t="shared" si="47"/>
        <v>-66305.280000000013</v>
      </c>
      <c r="S409" s="700">
        <f t="shared" si="48"/>
        <v>186059.52000000002</v>
      </c>
      <c r="T409" s="691" t="s">
        <v>54</v>
      </c>
    </row>
    <row r="410" spans="1:20" x14ac:dyDescent="0.25">
      <c r="A410" s="690"/>
      <c r="B410" s="691" t="s">
        <v>862</v>
      </c>
      <c r="C410" s="676" t="s">
        <v>40</v>
      </c>
      <c r="D410" s="680">
        <v>44866</v>
      </c>
      <c r="E410" s="676">
        <v>720</v>
      </c>
      <c r="F410" s="676" t="s">
        <v>3</v>
      </c>
      <c r="G410" s="690" t="s">
        <v>44</v>
      </c>
      <c r="H410" s="115">
        <v>-1.6</v>
      </c>
      <c r="I410" s="115">
        <v>212</v>
      </c>
      <c r="J410" s="601">
        <f t="shared" si="42"/>
        <v>244224</v>
      </c>
      <c r="K410" s="738">
        <v>55.7</v>
      </c>
      <c r="L410" s="677">
        <f t="shared" si="43"/>
        <v>-64166.400000000001</v>
      </c>
      <c r="M410" s="739">
        <f t="shared" si="44"/>
        <v>180057.60000000001</v>
      </c>
      <c r="N410" s="740">
        <v>55.7</v>
      </c>
      <c r="O410" s="678">
        <f t="shared" si="45"/>
        <v>-64166.400000000001</v>
      </c>
      <c r="P410" s="700">
        <f t="shared" si="46"/>
        <v>180057.60000000001</v>
      </c>
      <c r="Q410" s="740">
        <v>55.7</v>
      </c>
      <c r="R410" s="678">
        <f t="shared" si="47"/>
        <v>-64166.400000000001</v>
      </c>
      <c r="S410" s="700">
        <f t="shared" si="48"/>
        <v>180057.60000000001</v>
      </c>
      <c r="T410" s="691" t="s">
        <v>54</v>
      </c>
    </row>
    <row r="411" spans="1:20" x14ac:dyDescent="0.25">
      <c r="A411" s="690"/>
      <c r="B411" s="695" t="s">
        <v>862</v>
      </c>
      <c r="C411" s="545" t="s">
        <v>40</v>
      </c>
      <c r="D411" s="681">
        <v>44896</v>
      </c>
      <c r="E411" s="545">
        <v>744</v>
      </c>
      <c r="F411" s="545" t="s">
        <v>3</v>
      </c>
      <c r="G411" s="725" t="s">
        <v>44</v>
      </c>
      <c r="H411" s="548">
        <v>-1.6</v>
      </c>
      <c r="I411" s="548">
        <v>212</v>
      </c>
      <c r="J411" s="602">
        <f t="shared" si="42"/>
        <v>252364.80000000002</v>
      </c>
      <c r="K411" s="742">
        <v>55.7</v>
      </c>
      <c r="L411" s="603">
        <f t="shared" si="43"/>
        <v>-66305.280000000013</v>
      </c>
      <c r="M411" s="743">
        <f t="shared" si="44"/>
        <v>186059.52000000002</v>
      </c>
      <c r="N411" s="744">
        <v>55.7</v>
      </c>
      <c r="O411" s="604">
        <f t="shared" si="45"/>
        <v>-66305.280000000013</v>
      </c>
      <c r="P411" s="701">
        <f t="shared" si="46"/>
        <v>186059.52000000002</v>
      </c>
      <c r="Q411" s="744">
        <v>78.400653594793155</v>
      </c>
      <c r="R411" s="604">
        <f t="shared" si="47"/>
        <v>-93328.138039241778</v>
      </c>
      <c r="S411" s="701">
        <f t="shared" si="48"/>
        <v>159036.66196075824</v>
      </c>
      <c r="T411" s="695" t="s">
        <v>54</v>
      </c>
    </row>
    <row r="412" spans="1:20" x14ac:dyDescent="0.25">
      <c r="A412" s="690"/>
      <c r="B412" s="697" t="s">
        <v>877</v>
      </c>
      <c r="C412" s="547" t="s">
        <v>40</v>
      </c>
      <c r="D412" s="683">
        <v>44682</v>
      </c>
      <c r="E412" s="547">
        <v>744</v>
      </c>
      <c r="F412" s="547" t="s">
        <v>3</v>
      </c>
      <c r="G412" s="727" t="s">
        <v>44</v>
      </c>
      <c r="H412" s="638">
        <v>5</v>
      </c>
      <c r="I412" s="638">
        <v>132</v>
      </c>
      <c r="J412" s="639">
        <f t="shared" si="42"/>
        <v>-491040</v>
      </c>
      <c r="K412" s="750">
        <v>55.7</v>
      </c>
      <c r="L412" s="608">
        <f t="shared" si="43"/>
        <v>207204</v>
      </c>
      <c r="M412" s="751">
        <f t="shared" si="44"/>
        <v>-283836</v>
      </c>
      <c r="N412" s="752">
        <v>55.7</v>
      </c>
      <c r="O412" s="609">
        <f t="shared" si="45"/>
        <v>207204</v>
      </c>
      <c r="P412" s="703">
        <f t="shared" si="46"/>
        <v>-283836</v>
      </c>
      <c r="Q412" s="752">
        <v>55.7</v>
      </c>
      <c r="R412" s="609">
        <f t="shared" si="47"/>
        <v>207204</v>
      </c>
      <c r="S412" s="703">
        <f t="shared" si="48"/>
        <v>-283836</v>
      </c>
      <c r="T412" s="697" t="s">
        <v>54</v>
      </c>
    </row>
    <row r="413" spans="1:20" x14ac:dyDescent="0.25">
      <c r="A413" s="690"/>
      <c r="B413" s="697" t="s">
        <v>879</v>
      </c>
      <c r="C413" s="547" t="s">
        <v>40</v>
      </c>
      <c r="D413" s="683">
        <v>44621</v>
      </c>
      <c r="E413" s="547">
        <v>744</v>
      </c>
      <c r="F413" s="547" t="s">
        <v>3</v>
      </c>
      <c r="G413" s="727" t="s">
        <v>44</v>
      </c>
      <c r="H413" s="638">
        <v>5</v>
      </c>
      <c r="I413" s="638">
        <v>125</v>
      </c>
      <c r="J413" s="639">
        <f t="shared" si="42"/>
        <v>-465000</v>
      </c>
      <c r="K413" s="750">
        <v>55.7</v>
      </c>
      <c r="L413" s="608">
        <f t="shared" si="43"/>
        <v>207204</v>
      </c>
      <c r="M413" s="751">
        <f t="shared" si="44"/>
        <v>-257796</v>
      </c>
      <c r="N413" s="752">
        <v>55.7</v>
      </c>
      <c r="O413" s="609">
        <f t="shared" si="45"/>
        <v>207204</v>
      </c>
      <c r="P413" s="703">
        <f t="shared" si="46"/>
        <v>-257796</v>
      </c>
      <c r="Q413" s="752">
        <v>55.7</v>
      </c>
      <c r="R413" s="609">
        <f t="shared" si="47"/>
        <v>207204</v>
      </c>
      <c r="S413" s="703">
        <f t="shared" si="48"/>
        <v>-257796</v>
      </c>
      <c r="T413" s="697" t="s">
        <v>54</v>
      </c>
    </row>
    <row r="414" spans="1:20" x14ac:dyDescent="0.25">
      <c r="A414" s="690"/>
      <c r="B414" s="697" t="s">
        <v>881</v>
      </c>
      <c r="C414" s="547" t="s">
        <v>40</v>
      </c>
      <c r="D414" s="683">
        <v>44621</v>
      </c>
      <c r="E414" s="547">
        <v>744</v>
      </c>
      <c r="F414" s="547" t="s">
        <v>3</v>
      </c>
      <c r="G414" s="727" t="s">
        <v>44</v>
      </c>
      <c r="H414" s="638">
        <v>20</v>
      </c>
      <c r="I414" s="638">
        <v>124</v>
      </c>
      <c r="J414" s="639">
        <f t="shared" si="42"/>
        <v>-1845120</v>
      </c>
      <c r="K414" s="750">
        <v>55.7</v>
      </c>
      <c r="L414" s="608">
        <f t="shared" si="43"/>
        <v>828816</v>
      </c>
      <c r="M414" s="751">
        <f t="shared" si="44"/>
        <v>-1016304</v>
      </c>
      <c r="N414" s="752">
        <v>55.7</v>
      </c>
      <c r="O414" s="609">
        <f t="shared" si="45"/>
        <v>828816</v>
      </c>
      <c r="P414" s="703">
        <f t="shared" si="46"/>
        <v>-1016304</v>
      </c>
      <c r="Q414" s="752">
        <v>55.7</v>
      </c>
      <c r="R414" s="609">
        <f t="shared" si="47"/>
        <v>828816</v>
      </c>
      <c r="S414" s="703">
        <f t="shared" si="48"/>
        <v>-1016304</v>
      </c>
      <c r="T414" s="697" t="s">
        <v>54</v>
      </c>
    </row>
    <row r="415" spans="1:20" x14ac:dyDescent="0.25">
      <c r="A415" s="690"/>
      <c r="B415" s="697" t="s">
        <v>883</v>
      </c>
      <c r="C415" s="547" t="s">
        <v>40</v>
      </c>
      <c r="D415" s="683">
        <v>44743</v>
      </c>
      <c r="E415" s="547">
        <v>744</v>
      </c>
      <c r="F415" s="547" t="s">
        <v>3</v>
      </c>
      <c r="G415" s="727" t="s">
        <v>44</v>
      </c>
      <c r="H415" s="638">
        <v>-20</v>
      </c>
      <c r="I415" s="638">
        <v>210</v>
      </c>
      <c r="J415" s="639">
        <f t="shared" si="42"/>
        <v>3124800</v>
      </c>
      <c r="K415" s="750">
        <v>66.319999999999993</v>
      </c>
      <c r="L415" s="608">
        <f t="shared" si="43"/>
        <v>-986841.59999999986</v>
      </c>
      <c r="M415" s="751">
        <f t="shared" si="44"/>
        <v>2137958.4000000004</v>
      </c>
      <c r="N415" s="752">
        <v>66.319999999999993</v>
      </c>
      <c r="O415" s="609">
        <f t="shared" si="45"/>
        <v>-986841.59999999986</v>
      </c>
      <c r="P415" s="703">
        <f t="shared" si="46"/>
        <v>2137958.4000000004</v>
      </c>
      <c r="Q415" s="752">
        <v>66.319999999999993</v>
      </c>
      <c r="R415" s="609">
        <f t="shared" si="47"/>
        <v>-986841.59999999986</v>
      </c>
      <c r="S415" s="703">
        <f t="shared" si="48"/>
        <v>2137958.4000000004</v>
      </c>
      <c r="T415" s="697" t="s">
        <v>54</v>
      </c>
    </row>
    <row r="416" spans="1:20" x14ac:dyDescent="0.25">
      <c r="A416" s="690"/>
      <c r="B416" s="696" t="s">
        <v>885</v>
      </c>
      <c r="C416" s="546" t="s">
        <v>40</v>
      </c>
      <c r="D416" s="682">
        <v>44652</v>
      </c>
      <c r="E416" s="546">
        <v>720</v>
      </c>
      <c r="F416" s="546" t="s">
        <v>3</v>
      </c>
      <c r="G416" s="726" t="s">
        <v>44</v>
      </c>
      <c r="H416" s="549">
        <v>-2</v>
      </c>
      <c r="I416" s="549">
        <v>139</v>
      </c>
      <c r="J416" s="605">
        <f t="shared" si="42"/>
        <v>200160</v>
      </c>
      <c r="K416" s="746">
        <v>55.7</v>
      </c>
      <c r="L416" s="606">
        <f t="shared" si="43"/>
        <v>-80208</v>
      </c>
      <c r="M416" s="747">
        <f t="shared" si="44"/>
        <v>119952</v>
      </c>
      <c r="N416" s="748">
        <v>55.7</v>
      </c>
      <c r="O416" s="607">
        <f t="shared" si="45"/>
        <v>-80208</v>
      </c>
      <c r="P416" s="702">
        <f t="shared" si="46"/>
        <v>119952</v>
      </c>
      <c r="Q416" s="748">
        <v>55.7</v>
      </c>
      <c r="R416" s="607">
        <f t="shared" si="47"/>
        <v>-80208</v>
      </c>
      <c r="S416" s="702">
        <f t="shared" si="48"/>
        <v>119952</v>
      </c>
      <c r="T416" s="696" t="s">
        <v>54</v>
      </c>
    </row>
    <row r="417" spans="1:20" x14ac:dyDescent="0.25">
      <c r="A417" s="690"/>
      <c r="B417" s="691" t="s">
        <v>885</v>
      </c>
      <c r="C417" s="676" t="s">
        <v>40</v>
      </c>
      <c r="D417" s="680">
        <v>44682</v>
      </c>
      <c r="E417" s="676">
        <v>744</v>
      </c>
      <c r="F417" s="676" t="s">
        <v>3</v>
      </c>
      <c r="G417" s="690" t="s">
        <v>44</v>
      </c>
      <c r="H417" s="115">
        <v>-2</v>
      </c>
      <c r="I417" s="115">
        <v>139</v>
      </c>
      <c r="J417" s="601">
        <f t="shared" si="42"/>
        <v>206832</v>
      </c>
      <c r="K417" s="738">
        <v>55.7</v>
      </c>
      <c r="L417" s="677">
        <f t="shared" si="43"/>
        <v>-82881.600000000006</v>
      </c>
      <c r="M417" s="739">
        <f t="shared" si="44"/>
        <v>123950.39999999999</v>
      </c>
      <c r="N417" s="740">
        <v>55.7</v>
      </c>
      <c r="O417" s="678">
        <f t="shared" si="45"/>
        <v>-82881.600000000006</v>
      </c>
      <c r="P417" s="700">
        <f t="shared" si="46"/>
        <v>123950.39999999999</v>
      </c>
      <c r="Q417" s="740">
        <v>55.7</v>
      </c>
      <c r="R417" s="678">
        <f t="shared" si="47"/>
        <v>-82881.600000000006</v>
      </c>
      <c r="S417" s="700">
        <f t="shared" si="48"/>
        <v>123950.39999999999</v>
      </c>
      <c r="T417" s="691" t="s">
        <v>54</v>
      </c>
    </row>
    <row r="418" spans="1:20" x14ac:dyDescent="0.25">
      <c r="A418" s="690"/>
      <c r="B418" s="695" t="s">
        <v>885</v>
      </c>
      <c r="C418" s="545" t="s">
        <v>40</v>
      </c>
      <c r="D418" s="681">
        <v>44713</v>
      </c>
      <c r="E418" s="545">
        <v>720</v>
      </c>
      <c r="F418" s="545" t="s">
        <v>3</v>
      </c>
      <c r="G418" s="725" t="s">
        <v>44</v>
      </c>
      <c r="H418" s="548">
        <v>-2</v>
      </c>
      <c r="I418" s="548">
        <v>139</v>
      </c>
      <c r="J418" s="602">
        <f t="shared" si="42"/>
        <v>200160</v>
      </c>
      <c r="K418" s="742">
        <v>55.71</v>
      </c>
      <c r="L418" s="603">
        <f t="shared" si="43"/>
        <v>-80222.399999999994</v>
      </c>
      <c r="M418" s="743">
        <f t="shared" si="44"/>
        <v>119937.60000000001</v>
      </c>
      <c r="N418" s="744">
        <v>55.71</v>
      </c>
      <c r="O418" s="604">
        <f t="shared" si="45"/>
        <v>-80222.399999999994</v>
      </c>
      <c r="P418" s="701">
        <f t="shared" si="46"/>
        <v>119937.60000000001</v>
      </c>
      <c r="Q418" s="744">
        <v>55.71</v>
      </c>
      <c r="R418" s="604">
        <f t="shared" si="47"/>
        <v>-80222.399999999994</v>
      </c>
      <c r="S418" s="701">
        <f t="shared" si="48"/>
        <v>119937.60000000001</v>
      </c>
      <c r="T418" s="695" t="s">
        <v>54</v>
      </c>
    </row>
    <row r="419" spans="1:20" x14ac:dyDescent="0.25">
      <c r="A419" s="690"/>
      <c r="B419" s="696" t="s">
        <v>887</v>
      </c>
      <c r="C419" s="546" t="s">
        <v>40</v>
      </c>
      <c r="D419" s="682">
        <v>44652</v>
      </c>
      <c r="E419" s="546">
        <v>720</v>
      </c>
      <c r="F419" s="546" t="s">
        <v>3</v>
      </c>
      <c r="G419" s="726" t="s">
        <v>44</v>
      </c>
      <c r="H419" s="549">
        <v>-1</v>
      </c>
      <c r="I419" s="549">
        <v>140</v>
      </c>
      <c r="J419" s="605">
        <f t="shared" si="42"/>
        <v>100800</v>
      </c>
      <c r="K419" s="746">
        <v>55.7</v>
      </c>
      <c r="L419" s="606">
        <f t="shared" si="43"/>
        <v>-40104</v>
      </c>
      <c r="M419" s="747">
        <f t="shared" si="44"/>
        <v>60696</v>
      </c>
      <c r="N419" s="748">
        <v>55.7</v>
      </c>
      <c r="O419" s="607">
        <f t="shared" si="45"/>
        <v>-40104</v>
      </c>
      <c r="P419" s="702">
        <f t="shared" si="46"/>
        <v>60696</v>
      </c>
      <c r="Q419" s="748">
        <v>55.7</v>
      </c>
      <c r="R419" s="607">
        <f t="shared" si="47"/>
        <v>-40104</v>
      </c>
      <c r="S419" s="702">
        <f t="shared" si="48"/>
        <v>60696</v>
      </c>
      <c r="T419" s="696" t="s">
        <v>54</v>
      </c>
    </row>
    <row r="420" spans="1:20" x14ac:dyDescent="0.25">
      <c r="A420" s="690"/>
      <c r="B420" s="691" t="s">
        <v>887</v>
      </c>
      <c r="C420" s="676" t="s">
        <v>40</v>
      </c>
      <c r="D420" s="680">
        <v>44682</v>
      </c>
      <c r="E420" s="676">
        <v>744</v>
      </c>
      <c r="F420" s="676" t="s">
        <v>3</v>
      </c>
      <c r="G420" s="690" t="s">
        <v>44</v>
      </c>
      <c r="H420" s="115">
        <v>-1</v>
      </c>
      <c r="I420" s="115">
        <v>140</v>
      </c>
      <c r="J420" s="601">
        <f t="shared" si="42"/>
        <v>104160</v>
      </c>
      <c r="K420" s="738">
        <v>55.7</v>
      </c>
      <c r="L420" s="677">
        <f t="shared" si="43"/>
        <v>-41440.800000000003</v>
      </c>
      <c r="M420" s="739">
        <f t="shared" si="44"/>
        <v>62719.199999999997</v>
      </c>
      <c r="N420" s="740">
        <v>55.7</v>
      </c>
      <c r="O420" s="678">
        <f t="shared" si="45"/>
        <v>-41440.800000000003</v>
      </c>
      <c r="P420" s="700">
        <f t="shared" si="46"/>
        <v>62719.199999999997</v>
      </c>
      <c r="Q420" s="740">
        <v>55.7</v>
      </c>
      <c r="R420" s="678">
        <f t="shared" si="47"/>
        <v>-41440.800000000003</v>
      </c>
      <c r="S420" s="700">
        <f t="shared" si="48"/>
        <v>62719.199999999997</v>
      </c>
      <c r="T420" s="691" t="s">
        <v>54</v>
      </c>
    </row>
    <row r="421" spans="1:20" x14ac:dyDescent="0.25">
      <c r="A421" s="690"/>
      <c r="B421" s="695" t="s">
        <v>887</v>
      </c>
      <c r="C421" s="545" t="s">
        <v>40</v>
      </c>
      <c r="D421" s="681">
        <v>44713</v>
      </c>
      <c r="E421" s="545">
        <v>720</v>
      </c>
      <c r="F421" s="545" t="s">
        <v>3</v>
      </c>
      <c r="G421" s="725" t="s">
        <v>44</v>
      </c>
      <c r="H421" s="548">
        <v>-1</v>
      </c>
      <c r="I421" s="548">
        <v>140</v>
      </c>
      <c r="J421" s="602">
        <f t="shared" si="42"/>
        <v>100800</v>
      </c>
      <c r="K421" s="742">
        <v>55.71</v>
      </c>
      <c r="L421" s="603">
        <f t="shared" si="43"/>
        <v>-40111.199999999997</v>
      </c>
      <c r="M421" s="743">
        <f t="shared" si="44"/>
        <v>60688.800000000003</v>
      </c>
      <c r="N421" s="744">
        <v>55.71</v>
      </c>
      <c r="O421" s="604">
        <f t="shared" si="45"/>
        <v>-40111.199999999997</v>
      </c>
      <c r="P421" s="701">
        <f t="shared" si="46"/>
        <v>60688.800000000003</v>
      </c>
      <c r="Q421" s="744">
        <v>55.71</v>
      </c>
      <c r="R421" s="604">
        <f t="shared" si="47"/>
        <v>-40111.199999999997</v>
      </c>
      <c r="S421" s="701">
        <f t="shared" si="48"/>
        <v>60688.800000000003</v>
      </c>
      <c r="T421" s="695" t="s">
        <v>54</v>
      </c>
    </row>
    <row r="422" spans="1:20" x14ac:dyDescent="0.25">
      <c r="A422" s="690"/>
      <c r="B422" s="697" t="s">
        <v>889</v>
      </c>
      <c r="C422" s="547" t="s">
        <v>40</v>
      </c>
      <c r="D422" s="683">
        <v>44652</v>
      </c>
      <c r="E422" s="547">
        <v>720</v>
      </c>
      <c r="F422" s="547" t="s">
        <v>3</v>
      </c>
      <c r="G422" s="727" t="s">
        <v>44</v>
      </c>
      <c r="H422" s="638">
        <v>5</v>
      </c>
      <c r="I422" s="638">
        <v>120</v>
      </c>
      <c r="J422" s="639">
        <f t="shared" si="42"/>
        <v>-432000</v>
      </c>
      <c r="K422" s="750">
        <v>55.7</v>
      </c>
      <c r="L422" s="608">
        <f t="shared" si="43"/>
        <v>200520</v>
      </c>
      <c r="M422" s="751">
        <f t="shared" si="44"/>
        <v>-231480</v>
      </c>
      <c r="N422" s="752">
        <v>55.7</v>
      </c>
      <c r="O422" s="609">
        <f t="shared" si="45"/>
        <v>200520</v>
      </c>
      <c r="P422" s="703">
        <f t="shared" si="46"/>
        <v>-231480</v>
      </c>
      <c r="Q422" s="752">
        <v>55.7</v>
      </c>
      <c r="R422" s="609">
        <f t="shared" si="47"/>
        <v>200520</v>
      </c>
      <c r="S422" s="703">
        <f t="shared" si="48"/>
        <v>-231480</v>
      </c>
      <c r="T422" s="697" t="s">
        <v>54</v>
      </c>
    </row>
    <row r="423" spans="1:20" x14ac:dyDescent="0.25">
      <c r="A423" s="690"/>
      <c r="B423" s="696" t="s">
        <v>891</v>
      </c>
      <c r="C423" s="546" t="s">
        <v>40</v>
      </c>
      <c r="D423" s="682">
        <v>44652</v>
      </c>
      <c r="E423" s="546">
        <v>720</v>
      </c>
      <c r="F423" s="546" t="s">
        <v>3</v>
      </c>
      <c r="G423" s="726" t="s">
        <v>44</v>
      </c>
      <c r="H423" s="549">
        <v>-2</v>
      </c>
      <c r="I423" s="549">
        <v>140</v>
      </c>
      <c r="J423" s="605">
        <f t="shared" si="42"/>
        <v>201600</v>
      </c>
      <c r="K423" s="746">
        <v>55.7</v>
      </c>
      <c r="L423" s="606">
        <f t="shared" si="43"/>
        <v>-80208</v>
      </c>
      <c r="M423" s="747">
        <f t="shared" si="44"/>
        <v>121392</v>
      </c>
      <c r="N423" s="748">
        <v>55.7</v>
      </c>
      <c r="O423" s="607">
        <f t="shared" si="45"/>
        <v>-80208</v>
      </c>
      <c r="P423" s="702">
        <f t="shared" si="46"/>
        <v>121392</v>
      </c>
      <c r="Q423" s="748">
        <v>55.7</v>
      </c>
      <c r="R423" s="607">
        <f t="shared" si="47"/>
        <v>-80208</v>
      </c>
      <c r="S423" s="702">
        <f t="shared" si="48"/>
        <v>121392</v>
      </c>
      <c r="T423" s="696" t="s">
        <v>54</v>
      </c>
    </row>
    <row r="424" spans="1:20" x14ac:dyDescent="0.25">
      <c r="A424" s="690"/>
      <c r="B424" s="691" t="s">
        <v>891</v>
      </c>
      <c r="C424" s="676" t="s">
        <v>40</v>
      </c>
      <c r="D424" s="680">
        <v>44682</v>
      </c>
      <c r="E424" s="676">
        <v>744</v>
      </c>
      <c r="F424" s="676" t="s">
        <v>3</v>
      </c>
      <c r="G424" s="690" t="s">
        <v>44</v>
      </c>
      <c r="H424" s="115">
        <v>-2</v>
      </c>
      <c r="I424" s="115">
        <v>140</v>
      </c>
      <c r="J424" s="601">
        <f t="shared" si="42"/>
        <v>208320</v>
      </c>
      <c r="K424" s="738">
        <v>55.7</v>
      </c>
      <c r="L424" s="677">
        <f t="shared" si="43"/>
        <v>-82881.600000000006</v>
      </c>
      <c r="M424" s="739">
        <f t="shared" si="44"/>
        <v>125438.39999999999</v>
      </c>
      <c r="N424" s="740">
        <v>55.7</v>
      </c>
      <c r="O424" s="678">
        <f t="shared" si="45"/>
        <v>-82881.600000000006</v>
      </c>
      <c r="P424" s="700">
        <f t="shared" si="46"/>
        <v>125438.39999999999</v>
      </c>
      <c r="Q424" s="740">
        <v>55.7</v>
      </c>
      <c r="R424" s="678">
        <f t="shared" si="47"/>
        <v>-82881.600000000006</v>
      </c>
      <c r="S424" s="700">
        <f t="shared" si="48"/>
        <v>125438.39999999999</v>
      </c>
      <c r="T424" s="691" t="s">
        <v>54</v>
      </c>
    </row>
    <row r="425" spans="1:20" x14ac:dyDescent="0.25">
      <c r="A425" s="690"/>
      <c r="B425" s="695" t="s">
        <v>891</v>
      </c>
      <c r="C425" s="545" t="s">
        <v>40</v>
      </c>
      <c r="D425" s="681">
        <v>44713</v>
      </c>
      <c r="E425" s="545">
        <v>720</v>
      </c>
      <c r="F425" s="545" t="s">
        <v>3</v>
      </c>
      <c r="G425" s="725" t="s">
        <v>44</v>
      </c>
      <c r="H425" s="548">
        <v>-2</v>
      </c>
      <c r="I425" s="548">
        <v>140</v>
      </c>
      <c r="J425" s="602">
        <f t="shared" si="42"/>
        <v>201600</v>
      </c>
      <c r="K425" s="742">
        <v>55.71</v>
      </c>
      <c r="L425" s="603">
        <f t="shared" si="43"/>
        <v>-80222.399999999994</v>
      </c>
      <c r="M425" s="743">
        <f t="shared" si="44"/>
        <v>121377.60000000001</v>
      </c>
      <c r="N425" s="744">
        <v>55.71</v>
      </c>
      <c r="O425" s="604">
        <f t="shared" si="45"/>
        <v>-80222.399999999994</v>
      </c>
      <c r="P425" s="701">
        <f t="shared" si="46"/>
        <v>121377.60000000001</v>
      </c>
      <c r="Q425" s="744">
        <v>55.71</v>
      </c>
      <c r="R425" s="604">
        <f t="shared" si="47"/>
        <v>-80222.399999999994</v>
      </c>
      <c r="S425" s="701">
        <f t="shared" si="48"/>
        <v>121377.60000000001</v>
      </c>
      <c r="T425" s="695" t="s">
        <v>54</v>
      </c>
    </row>
    <row r="426" spans="1:20" x14ac:dyDescent="0.25">
      <c r="A426" s="690"/>
      <c r="B426" s="697" t="s">
        <v>903</v>
      </c>
      <c r="C426" s="547" t="s">
        <v>40</v>
      </c>
      <c r="D426" s="683">
        <v>44621</v>
      </c>
      <c r="E426" s="547">
        <v>744</v>
      </c>
      <c r="F426" s="547" t="s">
        <v>3</v>
      </c>
      <c r="G426" s="727" t="s">
        <v>44</v>
      </c>
      <c r="H426" s="638">
        <v>2</v>
      </c>
      <c r="I426" s="638">
        <v>117</v>
      </c>
      <c r="J426" s="639">
        <f t="shared" si="42"/>
        <v>-174096</v>
      </c>
      <c r="K426" s="750">
        <v>55.7</v>
      </c>
      <c r="L426" s="608">
        <f t="shared" si="43"/>
        <v>82881.600000000006</v>
      </c>
      <c r="M426" s="751">
        <f t="shared" si="44"/>
        <v>-91214.399999999994</v>
      </c>
      <c r="N426" s="752">
        <v>55.7</v>
      </c>
      <c r="O426" s="609">
        <f t="shared" si="45"/>
        <v>82881.600000000006</v>
      </c>
      <c r="P426" s="703">
        <f t="shared" si="46"/>
        <v>-91214.399999999994</v>
      </c>
      <c r="Q426" s="752">
        <v>55.7</v>
      </c>
      <c r="R426" s="609">
        <f t="shared" si="47"/>
        <v>82881.600000000006</v>
      </c>
      <c r="S426" s="703">
        <f t="shared" si="48"/>
        <v>-91214.399999999994</v>
      </c>
      <c r="T426" s="697" t="s">
        <v>54</v>
      </c>
    </row>
    <row r="427" spans="1:20" x14ac:dyDescent="0.25">
      <c r="A427" s="690"/>
      <c r="B427" s="697" t="s">
        <v>905</v>
      </c>
      <c r="C427" s="547" t="s">
        <v>40</v>
      </c>
      <c r="D427" s="683">
        <v>44652</v>
      </c>
      <c r="E427" s="547">
        <v>720</v>
      </c>
      <c r="F427" s="547" t="s">
        <v>3</v>
      </c>
      <c r="G427" s="727" t="s">
        <v>44</v>
      </c>
      <c r="H427" s="638">
        <v>3</v>
      </c>
      <c r="I427" s="638">
        <v>115.5</v>
      </c>
      <c r="J427" s="639">
        <f t="shared" si="42"/>
        <v>-249480</v>
      </c>
      <c r="K427" s="750">
        <v>55.7</v>
      </c>
      <c r="L427" s="608">
        <f t="shared" si="43"/>
        <v>120312</v>
      </c>
      <c r="M427" s="751">
        <f t="shared" si="44"/>
        <v>-129168</v>
      </c>
      <c r="N427" s="752">
        <v>55.7</v>
      </c>
      <c r="O427" s="609">
        <f t="shared" si="45"/>
        <v>120312</v>
      </c>
      <c r="P427" s="703">
        <f t="shared" si="46"/>
        <v>-129168</v>
      </c>
      <c r="Q427" s="752">
        <v>55.7</v>
      </c>
      <c r="R427" s="609">
        <f t="shared" si="47"/>
        <v>120312</v>
      </c>
      <c r="S427" s="703">
        <f t="shared" si="48"/>
        <v>-129168</v>
      </c>
      <c r="T427" s="697" t="s">
        <v>54</v>
      </c>
    </row>
    <row r="428" spans="1:20" x14ac:dyDescent="0.25">
      <c r="A428" s="690"/>
      <c r="B428" s="697" t="s">
        <v>907</v>
      </c>
      <c r="C428" s="547" t="s">
        <v>40</v>
      </c>
      <c r="D428" s="683">
        <v>44562</v>
      </c>
      <c r="E428" s="547">
        <v>744</v>
      </c>
      <c r="F428" s="547" t="s">
        <v>3</v>
      </c>
      <c r="G428" s="727" t="s">
        <v>44</v>
      </c>
      <c r="H428" s="638">
        <v>1.6</v>
      </c>
      <c r="I428" s="638">
        <v>68.2</v>
      </c>
      <c r="J428" s="639">
        <f t="shared" si="42"/>
        <v>-81185.280000000013</v>
      </c>
      <c r="K428" s="750">
        <v>62.91</v>
      </c>
      <c r="L428" s="608">
        <f t="shared" si="43"/>
        <v>74888.063999999998</v>
      </c>
      <c r="M428" s="751">
        <f t="shared" si="44"/>
        <v>-6297.2160000000149</v>
      </c>
      <c r="N428" s="752">
        <v>62.91</v>
      </c>
      <c r="O428" s="609">
        <f t="shared" si="45"/>
        <v>74888.063999999998</v>
      </c>
      <c r="P428" s="703">
        <f t="shared" si="46"/>
        <v>-6297.2160000000149</v>
      </c>
      <c r="Q428" s="752">
        <v>62.91</v>
      </c>
      <c r="R428" s="609">
        <f t="shared" si="47"/>
        <v>74888.063999999998</v>
      </c>
      <c r="S428" s="703">
        <f t="shared" si="48"/>
        <v>-6297.2160000000149</v>
      </c>
      <c r="T428" s="697" t="s">
        <v>54</v>
      </c>
    </row>
    <row r="429" spans="1:20" x14ac:dyDescent="0.25">
      <c r="A429" s="690"/>
      <c r="B429" s="696" t="s">
        <v>909</v>
      </c>
      <c r="C429" s="546" t="s">
        <v>40</v>
      </c>
      <c r="D429" s="682">
        <v>44652</v>
      </c>
      <c r="E429" s="546">
        <v>720</v>
      </c>
      <c r="F429" s="546" t="s">
        <v>3</v>
      </c>
      <c r="G429" s="726" t="s">
        <v>44</v>
      </c>
      <c r="H429" s="549">
        <v>-5</v>
      </c>
      <c r="I429" s="549">
        <v>140</v>
      </c>
      <c r="J429" s="605">
        <f t="shared" si="42"/>
        <v>504000</v>
      </c>
      <c r="K429" s="746">
        <v>55.7</v>
      </c>
      <c r="L429" s="606">
        <f t="shared" si="43"/>
        <v>-200520</v>
      </c>
      <c r="M429" s="747">
        <f t="shared" si="44"/>
        <v>303480</v>
      </c>
      <c r="N429" s="748">
        <v>55.7</v>
      </c>
      <c r="O429" s="607">
        <f t="shared" si="45"/>
        <v>-200520</v>
      </c>
      <c r="P429" s="702">
        <f t="shared" si="46"/>
        <v>303480</v>
      </c>
      <c r="Q429" s="748">
        <v>55.7</v>
      </c>
      <c r="R429" s="607">
        <f t="shared" si="47"/>
        <v>-200520</v>
      </c>
      <c r="S429" s="702">
        <f t="shared" si="48"/>
        <v>303480</v>
      </c>
      <c r="T429" s="696" t="s">
        <v>54</v>
      </c>
    </row>
    <row r="430" spans="1:20" x14ac:dyDescent="0.25">
      <c r="A430" s="690"/>
      <c r="B430" s="691" t="s">
        <v>909</v>
      </c>
      <c r="C430" s="676" t="s">
        <v>40</v>
      </c>
      <c r="D430" s="680">
        <v>44682</v>
      </c>
      <c r="E430" s="676">
        <v>744</v>
      </c>
      <c r="F430" s="676" t="s">
        <v>3</v>
      </c>
      <c r="G430" s="690" t="s">
        <v>44</v>
      </c>
      <c r="H430" s="115">
        <v>-5</v>
      </c>
      <c r="I430" s="115">
        <v>140</v>
      </c>
      <c r="J430" s="601">
        <f t="shared" si="42"/>
        <v>520800</v>
      </c>
      <c r="K430" s="738">
        <v>55.7</v>
      </c>
      <c r="L430" s="677">
        <f t="shared" si="43"/>
        <v>-207204</v>
      </c>
      <c r="M430" s="739">
        <f t="shared" si="44"/>
        <v>313596</v>
      </c>
      <c r="N430" s="740">
        <v>55.7</v>
      </c>
      <c r="O430" s="678">
        <f t="shared" si="45"/>
        <v>-207204</v>
      </c>
      <c r="P430" s="700">
        <f t="shared" si="46"/>
        <v>313596</v>
      </c>
      <c r="Q430" s="740">
        <v>55.7</v>
      </c>
      <c r="R430" s="678">
        <f t="shared" si="47"/>
        <v>-207204</v>
      </c>
      <c r="S430" s="700">
        <f t="shared" si="48"/>
        <v>313596</v>
      </c>
      <c r="T430" s="691" t="s">
        <v>54</v>
      </c>
    </row>
    <row r="431" spans="1:20" x14ac:dyDescent="0.25">
      <c r="A431" s="690"/>
      <c r="B431" s="695" t="s">
        <v>909</v>
      </c>
      <c r="C431" s="545" t="s">
        <v>40</v>
      </c>
      <c r="D431" s="681">
        <v>44713</v>
      </c>
      <c r="E431" s="545">
        <v>720</v>
      </c>
      <c r="F431" s="545" t="s">
        <v>3</v>
      </c>
      <c r="G431" s="725" t="s">
        <v>44</v>
      </c>
      <c r="H431" s="548">
        <v>-5</v>
      </c>
      <c r="I431" s="548">
        <v>140</v>
      </c>
      <c r="J431" s="602">
        <f t="shared" si="42"/>
        <v>504000</v>
      </c>
      <c r="K431" s="742">
        <v>55.71</v>
      </c>
      <c r="L431" s="603">
        <f t="shared" si="43"/>
        <v>-200556</v>
      </c>
      <c r="M431" s="743">
        <f t="shared" si="44"/>
        <v>303444</v>
      </c>
      <c r="N431" s="744">
        <v>55.71</v>
      </c>
      <c r="O431" s="604">
        <f t="shared" si="45"/>
        <v>-200556</v>
      </c>
      <c r="P431" s="701">
        <f t="shared" si="46"/>
        <v>303444</v>
      </c>
      <c r="Q431" s="744">
        <v>55.71</v>
      </c>
      <c r="R431" s="604">
        <f t="shared" si="47"/>
        <v>-200556</v>
      </c>
      <c r="S431" s="701">
        <f t="shared" si="48"/>
        <v>303444</v>
      </c>
      <c r="T431" s="695" t="s">
        <v>54</v>
      </c>
    </row>
    <row r="432" spans="1:20" x14ac:dyDescent="0.25">
      <c r="A432" s="690"/>
      <c r="B432" s="697" t="s">
        <v>911</v>
      </c>
      <c r="C432" s="547" t="s">
        <v>40</v>
      </c>
      <c r="D432" s="683">
        <v>44652</v>
      </c>
      <c r="E432" s="547">
        <v>720</v>
      </c>
      <c r="F432" s="547" t="s">
        <v>3</v>
      </c>
      <c r="G432" s="727" t="s">
        <v>44</v>
      </c>
      <c r="H432" s="638">
        <v>5</v>
      </c>
      <c r="I432" s="638">
        <v>120</v>
      </c>
      <c r="J432" s="639">
        <f t="shared" si="42"/>
        <v>-432000</v>
      </c>
      <c r="K432" s="750">
        <v>55.7</v>
      </c>
      <c r="L432" s="608">
        <f t="shared" si="43"/>
        <v>200520</v>
      </c>
      <c r="M432" s="751">
        <f t="shared" si="44"/>
        <v>-231480</v>
      </c>
      <c r="N432" s="752">
        <v>55.7</v>
      </c>
      <c r="O432" s="609">
        <f t="shared" si="45"/>
        <v>200520</v>
      </c>
      <c r="P432" s="703">
        <f t="shared" si="46"/>
        <v>-231480</v>
      </c>
      <c r="Q432" s="752">
        <v>55.7</v>
      </c>
      <c r="R432" s="609">
        <f t="shared" si="47"/>
        <v>200520</v>
      </c>
      <c r="S432" s="703">
        <f t="shared" si="48"/>
        <v>-231480</v>
      </c>
      <c r="T432" s="697" t="s">
        <v>54</v>
      </c>
    </row>
    <row r="433" spans="1:20" x14ac:dyDescent="0.25">
      <c r="A433" s="690"/>
      <c r="B433" s="697" t="s">
        <v>913</v>
      </c>
      <c r="C433" s="547" t="s">
        <v>40</v>
      </c>
      <c r="D433" s="683">
        <v>44682</v>
      </c>
      <c r="E433" s="547">
        <v>744</v>
      </c>
      <c r="F433" s="547" t="s">
        <v>3</v>
      </c>
      <c r="G433" s="727" t="s">
        <v>44</v>
      </c>
      <c r="H433" s="638">
        <v>5</v>
      </c>
      <c r="I433" s="638">
        <v>132</v>
      </c>
      <c r="J433" s="639">
        <f t="shared" si="42"/>
        <v>-491040</v>
      </c>
      <c r="K433" s="750">
        <v>55.7</v>
      </c>
      <c r="L433" s="608">
        <f t="shared" si="43"/>
        <v>207204</v>
      </c>
      <c r="M433" s="751">
        <f t="shared" si="44"/>
        <v>-283836</v>
      </c>
      <c r="N433" s="752">
        <v>55.7</v>
      </c>
      <c r="O433" s="609">
        <f t="shared" si="45"/>
        <v>207204</v>
      </c>
      <c r="P433" s="703">
        <f t="shared" si="46"/>
        <v>-283836</v>
      </c>
      <c r="Q433" s="752">
        <v>55.7</v>
      </c>
      <c r="R433" s="609">
        <f t="shared" si="47"/>
        <v>207204</v>
      </c>
      <c r="S433" s="703">
        <f t="shared" si="48"/>
        <v>-283836</v>
      </c>
      <c r="T433" s="697" t="s">
        <v>54</v>
      </c>
    </row>
    <row r="434" spans="1:20" x14ac:dyDescent="0.25">
      <c r="A434" s="690"/>
      <c r="B434" s="697" t="s">
        <v>915</v>
      </c>
      <c r="C434" s="547" t="s">
        <v>40</v>
      </c>
      <c r="D434" s="683">
        <v>44593</v>
      </c>
      <c r="E434" s="547">
        <v>672</v>
      </c>
      <c r="F434" s="547" t="s">
        <v>3</v>
      </c>
      <c r="G434" s="727" t="s">
        <v>44</v>
      </c>
      <c r="H434" s="638">
        <v>-1.3</v>
      </c>
      <c r="I434" s="638">
        <v>94</v>
      </c>
      <c r="J434" s="639">
        <f t="shared" si="42"/>
        <v>82118.400000000009</v>
      </c>
      <c r="K434" s="750">
        <v>55.7</v>
      </c>
      <c r="L434" s="608">
        <f t="shared" si="43"/>
        <v>-48659.520000000004</v>
      </c>
      <c r="M434" s="751">
        <f t="shared" si="44"/>
        <v>33458.880000000005</v>
      </c>
      <c r="N434" s="752">
        <v>55.7</v>
      </c>
      <c r="O434" s="609">
        <f t="shared" si="45"/>
        <v>-48659.520000000004</v>
      </c>
      <c r="P434" s="703">
        <f t="shared" si="46"/>
        <v>33458.880000000005</v>
      </c>
      <c r="Q434" s="752">
        <v>55.7</v>
      </c>
      <c r="R434" s="609">
        <f t="shared" si="47"/>
        <v>-48659.520000000004</v>
      </c>
      <c r="S434" s="703">
        <f t="shared" si="48"/>
        <v>33458.880000000005</v>
      </c>
      <c r="T434" s="697" t="s">
        <v>54</v>
      </c>
    </row>
    <row r="435" spans="1:20" x14ac:dyDescent="0.25">
      <c r="A435" s="690"/>
      <c r="B435" s="697" t="s">
        <v>917</v>
      </c>
      <c r="C435" s="547" t="s">
        <v>40</v>
      </c>
      <c r="D435" s="683">
        <v>44743</v>
      </c>
      <c r="E435" s="547">
        <v>744</v>
      </c>
      <c r="F435" s="547" t="s">
        <v>3</v>
      </c>
      <c r="G435" s="727" t="s">
        <v>44</v>
      </c>
      <c r="H435" s="638">
        <v>-5</v>
      </c>
      <c r="I435" s="638">
        <v>205</v>
      </c>
      <c r="J435" s="639">
        <f t="shared" si="42"/>
        <v>762600</v>
      </c>
      <c r="K435" s="750">
        <v>66.319999999999993</v>
      </c>
      <c r="L435" s="608">
        <f t="shared" si="43"/>
        <v>-246710.39999999997</v>
      </c>
      <c r="M435" s="751">
        <f t="shared" si="44"/>
        <v>515889.60000000003</v>
      </c>
      <c r="N435" s="752">
        <v>66.319999999999993</v>
      </c>
      <c r="O435" s="609">
        <f t="shared" si="45"/>
        <v>-246710.39999999997</v>
      </c>
      <c r="P435" s="703">
        <f t="shared" si="46"/>
        <v>515889.60000000003</v>
      </c>
      <c r="Q435" s="752">
        <v>66.319999999999993</v>
      </c>
      <c r="R435" s="609">
        <f t="shared" si="47"/>
        <v>-246710.39999999997</v>
      </c>
      <c r="S435" s="703">
        <f t="shared" si="48"/>
        <v>515889.60000000003</v>
      </c>
      <c r="T435" s="697" t="s">
        <v>54</v>
      </c>
    </row>
    <row r="436" spans="1:20" x14ac:dyDescent="0.25">
      <c r="A436" s="690"/>
      <c r="B436" s="697" t="s">
        <v>919</v>
      </c>
      <c r="C436" s="547" t="s">
        <v>40</v>
      </c>
      <c r="D436" s="683">
        <v>44593</v>
      </c>
      <c r="E436" s="547">
        <v>672</v>
      </c>
      <c r="F436" s="547" t="s">
        <v>3</v>
      </c>
      <c r="G436" s="727" t="s">
        <v>44</v>
      </c>
      <c r="H436" s="638">
        <v>-1</v>
      </c>
      <c r="I436" s="638">
        <v>95</v>
      </c>
      <c r="J436" s="639">
        <f t="shared" si="42"/>
        <v>63840</v>
      </c>
      <c r="K436" s="750">
        <v>55.7</v>
      </c>
      <c r="L436" s="608">
        <f t="shared" si="43"/>
        <v>-37430.400000000001</v>
      </c>
      <c r="M436" s="751">
        <f t="shared" si="44"/>
        <v>26409.599999999999</v>
      </c>
      <c r="N436" s="752">
        <v>55.7</v>
      </c>
      <c r="O436" s="609">
        <f t="shared" si="45"/>
        <v>-37430.400000000001</v>
      </c>
      <c r="P436" s="703">
        <f t="shared" si="46"/>
        <v>26409.599999999999</v>
      </c>
      <c r="Q436" s="752">
        <v>55.7</v>
      </c>
      <c r="R436" s="609">
        <f t="shared" si="47"/>
        <v>-37430.400000000001</v>
      </c>
      <c r="S436" s="703">
        <f t="shared" si="48"/>
        <v>26409.599999999999</v>
      </c>
      <c r="T436" s="697" t="s">
        <v>54</v>
      </c>
    </row>
    <row r="437" spans="1:20" x14ac:dyDescent="0.25">
      <c r="A437" s="690"/>
      <c r="B437" s="697" t="s">
        <v>926</v>
      </c>
      <c r="C437" s="547" t="s">
        <v>40</v>
      </c>
      <c r="D437" s="683">
        <v>44562</v>
      </c>
      <c r="E437" s="547">
        <v>744</v>
      </c>
      <c r="F437" s="547" t="s">
        <v>3</v>
      </c>
      <c r="G437" s="727" t="s">
        <v>44</v>
      </c>
      <c r="H437" s="638">
        <v>1</v>
      </c>
      <c r="I437" s="638">
        <v>68</v>
      </c>
      <c r="J437" s="639">
        <f t="shared" si="42"/>
        <v>-50592</v>
      </c>
      <c r="K437" s="750">
        <v>62.91</v>
      </c>
      <c r="L437" s="608">
        <f t="shared" si="43"/>
        <v>46805.04</v>
      </c>
      <c r="M437" s="751">
        <f t="shared" si="44"/>
        <v>-3786.9599999999991</v>
      </c>
      <c r="N437" s="752">
        <v>62.91</v>
      </c>
      <c r="O437" s="609">
        <f t="shared" si="45"/>
        <v>46805.04</v>
      </c>
      <c r="P437" s="703">
        <f t="shared" si="46"/>
        <v>-3786.9599999999991</v>
      </c>
      <c r="Q437" s="752">
        <v>62.91</v>
      </c>
      <c r="R437" s="609">
        <f t="shared" si="47"/>
        <v>46805.04</v>
      </c>
      <c r="S437" s="703">
        <f t="shared" si="48"/>
        <v>-3786.9599999999991</v>
      </c>
      <c r="T437" s="697" t="s">
        <v>54</v>
      </c>
    </row>
    <row r="438" spans="1:20" x14ac:dyDescent="0.25">
      <c r="A438" s="690"/>
      <c r="B438" s="697" t="s">
        <v>928</v>
      </c>
      <c r="C438" s="547" t="s">
        <v>40</v>
      </c>
      <c r="D438" s="683">
        <v>44621</v>
      </c>
      <c r="E438" s="547">
        <v>744</v>
      </c>
      <c r="F438" s="547" t="s">
        <v>3</v>
      </c>
      <c r="G438" s="727" t="s">
        <v>44</v>
      </c>
      <c r="H438" s="638">
        <v>2</v>
      </c>
      <c r="I438" s="638">
        <v>122</v>
      </c>
      <c r="J438" s="639">
        <f t="shared" si="42"/>
        <v>-181536</v>
      </c>
      <c r="K438" s="750">
        <v>55.7</v>
      </c>
      <c r="L438" s="608">
        <f t="shared" si="43"/>
        <v>82881.600000000006</v>
      </c>
      <c r="M438" s="751">
        <f t="shared" si="44"/>
        <v>-98654.399999999994</v>
      </c>
      <c r="N438" s="752">
        <v>55.7</v>
      </c>
      <c r="O438" s="609">
        <f t="shared" si="45"/>
        <v>82881.600000000006</v>
      </c>
      <c r="P438" s="703">
        <f t="shared" si="46"/>
        <v>-98654.399999999994</v>
      </c>
      <c r="Q438" s="752">
        <v>55.7</v>
      </c>
      <c r="R438" s="609">
        <f t="shared" si="47"/>
        <v>82881.600000000006</v>
      </c>
      <c r="S438" s="703">
        <f t="shared" si="48"/>
        <v>-98654.399999999994</v>
      </c>
      <c r="T438" s="697" t="s">
        <v>54</v>
      </c>
    </row>
    <row r="439" spans="1:20" x14ac:dyDescent="0.25">
      <c r="A439" s="690"/>
      <c r="B439" s="697" t="s">
        <v>930</v>
      </c>
      <c r="C439" s="547" t="s">
        <v>40</v>
      </c>
      <c r="D439" s="683">
        <v>44621</v>
      </c>
      <c r="E439" s="547">
        <v>744</v>
      </c>
      <c r="F439" s="547" t="s">
        <v>3</v>
      </c>
      <c r="G439" s="727" t="s">
        <v>44</v>
      </c>
      <c r="H439" s="638">
        <v>2</v>
      </c>
      <c r="I439" s="638">
        <v>122</v>
      </c>
      <c r="J439" s="639">
        <f t="shared" si="42"/>
        <v>-181536</v>
      </c>
      <c r="K439" s="750">
        <v>55.7</v>
      </c>
      <c r="L439" s="608">
        <f t="shared" si="43"/>
        <v>82881.600000000006</v>
      </c>
      <c r="M439" s="751">
        <f t="shared" si="44"/>
        <v>-98654.399999999994</v>
      </c>
      <c r="N439" s="752">
        <v>55.7</v>
      </c>
      <c r="O439" s="609">
        <f t="shared" si="45"/>
        <v>82881.600000000006</v>
      </c>
      <c r="P439" s="703">
        <f t="shared" si="46"/>
        <v>-98654.399999999994</v>
      </c>
      <c r="Q439" s="752">
        <v>55.7</v>
      </c>
      <c r="R439" s="609">
        <f t="shared" si="47"/>
        <v>82881.600000000006</v>
      </c>
      <c r="S439" s="703">
        <f t="shared" si="48"/>
        <v>-98654.399999999994</v>
      </c>
      <c r="T439" s="697" t="s">
        <v>54</v>
      </c>
    </row>
    <row r="440" spans="1:20" x14ac:dyDescent="0.25">
      <c r="A440" s="690"/>
      <c r="B440" s="697" t="s">
        <v>932</v>
      </c>
      <c r="C440" s="547" t="s">
        <v>40</v>
      </c>
      <c r="D440" s="683">
        <v>44621</v>
      </c>
      <c r="E440" s="547">
        <v>744</v>
      </c>
      <c r="F440" s="547" t="s">
        <v>3</v>
      </c>
      <c r="G440" s="727" t="s">
        <v>44</v>
      </c>
      <c r="H440" s="638">
        <v>2</v>
      </c>
      <c r="I440" s="638">
        <v>121</v>
      </c>
      <c r="J440" s="639">
        <f t="shared" si="42"/>
        <v>-180048</v>
      </c>
      <c r="K440" s="750">
        <v>55.7</v>
      </c>
      <c r="L440" s="608">
        <f t="shared" si="43"/>
        <v>82881.600000000006</v>
      </c>
      <c r="M440" s="751">
        <f t="shared" si="44"/>
        <v>-97166.399999999994</v>
      </c>
      <c r="N440" s="752">
        <v>55.7</v>
      </c>
      <c r="O440" s="609">
        <f t="shared" si="45"/>
        <v>82881.600000000006</v>
      </c>
      <c r="P440" s="703">
        <f t="shared" si="46"/>
        <v>-97166.399999999994</v>
      </c>
      <c r="Q440" s="752">
        <v>55.7</v>
      </c>
      <c r="R440" s="609">
        <f t="shared" si="47"/>
        <v>82881.600000000006</v>
      </c>
      <c r="S440" s="703">
        <f t="shared" si="48"/>
        <v>-97166.399999999994</v>
      </c>
      <c r="T440" s="697" t="s">
        <v>54</v>
      </c>
    </row>
    <row r="441" spans="1:20" x14ac:dyDescent="0.25">
      <c r="A441" s="690"/>
      <c r="B441" s="697" t="s">
        <v>934</v>
      </c>
      <c r="C441" s="547" t="s">
        <v>40</v>
      </c>
      <c r="D441" s="683">
        <v>44621</v>
      </c>
      <c r="E441" s="547">
        <v>744</v>
      </c>
      <c r="F441" s="547" t="s">
        <v>3</v>
      </c>
      <c r="G441" s="727" t="s">
        <v>44</v>
      </c>
      <c r="H441" s="638">
        <v>3</v>
      </c>
      <c r="I441" s="638">
        <v>120</v>
      </c>
      <c r="J441" s="639">
        <f t="shared" si="42"/>
        <v>-267840</v>
      </c>
      <c r="K441" s="750">
        <v>55.7</v>
      </c>
      <c r="L441" s="608">
        <f t="shared" si="43"/>
        <v>124322.40000000001</v>
      </c>
      <c r="M441" s="751">
        <f t="shared" si="44"/>
        <v>-143517.59999999998</v>
      </c>
      <c r="N441" s="752">
        <v>55.7</v>
      </c>
      <c r="O441" s="609">
        <f t="shared" si="45"/>
        <v>124322.40000000001</v>
      </c>
      <c r="P441" s="703">
        <f t="shared" si="46"/>
        <v>-143517.59999999998</v>
      </c>
      <c r="Q441" s="752">
        <v>55.7</v>
      </c>
      <c r="R441" s="609">
        <f t="shared" si="47"/>
        <v>124322.40000000001</v>
      </c>
      <c r="S441" s="703">
        <f t="shared" si="48"/>
        <v>-143517.59999999998</v>
      </c>
      <c r="T441" s="697" t="s">
        <v>54</v>
      </c>
    </row>
    <row r="442" spans="1:20" x14ac:dyDescent="0.25">
      <c r="A442" s="690"/>
      <c r="B442" s="697" t="s">
        <v>946</v>
      </c>
      <c r="C442" s="547" t="s">
        <v>40</v>
      </c>
      <c r="D442" s="683">
        <v>44682</v>
      </c>
      <c r="E442" s="547">
        <v>744</v>
      </c>
      <c r="F442" s="547" t="s">
        <v>3</v>
      </c>
      <c r="G442" s="727" t="s">
        <v>44</v>
      </c>
      <c r="H442" s="638">
        <v>1</v>
      </c>
      <c r="I442" s="638">
        <v>130</v>
      </c>
      <c r="J442" s="639">
        <f t="shared" si="42"/>
        <v>-96720</v>
      </c>
      <c r="K442" s="750">
        <v>55.7</v>
      </c>
      <c r="L442" s="608">
        <f t="shared" si="43"/>
        <v>41440.800000000003</v>
      </c>
      <c r="M442" s="751">
        <f t="shared" si="44"/>
        <v>-55279.199999999997</v>
      </c>
      <c r="N442" s="752">
        <v>55.7</v>
      </c>
      <c r="O442" s="609">
        <f t="shared" si="45"/>
        <v>41440.800000000003</v>
      </c>
      <c r="P442" s="703">
        <f t="shared" si="46"/>
        <v>-55279.199999999997</v>
      </c>
      <c r="Q442" s="752">
        <v>55.7</v>
      </c>
      <c r="R442" s="609">
        <f t="shared" si="47"/>
        <v>41440.800000000003</v>
      </c>
      <c r="S442" s="703">
        <f t="shared" si="48"/>
        <v>-55279.199999999997</v>
      </c>
      <c r="T442" s="697" t="s">
        <v>54</v>
      </c>
    </row>
    <row r="443" spans="1:20" x14ac:dyDescent="0.25">
      <c r="A443" s="690"/>
      <c r="B443" s="696" t="s">
        <v>948</v>
      </c>
      <c r="C443" s="546" t="s">
        <v>40</v>
      </c>
      <c r="D443" s="682">
        <v>44652</v>
      </c>
      <c r="E443" s="546">
        <v>720</v>
      </c>
      <c r="F443" s="546" t="s">
        <v>3</v>
      </c>
      <c r="G443" s="726" t="s">
        <v>44</v>
      </c>
      <c r="H443" s="549">
        <v>-3</v>
      </c>
      <c r="I443" s="549">
        <v>139</v>
      </c>
      <c r="J443" s="605">
        <f t="shared" si="42"/>
        <v>300240</v>
      </c>
      <c r="K443" s="746">
        <v>55.7</v>
      </c>
      <c r="L443" s="606">
        <f t="shared" si="43"/>
        <v>-120312</v>
      </c>
      <c r="M443" s="747">
        <f t="shared" si="44"/>
        <v>179928</v>
      </c>
      <c r="N443" s="748">
        <v>55.7</v>
      </c>
      <c r="O443" s="607">
        <f t="shared" si="45"/>
        <v>-120312</v>
      </c>
      <c r="P443" s="702">
        <f t="shared" si="46"/>
        <v>179928</v>
      </c>
      <c r="Q443" s="748">
        <v>55.7</v>
      </c>
      <c r="R443" s="607">
        <f t="shared" si="47"/>
        <v>-120312</v>
      </c>
      <c r="S443" s="702">
        <f t="shared" si="48"/>
        <v>179928</v>
      </c>
      <c r="T443" s="696" t="s">
        <v>54</v>
      </c>
    </row>
    <row r="444" spans="1:20" x14ac:dyDescent="0.25">
      <c r="A444" s="690"/>
      <c r="B444" s="691" t="s">
        <v>948</v>
      </c>
      <c r="C444" s="676" t="s">
        <v>40</v>
      </c>
      <c r="D444" s="680">
        <v>44682</v>
      </c>
      <c r="E444" s="676">
        <v>744</v>
      </c>
      <c r="F444" s="676" t="s">
        <v>3</v>
      </c>
      <c r="G444" s="690" t="s">
        <v>44</v>
      </c>
      <c r="H444" s="115">
        <v>-3</v>
      </c>
      <c r="I444" s="115">
        <v>139</v>
      </c>
      <c r="J444" s="601">
        <f t="shared" si="42"/>
        <v>310248</v>
      </c>
      <c r="K444" s="738">
        <v>55.7</v>
      </c>
      <c r="L444" s="677">
        <f t="shared" si="43"/>
        <v>-124322.40000000001</v>
      </c>
      <c r="M444" s="739">
        <f t="shared" si="44"/>
        <v>185925.59999999998</v>
      </c>
      <c r="N444" s="740">
        <v>55.7</v>
      </c>
      <c r="O444" s="678">
        <f t="shared" si="45"/>
        <v>-124322.40000000001</v>
      </c>
      <c r="P444" s="700">
        <f t="shared" si="46"/>
        <v>185925.59999999998</v>
      </c>
      <c r="Q444" s="740">
        <v>55.7</v>
      </c>
      <c r="R444" s="678">
        <f t="shared" si="47"/>
        <v>-124322.40000000001</v>
      </c>
      <c r="S444" s="700">
        <f t="shared" si="48"/>
        <v>185925.59999999998</v>
      </c>
      <c r="T444" s="691" t="s">
        <v>54</v>
      </c>
    </row>
    <row r="445" spans="1:20" x14ac:dyDescent="0.25">
      <c r="A445" s="690"/>
      <c r="B445" s="695" t="s">
        <v>948</v>
      </c>
      <c r="C445" s="545" t="s">
        <v>40</v>
      </c>
      <c r="D445" s="681">
        <v>44713</v>
      </c>
      <c r="E445" s="545">
        <v>720</v>
      </c>
      <c r="F445" s="545" t="s">
        <v>3</v>
      </c>
      <c r="G445" s="725" t="s">
        <v>44</v>
      </c>
      <c r="H445" s="548">
        <v>-3</v>
      </c>
      <c r="I445" s="548">
        <v>139</v>
      </c>
      <c r="J445" s="602">
        <f t="shared" si="42"/>
        <v>300240</v>
      </c>
      <c r="K445" s="742">
        <v>55.71</v>
      </c>
      <c r="L445" s="603">
        <f t="shared" si="43"/>
        <v>-120333.6</v>
      </c>
      <c r="M445" s="743">
        <f t="shared" si="44"/>
        <v>179906.4</v>
      </c>
      <c r="N445" s="744">
        <v>55.71</v>
      </c>
      <c r="O445" s="604">
        <f t="shared" si="45"/>
        <v>-120333.6</v>
      </c>
      <c r="P445" s="701">
        <f t="shared" si="46"/>
        <v>179906.4</v>
      </c>
      <c r="Q445" s="744">
        <v>55.71</v>
      </c>
      <c r="R445" s="604">
        <f t="shared" si="47"/>
        <v>-120333.6</v>
      </c>
      <c r="S445" s="701">
        <f t="shared" si="48"/>
        <v>179906.4</v>
      </c>
      <c r="T445" s="695" t="s">
        <v>54</v>
      </c>
    </row>
    <row r="446" spans="1:20" x14ac:dyDescent="0.25">
      <c r="A446" s="690"/>
      <c r="B446" s="696" t="s">
        <v>950</v>
      </c>
      <c r="C446" s="546" t="s">
        <v>40</v>
      </c>
      <c r="D446" s="682">
        <v>44652</v>
      </c>
      <c r="E446" s="546">
        <v>720</v>
      </c>
      <c r="F446" s="546" t="s">
        <v>3</v>
      </c>
      <c r="G446" s="726" t="s">
        <v>44</v>
      </c>
      <c r="H446" s="549">
        <v>-0.1</v>
      </c>
      <c r="I446" s="549">
        <v>138.5</v>
      </c>
      <c r="J446" s="605">
        <f t="shared" si="42"/>
        <v>9972</v>
      </c>
      <c r="K446" s="746">
        <v>55.7</v>
      </c>
      <c r="L446" s="606">
        <f t="shared" si="43"/>
        <v>-4010.4</v>
      </c>
      <c r="M446" s="747">
        <f t="shared" si="44"/>
        <v>5961.6</v>
      </c>
      <c r="N446" s="748">
        <v>55.7</v>
      </c>
      <c r="O446" s="607">
        <f t="shared" si="45"/>
        <v>-4010.4</v>
      </c>
      <c r="P446" s="702">
        <f t="shared" si="46"/>
        <v>5961.6</v>
      </c>
      <c r="Q446" s="748">
        <v>55.7</v>
      </c>
      <c r="R446" s="607">
        <f t="shared" si="47"/>
        <v>-4010.4</v>
      </c>
      <c r="S446" s="702">
        <f t="shared" si="48"/>
        <v>5961.6</v>
      </c>
      <c r="T446" s="696" t="s">
        <v>54</v>
      </c>
    </row>
    <row r="447" spans="1:20" x14ac:dyDescent="0.25">
      <c r="A447" s="690"/>
      <c r="B447" s="691" t="s">
        <v>950</v>
      </c>
      <c r="C447" s="676" t="s">
        <v>40</v>
      </c>
      <c r="D447" s="680">
        <v>44682</v>
      </c>
      <c r="E447" s="676">
        <v>744</v>
      </c>
      <c r="F447" s="676" t="s">
        <v>3</v>
      </c>
      <c r="G447" s="690" t="s">
        <v>44</v>
      </c>
      <c r="H447" s="115">
        <v>-0.1</v>
      </c>
      <c r="I447" s="115">
        <v>138.5</v>
      </c>
      <c r="J447" s="601">
        <f t="shared" si="42"/>
        <v>10304.400000000001</v>
      </c>
      <c r="K447" s="738">
        <v>55.7</v>
      </c>
      <c r="L447" s="677">
        <f t="shared" si="43"/>
        <v>-4144.0800000000008</v>
      </c>
      <c r="M447" s="739">
        <f t="shared" si="44"/>
        <v>6160.3200000000006</v>
      </c>
      <c r="N447" s="740">
        <v>55.7</v>
      </c>
      <c r="O447" s="678">
        <f t="shared" si="45"/>
        <v>-4144.0800000000008</v>
      </c>
      <c r="P447" s="700">
        <f t="shared" si="46"/>
        <v>6160.3200000000006</v>
      </c>
      <c r="Q447" s="740">
        <v>55.7</v>
      </c>
      <c r="R447" s="678">
        <f t="shared" si="47"/>
        <v>-4144.0800000000008</v>
      </c>
      <c r="S447" s="700">
        <f t="shared" si="48"/>
        <v>6160.3200000000006</v>
      </c>
      <c r="T447" s="691" t="s">
        <v>54</v>
      </c>
    </row>
    <row r="448" spans="1:20" x14ac:dyDescent="0.25">
      <c r="A448" s="690"/>
      <c r="B448" s="695" t="s">
        <v>950</v>
      </c>
      <c r="C448" s="545" t="s">
        <v>40</v>
      </c>
      <c r="D448" s="681">
        <v>44713</v>
      </c>
      <c r="E448" s="545">
        <v>720</v>
      </c>
      <c r="F448" s="545" t="s">
        <v>3</v>
      </c>
      <c r="G448" s="725" t="s">
        <v>44</v>
      </c>
      <c r="H448" s="548">
        <v>-0.1</v>
      </c>
      <c r="I448" s="548">
        <v>138.5</v>
      </c>
      <c r="J448" s="602">
        <f t="shared" si="42"/>
        <v>9972</v>
      </c>
      <c r="K448" s="742">
        <v>55.71</v>
      </c>
      <c r="L448" s="603">
        <f t="shared" si="43"/>
        <v>-4011.12</v>
      </c>
      <c r="M448" s="743">
        <f t="shared" si="44"/>
        <v>5960.88</v>
      </c>
      <c r="N448" s="744">
        <v>55.71</v>
      </c>
      <c r="O448" s="604">
        <f t="shared" si="45"/>
        <v>-4011.12</v>
      </c>
      <c r="P448" s="701">
        <f t="shared" si="46"/>
        <v>5960.88</v>
      </c>
      <c r="Q448" s="744">
        <v>55.71</v>
      </c>
      <c r="R448" s="604">
        <f t="shared" si="47"/>
        <v>-4011.12</v>
      </c>
      <c r="S448" s="701">
        <f t="shared" si="48"/>
        <v>5960.88</v>
      </c>
      <c r="T448" s="695" t="s">
        <v>54</v>
      </c>
    </row>
    <row r="449" spans="1:20" x14ac:dyDescent="0.25">
      <c r="A449" s="690"/>
      <c r="B449" s="697" t="s">
        <v>952</v>
      </c>
      <c r="C449" s="547" t="s">
        <v>40</v>
      </c>
      <c r="D449" s="683">
        <v>44682</v>
      </c>
      <c r="E449" s="547">
        <v>744</v>
      </c>
      <c r="F449" s="547" t="s">
        <v>3</v>
      </c>
      <c r="G449" s="727" t="s">
        <v>44</v>
      </c>
      <c r="H449" s="638">
        <v>5</v>
      </c>
      <c r="I449" s="638">
        <v>130</v>
      </c>
      <c r="J449" s="639">
        <f t="shared" si="42"/>
        <v>-483600</v>
      </c>
      <c r="K449" s="750">
        <v>55.7</v>
      </c>
      <c r="L449" s="608">
        <f t="shared" si="43"/>
        <v>207204</v>
      </c>
      <c r="M449" s="751">
        <f t="shared" si="44"/>
        <v>-276396</v>
      </c>
      <c r="N449" s="752">
        <v>55.7</v>
      </c>
      <c r="O449" s="609">
        <f t="shared" si="45"/>
        <v>207204</v>
      </c>
      <c r="P449" s="703">
        <f t="shared" si="46"/>
        <v>-276396</v>
      </c>
      <c r="Q449" s="752">
        <v>55.7</v>
      </c>
      <c r="R449" s="609">
        <f t="shared" si="47"/>
        <v>207204</v>
      </c>
      <c r="S449" s="703">
        <f t="shared" si="48"/>
        <v>-276396</v>
      </c>
      <c r="T449" s="697" t="s">
        <v>54</v>
      </c>
    </row>
    <row r="450" spans="1:20" x14ac:dyDescent="0.25">
      <c r="A450" s="690"/>
      <c r="B450" s="697" t="s">
        <v>954</v>
      </c>
      <c r="C450" s="547" t="s">
        <v>40</v>
      </c>
      <c r="D450" s="683">
        <v>44621</v>
      </c>
      <c r="E450" s="547">
        <v>744</v>
      </c>
      <c r="F450" s="547" t="s">
        <v>3</v>
      </c>
      <c r="G450" s="727" t="s">
        <v>44</v>
      </c>
      <c r="H450" s="638">
        <v>1</v>
      </c>
      <c r="I450" s="638">
        <v>125</v>
      </c>
      <c r="J450" s="639">
        <f t="shared" si="42"/>
        <v>-93000</v>
      </c>
      <c r="K450" s="750">
        <v>55.7</v>
      </c>
      <c r="L450" s="608">
        <f t="shared" si="43"/>
        <v>41440.800000000003</v>
      </c>
      <c r="M450" s="751">
        <f t="shared" si="44"/>
        <v>-51559.199999999997</v>
      </c>
      <c r="N450" s="752">
        <v>55.7</v>
      </c>
      <c r="O450" s="609">
        <f t="shared" si="45"/>
        <v>41440.800000000003</v>
      </c>
      <c r="P450" s="703">
        <f t="shared" si="46"/>
        <v>-51559.199999999997</v>
      </c>
      <c r="Q450" s="752">
        <v>55.7</v>
      </c>
      <c r="R450" s="609">
        <f t="shared" si="47"/>
        <v>41440.800000000003</v>
      </c>
      <c r="S450" s="703">
        <f t="shared" si="48"/>
        <v>-51559.199999999997</v>
      </c>
      <c r="T450" s="697" t="s">
        <v>54</v>
      </c>
    </row>
    <row r="451" spans="1:20" x14ac:dyDescent="0.25">
      <c r="A451" s="690"/>
      <c r="B451" s="697" t="s">
        <v>956</v>
      </c>
      <c r="C451" s="547" t="s">
        <v>40</v>
      </c>
      <c r="D451" s="683">
        <v>44652</v>
      </c>
      <c r="E451" s="547">
        <v>720</v>
      </c>
      <c r="F451" s="547" t="s">
        <v>3</v>
      </c>
      <c r="G451" s="727" t="s">
        <v>44</v>
      </c>
      <c r="H451" s="638">
        <v>5</v>
      </c>
      <c r="I451" s="638">
        <v>120</v>
      </c>
      <c r="J451" s="639">
        <f t="shared" ref="J451:J514" si="49">(I451*(E451*H451))*-1</f>
        <v>-432000</v>
      </c>
      <c r="K451" s="750">
        <v>55.7</v>
      </c>
      <c r="L451" s="608">
        <f t="shared" ref="L451:L514" si="50">(((E451*H451)*K451))</f>
        <v>200520</v>
      </c>
      <c r="M451" s="751">
        <f t="shared" ref="M451:M514" si="51">J451+L451</f>
        <v>-231480</v>
      </c>
      <c r="N451" s="752">
        <v>55.7</v>
      </c>
      <c r="O451" s="609">
        <f t="shared" ref="O451:O514" si="52">((E451*H451)*N451)</f>
        <v>200520</v>
      </c>
      <c r="P451" s="703">
        <f t="shared" ref="P451:P514" si="53">J451+O451</f>
        <v>-231480</v>
      </c>
      <c r="Q451" s="752">
        <v>55.7</v>
      </c>
      <c r="R451" s="609">
        <f t="shared" ref="R451:R514" si="54">((E451*H451)*Q451)</f>
        <v>200520</v>
      </c>
      <c r="S451" s="703">
        <f t="shared" ref="S451:S514" si="55">J451+R451</f>
        <v>-231480</v>
      </c>
      <c r="T451" s="697" t="s">
        <v>54</v>
      </c>
    </row>
    <row r="452" spans="1:20" x14ac:dyDescent="0.25">
      <c r="A452" s="690"/>
      <c r="B452" s="697" t="s">
        <v>958</v>
      </c>
      <c r="C452" s="547" t="s">
        <v>40</v>
      </c>
      <c r="D452" s="683">
        <v>44621</v>
      </c>
      <c r="E452" s="547">
        <v>744</v>
      </c>
      <c r="F452" s="547" t="s">
        <v>3</v>
      </c>
      <c r="G452" s="727" t="s">
        <v>44</v>
      </c>
      <c r="H452" s="638">
        <v>1</v>
      </c>
      <c r="I452" s="638">
        <v>125</v>
      </c>
      <c r="J452" s="639">
        <f t="shared" si="49"/>
        <v>-93000</v>
      </c>
      <c r="K452" s="750">
        <v>55.7</v>
      </c>
      <c r="L452" s="608">
        <f t="shared" si="50"/>
        <v>41440.800000000003</v>
      </c>
      <c r="M452" s="751">
        <f t="shared" si="51"/>
        <v>-51559.199999999997</v>
      </c>
      <c r="N452" s="752">
        <v>55.7</v>
      </c>
      <c r="O452" s="609">
        <f t="shared" si="52"/>
        <v>41440.800000000003</v>
      </c>
      <c r="P452" s="703">
        <f t="shared" si="53"/>
        <v>-51559.199999999997</v>
      </c>
      <c r="Q452" s="752">
        <v>55.7</v>
      </c>
      <c r="R452" s="609">
        <f t="shared" si="54"/>
        <v>41440.800000000003</v>
      </c>
      <c r="S452" s="703">
        <f t="shared" si="55"/>
        <v>-51559.199999999997</v>
      </c>
      <c r="T452" s="697" t="s">
        <v>54</v>
      </c>
    </row>
    <row r="453" spans="1:20" x14ac:dyDescent="0.25">
      <c r="A453" s="690"/>
      <c r="B453" s="696" t="s">
        <v>960</v>
      </c>
      <c r="C453" s="546" t="s">
        <v>40</v>
      </c>
      <c r="D453" s="682">
        <v>44652</v>
      </c>
      <c r="E453" s="546">
        <v>720</v>
      </c>
      <c r="F453" s="546" t="s">
        <v>3</v>
      </c>
      <c r="G453" s="726" t="s">
        <v>44</v>
      </c>
      <c r="H453" s="549">
        <v>-2</v>
      </c>
      <c r="I453" s="549">
        <v>139</v>
      </c>
      <c r="J453" s="605">
        <f t="shared" si="49"/>
        <v>200160</v>
      </c>
      <c r="K453" s="746">
        <v>55.7</v>
      </c>
      <c r="L453" s="606">
        <f t="shared" si="50"/>
        <v>-80208</v>
      </c>
      <c r="M453" s="747">
        <f t="shared" si="51"/>
        <v>119952</v>
      </c>
      <c r="N453" s="748">
        <v>55.7</v>
      </c>
      <c r="O453" s="607">
        <f t="shared" si="52"/>
        <v>-80208</v>
      </c>
      <c r="P453" s="702">
        <f t="shared" si="53"/>
        <v>119952</v>
      </c>
      <c r="Q453" s="748">
        <v>55.7</v>
      </c>
      <c r="R453" s="607">
        <f t="shared" si="54"/>
        <v>-80208</v>
      </c>
      <c r="S453" s="702">
        <f t="shared" si="55"/>
        <v>119952</v>
      </c>
      <c r="T453" s="696" t="s">
        <v>54</v>
      </c>
    </row>
    <row r="454" spans="1:20" x14ac:dyDescent="0.25">
      <c r="A454" s="690"/>
      <c r="B454" s="691" t="s">
        <v>960</v>
      </c>
      <c r="C454" s="676" t="s">
        <v>40</v>
      </c>
      <c r="D454" s="680">
        <v>44682</v>
      </c>
      <c r="E454" s="676">
        <v>744</v>
      </c>
      <c r="F454" s="676" t="s">
        <v>3</v>
      </c>
      <c r="G454" s="690" t="s">
        <v>44</v>
      </c>
      <c r="H454" s="115">
        <v>-2</v>
      </c>
      <c r="I454" s="115">
        <v>139</v>
      </c>
      <c r="J454" s="601">
        <f t="shared" si="49"/>
        <v>206832</v>
      </c>
      <c r="K454" s="738">
        <v>55.7</v>
      </c>
      <c r="L454" s="677">
        <f t="shared" si="50"/>
        <v>-82881.600000000006</v>
      </c>
      <c r="M454" s="739">
        <f t="shared" si="51"/>
        <v>123950.39999999999</v>
      </c>
      <c r="N454" s="740">
        <v>55.7</v>
      </c>
      <c r="O454" s="678">
        <f t="shared" si="52"/>
        <v>-82881.600000000006</v>
      </c>
      <c r="P454" s="700">
        <f t="shared" si="53"/>
        <v>123950.39999999999</v>
      </c>
      <c r="Q454" s="740">
        <v>55.7</v>
      </c>
      <c r="R454" s="678">
        <f t="shared" si="54"/>
        <v>-82881.600000000006</v>
      </c>
      <c r="S454" s="700">
        <f t="shared" si="55"/>
        <v>123950.39999999999</v>
      </c>
      <c r="T454" s="691" t="s">
        <v>54</v>
      </c>
    </row>
    <row r="455" spans="1:20" x14ac:dyDescent="0.25">
      <c r="A455" s="690"/>
      <c r="B455" s="695" t="s">
        <v>960</v>
      </c>
      <c r="C455" s="545" t="s">
        <v>40</v>
      </c>
      <c r="D455" s="681">
        <v>44713</v>
      </c>
      <c r="E455" s="545">
        <v>720</v>
      </c>
      <c r="F455" s="545" t="s">
        <v>3</v>
      </c>
      <c r="G455" s="725" t="s">
        <v>44</v>
      </c>
      <c r="H455" s="548">
        <v>-2</v>
      </c>
      <c r="I455" s="548">
        <v>139</v>
      </c>
      <c r="J455" s="602">
        <f t="shared" si="49"/>
        <v>200160</v>
      </c>
      <c r="K455" s="742">
        <v>55.71</v>
      </c>
      <c r="L455" s="603">
        <f t="shared" si="50"/>
        <v>-80222.399999999994</v>
      </c>
      <c r="M455" s="743">
        <f t="shared" si="51"/>
        <v>119937.60000000001</v>
      </c>
      <c r="N455" s="744">
        <v>55.71</v>
      </c>
      <c r="O455" s="604">
        <f t="shared" si="52"/>
        <v>-80222.399999999994</v>
      </c>
      <c r="P455" s="701">
        <f t="shared" si="53"/>
        <v>119937.60000000001</v>
      </c>
      <c r="Q455" s="744">
        <v>55.71</v>
      </c>
      <c r="R455" s="604">
        <f t="shared" si="54"/>
        <v>-80222.399999999994</v>
      </c>
      <c r="S455" s="701">
        <f t="shared" si="55"/>
        <v>119937.60000000001</v>
      </c>
      <c r="T455" s="695" t="s">
        <v>54</v>
      </c>
    </row>
    <row r="456" spans="1:20" x14ac:dyDescent="0.25">
      <c r="A456" s="690"/>
      <c r="B456" s="697" t="s">
        <v>969</v>
      </c>
      <c r="C456" s="547" t="s">
        <v>40</v>
      </c>
      <c r="D456" s="683">
        <v>44896</v>
      </c>
      <c r="E456" s="547">
        <v>744</v>
      </c>
      <c r="F456" s="547" t="s">
        <v>3</v>
      </c>
      <c r="G456" s="727" t="s">
        <v>44</v>
      </c>
      <c r="H456" s="638">
        <v>10</v>
      </c>
      <c r="I456" s="638">
        <v>180</v>
      </c>
      <c r="J456" s="639">
        <f t="shared" si="49"/>
        <v>-1339200</v>
      </c>
      <c r="K456" s="750">
        <v>55.7</v>
      </c>
      <c r="L456" s="608">
        <f t="shared" si="50"/>
        <v>414408</v>
      </c>
      <c r="M456" s="751">
        <f t="shared" si="51"/>
        <v>-924792</v>
      </c>
      <c r="N456" s="752">
        <v>55.7</v>
      </c>
      <c r="O456" s="609">
        <f t="shared" si="52"/>
        <v>414408</v>
      </c>
      <c r="P456" s="703">
        <f t="shared" si="53"/>
        <v>-924792</v>
      </c>
      <c r="Q456" s="752">
        <v>78.400653594793155</v>
      </c>
      <c r="R456" s="609">
        <f t="shared" si="54"/>
        <v>583300.86274526105</v>
      </c>
      <c r="S456" s="703">
        <f t="shared" si="55"/>
        <v>-755899.13725473895</v>
      </c>
      <c r="T456" s="697" t="s">
        <v>54</v>
      </c>
    </row>
    <row r="457" spans="1:20" x14ac:dyDescent="0.25">
      <c r="A457" s="690"/>
      <c r="B457" s="697" t="s">
        <v>971</v>
      </c>
      <c r="C457" s="547" t="s">
        <v>40</v>
      </c>
      <c r="D457" s="683">
        <v>44621</v>
      </c>
      <c r="E457" s="547">
        <v>744</v>
      </c>
      <c r="F457" s="547" t="s">
        <v>3</v>
      </c>
      <c r="G457" s="727" t="s">
        <v>44</v>
      </c>
      <c r="H457" s="638">
        <v>1</v>
      </c>
      <c r="I457" s="638">
        <v>124</v>
      </c>
      <c r="J457" s="639">
        <f t="shared" si="49"/>
        <v>-92256</v>
      </c>
      <c r="K457" s="750">
        <v>55.7</v>
      </c>
      <c r="L457" s="608">
        <f t="shared" si="50"/>
        <v>41440.800000000003</v>
      </c>
      <c r="M457" s="751">
        <f t="shared" si="51"/>
        <v>-50815.199999999997</v>
      </c>
      <c r="N457" s="752">
        <v>55.7</v>
      </c>
      <c r="O457" s="609">
        <f t="shared" si="52"/>
        <v>41440.800000000003</v>
      </c>
      <c r="P457" s="703">
        <f t="shared" si="53"/>
        <v>-50815.199999999997</v>
      </c>
      <c r="Q457" s="752">
        <v>55.7</v>
      </c>
      <c r="R457" s="609">
        <f t="shared" si="54"/>
        <v>41440.800000000003</v>
      </c>
      <c r="S457" s="703">
        <f t="shared" si="55"/>
        <v>-50815.199999999997</v>
      </c>
      <c r="T457" s="697" t="s">
        <v>54</v>
      </c>
    </row>
    <row r="458" spans="1:20" x14ac:dyDescent="0.25">
      <c r="A458" s="690"/>
      <c r="B458" s="697" t="s">
        <v>973</v>
      </c>
      <c r="C458" s="547" t="s">
        <v>40</v>
      </c>
      <c r="D458" s="683">
        <v>44652</v>
      </c>
      <c r="E458" s="547">
        <v>720</v>
      </c>
      <c r="F458" s="547" t="s">
        <v>3</v>
      </c>
      <c r="G458" s="727" t="s">
        <v>44</v>
      </c>
      <c r="H458" s="638">
        <v>0.6</v>
      </c>
      <c r="I458" s="638">
        <v>124</v>
      </c>
      <c r="J458" s="639">
        <f t="shared" si="49"/>
        <v>-53568</v>
      </c>
      <c r="K458" s="750">
        <v>55.7</v>
      </c>
      <c r="L458" s="608">
        <f t="shared" si="50"/>
        <v>24062.400000000001</v>
      </c>
      <c r="M458" s="751">
        <f t="shared" si="51"/>
        <v>-29505.599999999999</v>
      </c>
      <c r="N458" s="752">
        <v>55.7</v>
      </c>
      <c r="O458" s="609">
        <f t="shared" si="52"/>
        <v>24062.400000000001</v>
      </c>
      <c r="P458" s="703">
        <f t="shared" si="53"/>
        <v>-29505.599999999999</v>
      </c>
      <c r="Q458" s="752">
        <v>55.7</v>
      </c>
      <c r="R458" s="609">
        <f t="shared" si="54"/>
        <v>24062.400000000001</v>
      </c>
      <c r="S458" s="703">
        <f t="shared" si="55"/>
        <v>-29505.599999999999</v>
      </c>
      <c r="T458" s="697" t="s">
        <v>54</v>
      </c>
    </row>
    <row r="459" spans="1:20" x14ac:dyDescent="0.25">
      <c r="A459" s="690"/>
      <c r="B459" s="697" t="s">
        <v>975</v>
      </c>
      <c r="C459" s="547" t="s">
        <v>40</v>
      </c>
      <c r="D459" s="683">
        <v>44621</v>
      </c>
      <c r="E459" s="547">
        <v>744</v>
      </c>
      <c r="F459" s="547" t="s">
        <v>3</v>
      </c>
      <c r="G459" s="727" t="s">
        <v>44</v>
      </c>
      <c r="H459" s="638">
        <v>3</v>
      </c>
      <c r="I459" s="638">
        <v>121</v>
      </c>
      <c r="J459" s="639">
        <f t="shared" si="49"/>
        <v>-270072</v>
      </c>
      <c r="K459" s="750">
        <v>55.7</v>
      </c>
      <c r="L459" s="608">
        <f t="shared" si="50"/>
        <v>124322.40000000001</v>
      </c>
      <c r="M459" s="751">
        <f t="shared" si="51"/>
        <v>-145749.59999999998</v>
      </c>
      <c r="N459" s="752">
        <v>55.7</v>
      </c>
      <c r="O459" s="609">
        <f t="shared" si="52"/>
        <v>124322.40000000001</v>
      </c>
      <c r="P459" s="703">
        <f t="shared" si="53"/>
        <v>-145749.59999999998</v>
      </c>
      <c r="Q459" s="752">
        <v>55.7</v>
      </c>
      <c r="R459" s="609">
        <f t="shared" si="54"/>
        <v>124322.40000000001</v>
      </c>
      <c r="S459" s="703">
        <f t="shared" si="55"/>
        <v>-145749.59999999998</v>
      </c>
      <c r="T459" s="697" t="s">
        <v>54</v>
      </c>
    </row>
    <row r="460" spans="1:20" x14ac:dyDescent="0.25">
      <c r="A460" s="690"/>
      <c r="B460" s="697" t="s">
        <v>977</v>
      </c>
      <c r="C460" s="547" t="s">
        <v>40</v>
      </c>
      <c r="D460" s="683">
        <v>44621</v>
      </c>
      <c r="E460" s="547">
        <v>744</v>
      </c>
      <c r="F460" s="547" t="s">
        <v>3</v>
      </c>
      <c r="G460" s="727" t="s">
        <v>44</v>
      </c>
      <c r="H460" s="638">
        <v>5</v>
      </c>
      <c r="I460" s="638">
        <v>120</v>
      </c>
      <c r="J460" s="639">
        <f t="shared" si="49"/>
        <v>-446400</v>
      </c>
      <c r="K460" s="750">
        <v>55.7</v>
      </c>
      <c r="L460" s="608">
        <f t="shared" si="50"/>
        <v>207204</v>
      </c>
      <c r="M460" s="751">
        <f t="shared" si="51"/>
        <v>-239196</v>
      </c>
      <c r="N460" s="752">
        <v>55.7</v>
      </c>
      <c r="O460" s="609">
        <f t="shared" si="52"/>
        <v>207204</v>
      </c>
      <c r="P460" s="703">
        <f t="shared" si="53"/>
        <v>-239196</v>
      </c>
      <c r="Q460" s="752">
        <v>55.7</v>
      </c>
      <c r="R460" s="609">
        <f t="shared" si="54"/>
        <v>207204</v>
      </c>
      <c r="S460" s="703">
        <f t="shared" si="55"/>
        <v>-239196</v>
      </c>
      <c r="T460" s="697" t="s">
        <v>54</v>
      </c>
    </row>
    <row r="461" spans="1:20" x14ac:dyDescent="0.25">
      <c r="A461" s="690"/>
      <c r="B461" s="697" t="s">
        <v>982</v>
      </c>
      <c r="C461" s="547" t="s">
        <v>40</v>
      </c>
      <c r="D461" s="683">
        <v>44621</v>
      </c>
      <c r="E461" s="547">
        <v>744</v>
      </c>
      <c r="F461" s="547" t="s">
        <v>3</v>
      </c>
      <c r="G461" s="727" t="s">
        <v>44</v>
      </c>
      <c r="H461" s="638">
        <v>1</v>
      </c>
      <c r="I461" s="638">
        <v>125</v>
      </c>
      <c r="J461" s="639">
        <f t="shared" si="49"/>
        <v>-93000</v>
      </c>
      <c r="K461" s="750">
        <v>55.7</v>
      </c>
      <c r="L461" s="608">
        <f t="shared" si="50"/>
        <v>41440.800000000003</v>
      </c>
      <c r="M461" s="751">
        <f t="shared" si="51"/>
        <v>-51559.199999999997</v>
      </c>
      <c r="N461" s="752">
        <v>55.7</v>
      </c>
      <c r="O461" s="609">
        <f t="shared" si="52"/>
        <v>41440.800000000003</v>
      </c>
      <c r="P461" s="703">
        <f t="shared" si="53"/>
        <v>-51559.199999999997</v>
      </c>
      <c r="Q461" s="752">
        <v>55.7</v>
      </c>
      <c r="R461" s="609">
        <f t="shared" si="54"/>
        <v>41440.800000000003</v>
      </c>
      <c r="S461" s="703">
        <f t="shared" si="55"/>
        <v>-51559.199999999997</v>
      </c>
      <c r="T461" s="697" t="s">
        <v>54</v>
      </c>
    </row>
    <row r="462" spans="1:20" x14ac:dyDescent="0.25">
      <c r="A462" s="690"/>
      <c r="B462" s="697" t="s">
        <v>984</v>
      </c>
      <c r="C462" s="547" t="s">
        <v>40</v>
      </c>
      <c r="D462" s="683">
        <v>44621</v>
      </c>
      <c r="E462" s="547">
        <v>744</v>
      </c>
      <c r="F462" s="547" t="s">
        <v>3</v>
      </c>
      <c r="G462" s="727" t="s">
        <v>44</v>
      </c>
      <c r="H462" s="638">
        <v>5</v>
      </c>
      <c r="I462" s="638">
        <v>123</v>
      </c>
      <c r="J462" s="639">
        <f t="shared" si="49"/>
        <v>-457560</v>
      </c>
      <c r="K462" s="750">
        <v>55.7</v>
      </c>
      <c r="L462" s="608">
        <f t="shared" si="50"/>
        <v>207204</v>
      </c>
      <c r="M462" s="751">
        <f t="shared" si="51"/>
        <v>-250356</v>
      </c>
      <c r="N462" s="752">
        <v>55.7</v>
      </c>
      <c r="O462" s="609">
        <f t="shared" si="52"/>
        <v>207204</v>
      </c>
      <c r="P462" s="703">
        <f t="shared" si="53"/>
        <v>-250356</v>
      </c>
      <c r="Q462" s="752">
        <v>55.7</v>
      </c>
      <c r="R462" s="609">
        <f t="shared" si="54"/>
        <v>207204</v>
      </c>
      <c r="S462" s="703">
        <f t="shared" si="55"/>
        <v>-250356</v>
      </c>
      <c r="T462" s="697" t="s">
        <v>54</v>
      </c>
    </row>
    <row r="463" spans="1:20" x14ac:dyDescent="0.25">
      <c r="A463" s="690"/>
      <c r="B463" s="697" t="s">
        <v>1001</v>
      </c>
      <c r="C463" s="547" t="s">
        <v>40</v>
      </c>
      <c r="D463" s="683">
        <v>44652</v>
      </c>
      <c r="E463" s="547">
        <v>720</v>
      </c>
      <c r="F463" s="547" t="s">
        <v>3</v>
      </c>
      <c r="G463" s="727" t="s">
        <v>44</v>
      </c>
      <c r="H463" s="638">
        <v>20</v>
      </c>
      <c r="I463" s="638">
        <v>132</v>
      </c>
      <c r="J463" s="639">
        <f t="shared" si="49"/>
        <v>-1900800</v>
      </c>
      <c r="K463" s="750">
        <v>55.7</v>
      </c>
      <c r="L463" s="608">
        <f t="shared" si="50"/>
        <v>802080</v>
      </c>
      <c r="M463" s="751">
        <f t="shared" si="51"/>
        <v>-1098720</v>
      </c>
      <c r="N463" s="752">
        <v>55.7</v>
      </c>
      <c r="O463" s="609">
        <f t="shared" si="52"/>
        <v>802080</v>
      </c>
      <c r="P463" s="703">
        <f t="shared" si="53"/>
        <v>-1098720</v>
      </c>
      <c r="Q463" s="752">
        <v>55.7</v>
      </c>
      <c r="R463" s="609">
        <f t="shared" si="54"/>
        <v>802080</v>
      </c>
      <c r="S463" s="703">
        <f t="shared" si="55"/>
        <v>-1098720</v>
      </c>
      <c r="T463" s="697" t="s">
        <v>54</v>
      </c>
    </row>
    <row r="464" spans="1:20" x14ac:dyDescent="0.25">
      <c r="A464" s="690"/>
      <c r="B464" s="697" t="s">
        <v>1003</v>
      </c>
      <c r="C464" s="547" t="s">
        <v>40</v>
      </c>
      <c r="D464" s="683">
        <v>44774</v>
      </c>
      <c r="E464" s="547">
        <v>744</v>
      </c>
      <c r="F464" s="547" t="s">
        <v>3</v>
      </c>
      <c r="G464" s="727" t="s">
        <v>44</v>
      </c>
      <c r="H464" s="638">
        <v>-5</v>
      </c>
      <c r="I464" s="638">
        <v>245</v>
      </c>
      <c r="J464" s="639">
        <f t="shared" si="49"/>
        <v>911400</v>
      </c>
      <c r="K464" s="750">
        <v>76.900000000000006</v>
      </c>
      <c r="L464" s="608">
        <f t="shared" si="50"/>
        <v>-286068</v>
      </c>
      <c r="M464" s="751">
        <f t="shared" si="51"/>
        <v>625332</v>
      </c>
      <c r="N464" s="752">
        <v>76.900000000000006</v>
      </c>
      <c r="O464" s="609">
        <f t="shared" si="52"/>
        <v>-286068</v>
      </c>
      <c r="P464" s="703">
        <f t="shared" si="53"/>
        <v>625332</v>
      </c>
      <c r="Q464" s="752">
        <v>76.900000000000006</v>
      </c>
      <c r="R464" s="609">
        <f t="shared" si="54"/>
        <v>-286068</v>
      </c>
      <c r="S464" s="703">
        <f t="shared" si="55"/>
        <v>625332</v>
      </c>
      <c r="T464" s="697" t="s">
        <v>54</v>
      </c>
    </row>
    <row r="465" spans="1:20" x14ac:dyDescent="0.25">
      <c r="A465" s="690"/>
      <c r="B465" s="697" t="s">
        <v>1005</v>
      </c>
      <c r="C465" s="547" t="s">
        <v>40</v>
      </c>
      <c r="D465" s="683">
        <v>44805</v>
      </c>
      <c r="E465" s="547">
        <v>720</v>
      </c>
      <c r="F465" s="547" t="s">
        <v>3</v>
      </c>
      <c r="G465" s="727" t="s">
        <v>44</v>
      </c>
      <c r="H465" s="638">
        <v>-15</v>
      </c>
      <c r="I465" s="638">
        <v>245</v>
      </c>
      <c r="J465" s="639">
        <f t="shared" si="49"/>
        <v>2646000</v>
      </c>
      <c r="K465" s="750">
        <v>56.08</v>
      </c>
      <c r="L465" s="608">
        <f t="shared" si="50"/>
        <v>-605664</v>
      </c>
      <c r="M465" s="751">
        <f t="shared" si="51"/>
        <v>2040336</v>
      </c>
      <c r="N465" s="752">
        <v>56.08</v>
      </c>
      <c r="O465" s="609">
        <f t="shared" si="52"/>
        <v>-605664</v>
      </c>
      <c r="P465" s="703">
        <f t="shared" si="53"/>
        <v>2040336</v>
      </c>
      <c r="Q465" s="752">
        <v>56.08</v>
      </c>
      <c r="R465" s="609">
        <f t="shared" si="54"/>
        <v>-605664</v>
      </c>
      <c r="S465" s="703">
        <f t="shared" si="55"/>
        <v>2040336</v>
      </c>
      <c r="T465" s="697" t="s">
        <v>54</v>
      </c>
    </row>
    <row r="466" spans="1:20" x14ac:dyDescent="0.25">
      <c r="A466" s="690"/>
      <c r="B466" s="697" t="s">
        <v>1007</v>
      </c>
      <c r="C466" s="547" t="s">
        <v>40</v>
      </c>
      <c r="D466" s="683">
        <v>44805</v>
      </c>
      <c r="E466" s="547">
        <v>720</v>
      </c>
      <c r="F466" s="547" t="s">
        <v>3</v>
      </c>
      <c r="G466" s="727" t="s">
        <v>44</v>
      </c>
      <c r="H466" s="638">
        <v>-5</v>
      </c>
      <c r="I466" s="638">
        <v>244</v>
      </c>
      <c r="J466" s="639">
        <f t="shared" si="49"/>
        <v>878400</v>
      </c>
      <c r="K466" s="750">
        <v>56.08</v>
      </c>
      <c r="L466" s="608">
        <f t="shared" si="50"/>
        <v>-201888</v>
      </c>
      <c r="M466" s="751">
        <f t="shared" si="51"/>
        <v>676512</v>
      </c>
      <c r="N466" s="752">
        <v>56.08</v>
      </c>
      <c r="O466" s="609">
        <f t="shared" si="52"/>
        <v>-201888</v>
      </c>
      <c r="P466" s="703">
        <f t="shared" si="53"/>
        <v>676512</v>
      </c>
      <c r="Q466" s="752">
        <v>56.08</v>
      </c>
      <c r="R466" s="609">
        <f t="shared" si="54"/>
        <v>-201888</v>
      </c>
      <c r="S466" s="703">
        <f t="shared" si="55"/>
        <v>676512</v>
      </c>
      <c r="T466" s="697" t="s">
        <v>54</v>
      </c>
    </row>
    <row r="467" spans="1:20" x14ac:dyDescent="0.25">
      <c r="A467" s="690"/>
      <c r="B467" s="697" t="s">
        <v>1009</v>
      </c>
      <c r="C467" s="547" t="s">
        <v>40</v>
      </c>
      <c r="D467" s="683">
        <v>44621</v>
      </c>
      <c r="E467" s="547">
        <v>744</v>
      </c>
      <c r="F467" s="547" t="s">
        <v>3</v>
      </c>
      <c r="G467" s="727" t="s">
        <v>44</v>
      </c>
      <c r="H467" s="638">
        <v>3</v>
      </c>
      <c r="I467" s="638">
        <v>133</v>
      </c>
      <c r="J467" s="639">
        <f t="shared" si="49"/>
        <v>-296856</v>
      </c>
      <c r="K467" s="750">
        <v>55.7</v>
      </c>
      <c r="L467" s="608">
        <f t="shared" si="50"/>
        <v>124322.40000000001</v>
      </c>
      <c r="M467" s="751">
        <f t="shared" si="51"/>
        <v>-172533.59999999998</v>
      </c>
      <c r="N467" s="752">
        <v>55.7</v>
      </c>
      <c r="O467" s="609">
        <f t="shared" si="52"/>
        <v>124322.40000000001</v>
      </c>
      <c r="P467" s="703">
        <f t="shared" si="53"/>
        <v>-172533.59999999998</v>
      </c>
      <c r="Q467" s="752">
        <v>55.7</v>
      </c>
      <c r="R467" s="609">
        <f t="shared" si="54"/>
        <v>124322.40000000001</v>
      </c>
      <c r="S467" s="703">
        <f t="shared" si="55"/>
        <v>-172533.59999999998</v>
      </c>
      <c r="T467" s="697" t="s">
        <v>54</v>
      </c>
    </row>
    <row r="468" spans="1:20" x14ac:dyDescent="0.25">
      <c r="A468" s="690"/>
      <c r="B468" s="697" t="s">
        <v>1011</v>
      </c>
      <c r="C468" s="547" t="s">
        <v>40</v>
      </c>
      <c r="D468" s="683">
        <v>44774</v>
      </c>
      <c r="E468" s="547">
        <v>744</v>
      </c>
      <c r="F468" s="547" t="s">
        <v>3</v>
      </c>
      <c r="G468" s="727" t="s">
        <v>44</v>
      </c>
      <c r="H468" s="638">
        <v>-5</v>
      </c>
      <c r="I468" s="638">
        <v>244</v>
      </c>
      <c r="J468" s="639">
        <f t="shared" si="49"/>
        <v>907680</v>
      </c>
      <c r="K468" s="750">
        <v>76.900000000000006</v>
      </c>
      <c r="L468" s="608">
        <f t="shared" si="50"/>
        <v>-286068</v>
      </c>
      <c r="M468" s="751">
        <f t="shared" si="51"/>
        <v>621612</v>
      </c>
      <c r="N468" s="752">
        <v>76.900000000000006</v>
      </c>
      <c r="O468" s="609">
        <f t="shared" si="52"/>
        <v>-286068</v>
      </c>
      <c r="P468" s="703">
        <f t="shared" si="53"/>
        <v>621612</v>
      </c>
      <c r="Q468" s="752">
        <v>76.900000000000006</v>
      </c>
      <c r="R468" s="609">
        <f t="shared" si="54"/>
        <v>-286068</v>
      </c>
      <c r="S468" s="703">
        <f t="shared" si="55"/>
        <v>621612</v>
      </c>
      <c r="T468" s="697" t="s">
        <v>54</v>
      </c>
    </row>
    <row r="469" spans="1:20" x14ac:dyDescent="0.25">
      <c r="A469" s="690"/>
      <c r="B469" s="697" t="s">
        <v>1013</v>
      </c>
      <c r="C469" s="547" t="s">
        <v>40</v>
      </c>
      <c r="D469" s="683">
        <v>44682</v>
      </c>
      <c r="E469" s="547">
        <v>744</v>
      </c>
      <c r="F469" s="547" t="s">
        <v>3</v>
      </c>
      <c r="G469" s="727" t="s">
        <v>44</v>
      </c>
      <c r="H469" s="638">
        <v>5</v>
      </c>
      <c r="I469" s="638">
        <v>145</v>
      </c>
      <c r="J469" s="639">
        <f t="shared" si="49"/>
        <v>-539400</v>
      </c>
      <c r="K469" s="750">
        <v>55.7</v>
      </c>
      <c r="L469" s="608">
        <f t="shared" si="50"/>
        <v>207204</v>
      </c>
      <c r="M469" s="751">
        <f t="shared" si="51"/>
        <v>-332196</v>
      </c>
      <c r="N469" s="752">
        <v>55.7</v>
      </c>
      <c r="O469" s="609">
        <f t="shared" si="52"/>
        <v>207204</v>
      </c>
      <c r="P469" s="703">
        <f t="shared" si="53"/>
        <v>-332196</v>
      </c>
      <c r="Q469" s="752">
        <v>55.7</v>
      </c>
      <c r="R469" s="609">
        <f t="shared" si="54"/>
        <v>207204</v>
      </c>
      <c r="S469" s="703">
        <f t="shared" si="55"/>
        <v>-332196</v>
      </c>
      <c r="T469" s="697" t="s">
        <v>54</v>
      </c>
    </row>
    <row r="470" spans="1:20" x14ac:dyDescent="0.25">
      <c r="A470" s="690"/>
      <c r="B470" s="697" t="s">
        <v>1015</v>
      </c>
      <c r="C470" s="547" t="s">
        <v>40</v>
      </c>
      <c r="D470" s="683">
        <v>44652</v>
      </c>
      <c r="E470" s="547">
        <v>720</v>
      </c>
      <c r="F470" s="547" t="s">
        <v>3</v>
      </c>
      <c r="G470" s="727" t="s">
        <v>44</v>
      </c>
      <c r="H470" s="638">
        <v>5</v>
      </c>
      <c r="I470" s="638">
        <v>132</v>
      </c>
      <c r="J470" s="639">
        <f t="shared" si="49"/>
        <v>-475200</v>
      </c>
      <c r="K470" s="750">
        <v>55.7</v>
      </c>
      <c r="L470" s="608">
        <f t="shared" si="50"/>
        <v>200520</v>
      </c>
      <c r="M470" s="751">
        <f t="shared" si="51"/>
        <v>-274680</v>
      </c>
      <c r="N470" s="752">
        <v>55.7</v>
      </c>
      <c r="O470" s="609">
        <f t="shared" si="52"/>
        <v>200520</v>
      </c>
      <c r="P470" s="703">
        <f t="shared" si="53"/>
        <v>-274680</v>
      </c>
      <c r="Q470" s="752">
        <v>55.7</v>
      </c>
      <c r="R470" s="609">
        <f t="shared" si="54"/>
        <v>200520</v>
      </c>
      <c r="S470" s="703">
        <f t="shared" si="55"/>
        <v>-274680</v>
      </c>
      <c r="T470" s="697" t="s">
        <v>54</v>
      </c>
    </row>
    <row r="471" spans="1:20" x14ac:dyDescent="0.25">
      <c r="A471" s="690"/>
      <c r="B471" s="697" t="s">
        <v>1017</v>
      </c>
      <c r="C471" s="547" t="s">
        <v>40</v>
      </c>
      <c r="D471" s="683">
        <v>44774</v>
      </c>
      <c r="E471" s="547">
        <v>744</v>
      </c>
      <c r="F471" s="547" t="s">
        <v>3</v>
      </c>
      <c r="G471" s="727" t="s">
        <v>44</v>
      </c>
      <c r="H471" s="638">
        <v>-8</v>
      </c>
      <c r="I471" s="638">
        <v>242</v>
      </c>
      <c r="J471" s="639">
        <f t="shared" si="49"/>
        <v>1440384</v>
      </c>
      <c r="K471" s="750">
        <v>76.900000000000006</v>
      </c>
      <c r="L471" s="608">
        <f t="shared" si="50"/>
        <v>-457708.80000000005</v>
      </c>
      <c r="M471" s="751">
        <f t="shared" si="51"/>
        <v>982675.2</v>
      </c>
      <c r="N471" s="752">
        <v>76.900000000000006</v>
      </c>
      <c r="O471" s="609">
        <f t="shared" si="52"/>
        <v>-457708.80000000005</v>
      </c>
      <c r="P471" s="703">
        <f t="shared" si="53"/>
        <v>982675.2</v>
      </c>
      <c r="Q471" s="752">
        <v>76.900000000000006</v>
      </c>
      <c r="R471" s="609">
        <f t="shared" si="54"/>
        <v>-457708.80000000005</v>
      </c>
      <c r="S471" s="703">
        <f t="shared" si="55"/>
        <v>982675.2</v>
      </c>
      <c r="T471" s="697" t="s">
        <v>54</v>
      </c>
    </row>
    <row r="472" spans="1:20" x14ac:dyDescent="0.25">
      <c r="A472" s="690"/>
      <c r="B472" s="697" t="s">
        <v>1019</v>
      </c>
      <c r="C472" s="547" t="s">
        <v>40</v>
      </c>
      <c r="D472" s="683">
        <v>44805</v>
      </c>
      <c r="E472" s="547">
        <v>720</v>
      </c>
      <c r="F472" s="547" t="s">
        <v>3</v>
      </c>
      <c r="G472" s="727" t="s">
        <v>44</v>
      </c>
      <c r="H472" s="638">
        <v>-8.266667</v>
      </c>
      <c r="I472" s="638">
        <v>242</v>
      </c>
      <c r="J472" s="639">
        <f t="shared" si="49"/>
        <v>1440384.0580800001</v>
      </c>
      <c r="K472" s="750">
        <v>56.08</v>
      </c>
      <c r="L472" s="608">
        <f t="shared" si="50"/>
        <v>-333788.17345920001</v>
      </c>
      <c r="M472" s="751">
        <f t="shared" si="51"/>
        <v>1106595.8846208001</v>
      </c>
      <c r="N472" s="752">
        <v>56.08</v>
      </c>
      <c r="O472" s="609">
        <f t="shared" si="52"/>
        <v>-333788.17345920001</v>
      </c>
      <c r="P472" s="703">
        <f t="shared" si="53"/>
        <v>1106595.8846208001</v>
      </c>
      <c r="Q472" s="752">
        <v>56.08</v>
      </c>
      <c r="R472" s="609">
        <f t="shared" si="54"/>
        <v>-333788.17345920001</v>
      </c>
      <c r="S472" s="703">
        <f t="shared" si="55"/>
        <v>1106595.8846208001</v>
      </c>
      <c r="T472" s="697" t="s">
        <v>54</v>
      </c>
    </row>
    <row r="473" spans="1:20" x14ac:dyDescent="0.25">
      <c r="A473" s="690"/>
      <c r="B473" s="697" t="s">
        <v>1021</v>
      </c>
      <c r="C473" s="547" t="s">
        <v>40</v>
      </c>
      <c r="D473" s="683">
        <v>44621</v>
      </c>
      <c r="E473" s="547">
        <v>744</v>
      </c>
      <c r="F473" s="547" t="s">
        <v>3</v>
      </c>
      <c r="G473" s="727" t="s">
        <v>44</v>
      </c>
      <c r="H473" s="638">
        <v>16</v>
      </c>
      <c r="I473" s="638">
        <v>130</v>
      </c>
      <c r="J473" s="639">
        <f t="shared" si="49"/>
        <v>-1547520</v>
      </c>
      <c r="K473" s="750">
        <v>55.7</v>
      </c>
      <c r="L473" s="608">
        <f t="shared" si="50"/>
        <v>663052.80000000005</v>
      </c>
      <c r="M473" s="751">
        <f t="shared" si="51"/>
        <v>-884467.19999999995</v>
      </c>
      <c r="N473" s="752">
        <v>55.7</v>
      </c>
      <c r="O473" s="609">
        <f t="shared" si="52"/>
        <v>663052.80000000005</v>
      </c>
      <c r="P473" s="703">
        <f t="shared" si="53"/>
        <v>-884467.19999999995</v>
      </c>
      <c r="Q473" s="752">
        <v>55.7</v>
      </c>
      <c r="R473" s="609">
        <f t="shared" si="54"/>
        <v>663052.80000000005</v>
      </c>
      <c r="S473" s="703">
        <f t="shared" si="55"/>
        <v>-884467.19999999995</v>
      </c>
      <c r="T473" s="697" t="s">
        <v>54</v>
      </c>
    </row>
    <row r="474" spans="1:20" x14ac:dyDescent="0.25">
      <c r="A474" s="690"/>
      <c r="B474" s="697" t="s">
        <v>1023</v>
      </c>
      <c r="C474" s="547" t="s">
        <v>40</v>
      </c>
      <c r="D474" s="683">
        <v>44682</v>
      </c>
      <c r="E474" s="547">
        <v>744</v>
      </c>
      <c r="F474" s="547" t="s">
        <v>3</v>
      </c>
      <c r="G474" s="727" t="s">
        <v>44</v>
      </c>
      <c r="H474" s="638">
        <v>2</v>
      </c>
      <c r="I474" s="638">
        <v>145</v>
      </c>
      <c r="J474" s="639">
        <f t="shared" si="49"/>
        <v>-215760</v>
      </c>
      <c r="K474" s="750">
        <v>55.7</v>
      </c>
      <c r="L474" s="608">
        <f t="shared" si="50"/>
        <v>82881.600000000006</v>
      </c>
      <c r="M474" s="751">
        <f t="shared" si="51"/>
        <v>-132878.39999999999</v>
      </c>
      <c r="N474" s="752">
        <v>55.7</v>
      </c>
      <c r="O474" s="609">
        <f t="shared" si="52"/>
        <v>82881.600000000006</v>
      </c>
      <c r="P474" s="703">
        <f t="shared" si="53"/>
        <v>-132878.39999999999</v>
      </c>
      <c r="Q474" s="752">
        <v>55.7</v>
      </c>
      <c r="R474" s="609">
        <f t="shared" si="54"/>
        <v>82881.600000000006</v>
      </c>
      <c r="S474" s="703">
        <f t="shared" si="55"/>
        <v>-132878.39999999999</v>
      </c>
      <c r="T474" s="697" t="s">
        <v>54</v>
      </c>
    </row>
    <row r="475" spans="1:20" x14ac:dyDescent="0.25">
      <c r="A475" s="690"/>
      <c r="B475" s="697" t="s">
        <v>1025</v>
      </c>
      <c r="C475" s="547" t="s">
        <v>40</v>
      </c>
      <c r="D475" s="683">
        <v>44896</v>
      </c>
      <c r="E475" s="547">
        <v>744</v>
      </c>
      <c r="F475" s="547" t="s">
        <v>3</v>
      </c>
      <c r="G475" s="727" t="s">
        <v>44</v>
      </c>
      <c r="H475" s="638">
        <v>15</v>
      </c>
      <c r="I475" s="638">
        <v>185</v>
      </c>
      <c r="J475" s="639">
        <f t="shared" si="49"/>
        <v>-2064600</v>
      </c>
      <c r="K475" s="750">
        <v>55.7</v>
      </c>
      <c r="L475" s="608">
        <f t="shared" si="50"/>
        <v>621612</v>
      </c>
      <c r="M475" s="751">
        <f t="shared" si="51"/>
        <v>-1442988</v>
      </c>
      <c r="N475" s="752">
        <v>55.7</v>
      </c>
      <c r="O475" s="609">
        <f t="shared" si="52"/>
        <v>621612</v>
      </c>
      <c r="P475" s="703">
        <f t="shared" si="53"/>
        <v>-1442988</v>
      </c>
      <c r="Q475" s="752">
        <v>78.400653594793155</v>
      </c>
      <c r="R475" s="609">
        <f t="shared" si="54"/>
        <v>874951.29411789158</v>
      </c>
      <c r="S475" s="703">
        <f t="shared" si="55"/>
        <v>-1189648.7058821083</v>
      </c>
      <c r="T475" s="697" t="s">
        <v>54</v>
      </c>
    </row>
    <row r="476" spans="1:20" x14ac:dyDescent="0.25">
      <c r="A476" s="690"/>
      <c r="B476" s="697" t="s">
        <v>1027</v>
      </c>
      <c r="C476" s="547" t="s">
        <v>40</v>
      </c>
      <c r="D476" s="683">
        <v>44713</v>
      </c>
      <c r="E476" s="547">
        <v>720</v>
      </c>
      <c r="F476" s="547" t="s">
        <v>3</v>
      </c>
      <c r="G476" s="727" t="s">
        <v>44</v>
      </c>
      <c r="H476" s="638">
        <v>-15</v>
      </c>
      <c r="I476" s="638">
        <v>173</v>
      </c>
      <c r="J476" s="639">
        <f t="shared" si="49"/>
        <v>1868400</v>
      </c>
      <c r="K476" s="750">
        <v>55.71</v>
      </c>
      <c r="L476" s="608">
        <f t="shared" si="50"/>
        <v>-601668</v>
      </c>
      <c r="M476" s="751">
        <f t="shared" si="51"/>
        <v>1266732</v>
      </c>
      <c r="N476" s="752">
        <v>55.71</v>
      </c>
      <c r="O476" s="609">
        <f t="shared" si="52"/>
        <v>-601668</v>
      </c>
      <c r="P476" s="703">
        <f t="shared" si="53"/>
        <v>1266732</v>
      </c>
      <c r="Q476" s="752">
        <v>55.71</v>
      </c>
      <c r="R476" s="609">
        <f t="shared" si="54"/>
        <v>-601668</v>
      </c>
      <c r="S476" s="703">
        <f t="shared" si="55"/>
        <v>1266732</v>
      </c>
      <c r="T476" s="697" t="s">
        <v>54</v>
      </c>
    </row>
    <row r="477" spans="1:20" x14ac:dyDescent="0.25">
      <c r="A477" s="690"/>
      <c r="B477" s="697" t="s">
        <v>1029</v>
      </c>
      <c r="C477" s="547" t="s">
        <v>40</v>
      </c>
      <c r="D477" s="683">
        <v>44562</v>
      </c>
      <c r="E477" s="547">
        <v>744</v>
      </c>
      <c r="F477" s="547" t="s">
        <v>3</v>
      </c>
      <c r="G477" s="727" t="s">
        <v>44</v>
      </c>
      <c r="H477" s="638">
        <v>5.2</v>
      </c>
      <c r="I477" s="638">
        <v>65</v>
      </c>
      <c r="J477" s="639">
        <f t="shared" si="49"/>
        <v>-251472</v>
      </c>
      <c r="K477" s="750">
        <v>62.91</v>
      </c>
      <c r="L477" s="608">
        <f t="shared" si="50"/>
        <v>243386.20799999998</v>
      </c>
      <c r="M477" s="751">
        <f t="shared" si="51"/>
        <v>-8085.7920000000158</v>
      </c>
      <c r="N477" s="752">
        <v>62.91</v>
      </c>
      <c r="O477" s="609">
        <f t="shared" si="52"/>
        <v>243386.20799999998</v>
      </c>
      <c r="P477" s="703">
        <f t="shared" si="53"/>
        <v>-8085.7920000000158</v>
      </c>
      <c r="Q477" s="752">
        <v>62.91</v>
      </c>
      <c r="R477" s="609">
        <f t="shared" si="54"/>
        <v>243386.20799999998</v>
      </c>
      <c r="S477" s="703">
        <f t="shared" si="55"/>
        <v>-8085.7920000000158</v>
      </c>
      <c r="T477" s="697" t="s">
        <v>54</v>
      </c>
    </row>
    <row r="478" spans="1:20" x14ac:dyDescent="0.25">
      <c r="A478" s="690"/>
      <c r="B478" s="697" t="s">
        <v>1031</v>
      </c>
      <c r="C478" s="547" t="s">
        <v>40</v>
      </c>
      <c r="D478" s="683">
        <v>44621</v>
      </c>
      <c r="E478" s="547">
        <v>744</v>
      </c>
      <c r="F478" s="547" t="s">
        <v>3</v>
      </c>
      <c r="G478" s="727" t="s">
        <v>44</v>
      </c>
      <c r="H478" s="638">
        <v>2</v>
      </c>
      <c r="I478" s="638">
        <v>130</v>
      </c>
      <c r="J478" s="639">
        <f t="shared" si="49"/>
        <v>-193440</v>
      </c>
      <c r="K478" s="750">
        <v>55.7</v>
      </c>
      <c r="L478" s="608">
        <f t="shared" si="50"/>
        <v>82881.600000000006</v>
      </c>
      <c r="M478" s="751">
        <f t="shared" si="51"/>
        <v>-110558.39999999999</v>
      </c>
      <c r="N478" s="752">
        <v>55.7</v>
      </c>
      <c r="O478" s="609">
        <f t="shared" si="52"/>
        <v>82881.600000000006</v>
      </c>
      <c r="P478" s="703">
        <f t="shared" si="53"/>
        <v>-110558.39999999999</v>
      </c>
      <c r="Q478" s="752">
        <v>55.7</v>
      </c>
      <c r="R478" s="609">
        <f t="shared" si="54"/>
        <v>82881.600000000006</v>
      </c>
      <c r="S478" s="703">
        <f t="shared" si="55"/>
        <v>-110558.39999999999</v>
      </c>
      <c r="T478" s="697" t="s">
        <v>54</v>
      </c>
    </row>
    <row r="479" spans="1:20" x14ac:dyDescent="0.25">
      <c r="A479" s="690"/>
      <c r="B479" s="697" t="s">
        <v>1051</v>
      </c>
      <c r="C479" s="547" t="s">
        <v>40</v>
      </c>
      <c r="D479" s="683">
        <v>44743</v>
      </c>
      <c r="E479" s="547">
        <v>744</v>
      </c>
      <c r="F479" s="547" t="s">
        <v>3</v>
      </c>
      <c r="G479" s="727" t="s">
        <v>44</v>
      </c>
      <c r="H479" s="638">
        <v>5</v>
      </c>
      <c r="I479" s="638">
        <v>240</v>
      </c>
      <c r="J479" s="639">
        <f t="shared" si="49"/>
        <v>-892800</v>
      </c>
      <c r="K479" s="750">
        <v>66.319999999999993</v>
      </c>
      <c r="L479" s="608">
        <f t="shared" si="50"/>
        <v>246710.39999999997</v>
      </c>
      <c r="M479" s="751">
        <f t="shared" si="51"/>
        <v>-646089.60000000009</v>
      </c>
      <c r="N479" s="752">
        <v>66.319999999999993</v>
      </c>
      <c r="O479" s="609">
        <f t="shared" si="52"/>
        <v>246710.39999999997</v>
      </c>
      <c r="P479" s="703">
        <f t="shared" si="53"/>
        <v>-646089.60000000009</v>
      </c>
      <c r="Q479" s="752">
        <v>66.319999999999993</v>
      </c>
      <c r="R479" s="609">
        <f t="shared" si="54"/>
        <v>246710.39999999997</v>
      </c>
      <c r="S479" s="703">
        <f t="shared" si="55"/>
        <v>-646089.60000000009</v>
      </c>
      <c r="T479" s="697" t="s">
        <v>54</v>
      </c>
    </row>
    <row r="480" spans="1:20" x14ac:dyDescent="0.25">
      <c r="A480" s="690"/>
      <c r="B480" s="696" t="s">
        <v>1053</v>
      </c>
      <c r="C480" s="546" t="s">
        <v>40</v>
      </c>
      <c r="D480" s="682">
        <v>44743</v>
      </c>
      <c r="E480" s="546">
        <v>744</v>
      </c>
      <c r="F480" s="546" t="s">
        <v>3</v>
      </c>
      <c r="G480" s="726" t="s">
        <v>44</v>
      </c>
      <c r="H480" s="549">
        <v>-2</v>
      </c>
      <c r="I480" s="549">
        <v>239</v>
      </c>
      <c r="J480" s="605">
        <f t="shared" si="49"/>
        <v>355632</v>
      </c>
      <c r="K480" s="746">
        <v>66.319999999999993</v>
      </c>
      <c r="L480" s="606">
        <f t="shared" si="50"/>
        <v>-98684.159999999989</v>
      </c>
      <c r="M480" s="747">
        <f t="shared" si="51"/>
        <v>256947.84000000003</v>
      </c>
      <c r="N480" s="748">
        <v>66.319999999999993</v>
      </c>
      <c r="O480" s="607">
        <f t="shared" si="52"/>
        <v>-98684.159999999989</v>
      </c>
      <c r="P480" s="702">
        <f t="shared" si="53"/>
        <v>256947.84000000003</v>
      </c>
      <c r="Q480" s="748">
        <v>66.319999999999993</v>
      </c>
      <c r="R480" s="607">
        <f t="shared" si="54"/>
        <v>-98684.159999999989</v>
      </c>
      <c r="S480" s="702">
        <f t="shared" si="55"/>
        <v>256947.84000000003</v>
      </c>
      <c r="T480" s="696" t="s">
        <v>54</v>
      </c>
    </row>
    <row r="481" spans="1:20" x14ac:dyDescent="0.25">
      <c r="A481" s="690"/>
      <c r="B481" s="691" t="s">
        <v>1053</v>
      </c>
      <c r="C481" s="676" t="s">
        <v>40</v>
      </c>
      <c r="D481" s="680">
        <v>44774</v>
      </c>
      <c r="E481" s="676">
        <v>744</v>
      </c>
      <c r="F481" s="676" t="s">
        <v>3</v>
      </c>
      <c r="G481" s="690" t="s">
        <v>44</v>
      </c>
      <c r="H481" s="115">
        <v>-2</v>
      </c>
      <c r="I481" s="115">
        <v>239</v>
      </c>
      <c r="J481" s="601">
        <f t="shared" si="49"/>
        <v>355632</v>
      </c>
      <c r="K481" s="738">
        <v>76.900000000000006</v>
      </c>
      <c r="L481" s="677">
        <f t="shared" si="50"/>
        <v>-114427.20000000001</v>
      </c>
      <c r="M481" s="739">
        <f t="shared" si="51"/>
        <v>241204.8</v>
      </c>
      <c r="N481" s="740">
        <v>76.900000000000006</v>
      </c>
      <c r="O481" s="678">
        <f t="shared" si="52"/>
        <v>-114427.20000000001</v>
      </c>
      <c r="P481" s="700">
        <f t="shared" si="53"/>
        <v>241204.8</v>
      </c>
      <c r="Q481" s="740">
        <v>76.900000000000006</v>
      </c>
      <c r="R481" s="678">
        <f t="shared" si="54"/>
        <v>-114427.20000000001</v>
      </c>
      <c r="S481" s="700">
        <f t="shared" si="55"/>
        <v>241204.8</v>
      </c>
      <c r="T481" s="691" t="s">
        <v>54</v>
      </c>
    </row>
    <row r="482" spans="1:20" x14ac:dyDescent="0.25">
      <c r="A482" s="690"/>
      <c r="B482" s="695" t="s">
        <v>1053</v>
      </c>
      <c r="C482" s="545" t="s">
        <v>40</v>
      </c>
      <c r="D482" s="681">
        <v>44805</v>
      </c>
      <c r="E482" s="545">
        <v>720</v>
      </c>
      <c r="F482" s="545" t="s">
        <v>3</v>
      </c>
      <c r="G482" s="725" t="s">
        <v>44</v>
      </c>
      <c r="H482" s="548">
        <v>-2</v>
      </c>
      <c r="I482" s="548">
        <v>239</v>
      </c>
      <c r="J482" s="602">
        <f t="shared" si="49"/>
        <v>344160</v>
      </c>
      <c r="K482" s="742">
        <v>56.08</v>
      </c>
      <c r="L482" s="603">
        <f t="shared" si="50"/>
        <v>-80755.199999999997</v>
      </c>
      <c r="M482" s="743">
        <f t="shared" si="51"/>
        <v>263404.79999999999</v>
      </c>
      <c r="N482" s="744">
        <v>56.08</v>
      </c>
      <c r="O482" s="604">
        <f t="shared" si="52"/>
        <v>-80755.199999999997</v>
      </c>
      <c r="P482" s="701">
        <f t="shared" si="53"/>
        <v>263404.79999999999</v>
      </c>
      <c r="Q482" s="744">
        <v>56.08</v>
      </c>
      <c r="R482" s="604">
        <f t="shared" si="54"/>
        <v>-80755.199999999997</v>
      </c>
      <c r="S482" s="701">
        <f t="shared" si="55"/>
        <v>263404.79999999999</v>
      </c>
      <c r="T482" s="695" t="s">
        <v>54</v>
      </c>
    </row>
    <row r="483" spans="1:20" x14ac:dyDescent="0.25">
      <c r="A483" s="690"/>
      <c r="B483" s="696" t="s">
        <v>1055</v>
      </c>
      <c r="C483" s="546" t="s">
        <v>40</v>
      </c>
      <c r="D483" s="682">
        <v>44743</v>
      </c>
      <c r="E483" s="546">
        <v>744</v>
      </c>
      <c r="F483" s="546" t="s">
        <v>3</v>
      </c>
      <c r="G483" s="726" t="s">
        <v>44</v>
      </c>
      <c r="H483" s="549">
        <v>-3</v>
      </c>
      <c r="I483" s="549">
        <v>240</v>
      </c>
      <c r="J483" s="605">
        <f t="shared" si="49"/>
        <v>535680</v>
      </c>
      <c r="K483" s="746">
        <v>66.319999999999993</v>
      </c>
      <c r="L483" s="606">
        <f t="shared" si="50"/>
        <v>-148026.23999999999</v>
      </c>
      <c r="M483" s="747">
        <f t="shared" si="51"/>
        <v>387653.76</v>
      </c>
      <c r="N483" s="748">
        <v>66.319999999999993</v>
      </c>
      <c r="O483" s="607">
        <f t="shared" si="52"/>
        <v>-148026.23999999999</v>
      </c>
      <c r="P483" s="702">
        <f t="shared" si="53"/>
        <v>387653.76</v>
      </c>
      <c r="Q483" s="748">
        <v>66.319999999999993</v>
      </c>
      <c r="R483" s="607">
        <f t="shared" si="54"/>
        <v>-148026.23999999999</v>
      </c>
      <c r="S483" s="702">
        <f t="shared" si="55"/>
        <v>387653.76</v>
      </c>
      <c r="T483" s="696" t="s">
        <v>54</v>
      </c>
    </row>
    <row r="484" spans="1:20" x14ac:dyDescent="0.25">
      <c r="A484" s="690"/>
      <c r="B484" s="691" t="s">
        <v>1055</v>
      </c>
      <c r="C484" s="676" t="s">
        <v>40</v>
      </c>
      <c r="D484" s="680">
        <v>44774</v>
      </c>
      <c r="E484" s="676">
        <v>744</v>
      </c>
      <c r="F484" s="676" t="s">
        <v>3</v>
      </c>
      <c r="G484" s="690" t="s">
        <v>44</v>
      </c>
      <c r="H484" s="115">
        <v>-3</v>
      </c>
      <c r="I484" s="115">
        <v>240</v>
      </c>
      <c r="J484" s="601">
        <f t="shared" si="49"/>
        <v>535680</v>
      </c>
      <c r="K484" s="738">
        <v>76.900000000000006</v>
      </c>
      <c r="L484" s="677">
        <f t="shared" si="50"/>
        <v>-171640.80000000002</v>
      </c>
      <c r="M484" s="739">
        <f t="shared" si="51"/>
        <v>364039.19999999995</v>
      </c>
      <c r="N484" s="740">
        <v>76.900000000000006</v>
      </c>
      <c r="O484" s="678">
        <f t="shared" si="52"/>
        <v>-171640.80000000002</v>
      </c>
      <c r="P484" s="700">
        <f t="shared" si="53"/>
        <v>364039.19999999995</v>
      </c>
      <c r="Q484" s="740">
        <v>76.900000000000006</v>
      </c>
      <c r="R484" s="678">
        <f t="shared" si="54"/>
        <v>-171640.80000000002</v>
      </c>
      <c r="S484" s="700">
        <f t="shared" si="55"/>
        <v>364039.19999999995</v>
      </c>
      <c r="T484" s="691" t="s">
        <v>54</v>
      </c>
    </row>
    <row r="485" spans="1:20" x14ac:dyDescent="0.25">
      <c r="A485" s="690"/>
      <c r="B485" s="695" t="s">
        <v>1055</v>
      </c>
      <c r="C485" s="545" t="s">
        <v>40</v>
      </c>
      <c r="D485" s="681">
        <v>44805</v>
      </c>
      <c r="E485" s="545">
        <v>720</v>
      </c>
      <c r="F485" s="545" t="s">
        <v>3</v>
      </c>
      <c r="G485" s="725" t="s">
        <v>44</v>
      </c>
      <c r="H485" s="548">
        <v>-3</v>
      </c>
      <c r="I485" s="548">
        <v>240</v>
      </c>
      <c r="J485" s="602">
        <f t="shared" si="49"/>
        <v>518400</v>
      </c>
      <c r="K485" s="742">
        <v>56.08</v>
      </c>
      <c r="L485" s="603">
        <f t="shared" si="50"/>
        <v>-121132.8</v>
      </c>
      <c r="M485" s="743">
        <f t="shared" si="51"/>
        <v>397267.20000000001</v>
      </c>
      <c r="N485" s="744">
        <v>56.08</v>
      </c>
      <c r="O485" s="604">
        <f t="shared" si="52"/>
        <v>-121132.8</v>
      </c>
      <c r="P485" s="701">
        <f t="shared" si="53"/>
        <v>397267.20000000001</v>
      </c>
      <c r="Q485" s="744">
        <v>56.08</v>
      </c>
      <c r="R485" s="604">
        <f t="shared" si="54"/>
        <v>-121132.8</v>
      </c>
      <c r="S485" s="701">
        <f t="shared" si="55"/>
        <v>397267.20000000001</v>
      </c>
      <c r="T485" s="695" t="s">
        <v>54</v>
      </c>
    </row>
    <row r="486" spans="1:20" x14ac:dyDescent="0.25">
      <c r="A486" s="690"/>
      <c r="B486" s="697" t="s">
        <v>1057</v>
      </c>
      <c r="C486" s="547" t="s">
        <v>40</v>
      </c>
      <c r="D486" s="683">
        <v>44562</v>
      </c>
      <c r="E486" s="547">
        <v>744</v>
      </c>
      <c r="F486" s="547" t="s">
        <v>3</v>
      </c>
      <c r="G486" s="727" t="s">
        <v>44</v>
      </c>
      <c r="H486" s="638">
        <v>10</v>
      </c>
      <c r="I486" s="638">
        <v>64.5</v>
      </c>
      <c r="J486" s="639">
        <f t="shared" si="49"/>
        <v>-479880</v>
      </c>
      <c r="K486" s="750">
        <v>62.91</v>
      </c>
      <c r="L486" s="608">
        <f t="shared" si="50"/>
        <v>468050.39999999997</v>
      </c>
      <c r="M486" s="751">
        <f t="shared" si="51"/>
        <v>-11829.600000000035</v>
      </c>
      <c r="N486" s="752">
        <v>62.91</v>
      </c>
      <c r="O486" s="609">
        <f t="shared" si="52"/>
        <v>468050.39999999997</v>
      </c>
      <c r="P486" s="703">
        <f t="shared" si="53"/>
        <v>-11829.600000000035</v>
      </c>
      <c r="Q486" s="752">
        <v>62.91</v>
      </c>
      <c r="R486" s="609">
        <f t="shared" si="54"/>
        <v>468050.39999999997</v>
      </c>
      <c r="S486" s="703">
        <f t="shared" si="55"/>
        <v>-11829.600000000035</v>
      </c>
      <c r="T486" s="697" t="s">
        <v>54</v>
      </c>
    </row>
    <row r="487" spans="1:20" x14ac:dyDescent="0.25">
      <c r="A487" s="690"/>
      <c r="B487" s="697" t="s">
        <v>1059</v>
      </c>
      <c r="C487" s="547" t="s">
        <v>40</v>
      </c>
      <c r="D487" s="683">
        <v>44621</v>
      </c>
      <c r="E487" s="547">
        <v>744</v>
      </c>
      <c r="F487" s="547" t="s">
        <v>3</v>
      </c>
      <c r="G487" s="727" t="s">
        <v>44</v>
      </c>
      <c r="H487" s="638">
        <v>3</v>
      </c>
      <c r="I487" s="638">
        <v>130</v>
      </c>
      <c r="J487" s="639">
        <f t="shared" si="49"/>
        <v>-290160</v>
      </c>
      <c r="K487" s="750">
        <v>55.7</v>
      </c>
      <c r="L487" s="608">
        <f t="shared" si="50"/>
        <v>124322.40000000001</v>
      </c>
      <c r="M487" s="751">
        <f t="shared" si="51"/>
        <v>-165837.59999999998</v>
      </c>
      <c r="N487" s="752">
        <v>55.7</v>
      </c>
      <c r="O487" s="609">
        <f t="shared" si="52"/>
        <v>124322.40000000001</v>
      </c>
      <c r="P487" s="703">
        <f t="shared" si="53"/>
        <v>-165837.59999999998</v>
      </c>
      <c r="Q487" s="752">
        <v>55.7</v>
      </c>
      <c r="R487" s="609">
        <f t="shared" si="54"/>
        <v>124322.40000000001</v>
      </c>
      <c r="S487" s="703">
        <f t="shared" si="55"/>
        <v>-165837.59999999998</v>
      </c>
      <c r="T487" s="697" t="s">
        <v>54</v>
      </c>
    </row>
    <row r="488" spans="1:20" x14ac:dyDescent="0.25">
      <c r="A488" s="690"/>
      <c r="B488" s="696" t="s">
        <v>1061</v>
      </c>
      <c r="C488" s="546" t="s">
        <v>40</v>
      </c>
      <c r="D488" s="682">
        <v>44743</v>
      </c>
      <c r="E488" s="546">
        <v>744</v>
      </c>
      <c r="F488" s="546" t="s">
        <v>3</v>
      </c>
      <c r="G488" s="726" t="s">
        <v>44</v>
      </c>
      <c r="H488" s="549">
        <v>-2</v>
      </c>
      <c r="I488" s="549">
        <v>240</v>
      </c>
      <c r="J488" s="605">
        <f t="shared" si="49"/>
        <v>357120</v>
      </c>
      <c r="K488" s="746">
        <v>66.319999999999993</v>
      </c>
      <c r="L488" s="606">
        <f t="shared" si="50"/>
        <v>-98684.159999999989</v>
      </c>
      <c r="M488" s="747">
        <f t="shared" si="51"/>
        <v>258435.84000000003</v>
      </c>
      <c r="N488" s="748">
        <v>66.319999999999993</v>
      </c>
      <c r="O488" s="607">
        <f t="shared" si="52"/>
        <v>-98684.159999999989</v>
      </c>
      <c r="P488" s="702">
        <f t="shared" si="53"/>
        <v>258435.84000000003</v>
      </c>
      <c r="Q488" s="748">
        <v>66.319999999999993</v>
      </c>
      <c r="R488" s="607">
        <f t="shared" si="54"/>
        <v>-98684.159999999989</v>
      </c>
      <c r="S488" s="702">
        <f t="shared" si="55"/>
        <v>258435.84000000003</v>
      </c>
      <c r="T488" s="696" t="s">
        <v>54</v>
      </c>
    </row>
    <row r="489" spans="1:20" x14ac:dyDescent="0.25">
      <c r="A489" s="690"/>
      <c r="B489" s="691" t="s">
        <v>1061</v>
      </c>
      <c r="C489" s="676" t="s">
        <v>40</v>
      </c>
      <c r="D489" s="680">
        <v>44774</v>
      </c>
      <c r="E489" s="676">
        <v>744</v>
      </c>
      <c r="F489" s="676" t="s">
        <v>3</v>
      </c>
      <c r="G489" s="690" t="s">
        <v>44</v>
      </c>
      <c r="H489" s="115">
        <v>-2</v>
      </c>
      <c r="I489" s="115">
        <v>240</v>
      </c>
      <c r="J489" s="601">
        <f t="shared" si="49"/>
        <v>357120</v>
      </c>
      <c r="K489" s="738">
        <v>76.900000000000006</v>
      </c>
      <c r="L489" s="677">
        <f t="shared" si="50"/>
        <v>-114427.20000000001</v>
      </c>
      <c r="M489" s="739">
        <f t="shared" si="51"/>
        <v>242692.8</v>
      </c>
      <c r="N489" s="740">
        <v>76.900000000000006</v>
      </c>
      <c r="O489" s="678">
        <f t="shared" si="52"/>
        <v>-114427.20000000001</v>
      </c>
      <c r="P489" s="700">
        <f t="shared" si="53"/>
        <v>242692.8</v>
      </c>
      <c r="Q489" s="740">
        <v>76.900000000000006</v>
      </c>
      <c r="R489" s="678">
        <f t="shared" si="54"/>
        <v>-114427.20000000001</v>
      </c>
      <c r="S489" s="700">
        <f t="shared" si="55"/>
        <v>242692.8</v>
      </c>
      <c r="T489" s="691" t="s">
        <v>54</v>
      </c>
    </row>
    <row r="490" spans="1:20" x14ac:dyDescent="0.25">
      <c r="A490" s="690"/>
      <c r="B490" s="695" t="s">
        <v>1061</v>
      </c>
      <c r="C490" s="545" t="s">
        <v>40</v>
      </c>
      <c r="D490" s="681">
        <v>44805</v>
      </c>
      <c r="E490" s="545">
        <v>720</v>
      </c>
      <c r="F490" s="545" t="s">
        <v>3</v>
      </c>
      <c r="G490" s="725" t="s">
        <v>44</v>
      </c>
      <c r="H490" s="548">
        <v>-2</v>
      </c>
      <c r="I490" s="548">
        <v>240</v>
      </c>
      <c r="J490" s="602">
        <f t="shared" si="49"/>
        <v>345600</v>
      </c>
      <c r="K490" s="742">
        <v>56.08</v>
      </c>
      <c r="L490" s="603">
        <f t="shared" si="50"/>
        <v>-80755.199999999997</v>
      </c>
      <c r="M490" s="743">
        <f t="shared" si="51"/>
        <v>264844.79999999999</v>
      </c>
      <c r="N490" s="744">
        <v>56.08</v>
      </c>
      <c r="O490" s="604">
        <f t="shared" si="52"/>
        <v>-80755.199999999997</v>
      </c>
      <c r="P490" s="701">
        <f t="shared" si="53"/>
        <v>264844.79999999999</v>
      </c>
      <c r="Q490" s="744">
        <v>56.08</v>
      </c>
      <c r="R490" s="604">
        <f t="shared" si="54"/>
        <v>-80755.199999999997</v>
      </c>
      <c r="S490" s="701">
        <f t="shared" si="55"/>
        <v>264844.79999999999</v>
      </c>
      <c r="T490" s="695" t="s">
        <v>54</v>
      </c>
    </row>
    <row r="491" spans="1:20" x14ac:dyDescent="0.25">
      <c r="A491" s="690"/>
      <c r="B491" s="696" t="s">
        <v>1074</v>
      </c>
      <c r="C491" s="546" t="s">
        <v>40</v>
      </c>
      <c r="D491" s="682">
        <v>44652</v>
      </c>
      <c r="E491" s="546">
        <v>720</v>
      </c>
      <c r="F491" s="546" t="s">
        <v>3</v>
      </c>
      <c r="G491" s="726" t="s">
        <v>44</v>
      </c>
      <c r="H491" s="549">
        <v>3.6</v>
      </c>
      <c r="I491" s="549">
        <v>137.5</v>
      </c>
      <c r="J491" s="605">
        <f t="shared" si="49"/>
        <v>-356400</v>
      </c>
      <c r="K491" s="746">
        <v>55.7</v>
      </c>
      <c r="L491" s="606">
        <f t="shared" si="50"/>
        <v>144374.39999999999</v>
      </c>
      <c r="M491" s="747">
        <f t="shared" si="51"/>
        <v>-212025.60000000001</v>
      </c>
      <c r="N491" s="748">
        <v>55.7</v>
      </c>
      <c r="O491" s="607">
        <f t="shared" si="52"/>
        <v>144374.39999999999</v>
      </c>
      <c r="P491" s="702">
        <f t="shared" si="53"/>
        <v>-212025.60000000001</v>
      </c>
      <c r="Q491" s="748">
        <v>55.7</v>
      </c>
      <c r="R491" s="607">
        <f t="shared" si="54"/>
        <v>144374.39999999999</v>
      </c>
      <c r="S491" s="702">
        <f t="shared" si="55"/>
        <v>-212025.60000000001</v>
      </c>
      <c r="T491" s="696" t="s">
        <v>54</v>
      </c>
    </row>
    <row r="492" spans="1:20" x14ac:dyDescent="0.25">
      <c r="A492" s="690"/>
      <c r="B492" s="691" t="s">
        <v>1074</v>
      </c>
      <c r="C492" s="676" t="s">
        <v>40</v>
      </c>
      <c r="D492" s="680">
        <v>44682</v>
      </c>
      <c r="E492" s="676">
        <v>744</v>
      </c>
      <c r="F492" s="676" t="s">
        <v>3</v>
      </c>
      <c r="G492" s="690" t="s">
        <v>44</v>
      </c>
      <c r="H492" s="115">
        <v>3.6</v>
      </c>
      <c r="I492" s="115">
        <v>137.5</v>
      </c>
      <c r="J492" s="601">
        <f t="shared" si="49"/>
        <v>-368280</v>
      </c>
      <c r="K492" s="738">
        <v>55.7</v>
      </c>
      <c r="L492" s="677">
        <f t="shared" si="50"/>
        <v>149186.88</v>
      </c>
      <c r="M492" s="739">
        <f t="shared" si="51"/>
        <v>-219093.12</v>
      </c>
      <c r="N492" s="740">
        <v>55.7</v>
      </c>
      <c r="O492" s="678">
        <f t="shared" si="52"/>
        <v>149186.88</v>
      </c>
      <c r="P492" s="700">
        <f t="shared" si="53"/>
        <v>-219093.12</v>
      </c>
      <c r="Q492" s="740">
        <v>55.7</v>
      </c>
      <c r="R492" s="678">
        <f t="shared" si="54"/>
        <v>149186.88</v>
      </c>
      <c r="S492" s="700">
        <f t="shared" si="55"/>
        <v>-219093.12</v>
      </c>
      <c r="T492" s="691" t="s">
        <v>54</v>
      </c>
    </row>
    <row r="493" spans="1:20" x14ac:dyDescent="0.25">
      <c r="A493" s="690"/>
      <c r="B493" s="695" t="s">
        <v>1074</v>
      </c>
      <c r="C493" s="545" t="s">
        <v>40</v>
      </c>
      <c r="D493" s="681">
        <v>44713</v>
      </c>
      <c r="E493" s="545">
        <v>720</v>
      </c>
      <c r="F493" s="545" t="s">
        <v>3</v>
      </c>
      <c r="G493" s="725" t="s">
        <v>44</v>
      </c>
      <c r="H493" s="548">
        <v>3.6</v>
      </c>
      <c r="I493" s="548">
        <v>137.5</v>
      </c>
      <c r="J493" s="602">
        <f t="shared" si="49"/>
        <v>-356400</v>
      </c>
      <c r="K493" s="742">
        <v>55.71</v>
      </c>
      <c r="L493" s="603">
        <f t="shared" si="50"/>
        <v>144400.32000000001</v>
      </c>
      <c r="M493" s="743">
        <f t="shared" si="51"/>
        <v>-211999.68</v>
      </c>
      <c r="N493" s="744">
        <v>55.71</v>
      </c>
      <c r="O493" s="604">
        <f t="shared" si="52"/>
        <v>144400.32000000001</v>
      </c>
      <c r="P493" s="701">
        <f t="shared" si="53"/>
        <v>-211999.68</v>
      </c>
      <c r="Q493" s="744">
        <v>55.71</v>
      </c>
      <c r="R493" s="604">
        <f t="shared" si="54"/>
        <v>144400.32000000001</v>
      </c>
      <c r="S493" s="701">
        <f t="shared" si="55"/>
        <v>-211999.68</v>
      </c>
      <c r="T493" s="695" t="s">
        <v>54</v>
      </c>
    </row>
    <row r="494" spans="1:20" x14ac:dyDescent="0.25">
      <c r="A494" s="690"/>
      <c r="B494" s="697" t="s">
        <v>1076</v>
      </c>
      <c r="C494" s="547" t="s">
        <v>40</v>
      </c>
      <c r="D494" s="683">
        <v>44682</v>
      </c>
      <c r="E494" s="547">
        <v>744</v>
      </c>
      <c r="F494" s="547" t="s">
        <v>3</v>
      </c>
      <c r="G494" s="727" t="s">
        <v>44</v>
      </c>
      <c r="H494" s="638">
        <v>3</v>
      </c>
      <c r="I494" s="638">
        <v>128</v>
      </c>
      <c r="J494" s="639">
        <f t="shared" si="49"/>
        <v>-285696</v>
      </c>
      <c r="K494" s="750">
        <v>55.7</v>
      </c>
      <c r="L494" s="608">
        <f t="shared" si="50"/>
        <v>124322.40000000001</v>
      </c>
      <c r="M494" s="751">
        <f t="shared" si="51"/>
        <v>-161373.59999999998</v>
      </c>
      <c r="N494" s="752">
        <v>55.7</v>
      </c>
      <c r="O494" s="609">
        <f t="shared" si="52"/>
        <v>124322.40000000001</v>
      </c>
      <c r="P494" s="703">
        <f t="shared" si="53"/>
        <v>-161373.59999999998</v>
      </c>
      <c r="Q494" s="752">
        <v>55.7</v>
      </c>
      <c r="R494" s="609">
        <f t="shared" si="54"/>
        <v>124322.40000000001</v>
      </c>
      <c r="S494" s="703">
        <f t="shared" si="55"/>
        <v>-161373.59999999998</v>
      </c>
      <c r="T494" s="697" t="s">
        <v>54</v>
      </c>
    </row>
    <row r="495" spans="1:20" x14ac:dyDescent="0.25">
      <c r="A495" s="690"/>
      <c r="B495" s="697" t="s">
        <v>1078</v>
      </c>
      <c r="C495" s="547" t="s">
        <v>40</v>
      </c>
      <c r="D495" s="683">
        <v>44896</v>
      </c>
      <c r="E495" s="547">
        <v>744</v>
      </c>
      <c r="F495" s="547" t="s">
        <v>3</v>
      </c>
      <c r="G495" s="727" t="s">
        <v>44</v>
      </c>
      <c r="H495" s="638">
        <v>4</v>
      </c>
      <c r="I495" s="638">
        <v>180</v>
      </c>
      <c r="J495" s="639">
        <f t="shared" si="49"/>
        <v>-535680</v>
      </c>
      <c r="K495" s="750">
        <v>55.7</v>
      </c>
      <c r="L495" s="608">
        <f t="shared" si="50"/>
        <v>165763.20000000001</v>
      </c>
      <c r="M495" s="751">
        <f t="shared" si="51"/>
        <v>-369916.8</v>
      </c>
      <c r="N495" s="752">
        <v>55.7</v>
      </c>
      <c r="O495" s="609">
        <f t="shared" si="52"/>
        <v>165763.20000000001</v>
      </c>
      <c r="P495" s="703">
        <f t="shared" si="53"/>
        <v>-369916.8</v>
      </c>
      <c r="Q495" s="752">
        <v>78.400653594793155</v>
      </c>
      <c r="R495" s="609">
        <f t="shared" si="54"/>
        <v>233320.34509810444</v>
      </c>
      <c r="S495" s="703">
        <f t="shared" si="55"/>
        <v>-302359.65490189556</v>
      </c>
      <c r="T495" s="697" t="s">
        <v>54</v>
      </c>
    </row>
    <row r="496" spans="1:20" x14ac:dyDescent="0.25">
      <c r="A496" s="690"/>
      <c r="B496" s="697" t="s">
        <v>1080</v>
      </c>
      <c r="C496" s="547" t="s">
        <v>40</v>
      </c>
      <c r="D496" s="683">
        <v>44562</v>
      </c>
      <c r="E496" s="547">
        <v>744</v>
      </c>
      <c r="F496" s="547" t="s">
        <v>3</v>
      </c>
      <c r="G496" s="727" t="s">
        <v>44</v>
      </c>
      <c r="H496" s="638">
        <v>34.799999999999997</v>
      </c>
      <c r="I496" s="638">
        <v>65</v>
      </c>
      <c r="J496" s="639">
        <f t="shared" si="49"/>
        <v>-1682927.9999999998</v>
      </c>
      <c r="K496" s="750">
        <v>62.91</v>
      </c>
      <c r="L496" s="608">
        <f t="shared" si="50"/>
        <v>1628815.3919999998</v>
      </c>
      <c r="M496" s="751">
        <f t="shared" si="51"/>
        <v>-54112.608000000007</v>
      </c>
      <c r="N496" s="752">
        <v>62.91</v>
      </c>
      <c r="O496" s="609">
        <f t="shared" si="52"/>
        <v>1628815.3919999998</v>
      </c>
      <c r="P496" s="703">
        <f t="shared" si="53"/>
        <v>-54112.608000000007</v>
      </c>
      <c r="Q496" s="752">
        <v>62.91</v>
      </c>
      <c r="R496" s="609">
        <f t="shared" si="54"/>
        <v>1628815.3919999998</v>
      </c>
      <c r="S496" s="703">
        <f t="shared" si="55"/>
        <v>-54112.608000000007</v>
      </c>
      <c r="T496" s="697" t="s">
        <v>54</v>
      </c>
    </row>
    <row r="497" spans="1:20" x14ac:dyDescent="0.25">
      <c r="A497" s="690"/>
      <c r="B497" s="697" t="s">
        <v>1088</v>
      </c>
      <c r="C497" s="547" t="s">
        <v>40</v>
      </c>
      <c r="D497" s="683">
        <v>44593</v>
      </c>
      <c r="E497" s="547">
        <v>672</v>
      </c>
      <c r="F497" s="547" t="s">
        <v>3</v>
      </c>
      <c r="G497" s="727" t="s">
        <v>44</v>
      </c>
      <c r="H497" s="638">
        <v>5</v>
      </c>
      <c r="I497" s="638">
        <v>70</v>
      </c>
      <c r="J497" s="639">
        <f t="shared" si="49"/>
        <v>-235200</v>
      </c>
      <c r="K497" s="750">
        <v>55.7</v>
      </c>
      <c r="L497" s="608">
        <f t="shared" si="50"/>
        <v>187152</v>
      </c>
      <c r="M497" s="751">
        <f t="shared" si="51"/>
        <v>-48048</v>
      </c>
      <c r="N497" s="752">
        <v>55.7</v>
      </c>
      <c r="O497" s="609">
        <f t="shared" si="52"/>
        <v>187152</v>
      </c>
      <c r="P497" s="703">
        <f t="shared" si="53"/>
        <v>-48048</v>
      </c>
      <c r="Q497" s="752">
        <v>55.7</v>
      </c>
      <c r="R497" s="609">
        <f t="shared" si="54"/>
        <v>187152</v>
      </c>
      <c r="S497" s="703">
        <f t="shared" si="55"/>
        <v>-48048</v>
      </c>
      <c r="T497" s="697" t="s">
        <v>54</v>
      </c>
    </row>
    <row r="498" spans="1:20" x14ac:dyDescent="0.25">
      <c r="A498" s="690"/>
      <c r="B498" s="697" t="s">
        <v>1090</v>
      </c>
      <c r="C498" s="547" t="s">
        <v>40</v>
      </c>
      <c r="D498" s="683">
        <v>44593</v>
      </c>
      <c r="E498" s="547">
        <v>672</v>
      </c>
      <c r="F498" s="547" t="s">
        <v>3</v>
      </c>
      <c r="G498" s="727" t="s">
        <v>44</v>
      </c>
      <c r="H498" s="638">
        <v>10</v>
      </c>
      <c r="I498" s="638">
        <v>70</v>
      </c>
      <c r="J498" s="639">
        <f t="shared" si="49"/>
        <v>-470400</v>
      </c>
      <c r="K498" s="750">
        <v>55.7</v>
      </c>
      <c r="L498" s="608">
        <f t="shared" si="50"/>
        <v>374304</v>
      </c>
      <c r="M498" s="751">
        <f t="shared" si="51"/>
        <v>-96096</v>
      </c>
      <c r="N498" s="752">
        <v>55.7</v>
      </c>
      <c r="O498" s="609">
        <f t="shared" si="52"/>
        <v>374304</v>
      </c>
      <c r="P498" s="703">
        <f t="shared" si="53"/>
        <v>-96096</v>
      </c>
      <c r="Q498" s="752">
        <v>55.7</v>
      </c>
      <c r="R498" s="609">
        <f t="shared" si="54"/>
        <v>374304</v>
      </c>
      <c r="S498" s="703">
        <f t="shared" si="55"/>
        <v>-96096</v>
      </c>
      <c r="T498" s="697" t="s">
        <v>54</v>
      </c>
    </row>
    <row r="499" spans="1:20" x14ac:dyDescent="0.25">
      <c r="A499" s="690"/>
      <c r="B499" s="697" t="s">
        <v>1093</v>
      </c>
      <c r="C499" s="547" t="s">
        <v>40</v>
      </c>
      <c r="D499" s="683">
        <v>44652</v>
      </c>
      <c r="E499" s="547">
        <v>720</v>
      </c>
      <c r="F499" s="547" t="s">
        <v>3</v>
      </c>
      <c r="G499" s="727" t="s">
        <v>44</v>
      </c>
      <c r="H499" s="638">
        <v>2</v>
      </c>
      <c r="I499" s="638">
        <v>110</v>
      </c>
      <c r="J499" s="639">
        <f t="shared" si="49"/>
        <v>-158400</v>
      </c>
      <c r="K499" s="750">
        <v>55.7</v>
      </c>
      <c r="L499" s="608">
        <f t="shared" si="50"/>
        <v>80208</v>
      </c>
      <c r="M499" s="751">
        <f t="shared" si="51"/>
        <v>-78192</v>
      </c>
      <c r="N499" s="752">
        <v>55.7</v>
      </c>
      <c r="O499" s="609">
        <f t="shared" si="52"/>
        <v>80208</v>
      </c>
      <c r="P499" s="703">
        <f t="shared" si="53"/>
        <v>-78192</v>
      </c>
      <c r="Q499" s="752">
        <v>55.7</v>
      </c>
      <c r="R499" s="609">
        <f t="shared" si="54"/>
        <v>80208</v>
      </c>
      <c r="S499" s="703">
        <f t="shared" si="55"/>
        <v>-78192</v>
      </c>
      <c r="T499" s="697" t="s">
        <v>54</v>
      </c>
    </row>
    <row r="500" spans="1:20" x14ac:dyDescent="0.25">
      <c r="A500" s="690"/>
      <c r="B500" s="697" t="s">
        <v>1104</v>
      </c>
      <c r="C500" s="547" t="s">
        <v>40</v>
      </c>
      <c r="D500" s="683">
        <v>44682</v>
      </c>
      <c r="E500" s="547">
        <v>744</v>
      </c>
      <c r="F500" s="547" t="s">
        <v>3</v>
      </c>
      <c r="G500" s="727" t="s">
        <v>44</v>
      </c>
      <c r="H500" s="638">
        <v>10</v>
      </c>
      <c r="I500" s="638">
        <v>112</v>
      </c>
      <c r="J500" s="639">
        <f t="shared" si="49"/>
        <v>-833280</v>
      </c>
      <c r="K500" s="750">
        <v>55.7</v>
      </c>
      <c r="L500" s="608">
        <f t="shared" si="50"/>
        <v>414408</v>
      </c>
      <c r="M500" s="751">
        <f t="shared" si="51"/>
        <v>-418872</v>
      </c>
      <c r="N500" s="752">
        <v>55.7</v>
      </c>
      <c r="O500" s="609">
        <f t="shared" si="52"/>
        <v>414408</v>
      </c>
      <c r="P500" s="703">
        <f t="shared" si="53"/>
        <v>-418872</v>
      </c>
      <c r="Q500" s="752">
        <v>55.7</v>
      </c>
      <c r="R500" s="609">
        <f t="shared" si="54"/>
        <v>414408</v>
      </c>
      <c r="S500" s="703">
        <f t="shared" si="55"/>
        <v>-418872</v>
      </c>
      <c r="T500" s="697" t="s">
        <v>54</v>
      </c>
    </row>
    <row r="501" spans="1:20" x14ac:dyDescent="0.25">
      <c r="A501" s="690"/>
      <c r="B501" s="697" t="s">
        <v>1106</v>
      </c>
      <c r="C501" s="547" t="s">
        <v>40</v>
      </c>
      <c r="D501" s="683">
        <v>44652</v>
      </c>
      <c r="E501" s="547">
        <v>720</v>
      </c>
      <c r="F501" s="547" t="s">
        <v>3</v>
      </c>
      <c r="G501" s="727" t="s">
        <v>44</v>
      </c>
      <c r="H501" s="638">
        <v>5</v>
      </c>
      <c r="I501" s="638">
        <v>100</v>
      </c>
      <c r="J501" s="639">
        <f t="shared" si="49"/>
        <v>-360000</v>
      </c>
      <c r="K501" s="750">
        <v>55.7</v>
      </c>
      <c r="L501" s="608">
        <f t="shared" si="50"/>
        <v>200520</v>
      </c>
      <c r="M501" s="751">
        <f t="shared" si="51"/>
        <v>-159480</v>
      </c>
      <c r="N501" s="752">
        <v>55.7</v>
      </c>
      <c r="O501" s="609">
        <f t="shared" si="52"/>
        <v>200520</v>
      </c>
      <c r="P501" s="703">
        <f t="shared" si="53"/>
        <v>-159480</v>
      </c>
      <c r="Q501" s="752">
        <v>55.7</v>
      </c>
      <c r="R501" s="609">
        <f t="shared" si="54"/>
        <v>200520</v>
      </c>
      <c r="S501" s="703">
        <f t="shared" si="55"/>
        <v>-159480</v>
      </c>
      <c r="T501" s="697" t="s">
        <v>54</v>
      </c>
    </row>
    <row r="502" spans="1:20" x14ac:dyDescent="0.25">
      <c r="A502" s="690"/>
      <c r="B502" s="697" t="s">
        <v>1108</v>
      </c>
      <c r="C502" s="547" t="s">
        <v>40</v>
      </c>
      <c r="D502" s="683">
        <v>44593</v>
      </c>
      <c r="E502" s="547">
        <v>672</v>
      </c>
      <c r="F502" s="547" t="s">
        <v>3</v>
      </c>
      <c r="G502" s="727" t="s">
        <v>44</v>
      </c>
      <c r="H502" s="638">
        <v>10</v>
      </c>
      <c r="I502" s="638">
        <v>71</v>
      </c>
      <c r="J502" s="639">
        <f t="shared" si="49"/>
        <v>-477120</v>
      </c>
      <c r="K502" s="750">
        <v>55.7</v>
      </c>
      <c r="L502" s="608">
        <f t="shared" si="50"/>
        <v>374304</v>
      </c>
      <c r="M502" s="751">
        <f t="shared" si="51"/>
        <v>-102816</v>
      </c>
      <c r="N502" s="752">
        <v>55.7</v>
      </c>
      <c r="O502" s="609">
        <f t="shared" si="52"/>
        <v>374304</v>
      </c>
      <c r="P502" s="703">
        <f t="shared" si="53"/>
        <v>-102816</v>
      </c>
      <c r="Q502" s="752">
        <v>55.7</v>
      </c>
      <c r="R502" s="609">
        <f t="shared" si="54"/>
        <v>374304</v>
      </c>
      <c r="S502" s="703">
        <f t="shared" si="55"/>
        <v>-102816</v>
      </c>
      <c r="T502" s="697" t="s">
        <v>54</v>
      </c>
    </row>
    <row r="503" spans="1:20" x14ac:dyDescent="0.25">
      <c r="A503" s="690"/>
      <c r="B503" s="697" t="s">
        <v>1110</v>
      </c>
      <c r="C503" s="547" t="s">
        <v>40</v>
      </c>
      <c r="D503" s="683">
        <v>44593</v>
      </c>
      <c r="E503" s="547">
        <v>672</v>
      </c>
      <c r="F503" s="547" t="s">
        <v>3</v>
      </c>
      <c r="G503" s="727" t="s">
        <v>44</v>
      </c>
      <c r="H503" s="638">
        <v>1</v>
      </c>
      <c r="I503" s="638">
        <v>70</v>
      </c>
      <c r="J503" s="639">
        <f t="shared" si="49"/>
        <v>-47040</v>
      </c>
      <c r="K503" s="750">
        <v>55.7</v>
      </c>
      <c r="L503" s="608">
        <f t="shared" si="50"/>
        <v>37430.400000000001</v>
      </c>
      <c r="M503" s="751">
        <f t="shared" si="51"/>
        <v>-9609.5999999999985</v>
      </c>
      <c r="N503" s="752">
        <v>55.7</v>
      </c>
      <c r="O503" s="609">
        <f t="shared" si="52"/>
        <v>37430.400000000001</v>
      </c>
      <c r="P503" s="703">
        <f t="shared" si="53"/>
        <v>-9609.5999999999985</v>
      </c>
      <c r="Q503" s="752">
        <v>55.7</v>
      </c>
      <c r="R503" s="609">
        <f t="shared" si="54"/>
        <v>37430.400000000001</v>
      </c>
      <c r="S503" s="703">
        <f t="shared" si="55"/>
        <v>-9609.5999999999985</v>
      </c>
      <c r="T503" s="697" t="s">
        <v>54</v>
      </c>
    </row>
    <row r="504" spans="1:20" x14ac:dyDescent="0.25">
      <c r="A504" s="690"/>
      <c r="B504" s="697" t="s">
        <v>1112</v>
      </c>
      <c r="C504" s="547" t="s">
        <v>40</v>
      </c>
      <c r="D504" s="683">
        <v>44593</v>
      </c>
      <c r="E504" s="547">
        <v>672</v>
      </c>
      <c r="F504" s="547" t="s">
        <v>3</v>
      </c>
      <c r="G504" s="727" t="s">
        <v>44</v>
      </c>
      <c r="H504" s="638">
        <v>2</v>
      </c>
      <c r="I504" s="638">
        <v>71</v>
      </c>
      <c r="J504" s="639">
        <f t="shared" si="49"/>
        <v>-95424</v>
      </c>
      <c r="K504" s="750">
        <v>55.7</v>
      </c>
      <c r="L504" s="608">
        <f t="shared" si="50"/>
        <v>74860.800000000003</v>
      </c>
      <c r="M504" s="751">
        <f t="shared" si="51"/>
        <v>-20563.199999999997</v>
      </c>
      <c r="N504" s="752">
        <v>55.7</v>
      </c>
      <c r="O504" s="609">
        <f t="shared" si="52"/>
        <v>74860.800000000003</v>
      </c>
      <c r="P504" s="703">
        <f t="shared" si="53"/>
        <v>-20563.199999999997</v>
      </c>
      <c r="Q504" s="752">
        <v>55.7</v>
      </c>
      <c r="R504" s="609">
        <f t="shared" si="54"/>
        <v>74860.800000000003</v>
      </c>
      <c r="S504" s="703">
        <f t="shared" si="55"/>
        <v>-20563.199999999997</v>
      </c>
      <c r="T504" s="697" t="s">
        <v>54</v>
      </c>
    </row>
    <row r="505" spans="1:20" x14ac:dyDescent="0.25">
      <c r="A505" s="690"/>
      <c r="B505" s="697" t="s">
        <v>1114</v>
      </c>
      <c r="C505" s="547" t="s">
        <v>40</v>
      </c>
      <c r="D505" s="683">
        <v>44593</v>
      </c>
      <c r="E505" s="547">
        <v>672</v>
      </c>
      <c r="F505" s="547" t="s">
        <v>3</v>
      </c>
      <c r="G505" s="727" t="s">
        <v>44</v>
      </c>
      <c r="H505" s="638">
        <v>5</v>
      </c>
      <c r="I505" s="638">
        <v>70</v>
      </c>
      <c r="J505" s="639">
        <f t="shared" si="49"/>
        <v>-235200</v>
      </c>
      <c r="K505" s="750">
        <v>55.7</v>
      </c>
      <c r="L505" s="608">
        <f t="shared" si="50"/>
        <v>187152</v>
      </c>
      <c r="M505" s="751">
        <f t="shared" si="51"/>
        <v>-48048</v>
      </c>
      <c r="N505" s="752">
        <v>55.7</v>
      </c>
      <c r="O505" s="609">
        <f t="shared" si="52"/>
        <v>187152</v>
      </c>
      <c r="P505" s="703">
        <f t="shared" si="53"/>
        <v>-48048</v>
      </c>
      <c r="Q505" s="752">
        <v>55.7</v>
      </c>
      <c r="R505" s="609">
        <f t="shared" si="54"/>
        <v>187152</v>
      </c>
      <c r="S505" s="703">
        <f t="shared" si="55"/>
        <v>-48048</v>
      </c>
      <c r="T505" s="697" t="s">
        <v>54</v>
      </c>
    </row>
    <row r="506" spans="1:20" x14ac:dyDescent="0.25">
      <c r="A506" s="690"/>
      <c r="B506" s="697" t="s">
        <v>1119</v>
      </c>
      <c r="C506" s="547" t="s">
        <v>40</v>
      </c>
      <c r="D506" s="683">
        <v>44652</v>
      </c>
      <c r="E506" s="547">
        <v>720</v>
      </c>
      <c r="F506" s="547" t="s">
        <v>3</v>
      </c>
      <c r="G506" s="727" t="s">
        <v>44</v>
      </c>
      <c r="H506" s="638">
        <v>5</v>
      </c>
      <c r="I506" s="638">
        <v>100</v>
      </c>
      <c r="J506" s="639">
        <f t="shared" si="49"/>
        <v>-360000</v>
      </c>
      <c r="K506" s="750">
        <v>55.7</v>
      </c>
      <c r="L506" s="608">
        <f t="shared" si="50"/>
        <v>200520</v>
      </c>
      <c r="M506" s="751">
        <f t="shared" si="51"/>
        <v>-159480</v>
      </c>
      <c r="N506" s="752">
        <v>55.7</v>
      </c>
      <c r="O506" s="609">
        <f t="shared" si="52"/>
        <v>200520</v>
      </c>
      <c r="P506" s="703">
        <f t="shared" si="53"/>
        <v>-159480</v>
      </c>
      <c r="Q506" s="752">
        <v>55.7</v>
      </c>
      <c r="R506" s="609">
        <f t="shared" si="54"/>
        <v>200520</v>
      </c>
      <c r="S506" s="703">
        <f t="shared" si="55"/>
        <v>-159480</v>
      </c>
      <c r="T506" s="697" t="s">
        <v>54</v>
      </c>
    </row>
    <row r="507" spans="1:20" x14ac:dyDescent="0.25">
      <c r="A507" s="690"/>
      <c r="B507" s="697" t="s">
        <v>1136</v>
      </c>
      <c r="C507" s="547" t="s">
        <v>40</v>
      </c>
      <c r="D507" s="683">
        <v>44682</v>
      </c>
      <c r="E507" s="547">
        <v>744</v>
      </c>
      <c r="F507" s="547" t="s">
        <v>3</v>
      </c>
      <c r="G507" s="727" t="s">
        <v>44</v>
      </c>
      <c r="H507" s="638">
        <v>1</v>
      </c>
      <c r="I507" s="638">
        <v>110</v>
      </c>
      <c r="J507" s="639">
        <f t="shared" si="49"/>
        <v>-81840</v>
      </c>
      <c r="K507" s="750">
        <v>55.7</v>
      </c>
      <c r="L507" s="608">
        <f t="shared" si="50"/>
        <v>41440.800000000003</v>
      </c>
      <c r="M507" s="751">
        <f t="shared" si="51"/>
        <v>-40399.199999999997</v>
      </c>
      <c r="N507" s="752">
        <v>55.7</v>
      </c>
      <c r="O507" s="609">
        <f t="shared" si="52"/>
        <v>41440.800000000003</v>
      </c>
      <c r="P507" s="703">
        <f t="shared" si="53"/>
        <v>-40399.199999999997</v>
      </c>
      <c r="Q507" s="752">
        <v>55.7</v>
      </c>
      <c r="R507" s="609">
        <f t="shared" si="54"/>
        <v>41440.800000000003</v>
      </c>
      <c r="S507" s="703">
        <f t="shared" si="55"/>
        <v>-40399.199999999997</v>
      </c>
      <c r="T507" s="697" t="s">
        <v>54</v>
      </c>
    </row>
    <row r="508" spans="1:20" x14ac:dyDescent="0.25">
      <c r="A508" s="690"/>
      <c r="B508" s="697" t="s">
        <v>1139</v>
      </c>
      <c r="C508" s="547" t="s">
        <v>40</v>
      </c>
      <c r="D508" s="683">
        <v>44621</v>
      </c>
      <c r="E508" s="547">
        <v>744</v>
      </c>
      <c r="F508" s="547" t="s">
        <v>3</v>
      </c>
      <c r="G508" s="727" t="s">
        <v>44</v>
      </c>
      <c r="H508" s="638">
        <v>2</v>
      </c>
      <c r="I508" s="638">
        <v>85</v>
      </c>
      <c r="J508" s="639">
        <f t="shared" si="49"/>
        <v>-126480</v>
      </c>
      <c r="K508" s="750">
        <v>55.7</v>
      </c>
      <c r="L508" s="608">
        <f t="shared" si="50"/>
        <v>82881.600000000006</v>
      </c>
      <c r="M508" s="751">
        <f t="shared" si="51"/>
        <v>-43598.399999999994</v>
      </c>
      <c r="N508" s="752">
        <v>55.7</v>
      </c>
      <c r="O508" s="609">
        <f t="shared" si="52"/>
        <v>82881.600000000006</v>
      </c>
      <c r="P508" s="703">
        <f t="shared" si="53"/>
        <v>-43598.399999999994</v>
      </c>
      <c r="Q508" s="752">
        <v>55.7</v>
      </c>
      <c r="R508" s="609">
        <f t="shared" si="54"/>
        <v>82881.600000000006</v>
      </c>
      <c r="S508" s="703">
        <f t="shared" si="55"/>
        <v>-43598.399999999994</v>
      </c>
      <c r="T508" s="697" t="s">
        <v>54</v>
      </c>
    </row>
    <row r="509" spans="1:20" x14ac:dyDescent="0.25">
      <c r="A509" s="690"/>
      <c r="B509" s="697" t="s">
        <v>1141</v>
      </c>
      <c r="C509" s="547" t="s">
        <v>40</v>
      </c>
      <c r="D509" s="683">
        <v>44621</v>
      </c>
      <c r="E509" s="547">
        <v>744</v>
      </c>
      <c r="F509" s="547" t="s">
        <v>3</v>
      </c>
      <c r="G509" s="727" t="s">
        <v>44</v>
      </c>
      <c r="H509" s="638">
        <v>1</v>
      </c>
      <c r="I509" s="638">
        <v>85</v>
      </c>
      <c r="J509" s="639">
        <f t="shared" si="49"/>
        <v>-63240</v>
      </c>
      <c r="K509" s="750">
        <v>55.7</v>
      </c>
      <c r="L509" s="608">
        <f t="shared" si="50"/>
        <v>41440.800000000003</v>
      </c>
      <c r="M509" s="751">
        <f t="shared" si="51"/>
        <v>-21799.199999999997</v>
      </c>
      <c r="N509" s="752">
        <v>55.7</v>
      </c>
      <c r="O509" s="609">
        <f t="shared" si="52"/>
        <v>41440.800000000003</v>
      </c>
      <c r="P509" s="703">
        <f t="shared" si="53"/>
        <v>-21799.199999999997</v>
      </c>
      <c r="Q509" s="752">
        <v>55.7</v>
      </c>
      <c r="R509" s="609">
        <f t="shared" si="54"/>
        <v>41440.800000000003</v>
      </c>
      <c r="S509" s="703">
        <f t="shared" si="55"/>
        <v>-21799.199999999997</v>
      </c>
      <c r="T509" s="697" t="s">
        <v>54</v>
      </c>
    </row>
    <row r="510" spans="1:20" x14ac:dyDescent="0.25">
      <c r="A510" s="690"/>
      <c r="B510" s="697" t="s">
        <v>1143</v>
      </c>
      <c r="C510" s="547" t="s">
        <v>40</v>
      </c>
      <c r="D510" s="683">
        <v>44682</v>
      </c>
      <c r="E510" s="547">
        <v>744</v>
      </c>
      <c r="F510" s="547" t="s">
        <v>3</v>
      </c>
      <c r="G510" s="727" t="s">
        <v>44</v>
      </c>
      <c r="H510" s="638">
        <v>1</v>
      </c>
      <c r="I510" s="638">
        <v>110</v>
      </c>
      <c r="J510" s="639">
        <f t="shared" si="49"/>
        <v>-81840</v>
      </c>
      <c r="K510" s="750">
        <v>55.7</v>
      </c>
      <c r="L510" s="608">
        <f t="shared" si="50"/>
        <v>41440.800000000003</v>
      </c>
      <c r="M510" s="751">
        <f t="shared" si="51"/>
        <v>-40399.199999999997</v>
      </c>
      <c r="N510" s="752">
        <v>55.7</v>
      </c>
      <c r="O510" s="609">
        <f t="shared" si="52"/>
        <v>41440.800000000003</v>
      </c>
      <c r="P510" s="703">
        <f t="shared" si="53"/>
        <v>-40399.199999999997</v>
      </c>
      <c r="Q510" s="752">
        <v>55.7</v>
      </c>
      <c r="R510" s="609">
        <f t="shared" si="54"/>
        <v>41440.800000000003</v>
      </c>
      <c r="S510" s="703">
        <f t="shared" si="55"/>
        <v>-40399.199999999997</v>
      </c>
      <c r="T510" s="697" t="s">
        <v>54</v>
      </c>
    </row>
    <row r="511" spans="1:20" x14ac:dyDescent="0.25">
      <c r="A511" s="690"/>
      <c r="B511" s="697" t="s">
        <v>1145</v>
      </c>
      <c r="C511" s="547" t="s">
        <v>40</v>
      </c>
      <c r="D511" s="683">
        <v>44652</v>
      </c>
      <c r="E511" s="547">
        <v>720</v>
      </c>
      <c r="F511" s="547" t="s">
        <v>3</v>
      </c>
      <c r="G511" s="727" t="s">
        <v>44</v>
      </c>
      <c r="H511" s="638">
        <v>4.4000000000000004</v>
      </c>
      <c r="I511" s="638">
        <v>97.5</v>
      </c>
      <c r="J511" s="639">
        <f t="shared" si="49"/>
        <v>-308880.00000000006</v>
      </c>
      <c r="K511" s="750">
        <v>55.7</v>
      </c>
      <c r="L511" s="608">
        <f t="shared" si="50"/>
        <v>176457.60000000003</v>
      </c>
      <c r="M511" s="751">
        <f t="shared" si="51"/>
        <v>-132422.40000000002</v>
      </c>
      <c r="N511" s="752">
        <v>55.7</v>
      </c>
      <c r="O511" s="609">
        <f t="shared" si="52"/>
        <v>176457.60000000003</v>
      </c>
      <c r="P511" s="703">
        <f t="shared" si="53"/>
        <v>-132422.40000000002</v>
      </c>
      <c r="Q511" s="752">
        <v>55.7</v>
      </c>
      <c r="R511" s="609">
        <f t="shared" si="54"/>
        <v>176457.60000000003</v>
      </c>
      <c r="S511" s="703">
        <f t="shared" si="55"/>
        <v>-132422.40000000002</v>
      </c>
      <c r="T511" s="697" t="s">
        <v>54</v>
      </c>
    </row>
    <row r="512" spans="1:20" x14ac:dyDescent="0.25">
      <c r="A512" s="690"/>
      <c r="B512" s="697" t="s">
        <v>1147</v>
      </c>
      <c r="C512" s="547" t="s">
        <v>40</v>
      </c>
      <c r="D512" s="683">
        <v>44682</v>
      </c>
      <c r="E512" s="547">
        <v>744</v>
      </c>
      <c r="F512" s="547" t="s">
        <v>3</v>
      </c>
      <c r="G512" s="727" t="s">
        <v>44</v>
      </c>
      <c r="H512" s="638">
        <v>1</v>
      </c>
      <c r="I512" s="638">
        <v>108</v>
      </c>
      <c r="J512" s="639">
        <f t="shared" si="49"/>
        <v>-80352</v>
      </c>
      <c r="K512" s="750">
        <v>55.7</v>
      </c>
      <c r="L512" s="608">
        <f t="shared" si="50"/>
        <v>41440.800000000003</v>
      </c>
      <c r="M512" s="751">
        <f t="shared" si="51"/>
        <v>-38911.199999999997</v>
      </c>
      <c r="N512" s="752">
        <v>55.7</v>
      </c>
      <c r="O512" s="609">
        <f t="shared" si="52"/>
        <v>41440.800000000003</v>
      </c>
      <c r="P512" s="703">
        <f t="shared" si="53"/>
        <v>-38911.199999999997</v>
      </c>
      <c r="Q512" s="752">
        <v>55.7</v>
      </c>
      <c r="R512" s="609">
        <f t="shared" si="54"/>
        <v>41440.800000000003</v>
      </c>
      <c r="S512" s="703">
        <f t="shared" si="55"/>
        <v>-38911.199999999997</v>
      </c>
      <c r="T512" s="697" t="s">
        <v>54</v>
      </c>
    </row>
    <row r="513" spans="1:20" x14ac:dyDescent="0.25">
      <c r="A513" s="690"/>
      <c r="B513" s="697" t="s">
        <v>1149</v>
      </c>
      <c r="C513" s="547" t="s">
        <v>40</v>
      </c>
      <c r="D513" s="683">
        <v>44621</v>
      </c>
      <c r="E513" s="547">
        <v>744</v>
      </c>
      <c r="F513" s="547" t="s">
        <v>3</v>
      </c>
      <c r="G513" s="727" t="s">
        <v>44</v>
      </c>
      <c r="H513" s="638">
        <v>1</v>
      </c>
      <c r="I513" s="638">
        <v>84</v>
      </c>
      <c r="J513" s="639">
        <f t="shared" si="49"/>
        <v>-62496</v>
      </c>
      <c r="K513" s="750">
        <v>55.7</v>
      </c>
      <c r="L513" s="608">
        <f t="shared" si="50"/>
        <v>41440.800000000003</v>
      </c>
      <c r="M513" s="751">
        <f t="shared" si="51"/>
        <v>-21055.199999999997</v>
      </c>
      <c r="N513" s="752">
        <v>55.7</v>
      </c>
      <c r="O513" s="609">
        <f t="shared" si="52"/>
        <v>41440.800000000003</v>
      </c>
      <c r="P513" s="703">
        <f t="shared" si="53"/>
        <v>-21055.199999999997</v>
      </c>
      <c r="Q513" s="752">
        <v>55.7</v>
      </c>
      <c r="R513" s="609">
        <f t="shared" si="54"/>
        <v>41440.800000000003</v>
      </c>
      <c r="S513" s="703">
        <f t="shared" si="55"/>
        <v>-21055.199999999997</v>
      </c>
      <c r="T513" s="697" t="s">
        <v>54</v>
      </c>
    </row>
    <row r="514" spans="1:20" x14ac:dyDescent="0.25">
      <c r="A514" s="690"/>
      <c r="B514" s="697" t="s">
        <v>1151</v>
      </c>
      <c r="C514" s="547" t="s">
        <v>40</v>
      </c>
      <c r="D514" s="683">
        <v>44621</v>
      </c>
      <c r="E514" s="547">
        <v>744</v>
      </c>
      <c r="F514" s="547" t="s">
        <v>3</v>
      </c>
      <c r="G514" s="727" t="s">
        <v>44</v>
      </c>
      <c r="H514" s="638">
        <v>4</v>
      </c>
      <c r="I514" s="638">
        <v>84</v>
      </c>
      <c r="J514" s="639">
        <f t="shared" si="49"/>
        <v>-249984</v>
      </c>
      <c r="K514" s="750">
        <v>55.7</v>
      </c>
      <c r="L514" s="608">
        <f t="shared" si="50"/>
        <v>165763.20000000001</v>
      </c>
      <c r="M514" s="751">
        <f t="shared" si="51"/>
        <v>-84220.799999999988</v>
      </c>
      <c r="N514" s="752">
        <v>55.7</v>
      </c>
      <c r="O514" s="609">
        <f t="shared" si="52"/>
        <v>165763.20000000001</v>
      </c>
      <c r="P514" s="703">
        <f t="shared" si="53"/>
        <v>-84220.799999999988</v>
      </c>
      <c r="Q514" s="752">
        <v>55.7</v>
      </c>
      <c r="R514" s="609">
        <f t="shared" si="54"/>
        <v>165763.20000000001</v>
      </c>
      <c r="S514" s="703">
        <f t="shared" si="55"/>
        <v>-84220.799999999988</v>
      </c>
      <c r="T514" s="697" t="s">
        <v>54</v>
      </c>
    </row>
    <row r="515" spans="1:20" x14ac:dyDescent="0.25">
      <c r="A515" s="690"/>
      <c r="B515" s="697" t="s">
        <v>1153</v>
      </c>
      <c r="C515" s="547" t="s">
        <v>40</v>
      </c>
      <c r="D515" s="683">
        <v>44682</v>
      </c>
      <c r="E515" s="547">
        <v>744</v>
      </c>
      <c r="F515" s="547" t="s">
        <v>3</v>
      </c>
      <c r="G515" s="727" t="s">
        <v>44</v>
      </c>
      <c r="H515" s="638">
        <v>5</v>
      </c>
      <c r="I515" s="638">
        <v>105</v>
      </c>
      <c r="J515" s="639">
        <f t="shared" ref="J515:J578" si="56">(I515*(E515*H515))*-1</f>
        <v>-390600</v>
      </c>
      <c r="K515" s="750">
        <v>55.7</v>
      </c>
      <c r="L515" s="608">
        <f t="shared" ref="L515:L578" si="57">(((E515*H515)*K515))</f>
        <v>207204</v>
      </c>
      <c r="M515" s="751">
        <f t="shared" ref="M515:M578" si="58">J515+L515</f>
        <v>-183396</v>
      </c>
      <c r="N515" s="752">
        <v>55.7</v>
      </c>
      <c r="O515" s="609">
        <f t="shared" ref="O515:O578" si="59">((E515*H515)*N515)</f>
        <v>207204</v>
      </c>
      <c r="P515" s="703">
        <f t="shared" ref="P515:P578" si="60">J515+O515</f>
        <v>-183396</v>
      </c>
      <c r="Q515" s="752">
        <v>55.7</v>
      </c>
      <c r="R515" s="609">
        <f t="shared" ref="R515:R578" si="61">((E515*H515)*Q515)</f>
        <v>207204</v>
      </c>
      <c r="S515" s="703">
        <f t="shared" ref="S515:S578" si="62">J515+R515</f>
        <v>-183396</v>
      </c>
      <c r="T515" s="697" t="s">
        <v>54</v>
      </c>
    </row>
    <row r="516" spans="1:20" x14ac:dyDescent="0.25">
      <c r="A516" s="690"/>
      <c r="B516" s="697" t="s">
        <v>1155</v>
      </c>
      <c r="C516" s="547" t="s">
        <v>40</v>
      </c>
      <c r="D516" s="683">
        <v>44621</v>
      </c>
      <c r="E516" s="547">
        <v>744</v>
      </c>
      <c r="F516" s="547" t="s">
        <v>3</v>
      </c>
      <c r="G516" s="727" t="s">
        <v>44</v>
      </c>
      <c r="H516" s="638">
        <v>2</v>
      </c>
      <c r="I516" s="638">
        <v>84</v>
      </c>
      <c r="J516" s="639">
        <f t="shared" si="56"/>
        <v>-124992</v>
      </c>
      <c r="K516" s="750">
        <v>55.7</v>
      </c>
      <c r="L516" s="608">
        <f t="shared" si="57"/>
        <v>82881.600000000006</v>
      </c>
      <c r="M516" s="751">
        <f t="shared" si="58"/>
        <v>-42110.399999999994</v>
      </c>
      <c r="N516" s="752">
        <v>55.7</v>
      </c>
      <c r="O516" s="609">
        <f t="shared" si="59"/>
        <v>82881.600000000006</v>
      </c>
      <c r="P516" s="703">
        <f t="shared" si="60"/>
        <v>-42110.399999999994</v>
      </c>
      <c r="Q516" s="752">
        <v>55.7</v>
      </c>
      <c r="R516" s="609">
        <f t="shared" si="61"/>
        <v>82881.600000000006</v>
      </c>
      <c r="S516" s="703">
        <f t="shared" si="62"/>
        <v>-42110.399999999994</v>
      </c>
      <c r="T516" s="697" t="s">
        <v>54</v>
      </c>
    </row>
    <row r="517" spans="1:20" x14ac:dyDescent="0.25">
      <c r="A517" s="690"/>
      <c r="B517" s="697" t="s">
        <v>1157</v>
      </c>
      <c r="C517" s="547" t="s">
        <v>40</v>
      </c>
      <c r="D517" s="683">
        <v>44682</v>
      </c>
      <c r="E517" s="547">
        <v>744</v>
      </c>
      <c r="F517" s="547" t="s">
        <v>3</v>
      </c>
      <c r="G517" s="727" t="s">
        <v>44</v>
      </c>
      <c r="H517" s="638">
        <v>5</v>
      </c>
      <c r="I517" s="638">
        <v>108</v>
      </c>
      <c r="J517" s="639">
        <f t="shared" si="56"/>
        <v>-401760</v>
      </c>
      <c r="K517" s="750">
        <v>55.7</v>
      </c>
      <c r="L517" s="608">
        <f t="shared" si="57"/>
        <v>207204</v>
      </c>
      <c r="M517" s="751">
        <f t="shared" si="58"/>
        <v>-194556</v>
      </c>
      <c r="N517" s="752">
        <v>55.7</v>
      </c>
      <c r="O517" s="609">
        <f t="shared" si="59"/>
        <v>207204</v>
      </c>
      <c r="P517" s="703">
        <f t="shared" si="60"/>
        <v>-194556</v>
      </c>
      <c r="Q517" s="752">
        <v>55.7</v>
      </c>
      <c r="R517" s="609">
        <f t="shared" si="61"/>
        <v>207204</v>
      </c>
      <c r="S517" s="703">
        <f t="shared" si="62"/>
        <v>-194556</v>
      </c>
      <c r="T517" s="697" t="s">
        <v>54</v>
      </c>
    </row>
    <row r="518" spans="1:20" x14ac:dyDescent="0.25">
      <c r="A518" s="690"/>
      <c r="B518" s="697" t="s">
        <v>1168</v>
      </c>
      <c r="C518" s="547" t="s">
        <v>40</v>
      </c>
      <c r="D518" s="683">
        <v>44562</v>
      </c>
      <c r="E518" s="547">
        <v>744</v>
      </c>
      <c r="F518" s="547" t="s">
        <v>6</v>
      </c>
      <c r="G518" s="727" t="s">
        <v>44</v>
      </c>
      <c r="H518" s="638">
        <v>1.6120000000000001</v>
      </c>
      <c r="I518" s="638">
        <v>274.90999999999997</v>
      </c>
      <c r="J518" s="639">
        <f t="shared" si="56"/>
        <v>-329707.26047999994</v>
      </c>
      <c r="K518" s="750">
        <v>62.91</v>
      </c>
      <c r="L518" s="608">
        <f t="shared" si="57"/>
        <v>75449.72447999999</v>
      </c>
      <c r="M518" s="751">
        <f t="shared" si="58"/>
        <v>-254257.53599999996</v>
      </c>
      <c r="N518" s="752">
        <v>62.91</v>
      </c>
      <c r="O518" s="609">
        <f t="shared" si="59"/>
        <v>75449.72447999999</v>
      </c>
      <c r="P518" s="703">
        <f t="shared" si="60"/>
        <v>-254257.53599999996</v>
      </c>
      <c r="Q518" s="752">
        <v>62.91</v>
      </c>
      <c r="R518" s="609">
        <f t="shared" si="61"/>
        <v>75449.72447999999</v>
      </c>
      <c r="S518" s="703">
        <f t="shared" si="62"/>
        <v>-254257.53599999996</v>
      </c>
      <c r="T518" s="697" t="s">
        <v>92</v>
      </c>
    </row>
    <row r="519" spans="1:20" x14ac:dyDescent="0.25">
      <c r="A519" s="690"/>
      <c r="B519" s="697" t="s">
        <v>1170</v>
      </c>
      <c r="C519" s="547" t="s">
        <v>40</v>
      </c>
      <c r="D519" s="683">
        <v>44562</v>
      </c>
      <c r="E519" s="547">
        <v>744</v>
      </c>
      <c r="F519" s="547" t="s">
        <v>6</v>
      </c>
      <c r="G519" s="727" t="s">
        <v>44</v>
      </c>
      <c r="H519" s="638">
        <v>7</v>
      </c>
      <c r="I519" s="638">
        <v>272.90999999999997</v>
      </c>
      <c r="J519" s="639">
        <f t="shared" si="56"/>
        <v>-1421315.2799999998</v>
      </c>
      <c r="K519" s="750">
        <v>62.91</v>
      </c>
      <c r="L519" s="608">
        <f t="shared" si="57"/>
        <v>327635.27999999997</v>
      </c>
      <c r="M519" s="751">
        <f t="shared" si="58"/>
        <v>-1093679.9999999998</v>
      </c>
      <c r="N519" s="752">
        <v>62.91</v>
      </c>
      <c r="O519" s="609">
        <f t="shared" si="59"/>
        <v>327635.27999999997</v>
      </c>
      <c r="P519" s="703">
        <f t="shared" si="60"/>
        <v>-1093679.9999999998</v>
      </c>
      <c r="Q519" s="752">
        <v>62.91</v>
      </c>
      <c r="R519" s="609">
        <f t="shared" si="61"/>
        <v>327635.27999999997</v>
      </c>
      <c r="S519" s="703">
        <f t="shared" si="62"/>
        <v>-1093679.9999999998</v>
      </c>
      <c r="T519" s="697" t="s">
        <v>92</v>
      </c>
    </row>
    <row r="520" spans="1:20" x14ac:dyDescent="0.25">
      <c r="A520" s="690"/>
      <c r="B520" s="697" t="s">
        <v>1172</v>
      </c>
      <c r="C520" s="547" t="s">
        <v>40</v>
      </c>
      <c r="D520" s="683">
        <v>44682</v>
      </c>
      <c r="E520" s="547">
        <v>744</v>
      </c>
      <c r="F520" s="547" t="s">
        <v>3</v>
      </c>
      <c r="G520" s="727" t="s">
        <v>44</v>
      </c>
      <c r="H520" s="638">
        <v>4.8</v>
      </c>
      <c r="I520" s="638">
        <v>105</v>
      </c>
      <c r="J520" s="639">
        <f t="shared" si="56"/>
        <v>-374976</v>
      </c>
      <c r="K520" s="750">
        <v>55.7</v>
      </c>
      <c r="L520" s="608">
        <f t="shared" si="57"/>
        <v>198915.84</v>
      </c>
      <c r="M520" s="751">
        <f t="shared" si="58"/>
        <v>-176060.16</v>
      </c>
      <c r="N520" s="752">
        <v>55.7</v>
      </c>
      <c r="O520" s="609">
        <f t="shared" si="59"/>
        <v>198915.84</v>
      </c>
      <c r="P520" s="703">
        <f t="shared" si="60"/>
        <v>-176060.16</v>
      </c>
      <c r="Q520" s="752">
        <v>55.7</v>
      </c>
      <c r="R520" s="609">
        <f t="shared" si="61"/>
        <v>198915.84</v>
      </c>
      <c r="S520" s="703">
        <f t="shared" si="62"/>
        <v>-176060.16</v>
      </c>
      <c r="T520" s="697" t="s">
        <v>54</v>
      </c>
    </row>
    <row r="521" spans="1:20" x14ac:dyDescent="0.25">
      <c r="A521" s="690"/>
      <c r="B521" s="697" t="s">
        <v>1175</v>
      </c>
      <c r="C521" s="547" t="s">
        <v>40</v>
      </c>
      <c r="D521" s="683">
        <v>44621</v>
      </c>
      <c r="E521" s="547">
        <v>744</v>
      </c>
      <c r="F521" s="547" t="s">
        <v>3</v>
      </c>
      <c r="G521" s="727" t="s">
        <v>44</v>
      </c>
      <c r="H521" s="638">
        <v>4</v>
      </c>
      <c r="I521" s="638">
        <v>73</v>
      </c>
      <c r="J521" s="639">
        <f t="shared" si="56"/>
        <v>-217248</v>
      </c>
      <c r="K521" s="750">
        <v>55.7</v>
      </c>
      <c r="L521" s="608">
        <f t="shared" si="57"/>
        <v>165763.20000000001</v>
      </c>
      <c r="M521" s="751">
        <f t="shared" si="58"/>
        <v>-51484.799999999988</v>
      </c>
      <c r="N521" s="752">
        <v>55.7</v>
      </c>
      <c r="O521" s="609">
        <f t="shared" si="59"/>
        <v>165763.20000000001</v>
      </c>
      <c r="P521" s="703">
        <f t="shared" si="60"/>
        <v>-51484.799999999988</v>
      </c>
      <c r="Q521" s="752">
        <v>55.7</v>
      </c>
      <c r="R521" s="609">
        <f t="shared" si="61"/>
        <v>165763.20000000001</v>
      </c>
      <c r="S521" s="703">
        <f t="shared" si="62"/>
        <v>-51484.799999999988</v>
      </c>
      <c r="T521" s="697" t="s">
        <v>54</v>
      </c>
    </row>
    <row r="522" spans="1:20" x14ac:dyDescent="0.25">
      <c r="A522" s="690"/>
      <c r="B522" s="697" t="s">
        <v>1180</v>
      </c>
      <c r="C522" s="547" t="s">
        <v>40</v>
      </c>
      <c r="D522" s="683">
        <v>44896</v>
      </c>
      <c r="E522" s="547">
        <v>744</v>
      </c>
      <c r="F522" s="547" t="s">
        <v>3</v>
      </c>
      <c r="G522" s="727" t="s">
        <v>44</v>
      </c>
      <c r="H522" s="638">
        <v>2</v>
      </c>
      <c r="I522" s="638">
        <v>155</v>
      </c>
      <c r="J522" s="639">
        <f t="shared" si="56"/>
        <v>-230640</v>
      </c>
      <c r="K522" s="750">
        <v>55.7</v>
      </c>
      <c r="L522" s="608">
        <f t="shared" si="57"/>
        <v>82881.600000000006</v>
      </c>
      <c r="M522" s="751">
        <f t="shared" si="58"/>
        <v>-147758.39999999999</v>
      </c>
      <c r="N522" s="752">
        <v>55.7</v>
      </c>
      <c r="O522" s="609">
        <f t="shared" si="59"/>
        <v>82881.600000000006</v>
      </c>
      <c r="P522" s="703">
        <f t="shared" si="60"/>
        <v>-147758.39999999999</v>
      </c>
      <c r="Q522" s="752">
        <v>78.400653594793155</v>
      </c>
      <c r="R522" s="609">
        <f t="shared" si="61"/>
        <v>116660.17254905222</v>
      </c>
      <c r="S522" s="703">
        <f t="shared" si="62"/>
        <v>-113979.82745094778</v>
      </c>
      <c r="T522" s="697" t="s">
        <v>54</v>
      </c>
    </row>
    <row r="523" spans="1:20" x14ac:dyDescent="0.25">
      <c r="A523" s="690"/>
      <c r="B523" s="697" t="s">
        <v>1183</v>
      </c>
      <c r="C523" s="547" t="s">
        <v>40</v>
      </c>
      <c r="D523" s="683">
        <v>44896</v>
      </c>
      <c r="E523" s="547">
        <v>744</v>
      </c>
      <c r="F523" s="547" t="s">
        <v>3</v>
      </c>
      <c r="G523" s="727" t="s">
        <v>44</v>
      </c>
      <c r="H523" s="638">
        <v>2</v>
      </c>
      <c r="I523" s="638">
        <v>160</v>
      </c>
      <c r="J523" s="639">
        <f t="shared" si="56"/>
        <v>-238080</v>
      </c>
      <c r="K523" s="750">
        <v>55.7</v>
      </c>
      <c r="L523" s="608">
        <f t="shared" si="57"/>
        <v>82881.600000000006</v>
      </c>
      <c r="M523" s="751">
        <f t="shared" si="58"/>
        <v>-155198.39999999999</v>
      </c>
      <c r="N523" s="752">
        <v>55.7</v>
      </c>
      <c r="O523" s="609">
        <f t="shared" si="59"/>
        <v>82881.600000000006</v>
      </c>
      <c r="P523" s="703">
        <f t="shared" si="60"/>
        <v>-155198.39999999999</v>
      </c>
      <c r="Q523" s="752">
        <v>78.400653594793155</v>
      </c>
      <c r="R523" s="609">
        <f t="shared" si="61"/>
        <v>116660.17254905222</v>
      </c>
      <c r="S523" s="703">
        <f t="shared" si="62"/>
        <v>-121419.82745094778</v>
      </c>
      <c r="T523" s="697" t="s">
        <v>54</v>
      </c>
    </row>
    <row r="524" spans="1:20" x14ac:dyDescent="0.25">
      <c r="A524" s="690"/>
      <c r="B524" s="697" t="s">
        <v>1186</v>
      </c>
      <c r="C524" s="547" t="s">
        <v>40</v>
      </c>
      <c r="D524" s="683">
        <v>44896</v>
      </c>
      <c r="E524" s="547">
        <v>744</v>
      </c>
      <c r="F524" s="547" t="s">
        <v>3</v>
      </c>
      <c r="G524" s="727" t="s">
        <v>44</v>
      </c>
      <c r="H524" s="638">
        <v>1</v>
      </c>
      <c r="I524" s="638">
        <v>165</v>
      </c>
      <c r="J524" s="639">
        <f t="shared" si="56"/>
        <v>-122760</v>
      </c>
      <c r="K524" s="750">
        <v>55.7</v>
      </c>
      <c r="L524" s="608">
        <f t="shared" si="57"/>
        <v>41440.800000000003</v>
      </c>
      <c r="M524" s="751">
        <f t="shared" si="58"/>
        <v>-81319.199999999997</v>
      </c>
      <c r="N524" s="752">
        <v>55.7</v>
      </c>
      <c r="O524" s="609">
        <f t="shared" si="59"/>
        <v>41440.800000000003</v>
      </c>
      <c r="P524" s="703">
        <f t="shared" si="60"/>
        <v>-81319.199999999997</v>
      </c>
      <c r="Q524" s="752">
        <v>78.400653594793155</v>
      </c>
      <c r="R524" s="609">
        <f t="shared" si="61"/>
        <v>58330.086274526111</v>
      </c>
      <c r="S524" s="703">
        <f t="shared" si="62"/>
        <v>-64429.913725473889</v>
      </c>
      <c r="T524" s="697" t="s">
        <v>54</v>
      </c>
    </row>
    <row r="525" spans="1:20" x14ac:dyDescent="0.25">
      <c r="A525" s="690"/>
      <c r="B525" s="697" t="s">
        <v>1189</v>
      </c>
      <c r="C525" s="547" t="s">
        <v>40</v>
      </c>
      <c r="D525" s="683">
        <v>44896</v>
      </c>
      <c r="E525" s="547">
        <v>744</v>
      </c>
      <c r="F525" s="547" t="s">
        <v>3</v>
      </c>
      <c r="G525" s="727" t="s">
        <v>44</v>
      </c>
      <c r="H525" s="638">
        <v>6</v>
      </c>
      <c r="I525" s="638">
        <v>166</v>
      </c>
      <c r="J525" s="639">
        <f t="shared" si="56"/>
        <v>-741024</v>
      </c>
      <c r="K525" s="750">
        <v>55.7</v>
      </c>
      <c r="L525" s="608">
        <f t="shared" si="57"/>
        <v>248644.80000000002</v>
      </c>
      <c r="M525" s="751">
        <f t="shared" si="58"/>
        <v>-492379.19999999995</v>
      </c>
      <c r="N525" s="752">
        <v>55.7</v>
      </c>
      <c r="O525" s="609">
        <f t="shared" si="59"/>
        <v>248644.80000000002</v>
      </c>
      <c r="P525" s="703">
        <f t="shared" si="60"/>
        <v>-492379.19999999995</v>
      </c>
      <c r="Q525" s="752">
        <v>78.400653594793155</v>
      </c>
      <c r="R525" s="609">
        <f t="shared" si="61"/>
        <v>349980.51764715667</v>
      </c>
      <c r="S525" s="703">
        <f t="shared" si="62"/>
        <v>-391043.48235284333</v>
      </c>
      <c r="T525" s="697" t="s">
        <v>54</v>
      </c>
    </row>
    <row r="526" spans="1:20" x14ac:dyDescent="0.25">
      <c r="A526" s="690"/>
      <c r="B526" s="697" t="s">
        <v>1197</v>
      </c>
      <c r="C526" s="547" t="s">
        <v>40</v>
      </c>
      <c r="D526" s="683">
        <v>44593</v>
      </c>
      <c r="E526" s="547">
        <v>672</v>
      </c>
      <c r="F526" s="547" t="s">
        <v>5</v>
      </c>
      <c r="G526" s="727" t="s">
        <v>44</v>
      </c>
      <c r="H526" s="638">
        <v>10</v>
      </c>
      <c r="I526" s="638">
        <v>99.7</v>
      </c>
      <c r="J526" s="639">
        <f t="shared" si="56"/>
        <v>-669984</v>
      </c>
      <c r="K526" s="750">
        <v>55.7</v>
      </c>
      <c r="L526" s="608">
        <f t="shared" si="57"/>
        <v>374304</v>
      </c>
      <c r="M526" s="751">
        <f t="shared" si="58"/>
        <v>-295680</v>
      </c>
      <c r="N526" s="752">
        <v>55.7</v>
      </c>
      <c r="O526" s="609">
        <f t="shared" si="59"/>
        <v>374304</v>
      </c>
      <c r="P526" s="703">
        <f t="shared" si="60"/>
        <v>-295680</v>
      </c>
      <c r="Q526" s="752">
        <v>55.7</v>
      </c>
      <c r="R526" s="609">
        <f t="shared" si="61"/>
        <v>374304</v>
      </c>
      <c r="S526" s="703">
        <f t="shared" si="62"/>
        <v>-295680</v>
      </c>
      <c r="T526" s="697" t="s">
        <v>92</v>
      </c>
    </row>
    <row r="527" spans="1:20" x14ac:dyDescent="0.25">
      <c r="A527" s="690"/>
      <c r="B527" s="697" t="s">
        <v>1200</v>
      </c>
      <c r="C527" s="547" t="s">
        <v>40</v>
      </c>
      <c r="D527" s="683">
        <v>44593</v>
      </c>
      <c r="E527" s="547">
        <v>672</v>
      </c>
      <c r="F527" s="547" t="s">
        <v>5</v>
      </c>
      <c r="G527" s="727" t="s">
        <v>44</v>
      </c>
      <c r="H527" s="638">
        <v>5</v>
      </c>
      <c r="I527" s="638">
        <v>97.7</v>
      </c>
      <c r="J527" s="639">
        <f t="shared" si="56"/>
        <v>-328272</v>
      </c>
      <c r="K527" s="750">
        <v>55.7</v>
      </c>
      <c r="L527" s="608">
        <f t="shared" si="57"/>
        <v>187152</v>
      </c>
      <c r="M527" s="751">
        <f t="shared" si="58"/>
        <v>-141120</v>
      </c>
      <c r="N527" s="752">
        <v>55.7</v>
      </c>
      <c r="O527" s="609">
        <f t="shared" si="59"/>
        <v>187152</v>
      </c>
      <c r="P527" s="703">
        <f t="shared" si="60"/>
        <v>-141120</v>
      </c>
      <c r="Q527" s="752">
        <v>55.7</v>
      </c>
      <c r="R527" s="609">
        <f t="shared" si="61"/>
        <v>187152</v>
      </c>
      <c r="S527" s="703">
        <f t="shared" si="62"/>
        <v>-141120</v>
      </c>
      <c r="T527" s="697" t="s">
        <v>92</v>
      </c>
    </row>
    <row r="528" spans="1:20" x14ac:dyDescent="0.25">
      <c r="A528" s="690"/>
      <c r="B528" s="697" t="s">
        <v>1204</v>
      </c>
      <c r="C528" s="547" t="s">
        <v>40</v>
      </c>
      <c r="D528" s="683">
        <v>44593</v>
      </c>
      <c r="E528" s="547">
        <v>672</v>
      </c>
      <c r="F528" s="547" t="s">
        <v>5</v>
      </c>
      <c r="G528" s="727" t="s">
        <v>44</v>
      </c>
      <c r="H528" s="638">
        <v>5</v>
      </c>
      <c r="I528" s="638">
        <v>100.7</v>
      </c>
      <c r="J528" s="639">
        <f t="shared" si="56"/>
        <v>-338352</v>
      </c>
      <c r="K528" s="750">
        <v>55.7</v>
      </c>
      <c r="L528" s="608">
        <f t="shared" si="57"/>
        <v>187152</v>
      </c>
      <c r="M528" s="751">
        <f t="shared" si="58"/>
        <v>-151200</v>
      </c>
      <c r="N528" s="752">
        <v>55.7</v>
      </c>
      <c r="O528" s="609">
        <f t="shared" si="59"/>
        <v>187152</v>
      </c>
      <c r="P528" s="703">
        <f t="shared" si="60"/>
        <v>-151200</v>
      </c>
      <c r="Q528" s="752">
        <v>55.7</v>
      </c>
      <c r="R528" s="609">
        <f t="shared" si="61"/>
        <v>187152</v>
      </c>
      <c r="S528" s="703">
        <f t="shared" si="62"/>
        <v>-151200</v>
      </c>
      <c r="T528" s="697" t="s">
        <v>92</v>
      </c>
    </row>
    <row r="529" spans="1:20" x14ac:dyDescent="0.25">
      <c r="A529" s="690"/>
      <c r="B529" s="697" t="s">
        <v>1206</v>
      </c>
      <c r="C529" s="547" t="s">
        <v>40</v>
      </c>
      <c r="D529" s="683">
        <v>44593</v>
      </c>
      <c r="E529" s="547">
        <v>672</v>
      </c>
      <c r="F529" s="547" t="s">
        <v>5</v>
      </c>
      <c r="G529" s="727" t="s">
        <v>44</v>
      </c>
      <c r="H529" s="638">
        <v>15</v>
      </c>
      <c r="I529" s="638">
        <v>100.7</v>
      </c>
      <c r="J529" s="639">
        <f t="shared" si="56"/>
        <v>-1015056</v>
      </c>
      <c r="K529" s="750">
        <v>55.7</v>
      </c>
      <c r="L529" s="608">
        <f t="shared" si="57"/>
        <v>561456</v>
      </c>
      <c r="M529" s="751">
        <f t="shared" si="58"/>
        <v>-453600</v>
      </c>
      <c r="N529" s="752">
        <v>55.7</v>
      </c>
      <c r="O529" s="609">
        <f t="shared" si="59"/>
        <v>561456</v>
      </c>
      <c r="P529" s="703">
        <f t="shared" si="60"/>
        <v>-453600</v>
      </c>
      <c r="Q529" s="752">
        <v>55.7</v>
      </c>
      <c r="R529" s="609">
        <f t="shared" si="61"/>
        <v>561456</v>
      </c>
      <c r="S529" s="703">
        <f t="shared" si="62"/>
        <v>-453600</v>
      </c>
      <c r="T529" s="697" t="s">
        <v>92</v>
      </c>
    </row>
    <row r="530" spans="1:20" x14ac:dyDescent="0.25">
      <c r="A530" s="690"/>
      <c r="B530" s="697" t="s">
        <v>1208</v>
      </c>
      <c r="C530" s="547" t="s">
        <v>40</v>
      </c>
      <c r="D530" s="683">
        <v>44593</v>
      </c>
      <c r="E530" s="547">
        <v>672</v>
      </c>
      <c r="F530" s="547" t="s">
        <v>5</v>
      </c>
      <c r="G530" s="727" t="s">
        <v>44</v>
      </c>
      <c r="H530" s="638">
        <v>23</v>
      </c>
      <c r="I530" s="638">
        <v>100.7</v>
      </c>
      <c r="J530" s="639">
        <f t="shared" si="56"/>
        <v>-1556419.2</v>
      </c>
      <c r="K530" s="750">
        <v>55.7</v>
      </c>
      <c r="L530" s="608">
        <f t="shared" si="57"/>
        <v>860899.20000000007</v>
      </c>
      <c r="M530" s="751">
        <f t="shared" si="58"/>
        <v>-695519.99999999988</v>
      </c>
      <c r="N530" s="752">
        <v>55.7</v>
      </c>
      <c r="O530" s="609">
        <f t="shared" si="59"/>
        <v>860899.20000000007</v>
      </c>
      <c r="P530" s="703">
        <f t="shared" si="60"/>
        <v>-695519.99999999988</v>
      </c>
      <c r="Q530" s="752">
        <v>55.7</v>
      </c>
      <c r="R530" s="609">
        <f t="shared" si="61"/>
        <v>860899.20000000007</v>
      </c>
      <c r="S530" s="703">
        <f t="shared" si="62"/>
        <v>-695519.99999999988</v>
      </c>
      <c r="T530" s="697" t="s">
        <v>92</v>
      </c>
    </row>
    <row r="531" spans="1:20" x14ac:dyDescent="0.25">
      <c r="A531" s="690"/>
      <c r="B531" s="697" t="s">
        <v>1218</v>
      </c>
      <c r="C531" s="547" t="s">
        <v>40</v>
      </c>
      <c r="D531" s="683">
        <v>44621</v>
      </c>
      <c r="E531" s="547">
        <v>744</v>
      </c>
      <c r="F531" s="547" t="s">
        <v>3</v>
      </c>
      <c r="G531" s="727" t="s">
        <v>44</v>
      </c>
      <c r="H531" s="638">
        <v>3.5</v>
      </c>
      <c r="I531" s="638">
        <v>60.05</v>
      </c>
      <c r="J531" s="639">
        <f t="shared" si="56"/>
        <v>-156370.19999999998</v>
      </c>
      <c r="K531" s="750">
        <v>55.7</v>
      </c>
      <c r="L531" s="608">
        <f t="shared" si="57"/>
        <v>145042.80000000002</v>
      </c>
      <c r="M531" s="751">
        <f t="shared" si="58"/>
        <v>-11327.399999999965</v>
      </c>
      <c r="N531" s="752">
        <v>55.7</v>
      </c>
      <c r="O531" s="609">
        <f t="shared" si="59"/>
        <v>145042.80000000002</v>
      </c>
      <c r="P531" s="703">
        <f t="shared" si="60"/>
        <v>-11327.399999999965</v>
      </c>
      <c r="Q531" s="752">
        <v>55.7</v>
      </c>
      <c r="R531" s="609">
        <f t="shared" si="61"/>
        <v>145042.80000000002</v>
      </c>
      <c r="S531" s="703">
        <f t="shared" si="62"/>
        <v>-11327.399999999965</v>
      </c>
      <c r="T531" s="697" t="s">
        <v>54</v>
      </c>
    </row>
    <row r="532" spans="1:20" x14ac:dyDescent="0.25">
      <c r="A532" s="690"/>
      <c r="B532" s="697" t="s">
        <v>1220</v>
      </c>
      <c r="C532" s="547" t="s">
        <v>40</v>
      </c>
      <c r="D532" s="683">
        <v>44713</v>
      </c>
      <c r="E532" s="547">
        <v>720</v>
      </c>
      <c r="F532" s="547" t="s">
        <v>3</v>
      </c>
      <c r="G532" s="727" t="s">
        <v>44</v>
      </c>
      <c r="H532" s="638">
        <v>5</v>
      </c>
      <c r="I532" s="638">
        <v>124</v>
      </c>
      <c r="J532" s="639">
        <f t="shared" si="56"/>
        <v>-446400</v>
      </c>
      <c r="K532" s="750">
        <v>55.71</v>
      </c>
      <c r="L532" s="608">
        <f t="shared" si="57"/>
        <v>200556</v>
      </c>
      <c r="M532" s="751">
        <f t="shared" si="58"/>
        <v>-245844</v>
      </c>
      <c r="N532" s="752">
        <v>55.71</v>
      </c>
      <c r="O532" s="609">
        <f t="shared" si="59"/>
        <v>200556</v>
      </c>
      <c r="P532" s="703">
        <f t="shared" si="60"/>
        <v>-245844</v>
      </c>
      <c r="Q532" s="752">
        <v>55.71</v>
      </c>
      <c r="R532" s="609">
        <f t="shared" si="61"/>
        <v>200556</v>
      </c>
      <c r="S532" s="703">
        <f t="shared" si="62"/>
        <v>-245844</v>
      </c>
      <c r="T532" s="697" t="s">
        <v>54</v>
      </c>
    </row>
    <row r="533" spans="1:20" x14ac:dyDescent="0.25">
      <c r="A533" s="690"/>
      <c r="B533" s="697" t="s">
        <v>1222</v>
      </c>
      <c r="C533" s="547" t="s">
        <v>40</v>
      </c>
      <c r="D533" s="683">
        <v>44682</v>
      </c>
      <c r="E533" s="547">
        <v>744</v>
      </c>
      <c r="F533" s="547" t="s">
        <v>3</v>
      </c>
      <c r="G533" s="727" t="s">
        <v>44</v>
      </c>
      <c r="H533" s="638">
        <v>5</v>
      </c>
      <c r="I533" s="638">
        <v>88</v>
      </c>
      <c r="J533" s="639">
        <f t="shared" si="56"/>
        <v>-327360</v>
      </c>
      <c r="K533" s="750">
        <v>55.7</v>
      </c>
      <c r="L533" s="608">
        <f t="shared" si="57"/>
        <v>207204</v>
      </c>
      <c r="M533" s="751">
        <f t="shared" si="58"/>
        <v>-120156</v>
      </c>
      <c r="N533" s="752">
        <v>55.7</v>
      </c>
      <c r="O533" s="609">
        <f t="shared" si="59"/>
        <v>207204</v>
      </c>
      <c r="P533" s="703">
        <f t="shared" si="60"/>
        <v>-120156</v>
      </c>
      <c r="Q533" s="752">
        <v>55.7</v>
      </c>
      <c r="R533" s="609">
        <f t="shared" si="61"/>
        <v>207204</v>
      </c>
      <c r="S533" s="703">
        <f t="shared" si="62"/>
        <v>-120156</v>
      </c>
      <c r="T533" s="697" t="s">
        <v>54</v>
      </c>
    </row>
    <row r="534" spans="1:20" x14ac:dyDescent="0.25">
      <c r="A534" s="690"/>
      <c r="B534" s="697" t="s">
        <v>1224</v>
      </c>
      <c r="C534" s="547" t="s">
        <v>40</v>
      </c>
      <c r="D534" s="683">
        <v>44652</v>
      </c>
      <c r="E534" s="547">
        <v>720</v>
      </c>
      <c r="F534" s="547" t="s">
        <v>3</v>
      </c>
      <c r="G534" s="727" t="s">
        <v>44</v>
      </c>
      <c r="H534" s="638">
        <v>5</v>
      </c>
      <c r="I534" s="638">
        <v>75.5</v>
      </c>
      <c r="J534" s="639">
        <f t="shared" si="56"/>
        <v>-271800</v>
      </c>
      <c r="K534" s="750">
        <v>55.7</v>
      </c>
      <c r="L534" s="608">
        <f t="shared" si="57"/>
        <v>200520</v>
      </c>
      <c r="M534" s="751">
        <f t="shared" si="58"/>
        <v>-71280</v>
      </c>
      <c r="N534" s="752">
        <v>55.7</v>
      </c>
      <c r="O534" s="609">
        <f t="shared" si="59"/>
        <v>200520</v>
      </c>
      <c r="P534" s="703">
        <f t="shared" si="60"/>
        <v>-71280</v>
      </c>
      <c r="Q534" s="752">
        <v>55.7</v>
      </c>
      <c r="R534" s="609">
        <f t="shared" si="61"/>
        <v>200520</v>
      </c>
      <c r="S534" s="703">
        <f t="shared" si="62"/>
        <v>-71280</v>
      </c>
      <c r="T534" s="697" t="s">
        <v>54</v>
      </c>
    </row>
    <row r="535" spans="1:20" x14ac:dyDescent="0.25">
      <c r="A535" s="690"/>
      <c r="B535" s="696" t="s">
        <v>1226</v>
      </c>
      <c r="C535" s="546" t="s">
        <v>40</v>
      </c>
      <c r="D535" s="682">
        <v>44743</v>
      </c>
      <c r="E535" s="546">
        <v>744</v>
      </c>
      <c r="F535" s="546" t="s">
        <v>3</v>
      </c>
      <c r="G535" s="726" t="s">
        <v>44</v>
      </c>
      <c r="H535" s="549">
        <v>5</v>
      </c>
      <c r="I535" s="549">
        <v>183</v>
      </c>
      <c r="J535" s="605">
        <f t="shared" si="56"/>
        <v>-680760</v>
      </c>
      <c r="K535" s="746">
        <v>66.319999999999993</v>
      </c>
      <c r="L535" s="606">
        <f t="shared" si="57"/>
        <v>246710.39999999997</v>
      </c>
      <c r="M535" s="747">
        <f t="shared" si="58"/>
        <v>-434049.60000000003</v>
      </c>
      <c r="N535" s="748">
        <v>66.319999999999993</v>
      </c>
      <c r="O535" s="607">
        <f t="shared" si="59"/>
        <v>246710.39999999997</v>
      </c>
      <c r="P535" s="702">
        <f t="shared" si="60"/>
        <v>-434049.60000000003</v>
      </c>
      <c r="Q535" s="748">
        <v>66.319999999999993</v>
      </c>
      <c r="R535" s="607">
        <f t="shared" si="61"/>
        <v>246710.39999999997</v>
      </c>
      <c r="S535" s="702">
        <f t="shared" si="62"/>
        <v>-434049.60000000003</v>
      </c>
      <c r="T535" s="696" t="s">
        <v>54</v>
      </c>
    </row>
    <row r="536" spans="1:20" x14ac:dyDescent="0.25">
      <c r="A536" s="690"/>
      <c r="B536" s="691" t="s">
        <v>1226</v>
      </c>
      <c r="C536" s="676" t="s">
        <v>40</v>
      </c>
      <c r="D536" s="680">
        <v>44774</v>
      </c>
      <c r="E536" s="676">
        <v>744</v>
      </c>
      <c r="F536" s="676" t="s">
        <v>3</v>
      </c>
      <c r="G536" s="690" t="s">
        <v>44</v>
      </c>
      <c r="H536" s="115">
        <v>5</v>
      </c>
      <c r="I536" s="115">
        <v>183</v>
      </c>
      <c r="J536" s="601">
        <f t="shared" si="56"/>
        <v>-680760</v>
      </c>
      <c r="K536" s="738">
        <v>76.900000000000006</v>
      </c>
      <c r="L536" s="677">
        <f t="shared" si="57"/>
        <v>286068</v>
      </c>
      <c r="M536" s="739">
        <f t="shared" si="58"/>
        <v>-394692</v>
      </c>
      <c r="N536" s="740">
        <v>76.900000000000006</v>
      </c>
      <c r="O536" s="678">
        <f t="shared" si="59"/>
        <v>286068</v>
      </c>
      <c r="P536" s="700">
        <f t="shared" si="60"/>
        <v>-394692</v>
      </c>
      <c r="Q536" s="740">
        <v>76.900000000000006</v>
      </c>
      <c r="R536" s="678">
        <f t="shared" si="61"/>
        <v>286068</v>
      </c>
      <c r="S536" s="700">
        <f t="shared" si="62"/>
        <v>-394692</v>
      </c>
      <c r="T536" s="691" t="s">
        <v>54</v>
      </c>
    </row>
    <row r="537" spans="1:20" x14ac:dyDescent="0.25">
      <c r="A537" s="690"/>
      <c r="B537" s="691" t="s">
        <v>1226</v>
      </c>
      <c r="C537" s="676" t="s">
        <v>40</v>
      </c>
      <c r="D537" s="680">
        <v>44805</v>
      </c>
      <c r="E537" s="676">
        <v>720</v>
      </c>
      <c r="F537" s="676" t="s">
        <v>3</v>
      </c>
      <c r="G537" s="690" t="s">
        <v>44</v>
      </c>
      <c r="H537" s="115">
        <v>5</v>
      </c>
      <c r="I537" s="115">
        <v>183</v>
      </c>
      <c r="J537" s="601">
        <f t="shared" si="56"/>
        <v>-658800</v>
      </c>
      <c r="K537" s="738">
        <v>56.08</v>
      </c>
      <c r="L537" s="677">
        <f t="shared" si="57"/>
        <v>201888</v>
      </c>
      <c r="M537" s="739">
        <f t="shared" si="58"/>
        <v>-456912</v>
      </c>
      <c r="N537" s="740">
        <v>56.08</v>
      </c>
      <c r="O537" s="678">
        <f t="shared" si="59"/>
        <v>201888</v>
      </c>
      <c r="P537" s="700">
        <f t="shared" si="60"/>
        <v>-456912</v>
      </c>
      <c r="Q537" s="740">
        <v>56.08</v>
      </c>
      <c r="R537" s="678">
        <f t="shared" si="61"/>
        <v>201888</v>
      </c>
      <c r="S537" s="700">
        <f t="shared" si="62"/>
        <v>-456912</v>
      </c>
      <c r="T537" s="691" t="s">
        <v>54</v>
      </c>
    </row>
    <row r="538" spans="1:20" x14ac:dyDescent="0.25">
      <c r="A538" s="690"/>
      <c r="B538" s="691" t="s">
        <v>1226</v>
      </c>
      <c r="C538" s="676" t="s">
        <v>40</v>
      </c>
      <c r="D538" s="680">
        <v>44835</v>
      </c>
      <c r="E538" s="676">
        <v>744</v>
      </c>
      <c r="F538" s="676" t="s">
        <v>3</v>
      </c>
      <c r="G538" s="690" t="s">
        <v>44</v>
      </c>
      <c r="H538" s="115">
        <v>5</v>
      </c>
      <c r="I538" s="115">
        <v>183</v>
      </c>
      <c r="J538" s="601">
        <f t="shared" si="56"/>
        <v>-680760</v>
      </c>
      <c r="K538" s="738">
        <v>55.7</v>
      </c>
      <c r="L538" s="677">
        <f t="shared" si="57"/>
        <v>207204</v>
      </c>
      <c r="M538" s="739">
        <f t="shared" si="58"/>
        <v>-473556</v>
      </c>
      <c r="N538" s="740">
        <v>55.7</v>
      </c>
      <c r="O538" s="678">
        <f t="shared" si="59"/>
        <v>207204</v>
      </c>
      <c r="P538" s="700">
        <f t="shared" si="60"/>
        <v>-473556</v>
      </c>
      <c r="Q538" s="740">
        <v>55.7</v>
      </c>
      <c r="R538" s="678">
        <f t="shared" si="61"/>
        <v>207204</v>
      </c>
      <c r="S538" s="700">
        <f t="shared" si="62"/>
        <v>-473556</v>
      </c>
      <c r="T538" s="691" t="s">
        <v>54</v>
      </c>
    </row>
    <row r="539" spans="1:20" x14ac:dyDescent="0.25">
      <c r="A539" s="690"/>
      <c r="B539" s="691" t="s">
        <v>1226</v>
      </c>
      <c r="C539" s="676" t="s">
        <v>40</v>
      </c>
      <c r="D539" s="680">
        <v>44866</v>
      </c>
      <c r="E539" s="676">
        <v>720</v>
      </c>
      <c r="F539" s="676" t="s">
        <v>3</v>
      </c>
      <c r="G539" s="690" t="s">
        <v>44</v>
      </c>
      <c r="H539" s="115">
        <v>5</v>
      </c>
      <c r="I539" s="115">
        <v>183</v>
      </c>
      <c r="J539" s="601">
        <f t="shared" si="56"/>
        <v>-658800</v>
      </c>
      <c r="K539" s="738">
        <v>55.7</v>
      </c>
      <c r="L539" s="677">
        <f t="shared" si="57"/>
        <v>200520</v>
      </c>
      <c r="M539" s="739">
        <f t="shared" si="58"/>
        <v>-458280</v>
      </c>
      <c r="N539" s="740">
        <v>55.7</v>
      </c>
      <c r="O539" s="678">
        <f t="shared" si="59"/>
        <v>200520</v>
      </c>
      <c r="P539" s="700">
        <f t="shared" si="60"/>
        <v>-458280</v>
      </c>
      <c r="Q539" s="740">
        <v>55.7</v>
      </c>
      <c r="R539" s="678">
        <f t="shared" si="61"/>
        <v>200520</v>
      </c>
      <c r="S539" s="700">
        <f t="shared" si="62"/>
        <v>-458280</v>
      </c>
      <c r="T539" s="691" t="s">
        <v>54</v>
      </c>
    </row>
    <row r="540" spans="1:20" x14ac:dyDescent="0.25">
      <c r="A540" s="690"/>
      <c r="B540" s="695" t="s">
        <v>1226</v>
      </c>
      <c r="C540" s="545" t="s">
        <v>40</v>
      </c>
      <c r="D540" s="681">
        <v>44896</v>
      </c>
      <c r="E540" s="545">
        <v>744</v>
      </c>
      <c r="F540" s="545" t="s">
        <v>3</v>
      </c>
      <c r="G540" s="725" t="s">
        <v>44</v>
      </c>
      <c r="H540" s="548">
        <v>5</v>
      </c>
      <c r="I540" s="548">
        <v>183</v>
      </c>
      <c r="J540" s="602">
        <f t="shared" si="56"/>
        <v>-680760</v>
      </c>
      <c r="K540" s="742">
        <v>55.7</v>
      </c>
      <c r="L540" s="603">
        <f t="shared" si="57"/>
        <v>207204</v>
      </c>
      <c r="M540" s="743">
        <f t="shared" si="58"/>
        <v>-473556</v>
      </c>
      <c r="N540" s="744">
        <v>55.7</v>
      </c>
      <c r="O540" s="604">
        <f t="shared" si="59"/>
        <v>207204</v>
      </c>
      <c r="P540" s="701">
        <f t="shared" si="60"/>
        <v>-473556</v>
      </c>
      <c r="Q540" s="744">
        <v>78.400653594793155</v>
      </c>
      <c r="R540" s="604">
        <f t="shared" si="61"/>
        <v>291650.43137263053</v>
      </c>
      <c r="S540" s="701">
        <f t="shared" si="62"/>
        <v>-389109.56862736947</v>
      </c>
      <c r="T540" s="695" t="s">
        <v>54</v>
      </c>
    </row>
    <row r="541" spans="1:20" x14ac:dyDescent="0.25">
      <c r="A541" s="690"/>
      <c r="B541" s="697" t="s">
        <v>1228</v>
      </c>
      <c r="C541" s="547" t="s">
        <v>40</v>
      </c>
      <c r="D541" s="683">
        <v>44593</v>
      </c>
      <c r="E541" s="547">
        <v>672</v>
      </c>
      <c r="F541" s="547" t="s">
        <v>3</v>
      </c>
      <c r="G541" s="727" t="s">
        <v>44</v>
      </c>
      <c r="H541" s="638">
        <v>3</v>
      </c>
      <c r="I541" s="638">
        <v>57.7</v>
      </c>
      <c r="J541" s="639">
        <f t="shared" si="56"/>
        <v>-116323.20000000001</v>
      </c>
      <c r="K541" s="750">
        <v>55.7</v>
      </c>
      <c r="L541" s="608">
        <f t="shared" si="57"/>
        <v>112291.20000000001</v>
      </c>
      <c r="M541" s="751">
        <f t="shared" si="58"/>
        <v>-4032</v>
      </c>
      <c r="N541" s="752">
        <v>55.7</v>
      </c>
      <c r="O541" s="609">
        <f t="shared" si="59"/>
        <v>112291.20000000001</v>
      </c>
      <c r="P541" s="703">
        <f t="shared" si="60"/>
        <v>-4032</v>
      </c>
      <c r="Q541" s="752">
        <v>55.7</v>
      </c>
      <c r="R541" s="609">
        <f t="shared" si="61"/>
        <v>112291.20000000001</v>
      </c>
      <c r="S541" s="703">
        <f t="shared" si="62"/>
        <v>-4032</v>
      </c>
      <c r="T541" s="697" t="s">
        <v>92</v>
      </c>
    </row>
    <row r="542" spans="1:20" x14ac:dyDescent="0.25">
      <c r="A542" s="690"/>
      <c r="B542" s="697" t="s">
        <v>1230</v>
      </c>
      <c r="C542" s="547" t="s">
        <v>40</v>
      </c>
      <c r="D542" s="683">
        <v>44652</v>
      </c>
      <c r="E542" s="547">
        <v>720</v>
      </c>
      <c r="F542" s="547" t="s">
        <v>3</v>
      </c>
      <c r="G542" s="727" t="s">
        <v>44</v>
      </c>
      <c r="H542" s="638">
        <v>5</v>
      </c>
      <c r="I542" s="638">
        <v>75</v>
      </c>
      <c r="J542" s="639">
        <f t="shared" si="56"/>
        <v>-270000</v>
      </c>
      <c r="K542" s="750">
        <v>55.7</v>
      </c>
      <c r="L542" s="608">
        <f t="shared" si="57"/>
        <v>200520</v>
      </c>
      <c r="M542" s="751">
        <f t="shared" si="58"/>
        <v>-69480</v>
      </c>
      <c r="N542" s="752">
        <v>55.7</v>
      </c>
      <c r="O542" s="609">
        <f t="shared" si="59"/>
        <v>200520</v>
      </c>
      <c r="P542" s="703">
        <f t="shared" si="60"/>
        <v>-69480</v>
      </c>
      <c r="Q542" s="752">
        <v>55.7</v>
      </c>
      <c r="R542" s="609">
        <f t="shared" si="61"/>
        <v>200520</v>
      </c>
      <c r="S542" s="703">
        <f t="shared" si="62"/>
        <v>-69480</v>
      </c>
      <c r="T542" s="697" t="s">
        <v>54</v>
      </c>
    </row>
    <row r="543" spans="1:20" x14ac:dyDescent="0.25">
      <c r="A543" s="690"/>
      <c r="B543" s="697" t="s">
        <v>1232</v>
      </c>
      <c r="C543" s="547" t="s">
        <v>40</v>
      </c>
      <c r="D543" s="683">
        <v>44652</v>
      </c>
      <c r="E543" s="547">
        <v>720</v>
      </c>
      <c r="F543" s="547" t="s">
        <v>3</v>
      </c>
      <c r="G543" s="727" t="s">
        <v>44</v>
      </c>
      <c r="H543" s="638">
        <v>12</v>
      </c>
      <c r="I543" s="638">
        <v>75</v>
      </c>
      <c r="J543" s="639">
        <f t="shared" si="56"/>
        <v>-648000</v>
      </c>
      <c r="K543" s="750">
        <v>55.7</v>
      </c>
      <c r="L543" s="608">
        <f t="shared" si="57"/>
        <v>481248</v>
      </c>
      <c r="M543" s="751">
        <f t="shared" si="58"/>
        <v>-166752</v>
      </c>
      <c r="N543" s="752">
        <v>55.7</v>
      </c>
      <c r="O543" s="609">
        <f t="shared" si="59"/>
        <v>481248</v>
      </c>
      <c r="P543" s="703">
        <f t="shared" si="60"/>
        <v>-166752</v>
      </c>
      <c r="Q543" s="752">
        <v>55.7</v>
      </c>
      <c r="R543" s="609">
        <f t="shared" si="61"/>
        <v>481248</v>
      </c>
      <c r="S543" s="703">
        <f t="shared" si="62"/>
        <v>-166752</v>
      </c>
      <c r="T543" s="697" t="s">
        <v>54</v>
      </c>
    </row>
    <row r="544" spans="1:20" x14ac:dyDescent="0.25">
      <c r="A544" s="690"/>
      <c r="B544" s="697" t="s">
        <v>1235</v>
      </c>
      <c r="C544" s="547" t="s">
        <v>40</v>
      </c>
      <c r="D544" s="683">
        <v>44713</v>
      </c>
      <c r="E544" s="547">
        <v>720</v>
      </c>
      <c r="F544" s="547" t="s">
        <v>3</v>
      </c>
      <c r="G544" s="727" t="s">
        <v>44</v>
      </c>
      <c r="H544" s="638">
        <v>3</v>
      </c>
      <c r="I544" s="638">
        <v>123</v>
      </c>
      <c r="J544" s="639">
        <f t="shared" si="56"/>
        <v>-265680</v>
      </c>
      <c r="K544" s="750">
        <v>55.71</v>
      </c>
      <c r="L544" s="608">
        <f t="shared" si="57"/>
        <v>120333.6</v>
      </c>
      <c r="M544" s="751">
        <f t="shared" si="58"/>
        <v>-145346.4</v>
      </c>
      <c r="N544" s="752">
        <v>55.71</v>
      </c>
      <c r="O544" s="609">
        <f t="shared" si="59"/>
        <v>120333.6</v>
      </c>
      <c r="P544" s="703">
        <f t="shared" si="60"/>
        <v>-145346.4</v>
      </c>
      <c r="Q544" s="752">
        <v>55.71</v>
      </c>
      <c r="R544" s="609">
        <f t="shared" si="61"/>
        <v>120333.6</v>
      </c>
      <c r="S544" s="703">
        <f t="shared" si="62"/>
        <v>-145346.4</v>
      </c>
      <c r="T544" s="697" t="s">
        <v>54</v>
      </c>
    </row>
    <row r="545" spans="1:20" x14ac:dyDescent="0.25">
      <c r="A545" s="690"/>
      <c r="B545" s="697" t="s">
        <v>1250</v>
      </c>
      <c r="C545" s="547" t="s">
        <v>40</v>
      </c>
      <c r="D545" s="683">
        <v>44593</v>
      </c>
      <c r="E545" s="547">
        <v>672</v>
      </c>
      <c r="F545" s="547" t="s">
        <v>6</v>
      </c>
      <c r="G545" s="727" t="s">
        <v>44</v>
      </c>
      <c r="H545" s="638">
        <v>0.5</v>
      </c>
      <c r="I545" s="638">
        <v>256.7</v>
      </c>
      <c r="J545" s="639">
        <f t="shared" si="56"/>
        <v>-86251.199999999997</v>
      </c>
      <c r="K545" s="750">
        <v>55.7</v>
      </c>
      <c r="L545" s="608">
        <f t="shared" si="57"/>
        <v>18715.2</v>
      </c>
      <c r="M545" s="751">
        <f t="shared" si="58"/>
        <v>-67536</v>
      </c>
      <c r="N545" s="752">
        <v>55.7</v>
      </c>
      <c r="O545" s="609">
        <f t="shared" si="59"/>
        <v>18715.2</v>
      </c>
      <c r="P545" s="703">
        <f t="shared" si="60"/>
        <v>-67536</v>
      </c>
      <c r="Q545" s="752">
        <v>55.7</v>
      </c>
      <c r="R545" s="609">
        <f t="shared" si="61"/>
        <v>18715.2</v>
      </c>
      <c r="S545" s="703">
        <f t="shared" si="62"/>
        <v>-67536</v>
      </c>
      <c r="T545" s="697" t="s">
        <v>92</v>
      </c>
    </row>
    <row r="546" spans="1:20" x14ac:dyDescent="0.25">
      <c r="A546" s="690"/>
      <c r="B546" s="697" t="s">
        <v>1252</v>
      </c>
      <c r="C546" s="547" t="s">
        <v>40</v>
      </c>
      <c r="D546" s="683">
        <v>44593</v>
      </c>
      <c r="E546" s="547">
        <v>672</v>
      </c>
      <c r="F546" s="547" t="s">
        <v>3</v>
      </c>
      <c r="G546" s="727" t="s">
        <v>44</v>
      </c>
      <c r="H546" s="638">
        <v>6</v>
      </c>
      <c r="I546" s="638">
        <v>57</v>
      </c>
      <c r="J546" s="639">
        <f t="shared" si="56"/>
        <v>-229824</v>
      </c>
      <c r="K546" s="750">
        <v>55.7</v>
      </c>
      <c r="L546" s="608">
        <f t="shared" si="57"/>
        <v>224582.40000000002</v>
      </c>
      <c r="M546" s="751">
        <f t="shared" si="58"/>
        <v>-5241.5999999999767</v>
      </c>
      <c r="N546" s="752">
        <v>55.7</v>
      </c>
      <c r="O546" s="609">
        <f t="shared" si="59"/>
        <v>224582.40000000002</v>
      </c>
      <c r="P546" s="703">
        <f t="shared" si="60"/>
        <v>-5241.5999999999767</v>
      </c>
      <c r="Q546" s="752">
        <v>55.7</v>
      </c>
      <c r="R546" s="609">
        <f t="shared" si="61"/>
        <v>224582.40000000002</v>
      </c>
      <c r="S546" s="703">
        <f t="shared" si="62"/>
        <v>-5241.5999999999767</v>
      </c>
      <c r="T546" s="697" t="s">
        <v>92</v>
      </c>
    </row>
    <row r="547" spans="1:20" x14ac:dyDescent="0.25">
      <c r="A547" s="690"/>
      <c r="B547" s="697" t="s">
        <v>1254</v>
      </c>
      <c r="C547" s="547" t="s">
        <v>40</v>
      </c>
      <c r="D547" s="683">
        <v>44593</v>
      </c>
      <c r="E547" s="547">
        <v>672</v>
      </c>
      <c r="F547" s="547" t="s">
        <v>6</v>
      </c>
      <c r="G547" s="727" t="s">
        <v>44</v>
      </c>
      <c r="H547" s="638">
        <v>0.5</v>
      </c>
      <c r="I547" s="638">
        <v>257.7</v>
      </c>
      <c r="J547" s="639">
        <f t="shared" si="56"/>
        <v>-86587.199999999997</v>
      </c>
      <c r="K547" s="750">
        <v>55.7</v>
      </c>
      <c r="L547" s="608">
        <f t="shared" si="57"/>
        <v>18715.2</v>
      </c>
      <c r="M547" s="751">
        <f t="shared" si="58"/>
        <v>-67872</v>
      </c>
      <c r="N547" s="752">
        <v>55.7</v>
      </c>
      <c r="O547" s="609">
        <f t="shared" si="59"/>
        <v>18715.2</v>
      </c>
      <c r="P547" s="703">
        <f t="shared" si="60"/>
        <v>-67872</v>
      </c>
      <c r="Q547" s="752">
        <v>55.7</v>
      </c>
      <c r="R547" s="609">
        <f t="shared" si="61"/>
        <v>18715.2</v>
      </c>
      <c r="S547" s="703">
        <f t="shared" si="62"/>
        <v>-67872</v>
      </c>
      <c r="T547" s="697" t="s">
        <v>92</v>
      </c>
    </row>
    <row r="548" spans="1:20" x14ac:dyDescent="0.25">
      <c r="A548" s="690"/>
      <c r="B548" s="697" t="s">
        <v>1256</v>
      </c>
      <c r="C548" s="547" t="s">
        <v>40</v>
      </c>
      <c r="D548" s="683">
        <v>44593</v>
      </c>
      <c r="E548" s="547">
        <v>672</v>
      </c>
      <c r="F548" s="547" t="s">
        <v>6</v>
      </c>
      <c r="G548" s="727" t="s">
        <v>44</v>
      </c>
      <c r="H548" s="638">
        <v>1.5</v>
      </c>
      <c r="I548" s="638">
        <v>257.7</v>
      </c>
      <c r="J548" s="639">
        <f t="shared" si="56"/>
        <v>-259761.59999999998</v>
      </c>
      <c r="K548" s="750">
        <v>55.7</v>
      </c>
      <c r="L548" s="608">
        <f t="shared" si="57"/>
        <v>56145.600000000006</v>
      </c>
      <c r="M548" s="751">
        <f t="shared" si="58"/>
        <v>-203615.99999999997</v>
      </c>
      <c r="N548" s="752">
        <v>55.7</v>
      </c>
      <c r="O548" s="609">
        <f t="shared" si="59"/>
        <v>56145.600000000006</v>
      </c>
      <c r="P548" s="703">
        <f t="shared" si="60"/>
        <v>-203615.99999999997</v>
      </c>
      <c r="Q548" s="752">
        <v>55.7</v>
      </c>
      <c r="R548" s="609">
        <f t="shared" si="61"/>
        <v>56145.600000000006</v>
      </c>
      <c r="S548" s="703">
        <f t="shared" si="62"/>
        <v>-203615.99999999997</v>
      </c>
      <c r="T548" s="697" t="s">
        <v>92</v>
      </c>
    </row>
    <row r="549" spans="1:20" x14ac:dyDescent="0.25">
      <c r="A549" s="690"/>
      <c r="B549" s="697" t="s">
        <v>1258</v>
      </c>
      <c r="C549" s="547" t="s">
        <v>40</v>
      </c>
      <c r="D549" s="683">
        <v>44593</v>
      </c>
      <c r="E549" s="547">
        <v>672</v>
      </c>
      <c r="F549" s="547" t="s">
        <v>3</v>
      </c>
      <c r="G549" s="727" t="s">
        <v>44</v>
      </c>
      <c r="H549" s="638">
        <v>4</v>
      </c>
      <c r="I549" s="638">
        <v>57</v>
      </c>
      <c r="J549" s="639">
        <f t="shared" si="56"/>
        <v>-153216</v>
      </c>
      <c r="K549" s="750">
        <v>55.7</v>
      </c>
      <c r="L549" s="608">
        <f t="shared" si="57"/>
        <v>149721.60000000001</v>
      </c>
      <c r="M549" s="751">
        <f t="shared" si="58"/>
        <v>-3494.3999999999942</v>
      </c>
      <c r="N549" s="752">
        <v>55.7</v>
      </c>
      <c r="O549" s="609">
        <f t="shared" si="59"/>
        <v>149721.60000000001</v>
      </c>
      <c r="P549" s="703">
        <f t="shared" si="60"/>
        <v>-3494.3999999999942</v>
      </c>
      <c r="Q549" s="752">
        <v>55.7</v>
      </c>
      <c r="R549" s="609">
        <f t="shared" si="61"/>
        <v>149721.60000000001</v>
      </c>
      <c r="S549" s="703">
        <f t="shared" si="62"/>
        <v>-3494.3999999999942</v>
      </c>
      <c r="T549" s="697" t="s">
        <v>92</v>
      </c>
    </row>
    <row r="550" spans="1:20" x14ac:dyDescent="0.25">
      <c r="A550" s="690"/>
      <c r="B550" s="697" t="s">
        <v>1260</v>
      </c>
      <c r="C550" s="547" t="s">
        <v>40</v>
      </c>
      <c r="D550" s="683">
        <v>44593</v>
      </c>
      <c r="E550" s="547">
        <v>672</v>
      </c>
      <c r="F550" s="547" t="s">
        <v>6</v>
      </c>
      <c r="G550" s="727" t="s">
        <v>44</v>
      </c>
      <c r="H550" s="638">
        <v>1</v>
      </c>
      <c r="I550" s="638">
        <v>257.7</v>
      </c>
      <c r="J550" s="639">
        <f t="shared" si="56"/>
        <v>-173174.39999999999</v>
      </c>
      <c r="K550" s="750">
        <v>55.7</v>
      </c>
      <c r="L550" s="608">
        <f t="shared" si="57"/>
        <v>37430.400000000001</v>
      </c>
      <c r="M550" s="751">
        <f t="shared" si="58"/>
        <v>-135744</v>
      </c>
      <c r="N550" s="752">
        <v>55.7</v>
      </c>
      <c r="O550" s="609">
        <f t="shared" si="59"/>
        <v>37430.400000000001</v>
      </c>
      <c r="P550" s="703">
        <f t="shared" si="60"/>
        <v>-135744</v>
      </c>
      <c r="Q550" s="752">
        <v>55.7</v>
      </c>
      <c r="R550" s="609">
        <f t="shared" si="61"/>
        <v>37430.400000000001</v>
      </c>
      <c r="S550" s="703">
        <f t="shared" si="62"/>
        <v>-135744</v>
      </c>
      <c r="T550" s="697" t="s">
        <v>92</v>
      </c>
    </row>
    <row r="551" spans="1:20" x14ac:dyDescent="0.25">
      <c r="A551" s="690"/>
      <c r="B551" s="697" t="s">
        <v>1262</v>
      </c>
      <c r="C551" s="547" t="s">
        <v>40</v>
      </c>
      <c r="D551" s="683">
        <v>44682</v>
      </c>
      <c r="E551" s="547">
        <v>744</v>
      </c>
      <c r="F551" s="547" t="s">
        <v>3</v>
      </c>
      <c r="G551" s="727" t="s">
        <v>44</v>
      </c>
      <c r="H551" s="638">
        <v>8.6999999999999993</v>
      </c>
      <c r="I551" s="638">
        <v>87.5</v>
      </c>
      <c r="J551" s="639">
        <f t="shared" si="56"/>
        <v>-566369.99999999988</v>
      </c>
      <c r="K551" s="750">
        <v>55.7</v>
      </c>
      <c r="L551" s="608">
        <f t="shared" si="57"/>
        <v>360534.95999999996</v>
      </c>
      <c r="M551" s="751">
        <f t="shared" si="58"/>
        <v>-205835.03999999992</v>
      </c>
      <c r="N551" s="752">
        <v>55.7</v>
      </c>
      <c r="O551" s="609">
        <f t="shared" si="59"/>
        <v>360534.95999999996</v>
      </c>
      <c r="P551" s="703">
        <f t="shared" si="60"/>
        <v>-205835.03999999992</v>
      </c>
      <c r="Q551" s="752">
        <v>55.7</v>
      </c>
      <c r="R551" s="609">
        <f t="shared" si="61"/>
        <v>360534.95999999996</v>
      </c>
      <c r="S551" s="703">
        <f t="shared" si="62"/>
        <v>-205835.03999999992</v>
      </c>
      <c r="T551" s="697" t="s">
        <v>54</v>
      </c>
    </row>
    <row r="552" spans="1:20" x14ac:dyDescent="0.25">
      <c r="A552" s="690"/>
      <c r="B552" s="697" t="s">
        <v>1264</v>
      </c>
      <c r="C552" s="547" t="s">
        <v>40</v>
      </c>
      <c r="D552" s="683">
        <v>44682</v>
      </c>
      <c r="E552" s="547">
        <v>744</v>
      </c>
      <c r="F552" s="547" t="s">
        <v>3</v>
      </c>
      <c r="G552" s="727" t="s">
        <v>44</v>
      </c>
      <c r="H552" s="638">
        <v>10</v>
      </c>
      <c r="I552" s="638">
        <v>87.5</v>
      </c>
      <c r="J552" s="639">
        <f t="shared" si="56"/>
        <v>-651000</v>
      </c>
      <c r="K552" s="750">
        <v>55.7</v>
      </c>
      <c r="L552" s="608">
        <f t="shared" si="57"/>
        <v>414408</v>
      </c>
      <c r="M552" s="751">
        <f t="shared" si="58"/>
        <v>-236592</v>
      </c>
      <c r="N552" s="752">
        <v>55.7</v>
      </c>
      <c r="O552" s="609">
        <f t="shared" si="59"/>
        <v>414408</v>
      </c>
      <c r="P552" s="703">
        <f t="shared" si="60"/>
        <v>-236592</v>
      </c>
      <c r="Q552" s="752">
        <v>55.7</v>
      </c>
      <c r="R552" s="609">
        <f t="shared" si="61"/>
        <v>414408</v>
      </c>
      <c r="S552" s="703">
        <f t="shared" si="62"/>
        <v>-236592</v>
      </c>
      <c r="T552" s="697" t="s">
        <v>54</v>
      </c>
    </row>
    <row r="553" spans="1:20" x14ac:dyDescent="0.25">
      <c r="A553" s="690"/>
      <c r="B553" s="697" t="s">
        <v>1266</v>
      </c>
      <c r="C553" s="547" t="s">
        <v>40</v>
      </c>
      <c r="D553" s="683">
        <v>44896</v>
      </c>
      <c r="E553" s="547">
        <v>744</v>
      </c>
      <c r="F553" s="547" t="s">
        <v>3</v>
      </c>
      <c r="G553" s="727" t="s">
        <v>44</v>
      </c>
      <c r="H553" s="638">
        <v>5</v>
      </c>
      <c r="I553" s="638">
        <v>168</v>
      </c>
      <c r="J553" s="639">
        <f t="shared" si="56"/>
        <v>-624960</v>
      </c>
      <c r="K553" s="750">
        <v>55.7</v>
      </c>
      <c r="L553" s="608">
        <f t="shared" si="57"/>
        <v>207204</v>
      </c>
      <c r="M553" s="751">
        <f t="shared" si="58"/>
        <v>-417756</v>
      </c>
      <c r="N553" s="752">
        <v>55.7</v>
      </c>
      <c r="O553" s="609">
        <f t="shared" si="59"/>
        <v>207204</v>
      </c>
      <c r="P553" s="703">
        <f t="shared" si="60"/>
        <v>-417756</v>
      </c>
      <c r="Q553" s="752">
        <v>78.400653594793155</v>
      </c>
      <c r="R553" s="609">
        <f t="shared" si="61"/>
        <v>291650.43137263053</v>
      </c>
      <c r="S553" s="703">
        <f t="shared" si="62"/>
        <v>-333309.56862736947</v>
      </c>
      <c r="T553" s="697" t="s">
        <v>54</v>
      </c>
    </row>
    <row r="554" spans="1:20" x14ac:dyDescent="0.25">
      <c r="A554" s="690"/>
      <c r="B554" s="697" t="s">
        <v>1268</v>
      </c>
      <c r="C554" s="547" t="s">
        <v>40</v>
      </c>
      <c r="D554" s="683">
        <v>44713</v>
      </c>
      <c r="E554" s="547">
        <v>720</v>
      </c>
      <c r="F554" s="547" t="s">
        <v>3</v>
      </c>
      <c r="G554" s="727" t="s">
        <v>44</v>
      </c>
      <c r="H554" s="638">
        <v>2</v>
      </c>
      <c r="I554" s="638">
        <v>123</v>
      </c>
      <c r="J554" s="639">
        <f t="shared" si="56"/>
        <v>-177120</v>
      </c>
      <c r="K554" s="750">
        <v>55.71</v>
      </c>
      <c r="L554" s="608">
        <f t="shared" si="57"/>
        <v>80222.399999999994</v>
      </c>
      <c r="M554" s="751">
        <f t="shared" si="58"/>
        <v>-96897.600000000006</v>
      </c>
      <c r="N554" s="752">
        <v>55.71</v>
      </c>
      <c r="O554" s="609">
        <f t="shared" si="59"/>
        <v>80222.399999999994</v>
      </c>
      <c r="P554" s="703">
        <f t="shared" si="60"/>
        <v>-96897.600000000006</v>
      </c>
      <c r="Q554" s="752">
        <v>55.71</v>
      </c>
      <c r="R554" s="609">
        <f t="shared" si="61"/>
        <v>80222.399999999994</v>
      </c>
      <c r="S554" s="703">
        <f t="shared" si="62"/>
        <v>-96897.600000000006</v>
      </c>
      <c r="T554" s="697" t="s">
        <v>54</v>
      </c>
    </row>
    <row r="555" spans="1:20" x14ac:dyDescent="0.25">
      <c r="A555" s="690"/>
      <c r="B555" s="697" t="s">
        <v>1270</v>
      </c>
      <c r="C555" s="547" t="s">
        <v>40</v>
      </c>
      <c r="D555" s="683">
        <v>44593</v>
      </c>
      <c r="E555" s="547">
        <v>672</v>
      </c>
      <c r="F555" s="547" t="s">
        <v>6</v>
      </c>
      <c r="G555" s="727" t="s">
        <v>44</v>
      </c>
      <c r="H555" s="638">
        <v>0.35</v>
      </c>
      <c r="I555" s="638">
        <v>258.7</v>
      </c>
      <c r="J555" s="639">
        <f t="shared" si="56"/>
        <v>-60846.239999999998</v>
      </c>
      <c r="K555" s="750">
        <v>55.7</v>
      </c>
      <c r="L555" s="608">
        <f t="shared" si="57"/>
        <v>13100.64</v>
      </c>
      <c r="M555" s="751">
        <f t="shared" si="58"/>
        <v>-47745.599999999999</v>
      </c>
      <c r="N555" s="752">
        <v>55.7</v>
      </c>
      <c r="O555" s="609">
        <f t="shared" si="59"/>
        <v>13100.64</v>
      </c>
      <c r="P555" s="703">
        <f t="shared" si="60"/>
        <v>-47745.599999999999</v>
      </c>
      <c r="Q555" s="752">
        <v>55.7</v>
      </c>
      <c r="R555" s="609">
        <f t="shared" si="61"/>
        <v>13100.64</v>
      </c>
      <c r="S555" s="703">
        <f t="shared" si="62"/>
        <v>-47745.599999999999</v>
      </c>
      <c r="T555" s="697" t="s">
        <v>92</v>
      </c>
    </row>
    <row r="556" spans="1:20" x14ac:dyDescent="0.25">
      <c r="A556" s="690"/>
      <c r="B556" s="697" t="s">
        <v>1272</v>
      </c>
      <c r="C556" s="547" t="s">
        <v>40</v>
      </c>
      <c r="D556" s="683">
        <v>44593</v>
      </c>
      <c r="E556" s="547">
        <v>672</v>
      </c>
      <c r="F556" s="547" t="s">
        <v>6</v>
      </c>
      <c r="G556" s="727" t="s">
        <v>44</v>
      </c>
      <c r="H556" s="638">
        <v>1</v>
      </c>
      <c r="I556" s="638">
        <v>257.7</v>
      </c>
      <c r="J556" s="639">
        <f t="shared" si="56"/>
        <v>-173174.39999999999</v>
      </c>
      <c r="K556" s="750">
        <v>55.7</v>
      </c>
      <c r="L556" s="608">
        <f t="shared" si="57"/>
        <v>37430.400000000001</v>
      </c>
      <c r="M556" s="751">
        <f t="shared" si="58"/>
        <v>-135744</v>
      </c>
      <c r="N556" s="752">
        <v>55.7</v>
      </c>
      <c r="O556" s="609">
        <f t="shared" si="59"/>
        <v>37430.400000000001</v>
      </c>
      <c r="P556" s="703">
        <f t="shared" si="60"/>
        <v>-135744</v>
      </c>
      <c r="Q556" s="752">
        <v>55.7</v>
      </c>
      <c r="R556" s="609">
        <f t="shared" si="61"/>
        <v>37430.400000000001</v>
      </c>
      <c r="S556" s="703">
        <f t="shared" si="62"/>
        <v>-135744</v>
      </c>
      <c r="T556" s="697" t="s">
        <v>92</v>
      </c>
    </row>
    <row r="557" spans="1:20" x14ac:dyDescent="0.25">
      <c r="A557" s="690"/>
      <c r="B557" s="697" t="s">
        <v>1298</v>
      </c>
      <c r="C557" s="547" t="s">
        <v>40</v>
      </c>
      <c r="D557" s="683">
        <v>44866</v>
      </c>
      <c r="E557" s="547">
        <v>720</v>
      </c>
      <c r="F557" s="547" t="s">
        <v>3</v>
      </c>
      <c r="G557" s="727" t="s">
        <v>44</v>
      </c>
      <c r="H557" s="638">
        <v>1.6</v>
      </c>
      <c r="I557" s="638">
        <v>191</v>
      </c>
      <c r="J557" s="639">
        <f t="shared" si="56"/>
        <v>-220032</v>
      </c>
      <c r="K557" s="750">
        <v>55.7</v>
      </c>
      <c r="L557" s="608">
        <f t="shared" si="57"/>
        <v>64166.400000000001</v>
      </c>
      <c r="M557" s="751">
        <f t="shared" si="58"/>
        <v>-155865.60000000001</v>
      </c>
      <c r="N557" s="752">
        <v>55.7</v>
      </c>
      <c r="O557" s="609">
        <f t="shared" si="59"/>
        <v>64166.400000000001</v>
      </c>
      <c r="P557" s="703">
        <f t="shared" si="60"/>
        <v>-155865.60000000001</v>
      </c>
      <c r="Q557" s="752">
        <v>55.7</v>
      </c>
      <c r="R557" s="609">
        <f t="shared" si="61"/>
        <v>64166.400000000001</v>
      </c>
      <c r="S557" s="703">
        <f t="shared" si="62"/>
        <v>-155865.60000000001</v>
      </c>
      <c r="T557" s="697" t="s">
        <v>54</v>
      </c>
    </row>
    <row r="558" spans="1:20" x14ac:dyDescent="0.25">
      <c r="A558" s="690"/>
      <c r="B558" s="696" t="s">
        <v>1300</v>
      </c>
      <c r="C558" s="546" t="s">
        <v>40</v>
      </c>
      <c r="D558" s="682">
        <v>44743</v>
      </c>
      <c r="E558" s="546">
        <v>744</v>
      </c>
      <c r="F558" s="546" t="s">
        <v>3</v>
      </c>
      <c r="G558" s="726" t="s">
        <v>44</v>
      </c>
      <c r="H558" s="549">
        <v>1</v>
      </c>
      <c r="I558" s="549">
        <v>182</v>
      </c>
      <c r="J558" s="605">
        <f t="shared" si="56"/>
        <v>-135408</v>
      </c>
      <c r="K558" s="746">
        <v>66.319999999999993</v>
      </c>
      <c r="L558" s="606">
        <f t="shared" si="57"/>
        <v>49342.079999999994</v>
      </c>
      <c r="M558" s="747">
        <f t="shared" si="58"/>
        <v>-86065.920000000013</v>
      </c>
      <c r="N558" s="748">
        <v>66.319999999999993</v>
      </c>
      <c r="O558" s="607">
        <f t="shared" si="59"/>
        <v>49342.079999999994</v>
      </c>
      <c r="P558" s="702">
        <f t="shared" si="60"/>
        <v>-86065.920000000013</v>
      </c>
      <c r="Q558" s="748">
        <v>66.319999999999993</v>
      </c>
      <c r="R558" s="607">
        <f t="shared" si="61"/>
        <v>49342.079999999994</v>
      </c>
      <c r="S558" s="702">
        <f t="shared" si="62"/>
        <v>-86065.920000000013</v>
      </c>
      <c r="T558" s="696" t="s">
        <v>54</v>
      </c>
    </row>
    <row r="559" spans="1:20" x14ac:dyDescent="0.25">
      <c r="A559" s="690"/>
      <c r="B559" s="691" t="s">
        <v>1300</v>
      </c>
      <c r="C559" s="676" t="s">
        <v>40</v>
      </c>
      <c r="D559" s="680">
        <v>44774</v>
      </c>
      <c r="E559" s="676">
        <v>744</v>
      </c>
      <c r="F559" s="676" t="s">
        <v>3</v>
      </c>
      <c r="G559" s="690" t="s">
        <v>44</v>
      </c>
      <c r="H559" s="115">
        <v>1</v>
      </c>
      <c r="I559" s="115">
        <v>182</v>
      </c>
      <c r="J559" s="601">
        <f t="shared" si="56"/>
        <v>-135408</v>
      </c>
      <c r="K559" s="738">
        <v>76.900000000000006</v>
      </c>
      <c r="L559" s="677">
        <f t="shared" si="57"/>
        <v>57213.600000000006</v>
      </c>
      <c r="M559" s="739">
        <f t="shared" si="58"/>
        <v>-78194.399999999994</v>
      </c>
      <c r="N559" s="740">
        <v>76.900000000000006</v>
      </c>
      <c r="O559" s="678">
        <f t="shared" si="59"/>
        <v>57213.600000000006</v>
      </c>
      <c r="P559" s="700">
        <f t="shared" si="60"/>
        <v>-78194.399999999994</v>
      </c>
      <c r="Q559" s="740">
        <v>76.900000000000006</v>
      </c>
      <c r="R559" s="678">
        <f t="shared" si="61"/>
        <v>57213.600000000006</v>
      </c>
      <c r="S559" s="700">
        <f t="shared" si="62"/>
        <v>-78194.399999999994</v>
      </c>
      <c r="T559" s="691" t="s">
        <v>54</v>
      </c>
    </row>
    <row r="560" spans="1:20" x14ac:dyDescent="0.25">
      <c r="A560" s="690"/>
      <c r="B560" s="695" t="s">
        <v>1300</v>
      </c>
      <c r="C560" s="545" t="s">
        <v>40</v>
      </c>
      <c r="D560" s="681">
        <v>44805</v>
      </c>
      <c r="E560" s="545">
        <v>720</v>
      </c>
      <c r="F560" s="545" t="s">
        <v>3</v>
      </c>
      <c r="G560" s="725" t="s">
        <v>44</v>
      </c>
      <c r="H560" s="548">
        <v>1</v>
      </c>
      <c r="I560" s="548">
        <v>182</v>
      </c>
      <c r="J560" s="602">
        <f t="shared" si="56"/>
        <v>-131040</v>
      </c>
      <c r="K560" s="742">
        <v>56.08</v>
      </c>
      <c r="L560" s="603">
        <f t="shared" si="57"/>
        <v>40377.599999999999</v>
      </c>
      <c r="M560" s="743">
        <f t="shared" si="58"/>
        <v>-90662.399999999994</v>
      </c>
      <c r="N560" s="744">
        <v>56.08</v>
      </c>
      <c r="O560" s="604">
        <f t="shared" si="59"/>
        <v>40377.599999999999</v>
      </c>
      <c r="P560" s="701">
        <f t="shared" si="60"/>
        <v>-90662.399999999994</v>
      </c>
      <c r="Q560" s="744">
        <v>56.08</v>
      </c>
      <c r="R560" s="604">
        <f t="shared" si="61"/>
        <v>40377.599999999999</v>
      </c>
      <c r="S560" s="701">
        <f t="shared" si="62"/>
        <v>-90662.399999999994</v>
      </c>
      <c r="T560" s="695" t="s">
        <v>54</v>
      </c>
    </row>
    <row r="561" spans="1:20" x14ac:dyDescent="0.25">
      <c r="A561" s="690"/>
      <c r="B561" s="697" t="s">
        <v>1302</v>
      </c>
      <c r="C561" s="547" t="s">
        <v>40</v>
      </c>
      <c r="D561" s="683">
        <v>44593</v>
      </c>
      <c r="E561" s="547">
        <v>672</v>
      </c>
      <c r="F561" s="547" t="s">
        <v>6</v>
      </c>
      <c r="G561" s="727" t="s">
        <v>44</v>
      </c>
      <c r="H561" s="638">
        <v>0.3</v>
      </c>
      <c r="I561" s="638">
        <v>257.7</v>
      </c>
      <c r="J561" s="639">
        <f t="shared" si="56"/>
        <v>-51952.32</v>
      </c>
      <c r="K561" s="750">
        <v>55.7</v>
      </c>
      <c r="L561" s="608">
        <f t="shared" si="57"/>
        <v>11229.12</v>
      </c>
      <c r="M561" s="751">
        <f t="shared" si="58"/>
        <v>-40723.199999999997</v>
      </c>
      <c r="N561" s="752">
        <v>55.7</v>
      </c>
      <c r="O561" s="609">
        <f t="shared" si="59"/>
        <v>11229.12</v>
      </c>
      <c r="P561" s="703">
        <f t="shared" si="60"/>
        <v>-40723.199999999997</v>
      </c>
      <c r="Q561" s="752">
        <v>55.7</v>
      </c>
      <c r="R561" s="609">
        <f t="shared" si="61"/>
        <v>11229.12</v>
      </c>
      <c r="S561" s="703">
        <f t="shared" si="62"/>
        <v>-40723.199999999997</v>
      </c>
      <c r="T561" s="697" t="s">
        <v>92</v>
      </c>
    </row>
    <row r="562" spans="1:20" x14ac:dyDescent="0.25">
      <c r="A562" s="690"/>
      <c r="B562" s="697" t="s">
        <v>1304</v>
      </c>
      <c r="C562" s="547" t="s">
        <v>40</v>
      </c>
      <c r="D562" s="683">
        <v>44593</v>
      </c>
      <c r="E562" s="547">
        <v>672</v>
      </c>
      <c r="F562" s="547" t="s">
        <v>6</v>
      </c>
      <c r="G562" s="727" t="s">
        <v>44</v>
      </c>
      <c r="H562" s="638">
        <v>1</v>
      </c>
      <c r="I562" s="638">
        <v>255.70999999999998</v>
      </c>
      <c r="J562" s="639">
        <f t="shared" si="56"/>
        <v>-171837.12</v>
      </c>
      <c r="K562" s="750">
        <v>55.7</v>
      </c>
      <c r="L562" s="608">
        <f t="shared" si="57"/>
        <v>37430.400000000001</v>
      </c>
      <c r="M562" s="751">
        <f t="shared" si="58"/>
        <v>-134406.72</v>
      </c>
      <c r="N562" s="752">
        <v>55.7</v>
      </c>
      <c r="O562" s="609">
        <f t="shared" si="59"/>
        <v>37430.400000000001</v>
      </c>
      <c r="P562" s="703">
        <f t="shared" si="60"/>
        <v>-134406.72</v>
      </c>
      <c r="Q562" s="752">
        <v>55.7</v>
      </c>
      <c r="R562" s="609">
        <f t="shared" si="61"/>
        <v>37430.400000000001</v>
      </c>
      <c r="S562" s="703">
        <f t="shared" si="62"/>
        <v>-134406.72</v>
      </c>
      <c r="T562" s="697" t="s">
        <v>92</v>
      </c>
    </row>
    <row r="563" spans="1:20" x14ac:dyDescent="0.25">
      <c r="A563" s="690"/>
      <c r="B563" s="697" t="s">
        <v>1306</v>
      </c>
      <c r="C563" s="547" t="s">
        <v>40</v>
      </c>
      <c r="D563" s="683">
        <v>44593</v>
      </c>
      <c r="E563" s="547">
        <v>672</v>
      </c>
      <c r="F563" s="547" t="s">
        <v>5</v>
      </c>
      <c r="G563" s="727" t="s">
        <v>44</v>
      </c>
      <c r="H563" s="638">
        <v>1</v>
      </c>
      <c r="I563" s="638">
        <v>98.2</v>
      </c>
      <c r="J563" s="639">
        <f t="shared" si="56"/>
        <v>-65990.400000000009</v>
      </c>
      <c r="K563" s="750">
        <v>55.7</v>
      </c>
      <c r="L563" s="608">
        <f t="shared" si="57"/>
        <v>37430.400000000001</v>
      </c>
      <c r="M563" s="751">
        <f t="shared" si="58"/>
        <v>-28560.000000000007</v>
      </c>
      <c r="N563" s="752">
        <v>55.7</v>
      </c>
      <c r="O563" s="609">
        <f t="shared" si="59"/>
        <v>37430.400000000001</v>
      </c>
      <c r="P563" s="703">
        <f t="shared" si="60"/>
        <v>-28560.000000000007</v>
      </c>
      <c r="Q563" s="752">
        <v>55.7</v>
      </c>
      <c r="R563" s="609">
        <f t="shared" si="61"/>
        <v>37430.400000000001</v>
      </c>
      <c r="S563" s="703">
        <f t="shared" si="62"/>
        <v>-28560.000000000007</v>
      </c>
      <c r="T563" s="697" t="s">
        <v>92</v>
      </c>
    </row>
    <row r="564" spans="1:20" x14ac:dyDescent="0.25">
      <c r="A564" s="690"/>
      <c r="B564" s="697" t="s">
        <v>1308</v>
      </c>
      <c r="C564" s="547" t="s">
        <v>40</v>
      </c>
      <c r="D564" s="683">
        <v>44593</v>
      </c>
      <c r="E564" s="547">
        <v>672</v>
      </c>
      <c r="F564" s="547" t="s">
        <v>6</v>
      </c>
      <c r="G564" s="727" t="s">
        <v>44</v>
      </c>
      <c r="H564" s="638">
        <v>1.5</v>
      </c>
      <c r="I564" s="638">
        <v>255.7</v>
      </c>
      <c r="J564" s="639">
        <f t="shared" si="56"/>
        <v>-257745.59999999998</v>
      </c>
      <c r="K564" s="750">
        <v>55.7</v>
      </c>
      <c r="L564" s="608">
        <f t="shared" si="57"/>
        <v>56145.600000000006</v>
      </c>
      <c r="M564" s="751">
        <f t="shared" si="58"/>
        <v>-201599.99999999997</v>
      </c>
      <c r="N564" s="752">
        <v>55.7</v>
      </c>
      <c r="O564" s="609">
        <f t="shared" si="59"/>
        <v>56145.600000000006</v>
      </c>
      <c r="P564" s="703">
        <f t="shared" si="60"/>
        <v>-201599.99999999997</v>
      </c>
      <c r="Q564" s="752">
        <v>55.7</v>
      </c>
      <c r="R564" s="609">
        <f t="shared" si="61"/>
        <v>56145.600000000006</v>
      </c>
      <c r="S564" s="703">
        <f t="shared" si="62"/>
        <v>-201599.99999999997</v>
      </c>
      <c r="T564" s="697" t="s">
        <v>92</v>
      </c>
    </row>
    <row r="565" spans="1:20" x14ac:dyDescent="0.25">
      <c r="A565" s="690"/>
      <c r="B565" s="696" t="s">
        <v>1310</v>
      </c>
      <c r="C565" s="546" t="s">
        <v>40</v>
      </c>
      <c r="D565" s="682">
        <v>44743</v>
      </c>
      <c r="E565" s="546">
        <v>744</v>
      </c>
      <c r="F565" s="546" t="s">
        <v>3</v>
      </c>
      <c r="G565" s="726" t="s">
        <v>44</v>
      </c>
      <c r="H565" s="549">
        <v>5</v>
      </c>
      <c r="I565" s="549">
        <v>180</v>
      </c>
      <c r="J565" s="605">
        <f t="shared" si="56"/>
        <v>-669600</v>
      </c>
      <c r="K565" s="746">
        <v>66.319999999999993</v>
      </c>
      <c r="L565" s="606">
        <f t="shared" si="57"/>
        <v>246710.39999999997</v>
      </c>
      <c r="M565" s="747">
        <f t="shared" si="58"/>
        <v>-422889.60000000003</v>
      </c>
      <c r="N565" s="748">
        <v>66.319999999999993</v>
      </c>
      <c r="O565" s="607">
        <f t="shared" si="59"/>
        <v>246710.39999999997</v>
      </c>
      <c r="P565" s="702">
        <f t="shared" si="60"/>
        <v>-422889.60000000003</v>
      </c>
      <c r="Q565" s="748">
        <v>66.319999999999993</v>
      </c>
      <c r="R565" s="607">
        <f t="shared" si="61"/>
        <v>246710.39999999997</v>
      </c>
      <c r="S565" s="702">
        <f t="shared" si="62"/>
        <v>-422889.60000000003</v>
      </c>
      <c r="T565" s="696" t="s">
        <v>54</v>
      </c>
    </row>
    <row r="566" spans="1:20" x14ac:dyDescent="0.25">
      <c r="A566" s="690"/>
      <c r="B566" s="691" t="s">
        <v>1310</v>
      </c>
      <c r="C566" s="676" t="s">
        <v>40</v>
      </c>
      <c r="D566" s="680">
        <v>44774</v>
      </c>
      <c r="E566" s="676">
        <v>744</v>
      </c>
      <c r="F566" s="676" t="s">
        <v>3</v>
      </c>
      <c r="G566" s="690" t="s">
        <v>44</v>
      </c>
      <c r="H566" s="115">
        <v>5</v>
      </c>
      <c r="I566" s="115">
        <v>180</v>
      </c>
      <c r="J566" s="601">
        <f t="shared" si="56"/>
        <v>-669600</v>
      </c>
      <c r="K566" s="738">
        <v>76.900000000000006</v>
      </c>
      <c r="L566" s="677">
        <f t="shared" si="57"/>
        <v>286068</v>
      </c>
      <c r="M566" s="739">
        <f t="shared" si="58"/>
        <v>-383532</v>
      </c>
      <c r="N566" s="740">
        <v>76.900000000000006</v>
      </c>
      <c r="O566" s="678">
        <f t="shared" si="59"/>
        <v>286068</v>
      </c>
      <c r="P566" s="700">
        <f t="shared" si="60"/>
        <v>-383532</v>
      </c>
      <c r="Q566" s="740">
        <v>76.900000000000006</v>
      </c>
      <c r="R566" s="678">
        <f t="shared" si="61"/>
        <v>286068</v>
      </c>
      <c r="S566" s="700">
        <f t="shared" si="62"/>
        <v>-383532</v>
      </c>
      <c r="T566" s="691" t="s">
        <v>54</v>
      </c>
    </row>
    <row r="567" spans="1:20" x14ac:dyDescent="0.25">
      <c r="A567" s="690"/>
      <c r="B567" s="695" t="s">
        <v>1310</v>
      </c>
      <c r="C567" s="545" t="s">
        <v>40</v>
      </c>
      <c r="D567" s="681">
        <v>44805</v>
      </c>
      <c r="E567" s="545">
        <v>720</v>
      </c>
      <c r="F567" s="545" t="s">
        <v>3</v>
      </c>
      <c r="G567" s="725" t="s">
        <v>44</v>
      </c>
      <c r="H567" s="548">
        <v>5</v>
      </c>
      <c r="I567" s="548">
        <v>180</v>
      </c>
      <c r="J567" s="602">
        <f t="shared" si="56"/>
        <v>-648000</v>
      </c>
      <c r="K567" s="742">
        <v>56.08</v>
      </c>
      <c r="L567" s="603">
        <f t="shared" si="57"/>
        <v>201888</v>
      </c>
      <c r="M567" s="743">
        <f t="shared" si="58"/>
        <v>-446112</v>
      </c>
      <c r="N567" s="744">
        <v>56.08</v>
      </c>
      <c r="O567" s="604">
        <f t="shared" si="59"/>
        <v>201888</v>
      </c>
      <c r="P567" s="701">
        <f t="shared" si="60"/>
        <v>-446112</v>
      </c>
      <c r="Q567" s="744">
        <v>56.08</v>
      </c>
      <c r="R567" s="604">
        <f t="shared" si="61"/>
        <v>201888</v>
      </c>
      <c r="S567" s="701">
        <f t="shared" si="62"/>
        <v>-446112</v>
      </c>
      <c r="T567" s="695" t="s">
        <v>54</v>
      </c>
    </row>
    <row r="568" spans="1:20" x14ac:dyDescent="0.25">
      <c r="A568" s="690"/>
      <c r="B568" s="697" t="s">
        <v>1312</v>
      </c>
      <c r="C568" s="547" t="s">
        <v>40</v>
      </c>
      <c r="D568" s="683">
        <v>44866</v>
      </c>
      <c r="E568" s="547">
        <v>720</v>
      </c>
      <c r="F568" s="547" t="s">
        <v>3</v>
      </c>
      <c r="G568" s="727" t="s">
        <v>44</v>
      </c>
      <c r="H568" s="638">
        <v>7</v>
      </c>
      <c r="I568" s="638">
        <v>188</v>
      </c>
      <c r="J568" s="639">
        <f t="shared" si="56"/>
        <v>-947520</v>
      </c>
      <c r="K568" s="750">
        <v>55.7</v>
      </c>
      <c r="L568" s="608">
        <f t="shared" si="57"/>
        <v>280728</v>
      </c>
      <c r="M568" s="751">
        <f t="shared" si="58"/>
        <v>-666792</v>
      </c>
      <c r="N568" s="752">
        <v>55.7</v>
      </c>
      <c r="O568" s="609">
        <f t="shared" si="59"/>
        <v>280728</v>
      </c>
      <c r="P568" s="703">
        <f t="shared" si="60"/>
        <v>-666792</v>
      </c>
      <c r="Q568" s="752">
        <v>55.7</v>
      </c>
      <c r="R568" s="609">
        <f t="shared" si="61"/>
        <v>280728</v>
      </c>
      <c r="S568" s="703">
        <f t="shared" si="62"/>
        <v>-666792</v>
      </c>
      <c r="T568" s="697" t="s">
        <v>54</v>
      </c>
    </row>
    <row r="569" spans="1:20" x14ac:dyDescent="0.25">
      <c r="A569" s="690"/>
      <c r="B569" s="697" t="s">
        <v>1314</v>
      </c>
      <c r="C569" s="547" t="s">
        <v>40</v>
      </c>
      <c r="D569" s="683">
        <v>44896</v>
      </c>
      <c r="E569" s="547">
        <v>744</v>
      </c>
      <c r="F569" s="547" t="s">
        <v>3</v>
      </c>
      <c r="G569" s="727" t="s">
        <v>44</v>
      </c>
      <c r="H569" s="638">
        <v>9.3000000000000007</v>
      </c>
      <c r="I569" s="638">
        <v>168</v>
      </c>
      <c r="J569" s="639">
        <f t="shared" si="56"/>
        <v>-1162425.6000000001</v>
      </c>
      <c r="K569" s="750">
        <v>55.7</v>
      </c>
      <c r="L569" s="608">
        <f t="shared" si="57"/>
        <v>385399.44000000006</v>
      </c>
      <c r="M569" s="751">
        <f t="shared" si="58"/>
        <v>-777026.16</v>
      </c>
      <c r="N569" s="752">
        <v>55.7</v>
      </c>
      <c r="O569" s="609">
        <f t="shared" si="59"/>
        <v>385399.44000000006</v>
      </c>
      <c r="P569" s="703">
        <f t="shared" si="60"/>
        <v>-777026.16</v>
      </c>
      <c r="Q569" s="752">
        <v>78.400653594793155</v>
      </c>
      <c r="R569" s="609">
        <f t="shared" si="61"/>
        <v>542469.80235309282</v>
      </c>
      <c r="S569" s="703">
        <f t="shared" si="62"/>
        <v>-619955.79764690727</v>
      </c>
      <c r="T569" s="697" t="s">
        <v>54</v>
      </c>
    </row>
    <row r="570" spans="1:20" x14ac:dyDescent="0.25">
      <c r="A570" s="690"/>
      <c r="B570" s="697" t="s">
        <v>1316</v>
      </c>
      <c r="C570" s="547" t="s">
        <v>40</v>
      </c>
      <c r="D570" s="683">
        <v>44593</v>
      </c>
      <c r="E570" s="547">
        <v>672</v>
      </c>
      <c r="F570" s="547" t="s">
        <v>6</v>
      </c>
      <c r="G570" s="727" t="s">
        <v>44</v>
      </c>
      <c r="H570" s="638">
        <v>0.45</v>
      </c>
      <c r="I570" s="638">
        <v>257.7</v>
      </c>
      <c r="J570" s="639">
        <f t="shared" si="56"/>
        <v>-77928.48000000001</v>
      </c>
      <c r="K570" s="750">
        <v>55.7</v>
      </c>
      <c r="L570" s="608">
        <f t="shared" si="57"/>
        <v>16843.680000000004</v>
      </c>
      <c r="M570" s="751">
        <f t="shared" si="58"/>
        <v>-61084.800000000003</v>
      </c>
      <c r="N570" s="752">
        <v>55.7</v>
      </c>
      <c r="O570" s="609">
        <f t="shared" si="59"/>
        <v>16843.680000000004</v>
      </c>
      <c r="P570" s="703">
        <f t="shared" si="60"/>
        <v>-61084.800000000003</v>
      </c>
      <c r="Q570" s="752">
        <v>55.7</v>
      </c>
      <c r="R570" s="609">
        <f t="shared" si="61"/>
        <v>16843.680000000004</v>
      </c>
      <c r="S570" s="703">
        <f t="shared" si="62"/>
        <v>-61084.800000000003</v>
      </c>
      <c r="T570" s="697" t="s">
        <v>92</v>
      </c>
    </row>
    <row r="571" spans="1:20" x14ac:dyDescent="0.25">
      <c r="A571" s="690"/>
      <c r="B571" s="697" t="s">
        <v>1318</v>
      </c>
      <c r="C571" s="547" t="s">
        <v>40</v>
      </c>
      <c r="D571" s="683">
        <v>44896</v>
      </c>
      <c r="E571" s="547">
        <v>744</v>
      </c>
      <c r="F571" s="547" t="s">
        <v>3</v>
      </c>
      <c r="G571" s="727" t="s">
        <v>44</v>
      </c>
      <c r="H571" s="638">
        <v>1</v>
      </c>
      <c r="I571" s="638">
        <v>168</v>
      </c>
      <c r="J571" s="639">
        <f t="shared" si="56"/>
        <v>-124992</v>
      </c>
      <c r="K571" s="750">
        <v>55.7</v>
      </c>
      <c r="L571" s="608">
        <f t="shared" si="57"/>
        <v>41440.800000000003</v>
      </c>
      <c r="M571" s="751">
        <f t="shared" si="58"/>
        <v>-83551.199999999997</v>
      </c>
      <c r="N571" s="752">
        <v>55.7</v>
      </c>
      <c r="O571" s="609">
        <f t="shared" si="59"/>
        <v>41440.800000000003</v>
      </c>
      <c r="P571" s="703">
        <f t="shared" si="60"/>
        <v>-83551.199999999997</v>
      </c>
      <c r="Q571" s="752">
        <v>78.400653594793155</v>
      </c>
      <c r="R571" s="609">
        <f t="shared" si="61"/>
        <v>58330.086274526111</v>
      </c>
      <c r="S571" s="703">
        <f t="shared" si="62"/>
        <v>-66661.913725473889</v>
      </c>
      <c r="T571" s="697" t="s">
        <v>54</v>
      </c>
    </row>
    <row r="572" spans="1:20" x14ac:dyDescent="0.25">
      <c r="A572" s="690"/>
      <c r="B572" s="697" t="s">
        <v>1320</v>
      </c>
      <c r="C572" s="547" t="s">
        <v>40</v>
      </c>
      <c r="D572" s="683">
        <v>44866</v>
      </c>
      <c r="E572" s="547">
        <v>720</v>
      </c>
      <c r="F572" s="547" t="s">
        <v>3</v>
      </c>
      <c r="G572" s="727" t="s">
        <v>44</v>
      </c>
      <c r="H572" s="638">
        <v>3</v>
      </c>
      <c r="I572" s="638">
        <v>188</v>
      </c>
      <c r="J572" s="639">
        <f t="shared" si="56"/>
        <v>-406080</v>
      </c>
      <c r="K572" s="750">
        <v>55.7</v>
      </c>
      <c r="L572" s="608">
        <f t="shared" si="57"/>
        <v>120312</v>
      </c>
      <c r="M572" s="751">
        <f t="shared" si="58"/>
        <v>-285768</v>
      </c>
      <c r="N572" s="752">
        <v>55.7</v>
      </c>
      <c r="O572" s="609">
        <f t="shared" si="59"/>
        <v>120312</v>
      </c>
      <c r="P572" s="703">
        <f t="shared" si="60"/>
        <v>-285768</v>
      </c>
      <c r="Q572" s="752">
        <v>55.7</v>
      </c>
      <c r="R572" s="609">
        <f t="shared" si="61"/>
        <v>120312</v>
      </c>
      <c r="S572" s="703">
        <f t="shared" si="62"/>
        <v>-285768</v>
      </c>
      <c r="T572" s="697" t="s">
        <v>54</v>
      </c>
    </row>
    <row r="573" spans="1:20" x14ac:dyDescent="0.25">
      <c r="A573" s="690"/>
      <c r="B573" s="696" t="s">
        <v>1322</v>
      </c>
      <c r="C573" s="546" t="s">
        <v>40</v>
      </c>
      <c r="D573" s="682">
        <v>44743</v>
      </c>
      <c r="E573" s="546">
        <v>744</v>
      </c>
      <c r="F573" s="546" t="s">
        <v>3</v>
      </c>
      <c r="G573" s="726" t="s">
        <v>44</v>
      </c>
      <c r="H573" s="549">
        <v>2</v>
      </c>
      <c r="I573" s="549">
        <v>180</v>
      </c>
      <c r="J573" s="605">
        <f t="shared" si="56"/>
        <v>-267840</v>
      </c>
      <c r="K573" s="746">
        <v>66.319999999999993</v>
      </c>
      <c r="L573" s="606">
        <f t="shared" si="57"/>
        <v>98684.159999999989</v>
      </c>
      <c r="M573" s="747">
        <f t="shared" si="58"/>
        <v>-169155.84000000003</v>
      </c>
      <c r="N573" s="748">
        <v>66.319999999999993</v>
      </c>
      <c r="O573" s="607">
        <f t="shared" si="59"/>
        <v>98684.159999999989</v>
      </c>
      <c r="P573" s="702">
        <f t="shared" si="60"/>
        <v>-169155.84000000003</v>
      </c>
      <c r="Q573" s="748">
        <v>66.319999999999993</v>
      </c>
      <c r="R573" s="607">
        <f t="shared" si="61"/>
        <v>98684.159999999989</v>
      </c>
      <c r="S573" s="702">
        <f t="shared" si="62"/>
        <v>-169155.84000000003</v>
      </c>
      <c r="T573" s="696" t="s">
        <v>54</v>
      </c>
    </row>
    <row r="574" spans="1:20" x14ac:dyDescent="0.25">
      <c r="A574" s="690"/>
      <c r="B574" s="691" t="s">
        <v>1322</v>
      </c>
      <c r="C574" s="676" t="s">
        <v>40</v>
      </c>
      <c r="D574" s="680">
        <v>44774</v>
      </c>
      <c r="E574" s="676">
        <v>744</v>
      </c>
      <c r="F574" s="676" t="s">
        <v>3</v>
      </c>
      <c r="G574" s="690" t="s">
        <v>44</v>
      </c>
      <c r="H574" s="115">
        <v>2</v>
      </c>
      <c r="I574" s="115">
        <v>180</v>
      </c>
      <c r="J574" s="601">
        <f t="shared" si="56"/>
        <v>-267840</v>
      </c>
      <c r="K574" s="738">
        <v>76.900000000000006</v>
      </c>
      <c r="L574" s="677">
        <f t="shared" si="57"/>
        <v>114427.20000000001</v>
      </c>
      <c r="M574" s="739">
        <f t="shared" si="58"/>
        <v>-153412.79999999999</v>
      </c>
      <c r="N574" s="740">
        <v>76.900000000000006</v>
      </c>
      <c r="O574" s="678">
        <f t="shared" si="59"/>
        <v>114427.20000000001</v>
      </c>
      <c r="P574" s="700">
        <f t="shared" si="60"/>
        <v>-153412.79999999999</v>
      </c>
      <c r="Q574" s="740">
        <v>76.900000000000006</v>
      </c>
      <c r="R574" s="678">
        <f t="shared" si="61"/>
        <v>114427.20000000001</v>
      </c>
      <c r="S574" s="700">
        <f t="shared" si="62"/>
        <v>-153412.79999999999</v>
      </c>
      <c r="T574" s="691" t="s">
        <v>54</v>
      </c>
    </row>
    <row r="575" spans="1:20" x14ac:dyDescent="0.25">
      <c r="A575" s="690"/>
      <c r="B575" s="695" t="s">
        <v>1322</v>
      </c>
      <c r="C575" s="545" t="s">
        <v>40</v>
      </c>
      <c r="D575" s="681">
        <v>44805</v>
      </c>
      <c r="E575" s="545">
        <v>720</v>
      </c>
      <c r="F575" s="545" t="s">
        <v>3</v>
      </c>
      <c r="G575" s="725" t="s">
        <v>44</v>
      </c>
      <c r="H575" s="548">
        <v>2</v>
      </c>
      <c r="I575" s="548">
        <v>180</v>
      </c>
      <c r="J575" s="602">
        <f t="shared" si="56"/>
        <v>-259200</v>
      </c>
      <c r="K575" s="742">
        <v>56.08</v>
      </c>
      <c r="L575" s="603">
        <f t="shared" si="57"/>
        <v>80755.199999999997</v>
      </c>
      <c r="M575" s="743">
        <f t="shared" si="58"/>
        <v>-178444.79999999999</v>
      </c>
      <c r="N575" s="744">
        <v>56.08</v>
      </c>
      <c r="O575" s="604">
        <f t="shared" si="59"/>
        <v>80755.199999999997</v>
      </c>
      <c r="P575" s="701">
        <f t="shared" si="60"/>
        <v>-178444.79999999999</v>
      </c>
      <c r="Q575" s="744">
        <v>56.08</v>
      </c>
      <c r="R575" s="604">
        <f t="shared" si="61"/>
        <v>80755.199999999997</v>
      </c>
      <c r="S575" s="701">
        <f t="shared" si="62"/>
        <v>-178444.79999999999</v>
      </c>
      <c r="T575" s="695" t="s">
        <v>54</v>
      </c>
    </row>
    <row r="576" spans="1:20" x14ac:dyDescent="0.25">
      <c r="A576" s="690"/>
      <c r="B576" s="697" t="s">
        <v>1324</v>
      </c>
      <c r="C576" s="547" t="s">
        <v>40</v>
      </c>
      <c r="D576" s="683">
        <v>44593</v>
      </c>
      <c r="E576" s="547">
        <v>672</v>
      </c>
      <c r="F576" s="547" t="s">
        <v>5</v>
      </c>
      <c r="G576" s="727" t="s">
        <v>44</v>
      </c>
      <c r="H576" s="638">
        <v>3</v>
      </c>
      <c r="I576" s="638">
        <v>98.7</v>
      </c>
      <c r="J576" s="639">
        <f t="shared" si="56"/>
        <v>-198979.20000000001</v>
      </c>
      <c r="K576" s="750">
        <v>55.7</v>
      </c>
      <c r="L576" s="608">
        <f t="shared" si="57"/>
        <v>112291.20000000001</v>
      </c>
      <c r="M576" s="751">
        <f t="shared" si="58"/>
        <v>-86688</v>
      </c>
      <c r="N576" s="752">
        <v>55.7</v>
      </c>
      <c r="O576" s="609">
        <f t="shared" si="59"/>
        <v>112291.20000000001</v>
      </c>
      <c r="P576" s="703">
        <f t="shared" si="60"/>
        <v>-86688</v>
      </c>
      <c r="Q576" s="752">
        <v>55.7</v>
      </c>
      <c r="R576" s="609">
        <f t="shared" si="61"/>
        <v>112291.20000000001</v>
      </c>
      <c r="S576" s="703">
        <f t="shared" si="62"/>
        <v>-86688</v>
      </c>
      <c r="T576" s="697" t="s">
        <v>92</v>
      </c>
    </row>
    <row r="577" spans="1:20" x14ac:dyDescent="0.25">
      <c r="A577" s="690"/>
      <c r="B577" s="697" t="s">
        <v>1326</v>
      </c>
      <c r="C577" s="547" t="s">
        <v>40</v>
      </c>
      <c r="D577" s="683">
        <v>44713</v>
      </c>
      <c r="E577" s="547">
        <v>720</v>
      </c>
      <c r="F577" s="547" t="s">
        <v>3</v>
      </c>
      <c r="G577" s="727" t="s">
        <v>44</v>
      </c>
      <c r="H577" s="638">
        <v>2</v>
      </c>
      <c r="I577" s="638">
        <v>125</v>
      </c>
      <c r="J577" s="639">
        <f t="shared" si="56"/>
        <v>-180000</v>
      </c>
      <c r="K577" s="750">
        <v>55.71</v>
      </c>
      <c r="L577" s="608">
        <f t="shared" si="57"/>
        <v>80222.399999999994</v>
      </c>
      <c r="M577" s="751">
        <f t="shared" si="58"/>
        <v>-99777.600000000006</v>
      </c>
      <c r="N577" s="752">
        <v>55.71</v>
      </c>
      <c r="O577" s="609">
        <f t="shared" si="59"/>
        <v>80222.399999999994</v>
      </c>
      <c r="P577" s="703">
        <f t="shared" si="60"/>
        <v>-99777.600000000006</v>
      </c>
      <c r="Q577" s="752">
        <v>55.71</v>
      </c>
      <c r="R577" s="609">
        <f t="shared" si="61"/>
        <v>80222.399999999994</v>
      </c>
      <c r="S577" s="703">
        <f t="shared" si="62"/>
        <v>-99777.600000000006</v>
      </c>
      <c r="T577" s="697" t="s">
        <v>54</v>
      </c>
    </row>
    <row r="578" spans="1:20" x14ac:dyDescent="0.25">
      <c r="A578" s="690"/>
      <c r="B578" s="697" t="s">
        <v>1328</v>
      </c>
      <c r="C578" s="547" t="s">
        <v>40</v>
      </c>
      <c r="D578" s="683">
        <v>44713</v>
      </c>
      <c r="E578" s="547">
        <v>720</v>
      </c>
      <c r="F578" s="547" t="s">
        <v>3</v>
      </c>
      <c r="G578" s="727" t="s">
        <v>44</v>
      </c>
      <c r="H578" s="638">
        <v>3</v>
      </c>
      <c r="I578" s="638">
        <v>125</v>
      </c>
      <c r="J578" s="639">
        <f t="shared" si="56"/>
        <v>-270000</v>
      </c>
      <c r="K578" s="750">
        <v>55.71</v>
      </c>
      <c r="L578" s="608">
        <f t="shared" si="57"/>
        <v>120333.6</v>
      </c>
      <c r="M578" s="751">
        <f t="shared" si="58"/>
        <v>-149666.4</v>
      </c>
      <c r="N578" s="752">
        <v>55.71</v>
      </c>
      <c r="O578" s="609">
        <f t="shared" si="59"/>
        <v>120333.6</v>
      </c>
      <c r="P578" s="703">
        <f t="shared" si="60"/>
        <v>-149666.4</v>
      </c>
      <c r="Q578" s="752">
        <v>55.71</v>
      </c>
      <c r="R578" s="609">
        <f t="shared" si="61"/>
        <v>120333.6</v>
      </c>
      <c r="S578" s="703">
        <f t="shared" si="62"/>
        <v>-149666.4</v>
      </c>
      <c r="T578" s="697" t="s">
        <v>54</v>
      </c>
    </row>
    <row r="579" spans="1:20" x14ac:dyDescent="0.25">
      <c r="A579" s="690"/>
      <c r="B579" s="697" t="s">
        <v>1330</v>
      </c>
      <c r="C579" s="547" t="s">
        <v>40</v>
      </c>
      <c r="D579" s="683">
        <v>44593</v>
      </c>
      <c r="E579" s="547">
        <v>672</v>
      </c>
      <c r="F579" s="547" t="s">
        <v>6</v>
      </c>
      <c r="G579" s="727" t="s">
        <v>44</v>
      </c>
      <c r="H579" s="638">
        <v>0.54910700000000001</v>
      </c>
      <c r="I579" s="638">
        <v>260.7</v>
      </c>
      <c r="J579" s="639">
        <f t="shared" ref="J579:J642" si="63">(I579*(E579*H579))*-1</f>
        <v>-96198.274972800005</v>
      </c>
      <c r="K579" s="750">
        <v>55.7</v>
      </c>
      <c r="L579" s="608">
        <f t="shared" ref="L579:L642" si="64">(((E579*H579)*K579))</f>
        <v>20553.294652800003</v>
      </c>
      <c r="M579" s="751">
        <f t="shared" ref="M579:M642" si="65">J579+L579</f>
        <v>-75644.980320000002</v>
      </c>
      <c r="N579" s="752">
        <v>55.7</v>
      </c>
      <c r="O579" s="609">
        <f t="shared" ref="O579:O642" si="66">((E579*H579)*N579)</f>
        <v>20553.294652800003</v>
      </c>
      <c r="P579" s="703">
        <f t="shared" ref="P579:P642" si="67">J579+O579</f>
        <v>-75644.980320000002</v>
      </c>
      <c r="Q579" s="752">
        <v>55.7</v>
      </c>
      <c r="R579" s="609">
        <f t="shared" ref="R579:R642" si="68">((E579*H579)*Q579)</f>
        <v>20553.294652800003</v>
      </c>
      <c r="S579" s="703">
        <f t="shared" ref="S579:S642" si="69">J579+R579</f>
        <v>-75644.980320000002</v>
      </c>
      <c r="T579" s="697" t="s">
        <v>92</v>
      </c>
    </row>
    <row r="580" spans="1:20" x14ac:dyDescent="0.25">
      <c r="A580" s="690"/>
      <c r="B580" s="697" t="s">
        <v>1332</v>
      </c>
      <c r="C580" s="547" t="s">
        <v>40</v>
      </c>
      <c r="D580" s="683">
        <v>44805</v>
      </c>
      <c r="E580" s="547">
        <v>720</v>
      </c>
      <c r="F580" s="547" t="s">
        <v>3</v>
      </c>
      <c r="G580" s="727" t="s">
        <v>44</v>
      </c>
      <c r="H580" s="638">
        <v>3</v>
      </c>
      <c r="I580" s="638">
        <v>192</v>
      </c>
      <c r="J580" s="639">
        <f t="shared" si="63"/>
        <v>-414720</v>
      </c>
      <c r="K580" s="750">
        <v>56.08</v>
      </c>
      <c r="L580" s="608">
        <f t="shared" si="64"/>
        <v>121132.8</v>
      </c>
      <c r="M580" s="751">
        <f t="shared" si="65"/>
        <v>-293587.20000000001</v>
      </c>
      <c r="N580" s="752">
        <v>56.08</v>
      </c>
      <c r="O580" s="609">
        <f t="shared" si="66"/>
        <v>121132.8</v>
      </c>
      <c r="P580" s="703">
        <f t="shared" si="67"/>
        <v>-293587.20000000001</v>
      </c>
      <c r="Q580" s="752">
        <v>56.08</v>
      </c>
      <c r="R580" s="609">
        <f t="shared" si="68"/>
        <v>121132.8</v>
      </c>
      <c r="S580" s="703">
        <f t="shared" si="69"/>
        <v>-293587.20000000001</v>
      </c>
      <c r="T580" s="697" t="s">
        <v>54</v>
      </c>
    </row>
    <row r="581" spans="1:20" x14ac:dyDescent="0.25">
      <c r="A581" s="690"/>
      <c r="B581" s="697" t="s">
        <v>1334</v>
      </c>
      <c r="C581" s="547" t="s">
        <v>40</v>
      </c>
      <c r="D581" s="683">
        <v>44593</v>
      </c>
      <c r="E581" s="547">
        <v>672</v>
      </c>
      <c r="F581" s="547" t="s">
        <v>5</v>
      </c>
      <c r="G581" s="727" t="s">
        <v>44</v>
      </c>
      <c r="H581" s="638">
        <v>10</v>
      </c>
      <c r="I581" s="638">
        <v>97.7</v>
      </c>
      <c r="J581" s="639">
        <f t="shared" si="63"/>
        <v>-656544</v>
      </c>
      <c r="K581" s="750">
        <v>55.7</v>
      </c>
      <c r="L581" s="608">
        <f t="shared" si="64"/>
        <v>374304</v>
      </c>
      <c r="M581" s="751">
        <f t="shared" si="65"/>
        <v>-282240</v>
      </c>
      <c r="N581" s="752">
        <v>55.7</v>
      </c>
      <c r="O581" s="609">
        <f t="shared" si="66"/>
        <v>374304</v>
      </c>
      <c r="P581" s="703">
        <f t="shared" si="67"/>
        <v>-282240</v>
      </c>
      <c r="Q581" s="752">
        <v>55.7</v>
      </c>
      <c r="R581" s="609">
        <f t="shared" si="68"/>
        <v>374304</v>
      </c>
      <c r="S581" s="703">
        <f t="shared" si="69"/>
        <v>-282240</v>
      </c>
      <c r="T581" s="697" t="s">
        <v>92</v>
      </c>
    </row>
    <row r="582" spans="1:20" x14ac:dyDescent="0.25">
      <c r="A582" s="690"/>
      <c r="B582" s="697" t="s">
        <v>1336</v>
      </c>
      <c r="C582" s="547" t="s">
        <v>40</v>
      </c>
      <c r="D582" s="683">
        <v>44593</v>
      </c>
      <c r="E582" s="547">
        <v>672</v>
      </c>
      <c r="F582" s="547" t="s">
        <v>5</v>
      </c>
      <c r="G582" s="727" t="s">
        <v>44</v>
      </c>
      <c r="H582" s="638">
        <v>0.6</v>
      </c>
      <c r="I582" s="638">
        <v>98.7</v>
      </c>
      <c r="J582" s="639">
        <f t="shared" si="63"/>
        <v>-39795.839999999997</v>
      </c>
      <c r="K582" s="750">
        <v>55.7</v>
      </c>
      <c r="L582" s="608">
        <f t="shared" si="64"/>
        <v>22458.240000000002</v>
      </c>
      <c r="M582" s="751">
        <f t="shared" si="65"/>
        <v>-17337.599999999995</v>
      </c>
      <c r="N582" s="752">
        <v>55.7</v>
      </c>
      <c r="O582" s="609">
        <f t="shared" si="66"/>
        <v>22458.240000000002</v>
      </c>
      <c r="P582" s="703">
        <f t="shared" si="67"/>
        <v>-17337.599999999995</v>
      </c>
      <c r="Q582" s="752">
        <v>55.7</v>
      </c>
      <c r="R582" s="609">
        <f t="shared" si="68"/>
        <v>22458.240000000002</v>
      </c>
      <c r="S582" s="703">
        <f t="shared" si="69"/>
        <v>-17337.599999999995</v>
      </c>
      <c r="T582" s="697" t="s">
        <v>92</v>
      </c>
    </row>
    <row r="583" spans="1:20" x14ac:dyDescent="0.25">
      <c r="A583" s="690"/>
      <c r="B583" s="697" t="s">
        <v>1338</v>
      </c>
      <c r="C583" s="547" t="s">
        <v>40</v>
      </c>
      <c r="D583" s="683">
        <v>44593</v>
      </c>
      <c r="E583" s="547">
        <v>672</v>
      </c>
      <c r="F583" s="547" t="s">
        <v>3</v>
      </c>
      <c r="G583" s="727" t="s">
        <v>44</v>
      </c>
      <c r="H583" s="638">
        <v>2.9</v>
      </c>
      <c r="I583" s="638">
        <v>57</v>
      </c>
      <c r="J583" s="639">
        <f t="shared" si="63"/>
        <v>-111081.59999999999</v>
      </c>
      <c r="K583" s="750">
        <v>55.7</v>
      </c>
      <c r="L583" s="608">
        <f t="shared" si="64"/>
        <v>108548.16</v>
      </c>
      <c r="M583" s="751">
        <f t="shared" si="65"/>
        <v>-2533.4399999999878</v>
      </c>
      <c r="N583" s="752">
        <v>55.7</v>
      </c>
      <c r="O583" s="609">
        <f t="shared" si="66"/>
        <v>108548.16</v>
      </c>
      <c r="P583" s="703">
        <f t="shared" si="67"/>
        <v>-2533.4399999999878</v>
      </c>
      <c r="Q583" s="752">
        <v>55.7</v>
      </c>
      <c r="R583" s="609">
        <f t="shared" si="68"/>
        <v>108548.16</v>
      </c>
      <c r="S583" s="703">
        <f t="shared" si="69"/>
        <v>-2533.4399999999878</v>
      </c>
      <c r="T583" s="697" t="s">
        <v>92</v>
      </c>
    </row>
    <row r="584" spans="1:20" x14ac:dyDescent="0.25">
      <c r="A584" s="690"/>
      <c r="B584" s="697" t="s">
        <v>1340</v>
      </c>
      <c r="C584" s="547" t="s">
        <v>40</v>
      </c>
      <c r="D584" s="683">
        <v>44593</v>
      </c>
      <c r="E584" s="547">
        <v>672</v>
      </c>
      <c r="F584" s="547" t="s">
        <v>5</v>
      </c>
      <c r="G584" s="727" t="s">
        <v>44</v>
      </c>
      <c r="H584" s="638">
        <v>6.48</v>
      </c>
      <c r="I584" s="638">
        <v>98.2</v>
      </c>
      <c r="J584" s="639">
        <f t="shared" si="63"/>
        <v>-427617.79200000007</v>
      </c>
      <c r="K584" s="750">
        <v>55.7</v>
      </c>
      <c r="L584" s="608">
        <f t="shared" si="64"/>
        <v>242548.99200000003</v>
      </c>
      <c r="M584" s="751">
        <f t="shared" si="65"/>
        <v>-185068.80000000005</v>
      </c>
      <c r="N584" s="752">
        <v>55.7</v>
      </c>
      <c r="O584" s="609">
        <f t="shared" si="66"/>
        <v>242548.99200000003</v>
      </c>
      <c r="P584" s="703">
        <f t="shared" si="67"/>
        <v>-185068.80000000005</v>
      </c>
      <c r="Q584" s="752">
        <v>55.7</v>
      </c>
      <c r="R584" s="609">
        <f t="shared" si="68"/>
        <v>242548.99200000003</v>
      </c>
      <c r="S584" s="703">
        <f t="shared" si="69"/>
        <v>-185068.80000000005</v>
      </c>
      <c r="T584" s="697" t="s">
        <v>92</v>
      </c>
    </row>
    <row r="585" spans="1:20" x14ac:dyDescent="0.25">
      <c r="A585" s="690"/>
      <c r="B585" s="697" t="s">
        <v>1342</v>
      </c>
      <c r="C585" s="547" t="s">
        <v>40</v>
      </c>
      <c r="D585" s="683">
        <v>44593</v>
      </c>
      <c r="E585" s="547">
        <v>672</v>
      </c>
      <c r="F585" s="547" t="s">
        <v>5</v>
      </c>
      <c r="G585" s="727" t="s">
        <v>44</v>
      </c>
      <c r="H585" s="638">
        <v>5</v>
      </c>
      <c r="I585" s="638">
        <v>98.2</v>
      </c>
      <c r="J585" s="639">
        <f t="shared" si="63"/>
        <v>-329952</v>
      </c>
      <c r="K585" s="750">
        <v>55.7</v>
      </c>
      <c r="L585" s="608">
        <f t="shared" si="64"/>
        <v>187152</v>
      </c>
      <c r="M585" s="751">
        <f t="shared" si="65"/>
        <v>-142800</v>
      </c>
      <c r="N585" s="752">
        <v>55.7</v>
      </c>
      <c r="O585" s="609">
        <f t="shared" si="66"/>
        <v>187152</v>
      </c>
      <c r="P585" s="703">
        <f t="shared" si="67"/>
        <v>-142800</v>
      </c>
      <c r="Q585" s="752">
        <v>55.7</v>
      </c>
      <c r="R585" s="609">
        <f t="shared" si="68"/>
        <v>187152</v>
      </c>
      <c r="S585" s="703">
        <f t="shared" si="69"/>
        <v>-142800</v>
      </c>
      <c r="T585" s="697" t="s">
        <v>92</v>
      </c>
    </row>
    <row r="586" spans="1:20" x14ac:dyDescent="0.25">
      <c r="A586" s="690"/>
      <c r="B586" s="697" t="s">
        <v>1344</v>
      </c>
      <c r="C586" s="547" t="s">
        <v>40</v>
      </c>
      <c r="D586" s="683">
        <v>44621</v>
      </c>
      <c r="E586" s="547">
        <v>744</v>
      </c>
      <c r="F586" s="547" t="s">
        <v>3</v>
      </c>
      <c r="G586" s="727" t="s">
        <v>44</v>
      </c>
      <c r="H586" s="638">
        <v>1.8</v>
      </c>
      <c r="I586" s="638">
        <v>58</v>
      </c>
      <c r="J586" s="639">
        <f t="shared" si="63"/>
        <v>-77673.600000000006</v>
      </c>
      <c r="K586" s="750">
        <v>55.7</v>
      </c>
      <c r="L586" s="608">
        <f t="shared" si="64"/>
        <v>74593.440000000002</v>
      </c>
      <c r="M586" s="751">
        <f t="shared" si="65"/>
        <v>-3080.1600000000035</v>
      </c>
      <c r="N586" s="752">
        <v>55.7</v>
      </c>
      <c r="O586" s="609">
        <f t="shared" si="66"/>
        <v>74593.440000000002</v>
      </c>
      <c r="P586" s="703">
        <f t="shared" si="67"/>
        <v>-3080.1600000000035</v>
      </c>
      <c r="Q586" s="752">
        <v>55.7</v>
      </c>
      <c r="R586" s="609">
        <f t="shared" si="68"/>
        <v>74593.440000000002</v>
      </c>
      <c r="S586" s="703">
        <f t="shared" si="69"/>
        <v>-3080.1600000000035</v>
      </c>
      <c r="T586" s="697" t="s">
        <v>54</v>
      </c>
    </row>
    <row r="587" spans="1:20" x14ac:dyDescent="0.25">
      <c r="A587" s="690"/>
      <c r="B587" s="697" t="s">
        <v>1346</v>
      </c>
      <c r="C587" s="547" t="s">
        <v>40</v>
      </c>
      <c r="D587" s="683">
        <v>44593</v>
      </c>
      <c r="E587" s="547">
        <v>672</v>
      </c>
      <c r="F587" s="547" t="s">
        <v>5</v>
      </c>
      <c r="G587" s="727" t="s">
        <v>44</v>
      </c>
      <c r="H587" s="638">
        <v>0.3</v>
      </c>
      <c r="I587" s="638">
        <v>98.7</v>
      </c>
      <c r="J587" s="639">
        <f t="shared" si="63"/>
        <v>-19897.919999999998</v>
      </c>
      <c r="K587" s="750">
        <v>55.7</v>
      </c>
      <c r="L587" s="608">
        <f t="shared" si="64"/>
        <v>11229.12</v>
      </c>
      <c r="M587" s="751">
        <f t="shared" si="65"/>
        <v>-8668.7999999999975</v>
      </c>
      <c r="N587" s="752">
        <v>55.7</v>
      </c>
      <c r="O587" s="609">
        <f t="shared" si="66"/>
        <v>11229.12</v>
      </c>
      <c r="P587" s="703">
        <f t="shared" si="67"/>
        <v>-8668.7999999999975</v>
      </c>
      <c r="Q587" s="752">
        <v>55.7</v>
      </c>
      <c r="R587" s="609">
        <f t="shared" si="68"/>
        <v>11229.12</v>
      </c>
      <c r="S587" s="703">
        <f t="shared" si="69"/>
        <v>-8668.7999999999975</v>
      </c>
      <c r="T587" s="697" t="s">
        <v>92</v>
      </c>
    </row>
    <row r="588" spans="1:20" x14ac:dyDescent="0.25">
      <c r="A588" s="690"/>
      <c r="B588" s="697" t="s">
        <v>1355</v>
      </c>
      <c r="C588" s="547" t="s">
        <v>40</v>
      </c>
      <c r="D588" s="683">
        <v>44593</v>
      </c>
      <c r="E588" s="547">
        <v>672</v>
      </c>
      <c r="F588" s="547" t="s">
        <v>3</v>
      </c>
      <c r="G588" s="727" t="s">
        <v>44</v>
      </c>
      <c r="H588" s="638">
        <v>3</v>
      </c>
      <c r="I588" s="638">
        <v>57</v>
      </c>
      <c r="J588" s="639">
        <f t="shared" si="63"/>
        <v>-114912</v>
      </c>
      <c r="K588" s="750">
        <v>55.7</v>
      </c>
      <c r="L588" s="608">
        <f t="shared" si="64"/>
        <v>112291.20000000001</v>
      </c>
      <c r="M588" s="751">
        <f t="shared" si="65"/>
        <v>-2620.7999999999884</v>
      </c>
      <c r="N588" s="752">
        <v>55.7</v>
      </c>
      <c r="O588" s="609">
        <f t="shared" si="66"/>
        <v>112291.20000000001</v>
      </c>
      <c r="P588" s="703">
        <f t="shared" si="67"/>
        <v>-2620.7999999999884</v>
      </c>
      <c r="Q588" s="752">
        <v>55.7</v>
      </c>
      <c r="R588" s="609">
        <f t="shared" si="68"/>
        <v>112291.20000000001</v>
      </c>
      <c r="S588" s="703">
        <f t="shared" si="69"/>
        <v>-2620.7999999999884</v>
      </c>
      <c r="T588" s="697" t="s">
        <v>92</v>
      </c>
    </row>
    <row r="589" spans="1:20" x14ac:dyDescent="0.25">
      <c r="A589" s="690"/>
      <c r="B589" s="697" t="s">
        <v>1357</v>
      </c>
      <c r="C589" s="547" t="s">
        <v>40</v>
      </c>
      <c r="D589" s="683">
        <v>44713</v>
      </c>
      <c r="E589" s="547">
        <v>720</v>
      </c>
      <c r="F589" s="547" t="s">
        <v>3</v>
      </c>
      <c r="G589" s="727" t="s">
        <v>44</v>
      </c>
      <c r="H589" s="638">
        <v>2</v>
      </c>
      <c r="I589" s="638">
        <v>125</v>
      </c>
      <c r="J589" s="639">
        <f t="shared" si="63"/>
        <v>-180000</v>
      </c>
      <c r="K589" s="750">
        <v>55.71</v>
      </c>
      <c r="L589" s="608">
        <f t="shared" si="64"/>
        <v>80222.399999999994</v>
      </c>
      <c r="M589" s="751">
        <f t="shared" si="65"/>
        <v>-99777.600000000006</v>
      </c>
      <c r="N589" s="752">
        <v>55.71</v>
      </c>
      <c r="O589" s="609">
        <f t="shared" si="66"/>
        <v>80222.399999999994</v>
      </c>
      <c r="P589" s="703">
        <f t="shared" si="67"/>
        <v>-99777.600000000006</v>
      </c>
      <c r="Q589" s="752">
        <v>55.71</v>
      </c>
      <c r="R589" s="609">
        <f t="shared" si="68"/>
        <v>80222.399999999994</v>
      </c>
      <c r="S589" s="703">
        <f t="shared" si="69"/>
        <v>-99777.600000000006</v>
      </c>
      <c r="T589" s="697" t="s">
        <v>54</v>
      </c>
    </row>
    <row r="590" spans="1:20" x14ac:dyDescent="0.25">
      <c r="A590" s="690"/>
      <c r="B590" s="697" t="s">
        <v>1374</v>
      </c>
      <c r="C590" s="547" t="s">
        <v>40</v>
      </c>
      <c r="D590" s="683">
        <v>44835</v>
      </c>
      <c r="E590" s="547">
        <v>744</v>
      </c>
      <c r="F590" s="547" t="s">
        <v>3</v>
      </c>
      <c r="G590" s="727" t="s">
        <v>44</v>
      </c>
      <c r="H590" s="638">
        <v>-6.4</v>
      </c>
      <c r="I590" s="638">
        <v>194</v>
      </c>
      <c r="J590" s="639">
        <f t="shared" si="63"/>
        <v>923750.40000000002</v>
      </c>
      <c r="K590" s="750">
        <v>55.7</v>
      </c>
      <c r="L590" s="608">
        <f t="shared" si="64"/>
        <v>-265221.12000000005</v>
      </c>
      <c r="M590" s="751">
        <f t="shared" si="65"/>
        <v>658529.28000000003</v>
      </c>
      <c r="N590" s="752">
        <v>55.7</v>
      </c>
      <c r="O590" s="609">
        <f t="shared" si="66"/>
        <v>-265221.12000000005</v>
      </c>
      <c r="P590" s="703">
        <f t="shared" si="67"/>
        <v>658529.28000000003</v>
      </c>
      <c r="Q590" s="752">
        <v>55.7</v>
      </c>
      <c r="R590" s="609">
        <f t="shared" si="68"/>
        <v>-265221.12000000005</v>
      </c>
      <c r="S590" s="703">
        <f t="shared" si="69"/>
        <v>658529.28000000003</v>
      </c>
      <c r="T590" s="697" t="s">
        <v>54</v>
      </c>
    </row>
    <row r="591" spans="1:20" x14ac:dyDescent="0.25">
      <c r="A591" s="690"/>
      <c r="B591" s="697" t="s">
        <v>1376</v>
      </c>
      <c r="C591" s="547" t="s">
        <v>40</v>
      </c>
      <c r="D591" s="683">
        <v>44896</v>
      </c>
      <c r="E591" s="547">
        <v>744</v>
      </c>
      <c r="F591" s="547" t="s">
        <v>3</v>
      </c>
      <c r="G591" s="727" t="s">
        <v>44</v>
      </c>
      <c r="H591" s="638">
        <v>6.4</v>
      </c>
      <c r="I591" s="638">
        <v>167</v>
      </c>
      <c r="J591" s="639">
        <f t="shared" si="63"/>
        <v>-795187.20000000007</v>
      </c>
      <c r="K591" s="750">
        <v>55.7</v>
      </c>
      <c r="L591" s="608">
        <f t="shared" si="64"/>
        <v>265221.12000000005</v>
      </c>
      <c r="M591" s="751">
        <f t="shared" si="65"/>
        <v>-529966.08000000007</v>
      </c>
      <c r="N591" s="752">
        <v>55.7</v>
      </c>
      <c r="O591" s="609">
        <f t="shared" si="66"/>
        <v>265221.12000000005</v>
      </c>
      <c r="P591" s="703">
        <f t="shared" si="67"/>
        <v>-529966.08000000007</v>
      </c>
      <c r="Q591" s="752">
        <v>78.400653594793155</v>
      </c>
      <c r="R591" s="609">
        <f t="shared" si="68"/>
        <v>373312.55215696711</v>
      </c>
      <c r="S591" s="703">
        <f t="shared" si="69"/>
        <v>-421874.64784303296</v>
      </c>
      <c r="T591" s="697" t="s">
        <v>54</v>
      </c>
    </row>
    <row r="592" spans="1:20" x14ac:dyDescent="0.25">
      <c r="A592" s="690"/>
      <c r="B592" s="696" t="s">
        <v>1384</v>
      </c>
      <c r="C592" s="546" t="s">
        <v>40</v>
      </c>
      <c r="D592" s="682">
        <v>44743</v>
      </c>
      <c r="E592" s="546">
        <v>744</v>
      </c>
      <c r="F592" s="546" t="s">
        <v>3</v>
      </c>
      <c r="G592" s="726" t="s">
        <v>44</v>
      </c>
      <c r="H592" s="549">
        <v>-10</v>
      </c>
      <c r="I592" s="549">
        <v>163</v>
      </c>
      <c r="J592" s="605">
        <f t="shared" si="63"/>
        <v>1212720</v>
      </c>
      <c r="K592" s="746">
        <v>66.319999999999993</v>
      </c>
      <c r="L592" s="606">
        <f t="shared" si="64"/>
        <v>-493420.79999999993</v>
      </c>
      <c r="M592" s="747">
        <f t="shared" si="65"/>
        <v>719299.20000000007</v>
      </c>
      <c r="N592" s="748">
        <v>66.319999999999993</v>
      </c>
      <c r="O592" s="607">
        <f t="shared" si="66"/>
        <v>-493420.79999999993</v>
      </c>
      <c r="P592" s="702">
        <f t="shared" si="67"/>
        <v>719299.20000000007</v>
      </c>
      <c r="Q592" s="748">
        <v>66.319999999999993</v>
      </c>
      <c r="R592" s="607">
        <f t="shared" si="68"/>
        <v>-493420.79999999993</v>
      </c>
      <c r="S592" s="702">
        <f t="shared" si="69"/>
        <v>719299.20000000007</v>
      </c>
      <c r="T592" s="696" t="s">
        <v>54</v>
      </c>
    </row>
    <row r="593" spans="1:20" x14ac:dyDescent="0.25">
      <c r="A593" s="690"/>
      <c r="B593" s="691" t="s">
        <v>1384</v>
      </c>
      <c r="C593" s="676" t="s">
        <v>40</v>
      </c>
      <c r="D593" s="680">
        <v>44774</v>
      </c>
      <c r="E593" s="676">
        <v>744</v>
      </c>
      <c r="F593" s="676" t="s">
        <v>3</v>
      </c>
      <c r="G593" s="690" t="s">
        <v>44</v>
      </c>
      <c r="H593" s="115">
        <v>-10</v>
      </c>
      <c r="I593" s="115">
        <v>163</v>
      </c>
      <c r="J593" s="601">
        <f t="shared" si="63"/>
        <v>1212720</v>
      </c>
      <c r="K593" s="738">
        <v>76.900000000000006</v>
      </c>
      <c r="L593" s="677">
        <f t="shared" si="64"/>
        <v>-572136</v>
      </c>
      <c r="M593" s="739">
        <f t="shared" si="65"/>
        <v>640584</v>
      </c>
      <c r="N593" s="740">
        <v>76.900000000000006</v>
      </c>
      <c r="O593" s="678">
        <f t="shared" si="66"/>
        <v>-572136</v>
      </c>
      <c r="P593" s="700">
        <f t="shared" si="67"/>
        <v>640584</v>
      </c>
      <c r="Q593" s="740">
        <v>76.900000000000006</v>
      </c>
      <c r="R593" s="678">
        <f t="shared" si="68"/>
        <v>-572136</v>
      </c>
      <c r="S593" s="700">
        <f t="shared" si="69"/>
        <v>640584</v>
      </c>
      <c r="T593" s="691" t="s">
        <v>54</v>
      </c>
    </row>
    <row r="594" spans="1:20" x14ac:dyDescent="0.25">
      <c r="A594" s="690"/>
      <c r="B594" s="695" t="s">
        <v>1384</v>
      </c>
      <c r="C594" s="545" t="s">
        <v>40</v>
      </c>
      <c r="D594" s="681">
        <v>44805</v>
      </c>
      <c r="E594" s="545">
        <v>720</v>
      </c>
      <c r="F594" s="545" t="s">
        <v>3</v>
      </c>
      <c r="G594" s="725" t="s">
        <v>44</v>
      </c>
      <c r="H594" s="548">
        <v>-10</v>
      </c>
      <c r="I594" s="548">
        <v>163</v>
      </c>
      <c r="J594" s="602">
        <f t="shared" si="63"/>
        <v>1173600</v>
      </c>
      <c r="K594" s="742">
        <v>56.08</v>
      </c>
      <c r="L594" s="603">
        <f t="shared" si="64"/>
        <v>-403776</v>
      </c>
      <c r="M594" s="743">
        <f t="shared" si="65"/>
        <v>769824</v>
      </c>
      <c r="N594" s="744">
        <v>56.08</v>
      </c>
      <c r="O594" s="604">
        <f t="shared" si="66"/>
        <v>-403776</v>
      </c>
      <c r="P594" s="701">
        <f t="shared" si="67"/>
        <v>769824</v>
      </c>
      <c r="Q594" s="744">
        <v>56.08</v>
      </c>
      <c r="R594" s="604">
        <f t="shared" si="68"/>
        <v>-403776</v>
      </c>
      <c r="S594" s="701">
        <f t="shared" si="69"/>
        <v>769824</v>
      </c>
      <c r="T594" s="695" t="s">
        <v>54</v>
      </c>
    </row>
    <row r="595" spans="1:20" x14ac:dyDescent="0.25">
      <c r="A595" s="690"/>
      <c r="B595" s="696" t="s">
        <v>1386</v>
      </c>
      <c r="C595" s="546" t="s">
        <v>40</v>
      </c>
      <c r="D595" s="682">
        <v>44835</v>
      </c>
      <c r="E595" s="546">
        <v>744</v>
      </c>
      <c r="F595" s="546" t="s">
        <v>3</v>
      </c>
      <c r="G595" s="726" t="s">
        <v>44</v>
      </c>
      <c r="H595" s="549">
        <v>10</v>
      </c>
      <c r="I595" s="549">
        <v>183</v>
      </c>
      <c r="J595" s="605">
        <f t="shared" si="63"/>
        <v>-1361520</v>
      </c>
      <c r="K595" s="746">
        <v>55.7</v>
      </c>
      <c r="L595" s="606">
        <f t="shared" si="64"/>
        <v>414408</v>
      </c>
      <c r="M595" s="747">
        <f t="shared" si="65"/>
        <v>-947112</v>
      </c>
      <c r="N595" s="748">
        <v>55.7</v>
      </c>
      <c r="O595" s="607">
        <f t="shared" si="66"/>
        <v>414408</v>
      </c>
      <c r="P595" s="702">
        <f t="shared" si="67"/>
        <v>-947112</v>
      </c>
      <c r="Q595" s="748">
        <v>55.7</v>
      </c>
      <c r="R595" s="607">
        <f t="shared" si="68"/>
        <v>414408</v>
      </c>
      <c r="S595" s="702">
        <f t="shared" si="69"/>
        <v>-947112</v>
      </c>
      <c r="T595" s="696" t="s">
        <v>54</v>
      </c>
    </row>
    <row r="596" spans="1:20" x14ac:dyDescent="0.25">
      <c r="A596" s="690"/>
      <c r="B596" s="691" t="s">
        <v>1386</v>
      </c>
      <c r="C596" s="676" t="s">
        <v>40</v>
      </c>
      <c r="D596" s="680">
        <v>44866</v>
      </c>
      <c r="E596" s="676">
        <v>720</v>
      </c>
      <c r="F596" s="676" t="s">
        <v>3</v>
      </c>
      <c r="G596" s="690" t="s">
        <v>44</v>
      </c>
      <c r="H596" s="115">
        <v>10</v>
      </c>
      <c r="I596" s="115">
        <v>183</v>
      </c>
      <c r="J596" s="601">
        <f t="shared" si="63"/>
        <v>-1317600</v>
      </c>
      <c r="K596" s="738">
        <v>55.7</v>
      </c>
      <c r="L596" s="677">
        <f t="shared" si="64"/>
        <v>401040</v>
      </c>
      <c r="M596" s="739">
        <f t="shared" si="65"/>
        <v>-916560</v>
      </c>
      <c r="N596" s="740">
        <v>55.7</v>
      </c>
      <c r="O596" s="678">
        <f t="shared" si="66"/>
        <v>401040</v>
      </c>
      <c r="P596" s="700">
        <f t="shared" si="67"/>
        <v>-916560</v>
      </c>
      <c r="Q596" s="740">
        <v>55.7</v>
      </c>
      <c r="R596" s="678">
        <f t="shared" si="68"/>
        <v>401040</v>
      </c>
      <c r="S596" s="700">
        <f t="shared" si="69"/>
        <v>-916560</v>
      </c>
      <c r="T596" s="691" t="s">
        <v>54</v>
      </c>
    </row>
    <row r="597" spans="1:20" x14ac:dyDescent="0.25">
      <c r="A597" s="690"/>
      <c r="B597" s="695" t="s">
        <v>1386</v>
      </c>
      <c r="C597" s="545" t="s">
        <v>40</v>
      </c>
      <c r="D597" s="681">
        <v>44896</v>
      </c>
      <c r="E597" s="545">
        <v>744</v>
      </c>
      <c r="F597" s="545" t="s">
        <v>3</v>
      </c>
      <c r="G597" s="725" t="s">
        <v>44</v>
      </c>
      <c r="H597" s="548">
        <v>10</v>
      </c>
      <c r="I597" s="548">
        <v>183</v>
      </c>
      <c r="J597" s="602">
        <f t="shared" si="63"/>
        <v>-1361520</v>
      </c>
      <c r="K597" s="742">
        <v>55.7</v>
      </c>
      <c r="L597" s="603">
        <f t="shared" si="64"/>
        <v>414408</v>
      </c>
      <c r="M597" s="743">
        <f t="shared" si="65"/>
        <v>-947112</v>
      </c>
      <c r="N597" s="744">
        <v>55.7</v>
      </c>
      <c r="O597" s="604">
        <f t="shared" si="66"/>
        <v>414408</v>
      </c>
      <c r="P597" s="701">
        <f t="shared" si="67"/>
        <v>-947112</v>
      </c>
      <c r="Q597" s="744">
        <v>78.400653594793155</v>
      </c>
      <c r="R597" s="604">
        <f t="shared" si="68"/>
        <v>583300.86274526105</v>
      </c>
      <c r="S597" s="701">
        <f t="shared" si="69"/>
        <v>-778219.13725473895</v>
      </c>
      <c r="T597" s="695" t="s">
        <v>54</v>
      </c>
    </row>
    <row r="598" spans="1:20" x14ac:dyDescent="0.25">
      <c r="A598" s="690"/>
      <c r="B598" s="696" t="s">
        <v>1388</v>
      </c>
      <c r="C598" s="546" t="s">
        <v>40</v>
      </c>
      <c r="D598" s="682">
        <v>44743</v>
      </c>
      <c r="E598" s="546">
        <v>744</v>
      </c>
      <c r="F598" s="546" t="s">
        <v>3</v>
      </c>
      <c r="G598" s="726" t="s">
        <v>44</v>
      </c>
      <c r="H598" s="549">
        <v>-5</v>
      </c>
      <c r="I598" s="549">
        <v>164</v>
      </c>
      <c r="J598" s="605">
        <f t="shared" si="63"/>
        <v>610080</v>
      </c>
      <c r="K598" s="746">
        <v>66.319999999999993</v>
      </c>
      <c r="L598" s="606">
        <f t="shared" si="64"/>
        <v>-246710.39999999997</v>
      </c>
      <c r="M598" s="747">
        <f t="shared" si="65"/>
        <v>363369.60000000003</v>
      </c>
      <c r="N598" s="748">
        <v>66.319999999999993</v>
      </c>
      <c r="O598" s="607">
        <f t="shared" si="66"/>
        <v>-246710.39999999997</v>
      </c>
      <c r="P598" s="702">
        <f t="shared" si="67"/>
        <v>363369.60000000003</v>
      </c>
      <c r="Q598" s="748">
        <v>66.319999999999993</v>
      </c>
      <c r="R598" s="607">
        <f t="shared" si="68"/>
        <v>-246710.39999999997</v>
      </c>
      <c r="S598" s="702">
        <f t="shared" si="69"/>
        <v>363369.60000000003</v>
      </c>
      <c r="T598" s="696" t="s">
        <v>54</v>
      </c>
    </row>
    <row r="599" spans="1:20" x14ac:dyDescent="0.25">
      <c r="A599" s="690"/>
      <c r="B599" s="691" t="s">
        <v>1388</v>
      </c>
      <c r="C599" s="676" t="s">
        <v>40</v>
      </c>
      <c r="D599" s="680">
        <v>44774</v>
      </c>
      <c r="E599" s="676">
        <v>744</v>
      </c>
      <c r="F599" s="676" t="s">
        <v>3</v>
      </c>
      <c r="G599" s="690" t="s">
        <v>44</v>
      </c>
      <c r="H599" s="115">
        <v>-5</v>
      </c>
      <c r="I599" s="115">
        <v>164</v>
      </c>
      <c r="J599" s="601">
        <f t="shared" si="63"/>
        <v>610080</v>
      </c>
      <c r="K599" s="738">
        <v>76.900000000000006</v>
      </c>
      <c r="L599" s="677">
        <f t="shared" si="64"/>
        <v>-286068</v>
      </c>
      <c r="M599" s="739">
        <f t="shared" si="65"/>
        <v>324012</v>
      </c>
      <c r="N599" s="740">
        <v>76.900000000000006</v>
      </c>
      <c r="O599" s="678">
        <f t="shared" si="66"/>
        <v>-286068</v>
      </c>
      <c r="P599" s="700">
        <f t="shared" si="67"/>
        <v>324012</v>
      </c>
      <c r="Q599" s="740">
        <v>76.900000000000006</v>
      </c>
      <c r="R599" s="678">
        <f t="shared" si="68"/>
        <v>-286068</v>
      </c>
      <c r="S599" s="700">
        <f t="shared" si="69"/>
        <v>324012</v>
      </c>
      <c r="T599" s="691" t="s">
        <v>54</v>
      </c>
    </row>
    <row r="600" spans="1:20" x14ac:dyDescent="0.25">
      <c r="A600" s="690"/>
      <c r="B600" s="695" t="s">
        <v>1388</v>
      </c>
      <c r="C600" s="545" t="s">
        <v>40</v>
      </c>
      <c r="D600" s="681">
        <v>44805</v>
      </c>
      <c r="E600" s="545">
        <v>720</v>
      </c>
      <c r="F600" s="545" t="s">
        <v>3</v>
      </c>
      <c r="G600" s="725" t="s">
        <v>44</v>
      </c>
      <c r="H600" s="548">
        <v>-5</v>
      </c>
      <c r="I600" s="548">
        <v>164</v>
      </c>
      <c r="J600" s="602">
        <f t="shared" si="63"/>
        <v>590400</v>
      </c>
      <c r="K600" s="742">
        <v>56.08</v>
      </c>
      <c r="L600" s="603">
        <f t="shared" si="64"/>
        <v>-201888</v>
      </c>
      <c r="M600" s="743">
        <f t="shared" si="65"/>
        <v>388512</v>
      </c>
      <c r="N600" s="744">
        <v>56.08</v>
      </c>
      <c r="O600" s="604">
        <f t="shared" si="66"/>
        <v>-201888</v>
      </c>
      <c r="P600" s="701">
        <f t="shared" si="67"/>
        <v>388512</v>
      </c>
      <c r="Q600" s="744">
        <v>56.08</v>
      </c>
      <c r="R600" s="604">
        <f t="shared" si="68"/>
        <v>-201888</v>
      </c>
      <c r="S600" s="701">
        <f t="shared" si="69"/>
        <v>388512</v>
      </c>
      <c r="T600" s="695" t="s">
        <v>54</v>
      </c>
    </row>
    <row r="601" spans="1:20" x14ac:dyDescent="0.25">
      <c r="A601" s="690"/>
      <c r="B601" s="696" t="s">
        <v>1390</v>
      </c>
      <c r="C601" s="546" t="s">
        <v>40</v>
      </c>
      <c r="D601" s="682">
        <v>44835</v>
      </c>
      <c r="E601" s="546">
        <v>744</v>
      </c>
      <c r="F601" s="546" t="s">
        <v>3</v>
      </c>
      <c r="G601" s="726" t="s">
        <v>44</v>
      </c>
      <c r="H601" s="549">
        <v>5</v>
      </c>
      <c r="I601" s="549">
        <v>184</v>
      </c>
      <c r="J601" s="605">
        <f t="shared" si="63"/>
        <v>-684480</v>
      </c>
      <c r="K601" s="746">
        <v>55.7</v>
      </c>
      <c r="L601" s="606">
        <f t="shared" si="64"/>
        <v>207204</v>
      </c>
      <c r="M601" s="747">
        <f t="shared" si="65"/>
        <v>-477276</v>
      </c>
      <c r="N601" s="748">
        <v>55.7</v>
      </c>
      <c r="O601" s="607">
        <f t="shared" si="66"/>
        <v>207204</v>
      </c>
      <c r="P601" s="702">
        <f t="shared" si="67"/>
        <v>-477276</v>
      </c>
      <c r="Q601" s="748">
        <v>55.7</v>
      </c>
      <c r="R601" s="607">
        <f t="shared" si="68"/>
        <v>207204</v>
      </c>
      <c r="S601" s="702">
        <f t="shared" si="69"/>
        <v>-477276</v>
      </c>
      <c r="T601" s="696" t="s">
        <v>54</v>
      </c>
    </row>
    <row r="602" spans="1:20" x14ac:dyDescent="0.25">
      <c r="A602" s="690"/>
      <c r="B602" s="691" t="s">
        <v>1390</v>
      </c>
      <c r="C602" s="676" t="s">
        <v>40</v>
      </c>
      <c r="D602" s="680">
        <v>44866</v>
      </c>
      <c r="E602" s="676">
        <v>720</v>
      </c>
      <c r="F602" s="676" t="s">
        <v>3</v>
      </c>
      <c r="G602" s="690" t="s">
        <v>44</v>
      </c>
      <c r="H602" s="115">
        <v>5</v>
      </c>
      <c r="I602" s="115">
        <v>184</v>
      </c>
      <c r="J602" s="601">
        <f t="shared" si="63"/>
        <v>-662400</v>
      </c>
      <c r="K602" s="738">
        <v>55.7</v>
      </c>
      <c r="L602" s="677">
        <f t="shared" si="64"/>
        <v>200520</v>
      </c>
      <c r="M602" s="739">
        <f t="shared" si="65"/>
        <v>-461880</v>
      </c>
      <c r="N602" s="740">
        <v>55.7</v>
      </c>
      <c r="O602" s="678">
        <f t="shared" si="66"/>
        <v>200520</v>
      </c>
      <c r="P602" s="700">
        <f t="shared" si="67"/>
        <v>-461880</v>
      </c>
      <c r="Q602" s="740">
        <v>55.7</v>
      </c>
      <c r="R602" s="678">
        <f t="shared" si="68"/>
        <v>200520</v>
      </c>
      <c r="S602" s="700">
        <f t="shared" si="69"/>
        <v>-461880</v>
      </c>
      <c r="T602" s="691" t="s">
        <v>54</v>
      </c>
    </row>
    <row r="603" spans="1:20" x14ac:dyDescent="0.25">
      <c r="A603" s="690"/>
      <c r="B603" s="695" t="s">
        <v>1390</v>
      </c>
      <c r="C603" s="545" t="s">
        <v>40</v>
      </c>
      <c r="D603" s="681">
        <v>44896</v>
      </c>
      <c r="E603" s="545">
        <v>744</v>
      </c>
      <c r="F603" s="545" t="s">
        <v>3</v>
      </c>
      <c r="G603" s="725" t="s">
        <v>44</v>
      </c>
      <c r="H603" s="548">
        <v>5</v>
      </c>
      <c r="I603" s="548">
        <v>184</v>
      </c>
      <c r="J603" s="602">
        <f t="shared" si="63"/>
        <v>-684480</v>
      </c>
      <c r="K603" s="742">
        <v>55.7</v>
      </c>
      <c r="L603" s="603">
        <f t="shared" si="64"/>
        <v>207204</v>
      </c>
      <c r="M603" s="743">
        <f t="shared" si="65"/>
        <v>-477276</v>
      </c>
      <c r="N603" s="744">
        <v>55.7</v>
      </c>
      <c r="O603" s="604">
        <f t="shared" si="66"/>
        <v>207204</v>
      </c>
      <c r="P603" s="701">
        <f t="shared" si="67"/>
        <v>-477276</v>
      </c>
      <c r="Q603" s="744">
        <v>78.400653594793155</v>
      </c>
      <c r="R603" s="604">
        <f t="shared" si="68"/>
        <v>291650.43137263053</v>
      </c>
      <c r="S603" s="701">
        <f t="shared" si="69"/>
        <v>-392829.56862736947</v>
      </c>
      <c r="T603" s="695" t="s">
        <v>54</v>
      </c>
    </row>
    <row r="604" spans="1:20" x14ac:dyDescent="0.25">
      <c r="A604" s="690"/>
      <c r="B604" s="696" t="s">
        <v>1392</v>
      </c>
      <c r="C604" s="546" t="s">
        <v>40</v>
      </c>
      <c r="D604" s="682">
        <v>44835</v>
      </c>
      <c r="E604" s="546">
        <v>744</v>
      </c>
      <c r="F604" s="546" t="s">
        <v>3</v>
      </c>
      <c r="G604" s="726" t="s">
        <v>44</v>
      </c>
      <c r="H604" s="549">
        <v>5</v>
      </c>
      <c r="I604" s="549">
        <v>184</v>
      </c>
      <c r="J604" s="605">
        <f t="shared" si="63"/>
        <v>-684480</v>
      </c>
      <c r="K604" s="746">
        <v>55.7</v>
      </c>
      <c r="L604" s="606">
        <f t="shared" si="64"/>
        <v>207204</v>
      </c>
      <c r="M604" s="747">
        <f t="shared" si="65"/>
        <v>-477276</v>
      </c>
      <c r="N604" s="748">
        <v>55.7</v>
      </c>
      <c r="O604" s="607">
        <f t="shared" si="66"/>
        <v>207204</v>
      </c>
      <c r="P604" s="702">
        <f t="shared" si="67"/>
        <v>-477276</v>
      </c>
      <c r="Q604" s="748">
        <v>55.7</v>
      </c>
      <c r="R604" s="607">
        <f t="shared" si="68"/>
        <v>207204</v>
      </c>
      <c r="S604" s="702">
        <f t="shared" si="69"/>
        <v>-477276</v>
      </c>
      <c r="T604" s="696" t="s">
        <v>54</v>
      </c>
    </row>
    <row r="605" spans="1:20" x14ac:dyDescent="0.25">
      <c r="A605" s="690"/>
      <c r="B605" s="691" t="s">
        <v>1392</v>
      </c>
      <c r="C605" s="676" t="s">
        <v>40</v>
      </c>
      <c r="D605" s="680">
        <v>44866</v>
      </c>
      <c r="E605" s="676">
        <v>720</v>
      </c>
      <c r="F605" s="676" t="s">
        <v>3</v>
      </c>
      <c r="G605" s="690" t="s">
        <v>44</v>
      </c>
      <c r="H605" s="115">
        <v>5</v>
      </c>
      <c r="I605" s="115">
        <v>184</v>
      </c>
      <c r="J605" s="601">
        <f t="shared" si="63"/>
        <v>-662400</v>
      </c>
      <c r="K605" s="738">
        <v>55.7</v>
      </c>
      <c r="L605" s="677">
        <f t="shared" si="64"/>
        <v>200520</v>
      </c>
      <c r="M605" s="739">
        <f t="shared" si="65"/>
        <v>-461880</v>
      </c>
      <c r="N605" s="740">
        <v>55.7</v>
      </c>
      <c r="O605" s="678">
        <f t="shared" si="66"/>
        <v>200520</v>
      </c>
      <c r="P605" s="700">
        <f t="shared" si="67"/>
        <v>-461880</v>
      </c>
      <c r="Q605" s="740">
        <v>55.7</v>
      </c>
      <c r="R605" s="678">
        <f t="shared" si="68"/>
        <v>200520</v>
      </c>
      <c r="S605" s="700">
        <f t="shared" si="69"/>
        <v>-461880</v>
      </c>
      <c r="T605" s="691" t="s">
        <v>54</v>
      </c>
    </row>
    <row r="606" spans="1:20" x14ac:dyDescent="0.25">
      <c r="A606" s="690"/>
      <c r="B606" s="695" t="s">
        <v>1392</v>
      </c>
      <c r="C606" s="545" t="s">
        <v>40</v>
      </c>
      <c r="D606" s="681">
        <v>44896</v>
      </c>
      <c r="E606" s="545">
        <v>744</v>
      </c>
      <c r="F606" s="545" t="s">
        <v>3</v>
      </c>
      <c r="G606" s="725" t="s">
        <v>44</v>
      </c>
      <c r="H606" s="548">
        <v>5</v>
      </c>
      <c r="I606" s="548">
        <v>184</v>
      </c>
      <c r="J606" s="602">
        <f t="shared" si="63"/>
        <v>-684480</v>
      </c>
      <c r="K606" s="742">
        <v>55.7</v>
      </c>
      <c r="L606" s="603">
        <f t="shared" si="64"/>
        <v>207204</v>
      </c>
      <c r="M606" s="743">
        <f t="shared" si="65"/>
        <v>-477276</v>
      </c>
      <c r="N606" s="744">
        <v>55.7</v>
      </c>
      <c r="O606" s="604">
        <f t="shared" si="66"/>
        <v>207204</v>
      </c>
      <c r="P606" s="701">
        <f t="shared" si="67"/>
        <v>-477276</v>
      </c>
      <c r="Q606" s="744">
        <v>78.400653594793155</v>
      </c>
      <c r="R606" s="604">
        <f t="shared" si="68"/>
        <v>291650.43137263053</v>
      </c>
      <c r="S606" s="701">
        <f t="shared" si="69"/>
        <v>-392829.56862736947</v>
      </c>
      <c r="T606" s="695" t="s">
        <v>54</v>
      </c>
    </row>
    <row r="607" spans="1:20" x14ac:dyDescent="0.25">
      <c r="A607" s="690"/>
      <c r="B607" s="696" t="s">
        <v>1394</v>
      </c>
      <c r="C607" s="546" t="s">
        <v>40</v>
      </c>
      <c r="D607" s="682">
        <v>44743</v>
      </c>
      <c r="E607" s="546">
        <v>744</v>
      </c>
      <c r="F607" s="546" t="s">
        <v>3</v>
      </c>
      <c r="G607" s="726" t="s">
        <v>44</v>
      </c>
      <c r="H607" s="549">
        <v>-5</v>
      </c>
      <c r="I607" s="549">
        <v>164</v>
      </c>
      <c r="J607" s="605">
        <f t="shared" si="63"/>
        <v>610080</v>
      </c>
      <c r="K607" s="746">
        <v>66.319999999999993</v>
      </c>
      <c r="L607" s="606">
        <f t="shared" si="64"/>
        <v>-246710.39999999997</v>
      </c>
      <c r="M607" s="747">
        <f t="shared" si="65"/>
        <v>363369.60000000003</v>
      </c>
      <c r="N607" s="748">
        <v>66.319999999999993</v>
      </c>
      <c r="O607" s="607">
        <f t="shared" si="66"/>
        <v>-246710.39999999997</v>
      </c>
      <c r="P607" s="702">
        <f t="shared" si="67"/>
        <v>363369.60000000003</v>
      </c>
      <c r="Q607" s="748">
        <v>66.319999999999993</v>
      </c>
      <c r="R607" s="607">
        <f t="shared" si="68"/>
        <v>-246710.39999999997</v>
      </c>
      <c r="S607" s="702">
        <f t="shared" si="69"/>
        <v>363369.60000000003</v>
      </c>
      <c r="T607" s="696" t="s">
        <v>54</v>
      </c>
    </row>
    <row r="608" spans="1:20" x14ac:dyDescent="0.25">
      <c r="A608" s="690"/>
      <c r="B608" s="691" t="s">
        <v>1394</v>
      </c>
      <c r="C608" s="676" t="s">
        <v>40</v>
      </c>
      <c r="D608" s="680">
        <v>44774</v>
      </c>
      <c r="E608" s="676">
        <v>744</v>
      </c>
      <c r="F608" s="676" t="s">
        <v>3</v>
      </c>
      <c r="G608" s="690" t="s">
        <v>44</v>
      </c>
      <c r="H608" s="115">
        <v>-5</v>
      </c>
      <c r="I608" s="115">
        <v>164</v>
      </c>
      <c r="J608" s="601">
        <f t="shared" si="63"/>
        <v>610080</v>
      </c>
      <c r="K608" s="738">
        <v>76.900000000000006</v>
      </c>
      <c r="L608" s="677">
        <f t="shared" si="64"/>
        <v>-286068</v>
      </c>
      <c r="M608" s="739">
        <f t="shared" si="65"/>
        <v>324012</v>
      </c>
      <c r="N608" s="740">
        <v>76.900000000000006</v>
      </c>
      <c r="O608" s="678">
        <f t="shared" si="66"/>
        <v>-286068</v>
      </c>
      <c r="P608" s="700">
        <f t="shared" si="67"/>
        <v>324012</v>
      </c>
      <c r="Q608" s="740">
        <v>76.900000000000006</v>
      </c>
      <c r="R608" s="678">
        <f t="shared" si="68"/>
        <v>-286068</v>
      </c>
      <c r="S608" s="700">
        <f t="shared" si="69"/>
        <v>324012</v>
      </c>
      <c r="T608" s="691" t="s">
        <v>54</v>
      </c>
    </row>
    <row r="609" spans="1:20" x14ac:dyDescent="0.25">
      <c r="A609" s="690"/>
      <c r="B609" s="695" t="s">
        <v>1394</v>
      </c>
      <c r="C609" s="545" t="s">
        <v>40</v>
      </c>
      <c r="D609" s="681">
        <v>44805</v>
      </c>
      <c r="E609" s="545">
        <v>720</v>
      </c>
      <c r="F609" s="545" t="s">
        <v>3</v>
      </c>
      <c r="G609" s="725" t="s">
        <v>44</v>
      </c>
      <c r="H609" s="548">
        <v>-5</v>
      </c>
      <c r="I609" s="548">
        <v>164</v>
      </c>
      <c r="J609" s="602">
        <f t="shared" si="63"/>
        <v>590400</v>
      </c>
      <c r="K609" s="742">
        <v>56.08</v>
      </c>
      <c r="L609" s="603">
        <f t="shared" si="64"/>
        <v>-201888</v>
      </c>
      <c r="M609" s="743">
        <f t="shared" si="65"/>
        <v>388512</v>
      </c>
      <c r="N609" s="744">
        <v>56.08</v>
      </c>
      <c r="O609" s="604">
        <f t="shared" si="66"/>
        <v>-201888</v>
      </c>
      <c r="P609" s="701">
        <f t="shared" si="67"/>
        <v>388512</v>
      </c>
      <c r="Q609" s="744">
        <v>56.08</v>
      </c>
      <c r="R609" s="604">
        <f t="shared" si="68"/>
        <v>-201888</v>
      </c>
      <c r="S609" s="701">
        <f t="shared" si="69"/>
        <v>388512</v>
      </c>
      <c r="T609" s="695" t="s">
        <v>54</v>
      </c>
    </row>
    <row r="610" spans="1:20" x14ac:dyDescent="0.25">
      <c r="A610" s="690"/>
      <c r="B610" s="696" t="s">
        <v>1398</v>
      </c>
      <c r="C610" s="546" t="s">
        <v>40</v>
      </c>
      <c r="D610" s="682">
        <v>44743</v>
      </c>
      <c r="E610" s="546">
        <v>744</v>
      </c>
      <c r="F610" s="546" t="s">
        <v>3</v>
      </c>
      <c r="G610" s="726" t="s">
        <v>44</v>
      </c>
      <c r="H610" s="549">
        <v>-15</v>
      </c>
      <c r="I610" s="549">
        <v>163</v>
      </c>
      <c r="J610" s="605">
        <f t="shared" si="63"/>
        <v>1819080</v>
      </c>
      <c r="K610" s="746">
        <v>66.319999999999993</v>
      </c>
      <c r="L610" s="606">
        <f t="shared" si="64"/>
        <v>-740131.2</v>
      </c>
      <c r="M610" s="747">
        <f t="shared" si="65"/>
        <v>1078948.8</v>
      </c>
      <c r="N610" s="748">
        <v>66.319999999999993</v>
      </c>
      <c r="O610" s="607">
        <f t="shared" si="66"/>
        <v>-740131.2</v>
      </c>
      <c r="P610" s="702">
        <f t="shared" si="67"/>
        <v>1078948.8</v>
      </c>
      <c r="Q610" s="748">
        <v>66.319999999999993</v>
      </c>
      <c r="R610" s="607">
        <f t="shared" si="68"/>
        <v>-740131.2</v>
      </c>
      <c r="S610" s="702">
        <f t="shared" si="69"/>
        <v>1078948.8</v>
      </c>
      <c r="T610" s="696" t="s">
        <v>54</v>
      </c>
    </row>
    <row r="611" spans="1:20" x14ac:dyDescent="0.25">
      <c r="A611" s="690"/>
      <c r="B611" s="691" t="s">
        <v>1398</v>
      </c>
      <c r="C611" s="676" t="s">
        <v>40</v>
      </c>
      <c r="D611" s="680">
        <v>44774</v>
      </c>
      <c r="E611" s="676">
        <v>744</v>
      </c>
      <c r="F611" s="676" t="s">
        <v>3</v>
      </c>
      <c r="G611" s="690" t="s">
        <v>44</v>
      </c>
      <c r="H611" s="115">
        <v>-15</v>
      </c>
      <c r="I611" s="115">
        <v>163</v>
      </c>
      <c r="J611" s="601">
        <f t="shared" si="63"/>
        <v>1819080</v>
      </c>
      <c r="K611" s="738">
        <v>76.900000000000006</v>
      </c>
      <c r="L611" s="677">
        <f t="shared" si="64"/>
        <v>-858204.00000000012</v>
      </c>
      <c r="M611" s="739">
        <f t="shared" si="65"/>
        <v>960875.99999999988</v>
      </c>
      <c r="N611" s="740">
        <v>76.900000000000006</v>
      </c>
      <c r="O611" s="678">
        <f t="shared" si="66"/>
        <v>-858204.00000000012</v>
      </c>
      <c r="P611" s="700">
        <f t="shared" si="67"/>
        <v>960875.99999999988</v>
      </c>
      <c r="Q611" s="740">
        <v>76.900000000000006</v>
      </c>
      <c r="R611" s="678">
        <f t="shared" si="68"/>
        <v>-858204.00000000012</v>
      </c>
      <c r="S611" s="700">
        <f t="shared" si="69"/>
        <v>960875.99999999988</v>
      </c>
      <c r="T611" s="691" t="s">
        <v>54</v>
      </c>
    </row>
    <row r="612" spans="1:20" x14ac:dyDescent="0.25">
      <c r="A612" s="690"/>
      <c r="B612" s="695" t="s">
        <v>1398</v>
      </c>
      <c r="C612" s="545" t="s">
        <v>40</v>
      </c>
      <c r="D612" s="681">
        <v>44805</v>
      </c>
      <c r="E612" s="545">
        <v>720</v>
      </c>
      <c r="F612" s="545" t="s">
        <v>3</v>
      </c>
      <c r="G612" s="725" t="s">
        <v>44</v>
      </c>
      <c r="H612" s="548">
        <v>-15</v>
      </c>
      <c r="I612" s="548">
        <v>163</v>
      </c>
      <c r="J612" s="602">
        <f t="shared" si="63"/>
        <v>1760400</v>
      </c>
      <c r="K612" s="742">
        <v>56.08</v>
      </c>
      <c r="L612" s="603">
        <f t="shared" si="64"/>
        <v>-605664</v>
      </c>
      <c r="M612" s="743">
        <f t="shared" si="65"/>
        <v>1154736</v>
      </c>
      <c r="N612" s="744">
        <v>56.08</v>
      </c>
      <c r="O612" s="604">
        <f t="shared" si="66"/>
        <v>-605664</v>
      </c>
      <c r="P612" s="701">
        <f t="shared" si="67"/>
        <v>1154736</v>
      </c>
      <c r="Q612" s="744">
        <v>56.08</v>
      </c>
      <c r="R612" s="604">
        <f t="shared" si="68"/>
        <v>-605664</v>
      </c>
      <c r="S612" s="701">
        <f t="shared" si="69"/>
        <v>1154736</v>
      </c>
      <c r="T612" s="695" t="s">
        <v>54</v>
      </c>
    </row>
    <row r="613" spans="1:20" x14ac:dyDescent="0.25">
      <c r="A613" s="690"/>
      <c r="B613" s="696" t="s">
        <v>1400</v>
      </c>
      <c r="C613" s="546" t="s">
        <v>40</v>
      </c>
      <c r="D613" s="682">
        <v>44835</v>
      </c>
      <c r="E613" s="546">
        <v>744</v>
      </c>
      <c r="F613" s="546" t="s">
        <v>3</v>
      </c>
      <c r="G613" s="726" t="s">
        <v>44</v>
      </c>
      <c r="H613" s="549">
        <v>15</v>
      </c>
      <c r="I613" s="549">
        <v>183</v>
      </c>
      <c r="J613" s="605">
        <f t="shared" si="63"/>
        <v>-2042280</v>
      </c>
      <c r="K613" s="746">
        <v>55.7</v>
      </c>
      <c r="L613" s="606">
        <f t="shared" si="64"/>
        <v>621612</v>
      </c>
      <c r="M613" s="747">
        <f t="shared" si="65"/>
        <v>-1420668</v>
      </c>
      <c r="N613" s="748">
        <v>55.7</v>
      </c>
      <c r="O613" s="607">
        <f t="shared" si="66"/>
        <v>621612</v>
      </c>
      <c r="P613" s="702">
        <f t="shared" si="67"/>
        <v>-1420668</v>
      </c>
      <c r="Q613" s="748">
        <v>55.7</v>
      </c>
      <c r="R613" s="607">
        <f t="shared" si="68"/>
        <v>621612</v>
      </c>
      <c r="S613" s="702">
        <f t="shared" si="69"/>
        <v>-1420668</v>
      </c>
      <c r="T613" s="696" t="s">
        <v>54</v>
      </c>
    </row>
    <row r="614" spans="1:20" x14ac:dyDescent="0.25">
      <c r="A614" s="690"/>
      <c r="B614" s="691" t="s">
        <v>1400</v>
      </c>
      <c r="C614" s="676" t="s">
        <v>40</v>
      </c>
      <c r="D614" s="680">
        <v>44866</v>
      </c>
      <c r="E614" s="676">
        <v>720</v>
      </c>
      <c r="F614" s="676" t="s">
        <v>3</v>
      </c>
      <c r="G614" s="690" t="s">
        <v>44</v>
      </c>
      <c r="H614" s="115">
        <v>15</v>
      </c>
      <c r="I614" s="115">
        <v>183</v>
      </c>
      <c r="J614" s="601">
        <f t="shared" si="63"/>
        <v>-1976400</v>
      </c>
      <c r="K614" s="738">
        <v>55.7</v>
      </c>
      <c r="L614" s="677">
        <f t="shared" si="64"/>
        <v>601560</v>
      </c>
      <c r="M614" s="739">
        <f t="shared" si="65"/>
        <v>-1374840</v>
      </c>
      <c r="N614" s="740">
        <v>55.7</v>
      </c>
      <c r="O614" s="678">
        <f t="shared" si="66"/>
        <v>601560</v>
      </c>
      <c r="P614" s="700">
        <f t="shared" si="67"/>
        <v>-1374840</v>
      </c>
      <c r="Q614" s="740">
        <v>55.7</v>
      </c>
      <c r="R614" s="678">
        <f t="shared" si="68"/>
        <v>601560</v>
      </c>
      <c r="S614" s="700">
        <f t="shared" si="69"/>
        <v>-1374840</v>
      </c>
      <c r="T614" s="691" t="s">
        <v>54</v>
      </c>
    </row>
    <row r="615" spans="1:20" x14ac:dyDescent="0.25">
      <c r="A615" s="690"/>
      <c r="B615" s="695" t="s">
        <v>1400</v>
      </c>
      <c r="C615" s="545" t="s">
        <v>40</v>
      </c>
      <c r="D615" s="681">
        <v>44896</v>
      </c>
      <c r="E615" s="545">
        <v>744</v>
      </c>
      <c r="F615" s="545" t="s">
        <v>3</v>
      </c>
      <c r="G615" s="725" t="s">
        <v>44</v>
      </c>
      <c r="H615" s="548">
        <v>15</v>
      </c>
      <c r="I615" s="548">
        <v>183</v>
      </c>
      <c r="J615" s="602">
        <f t="shared" si="63"/>
        <v>-2042280</v>
      </c>
      <c r="K615" s="742">
        <v>55.7</v>
      </c>
      <c r="L615" s="603">
        <f t="shared" si="64"/>
        <v>621612</v>
      </c>
      <c r="M615" s="743">
        <f t="shared" si="65"/>
        <v>-1420668</v>
      </c>
      <c r="N615" s="744">
        <v>55.7</v>
      </c>
      <c r="O615" s="604">
        <f t="shared" si="66"/>
        <v>621612</v>
      </c>
      <c r="P615" s="701">
        <f t="shared" si="67"/>
        <v>-1420668</v>
      </c>
      <c r="Q615" s="744">
        <v>78.400653594793155</v>
      </c>
      <c r="R615" s="604">
        <f t="shared" si="68"/>
        <v>874951.29411789158</v>
      </c>
      <c r="S615" s="701">
        <f t="shared" si="69"/>
        <v>-1167328.7058821083</v>
      </c>
      <c r="T615" s="695" t="s">
        <v>54</v>
      </c>
    </row>
    <row r="616" spans="1:20" x14ac:dyDescent="0.25">
      <c r="A616" s="690"/>
      <c r="B616" s="696" t="s">
        <v>1411</v>
      </c>
      <c r="C616" s="546" t="s">
        <v>40</v>
      </c>
      <c r="D616" s="682">
        <v>44743</v>
      </c>
      <c r="E616" s="546">
        <v>744</v>
      </c>
      <c r="F616" s="546" t="s">
        <v>3</v>
      </c>
      <c r="G616" s="726" t="s">
        <v>44</v>
      </c>
      <c r="H616" s="549">
        <v>-5</v>
      </c>
      <c r="I616" s="549">
        <v>155</v>
      </c>
      <c r="J616" s="605">
        <f t="shared" si="63"/>
        <v>576600</v>
      </c>
      <c r="K616" s="746">
        <v>66.319999999999993</v>
      </c>
      <c r="L616" s="606">
        <f t="shared" si="64"/>
        <v>-246710.39999999997</v>
      </c>
      <c r="M616" s="747">
        <f t="shared" si="65"/>
        <v>329889.60000000003</v>
      </c>
      <c r="N616" s="748">
        <v>66.319999999999993</v>
      </c>
      <c r="O616" s="607">
        <f t="shared" si="66"/>
        <v>-246710.39999999997</v>
      </c>
      <c r="P616" s="702">
        <f t="shared" si="67"/>
        <v>329889.60000000003</v>
      </c>
      <c r="Q616" s="748">
        <v>66.319999999999993</v>
      </c>
      <c r="R616" s="607">
        <f t="shared" si="68"/>
        <v>-246710.39999999997</v>
      </c>
      <c r="S616" s="702">
        <f t="shared" si="69"/>
        <v>329889.60000000003</v>
      </c>
      <c r="T616" s="696" t="s">
        <v>54</v>
      </c>
    </row>
    <row r="617" spans="1:20" x14ac:dyDescent="0.25">
      <c r="A617" s="690"/>
      <c r="B617" s="691" t="s">
        <v>1411</v>
      </c>
      <c r="C617" s="676" t="s">
        <v>40</v>
      </c>
      <c r="D617" s="680">
        <v>44774</v>
      </c>
      <c r="E617" s="676">
        <v>744</v>
      </c>
      <c r="F617" s="676" t="s">
        <v>3</v>
      </c>
      <c r="G617" s="690" t="s">
        <v>44</v>
      </c>
      <c r="H617" s="115">
        <v>-5</v>
      </c>
      <c r="I617" s="115">
        <v>155</v>
      </c>
      <c r="J617" s="601">
        <f t="shared" si="63"/>
        <v>576600</v>
      </c>
      <c r="K617" s="738">
        <v>76.900000000000006</v>
      </c>
      <c r="L617" s="677">
        <f t="shared" si="64"/>
        <v>-286068</v>
      </c>
      <c r="M617" s="739">
        <f t="shared" si="65"/>
        <v>290532</v>
      </c>
      <c r="N617" s="740">
        <v>76.900000000000006</v>
      </c>
      <c r="O617" s="678">
        <f t="shared" si="66"/>
        <v>-286068</v>
      </c>
      <c r="P617" s="700">
        <f t="shared" si="67"/>
        <v>290532</v>
      </c>
      <c r="Q617" s="740">
        <v>76.900000000000006</v>
      </c>
      <c r="R617" s="678">
        <f t="shared" si="68"/>
        <v>-286068</v>
      </c>
      <c r="S617" s="700">
        <f t="shared" si="69"/>
        <v>290532</v>
      </c>
      <c r="T617" s="691" t="s">
        <v>54</v>
      </c>
    </row>
    <row r="618" spans="1:20" x14ac:dyDescent="0.25">
      <c r="A618" s="690"/>
      <c r="B618" s="695" t="s">
        <v>1411</v>
      </c>
      <c r="C618" s="545" t="s">
        <v>40</v>
      </c>
      <c r="D618" s="681">
        <v>44805</v>
      </c>
      <c r="E618" s="545">
        <v>720</v>
      </c>
      <c r="F618" s="545" t="s">
        <v>3</v>
      </c>
      <c r="G618" s="725" t="s">
        <v>44</v>
      </c>
      <c r="H618" s="548">
        <v>-5</v>
      </c>
      <c r="I618" s="548">
        <v>155</v>
      </c>
      <c r="J618" s="602">
        <f t="shared" si="63"/>
        <v>558000</v>
      </c>
      <c r="K618" s="742">
        <v>56.08</v>
      </c>
      <c r="L618" s="603">
        <f t="shared" si="64"/>
        <v>-201888</v>
      </c>
      <c r="M618" s="743">
        <f t="shared" si="65"/>
        <v>356112</v>
      </c>
      <c r="N618" s="744">
        <v>56.08</v>
      </c>
      <c r="O618" s="604">
        <f t="shared" si="66"/>
        <v>-201888</v>
      </c>
      <c r="P618" s="701">
        <f t="shared" si="67"/>
        <v>356112</v>
      </c>
      <c r="Q618" s="744">
        <v>56.08</v>
      </c>
      <c r="R618" s="604">
        <f t="shared" si="68"/>
        <v>-201888</v>
      </c>
      <c r="S618" s="701">
        <f t="shared" si="69"/>
        <v>356112</v>
      </c>
      <c r="T618" s="695" t="s">
        <v>54</v>
      </c>
    </row>
    <row r="619" spans="1:20" x14ac:dyDescent="0.25">
      <c r="A619" s="690"/>
      <c r="B619" s="696" t="s">
        <v>1413</v>
      </c>
      <c r="C619" s="546" t="s">
        <v>40</v>
      </c>
      <c r="D619" s="682">
        <v>44835</v>
      </c>
      <c r="E619" s="546">
        <v>744</v>
      </c>
      <c r="F619" s="546" t="s">
        <v>3</v>
      </c>
      <c r="G619" s="726" t="s">
        <v>44</v>
      </c>
      <c r="H619" s="549">
        <v>5</v>
      </c>
      <c r="I619" s="549">
        <v>175</v>
      </c>
      <c r="J619" s="605">
        <f t="shared" si="63"/>
        <v>-651000</v>
      </c>
      <c r="K619" s="746">
        <v>55.7</v>
      </c>
      <c r="L619" s="606">
        <f t="shared" si="64"/>
        <v>207204</v>
      </c>
      <c r="M619" s="747">
        <f t="shared" si="65"/>
        <v>-443796</v>
      </c>
      <c r="N619" s="748">
        <v>55.7</v>
      </c>
      <c r="O619" s="607">
        <f t="shared" si="66"/>
        <v>207204</v>
      </c>
      <c r="P619" s="702">
        <f t="shared" si="67"/>
        <v>-443796</v>
      </c>
      <c r="Q619" s="748">
        <v>55.7</v>
      </c>
      <c r="R619" s="607">
        <f t="shared" si="68"/>
        <v>207204</v>
      </c>
      <c r="S619" s="702">
        <f t="shared" si="69"/>
        <v>-443796</v>
      </c>
      <c r="T619" s="696" t="s">
        <v>54</v>
      </c>
    </row>
    <row r="620" spans="1:20" x14ac:dyDescent="0.25">
      <c r="A620" s="690"/>
      <c r="B620" s="691" t="s">
        <v>1413</v>
      </c>
      <c r="C620" s="676" t="s">
        <v>40</v>
      </c>
      <c r="D620" s="680">
        <v>44866</v>
      </c>
      <c r="E620" s="676">
        <v>720</v>
      </c>
      <c r="F620" s="676" t="s">
        <v>3</v>
      </c>
      <c r="G620" s="690" t="s">
        <v>44</v>
      </c>
      <c r="H620" s="115">
        <v>5</v>
      </c>
      <c r="I620" s="115">
        <v>175</v>
      </c>
      <c r="J620" s="601">
        <f t="shared" si="63"/>
        <v>-630000</v>
      </c>
      <c r="K620" s="738">
        <v>55.7</v>
      </c>
      <c r="L620" s="677">
        <f t="shared" si="64"/>
        <v>200520</v>
      </c>
      <c r="M620" s="739">
        <f t="shared" si="65"/>
        <v>-429480</v>
      </c>
      <c r="N620" s="740">
        <v>55.7</v>
      </c>
      <c r="O620" s="678">
        <f t="shared" si="66"/>
        <v>200520</v>
      </c>
      <c r="P620" s="700">
        <f t="shared" si="67"/>
        <v>-429480</v>
      </c>
      <c r="Q620" s="740">
        <v>55.7</v>
      </c>
      <c r="R620" s="678">
        <f t="shared" si="68"/>
        <v>200520</v>
      </c>
      <c r="S620" s="700">
        <f t="shared" si="69"/>
        <v>-429480</v>
      </c>
      <c r="T620" s="691" t="s">
        <v>54</v>
      </c>
    </row>
    <row r="621" spans="1:20" x14ac:dyDescent="0.25">
      <c r="A621" s="690"/>
      <c r="B621" s="695" t="s">
        <v>1413</v>
      </c>
      <c r="C621" s="545" t="s">
        <v>40</v>
      </c>
      <c r="D621" s="681">
        <v>44896</v>
      </c>
      <c r="E621" s="545">
        <v>744</v>
      </c>
      <c r="F621" s="545" t="s">
        <v>3</v>
      </c>
      <c r="G621" s="725" t="s">
        <v>44</v>
      </c>
      <c r="H621" s="548">
        <v>5</v>
      </c>
      <c r="I621" s="548">
        <v>175</v>
      </c>
      <c r="J621" s="602">
        <f t="shared" si="63"/>
        <v>-651000</v>
      </c>
      <c r="K621" s="742">
        <v>55.7</v>
      </c>
      <c r="L621" s="603">
        <f t="shared" si="64"/>
        <v>207204</v>
      </c>
      <c r="M621" s="743">
        <f t="shared" si="65"/>
        <v>-443796</v>
      </c>
      <c r="N621" s="744">
        <v>55.7</v>
      </c>
      <c r="O621" s="604">
        <f t="shared" si="66"/>
        <v>207204</v>
      </c>
      <c r="P621" s="701">
        <f t="shared" si="67"/>
        <v>-443796</v>
      </c>
      <c r="Q621" s="744">
        <v>78.400653594793155</v>
      </c>
      <c r="R621" s="604">
        <f t="shared" si="68"/>
        <v>291650.43137263053</v>
      </c>
      <c r="S621" s="701">
        <f t="shared" si="69"/>
        <v>-359349.56862736947</v>
      </c>
      <c r="T621" s="695" t="s">
        <v>54</v>
      </c>
    </row>
    <row r="622" spans="1:20" x14ac:dyDescent="0.25">
      <c r="A622" s="690"/>
      <c r="B622" s="697" t="s">
        <v>1428</v>
      </c>
      <c r="C622" s="547" t="s">
        <v>40</v>
      </c>
      <c r="D622" s="683">
        <v>44805</v>
      </c>
      <c r="E622" s="547">
        <v>720</v>
      </c>
      <c r="F622" s="547" t="s">
        <v>3</v>
      </c>
      <c r="G622" s="727" t="s">
        <v>44</v>
      </c>
      <c r="H622" s="638">
        <v>7</v>
      </c>
      <c r="I622" s="638">
        <v>160</v>
      </c>
      <c r="J622" s="639">
        <f t="shared" si="63"/>
        <v>-806400</v>
      </c>
      <c r="K622" s="750">
        <v>56.08</v>
      </c>
      <c r="L622" s="608">
        <f t="shared" si="64"/>
        <v>282643.20000000001</v>
      </c>
      <c r="M622" s="751">
        <f t="shared" si="65"/>
        <v>-523756.79999999999</v>
      </c>
      <c r="N622" s="752">
        <v>56.08</v>
      </c>
      <c r="O622" s="609">
        <f t="shared" si="66"/>
        <v>282643.20000000001</v>
      </c>
      <c r="P622" s="703">
        <f t="shared" si="67"/>
        <v>-523756.79999999999</v>
      </c>
      <c r="Q622" s="752">
        <v>56.08</v>
      </c>
      <c r="R622" s="609">
        <f t="shared" si="68"/>
        <v>282643.20000000001</v>
      </c>
      <c r="S622" s="703">
        <f t="shared" si="69"/>
        <v>-523756.79999999999</v>
      </c>
      <c r="T622" s="697" t="s">
        <v>54</v>
      </c>
    </row>
    <row r="623" spans="1:20" x14ac:dyDescent="0.25">
      <c r="A623" s="690"/>
      <c r="B623" s="697" t="s">
        <v>1430</v>
      </c>
      <c r="C623" s="547" t="s">
        <v>40</v>
      </c>
      <c r="D623" s="683">
        <v>44774</v>
      </c>
      <c r="E623" s="547">
        <v>744</v>
      </c>
      <c r="F623" s="547" t="s">
        <v>3</v>
      </c>
      <c r="G623" s="727" t="s">
        <v>44</v>
      </c>
      <c r="H623" s="638">
        <v>-7</v>
      </c>
      <c r="I623" s="638">
        <v>149</v>
      </c>
      <c r="J623" s="639">
        <f t="shared" si="63"/>
        <v>775992</v>
      </c>
      <c r="K623" s="750">
        <v>76.900000000000006</v>
      </c>
      <c r="L623" s="608">
        <f t="shared" si="64"/>
        <v>-400495.2</v>
      </c>
      <c r="M623" s="751">
        <f t="shared" si="65"/>
        <v>375496.8</v>
      </c>
      <c r="N623" s="752">
        <v>76.900000000000006</v>
      </c>
      <c r="O623" s="609">
        <f t="shared" si="66"/>
        <v>-400495.2</v>
      </c>
      <c r="P623" s="703">
        <f t="shared" si="67"/>
        <v>375496.8</v>
      </c>
      <c r="Q623" s="752">
        <v>76.900000000000006</v>
      </c>
      <c r="R623" s="609">
        <f t="shared" si="68"/>
        <v>-400495.2</v>
      </c>
      <c r="S623" s="703">
        <f t="shared" si="69"/>
        <v>375496.8</v>
      </c>
      <c r="T623" s="697" t="s">
        <v>54</v>
      </c>
    </row>
    <row r="624" spans="1:20" x14ac:dyDescent="0.25">
      <c r="A624" s="690"/>
      <c r="B624" s="697" t="s">
        <v>1432</v>
      </c>
      <c r="C624" s="547" t="s">
        <v>40</v>
      </c>
      <c r="D624" s="683">
        <v>44805</v>
      </c>
      <c r="E624" s="547">
        <v>720</v>
      </c>
      <c r="F624" s="547" t="s">
        <v>3</v>
      </c>
      <c r="G624" s="727" t="s">
        <v>44</v>
      </c>
      <c r="H624" s="638">
        <v>3</v>
      </c>
      <c r="I624" s="638">
        <v>162</v>
      </c>
      <c r="J624" s="639">
        <f t="shared" si="63"/>
        <v>-349920</v>
      </c>
      <c r="K624" s="750">
        <v>56.08</v>
      </c>
      <c r="L624" s="608">
        <f t="shared" si="64"/>
        <v>121132.8</v>
      </c>
      <c r="M624" s="751">
        <f t="shared" si="65"/>
        <v>-228787.20000000001</v>
      </c>
      <c r="N624" s="752">
        <v>56.08</v>
      </c>
      <c r="O624" s="609">
        <f t="shared" si="66"/>
        <v>121132.8</v>
      </c>
      <c r="P624" s="703">
        <f t="shared" si="67"/>
        <v>-228787.20000000001</v>
      </c>
      <c r="Q624" s="752">
        <v>56.08</v>
      </c>
      <c r="R624" s="609">
        <f t="shared" si="68"/>
        <v>121132.8</v>
      </c>
      <c r="S624" s="703">
        <f t="shared" si="69"/>
        <v>-228787.20000000001</v>
      </c>
      <c r="T624" s="697" t="s">
        <v>54</v>
      </c>
    </row>
    <row r="625" spans="1:20" x14ac:dyDescent="0.25">
      <c r="A625" s="690"/>
      <c r="B625" s="697" t="s">
        <v>1434</v>
      </c>
      <c r="C625" s="547" t="s">
        <v>40</v>
      </c>
      <c r="D625" s="683">
        <v>44743</v>
      </c>
      <c r="E625" s="547">
        <v>744</v>
      </c>
      <c r="F625" s="547" t="s">
        <v>3</v>
      </c>
      <c r="G625" s="727" t="s">
        <v>44</v>
      </c>
      <c r="H625" s="638">
        <v>-3</v>
      </c>
      <c r="I625" s="638">
        <v>125</v>
      </c>
      <c r="J625" s="639">
        <f t="shared" si="63"/>
        <v>279000</v>
      </c>
      <c r="K625" s="750">
        <v>66.319999999999993</v>
      </c>
      <c r="L625" s="608">
        <f t="shared" si="64"/>
        <v>-148026.23999999999</v>
      </c>
      <c r="M625" s="751">
        <f t="shared" si="65"/>
        <v>130973.76000000001</v>
      </c>
      <c r="N625" s="752">
        <v>66.319999999999993</v>
      </c>
      <c r="O625" s="609">
        <f t="shared" si="66"/>
        <v>-148026.23999999999</v>
      </c>
      <c r="P625" s="703">
        <f t="shared" si="67"/>
        <v>130973.76000000001</v>
      </c>
      <c r="Q625" s="752">
        <v>66.319999999999993</v>
      </c>
      <c r="R625" s="609">
        <f t="shared" si="68"/>
        <v>-148026.23999999999</v>
      </c>
      <c r="S625" s="703">
        <f t="shared" si="69"/>
        <v>130973.76000000001</v>
      </c>
      <c r="T625" s="697" t="s">
        <v>54</v>
      </c>
    </row>
    <row r="626" spans="1:20" x14ac:dyDescent="0.25">
      <c r="A626" s="690"/>
      <c r="B626" s="697" t="s">
        <v>1436</v>
      </c>
      <c r="C626" s="547" t="s">
        <v>40</v>
      </c>
      <c r="D626" s="683">
        <v>44805</v>
      </c>
      <c r="E626" s="547">
        <v>720</v>
      </c>
      <c r="F626" s="547" t="s">
        <v>3</v>
      </c>
      <c r="G626" s="727" t="s">
        <v>44</v>
      </c>
      <c r="H626" s="638">
        <v>10</v>
      </c>
      <c r="I626" s="638">
        <v>165</v>
      </c>
      <c r="J626" s="639">
        <f t="shared" si="63"/>
        <v>-1188000</v>
      </c>
      <c r="K626" s="750">
        <v>56.08</v>
      </c>
      <c r="L626" s="608">
        <f t="shared" si="64"/>
        <v>403776</v>
      </c>
      <c r="M626" s="751">
        <f t="shared" si="65"/>
        <v>-784224</v>
      </c>
      <c r="N626" s="752">
        <v>56.08</v>
      </c>
      <c r="O626" s="609">
        <f t="shared" si="66"/>
        <v>403776</v>
      </c>
      <c r="P626" s="703">
        <f t="shared" si="67"/>
        <v>-784224</v>
      </c>
      <c r="Q626" s="752">
        <v>56.08</v>
      </c>
      <c r="R626" s="609">
        <f t="shared" si="68"/>
        <v>403776</v>
      </c>
      <c r="S626" s="703">
        <f t="shared" si="69"/>
        <v>-784224</v>
      </c>
      <c r="T626" s="697" t="s">
        <v>54</v>
      </c>
    </row>
    <row r="627" spans="1:20" x14ac:dyDescent="0.25">
      <c r="A627" s="690"/>
      <c r="B627" s="697" t="s">
        <v>1438</v>
      </c>
      <c r="C627" s="547" t="s">
        <v>40</v>
      </c>
      <c r="D627" s="683">
        <v>44743</v>
      </c>
      <c r="E627" s="547">
        <v>744</v>
      </c>
      <c r="F627" s="547" t="s">
        <v>3</v>
      </c>
      <c r="G627" s="727" t="s">
        <v>44</v>
      </c>
      <c r="H627" s="638">
        <v>-10</v>
      </c>
      <c r="I627" s="638">
        <v>128</v>
      </c>
      <c r="J627" s="639">
        <f t="shared" si="63"/>
        <v>952320</v>
      </c>
      <c r="K627" s="750">
        <v>66.319999999999993</v>
      </c>
      <c r="L627" s="608">
        <f t="shared" si="64"/>
        <v>-493420.79999999993</v>
      </c>
      <c r="M627" s="751">
        <f t="shared" si="65"/>
        <v>458899.20000000007</v>
      </c>
      <c r="N627" s="752">
        <v>66.319999999999993</v>
      </c>
      <c r="O627" s="609">
        <f t="shared" si="66"/>
        <v>-493420.79999999993</v>
      </c>
      <c r="P627" s="703">
        <f t="shared" si="67"/>
        <v>458899.20000000007</v>
      </c>
      <c r="Q627" s="752">
        <v>66.319999999999993</v>
      </c>
      <c r="R627" s="609">
        <f t="shared" si="68"/>
        <v>-493420.79999999993</v>
      </c>
      <c r="S627" s="703">
        <f t="shared" si="69"/>
        <v>458899.20000000007</v>
      </c>
      <c r="T627" s="697" t="s">
        <v>54</v>
      </c>
    </row>
    <row r="628" spans="1:20" x14ac:dyDescent="0.25">
      <c r="A628" s="690"/>
      <c r="B628" s="697" t="s">
        <v>1440</v>
      </c>
      <c r="C628" s="547" t="s">
        <v>40</v>
      </c>
      <c r="D628" s="683">
        <v>44805</v>
      </c>
      <c r="E628" s="547">
        <v>720</v>
      </c>
      <c r="F628" s="547" t="s">
        <v>3</v>
      </c>
      <c r="G628" s="727" t="s">
        <v>44</v>
      </c>
      <c r="H628" s="638">
        <v>5</v>
      </c>
      <c r="I628" s="638">
        <v>165</v>
      </c>
      <c r="J628" s="639">
        <f t="shared" si="63"/>
        <v>-594000</v>
      </c>
      <c r="K628" s="750">
        <v>56.08</v>
      </c>
      <c r="L628" s="608">
        <f t="shared" si="64"/>
        <v>201888</v>
      </c>
      <c r="M628" s="751">
        <f t="shared" si="65"/>
        <v>-392112</v>
      </c>
      <c r="N628" s="752">
        <v>56.08</v>
      </c>
      <c r="O628" s="609">
        <f t="shared" si="66"/>
        <v>201888</v>
      </c>
      <c r="P628" s="703">
        <f t="shared" si="67"/>
        <v>-392112</v>
      </c>
      <c r="Q628" s="752">
        <v>56.08</v>
      </c>
      <c r="R628" s="609">
        <f t="shared" si="68"/>
        <v>201888</v>
      </c>
      <c r="S628" s="703">
        <f t="shared" si="69"/>
        <v>-392112</v>
      </c>
      <c r="T628" s="697" t="s">
        <v>54</v>
      </c>
    </row>
    <row r="629" spans="1:20" x14ac:dyDescent="0.25">
      <c r="A629" s="690"/>
      <c r="B629" s="697" t="s">
        <v>1442</v>
      </c>
      <c r="C629" s="547" t="s">
        <v>40</v>
      </c>
      <c r="D629" s="683">
        <v>44743</v>
      </c>
      <c r="E629" s="547">
        <v>744</v>
      </c>
      <c r="F629" s="547" t="s">
        <v>3</v>
      </c>
      <c r="G629" s="727" t="s">
        <v>44</v>
      </c>
      <c r="H629" s="638">
        <v>-2</v>
      </c>
      <c r="I629" s="638">
        <v>127</v>
      </c>
      <c r="J629" s="639">
        <f t="shared" si="63"/>
        <v>188976</v>
      </c>
      <c r="K629" s="750">
        <v>66.319999999999993</v>
      </c>
      <c r="L629" s="608">
        <f t="shared" si="64"/>
        <v>-98684.159999999989</v>
      </c>
      <c r="M629" s="751">
        <f t="shared" si="65"/>
        <v>90291.840000000011</v>
      </c>
      <c r="N629" s="752">
        <v>66.319999999999993</v>
      </c>
      <c r="O629" s="609">
        <f t="shared" si="66"/>
        <v>-98684.159999999989</v>
      </c>
      <c r="P629" s="703">
        <f t="shared" si="67"/>
        <v>90291.840000000011</v>
      </c>
      <c r="Q629" s="752">
        <v>66.319999999999993</v>
      </c>
      <c r="R629" s="609">
        <f t="shared" si="68"/>
        <v>-98684.159999999989</v>
      </c>
      <c r="S629" s="703">
        <f t="shared" si="69"/>
        <v>90291.840000000011</v>
      </c>
      <c r="T629" s="697" t="s">
        <v>54</v>
      </c>
    </row>
    <row r="630" spans="1:20" x14ac:dyDescent="0.25">
      <c r="A630" s="690"/>
      <c r="B630" s="697" t="s">
        <v>1444</v>
      </c>
      <c r="C630" s="547" t="s">
        <v>40</v>
      </c>
      <c r="D630" s="683">
        <v>44896</v>
      </c>
      <c r="E630" s="547">
        <v>744</v>
      </c>
      <c r="F630" s="547" t="s">
        <v>3</v>
      </c>
      <c r="G630" s="727" t="s">
        <v>44</v>
      </c>
      <c r="H630" s="638">
        <v>10</v>
      </c>
      <c r="I630" s="638">
        <v>160</v>
      </c>
      <c r="J630" s="639">
        <f t="shared" si="63"/>
        <v>-1190400</v>
      </c>
      <c r="K630" s="750">
        <v>55.7</v>
      </c>
      <c r="L630" s="608">
        <f t="shared" si="64"/>
        <v>414408</v>
      </c>
      <c r="M630" s="751">
        <f t="shared" si="65"/>
        <v>-775992</v>
      </c>
      <c r="N630" s="752">
        <v>55.7</v>
      </c>
      <c r="O630" s="609">
        <f t="shared" si="66"/>
        <v>414408</v>
      </c>
      <c r="P630" s="703">
        <f t="shared" si="67"/>
        <v>-775992</v>
      </c>
      <c r="Q630" s="752">
        <v>78.400653594793155</v>
      </c>
      <c r="R630" s="609">
        <f t="shared" si="68"/>
        <v>583300.86274526105</v>
      </c>
      <c r="S630" s="703">
        <f t="shared" si="69"/>
        <v>-607099.13725473895</v>
      </c>
      <c r="T630" s="697" t="s">
        <v>54</v>
      </c>
    </row>
    <row r="631" spans="1:20" x14ac:dyDescent="0.25">
      <c r="A631" s="690"/>
      <c r="B631" s="697" t="s">
        <v>1446</v>
      </c>
      <c r="C631" s="547" t="s">
        <v>40</v>
      </c>
      <c r="D631" s="683">
        <v>44743</v>
      </c>
      <c r="E631" s="547">
        <v>744</v>
      </c>
      <c r="F631" s="547" t="s">
        <v>3</v>
      </c>
      <c r="G631" s="727" t="s">
        <v>44</v>
      </c>
      <c r="H631" s="638">
        <v>-15</v>
      </c>
      <c r="I631" s="638">
        <v>127</v>
      </c>
      <c r="J631" s="639">
        <f t="shared" si="63"/>
        <v>1417320</v>
      </c>
      <c r="K631" s="750">
        <v>66.319999999999993</v>
      </c>
      <c r="L631" s="608">
        <f t="shared" si="64"/>
        <v>-740131.2</v>
      </c>
      <c r="M631" s="751">
        <f t="shared" si="65"/>
        <v>677188.8</v>
      </c>
      <c r="N631" s="752">
        <v>66.319999999999993</v>
      </c>
      <c r="O631" s="609">
        <f t="shared" si="66"/>
        <v>-740131.2</v>
      </c>
      <c r="P631" s="703">
        <f t="shared" si="67"/>
        <v>677188.8</v>
      </c>
      <c r="Q631" s="752">
        <v>66.319999999999993</v>
      </c>
      <c r="R631" s="609">
        <f t="shared" si="68"/>
        <v>-740131.2</v>
      </c>
      <c r="S631" s="703">
        <f t="shared" si="69"/>
        <v>677188.8</v>
      </c>
      <c r="T631" s="697" t="s">
        <v>54</v>
      </c>
    </row>
    <row r="632" spans="1:20" x14ac:dyDescent="0.25">
      <c r="A632" s="690"/>
      <c r="B632" s="697" t="s">
        <v>1448</v>
      </c>
      <c r="C632" s="547" t="s">
        <v>40</v>
      </c>
      <c r="D632" s="683">
        <v>44805</v>
      </c>
      <c r="E632" s="547">
        <v>720</v>
      </c>
      <c r="F632" s="547" t="s">
        <v>3</v>
      </c>
      <c r="G632" s="727" t="s">
        <v>44</v>
      </c>
      <c r="H632" s="638">
        <v>7</v>
      </c>
      <c r="I632" s="638">
        <v>156</v>
      </c>
      <c r="J632" s="639">
        <f t="shared" si="63"/>
        <v>-786240</v>
      </c>
      <c r="K632" s="750">
        <v>56.08</v>
      </c>
      <c r="L632" s="608">
        <f t="shared" si="64"/>
        <v>282643.20000000001</v>
      </c>
      <c r="M632" s="751">
        <f t="shared" si="65"/>
        <v>-503596.79999999999</v>
      </c>
      <c r="N632" s="752">
        <v>56.08</v>
      </c>
      <c r="O632" s="609">
        <f t="shared" si="66"/>
        <v>282643.20000000001</v>
      </c>
      <c r="P632" s="703">
        <f t="shared" si="67"/>
        <v>-503596.79999999999</v>
      </c>
      <c r="Q632" s="752">
        <v>56.08</v>
      </c>
      <c r="R632" s="609">
        <f t="shared" si="68"/>
        <v>282643.20000000001</v>
      </c>
      <c r="S632" s="703">
        <f t="shared" si="69"/>
        <v>-503596.79999999999</v>
      </c>
      <c r="T632" s="697" t="s">
        <v>54</v>
      </c>
    </row>
    <row r="633" spans="1:20" x14ac:dyDescent="0.25">
      <c r="A633" s="690"/>
      <c r="B633" s="697" t="s">
        <v>1450</v>
      </c>
      <c r="C633" s="547" t="s">
        <v>40</v>
      </c>
      <c r="D633" s="683">
        <v>44743</v>
      </c>
      <c r="E633" s="547">
        <v>744</v>
      </c>
      <c r="F633" s="547" t="s">
        <v>3</v>
      </c>
      <c r="G633" s="727" t="s">
        <v>44</v>
      </c>
      <c r="H633" s="638">
        <v>-7</v>
      </c>
      <c r="I633" s="638">
        <v>120</v>
      </c>
      <c r="J633" s="639">
        <f t="shared" si="63"/>
        <v>624960</v>
      </c>
      <c r="K633" s="750">
        <v>66.319999999999993</v>
      </c>
      <c r="L633" s="608">
        <f t="shared" si="64"/>
        <v>-345394.55999999994</v>
      </c>
      <c r="M633" s="751">
        <f t="shared" si="65"/>
        <v>279565.44000000006</v>
      </c>
      <c r="N633" s="752">
        <v>66.319999999999993</v>
      </c>
      <c r="O633" s="609">
        <f t="shared" si="66"/>
        <v>-345394.55999999994</v>
      </c>
      <c r="P633" s="703">
        <f t="shared" si="67"/>
        <v>279565.44000000006</v>
      </c>
      <c r="Q633" s="752">
        <v>66.319999999999993</v>
      </c>
      <c r="R633" s="609">
        <f t="shared" si="68"/>
        <v>-345394.55999999994</v>
      </c>
      <c r="S633" s="703">
        <f t="shared" si="69"/>
        <v>279565.44000000006</v>
      </c>
      <c r="T633" s="697" t="s">
        <v>54</v>
      </c>
    </row>
    <row r="634" spans="1:20" x14ac:dyDescent="0.25">
      <c r="A634" s="690"/>
      <c r="B634" s="697" t="s">
        <v>1459</v>
      </c>
      <c r="C634" s="547" t="s">
        <v>40</v>
      </c>
      <c r="D634" s="683">
        <v>44743</v>
      </c>
      <c r="E634" s="547">
        <v>744</v>
      </c>
      <c r="F634" s="547" t="s">
        <v>3</v>
      </c>
      <c r="G634" s="727" t="s">
        <v>44</v>
      </c>
      <c r="H634" s="638">
        <v>-1</v>
      </c>
      <c r="I634" s="638">
        <v>120</v>
      </c>
      <c r="J634" s="639">
        <f t="shared" si="63"/>
        <v>89280</v>
      </c>
      <c r="K634" s="750">
        <v>66.319999999999993</v>
      </c>
      <c r="L634" s="608">
        <f t="shared" si="64"/>
        <v>-49342.079999999994</v>
      </c>
      <c r="M634" s="751">
        <f t="shared" si="65"/>
        <v>39937.920000000006</v>
      </c>
      <c r="N634" s="752">
        <v>66.319999999999993</v>
      </c>
      <c r="O634" s="609">
        <f t="shared" si="66"/>
        <v>-49342.079999999994</v>
      </c>
      <c r="P634" s="703">
        <f t="shared" si="67"/>
        <v>39937.920000000006</v>
      </c>
      <c r="Q634" s="752">
        <v>66.319999999999993</v>
      </c>
      <c r="R634" s="609">
        <f t="shared" si="68"/>
        <v>-49342.079999999994</v>
      </c>
      <c r="S634" s="703">
        <f t="shared" si="69"/>
        <v>39937.920000000006</v>
      </c>
      <c r="T634" s="697" t="s">
        <v>54</v>
      </c>
    </row>
    <row r="635" spans="1:20" x14ac:dyDescent="0.25">
      <c r="A635" s="690"/>
      <c r="B635" s="697" t="s">
        <v>1461</v>
      </c>
      <c r="C635" s="547" t="s">
        <v>40</v>
      </c>
      <c r="D635" s="683">
        <v>44743</v>
      </c>
      <c r="E635" s="547">
        <v>744</v>
      </c>
      <c r="F635" s="547" t="s">
        <v>3</v>
      </c>
      <c r="G635" s="727" t="s">
        <v>44</v>
      </c>
      <c r="H635" s="638">
        <v>-2</v>
      </c>
      <c r="I635" s="638">
        <v>120</v>
      </c>
      <c r="J635" s="639">
        <f t="shared" si="63"/>
        <v>178560</v>
      </c>
      <c r="K635" s="750">
        <v>66.319999999999993</v>
      </c>
      <c r="L635" s="608">
        <f t="shared" si="64"/>
        <v>-98684.159999999989</v>
      </c>
      <c r="M635" s="751">
        <f t="shared" si="65"/>
        <v>79875.840000000011</v>
      </c>
      <c r="N635" s="752">
        <v>66.319999999999993</v>
      </c>
      <c r="O635" s="609">
        <f t="shared" si="66"/>
        <v>-98684.159999999989</v>
      </c>
      <c r="P635" s="703">
        <f t="shared" si="67"/>
        <v>79875.840000000011</v>
      </c>
      <c r="Q635" s="752">
        <v>66.319999999999993</v>
      </c>
      <c r="R635" s="609">
        <f t="shared" si="68"/>
        <v>-98684.159999999989</v>
      </c>
      <c r="S635" s="703">
        <f t="shared" si="69"/>
        <v>79875.840000000011</v>
      </c>
      <c r="T635" s="697" t="s">
        <v>54</v>
      </c>
    </row>
    <row r="636" spans="1:20" x14ac:dyDescent="0.25">
      <c r="A636" s="690"/>
      <c r="B636" s="697" t="s">
        <v>1463</v>
      </c>
      <c r="C636" s="547" t="s">
        <v>40</v>
      </c>
      <c r="D636" s="683">
        <v>44805</v>
      </c>
      <c r="E636" s="547">
        <v>720</v>
      </c>
      <c r="F636" s="547" t="s">
        <v>3</v>
      </c>
      <c r="G636" s="727" t="s">
        <v>44</v>
      </c>
      <c r="H636" s="638">
        <v>3</v>
      </c>
      <c r="I636" s="638">
        <v>156</v>
      </c>
      <c r="J636" s="639">
        <f t="shared" si="63"/>
        <v>-336960</v>
      </c>
      <c r="K636" s="750">
        <v>56.08</v>
      </c>
      <c r="L636" s="608">
        <f t="shared" si="64"/>
        <v>121132.8</v>
      </c>
      <c r="M636" s="751">
        <f t="shared" si="65"/>
        <v>-215827.20000000001</v>
      </c>
      <c r="N636" s="752">
        <v>56.08</v>
      </c>
      <c r="O636" s="609">
        <f t="shared" si="66"/>
        <v>121132.8</v>
      </c>
      <c r="P636" s="703">
        <f t="shared" si="67"/>
        <v>-215827.20000000001</v>
      </c>
      <c r="Q636" s="752">
        <v>56.08</v>
      </c>
      <c r="R636" s="609">
        <f t="shared" si="68"/>
        <v>121132.8</v>
      </c>
      <c r="S636" s="703">
        <f t="shared" si="69"/>
        <v>-215827.20000000001</v>
      </c>
      <c r="T636" s="697" t="s">
        <v>54</v>
      </c>
    </row>
    <row r="637" spans="1:20" x14ac:dyDescent="0.25">
      <c r="A637" s="690"/>
      <c r="B637" s="697" t="s">
        <v>1465</v>
      </c>
      <c r="C637" s="547" t="s">
        <v>40</v>
      </c>
      <c r="D637" s="683">
        <v>44621</v>
      </c>
      <c r="E637" s="547">
        <v>744</v>
      </c>
      <c r="F637" s="547" t="s">
        <v>6</v>
      </c>
      <c r="G637" s="727" t="s">
        <v>44</v>
      </c>
      <c r="H637" s="638">
        <v>3</v>
      </c>
      <c r="I637" s="638">
        <v>255.7</v>
      </c>
      <c r="J637" s="639">
        <f t="shared" si="63"/>
        <v>-570722.4</v>
      </c>
      <c r="K637" s="750">
        <v>55.7</v>
      </c>
      <c r="L637" s="608">
        <f t="shared" si="64"/>
        <v>124322.40000000001</v>
      </c>
      <c r="M637" s="751">
        <f t="shared" si="65"/>
        <v>-446400</v>
      </c>
      <c r="N637" s="752">
        <v>55.7</v>
      </c>
      <c r="O637" s="609">
        <f t="shared" si="66"/>
        <v>124322.40000000001</v>
      </c>
      <c r="P637" s="703">
        <f t="shared" si="67"/>
        <v>-446400</v>
      </c>
      <c r="Q637" s="752">
        <v>55.7</v>
      </c>
      <c r="R637" s="609">
        <f t="shared" si="68"/>
        <v>124322.40000000001</v>
      </c>
      <c r="S637" s="703">
        <f t="shared" si="69"/>
        <v>-446400</v>
      </c>
      <c r="T637" s="697" t="s">
        <v>92</v>
      </c>
    </row>
    <row r="638" spans="1:20" x14ac:dyDescent="0.25">
      <c r="A638" s="690"/>
      <c r="B638" s="697" t="s">
        <v>1467</v>
      </c>
      <c r="C638" s="547" t="s">
        <v>40</v>
      </c>
      <c r="D638" s="683">
        <v>44621</v>
      </c>
      <c r="E638" s="547">
        <v>744</v>
      </c>
      <c r="F638" s="547" t="s">
        <v>5</v>
      </c>
      <c r="G638" s="727" t="s">
        <v>44</v>
      </c>
      <c r="H638" s="638">
        <v>10</v>
      </c>
      <c r="I638" s="638">
        <v>99.2</v>
      </c>
      <c r="J638" s="639">
        <f t="shared" si="63"/>
        <v>-738048</v>
      </c>
      <c r="K638" s="750">
        <v>55.7</v>
      </c>
      <c r="L638" s="608">
        <f t="shared" si="64"/>
        <v>414408</v>
      </c>
      <c r="M638" s="751">
        <f t="shared" si="65"/>
        <v>-323640</v>
      </c>
      <c r="N638" s="752">
        <v>55.7</v>
      </c>
      <c r="O638" s="609">
        <f t="shared" si="66"/>
        <v>414408</v>
      </c>
      <c r="P638" s="703">
        <f t="shared" si="67"/>
        <v>-323640</v>
      </c>
      <c r="Q638" s="752">
        <v>55.7</v>
      </c>
      <c r="R638" s="609">
        <f t="shared" si="68"/>
        <v>414408</v>
      </c>
      <c r="S638" s="703">
        <f t="shared" si="69"/>
        <v>-323640</v>
      </c>
      <c r="T638" s="697" t="s">
        <v>92</v>
      </c>
    </row>
    <row r="639" spans="1:20" x14ac:dyDescent="0.25">
      <c r="A639" s="690"/>
      <c r="B639" s="697" t="s">
        <v>1471</v>
      </c>
      <c r="C639" s="547" t="s">
        <v>40</v>
      </c>
      <c r="D639" s="683">
        <v>44621</v>
      </c>
      <c r="E639" s="547">
        <v>744</v>
      </c>
      <c r="F639" s="547" t="s">
        <v>5</v>
      </c>
      <c r="G639" s="727" t="s">
        <v>44</v>
      </c>
      <c r="H639" s="638">
        <v>10</v>
      </c>
      <c r="I639" s="638">
        <v>98.7</v>
      </c>
      <c r="J639" s="639">
        <f t="shared" si="63"/>
        <v>-734328</v>
      </c>
      <c r="K639" s="750">
        <v>55.7</v>
      </c>
      <c r="L639" s="608">
        <f t="shared" si="64"/>
        <v>414408</v>
      </c>
      <c r="M639" s="751">
        <f t="shared" si="65"/>
        <v>-319920</v>
      </c>
      <c r="N639" s="752">
        <v>55.7</v>
      </c>
      <c r="O639" s="609">
        <f t="shared" si="66"/>
        <v>414408</v>
      </c>
      <c r="P639" s="703">
        <f t="shared" si="67"/>
        <v>-319920</v>
      </c>
      <c r="Q639" s="752">
        <v>55.7</v>
      </c>
      <c r="R639" s="609">
        <f t="shared" si="68"/>
        <v>414408</v>
      </c>
      <c r="S639" s="703">
        <f t="shared" si="69"/>
        <v>-319920</v>
      </c>
      <c r="T639" s="697" t="s">
        <v>92</v>
      </c>
    </row>
    <row r="640" spans="1:20" x14ac:dyDescent="0.25">
      <c r="A640" s="690"/>
      <c r="B640" s="697" t="s">
        <v>1477</v>
      </c>
      <c r="C640" s="547" t="s">
        <v>40</v>
      </c>
      <c r="D640" s="683">
        <v>44621</v>
      </c>
      <c r="E640" s="547">
        <v>744</v>
      </c>
      <c r="F640" s="547" t="s">
        <v>5</v>
      </c>
      <c r="G640" s="727" t="s">
        <v>44</v>
      </c>
      <c r="H640" s="638">
        <v>2</v>
      </c>
      <c r="I640" s="638">
        <v>100.7</v>
      </c>
      <c r="J640" s="639">
        <f t="shared" si="63"/>
        <v>-149841.60000000001</v>
      </c>
      <c r="K640" s="750">
        <v>55.7</v>
      </c>
      <c r="L640" s="608">
        <f t="shared" si="64"/>
        <v>82881.600000000006</v>
      </c>
      <c r="M640" s="751">
        <f t="shared" si="65"/>
        <v>-66960</v>
      </c>
      <c r="N640" s="752">
        <v>55.7</v>
      </c>
      <c r="O640" s="609">
        <f t="shared" si="66"/>
        <v>82881.600000000006</v>
      </c>
      <c r="P640" s="703">
        <f t="shared" si="67"/>
        <v>-66960</v>
      </c>
      <c r="Q640" s="752">
        <v>55.7</v>
      </c>
      <c r="R640" s="609">
        <f t="shared" si="68"/>
        <v>82881.600000000006</v>
      </c>
      <c r="S640" s="703">
        <f t="shared" si="69"/>
        <v>-66960</v>
      </c>
      <c r="T640" s="697" t="s">
        <v>92</v>
      </c>
    </row>
    <row r="641" spans="1:20" x14ac:dyDescent="0.25">
      <c r="A641" s="690"/>
      <c r="B641" s="697" t="s">
        <v>1479</v>
      </c>
      <c r="C641" s="547" t="s">
        <v>40</v>
      </c>
      <c r="D641" s="683">
        <v>44621</v>
      </c>
      <c r="E641" s="547">
        <v>744</v>
      </c>
      <c r="F641" s="547" t="s">
        <v>5</v>
      </c>
      <c r="G641" s="727" t="s">
        <v>44</v>
      </c>
      <c r="H641" s="638">
        <v>15</v>
      </c>
      <c r="I641" s="638">
        <v>99.7</v>
      </c>
      <c r="J641" s="639">
        <f t="shared" si="63"/>
        <v>-1112652</v>
      </c>
      <c r="K641" s="750">
        <v>55.7</v>
      </c>
      <c r="L641" s="608">
        <f t="shared" si="64"/>
        <v>621612</v>
      </c>
      <c r="M641" s="751">
        <f t="shared" si="65"/>
        <v>-491040</v>
      </c>
      <c r="N641" s="752">
        <v>55.7</v>
      </c>
      <c r="O641" s="609">
        <f t="shared" si="66"/>
        <v>621612</v>
      </c>
      <c r="P641" s="703">
        <f t="shared" si="67"/>
        <v>-491040</v>
      </c>
      <c r="Q641" s="752">
        <v>55.7</v>
      </c>
      <c r="R641" s="609">
        <f t="shared" si="68"/>
        <v>621612</v>
      </c>
      <c r="S641" s="703">
        <f t="shared" si="69"/>
        <v>-491040</v>
      </c>
      <c r="T641" s="697" t="s">
        <v>92</v>
      </c>
    </row>
    <row r="642" spans="1:20" x14ac:dyDescent="0.25">
      <c r="A642" s="690"/>
      <c r="B642" s="697" t="s">
        <v>1481</v>
      </c>
      <c r="C642" s="547" t="s">
        <v>40</v>
      </c>
      <c r="D642" s="683">
        <v>44621</v>
      </c>
      <c r="E642" s="547">
        <v>744</v>
      </c>
      <c r="F642" s="547" t="s">
        <v>6</v>
      </c>
      <c r="G642" s="727" t="s">
        <v>44</v>
      </c>
      <c r="H642" s="638">
        <v>1</v>
      </c>
      <c r="I642" s="638">
        <v>253.7</v>
      </c>
      <c r="J642" s="639">
        <f t="shared" si="63"/>
        <v>-188752.8</v>
      </c>
      <c r="K642" s="750">
        <v>55.7</v>
      </c>
      <c r="L642" s="608">
        <f t="shared" si="64"/>
        <v>41440.800000000003</v>
      </c>
      <c r="M642" s="751">
        <f t="shared" si="65"/>
        <v>-147312</v>
      </c>
      <c r="N642" s="752">
        <v>55.7</v>
      </c>
      <c r="O642" s="609">
        <f t="shared" si="66"/>
        <v>41440.800000000003</v>
      </c>
      <c r="P642" s="703">
        <f t="shared" si="67"/>
        <v>-147312</v>
      </c>
      <c r="Q642" s="752">
        <v>55.7</v>
      </c>
      <c r="R642" s="609">
        <f t="shared" si="68"/>
        <v>41440.800000000003</v>
      </c>
      <c r="S642" s="703">
        <f t="shared" si="69"/>
        <v>-147312</v>
      </c>
      <c r="T642" s="697" t="s">
        <v>92</v>
      </c>
    </row>
    <row r="643" spans="1:20" x14ac:dyDescent="0.25">
      <c r="A643" s="690"/>
      <c r="B643" s="697" t="s">
        <v>1483</v>
      </c>
      <c r="C643" s="547" t="s">
        <v>40</v>
      </c>
      <c r="D643" s="683">
        <v>44621</v>
      </c>
      <c r="E643" s="547">
        <v>744</v>
      </c>
      <c r="F643" s="547" t="s">
        <v>6</v>
      </c>
      <c r="G643" s="727" t="s">
        <v>44</v>
      </c>
      <c r="H643" s="638">
        <v>3</v>
      </c>
      <c r="I643" s="638">
        <v>253.7</v>
      </c>
      <c r="J643" s="639">
        <f t="shared" ref="J643:J706" si="70">(I643*(E643*H643))*-1</f>
        <v>-566258.4</v>
      </c>
      <c r="K643" s="750">
        <v>55.7</v>
      </c>
      <c r="L643" s="608">
        <f t="shared" ref="L643:L706" si="71">(((E643*H643)*K643))</f>
        <v>124322.40000000001</v>
      </c>
      <c r="M643" s="751">
        <f t="shared" ref="M643:M706" si="72">J643+L643</f>
        <v>-441936</v>
      </c>
      <c r="N643" s="752">
        <v>55.7</v>
      </c>
      <c r="O643" s="609">
        <f t="shared" ref="O643:O706" si="73">((E643*H643)*N643)</f>
        <v>124322.40000000001</v>
      </c>
      <c r="P643" s="703">
        <f t="shared" ref="P643:P706" si="74">J643+O643</f>
        <v>-441936</v>
      </c>
      <c r="Q643" s="752">
        <v>55.7</v>
      </c>
      <c r="R643" s="609">
        <f t="shared" ref="R643:R706" si="75">((E643*H643)*Q643)</f>
        <v>124322.40000000001</v>
      </c>
      <c r="S643" s="703">
        <f t="shared" ref="S643:S706" si="76">J643+R643</f>
        <v>-441936</v>
      </c>
      <c r="T643" s="697" t="s">
        <v>92</v>
      </c>
    </row>
    <row r="644" spans="1:20" x14ac:dyDescent="0.25">
      <c r="A644" s="690"/>
      <c r="B644" s="697" t="s">
        <v>1496</v>
      </c>
      <c r="C644" s="547" t="s">
        <v>40</v>
      </c>
      <c r="D644" s="683">
        <v>44621</v>
      </c>
      <c r="E644" s="547">
        <v>744</v>
      </c>
      <c r="F644" s="547" t="s">
        <v>6</v>
      </c>
      <c r="G644" s="727" t="s">
        <v>44</v>
      </c>
      <c r="H644" s="638">
        <v>1</v>
      </c>
      <c r="I644" s="638">
        <v>253.7</v>
      </c>
      <c r="J644" s="639">
        <f t="shared" si="70"/>
        <v>-188752.8</v>
      </c>
      <c r="K644" s="750">
        <v>55.7</v>
      </c>
      <c r="L644" s="608">
        <f t="shared" si="71"/>
        <v>41440.800000000003</v>
      </c>
      <c r="M644" s="751">
        <f t="shared" si="72"/>
        <v>-147312</v>
      </c>
      <c r="N644" s="752">
        <v>55.7</v>
      </c>
      <c r="O644" s="609">
        <f t="shared" si="73"/>
        <v>41440.800000000003</v>
      </c>
      <c r="P644" s="703">
        <f t="shared" si="74"/>
        <v>-147312</v>
      </c>
      <c r="Q644" s="752">
        <v>55.7</v>
      </c>
      <c r="R644" s="609">
        <f t="shared" si="75"/>
        <v>41440.800000000003</v>
      </c>
      <c r="S644" s="703">
        <f t="shared" si="76"/>
        <v>-147312</v>
      </c>
      <c r="T644" s="697" t="s">
        <v>92</v>
      </c>
    </row>
    <row r="645" spans="1:20" x14ac:dyDescent="0.25">
      <c r="A645" s="690"/>
      <c r="B645" s="697" t="s">
        <v>1498</v>
      </c>
      <c r="C645" s="547" t="s">
        <v>40</v>
      </c>
      <c r="D645" s="683">
        <v>44621</v>
      </c>
      <c r="E645" s="547">
        <v>744</v>
      </c>
      <c r="F645" s="547" t="s">
        <v>6</v>
      </c>
      <c r="G645" s="727" t="s">
        <v>44</v>
      </c>
      <c r="H645" s="638">
        <v>1</v>
      </c>
      <c r="I645" s="638">
        <v>253.7</v>
      </c>
      <c r="J645" s="639">
        <f t="shared" si="70"/>
        <v>-188752.8</v>
      </c>
      <c r="K645" s="750">
        <v>55.7</v>
      </c>
      <c r="L645" s="608">
        <f t="shared" si="71"/>
        <v>41440.800000000003</v>
      </c>
      <c r="M645" s="751">
        <f t="shared" si="72"/>
        <v>-147312</v>
      </c>
      <c r="N645" s="752">
        <v>55.7</v>
      </c>
      <c r="O645" s="609">
        <f t="shared" si="73"/>
        <v>41440.800000000003</v>
      </c>
      <c r="P645" s="703">
        <f t="shared" si="74"/>
        <v>-147312</v>
      </c>
      <c r="Q645" s="752">
        <v>55.7</v>
      </c>
      <c r="R645" s="609">
        <f t="shared" si="75"/>
        <v>41440.800000000003</v>
      </c>
      <c r="S645" s="703">
        <f t="shared" si="76"/>
        <v>-147312</v>
      </c>
      <c r="T645" s="697" t="s">
        <v>92</v>
      </c>
    </row>
    <row r="646" spans="1:20" x14ac:dyDescent="0.25">
      <c r="A646" s="690"/>
      <c r="B646" s="697" t="s">
        <v>1500</v>
      </c>
      <c r="C646" s="547" t="s">
        <v>40</v>
      </c>
      <c r="D646" s="683">
        <v>44621</v>
      </c>
      <c r="E646" s="547">
        <v>744</v>
      </c>
      <c r="F646" s="547" t="s">
        <v>6</v>
      </c>
      <c r="G646" s="727" t="s">
        <v>44</v>
      </c>
      <c r="H646" s="638">
        <v>1</v>
      </c>
      <c r="I646" s="638">
        <v>253.7</v>
      </c>
      <c r="J646" s="639">
        <f t="shared" si="70"/>
        <v>-188752.8</v>
      </c>
      <c r="K646" s="750">
        <v>55.7</v>
      </c>
      <c r="L646" s="608">
        <f t="shared" si="71"/>
        <v>41440.800000000003</v>
      </c>
      <c r="M646" s="751">
        <f t="shared" si="72"/>
        <v>-147312</v>
      </c>
      <c r="N646" s="752">
        <v>55.7</v>
      </c>
      <c r="O646" s="609">
        <f t="shared" si="73"/>
        <v>41440.800000000003</v>
      </c>
      <c r="P646" s="703">
        <f t="shared" si="74"/>
        <v>-147312</v>
      </c>
      <c r="Q646" s="752">
        <v>55.7</v>
      </c>
      <c r="R646" s="609">
        <f t="shared" si="75"/>
        <v>41440.800000000003</v>
      </c>
      <c r="S646" s="703">
        <f t="shared" si="76"/>
        <v>-147312</v>
      </c>
      <c r="T646" s="697" t="s">
        <v>92</v>
      </c>
    </row>
    <row r="647" spans="1:20" x14ac:dyDescent="0.25">
      <c r="A647" s="690"/>
      <c r="B647" s="697" t="s">
        <v>1502</v>
      </c>
      <c r="C647" s="547" t="s">
        <v>40</v>
      </c>
      <c r="D647" s="683">
        <v>44621</v>
      </c>
      <c r="E647" s="547">
        <v>744</v>
      </c>
      <c r="F647" s="547" t="s">
        <v>5</v>
      </c>
      <c r="G647" s="727" t="s">
        <v>44</v>
      </c>
      <c r="H647" s="638">
        <v>1</v>
      </c>
      <c r="I647" s="638">
        <v>96.7</v>
      </c>
      <c r="J647" s="639">
        <f t="shared" si="70"/>
        <v>-71944.800000000003</v>
      </c>
      <c r="K647" s="750">
        <v>55.7</v>
      </c>
      <c r="L647" s="608">
        <f t="shared" si="71"/>
        <v>41440.800000000003</v>
      </c>
      <c r="M647" s="751">
        <f t="shared" si="72"/>
        <v>-30504</v>
      </c>
      <c r="N647" s="752">
        <v>55.7</v>
      </c>
      <c r="O647" s="609">
        <f t="shared" si="73"/>
        <v>41440.800000000003</v>
      </c>
      <c r="P647" s="703">
        <f t="shared" si="74"/>
        <v>-30504</v>
      </c>
      <c r="Q647" s="752">
        <v>55.7</v>
      </c>
      <c r="R647" s="609">
        <f t="shared" si="75"/>
        <v>41440.800000000003</v>
      </c>
      <c r="S647" s="703">
        <f t="shared" si="76"/>
        <v>-30504</v>
      </c>
      <c r="T647" s="697" t="s">
        <v>92</v>
      </c>
    </row>
    <row r="648" spans="1:20" x14ac:dyDescent="0.25">
      <c r="A648" s="690"/>
      <c r="B648" s="697" t="s">
        <v>1504</v>
      </c>
      <c r="C648" s="547" t="s">
        <v>40</v>
      </c>
      <c r="D648" s="683">
        <v>44621</v>
      </c>
      <c r="E648" s="547">
        <v>744</v>
      </c>
      <c r="F648" s="547" t="s">
        <v>5</v>
      </c>
      <c r="G648" s="727" t="s">
        <v>44</v>
      </c>
      <c r="H648" s="638">
        <v>2</v>
      </c>
      <c r="I648" s="638">
        <v>96.7</v>
      </c>
      <c r="J648" s="639">
        <f t="shared" si="70"/>
        <v>-143889.60000000001</v>
      </c>
      <c r="K648" s="750">
        <v>55.7</v>
      </c>
      <c r="L648" s="608">
        <f t="shared" si="71"/>
        <v>82881.600000000006</v>
      </c>
      <c r="M648" s="751">
        <f t="shared" si="72"/>
        <v>-61008</v>
      </c>
      <c r="N648" s="752">
        <v>55.7</v>
      </c>
      <c r="O648" s="609">
        <f t="shared" si="73"/>
        <v>82881.600000000006</v>
      </c>
      <c r="P648" s="703">
        <f t="shared" si="74"/>
        <v>-61008</v>
      </c>
      <c r="Q648" s="752">
        <v>55.7</v>
      </c>
      <c r="R648" s="609">
        <f t="shared" si="75"/>
        <v>82881.600000000006</v>
      </c>
      <c r="S648" s="703">
        <f t="shared" si="76"/>
        <v>-61008</v>
      </c>
      <c r="T648" s="697" t="s">
        <v>92</v>
      </c>
    </row>
    <row r="649" spans="1:20" x14ac:dyDescent="0.25">
      <c r="A649" s="690"/>
      <c r="B649" s="697" t="s">
        <v>1506</v>
      </c>
      <c r="C649" s="547" t="s">
        <v>40</v>
      </c>
      <c r="D649" s="683">
        <v>44621</v>
      </c>
      <c r="E649" s="547">
        <v>744</v>
      </c>
      <c r="F649" s="547" t="s">
        <v>5</v>
      </c>
      <c r="G649" s="727" t="s">
        <v>44</v>
      </c>
      <c r="H649" s="638">
        <v>2</v>
      </c>
      <c r="I649" s="638">
        <v>96.7</v>
      </c>
      <c r="J649" s="639">
        <f t="shared" si="70"/>
        <v>-143889.60000000001</v>
      </c>
      <c r="K649" s="750">
        <v>55.7</v>
      </c>
      <c r="L649" s="608">
        <f t="shared" si="71"/>
        <v>82881.600000000006</v>
      </c>
      <c r="M649" s="751">
        <f t="shared" si="72"/>
        <v>-61008</v>
      </c>
      <c r="N649" s="752">
        <v>55.7</v>
      </c>
      <c r="O649" s="609">
        <f t="shared" si="73"/>
        <v>82881.600000000006</v>
      </c>
      <c r="P649" s="703">
        <f t="shared" si="74"/>
        <v>-61008</v>
      </c>
      <c r="Q649" s="752">
        <v>55.7</v>
      </c>
      <c r="R649" s="609">
        <f t="shared" si="75"/>
        <v>82881.600000000006</v>
      </c>
      <c r="S649" s="703">
        <f t="shared" si="76"/>
        <v>-61008</v>
      </c>
      <c r="T649" s="697" t="s">
        <v>92</v>
      </c>
    </row>
    <row r="650" spans="1:20" x14ac:dyDescent="0.25">
      <c r="A650" s="690"/>
      <c r="B650" s="697" t="s">
        <v>1508</v>
      </c>
      <c r="C650" s="547" t="s">
        <v>40</v>
      </c>
      <c r="D650" s="683">
        <v>44621</v>
      </c>
      <c r="E650" s="547">
        <v>744</v>
      </c>
      <c r="F650" s="547" t="s">
        <v>5</v>
      </c>
      <c r="G650" s="727" t="s">
        <v>44</v>
      </c>
      <c r="H650" s="638">
        <v>3</v>
      </c>
      <c r="I650" s="638">
        <v>96.7</v>
      </c>
      <c r="J650" s="639">
        <f t="shared" si="70"/>
        <v>-215834.4</v>
      </c>
      <c r="K650" s="750">
        <v>55.7</v>
      </c>
      <c r="L650" s="608">
        <f t="shared" si="71"/>
        <v>124322.40000000001</v>
      </c>
      <c r="M650" s="751">
        <f t="shared" si="72"/>
        <v>-91511.999999999985</v>
      </c>
      <c r="N650" s="752">
        <v>55.7</v>
      </c>
      <c r="O650" s="609">
        <f t="shared" si="73"/>
        <v>124322.40000000001</v>
      </c>
      <c r="P650" s="703">
        <f t="shared" si="74"/>
        <v>-91511.999999999985</v>
      </c>
      <c r="Q650" s="752">
        <v>55.7</v>
      </c>
      <c r="R650" s="609">
        <f t="shared" si="75"/>
        <v>124322.40000000001</v>
      </c>
      <c r="S650" s="703">
        <f t="shared" si="76"/>
        <v>-91511.999999999985</v>
      </c>
      <c r="T650" s="697" t="s">
        <v>92</v>
      </c>
    </row>
    <row r="651" spans="1:20" x14ac:dyDescent="0.25">
      <c r="A651" s="690"/>
      <c r="B651" s="697" t="s">
        <v>1510</v>
      </c>
      <c r="C651" s="547" t="s">
        <v>40</v>
      </c>
      <c r="D651" s="683">
        <v>44621</v>
      </c>
      <c r="E651" s="547">
        <v>744</v>
      </c>
      <c r="F651" s="547" t="s">
        <v>6</v>
      </c>
      <c r="G651" s="727" t="s">
        <v>44</v>
      </c>
      <c r="H651" s="638">
        <v>2</v>
      </c>
      <c r="I651" s="638">
        <v>254.2</v>
      </c>
      <c r="J651" s="639">
        <f t="shared" si="70"/>
        <v>-378249.6</v>
      </c>
      <c r="K651" s="750">
        <v>55.7</v>
      </c>
      <c r="L651" s="608">
        <f t="shared" si="71"/>
        <v>82881.600000000006</v>
      </c>
      <c r="M651" s="751">
        <f t="shared" si="72"/>
        <v>-295368</v>
      </c>
      <c r="N651" s="752">
        <v>55.7</v>
      </c>
      <c r="O651" s="609">
        <f t="shared" si="73"/>
        <v>82881.600000000006</v>
      </c>
      <c r="P651" s="703">
        <f t="shared" si="74"/>
        <v>-295368</v>
      </c>
      <c r="Q651" s="752">
        <v>55.7</v>
      </c>
      <c r="R651" s="609">
        <f t="shared" si="75"/>
        <v>82881.600000000006</v>
      </c>
      <c r="S651" s="703">
        <f t="shared" si="76"/>
        <v>-295368</v>
      </c>
      <c r="T651" s="697" t="s">
        <v>92</v>
      </c>
    </row>
    <row r="652" spans="1:20" x14ac:dyDescent="0.25">
      <c r="A652" s="690"/>
      <c r="B652" s="697" t="s">
        <v>1512</v>
      </c>
      <c r="C652" s="547" t="s">
        <v>40</v>
      </c>
      <c r="D652" s="683">
        <v>44621</v>
      </c>
      <c r="E652" s="547">
        <v>744</v>
      </c>
      <c r="F652" s="547" t="s">
        <v>5</v>
      </c>
      <c r="G652" s="727" t="s">
        <v>44</v>
      </c>
      <c r="H652" s="638">
        <v>2</v>
      </c>
      <c r="I652" s="638">
        <v>96.7</v>
      </c>
      <c r="J652" s="639">
        <f t="shared" si="70"/>
        <v>-143889.60000000001</v>
      </c>
      <c r="K652" s="750">
        <v>55.7</v>
      </c>
      <c r="L652" s="608">
        <f t="shared" si="71"/>
        <v>82881.600000000006</v>
      </c>
      <c r="M652" s="751">
        <f t="shared" si="72"/>
        <v>-61008</v>
      </c>
      <c r="N652" s="752">
        <v>55.7</v>
      </c>
      <c r="O652" s="609">
        <f t="shared" si="73"/>
        <v>82881.600000000006</v>
      </c>
      <c r="P652" s="703">
        <f t="shared" si="74"/>
        <v>-61008</v>
      </c>
      <c r="Q652" s="752">
        <v>55.7</v>
      </c>
      <c r="R652" s="609">
        <f t="shared" si="75"/>
        <v>82881.600000000006</v>
      </c>
      <c r="S652" s="703">
        <f t="shared" si="76"/>
        <v>-61008</v>
      </c>
      <c r="T652" s="697" t="s">
        <v>92</v>
      </c>
    </row>
    <row r="653" spans="1:20" x14ac:dyDescent="0.25">
      <c r="A653" s="690"/>
      <c r="B653" s="697" t="s">
        <v>1521</v>
      </c>
      <c r="C653" s="547" t="s">
        <v>40</v>
      </c>
      <c r="D653" s="683">
        <v>44621</v>
      </c>
      <c r="E653" s="547">
        <v>744</v>
      </c>
      <c r="F653" s="547" t="s">
        <v>5</v>
      </c>
      <c r="G653" s="727" t="s">
        <v>44</v>
      </c>
      <c r="H653" s="638">
        <v>10</v>
      </c>
      <c r="I653" s="638">
        <v>96.7</v>
      </c>
      <c r="J653" s="639">
        <f t="shared" si="70"/>
        <v>-719448</v>
      </c>
      <c r="K653" s="750">
        <v>55.7</v>
      </c>
      <c r="L653" s="608">
        <f t="shared" si="71"/>
        <v>414408</v>
      </c>
      <c r="M653" s="751">
        <f t="shared" si="72"/>
        <v>-305040</v>
      </c>
      <c r="N653" s="752">
        <v>55.7</v>
      </c>
      <c r="O653" s="609">
        <f t="shared" si="73"/>
        <v>414408</v>
      </c>
      <c r="P653" s="703">
        <f t="shared" si="74"/>
        <v>-305040</v>
      </c>
      <c r="Q653" s="752">
        <v>55.7</v>
      </c>
      <c r="R653" s="609">
        <f t="shared" si="75"/>
        <v>414408</v>
      </c>
      <c r="S653" s="703">
        <f t="shared" si="76"/>
        <v>-305040</v>
      </c>
      <c r="T653" s="697" t="s">
        <v>92</v>
      </c>
    </row>
    <row r="654" spans="1:20" x14ac:dyDescent="0.25">
      <c r="A654" s="690"/>
      <c r="B654" s="697" t="s">
        <v>1523</v>
      </c>
      <c r="C654" s="547" t="s">
        <v>40</v>
      </c>
      <c r="D654" s="683">
        <v>44621</v>
      </c>
      <c r="E654" s="547">
        <v>744</v>
      </c>
      <c r="F654" s="547" t="s">
        <v>6</v>
      </c>
      <c r="G654" s="727" t="s">
        <v>44</v>
      </c>
      <c r="H654" s="638">
        <v>1.24</v>
      </c>
      <c r="I654" s="638">
        <v>253.7</v>
      </c>
      <c r="J654" s="639">
        <f t="shared" si="70"/>
        <v>-234053.47199999998</v>
      </c>
      <c r="K654" s="750">
        <v>55.7</v>
      </c>
      <c r="L654" s="608">
        <f t="shared" si="71"/>
        <v>51386.591999999997</v>
      </c>
      <c r="M654" s="751">
        <f t="shared" si="72"/>
        <v>-182666.87999999998</v>
      </c>
      <c r="N654" s="752">
        <v>55.7</v>
      </c>
      <c r="O654" s="609">
        <f t="shared" si="73"/>
        <v>51386.591999999997</v>
      </c>
      <c r="P654" s="703">
        <f t="shared" si="74"/>
        <v>-182666.87999999998</v>
      </c>
      <c r="Q654" s="752">
        <v>55.7</v>
      </c>
      <c r="R654" s="609">
        <f t="shared" si="75"/>
        <v>51386.591999999997</v>
      </c>
      <c r="S654" s="703">
        <f t="shared" si="76"/>
        <v>-182666.87999999998</v>
      </c>
      <c r="T654" s="697" t="s">
        <v>92</v>
      </c>
    </row>
    <row r="655" spans="1:20" x14ac:dyDescent="0.25">
      <c r="A655" s="690"/>
      <c r="B655" s="697" t="s">
        <v>1527</v>
      </c>
      <c r="C655" s="547" t="s">
        <v>40</v>
      </c>
      <c r="D655" s="683">
        <v>44621</v>
      </c>
      <c r="E655" s="547">
        <v>744</v>
      </c>
      <c r="F655" s="547" t="s">
        <v>6</v>
      </c>
      <c r="G655" s="727" t="s">
        <v>44</v>
      </c>
      <c r="H655" s="638">
        <v>0.3</v>
      </c>
      <c r="I655" s="638">
        <v>256.7</v>
      </c>
      <c r="J655" s="639">
        <f t="shared" si="70"/>
        <v>-57295.439999999995</v>
      </c>
      <c r="K655" s="750">
        <v>55.7</v>
      </c>
      <c r="L655" s="608">
        <f t="shared" si="71"/>
        <v>12432.24</v>
      </c>
      <c r="M655" s="751">
        <f t="shared" si="72"/>
        <v>-44863.199999999997</v>
      </c>
      <c r="N655" s="752">
        <v>55.7</v>
      </c>
      <c r="O655" s="609">
        <f t="shared" si="73"/>
        <v>12432.24</v>
      </c>
      <c r="P655" s="703">
        <f t="shared" si="74"/>
        <v>-44863.199999999997</v>
      </c>
      <c r="Q655" s="752">
        <v>55.7</v>
      </c>
      <c r="R655" s="609">
        <f t="shared" si="75"/>
        <v>12432.24</v>
      </c>
      <c r="S655" s="703">
        <f t="shared" si="76"/>
        <v>-44863.199999999997</v>
      </c>
      <c r="T655" s="697" t="s">
        <v>92</v>
      </c>
    </row>
    <row r="656" spans="1:20" x14ac:dyDescent="0.25">
      <c r="A656" s="690"/>
      <c r="B656" s="697" t="s">
        <v>1541</v>
      </c>
      <c r="C656" s="547" t="s">
        <v>40</v>
      </c>
      <c r="D656" s="683">
        <v>44621</v>
      </c>
      <c r="E656" s="547">
        <v>744</v>
      </c>
      <c r="F656" s="547" t="s">
        <v>6</v>
      </c>
      <c r="G656" s="727" t="s">
        <v>44</v>
      </c>
      <c r="H656" s="638">
        <v>1</v>
      </c>
      <c r="I656" s="638">
        <v>253.7</v>
      </c>
      <c r="J656" s="639">
        <f t="shared" si="70"/>
        <v>-188752.8</v>
      </c>
      <c r="K656" s="750">
        <v>55.7</v>
      </c>
      <c r="L656" s="608">
        <f t="shared" si="71"/>
        <v>41440.800000000003</v>
      </c>
      <c r="M656" s="751">
        <f t="shared" si="72"/>
        <v>-147312</v>
      </c>
      <c r="N656" s="752">
        <v>55.7</v>
      </c>
      <c r="O656" s="609">
        <f t="shared" si="73"/>
        <v>41440.800000000003</v>
      </c>
      <c r="P656" s="703">
        <f t="shared" si="74"/>
        <v>-147312</v>
      </c>
      <c r="Q656" s="752">
        <v>55.7</v>
      </c>
      <c r="R656" s="609">
        <f t="shared" si="75"/>
        <v>41440.800000000003</v>
      </c>
      <c r="S656" s="703">
        <f t="shared" si="76"/>
        <v>-147312</v>
      </c>
      <c r="T656" s="697" t="s">
        <v>92</v>
      </c>
    </row>
    <row r="657" spans="1:20" x14ac:dyDescent="0.25">
      <c r="A657" s="690"/>
      <c r="B657" s="697" t="s">
        <v>1543</v>
      </c>
      <c r="C657" s="547" t="s">
        <v>40</v>
      </c>
      <c r="D657" s="683">
        <v>44621</v>
      </c>
      <c r="E657" s="547">
        <v>744</v>
      </c>
      <c r="F657" s="547" t="s">
        <v>6</v>
      </c>
      <c r="G657" s="727" t="s">
        <v>44</v>
      </c>
      <c r="H657" s="638">
        <v>2.8</v>
      </c>
      <c r="I657" s="638">
        <v>253.7</v>
      </c>
      <c r="J657" s="639">
        <f t="shared" si="70"/>
        <v>-528507.84</v>
      </c>
      <c r="K657" s="750">
        <v>55.7</v>
      </c>
      <c r="L657" s="608">
        <f t="shared" si="71"/>
        <v>116034.23999999999</v>
      </c>
      <c r="M657" s="751">
        <f t="shared" si="72"/>
        <v>-412473.59999999998</v>
      </c>
      <c r="N657" s="752">
        <v>55.7</v>
      </c>
      <c r="O657" s="609">
        <f t="shared" si="73"/>
        <v>116034.23999999999</v>
      </c>
      <c r="P657" s="703">
        <f t="shared" si="74"/>
        <v>-412473.59999999998</v>
      </c>
      <c r="Q657" s="752">
        <v>55.7</v>
      </c>
      <c r="R657" s="609">
        <f t="shared" si="75"/>
        <v>116034.23999999999</v>
      </c>
      <c r="S657" s="703">
        <f t="shared" si="76"/>
        <v>-412473.59999999998</v>
      </c>
      <c r="T657" s="697" t="s">
        <v>92</v>
      </c>
    </row>
    <row r="658" spans="1:20" x14ac:dyDescent="0.25">
      <c r="A658" s="690"/>
      <c r="B658" s="697" t="s">
        <v>1545</v>
      </c>
      <c r="C658" s="547" t="s">
        <v>40</v>
      </c>
      <c r="D658" s="683">
        <v>44621</v>
      </c>
      <c r="E658" s="547">
        <v>744</v>
      </c>
      <c r="F658" s="547" t="s">
        <v>5</v>
      </c>
      <c r="G658" s="727" t="s">
        <v>44</v>
      </c>
      <c r="H658" s="638">
        <v>2</v>
      </c>
      <c r="I658" s="638">
        <v>95.7</v>
      </c>
      <c r="J658" s="639">
        <f t="shared" si="70"/>
        <v>-142401.60000000001</v>
      </c>
      <c r="K658" s="750">
        <v>55.7</v>
      </c>
      <c r="L658" s="608">
        <f t="shared" si="71"/>
        <v>82881.600000000006</v>
      </c>
      <c r="M658" s="751">
        <f t="shared" si="72"/>
        <v>-59520</v>
      </c>
      <c r="N658" s="752">
        <v>55.7</v>
      </c>
      <c r="O658" s="609">
        <f t="shared" si="73"/>
        <v>82881.600000000006</v>
      </c>
      <c r="P658" s="703">
        <f t="shared" si="74"/>
        <v>-59520</v>
      </c>
      <c r="Q658" s="752">
        <v>55.7</v>
      </c>
      <c r="R658" s="609">
        <f t="shared" si="75"/>
        <v>82881.600000000006</v>
      </c>
      <c r="S658" s="703">
        <f t="shared" si="76"/>
        <v>-59520</v>
      </c>
      <c r="T658" s="697" t="s">
        <v>92</v>
      </c>
    </row>
    <row r="659" spans="1:20" x14ac:dyDescent="0.25">
      <c r="A659" s="690"/>
      <c r="B659" s="697" t="s">
        <v>1547</v>
      </c>
      <c r="C659" s="547" t="s">
        <v>40</v>
      </c>
      <c r="D659" s="683">
        <v>44621</v>
      </c>
      <c r="E659" s="547">
        <v>744</v>
      </c>
      <c r="F659" s="547" t="s">
        <v>5</v>
      </c>
      <c r="G659" s="727" t="s">
        <v>44</v>
      </c>
      <c r="H659" s="638">
        <v>2</v>
      </c>
      <c r="I659" s="638">
        <v>95.7</v>
      </c>
      <c r="J659" s="639">
        <f t="shared" si="70"/>
        <v>-142401.60000000001</v>
      </c>
      <c r="K659" s="750">
        <v>55.7</v>
      </c>
      <c r="L659" s="608">
        <f t="shared" si="71"/>
        <v>82881.600000000006</v>
      </c>
      <c r="M659" s="751">
        <f t="shared" si="72"/>
        <v>-59520</v>
      </c>
      <c r="N659" s="752">
        <v>55.7</v>
      </c>
      <c r="O659" s="609">
        <f t="shared" si="73"/>
        <v>82881.600000000006</v>
      </c>
      <c r="P659" s="703">
        <f t="shared" si="74"/>
        <v>-59520</v>
      </c>
      <c r="Q659" s="752">
        <v>55.7</v>
      </c>
      <c r="R659" s="609">
        <f t="shared" si="75"/>
        <v>82881.600000000006</v>
      </c>
      <c r="S659" s="703">
        <f t="shared" si="76"/>
        <v>-59520</v>
      </c>
      <c r="T659" s="697" t="s">
        <v>92</v>
      </c>
    </row>
    <row r="660" spans="1:20" x14ac:dyDescent="0.25">
      <c r="A660" s="690"/>
      <c r="B660" s="697" t="s">
        <v>1558</v>
      </c>
      <c r="C660" s="547" t="s">
        <v>40</v>
      </c>
      <c r="D660" s="683">
        <v>44621</v>
      </c>
      <c r="E660" s="547">
        <v>744</v>
      </c>
      <c r="F660" s="547" t="s">
        <v>6</v>
      </c>
      <c r="G660" s="727" t="s">
        <v>44</v>
      </c>
      <c r="H660" s="638">
        <v>0.2</v>
      </c>
      <c r="I660" s="638">
        <v>253.7</v>
      </c>
      <c r="J660" s="639">
        <f t="shared" si="70"/>
        <v>-37750.559999999998</v>
      </c>
      <c r="K660" s="750">
        <v>55.7</v>
      </c>
      <c r="L660" s="608">
        <f t="shared" si="71"/>
        <v>8288.1600000000017</v>
      </c>
      <c r="M660" s="751">
        <f t="shared" si="72"/>
        <v>-29462.399999999994</v>
      </c>
      <c r="N660" s="752">
        <v>55.7</v>
      </c>
      <c r="O660" s="609">
        <f t="shared" si="73"/>
        <v>8288.1600000000017</v>
      </c>
      <c r="P660" s="703">
        <f t="shared" si="74"/>
        <v>-29462.399999999994</v>
      </c>
      <c r="Q660" s="752">
        <v>55.7</v>
      </c>
      <c r="R660" s="609">
        <f t="shared" si="75"/>
        <v>8288.1600000000017</v>
      </c>
      <c r="S660" s="703">
        <f t="shared" si="76"/>
        <v>-29462.399999999994</v>
      </c>
      <c r="T660" s="697" t="s">
        <v>92</v>
      </c>
    </row>
    <row r="661" spans="1:20" x14ac:dyDescent="0.25">
      <c r="A661" s="690"/>
      <c r="B661" s="697" t="s">
        <v>1560</v>
      </c>
      <c r="C661" s="547" t="s">
        <v>40</v>
      </c>
      <c r="D661" s="683">
        <v>44621</v>
      </c>
      <c r="E661" s="547">
        <v>744</v>
      </c>
      <c r="F661" s="547" t="s">
        <v>5</v>
      </c>
      <c r="G661" s="727" t="s">
        <v>44</v>
      </c>
      <c r="H661" s="638">
        <v>1.9</v>
      </c>
      <c r="I661" s="638">
        <v>95.7</v>
      </c>
      <c r="J661" s="639">
        <f t="shared" si="70"/>
        <v>-135281.51999999999</v>
      </c>
      <c r="K661" s="750">
        <v>55.7</v>
      </c>
      <c r="L661" s="608">
        <f t="shared" si="71"/>
        <v>78737.52</v>
      </c>
      <c r="M661" s="751">
        <f t="shared" si="72"/>
        <v>-56543.999999999985</v>
      </c>
      <c r="N661" s="752">
        <v>55.7</v>
      </c>
      <c r="O661" s="609">
        <f t="shared" si="73"/>
        <v>78737.52</v>
      </c>
      <c r="P661" s="703">
        <f t="shared" si="74"/>
        <v>-56543.999999999985</v>
      </c>
      <c r="Q661" s="752">
        <v>55.7</v>
      </c>
      <c r="R661" s="609">
        <f t="shared" si="75"/>
        <v>78737.52</v>
      </c>
      <c r="S661" s="703">
        <f t="shared" si="76"/>
        <v>-56543.999999999985</v>
      </c>
      <c r="T661" s="697" t="s">
        <v>92</v>
      </c>
    </row>
    <row r="662" spans="1:20" x14ac:dyDescent="0.25">
      <c r="A662" s="690"/>
      <c r="B662" s="697" t="s">
        <v>1562</v>
      </c>
      <c r="C662" s="547" t="s">
        <v>40</v>
      </c>
      <c r="D662" s="683">
        <v>44621</v>
      </c>
      <c r="E662" s="547">
        <v>744</v>
      </c>
      <c r="F662" s="547" t="s">
        <v>5</v>
      </c>
      <c r="G662" s="727" t="s">
        <v>44</v>
      </c>
      <c r="H662" s="638">
        <v>0.1</v>
      </c>
      <c r="I662" s="638">
        <v>95.7</v>
      </c>
      <c r="J662" s="639">
        <f t="shared" si="70"/>
        <v>-7120.0800000000008</v>
      </c>
      <c r="K662" s="750">
        <v>55.7</v>
      </c>
      <c r="L662" s="608">
        <f t="shared" si="71"/>
        <v>4144.0800000000008</v>
      </c>
      <c r="M662" s="751">
        <f t="shared" si="72"/>
        <v>-2976</v>
      </c>
      <c r="N662" s="752">
        <v>55.7</v>
      </c>
      <c r="O662" s="609">
        <f t="shared" si="73"/>
        <v>4144.0800000000008</v>
      </c>
      <c r="P662" s="703">
        <f t="shared" si="74"/>
        <v>-2976</v>
      </c>
      <c r="Q662" s="752">
        <v>55.7</v>
      </c>
      <c r="R662" s="609">
        <f t="shared" si="75"/>
        <v>4144.0800000000008</v>
      </c>
      <c r="S662" s="703">
        <f t="shared" si="76"/>
        <v>-2976</v>
      </c>
      <c r="T662" s="697" t="s">
        <v>92</v>
      </c>
    </row>
    <row r="663" spans="1:20" x14ac:dyDescent="0.25">
      <c r="A663" s="690"/>
      <c r="B663" s="697" t="s">
        <v>1564</v>
      </c>
      <c r="C663" s="547" t="s">
        <v>40</v>
      </c>
      <c r="D663" s="683">
        <v>44621</v>
      </c>
      <c r="E663" s="547">
        <v>744</v>
      </c>
      <c r="F663" s="547" t="s">
        <v>5</v>
      </c>
      <c r="G663" s="727" t="s">
        <v>44</v>
      </c>
      <c r="H663" s="638">
        <v>4</v>
      </c>
      <c r="I663" s="638">
        <v>95.7</v>
      </c>
      <c r="J663" s="639">
        <f t="shared" si="70"/>
        <v>-284803.20000000001</v>
      </c>
      <c r="K663" s="750">
        <v>55.7</v>
      </c>
      <c r="L663" s="608">
        <f t="shared" si="71"/>
        <v>165763.20000000001</v>
      </c>
      <c r="M663" s="751">
        <f t="shared" si="72"/>
        <v>-119040</v>
      </c>
      <c r="N663" s="752">
        <v>55.7</v>
      </c>
      <c r="O663" s="609">
        <f t="shared" si="73"/>
        <v>165763.20000000001</v>
      </c>
      <c r="P663" s="703">
        <f t="shared" si="74"/>
        <v>-119040</v>
      </c>
      <c r="Q663" s="752">
        <v>55.7</v>
      </c>
      <c r="R663" s="609">
        <f t="shared" si="75"/>
        <v>165763.20000000001</v>
      </c>
      <c r="S663" s="703">
        <f t="shared" si="76"/>
        <v>-119040</v>
      </c>
      <c r="T663" s="697" t="s">
        <v>92</v>
      </c>
    </row>
    <row r="664" spans="1:20" x14ac:dyDescent="0.25">
      <c r="A664" s="690"/>
      <c r="B664" s="697" t="s">
        <v>1566</v>
      </c>
      <c r="C664" s="547" t="s">
        <v>40</v>
      </c>
      <c r="D664" s="683">
        <v>44621</v>
      </c>
      <c r="E664" s="547">
        <v>744</v>
      </c>
      <c r="F664" s="547" t="s">
        <v>6</v>
      </c>
      <c r="G664" s="727" t="s">
        <v>44</v>
      </c>
      <c r="H664" s="638">
        <v>0.5</v>
      </c>
      <c r="I664" s="638">
        <v>256.7</v>
      </c>
      <c r="J664" s="639">
        <f t="shared" si="70"/>
        <v>-95492.4</v>
      </c>
      <c r="K664" s="750">
        <v>55.7</v>
      </c>
      <c r="L664" s="608">
        <f t="shared" si="71"/>
        <v>20720.400000000001</v>
      </c>
      <c r="M664" s="751">
        <f t="shared" si="72"/>
        <v>-74772</v>
      </c>
      <c r="N664" s="752">
        <v>55.7</v>
      </c>
      <c r="O664" s="609">
        <f t="shared" si="73"/>
        <v>20720.400000000001</v>
      </c>
      <c r="P664" s="703">
        <f t="shared" si="74"/>
        <v>-74772</v>
      </c>
      <c r="Q664" s="752">
        <v>55.7</v>
      </c>
      <c r="R664" s="609">
        <f t="shared" si="75"/>
        <v>20720.400000000001</v>
      </c>
      <c r="S664" s="703">
        <f t="shared" si="76"/>
        <v>-74772</v>
      </c>
      <c r="T664" s="697" t="s">
        <v>92</v>
      </c>
    </row>
    <row r="665" spans="1:20" x14ac:dyDescent="0.25">
      <c r="A665" s="690"/>
      <c r="B665" s="697" t="s">
        <v>1621</v>
      </c>
      <c r="C665" s="547" t="s">
        <v>40</v>
      </c>
      <c r="D665" s="683">
        <v>44652</v>
      </c>
      <c r="E665" s="547">
        <v>720</v>
      </c>
      <c r="F665" s="547" t="s">
        <v>5</v>
      </c>
      <c r="G665" s="727" t="s">
        <v>44</v>
      </c>
      <c r="H665" s="638">
        <v>10</v>
      </c>
      <c r="I665" s="638">
        <v>95.7</v>
      </c>
      <c r="J665" s="639">
        <f t="shared" si="70"/>
        <v>-689040</v>
      </c>
      <c r="K665" s="750">
        <v>55.7</v>
      </c>
      <c r="L665" s="608">
        <f t="shared" si="71"/>
        <v>401040</v>
      </c>
      <c r="M665" s="751">
        <f t="shared" si="72"/>
        <v>-288000</v>
      </c>
      <c r="N665" s="752">
        <v>55.7</v>
      </c>
      <c r="O665" s="609">
        <f t="shared" si="73"/>
        <v>401040</v>
      </c>
      <c r="P665" s="703">
        <f t="shared" si="74"/>
        <v>-288000</v>
      </c>
      <c r="Q665" s="752">
        <v>55.7</v>
      </c>
      <c r="R665" s="609">
        <f t="shared" si="75"/>
        <v>401040</v>
      </c>
      <c r="S665" s="703">
        <f t="shared" si="76"/>
        <v>-288000</v>
      </c>
      <c r="T665" s="697" t="s">
        <v>92</v>
      </c>
    </row>
    <row r="666" spans="1:20" x14ac:dyDescent="0.25">
      <c r="A666" s="690"/>
      <c r="B666" s="697" t="s">
        <v>1623</v>
      </c>
      <c r="C666" s="547" t="s">
        <v>40</v>
      </c>
      <c r="D666" s="683">
        <v>44652</v>
      </c>
      <c r="E666" s="547">
        <v>720</v>
      </c>
      <c r="F666" s="547" t="s">
        <v>5</v>
      </c>
      <c r="G666" s="727" t="s">
        <v>44</v>
      </c>
      <c r="H666" s="638">
        <v>5</v>
      </c>
      <c r="I666" s="638">
        <v>95.7</v>
      </c>
      <c r="J666" s="639">
        <f t="shared" si="70"/>
        <v>-344520</v>
      </c>
      <c r="K666" s="750">
        <v>55.7</v>
      </c>
      <c r="L666" s="608">
        <f t="shared" si="71"/>
        <v>200520</v>
      </c>
      <c r="M666" s="751">
        <f t="shared" si="72"/>
        <v>-144000</v>
      </c>
      <c r="N666" s="752">
        <v>55.7</v>
      </c>
      <c r="O666" s="609">
        <f t="shared" si="73"/>
        <v>200520</v>
      </c>
      <c r="P666" s="703">
        <f t="shared" si="74"/>
        <v>-144000</v>
      </c>
      <c r="Q666" s="752">
        <v>55.7</v>
      </c>
      <c r="R666" s="609">
        <f t="shared" si="75"/>
        <v>200520</v>
      </c>
      <c r="S666" s="703">
        <f t="shared" si="76"/>
        <v>-144000</v>
      </c>
      <c r="T666" s="697" t="s">
        <v>92</v>
      </c>
    </row>
    <row r="667" spans="1:20" x14ac:dyDescent="0.25">
      <c r="A667" s="690"/>
      <c r="B667" s="697" t="s">
        <v>1630</v>
      </c>
      <c r="C667" s="547" t="s">
        <v>40</v>
      </c>
      <c r="D667" s="683">
        <v>44652</v>
      </c>
      <c r="E667" s="547">
        <v>720</v>
      </c>
      <c r="F667" s="547" t="s">
        <v>5</v>
      </c>
      <c r="G667" s="727" t="s">
        <v>44</v>
      </c>
      <c r="H667" s="638">
        <v>2.5</v>
      </c>
      <c r="I667" s="638">
        <v>95.7</v>
      </c>
      <c r="J667" s="639">
        <f t="shared" si="70"/>
        <v>-172260</v>
      </c>
      <c r="K667" s="750">
        <v>55.7</v>
      </c>
      <c r="L667" s="608">
        <f t="shared" si="71"/>
        <v>100260</v>
      </c>
      <c r="M667" s="751">
        <f t="shared" si="72"/>
        <v>-72000</v>
      </c>
      <c r="N667" s="752">
        <v>55.7</v>
      </c>
      <c r="O667" s="609">
        <f t="shared" si="73"/>
        <v>100260</v>
      </c>
      <c r="P667" s="703">
        <f t="shared" si="74"/>
        <v>-72000</v>
      </c>
      <c r="Q667" s="752">
        <v>55.7</v>
      </c>
      <c r="R667" s="609">
        <f t="shared" si="75"/>
        <v>100260</v>
      </c>
      <c r="S667" s="703">
        <f t="shared" si="76"/>
        <v>-72000</v>
      </c>
      <c r="T667" s="697" t="s">
        <v>92</v>
      </c>
    </row>
    <row r="668" spans="1:20" x14ac:dyDescent="0.25">
      <c r="A668" s="690"/>
      <c r="B668" s="697" t="s">
        <v>1641</v>
      </c>
      <c r="C668" s="547" t="s">
        <v>40</v>
      </c>
      <c r="D668" s="683">
        <v>44652</v>
      </c>
      <c r="E668" s="547">
        <v>720</v>
      </c>
      <c r="F668" s="547" t="s">
        <v>6</v>
      </c>
      <c r="G668" s="727" t="s">
        <v>44</v>
      </c>
      <c r="H668" s="638">
        <v>4</v>
      </c>
      <c r="I668" s="638">
        <v>250.7</v>
      </c>
      <c r="J668" s="639">
        <f t="shared" si="70"/>
        <v>-722016</v>
      </c>
      <c r="K668" s="750">
        <v>55.7</v>
      </c>
      <c r="L668" s="608">
        <f t="shared" si="71"/>
        <v>160416</v>
      </c>
      <c r="M668" s="751">
        <f t="shared" si="72"/>
        <v>-561600</v>
      </c>
      <c r="N668" s="752">
        <v>55.7</v>
      </c>
      <c r="O668" s="609">
        <f t="shared" si="73"/>
        <v>160416</v>
      </c>
      <c r="P668" s="703">
        <f t="shared" si="74"/>
        <v>-561600</v>
      </c>
      <c r="Q668" s="752">
        <v>55.7</v>
      </c>
      <c r="R668" s="609">
        <f t="shared" si="75"/>
        <v>160416</v>
      </c>
      <c r="S668" s="703">
        <f t="shared" si="76"/>
        <v>-561600</v>
      </c>
      <c r="T668" s="697" t="s">
        <v>92</v>
      </c>
    </row>
    <row r="669" spans="1:20" x14ac:dyDescent="0.25">
      <c r="A669" s="690"/>
      <c r="B669" s="697" t="s">
        <v>1704</v>
      </c>
      <c r="C669" s="547" t="s">
        <v>40</v>
      </c>
      <c r="D669" s="683">
        <v>44713</v>
      </c>
      <c r="E669" s="547">
        <v>720</v>
      </c>
      <c r="F669" s="547" t="s">
        <v>3</v>
      </c>
      <c r="G669" s="727" t="s">
        <v>44</v>
      </c>
      <c r="H669" s="638">
        <v>-4.0999999999999996</v>
      </c>
      <c r="I669" s="638">
        <v>80</v>
      </c>
      <c r="J669" s="639">
        <f t="shared" si="70"/>
        <v>236159.99999999997</v>
      </c>
      <c r="K669" s="750">
        <v>55.71</v>
      </c>
      <c r="L669" s="608">
        <f t="shared" si="71"/>
        <v>-164455.91999999998</v>
      </c>
      <c r="M669" s="751">
        <f t="shared" si="72"/>
        <v>71704.079999999987</v>
      </c>
      <c r="N669" s="752">
        <v>55.71</v>
      </c>
      <c r="O669" s="609">
        <f t="shared" si="73"/>
        <v>-164455.91999999998</v>
      </c>
      <c r="P669" s="703">
        <f t="shared" si="74"/>
        <v>71704.079999999987</v>
      </c>
      <c r="Q669" s="752">
        <v>55.71</v>
      </c>
      <c r="R669" s="609">
        <f t="shared" si="75"/>
        <v>-164455.91999999998</v>
      </c>
      <c r="S669" s="703">
        <f t="shared" si="76"/>
        <v>71704.079999999987</v>
      </c>
      <c r="T669" s="697" t="s">
        <v>54</v>
      </c>
    </row>
    <row r="670" spans="1:20" x14ac:dyDescent="0.25">
      <c r="A670" s="690"/>
      <c r="B670" s="697" t="s">
        <v>1706</v>
      </c>
      <c r="C670" s="547" t="s">
        <v>40</v>
      </c>
      <c r="D670" s="683">
        <v>44713</v>
      </c>
      <c r="E670" s="547">
        <v>720</v>
      </c>
      <c r="F670" s="547" t="s">
        <v>3</v>
      </c>
      <c r="G670" s="727" t="s">
        <v>44</v>
      </c>
      <c r="H670" s="638">
        <v>3.9</v>
      </c>
      <c r="I670" s="638">
        <v>80</v>
      </c>
      <c r="J670" s="639">
        <f t="shared" si="70"/>
        <v>-224640</v>
      </c>
      <c r="K670" s="750">
        <v>55.71</v>
      </c>
      <c r="L670" s="608">
        <f t="shared" si="71"/>
        <v>156433.68</v>
      </c>
      <c r="M670" s="751">
        <f t="shared" si="72"/>
        <v>-68206.320000000007</v>
      </c>
      <c r="N670" s="752">
        <v>55.71</v>
      </c>
      <c r="O670" s="609">
        <f t="shared" si="73"/>
        <v>156433.68</v>
      </c>
      <c r="P670" s="703">
        <f t="shared" si="74"/>
        <v>-68206.320000000007</v>
      </c>
      <c r="Q670" s="752">
        <v>55.71</v>
      </c>
      <c r="R670" s="609">
        <f t="shared" si="75"/>
        <v>156433.68</v>
      </c>
      <c r="S670" s="703">
        <f t="shared" si="76"/>
        <v>-68206.320000000007</v>
      </c>
      <c r="T670" s="697" t="s">
        <v>54</v>
      </c>
    </row>
    <row r="671" spans="1:20" x14ac:dyDescent="0.25">
      <c r="A671" s="690"/>
      <c r="B671" s="697" t="s">
        <v>1708</v>
      </c>
      <c r="C671" s="547" t="s">
        <v>40</v>
      </c>
      <c r="D671" s="683">
        <v>44896</v>
      </c>
      <c r="E671" s="547">
        <v>744</v>
      </c>
      <c r="F671" s="547" t="s">
        <v>3</v>
      </c>
      <c r="G671" s="727" t="s">
        <v>44</v>
      </c>
      <c r="H671" s="638">
        <v>-3.9</v>
      </c>
      <c r="I671" s="638">
        <v>145</v>
      </c>
      <c r="J671" s="639">
        <f t="shared" si="70"/>
        <v>420732</v>
      </c>
      <c r="K671" s="750">
        <v>55.7</v>
      </c>
      <c r="L671" s="608">
        <f t="shared" si="71"/>
        <v>-161619.12</v>
      </c>
      <c r="M671" s="751">
        <f t="shared" si="72"/>
        <v>259112.88</v>
      </c>
      <c r="N671" s="752">
        <v>55.7</v>
      </c>
      <c r="O671" s="609">
        <f t="shared" si="73"/>
        <v>-161619.12</v>
      </c>
      <c r="P671" s="703">
        <f t="shared" si="74"/>
        <v>259112.88</v>
      </c>
      <c r="Q671" s="752">
        <v>78.400653594793155</v>
      </c>
      <c r="R671" s="609">
        <f t="shared" si="75"/>
        <v>-227487.33647065182</v>
      </c>
      <c r="S671" s="703">
        <f t="shared" si="76"/>
        <v>193244.66352934818</v>
      </c>
      <c r="T671" s="697" t="s">
        <v>54</v>
      </c>
    </row>
    <row r="672" spans="1:20" x14ac:dyDescent="0.25">
      <c r="A672" s="690"/>
      <c r="B672" s="697" t="s">
        <v>1710</v>
      </c>
      <c r="C672" s="547" t="s">
        <v>40</v>
      </c>
      <c r="D672" s="683">
        <v>44713</v>
      </c>
      <c r="E672" s="547">
        <v>720</v>
      </c>
      <c r="F672" s="547" t="s">
        <v>3</v>
      </c>
      <c r="G672" s="727" t="s">
        <v>44</v>
      </c>
      <c r="H672" s="638">
        <v>-6.1</v>
      </c>
      <c r="I672" s="638">
        <v>80</v>
      </c>
      <c r="J672" s="639">
        <f t="shared" si="70"/>
        <v>351360</v>
      </c>
      <c r="K672" s="750">
        <v>55.71</v>
      </c>
      <c r="L672" s="608">
        <f t="shared" si="71"/>
        <v>-244678.32</v>
      </c>
      <c r="M672" s="751">
        <f t="shared" si="72"/>
        <v>106681.68</v>
      </c>
      <c r="N672" s="752">
        <v>55.71</v>
      </c>
      <c r="O672" s="609">
        <f t="shared" si="73"/>
        <v>-244678.32</v>
      </c>
      <c r="P672" s="703">
        <f t="shared" si="74"/>
        <v>106681.68</v>
      </c>
      <c r="Q672" s="752">
        <v>55.71</v>
      </c>
      <c r="R672" s="609">
        <f t="shared" si="75"/>
        <v>-244678.32</v>
      </c>
      <c r="S672" s="703">
        <f t="shared" si="76"/>
        <v>106681.68</v>
      </c>
      <c r="T672" s="697" t="s">
        <v>54</v>
      </c>
    </row>
    <row r="673" spans="1:20" x14ac:dyDescent="0.25">
      <c r="A673" s="690"/>
      <c r="B673" s="697" t="s">
        <v>1713</v>
      </c>
      <c r="C673" s="547" t="s">
        <v>40</v>
      </c>
      <c r="D673" s="683">
        <v>44805</v>
      </c>
      <c r="E673" s="547">
        <v>720</v>
      </c>
      <c r="F673" s="547" t="s">
        <v>3</v>
      </c>
      <c r="G673" s="727" t="s">
        <v>44</v>
      </c>
      <c r="H673" s="638">
        <v>-8.3000000000000007</v>
      </c>
      <c r="I673" s="638">
        <v>135</v>
      </c>
      <c r="J673" s="639">
        <f t="shared" si="70"/>
        <v>806760.00000000012</v>
      </c>
      <c r="K673" s="750">
        <v>56.08</v>
      </c>
      <c r="L673" s="608">
        <f t="shared" si="71"/>
        <v>-335134.08000000002</v>
      </c>
      <c r="M673" s="751">
        <f t="shared" si="72"/>
        <v>471625.9200000001</v>
      </c>
      <c r="N673" s="752">
        <v>56.08</v>
      </c>
      <c r="O673" s="609">
        <f t="shared" si="73"/>
        <v>-335134.08000000002</v>
      </c>
      <c r="P673" s="703">
        <f t="shared" si="74"/>
        <v>471625.9200000001</v>
      </c>
      <c r="Q673" s="752">
        <v>56.08</v>
      </c>
      <c r="R673" s="609">
        <f t="shared" si="75"/>
        <v>-335134.08000000002</v>
      </c>
      <c r="S673" s="703">
        <f t="shared" si="76"/>
        <v>471625.9200000001</v>
      </c>
      <c r="T673" s="697" t="s">
        <v>54</v>
      </c>
    </row>
    <row r="674" spans="1:20" x14ac:dyDescent="0.25">
      <c r="A674" s="690"/>
      <c r="B674" s="697" t="s">
        <v>1715</v>
      </c>
      <c r="C674" s="547" t="s">
        <v>40</v>
      </c>
      <c r="D674" s="683">
        <v>44774</v>
      </c>
      <c r="E674" s="547">
        <v>744</v>
      </c>
      <c r="F674" s="547" t="s">
        <v>3</v>
      </c>
      <c r="G674" s="727" t="s">
        <v>44</v>
      </c>
      <c r="H674" s="638">
        <v>-11</v>
      </c>
      <c r="I674" s="638">
        <v>129</v>
      </c>
      <c r="J674" s="639">
        <f t="shared" si="70"/>
        <v>1055736</v>
      </c>
      <c r="K674" s="750">
        <v>76.900000000000006</v>
      </c>
      <c r="L674" s="608">
        <f t="shared" si="71"/>
        <v>-629349.60000000009</v>
      </c>
      <c r="M674" s="751">
        <f t="shared" si="72"/>
        <v>426386.39999999991</v>
      </c>
      <c r="N674" s="752">
        <v>76.900000000000006</v>
      </c>
      <c r="O674" s="609">
        <f t="shared" si="73"/>
        <v>-629349.60000000009</v>
      </c>
      <c r="P674" s="703">
        <f t="shared" si="74"/>
        <v>426386.39999999991</v>
      </c>
      <c r="Q674" s="752">
        <v>76.900000000000006</v>
      </c>
      <c r="R674" s="609">
        <f t="shared" si="75"/>
        <v>-629349.60000000009</v>
      </c>
      <c r="S674" s="703">
        <f t="shared" si="76"/>
        <v>426386.39999999991</v>
      </c>
      <c r="T674" s="697" t="s">
        <v>54</v>
      </c>
    </row>
    <row r="675" spans="1:20" x14ac:dyDescent="0.25">
      <c r="A675" s="690"/>
      <c r="B675" s="697" t="s">
        <v>1717</v>
      </c>
      <c r="C675" s="547" t="s">
        <v>40</v>
      </c>
      <c r="D675" s="683">
        <v>44743</v>
      </c>
      <c r="E675" s="547">
        <v>744</v>
      </c>
      <c r="F675" s="547" t="s">
        <v>3</v>
      </c>
      <c r="G675" s="727" t="s">
        <v>44</v>
      </c>
      <c r="H675" s="638">
        <v>-10.3</v>
      </c>
      <c r="I675" s="638">
        <v>115</v>
      </c>
      <c r="J675" s="639">
        <f t="shared" si="70"/>
        <v>881268.00000000012</v>
      </c>
      <c r="K675" s="750">
        <v>66.319999999999993</v>
      </c>
      <c r="L675" s="608">
        <f t="shared" si="71"/>
        <v>-508223.424</v>
      </c>
      <c r="M675" s="751">
        <f t="shared" si="72"/>
        <v>373044.57600000012</v>
      </c>
      <c r="N675" s="752">
        <v>66.319999999999993</v>
      </c>
      <c r="O675" s="609">
        <f t="shared" si="73"/>
        <v>-508223.424</v>
      </c>
      <c r="P675" s="703">
        <f t="shared" si="74"/>
        <v>373044.57600000012</v>
      </c>
      <c r="Q675" s="752">
        <v>66.319999999999993</v>
      </c>
      <c r="R675" s="609">
        <f t="shared" si="75"/>
        <v>-508223.424</v>
      </c>
      <c r="S675" s="703">
        <f t="shared" si="76"/>
        <v>373044.57600000012</v>
      </c>
      <c r="T675" s="697" t="s">
        <v>54</v>
      </c>
    </row>
    <row r="676" spans="1:20" x14ac:dyDescent="0.25">
      <c r="A676" s="690"/>
      <c r="B676" s="697" t="s">
        <v>1719</v>
      </c>
      <c r="C676" s="547" t="s">
        <v>40</v>
      </c>
      <c r="D676" s="683">
        <v>44835</v>
      </c>
      <c r="E676" s="547">
        <v>744</v>
      </c>
      <c r="F676" s="547" t="s">
        <v>3</v>
      </c>
      <c r="G676" s="727" t="s">
        <v>44</v>
      </c>
      <c r="H676" s="638">
        <v>-1</v>
      </c>
      <c r="I676" s="638">
        <v>160</v>
      </c>
      <c r="J676" s="639">
        <f t="shared" si="70"/>
        <v>119040</v>
      </c>
      <c r="K676" s="750">
        <v>55.7</v>
      </c>
      <c r="L676" s="608">
        <f t="shared" si="71"/>
        <v>-41440.800000000003</v>
      </c>
      <c r="M676" s="751">
        <f t="shared" si="72"/>
        <v>77599.199999999997</v>
      </c>
      <c r="N676" s="752">
        <v>55.7</v>
      </c>
      <c r="O676" s="609">
        <f t="shared" si="73"/>
        <v>-41440.800000000003</v>
      </c>
      <c r="P676" s="703">
        <f t="shared" si="74"/>
        <v>77599.199999999997</v>
      </c>
      <c r="Q676" s="752">
        <v>55.7</v>
      </c>
      <c r="R676" s="609">
        <f t="shared" si="75"/>
        <v>-41440.800000000003</v>
      </c>
      <c r="S676" s="703">
        <f t="shared" si="76"/>
        <v>77599.199999999997</v>
      </c>
      <c r="T676" s="697" t="s">
        <v>54</v>
      </c>
    </row>
    <row r="677" spans="1:20" x14ac:dyDescent="0.25">
      <c r="A677" s="690"/>
      <c r="B677" s="697" t="s">
        <v>1724</v>
      </c>
      <c r="C677" s="547" t="s">
        <v>40</v>
      </c>
      <c r="D677" s="683">
        <v>44835</v>
      </c>
      <c r="E677" s="547">
        <v>744</v>
      </c>
      <c r="F677" s="547" t="s">
        <v>3</v>
      </c>
      <c r="G677" s="727" t="s">
        <v>44</v>
      </c>
      <c r="H677" s="638">
        <v>-13.6</v>
      </c>
      <c r="I677" s="638">
        <v>157</v>
      </c>
      <c r="J677" s="639">
        <f t="shared" si="70"/>
        <v>1588588.8</v>
      </c>
      <c r="K677" s="750">
        <v>55.7</v>
      </c>
      <c r="L677" s="608">
        <f t="shared" si="71"/>
        <v>-563594.88</v>
      </c>
      <c r="M677" s="751">
        <f t="shared" si="72"/>
        <v>1024993.92</v>
      </c>
      <c r="N677" s="752">
        <v>55.7</v>
      </c>
      <c r="O677" s="609">
        <f t="shared" si="73"/>
        <v>-563594.88</v>
      </c>
      <c r="P677" s="703">
        <f t="shared" si="74"/>
        <v>1024993.92</v>
      </c>
      <c r="Q677" s="752">
        <v>55.7</v>
      </c>
      <c r="R677" s="609">
        <f t="shared" si="75"/>
        <v>-563594.88</v>
      </c>
      <c r="S677" s="703">
        <f t="shared" si="76"/>
        <v>1024993.92</v>
      </c>
      <c r="T677" s="697" t="s">
        <v>54</v>
      </c>
    </row>
    <row r="678" spans="1:20" x14ac:dyDescent="0.25">
      <c r="A678" s="690"/>
      <c r="B678" s="697" t="s">
        <v>1726</v>
      </c>
      <c r="C678" s="547" t="s">
        <v>40</v>
      </c>
      <c r="D678" s="683">
        <v>44835</v>
      </c>
      <c r="E678" s="547">
        <v>744</v>
      </c>
      <c r="F678" s="547" t="s">
        <v>3</v>
      </c>
      <c r="G678" s="727" t="s">
        <v>44</v>
      </c>
      <c r="H678" s="638">
        <v>-3</v>
      </c>
      <c r="I678" s="638">
        <v>151</v>
      </c>
      <c r="J678" s="639">
        <f t="shared" si="70"/>
        <v>337032</v>
      </c>
      <c r="K678" s="750">
        <v>55.7</v>
      </c>
      <c r="L678" s="608">
        <f t="shared" si="71"/>
        <v>-124322.40000000001</v>
      </c>
      <c r="M678" s="751">
        <f t="shared" si="72"/>
        <v>212709.59999999998</v>
      </c>
      <c r="N678" s="752">
        <v>55.7</v>
      </c>
      <c r="O678" s="609">
        <f t="shared" si="73"/>
        <v>-124322.40000000001</v>
      </c>
      <c r="P678" s="703">
        <f t="shared" si="74"/>
        <v>212709.59999999998</v>
      </c>
      <c r="Q678" s="752">
        <v>55.7</v>
      </c>
      <c r="R678" s="609">
        <f t="shared" si="75"/>
        <v>-124322.40000000001</v>
      </c>
      <c r="S678" s="703">
        <f t="shared" si="76"/>
        <v>212709.59999999998</v>
      </c>
      <c r="T678" s="697" t="s">
        <v>54</v>
      </c>
    </row>
    <row r="679" spans="1:20" x14ac:dyDescent="0.25">
      <c r="A679" s="690"/>
      <c r="B679" s="697" t="s">
        <v>1754</v>
      </c>
      <c r="C679" s="547" t="s">
        <v>40</v>
      </c>
      <c r="D679" s="683">
        <v>44866</v>
      </c>
      <c r="E679" s="547">
        <v>720</v>
      </c>
      <c r="F679" s="547" t="s">
        <v>3</v>
      </c>
      <c r="G679" s="727" t="s">
        <v>44</v>
      </c>
      <c r="H679" s="638">
        <v>-0.5</v>
      </c>
      <c r="I679" s="638">
        <v>139</v>
      </c>
      <c r="J679" s="639">
        <f t="shared" si="70"/>
        <v>50040</v>
      </c>
      <c r="K679" s="750">
        <v>55.7</v>
      </c>
      <c r="L679" s="608">
        <f t="shared" si="71"/>
        <v>-20052</v>
      </c>
      <c r="M679" s="751">
        <f t="shared" si="72"/>
        <v>29988</v>
      </c>
      <c r="N679" s="752">
        <v>55.7</v>
      </c>
      <c r="O679" s="609">
        <f t="shared" si="73"/>
        <v>-20052</v>
      </c>
      <c r="P679" s="703">
        <f t="shared" si="74"/>
        <v>29988</v>
      </c>
      <c r="Q679" s="752">
        <v>55.7</v>
      </c>
      <c r="R679" s="609">
        <f t="shared" si="75"/>
        <v>-20052</v>
      </c>
      <c r="S679" s="703">
        <f t="shared" si="76"/>
        <v>29988</v>
      </c>
      <c r="T679" s="697" t="s">
        <v>54</v>
      </c>
    </row>
    <row r="680" spans="1:20" x14ac:dyDescent="0.25">
      <c r="A680" s="690"/>
      <c r="B680" s="697" t="s">
        <v>1780</v>
      </c>
      <c r="C680" s="547" t="s">
        <v>40</v>
      </c>
      <c r="D680" s="683">
        <v>44682</v>
      </c>
      <c r="E680" s="547">
        <v>744</v>
      </c>
      <c r="F680" s="547" t="s">
        <v>6</v>
      </c>
      <c r="G680" s="727" t="s">
        <v>44</v>
      </c>
      <c r="H680" s="638">
        <v>3</v>
      </c>
      <c r="I680" s="638">
        <v>245.7</v>
      </c>
      <c r="J680" s="639">
        <f t="shared" si="70"/>
        <v>-548402.4</v>
      </c>
      <c r="K680" s="750">
        <v>55.7</v>
      </c>
      <c r="L680" s="608">
        <f t="shared" si="71"/>
        <v>124322.40000000001</v>
      </c>
      <c r="M680" s="751">
        <f t="shared" si="72"/>
        <v>-424080</v>
      </c>
      <c r="N680" s="752">
        <v>55.7</v>
      </c>
      <c r="O680" s="609">
        <f t="shared" si="73"/>
        <v>124322.40000000001</v>
      </c>
      <c r="P680" s="703">
        <f t="shared" si="74"/>
        <v>-424080</v>
      </c>
      <c r="Q680" s="752">
        <v>55.7</v>
      </c>
      <c r="R680" s="609">
        <f t="shared" si="75"/>
        <v>124322.40000000001</v>
      </c>
      <c r="S680" s="703">
        <f t="shared" si="76"/>
        <v>-424080</v>
      </c>
      <c r="T680" s="697" t="s">
        <v>92</v>
      </c>
    </row>
    <row r="681" spans="1:20" x14ac:dyDescent="0.25">
      <c r="A681" s="690"/>
      <c r="B681" s="696" t="s">
        <v>1787</v>
      </c>
      <c r="C681" s="546" t="s">
        <v>40</v>
      </c>
      <c r="D681" s="682">
        <v>44927</v>
      </c>
      <c r="E681" s="546">
        <v>744</v>
      </c>
      <c r="F681" s="546" t="s">
        <v>3</v>
      </c>
      <c r="G681" s="726" t="s">
        <v>44</v>
      </c>
      <c r="H681" s="549">
        <v>5</v>
      </c>
      <c r="I681" s="549">
        <v>186.50592573143422</v>
      </c>
      <c r="J681" s="605">
        <f t="shared" si="70"/>
        <v>-693802.04372093524</v>
      </c>
      <c r="K681" s="746">
        <v>68.72</v>
      </c>
      <c r="L681" s="606">
        <f t="shared" si="71"/>
        <v>255638.39999999999</v>
      </c>
      <c r="M681" s="747">
        <f t="shared" si="72"/>
        <v>-438163.64372093522</v>
      </c>
      <c r="N681" s="748">
        <v>55.7</v>
      </c>
      <c r="O681" s="607">
        <f t="shared" si="73"/>
        <v>207204</v>
      </c>
      <c r="P681" s="702">
        <f t="shared" si="74"/>
        <v>-486598.04372093524</v>
      </c>
      <c r="Q681" s="748">
        <v>96.206580759134184</v>
      </c>
      <c r="R681" s="607">
        <f t="shared" si="75"/>
        <v>357888.48042397917</v>
      </c>
      <c r="S681" s="702">
        <f t="shared" si="76"/>
        <v>-335913.56329695607</v>
      </c>
      <c r="T681" s="696" t="s">
        <v>54</v>
      </c>
    </row>
    <row r="682" spans="1:20" x14ac:dyDescent="0.25">
      <c r="A682" s="690"/>
      <c r="B682" s="691" t="s">
        <v>1787</v>
      </c>
      <c r="C682" s="676" t="s">
        <v>40</v>
      </c>
      <c r="D682" s="680">
        <v>44958</v>
      </c>
      <c r="E682" s="676">
        <v>672</v>
      </c>
      <c r="F682" s="676" t="s">
        <v>3</v>
      </c>
      <c r="G682" s="690" t="s">
        <v>44</v>
      </c>
      <c r="H682" s="115">
        <v>5</v>
      </c>
      <c r="I682" s="115">
        <v>186.50592573143422</v>
      </c>
      <c r="J682" s="601">
        <f t="shared" si="70"/>
        <v>-626659.910457619</v>
      </c>
      <c r="K682" s="738">
        <v>69.25</v>
      </c>
      <c r="L682" s="677">
        <f t="shared" si="71"/>
        <v>232680</v>
      </c>
      <c r="M682" s="739">
        <f t="shared" si="72"/>
        <v>-393979.910457619</v>
      </c>
      <c r="N682" s="740">
        <v>55.7</v>
      </c>
      <c r="O682" s="678">
        <f t="shared" si="73"/>
        <v>187152</v>
      </c>
      <c r="P682" s="700">
        <f t="shared" si="74"/>
        <v>-439507.910457619</v>
      </c>
      <c r="Q682" s="740">
        <v>92.430648861364247</v>
      </c>
      <c r="R682" s="678">
        <f t="shared" si="75"/>
        <v>310566.98017418385</v>
      </c>
      <c r="S682" s="700">
        <f t="shared" si="76"/>
        <v>-316092.93028343515</v>
      </c>
      <c r="T682" s="691" t="s">
        <v>54</v>
      </c>
    </row>
    <row r="683" spans="1:20" x14ac:dyDescent="0.25">
      <c r="A683" s="690"/>
      <c r="B683" s="695" t="s">
        <v>1787</v>
      </c>
      <c r="C683" s="545" t="s">
        <v>40</v>
      </c>
      <c r="D683" s="681">
        <v>44986</v>
      </c>
      <c r="E683" s="545">
        <v>744</v>
      </c>
      <c r="F683" s="545" t="s">
        <v>3</v>
      </c>
      <c r="G683" s="725" t="s">
        <v>44</v>
      </c>
      <c r="H683" s="548">
        <v>5</v>
      </c>
      <c r="I683" s="548">
        <v>186.50592573143422</v>
      </c>
      <c r="J683" s="602">
        <f t="shared" si="70"/>
        <v>-693802.04372093524</v>
      </c>
      <c r="K683" s="742">
        <v>69.3</v>
      </c>
      <c r="L683" s="603">
        <f t="shared" si="71"/>
        <v>257796</v>
      </c>
      <c r="M683" s="743">
        <f t="shared" si="72"/>
        <v>-436006.04372093524</v>
      </c>
      <c r="N683" s="744">
        <v>55.7</v>
      </c>
      <c r="O683" s="604">
        <f t="shared" si="73"/>
        <v>207204</v>
      </c>
      <c r="P683" s="701">
        <f t="shared" si="74"/>
        <v>-486598.04372093524</v>
      </c>
      <c r="Q683" s="744">
        <v>89.053218420260009</v>
      </c>
      <c r="R683" s="604">
        <f t="shared" si="75"/>
        <v>331277.97252336721</v>
      </c>
      <c r="S683" s="701">
        <f t="shared" si="76"/>
        <v>-362524.07119756803</v>
      </c>
      <c r="T683" s="695" t="s">
        <v>54</v>
      </c>
    </row>
    <row r="684" spans="1:20" x14ac:dyDescent="0.25">
      <c r="A684" s="690"/>
      <c r="B684" s="696" t="s">
        <v>1790</v>
      </c>
      <c r="C684" s="546" t="s">
        <v>40</v>
      </c>
      <c r="D684" s="682">
        <v>44927</v>
      </c>
      <c r="E684" s="546">
        <v>744</v>
      </c>
      <c r="F684" s="546" t="s">
        <v>3</v>
      </c>
      <c r="G684" s="726" t="s">
        <v>44</v>
      </c>
      <c r="H684" s="549">
        <v>5</v>
      </c>
      <c r="I684" s="549">
        <v>181.46522503599004</v>
      </c>
      <c r="J684" s="605">
        <f t="shared" si="70"/>
        <v>-675050.63713388296</v>
      </c>
      <c r="K684" s="746">
        <v>68.72</v>
      </c>
      <c r="L684" s="606">
        <f t="shared" si="71"/>
        <v>255638.39999999999</v>
      </c>
      <c r="M684" s="747">
        <f t="shared" si="72"/>
        <v>-419412.23713388294</v>
      </c>
      <c r="N684" s="748">
        <v>55.7</v>
      </c>
      <c r="O684" s="607">
        <f t="shared" si="73"/>
        <v>207204</v>
      </c>
      <c r="P684" s="702">
        <f t="shared" si="74"/>
        <v>-467846.63713388296</v>
      </c>
      <c r="Q684" s="748">
        <v>96.206580759134184</v>
      </c>
      <c r="R684" s="607">
        <f t="shared" si="75"/>
        <v>357888.48042397917</v>
      </c>
      <c r="S684" s="702">
        <f t="shared" si="76"/>
        <v>-317162.15670990379</v>
      </c>
      <c r="T684" s="696" t="s">
        <v>54</v>
      </c>
    </row>
    <row r="685" spans="1:20" x14ac:dyDescent="0.25">
      <c r="A685" s="690"/>
      <c r="B685" s="691" t="s">
        <v>1790</v>
      </c>
      <c r="C685" s="676" t="s">
        <v>40</v>
      </c>
      <c r="D685" s="680">
        <v>44958</v>
      </c>
      <c r="E685" s="676">
        <v>672</v>
      </c>
      <c r="F685" s="676" t="s">
        <v>3</v>
      </c>
      <c r="G685" s="690" t="s">
        <v>44</v>
      </c>
      <c r="H685" s="115">
        <v>5</v>
      </c>
      <c r="I685" s="115">
        <v>181.46522503599004</v>
      </c>
      <c r="J685" s="601">
        <f t="shared" si="70"/>
        <v>-609723.15612092661</v>
      </c>
      <c r="K685" s="738">
        <v>69.25</v>
      </c>
      <c r="L685" s="677">
        <f t="shared" si="71"/>
        <v>232680</v>
      </c>
      <c r="M685" s="739">
        <f t="shared" si="72"/>
        <v>-377043.15612092661</v>
      </c>
      <c r="N685" s="740">
        <v>55.7</v>
      </c>
      <c r="O685" s="678">
        <f t="shared" si="73"/>
        <v>187152</v>
      </c>
      <c r="P685" s="700">
        <f t="shared" si="74"/>
        <v>-422571.15612092661</v>
      </c>
      <c r="Q685" s="740">
        <v>92.430648861364247</v>
      </c>
      <c r="R685" s="678">
        <f t="shared" si="75"/>
        <v>310566.98017418385</v>
      </c>
      <c r="S685" s="700">
        <f t="shared" si="76"/>
        <v>-299156.17594674276</v>
      </c>
      <c r="T685" s="691" t="s">
        <v>54</v>
      </c>
    </row>
    <row r="686" spans="1:20" x14ac:dyDescent="0.25">
      <c r="A686" s="690"/>
      <c r="B686" s="695" t="s">
        <v>1790</v>
      </c>
      <c r="C686" s="545" t="s">
        <v>40</v>
      </c>
      <c r="D686" s="681">
        <v>44986</v>
      </c>
      <c r="E686" s="545">
        <v>744</v>
      </c>
      <c r="F686" s="545" t="s">
        <v>3</v>
      </c>
      <c r="G686" s="725" t="s">
        <v>44</v>
      </c>
      <c r="H686" s="548">
        <v>5</v>
      </c>
      <c r="I686" s="548">
        <v>181.46522503599004</v>
      </c>
      <c r="J686" s="602">
        <f t="shared" si="70"/>
        <v>-675050.63713388296</v>
      </c>
      <c r="K686" s="742">
        <v>69.3</v>
      </c>
      <c r="L686" s="603">
        <f t="shared" si="71"/>
        <v>257796</v>
      </c>
      <c r="M686" s="743">
        <f t="shared" si="72"/>
        <v>-417254.63713388296</v>
      </c>
      <c r="N686" s="744">
        <v>55.7</v>
      </c>
      <c r="O686" s="604">
        <f t="shared" si="73"/>
        <v>207204</v>
      </c>
      <c r="P686" s="701">
        <f t="shared" si="74"/>
        <v>-467846.63713388296</v>
      </c>
      <c r="Q686" s="744">
        <v>89.053218420260009</v>
      </c>
      <c r="R686" s="604">
        <f t="shared" si="75"/>
        <v>331277.97252336721</v>
      </c>
      <c r="S686" s="701">
        <f t="shared" si="76"/>
        <v>-343772.66461051576</v>
      </c>
      <c r="T686" s="695" t="s">
        <v>54</v>
      </c>
    </row>
    <row r="687" spans="1:20" x14ac:dyDescent="0.25">
      <c r="A687" s="690"/>
      <c r="B687" s="696" t="s">
        <v>1796</v>
      </c>
      <c r="C687" s="546" t="s">
        <v>40</v>
      </c>
      <c r="D687" s="682">
        <v>44927</v>
      </c>
      <c r="E687" s="546">
        <v>744</v>
      </c>
      <c r="F687" s="546" t="s">
        <v>3</v>
      </c>
      <c r="G687" s="726" t="s">
        <v>44</v>
      </c>
      <c r="H687" s="549">
        <v>5</v>
      </c>
      <c r="I687" s="549">
        <v>190.53848628778954</v>
      </c>
      <c r="J687" s="605">
        <f t="shared" si="70"/>
        <v>-708803.16899057711</v>
      </c>
      <c r="K687" s="746">
        <v>68.72</v>
      </c>
      <c r="L687" s="606">
        <f t="shared" si="71"/>
        <v>255638.39999999999</v>
      </c>
      <c r="M687" s="747">
        <f t="shared" si="72"/>
        <v>-453164.76899057708</v>
      </c>
      <c r="N687" s="748">
        <v>55.7</v>
      </c>
      <c r="O687" s="607">
        <f t="shared" si="73"/>
        <v>207204</v>
      </c>
      <c r="P687" s="702">
        <f t="shared" si="74"/>
        <v>-501599.16899057711</v>
      </c>
      <c r="Q687" s="748">
        <v>96.206580759134184</v>
      </c>
      <c r="R687" s="607">
        <f t="shared" si="75"/>
        <v>357888.48042397917</v>
      </c>
      <c r="S687" s="702">
        <f t="shared" si="76"/>
        <v>-350914.68856659794</v>
      </c>
      <c r="T687" s="696" t="s">
        <v>54</v>
      </c>
    </row>
    <row r="688" spans="1:20" x14ac:dyDescent="0.25">
      <c r="A688" s="690"/>
      <c r="B688" s="691" t="s">
        <v>1796</v>
      </c>
      <c r="C688" s="676" t="s">
        <v>40</v>
      </c>
      <c r="D688" s="680">
        <v>44958</v>
      </c>
      <c r="E688" s="676">
        <v>672</v>
      </c>
      <c r="F688" s="676" t="s">
        <v>3</v>
      </c>
      <c r="G688" s="690" t="s">
        <v>44</v>
      </c>
      <c r="H688" s="115">
        <v>5</v>
      </c>
      <c r="I688" s="115">
        <v>190.53848628778954</v>
      </c>
      <c r="J688" s="601">
        <f t="shared" si="70"/>
        <v>-640209.3139269728</v>
      </c>
      <c r="K688" s="738">
        <v>69.25</v>
      </c>
      <c r="L688" s="677">
        <f t="shared" si="71"/>
        <v>232680</v>
      </c>
      <c r="M688" s="739">
        <f t="shared" si="72"/>
        <v>-407529.3139269728</v>
      </c>
      <c r="N688" s="740">
        <v>55.7</v>
      </c>
      <c r="O688" s="678">
        <f t="shared" si="73"/>
        <v>187152</v>
      </c>
      <c r="P688" s="700">
        <f t="shared" si="74"/>
        <v>-453057.3139269728</v>
      </c>
      <c r="Q688" s="740">
        <v>92.430648861364247</v>
      </c>
      <c r="R688" s="678">
        <f t="shared" si="75"/>
        <v>310566.98017418385</v>
      </c>
      <c r="S688" s="700">
        <f t="shared" si="76"/>
        <v>-329642.33375278895</v>
      </c>
      <c r="T688" s="691" t="s">
        <v>54</v>
      </c>
    </row>
    <row r="689" spans="1:20" x14ac:dyDescent="0.25">
      <c r="A689" s="690"/>
      <c r="B689" s="695" t="s">
        <v>1796</v>
      </c>
      <c r="C689" s="545" t="s">
        <v>40</v>
      </c>
      <c r="D689" s="681">
        <v>44986</v>
      </c>
      <c r="E689" s="545">
        <v>744</v>
      </c>
      <c r="F689" s="545" t="s">
        <v>3</v>
      </c>
      <c r="G689" s="725" t="s">
        <v>44</v>
      </c>
      <c r="H689" s="548">
        <v>5</v>
      </c>
      <c r="I689" s="548">
        <v>190.53848628778954</v>
      </c>
      <c r="J689" s="602">
        <f t="shared" si="70"/>
        <v>-708803.16899057711</v>
      </c>
      <c r="K689" s="742">
        <v>69.3</v>
      </c>
      <c r="L689" s="603">
        <f t="shared" si="71"/>
        <v>257796</v>
      </c>
      <c r="M689" s="743">
        <f t="shared" si="72"/>
        <v>-451007.16899057711</v>
      </c>
      <c r="N689" s="744">
        <v>55.7</v>
      </c>
      <c r="O689" s="604">
        <f t="shared" si="73"/>
        <v>207204</v>
      </c>
      <c r="P689" s="701">
        <f t="shared" si="74"/>
        <v>-501599.16899057711</v>
      </c>
      <c r="Q689" s="744">
        <v>89.053218420260009</v>
      </c>
      <c r="R689" s="604">
        <f t="shared" si="75"/>
        <v>331277.97252336721</v>
      </c>
      <c r="S689" s="701">
        <f t="shared" si="76"/>
        <v>-377525.1964672099</v>
      </c>
      <c r="T689" s="695" t="s">
        <v>54</v>
      </c>
    </row>
    <row r="690" spans="1:20" x14ac:dyDescent="0.25">
      <c r="A690" s="690"/>
      <c r="B690" s="696" t="s">
        <v>1804</v>
      </c>
      <c r="C690" s="546" t="s">
        <v>40</v>
      </c>
      <c r="D690" s="682">
        <v>44927</v>
      </c>
      <c r="E690" s="546">
        <v>744</v>
      </c>
      <c r="F690" s="546" t="s">
        <v>3</v>
      </c>
      <c r="G690" s="726" t="s">
        <v>44</v>
      </c>
      <c r="H690" s="549">
        <v>5</v>
      </c>
      <c r="I690" s="549">
        <v>193.56290670505604</v>
      </c>
      <c r="J690" s="605">
        <f t="shared" si="70"/>
        <v>-720054.01294280845</v>
      </c>
      <c r="K690" s="746">
        <v>68.72</v>
      </c>
      <c r="L690" s="606">
        <f t="shared" si="71"/>
        <v>255638.39999999999</v>
      </c>
      <c r="M690" s="747">
        <f t="shared" si="72"/>
        <v>-464415.61294280842</v>
      </c>
      <c r="N690" s="748">
        <v>55.7</v>
      </c>
      <c r="O690" s="607">
        <f t="shared" si="73"/>
        <v>207204</v>
      </c>
      <c r="P690" s="702">
        <f t="shared" si="74"/>
        <v>-512850.01294280845</v>
      </c>
      <c r="Q690" s="748">
        <v>96.206580759134184</v>
      </c>
      <c r="R690" s="607">
        <f t="shared" si="75"/>
        <v>357888.48042397917</v>
      </c>
      <c r="S690" s="702">
        <f t="shared" si="76"/>
        <v>-362165.53251882928</v>
      </c>
      <c r="T690" s="696" t="s">
        <v>54</v>
      </c>
    </row>
    <row r="691" spans="1:20" x14ac:dyDescent="0.25">
      <c r="A691" s="690"/>
      <c r="B691" s="691" t="s">
        <v>1804</v>
      </c>
      <c r="C691" s="676" t="s">
        <v>40</v>
      </c>
      <c r="D691" s="680">
        <v>44958</v>
      </c>
      <c r="E691" s="676">
        <v>672</v>
      </c>
      <c r="F691" s="676" t="s">
        <v>3</v>
      </c>
      <c r="G691" s="690" t="s">
        <v>44</v>
      </c>
      <c r="H691" s="115">
        <v>5</v>
      </c>
      <c r="I691" s="115">
        <v>193.56290670505604</v>
      </c>
      <c r="J691" s="601">
        <f t="shared" si="70"/>
        <v>-650371.36652898823</v>
      </c>
      <c r="K691" s="738">
        <v>69.25</v>
      </c>
      <c r="L691" s="677">
        <f t="shared" si="71"/>
        <v>232680</v>
      </c>
      <c r="M691" s="739">
        <f t="shared" si="72"/>
        <v>-417691.36652898823</v>
      </c>
      <c r="N691" s="740">
        <v>55.7</v>
      </c>
      <c r="O691" s="678">
        <f t="shared" si="73"/>
        <v>187152</v>
      </c>
      <c r="P691" s="700">
        <f t="shared" si="74"/>
        <v>-463219.36652898823</v>
      </c>
      <c r="Q691" s="740">
        <v>92.430648861364247</v>
      </c>
      <c r="R691" s="678">
        <f t="shared" si="75"/>
        <v>310566.98017418385</v>
      </c>
      <c r="S691" s="700">
        <f t="shared" si="76"/>
        <v>-339804.38635480439</v>
      </c>
      <c r="T691" s="691" t="s">
        <v>54</v>
      </c>
    </row>
    <row r="692" spans="1:20" x14ac:dyDescent="0.25">
      <c r="A692" s="690"/>
      <c r="B692" s="695" t="s">
        <v>1804</v>
      </c>
      <c r="C692" s="545" t="s">
        <v>40</v>
      </c>
      <c r="D692" s="681">
        <v>44986</v>
      </c>
      <c r="E692" s="545">
        <v>744</v>
      </c>
      <c r="F692" s="545" t="s">
        <v>3</v>
      </c>
      <c r="G692" s="725" t="s">
        <v>44</v>
      </c>
      <c r="H692" s="548">
        <v>5</v>
      </c>
      <c r="I692" s="548">
        <v>193.56290670505604</v>
      </c>
      <c r="J692" s="602">
        <f t="shared" si="70"/>
        <v>-720054.01294280845</v>
      </c>
      <c r="K692" s="742">
        <v>69.3</v>
      </c>
      <c r="L692" s="603">
        <f t="shared" si="71"/>
        <v>257796</v>
      </c>
      <c r="M692" s="743">
        <f t="shared" si="72"/>
        <v>-462258.01294280845</v>
      </c>
      <c r="N692" s="744">
        <v>55.7</v>
      </c>
      <c r="O692" s="604">
        <f t="shared" si="73"/>
        <v>207204</v>
      </c>
      <c r="P692" s="701">
        <f t="shared" si="74"/>
        <v>-512850.01294280845</v>
      </c>
      <c r="Q692" s="744">
        <v>89.053218420260009</v>
      </c>
      <c r="R692" s="604">
        <f t="shared" si="75"/>
        <v>331277.97252336721</v>
      </c>
      <c r="S692" s="701">
        <f t="shared" si="76"/>
        <v>-388776.04041944124</v>
      </c>
      <c r="T692" s="695" t="s">
        <v>54</v>
      </c>
    </row>
    <row r="693" spans="1:20" x14ac:dyDescent="0.25">
      <c r="A693" s="690"/>
      <c r="B693" s="696" t="s">
        <v>1806</v>
      </c>
      <c r="C693" s="546" t="s">
        <v>40</v>
      </c>
      <c r="D693" s="682">
        <v>44927</v>
      </c>
      <c r="E693" s="546">
        <v>744</v>
      </c>
      <c r="F693" s="546" t="s">
        <v>3</v>
      </c>
      <c r="G693" s="726" t="s">
        <v>44</v>
      </c>
      <c r="H693" s="549">
        <v>10</v>
      </c>
      <c r="I693" s="549">
        <v>191.54662642687839</v>
      </c>
      <c r="J693" s="605">
        <f t="shared" si="70"/>
        <v>-1425106.9006159753</v>
      </c>
      <c r="K693" s="746">
        <v>68.72</v>
      </c>
      <c r="L693" s="606">
        <f t="shared" si="71"/>
        <v>511276.79999999999</v>
      </c>
      <c r="M693" s="747">
        <f t="shared" si="72"/>
        <v>-913830.10061597521</v>
      </c>
      <c r="N693" s="748">
        <v>55.7</v>
      </c>
      <c r="O693" s="607">
        <f t="shared" si="73"/>
        <v>414408</v>
      </c>
      <c r="P693" s="702">
        <f t="shared" si="74"/>
        <v>-1010698.9006159753</v>
      </c>
      <c r="Q693" s="748">
        <v>96.206580759134184</v>
      </c>
      <c r="R693" s="607">
        <f t="shared" si="75"/>
        <v>715776.96084795834</v>
      </c>
      <c r="S693" s="702">
        <f t="shared" si="76"/>
        <v>-709329.93976801692</v>
      </c>
      <c r="T693" s="696" t="s">
        <v>54</v>
      </c>
    </row>
    <row r="694" spans="1:20" x14ac:dyDescent="0.25">
      <c r="A694" s="690"/>
      <c r="B694" s="691" t="s">
        <v>1806</v>
      </c>
      <c r="C694" s="676" t="s">
        <v>40</v>
      </c>
      <c r="D694" s="680">
        <v>44958</v>
      </c>
      <c r="E694" s="676">
        <v>672</v>
      </c>
      <c r="F694" s="676" t="s">
        <v>3</v>
      </c>
      <c r="G694" s="690" t="s">
        <v>44</v>
      </c>
      <c r="H694" s="115">
        <v>10</v>
      </c>
      <c r="I694" s="115">
        <v>191.54662642687839</v>
      </c>
      <c r="J694" s="601">
        <f t="shared" si="70"/>
        <v>-1287193.3295886228</v>
      </c>
      <c r="K694" s="738">
        <v>69.25</v>
      </c>
      <c r="L694" s="677">
        <f t="shared" si="71"/>
        <v>465360</v>
      </c>
      <c r="M694" s="739">
        <f t="shared" si="72"/>
        <v>-821833.32958862279</v>
      </c>
      <c r="N694" s="740">
        <v>55.7</v>
      </c>
      <c r="O694" s="678">
        <f t="shared" si="73"/>
        <v>374304</v>
      </c>
      <c r="P694" s="700">
        <f t="shared" si="74"/>
        <v>-912889.32958862279</v>
      </c>
      <c r="Q694" s="740">
        <v>92.430648861364247</v>
      </c>
      <c r="R694" s="678">
        <f t="shared" si="75"/>
        <v>621133.96034836769</v>
      </c>
      <c r="S694" s="700">
        <f t="shared" si="76"/>
        <v>-666059.3692402551</v>
      </c>
      <c r="T694" s="691" t="s">
        <v>54</v>
      </c>
    </row>
    <row r="695" spans="1:20" x14ac:dyDescent="0.25">
      <c r="A695" s="690"/>
      <c r="B695" s="695" t="s">
        <v>1806</v>
      </c>
      <c r="C695" s="545" t="s">
        <v>40</v>
      </c>
      <c r="D695" s="681">
        <v>44986</v>
      </c>
      <c r="E695" s="545">
        <v>744</v>
      </c>
      <c r="F695" s="545" t="s">
        <v>3</v>
      </c>
      <c r="G695" s="725" t="s">
        <v>44</v>
      </c>
      <c r="H695" s="548">
        <v>10</v>
      </c>
      <c r="I695" s="548">
        <v>191.54662642687839</v>
      </c>
      <c r="J695" s="602">
        <f t="shared" si="70"/>
        <v>-1425106.9006159753</v>
      </c>
      <c r="K695" s="742">
        <v>69.3</v>
      </c>
      <c r="L695" s="603">
        <f t="shared" si="71"/>
        <v>515592</v>
      </c>
      <c r="M695" s="743">
        <f t="shared" si="72"/>
        <v>-909514.90061597526</v>
      </c>
      <c r="N695" s="744">
        <v>55.7</v>
      </c>
      <c r="O695" s="604">
        <f t="shared" si="73"/>
        <v>414408</v>
      </c>
      <c r="P695" s="701">
        <f t="shared" si="74"/>
        <v>-1010698.9006159753</v>
      </c>
      <c r="Q695" s="744">
        <v>89.053218420260009</v>
      </c>
      <c r="R695" s="604">
        <f t="shared" si="75"/>
        <v>662555.94504673441</v>
      </c>
      <c r="S695" s="701">
        <f t="shared" si="76"/>
        <v>-762550.95556924085</v>
      </c>
      <c r="T695" s="695" t="s">
        <v>54</v>
      </c>
    </row>
    <row r="696" spans="1:20" x14ac:dyDescent="0.25">
      <c r="A696" s="690"/>
      <c r="B696" s="696" t="s">
        <v>1808</v>
      </c>
      <c r="C696" s="546" t="s">
        <v>40</v>
      </c>
      <c r="D696" s="682">
        <v>44927</v>
      </c>
      <c r="E696" s="546">
        <v>744</v>
      </c>
      <c r="F696" s="546" t="s">
        <v>3</v>
      </c>
      <c r="G696" s="726" t="s">
        <v>44</v>
      </c>
      <c r="H696" s="549">
        <v>10</v>
      </c>
      <c r="I696" s="549">
        <v>191.54662642687839</v>
      </c>
      <c r="J696" s="605">
        <f t="shared" si="70"/>
        <v>-1425106.9006159753</v>
      </c>
      <c r="K696" s="746">
        <v>68.72</v>
      </c>
      <c r="L696" s="606">
        <f t="shared" si="71"/>
        <v>511276.79999999999</v>
      </c>
      <c r="M696" s="747">
        <f t="shared" si="72"/>
        <v>-913830.10061597521</v>
      </c>
      <c r="N696" s="748">
        <v>55.7</v>
      </c>
      <c r="O696" s="607">
        <f t="shared" si="73"/>
        <v>414408</v>
      </c>
      <c r="P696" s="702">
        <f t="shared" si="74"/>
        <v>-1010698.9006159753</v>
      </c>
      <c r="Q696" s="748">
        <v>96.206580759134184</v>
      </c>
      <c r="R696" s="607">
        <f t="shared" si="75"/>
        <v>715776.96084795834</v>
      </c>
      <c r="S696" s="702">
        <f t="shared" si="76"/>
        <v>-709329.93976801692</v>
      </c>
      <c r="T696" s="696" t="s">
        <v>54</v>
      </c>
    </row>
    <row r="697" spans="1:20" x14ac:dyDescent="0.25">
      <c r="A697" s="690"/>
      <c r="B697" s="691" t="s">
        <v>1808</v>
      </c>
      <c r="C697" s="676" t="s">
        <v>40</v>
      </c>
      <c r="D697" s="680">
        <v>44958</v>
      </c>
      <c r="E697" s="676">
        <v>672</v>
      </c>
      <c r="F697" s="676" t="s">
        <v>3</v>
      </c>
      <c r="G697" s="690" t="s">
        <v>44</v>
      </c>
      <c r="H697" s="115">
        <v>10</v>
      </c>
      <c r="I697" s="115">
        <v>191.54662642687839</v>
      </c>
      <c r="J697" s="601">
        <f t="shared" si="70"/>
        <v>-1287193.3295886228</v>
      </c>
      <c r="K697" s="738">
        <v>69.25</v>
      </c>
      <c r="L697" s="677">
        <f t="shared" si="71"/>
        <v>465360</v>
      </c>
      <c r="M697" s="739">
        <f t="shared" si="72"/>
        <v>-821833.32958862279</v>
      </c>
      <c r="N697" s="740">
        <v>55.7</v>
      </c>
      <c r="O697" s="678">
        <f t="shared" si="73"/>
        <v>374304</v>
      </c>
      <c r="P697" s="700">
        <f t="shared" si="74"/>
        <v>-912889.32958862279</v>
      </c>
      <c r="Q697" s="740">
        <v>92.430648861364247</v>
      </c>
      <c r="R697" s="678">
        <f t="shared" si="75"/>
        <v>621133.96034836769</v>
      </c>
      <c r="S697" s="700">
        <f t="shared" si="76"/>
        <v>-666059.3692402551</v>
      </c>
      <c r="T697" s="691" t="s">
        <v>54</v>
      </c>
    </row>
    <row r="698" spans="1:20" x14ac:dyDescent="0.25">
      <c r="A698" s="690"/>
      <c r="B698" s="695" t="s">
        <v>1808</v>
      </c>
      <c r="C698" s="545" t="s">
        <v>40</v>
      </c>
      <c r="D698" s="681">
        <v>44986</v>
      </c>
      <c r="E698" s="545">
        <v>744</v>
      </c>
      <c r="F698" s="545" t="s">
        <v>3</v>
      </c>
      <c r="G698" s="725" t="s">
        <v>44</v>
      </c>
      <c r="H698" s="548">
        <v>10</v>
      </c>
      <c r="I698" s="548">
        <v>191.54662642687839</v>
      </c>
      <c r="J698" s="602">
        <f t="shared" si="70"/>
        <v>-1425106.9006159753</v>
      </c>
      <c r="K698" s="742">
        <v>69.3</v>
      </c>
      <c r="L698" s="603">
        <f t="shared" si="71"/>
        <v>515592</v>
      </c>
      <c r="M698" s="743">
        <f t="shared" si="72"/>
        <v>-909514.90061597526</v>
      </c>
      <c r="N698" s="744">
        <v>55.7</v>
      </c>
      <c r="O698" s="604">
        <f t="shared" si="73"/>
        <v>414408</v>
      </c>
      <c r="P698" s="701">
        <f t="shared" si="74"/>
        <v>-1010698.9006159753</v>
      </c>
      <c r="Q698" s="744">
        <v>89.053218420260009</v>
      </c>
      <c r="R698" s="604">
        <f t="shared" si="75"/>
        <v>662555.94504673441</v>
      </c>
      <c r="S698" s="701">
        <f t="shared" si="76"/>
        <v>-762550.95556924085</v>
      </c>
      <c r="T698" s="695" t="s">
        <v>54</v>
      </c>
    </row>
    <row r="699" spans="1:20" x14ac:dyDescent="0.25">
      <c r="A699" s="690"/>
      <c r="B699" s="697" t="s">
        <v>1891</v>
      </c>
      <c r="C699" s="547" t="s">
        <v>40</v>
      </c>
      <c r="D699" s="683">
        <v>44713</v>
      </c>
      <c r="E699" s="547">
        <v>720</v>
      </c>
      <c r="F699" s="547" t="s">
        <v>5</v>
      </c>
      <c r="G699" s="727" t="s">
        <v>44</v>
      </c>
      <c r="H699" s="638">
        <v>-3</v>
      </c>
      <c r="I699" s="638">
        <v>85.710000000000008</v>
      </c>
      <c r="J699" s="639">
        <f t="shared" si="70"/>
        <v>185133.6</v>
      </c>
      <c r="K699" s="750">
        <v>55.71</v>
      </c>
      <c r="L699" s="608">
        <f t="shared" si="71"/>
        <v>-120333.6</v>
      </c>
      <c r="M699" s="751">
        <f t="shared" si="72"/>
        <v>64800</v>
      </c>
      <c r="N699" s="752">
        <v>55.71</v>
      </c>
      <c r="O699" s="609">
        <f t="shared" si="73"/>
        <v>-120333.6</v>
      </c>
      <c r="P699" s="703">
        <f t="shared" si="74"/>
        <v>64800</v>
      </c>
      <c r="Q699" s="752">
        <v>55.71</v>
      </c>
      <c r="R699" s="609">
        <f t="shared" si="75"/>
        <v>-120333.6</v>
      </c>
      <c r="S699" s="703">
        <f t="shared" si="76"/>
        <v>64800</v>
      </c>
      <c r="T699" s="697" t="s">
        <v>92</v>
      </c>
    </row>
    <row r="700" spans="1:20" x14ac:dyDescent="0.25">
      <c r="A700" s="690"/>
      <c r="B700" s="697" t="s">
        <v>1893</v>
      </c>
      <c r="C700" s="547" t="s">
        <v>40</v>
      </c>
      <c r="D700" s="683">
        <v>44713</v>
      </c>
      <c r="E700" s="547">
        <v>720</v>
      </c>
      <c r="F700" s="547" t="s">
        <v>5</v>
      </c>
      <c r="G700" s="727" t="s">
        <v>13</v>
      </c>
      <c r="H700" s="638">
        <v>-2.82</v>
      </c>
      <c r="I700" s="638">
        <v>86.11</v>
      </c>
      <c r="J700" s="639">
        <f t="shared" si="70"/>
        <v>174837.74399999998</v>
      </c>
      <c r="K700" s="750">
        <v>55.71</v>
      </c>
      <c r="L700" s="608">
        <f t="shared" si="71"/>
        <v>-113113.58399999999</v>
      </c>
      <c r="M700" s="751">
        <f t="shared" si="72"/>
        <v>61724.159999999989</v>
      </c>
      <c r="N700" s="752">
        <v>55.71</v>
      </c>
      <c r="O700" s="609">
        <f t="shared" si="73"/>
        <v>-113113.58399999999</v>
      </c>
      <c r="P700" s="703">
        <f t="shared" si="74"/>
        <v>61724.159999999989</v>
      </c>
      <c r="Q700" s="752">
        <v>55.71</v>
      </c>
      <c r="R700" s="609">
        <f t="shared" si="75"/>
        <v>-113113.58399999999</v>
      </c>
      <c r="S700" s="703">
        <f t="shared" si="76"/>
        <v>61724.159999999989</v>
      </c>
      <c r="T700" s="697" t="s">
        <v>92</v>
      </c>
    </row>
    <row r="701" spans="1:20" x14ac:dyDescent="0.25">
      <c r="A701" s="690"/>
      <c r="B701" s="697" t="s">
        <v>1895</v>
      </c>
      <c r="C701" s="547" t="s">
        <v>40</v>
      </c>
      <c r="D701" s="683">
        <v>44713</v>
      </c>
      <c r="E701" s="547">
        <v>720</v>
      </c>
      <c r="F701" s="547" t="s">
        <v>5</v>
      </c>
      <c r="G701" s="727" t="s">
        <v>44</v>
      </c>
      <c r="H701" s="638">
        <v>-10</v>
      </c>
      <c r="I701" s="638">
        <v>86.210000000000008</v>
      </c>
      <c r="J701" s="639">
        <f t="shared" si="70"/>
        <v>620712</v>
      </c>
      <c r="K701" s="750">
        <v>55.71</v>
      </c>
      <c r="L701" s="608">
        <f t="shared" si="71"/>
        <v>-401112</v>
      </c>
      <c r="M701" s="751">
        <f t="shared" si="72"/>
        <v>219600</v>
      </c>
      <c r="N701" s="752">
        <v>55.71</v>
      </c>
      <c r="O701" s="609">
        <f t="shared" si="73"/>
        <v>-401112</v>
      </c>
      <c r="P701" s="703">
        <f t="shared" si="74"/>
        <v>219600</v>
      </c>
      <c r="Q701" s="752">
        <v>55.71</v>
      </c>
      <c r="R701" s="609">
        <f t="shared" si="75"/>
        <v>-401112</v>
      </c>
      <c r="S701" s="703">
        <f t="shared" si="76"/>
        <v>219600</v>
      </c>
      <c r="T701" s="697" t="s">
        <v>92</v>
      </c>
    </row>
    <row r="702" spans="1:20" x14ac:dyDescent="0.25">
      <c r="A702" s="690"/>
      <c r="B702" s="697" t="s">
        <v>1901</v>
      </c>
      <c r="C702" s="547" t="s">
        <v>40</v>
      </c>
      <c r="D702" s="683">
        <v>44713</v>
      </c>
      <c r="E702" s="547">
        <v>720</v>
      </c>
      <c r="F702" s="547" t="s">
        <v>5</v>
      </c>
      <c r="G702" s="727" t="s">
        <v>44</v>
      </c>
      <c r="H702" s="638">
        <v>-5</v>
      </c>
      <c r="I702" s="638">
        <v>85.210000000000008</v>
      </c>
      <c r="J702" s="639">
        <f t="shared" si="70"/>
        <v>306756</v>
      </c>
      <c r="K702" s="750">
        <v>55.71</v>
      </c>
      <c r="L702" s="608">
        <f t="shared" si="71"/>
        <v>-200556</v>
      </c>
      <c r="M702" s="751">
        <f t="shared" si="72"/>
        <v>106200</v>
      </c>
      <c r="N702" s="752">
        <v>55.71</v>
      </c>
      <c r="O702" s="609">
        <f t="shared" si="73"/>
        <v>-200556</v>
      </c>
      <c r="P702" s="703">
        <f t="shared" si="74"/>
        <v>106200</v>
      </c>
      <c r="Q702" s="752">
        <v>55.71</v>
      </c>
      <c r="R702" s="609">
        <f t="shared" si="75"/>
        <v>-200556</v>
      </c>
      <c r="S702" s="703">
        <f t="shared" si="76"/>
        <v>106200</v>
      </c>
      <c r="T702" s="697" t="s">
        <v>92</v>
      </c>
    </row>
    <row r="703" spans="1:20" x14ac:dyDescent="0.25">
      <c r="A703" s="690"/>
      <c r="B703" s="697" t="s">
        <v>1903</v>
      </c>
      <c r="C703" s="547" t="s">
        <v>40</v>
      </c>
      <c r="D703" s="683">
        <v>44713</v>
      </c>
      <c r="E703" s="547">
        <v>720</v>
      </c>
      <c r="F703" s="547" t="s">
        <v>5</v>
      </c>
      <c r="G703" s="727" t="s">
        <v>44</v>
      </c>
      <c r="H703" s="638">
        <v>-5</v>
      </c>
      <c r="I703" s="638">
        <v>85.710000000000008</v>
      </c>
      <c r="J703" s="639">
        <f t="shared" si="70"/>
        <v>308556</v>
      </c>
      <c r="K703" s="750">
        <v>55.71</v>
      </c>
      <c r="L703" s="608">
        <f t="shared" si="71"/>
        <v>-200556</v>
      </c>
      <c r="M703" s="751">
        <f t="shared" si="72"/>
        <v>108000</v>
      </c>
      <c r="N703" s="752">
        <v>55.71</v>
      </c>
      <c r="O703" s="609">
        <f t="shared" si="73"/>
        <v>-200556</v>
      </c>
      <c r="P703" s="703">
        <f t="shared" si="74"/>
        <v>108000</v>
      </c>
      <c r="Q703" s="752">
        <v>55.71</v>
      </c>
      <c r="R703" s="609">
        <f t="shared" si="75"/>
        <v>-200556</v>
      </c>
      <c r="S703" s="703">
        <f t="shared" si="76"/>
        <v>108000</v>
      </c>
      <c r="T703" s="697" t="s">
        <v>92</v>
      </c>
    </row>
    <row r="704" spans="1:20" x14ac:dyDescent="0.25">
      <c r="A704" s="690"/>
      <c r="B704" s="697" t="s">
        <v>1905</v>
      </c>
      <c r="C704" s="547" t="s">
        <v>40</v>
      </c>
      <c r="D704" s="683">
        <v>44713</v>
      </c>
      <c r="E704" s="547">
        <v>720</v>
      </c>
      <c r="F704" s="547" t="s">
        <v>5</v>
      </c>
      <c r="G704" s="727" t="s">
        <v>44</v>
      </c>
      <c r="H704" s="638">
        <v>-5</v>
      </c>
      <c r="I704" s="638">
        <v>85.91</v>
      </c>
      <c r="J704" s="639">
        <f t="shared" si="70"/>
        <v>309276</v>
      </c>
      <c r="K704" s="750">
        <v>55.71</v>
      </c>
      <c r="L704" s="608">
        <f t="shared" si="71"/>
        <v>-200556</v>
      </c>
      <c r="M704" s="751">
        <f t="shared" si="72"/>
        <v>108720</v>
      </c>
      <c r="N704" s="752">
        <v>55.71</v>
      </c>
      <c r="O704" s="609">
        <f t="shared" si="73"/>
        <v>-200556</v>
      </c>
      <c r="P704" s="703">
        <f t="shared" si="74"/>
        <v>108720</v>
      </c>
      <c r="Q704" s="752">
        <v>55.71</v>
      </c>
      <c r="R704" s="609">
        <f t="shared" si="75"/>
        <v>-200556</v>
      </c>
      <c r="S704" s="703">
        <f t="shared" si="76"/>
        <v>108720</v>
      </c>
      <c r="T704" s="697" t="s">
        <v>92</v>
      </c>
    </row>
    <row r="705" spans="1:20" x14ac:dyDescent="0.25">
      <c r="A705" s="690"/>
      <c r="B705" s="697" t="s">
        <v>1908</v>
      </c>
      <c r="C705" s="547" t="s">
        <v>40</v>
      </c>
      <c r="D705" s="683">
        <v>44713</v>
      </c>
      <c r="E705" s="547">
        <v>720</v>
      </c>
      <c r="F705" s="547" t="s">
        <v>5</v>
      </c>
      <c r="G705" s="727" t="s">
        <v>44</v>
      </c>
      <c r="H705" s="638">
        <v>-10.199999999999999</v>
      </c>
      <c r="I705" s="638">
        <v>86.710000000000008</v>
      </c>
      <c r="J705" s="639">
        <f t="shared" si="70"/>
        <v>636798.24</v>
      </c>
      <c r="K705" s="750">
        <v>55.71</v>
      </c>
      <c r="L705" s="608">
        <f t="shared" si="71"/>
        <v>-409134.23999999993</v>
      </c>
      <c r="M705" s="751">
        <f t="shared" si="72"/>
        <v>227664.00000000006</v>
      </c>
      <c r="N705" s="752">
        <v>55.71</v>
      </c>
      <c r="O705" s="609">
        <f t="shared" si="73"/>
        <v>-409134.23999999993</v>
      </c>
      <c r="P705" s="703">
        <f t="shared" si="74"/>
        <v>227664.00000000006</v>
      </c>
      <c r="Q705" s="752">
        <v>55.71</v>
      </c>
      <c r="R705" s="609">
        <f t="shared" si="75"/>
        <v>-409134.23999999993</v>
      </c>
      <c r="S705" s="703">
        <f t="shared" si="76"/>
        <v>227664.00000000006</v>
      </c>
      <c r="T705" s="697" t="s">
        <v>92</v>
      </c>
    </row>
    <row r="706" spans="1:20" x14ac:dyDescent="0.25">
      <c r="A706" s="690"/>
      <c r="B706" s="697" t="s">
        <v>1921</v>
      </c>
      <c r="C706" s="547" t="s">
        <v>40</v>
      </c>
      <c r="D706" s="683">
        <v>44713</v>
      </c>
      <c r="E706" s="547">
        <v>720</v>
      </c>
      <c r="F706" s="547" t="s">
        <v>5</v>
      </c>
      <c r="G706" s="727" t="s">
        <v>44</v>
      </c>
      <c r="H706" s="638">
        <v>-1</v>
      </c>
      <c r="I706" s="638">
        <v>85.61</v>
      </c>
      <c r="J706" s="639">
        <f t="shared" si="70"/>
        <v>61639.199999999997</v>
      </c>
      <c r="K706" s="750">
        <v>55.71</v>
      </c>
      <c r="L706" s="608">
        <f t="shared" si="71"/>
        <v>-40111.199999999997</v>
      </c>
      <c r="M706" s="751">
        <f t="shared" si="72"/>
        <v>21528</v>
      </c>
      <c r="N706" s="752">
        <v>55.71</v>
      </c>
      <c r="O706" s="609">
        <f t="shared" si="73"/>
        <v>-40111.199999999997</v>
      </c>
      <c r="P706" s="703">
        <f t="shared" si="74"/>
        <v>21528</v>
      </c>
      <c r="Q706" s="752">
        <v>55.71</v>
      </c>
      <c r="R706" s="609">
        <f t="shared" si="75"/>
        <v>-40111.199999999997</v>
      </c>
      <c r="S706" s="703">
        <f t="shared" si="76"/>
        <v>21528</v>
      </c>
      <c r="T706" s="697" t="s">
        <v>92</v>
      </c>
    </row>
    <row r="707" spans="1:20" x14ac:dyDescent="0.25">
      <c r="A707" s="690"/>
      <c r="B707" s="697" t="s">
        <v>1923</v>
      </c>
      <c r="C707" s="547" t="s">
        <v>40</v>
      </c>
      <c r="D707" s="683">
        <v>44713</v>
      </c>
      <c r="E707" s="547">
        <v>720</v>
      </c>
      <c r="F707" s="547" t="s">
        <v>5</v>
      </c>
      <c r="G707" s="727" t="s">
        <v>44</v>
      </c>
      <c r="H707" s="638">
        <v>-2</v>
      </c>
      <c r="I707" s="638">
        <v>85.710000000000008</v>
      </c>
      <c r="J707" s="639">
        <f t="shared" ref="J707:J770" si="77">(I707*(E707*H707))*-1</f>
        <v>123422.40000000001</v>
      </c>
      <c r="K707" s="750">
        <v>55.71</v>
      </c>
      <c r="L707" s="608">
        <f t="shared" ref="L707:L770" si="78">(((E707*H707)*K707))</f>
        <v>-80222.399999999994</v>
      </c>
      <c r="M707" s="751">
        <f t="shared" ref="M707:M770" si="79">J707+L707</f>
        <v>43200.000000000015</v>
      </c>
      <c r="N707" s="752">
        <v>55.71</v>
      </c>
      <c r="O707" s="609">
        <f t="shared" ref="O707:O770" si="80">((E707*H707)*N707)</f>
        <v>-80222.399999999994</v>
      </c>
      <c r="P707" s="703">
        <f t="shared" ref="P707:P770" si="81">J707+O707</f>
        <v>43200.000000000015</v>
      </c>
      <c r="Q707" s="752">
        <v>55.71</v>
      </c>
      <c r="R707" s="609">
        <f t="shared" ref="R707:R770" si="82">((E707*H707)*Q707)</f>
        <v>-80222.399999999994</v>
      </c>
      <c r="S707" s="703">
        <f t="shared" ref="S707:S770" si="83">J707+R707</f>
        <v>43200.000000000015</v>
      </c>
      <c r="T707" s="697" t="s">
        <v>92</v>
      </c>
    </row>
    <row r="708" spans="1:20" x14ac:dyDescent="0.25">
      <c r="A708" s="690"/>
      <c r="B708" s="697" t="s">
        <v>1925</v>
      </c>
      <c r="C708" s="547" t="s">
        <v>40</v>
      </c>
      <c r="D708" s="683">
        <v>44713</v>
      </c>
      <c r="E708" s="547">
        <v>720</v>
      </c>
      <c r="F708" s="547" t="s">
        <v>5</v>
      </c>
      <c r="G708" s="727" t="s">
        <v>44</v>
      </c>
      <c r="H708" s="638">
        <v>-0.5</v>
      </c>
      <c r="I708" s="638">
        <v>85.56</v>
      </c>
      <c r="J708" s="639">
        <f t="shared" si="77"/>
        <v>30801.600000000002</v>
      </c>
      <c r="K708" s="750">
        <v>55.71</v>
      </c>
      <c r="L708" s="608">
        <f t="shared" si="78"/>
        <v>-20055.599999999999</v>
      </c>
      <c r="M708" s="751">
        <f t="shared" si="79"/>
        <v>10746.000000000004</v>
      </c>
      <c r="N708" s="752">
        <v>55.71</v>
      </c>
      <c r="O708" s="609">
        <f t="shared" si="80"/>
        <v>-20055.599999999999</v>
      </c>
      <c r="P708" s="703">
        <f t="shared" si="81"/>
        <v>10746.000000000004</v>
      </c>
      <c r="Q708" s="752">
        <v>55.71</v>
      </c>
      <c r="R708" s="609">
        <f t="shared" si="82"/>
        <v>-20055.599999999999</v>
      </c>
      <c r="S708" s="703">
        <f t="shared" si="83"/>
        <v>10746.000000000004</v>
      </c>
      <c r="T708" s="697" t="s">
        <v>92</v>
      </c>
    </row>
    <row r="709" spans="1:20" x14ac:dyDescent="0.25">
      <c r="A709" s="690"/>
      <c r="B709" s="697" t="s">
        <v>1927</v>
      </c>
      <c r="C709" s="547" t="s">
        <v>40</v>
      </c>
      <c r="D709" s="683">
        <v>44713</v>
      </c>
      <c r="E709" s="547">
        <v>720</v>
      </c>
      <c r="F709" s="547" t="s">
        <v>5</v>
      </c>
      <c r="G709" s="727" t="s">
        <v>44</v>
      </c>
      <c r="H709" s="638">
        <v>-2</v>
      </c>
      <c r="I709" s="638">
        <v>85.710000000000008</v>
      </c>
      <c r="J709" s="639">
        <f t="shared" si="77"/>
        <v>123422.40000000001</v>
      </c>
      <c r="K709" s="750">
        <v>55.71</v>
      </c>
      <c r="L709" s="608">
        <f t="shared" si="78"/>
        <v>-80222.399999999994</v>
      </c>
      <c r="M709" s="751">
        <f t="shared" si="79"/>
        <v>43200.000000000015</v>
      </c>
      <c r="N709" s="752">
        <v>55.71</v>
      </c>
      <c r="O709" s="609">
        <f t="shared" si="80"/>
        <v>-80222.399999999994</v>
      </c>
      <c r="P709" s="703">
        <f t="shared" si="81"/>
        <v>43200.000000000015</v>
      </c>
      <c r="Q709" s="752">
        <v>55.71</v>
      </c>
      <c r="R709" s="609">
        <f t="shared" si="82"/>
        <v>-80222.399999999994</v>
      </c>
      <c r="S709" s="703">
        <f t="shared" si="83"/>
        <v>43200.000000000015</v>
      </c>
      <c r="T709" s="697" t="s">
        <v>92</v>
      </c>
    </row>
    <row r="710" spans="1:20" x14ac:dyDescent="0.25">
      <c r="A710" s="690"/>
      <c r="B710" s="697" t="s">
        <v>1929</v>
      </c>
      <c r="C710" s="547" t="s">
        <v>40</v>
      </c>
      <c r="D710" s="683">
        <v>44713</v>
      </c>
      <c r="E710" s="547">
        <v>720</v>
      </c>
      <c r="F710" s="547" t="s">
        <v>5</v>
      </c>
      <c r="G710" s="727" t="s">
        <v>44</v>
      </c>
      <c r="H710" s="638">
        <v>-1</v>
      </c>
      <c r="I710" s="638">
        <v>85.61</v>
      </c>
      <c r="J710" s="639">
        <f t="shared" si="77"/>
        <v>61639.199999999997</v>
      </c>
      <c r="K710" s="750">
        <v>55.71</v>
      </c>
      <c r="L710" s="608">
        <f t="shared" si="78"/>
        <v>-40111.199999999997</v>
      </c>
      <c r="M710" s="751">
        <f t="shared" si="79"/>
        <v>21528</v>
      </c>
      <c r="N710" s="752">
        <v>55.71</v>
      </c>
      <c r="O710" s="609">
        <f t="shared" si="80"/>
        <v>-40111.199999999997</v>
      </c>
      <c r="P710" s="703">
        <f t="shared" si="81"/>
        <v>21528</v>
      </c>
      <c r="Q710" s="752">
        <v>55.71</v>
      </c>
      <c r="R710" s="609">
        <f t="shared" si="82"/>
        <v>-40111.199999999997</v>
      </c>
      <c r="S710" s="703">
        <f t="shared" si="83"/>
        <v>21528</v>
      </c>
      <c r="T710" s="697" t="s">
        <v>92</v>
      </c>
    </row>
    <row r="711" spans="1:20" x14ac:dyDescent="0.25">
      <c r="A711" s="690"/>
      <c r="B711" s="697" t="s">
        <v>1931</v>
      </c>
      <c r="C711" s="547" t="s">
        <v>40</v>
      </c>
      <c r="D711" s="683">
        <v>44713</v>
      </c>
      <c r="E711" s="547">
        <v>720</v>
      </c>
      <c r="F711" s="547" t="s">
        <v>5</v>
      </c>
      <c r="G711" s="727" t="s">
        <v>44</v>
      </c>
      <c r="H711" s="638">
        <v>-10</v>
      </c>
      <c r="I711" s="638">
        <v>85.710000000000008</v>
      </c>
      <c r="J711" s="639">
        <f t="shared" si="77"/>
        <v>617112</v>
      </c>
      <c r="K711" s="750">
        <v>55.71</v>
      </c>
      <c r="L711" s="608">
        <f t="shared" si="78"/>
        <v>-401112</v>
      </c>
      <c r="M711" s="751">
        <f t="shared" si="79"/>
        <v>216000</v>
      </c>
      <c r="N711" s="752">
        <v>55.71</v>
      </c>
      <c r="O711" s="609">
        <f t="shared" si="80"/>
        <v>-401112</v>
      </c>
      <c r="P711" s="703">
        <f t="shared" si="81"/>
        <v>216000</v>
      </c>
      <c r="Q711" s="752">
        <v>55.71</v>
      </c>
      <c r="R711" s="609">
        <f t="shared" si="82"/>
        <v>-401112</v>
      </c>
      <c r="S711" s="703">
        <f t="shared" si="83"/>
        <v>216000</v>
      </c>
      <c r="T711" s="697" t="s">
        <v>92</v>
      </c>
    </row>
    <row r="712" spans="1:20" x14ac:dyDescent="0.25">
      <c r="A712" s="690"/>
      <c r="B712" s="697" t="s">
        <v>1933</v>
      </c>
      <c r="C712" s="547" t="s">
        <v>40</v>
      </c>
      <c r="D712" s="683">
        <v>44713</v>
      </c>
      <c r="E712" s="547">
        <v>720</v>
      </c>
      <c r="F712" s="547" t="s">
        <v>5</v>
      </c>
      <c r="G712" s="727" t="s">
        <v>44</v>
      </c>
      <c r="H712" s="638">
        <v>-1</v>
      </c>
      <c r="I712" s="638">
        <v>84.210000000000008</v>
      </c>
      <c r="J712" s="639">
        <f t="shared" si="77"/>
        <v>60631.200000000004</v>
      </c>
      <c r="K712" s="750">
        <v>55.71</v>
      </c>
      <c r="L712" s="608">
        <f t="shared" si="78"/>
        <v>-40111.199999999997</v>
      </c>
      <c r="M712" s="751">
        <f t="shared" si="79"/>
        <v>20520.000000000007</v>
      </c>
      <c r="N712" s="752">
        <v>55.71</v>
      </c>
      <c r="O712" s="609">
        <f t="shared" si="80"/>
        <v>-40111.199999999997</v>
      </c>
      <c r="P712" s="703">
        <f t="shared" si="81"/>
        <v>20520.000000000007</v>
      </c>
      <c r="Q712" s="752">
        <v>55.71</v>
      </c>
      <c r="R712" s="609">
        <f t="shared" si="82"/>
        <v>-40111.199999999997</v>
      </c>
      <c r="S712" s="703">
        <f t="shared" si="83"/>
        <v>20520.000000000007</v>
      </c>
      <c r="T712" s="697" t="s">
        <v>92</v>
      </c>
    </row>
    <row r="713" spans="1:20" x14ac:dyDescent="0.25">
      <c r="A713" s="690"/>
      <c r="B713" s="697" t="s">
        <v>1945</v>
      </c>
      <c r="C713" s="547" t="s">
        <v>40</v>
      </c>
      <c r="D713" s="683">
        <v>44713</v>
      </c>
      <c r="E713" s="547">
        <v>720</v>
      </c>
      <c r="F713" s="547" t="s">
        <v>5</v>
      </c>
      <c r="G713" s="727" t="s">
        <v>44</v>
      </c>
      <c r="H713" s="638">
        <v>-30</v>
      </c>
      <c r="I713" s="638">
        <v>86.710000000000008</v>
      </c>
      <c r="J713" s="639">
        <f t="shared" si="77"/>
        <v>1872936.0000000002</v>
      </c>
      <c r="K713" s="750">
        <v>55.71</v>
      </c>
      <c r="L713" s="608">
        <f t="shared" si="78"/>
        <v>-1203336</v>
      </c>
      <c r="M713" s="751">
        <f t="shared" si="79"/>
        <v>669600.00000000023</v>
      </c>
      <c r="N713" s="752">
        <v>55.71</v>
      </c>
      <c r="O713" s="609">
        <f t="shared" si="80"/>
        <v>-1203336</v>
      </c>
      <c r="P713" s="703">
        <f t="shared" si="81"/>
        <v>669600.00000000023</v>
      </c>
      <c r="Q713" s="752">
        <v>55.71</v>
      </c>
      <c r="R713" s="609">
        <f t="shared" si="82"/>
        <v>-1203336</v>
      </c>
      <c r="S713" s="703">
        <f t="shared" si="83"/>
        <v>669600.00000000023</v>
      </c>
      <c r="T713" s="697" t="s">
        <v>92</v>
      </c>
    </row>
    <row r="714" spans="1:20" x14ac:dyDescent="0.25">
      <c r="A714" s="690"/>
      <c r="B714" s="697" t="s">
        <v>1947</v>
      </c>
      <c r="C714" s="547" t="s">
        <v>40</v>
      </c>
      <c r="D714" s="683">
        <v>44713</v>
      </c>
      <c r="E714" s="547">
        <v>720</v>
      </c>
      <c r="F714" s="547" t="s">
        <v>5</v>
      </c>
      <c r="G714" s="727" t="s">
        <v>44</v>
      </c>
      <c r="H714" s="638">
        <v>-3</v>
      </c>
      <c r="I714" s="638">
        <v>86.210000000000008</v>
      </c>
      <c r="J714" s="639">
        <f t="shared" si="77"/>
        <v>186213.6</v>
      </c>
      <c r="K714" s="750">
        <v>55.71</v>
      </c>
      <c r="L714" s="608">
        <f t="shared" si="78"/>
        <v>-120333.6</v>
      </c>
      <c r="M714" s="751">
        <f t="shared" si="79"/>
        <v>65880</v>
      </c>
      <c r="N714" s="752">
        <v>55.71</v>
      </c>
      <c r="O714" s="609">
        <f t="shared" si="80"/>
        <v>-120333.6</v>
      </c>
      <c r="P714" s="703">
        <f t="shared" si="81"/>
        <v>65880</v>
      </c>
      <c r="Q714" s="752">
        <v>55.71</v>
      </c>
      <c r="R714" s="609">
        <f t="shared" si="82"/>
        <v>-120333.6</v>
      </c>
      <c r="S714" s="703">
        <f t="shared" si="83"/>
        <v>65880</v>
      </c>
      <c r="T714" s="697" t="s">
        <v>92</v>
      </c>
    </row>
    <row r="715" spans="1:20" x14ac:dyDescent="0.25">
      <c r="A715" s="690"/>
      <c r="B715" s="697" t="s">
        <v>1949</v>
      </c>
      <c r="C715" s="547" t="s">
        <v>40</v>
      </c>
      <c r="D715" s="683">
        <v>44713</v>
      </c>
      <c r="E715" s="547">
        <v>720</v>
      </c>
      <c r="F715" s="547" t="s">
        <v>5</v>
      </c>
      <c r="G715" s="727" t="s">
        <v>44</v>
      </c>
      <c r="H715" s="638">
        <v>-5</v>
      </c>
      <c r="I715" s="638">
        <v>86.210000000000008</v>
      </c>
      <c r="J715" s="639">
        <f t="shared" si="77"/>
        <v>310356</v>
      </c>
      <c r="K715" s="750">
        <v>55.71</v>
      </c>
      <c r="L715" s="608">
        <f t="shared" si="78"/>
        <v>-200556</v>
      </c>
      <c r="M715" s="751">
        <f t="shared" si="79"/>
        <v>109800</v>
      </c>
      <c r="N715" s="752">
        <v>55.71</v>
      </c>
      <c r="O715" s="609">
        <f t="shared" si="80"/>
        <v>-200556</v>
      </c>
      <c r="P715" s="703">
        <f t="shared" si="81"/>
        <v>109800</v>
      </c>
      <c r="Q715" s="752">
        <v>55.71</v>
      </c>
      <c r="R715" s="609">
        <f t="shared" si="82"/>
        <v>-200556</v>
      </c>
      <c r="S715" s="703">
        <f t="shared" si="83"/>
        <v>109800</v>
      </c>
      <c r="T715" s="697" t="s">
        <v>92</v>
      </c>
    </row>
    <row r="716" spans="1:20" x14ac:dyDescent="0.25">
      <c r="A716" s="690"/>
      <c r="B716" s="697" t="s">
        <v>1951</v>
      </c>
      <c r="C716" s="547" t="s">
        <v>40</v>
      </c>
      <c r="D716" s="683">
        <v>44713</v>
      </c>
      <c r="E716" s="547">
        <v>720</v>
      </c>
      <c r="F716" s="547" t="s">
        <v>5</v>
      </c>
      <c r="G716" s="727" t="s">
        <v>44</v>
      </c>
      <c r="H716" s="638">
        <v>-3</v>
      </c>
      <c r="I716" s="638">
        <v>85.710000000000008</v>
      </c>
      <c r="J716" s="639">
        <f t="shared" si="77"/>
        <v>185133.6</v>
      </c>
      <c r="K716" s="750">
        <v>55.71</v>
      </c>
      <c r="L716" s="608">
        <f t="shared" si="78"/>
        <v>-120333.6</v>
      </c>
      <c r="M716" s="751">
        <f t="shared" si="79"/>
        <v>64800</v>
      </c>
      <c r="N716" s="752">
        <v>55.71</v>
      </c>
      <c r="O716" s="609">
        <f t="shared" si="80"/>
        <v>-120333.6</v>
      </c>
      <c r="P716" s="703">
        <f t="shared" si="81"/>
        <v>64800</v>
      </c>
      <c r="Q716" s="752">
        <v>55.71</v>
      </c>
      <c r="R716" s="609">
        <f t="shared" si="82"/>
        <v>-120333.6</v>
      </c>
      <c r="S716" s="703">
        <f t="shared" si="83"/>
        <v>64800</v>
      </c>
      <c r="T716" s="697" t="s">
        <v>92</v>
      </c>
    </row>
    <row r="717" spans="1:20" x14ac:dyDescent="0.25">
      <c r="A717" s="690"/>
      <c r="B717" s="697" t="s">
        <v>1953</v>
      </c>
      <c r="C717" s="547" t="s">
        <v>40</v>
      </c>
      <c r="D717" s="683">
        <v>44713</v>
      </c>
      <c r="E717" s="547">
        <v>720</v>
      </c>
      <c r="F717" s="547" t="s">
        <v>5</v>
      </c>
      <c r="G717" s="727" t="s">
        <v>44</v>
      </c>
      <c r="H717" s="638">
        <v>-4.5</v>
      </c>
      <c r="I717" s="638">
        <v>85.710000000000008</v>
      </c>
      <c r="J717" s="639">
        <f t="shared" si="77"/>
        <v>277700.40000000002</v>
      </c>
      <c r="K717" s="750">
        <v>55.71</v>
      </c>
      <c r="L717" s="608">
        <f t="shared" si="78"/>
        <v>-180500.4</v>
      </c>
      <c r="M717" s="751">
        <f t="shared" si="79"/>
        <v>97200.000000000029</v>
      </c>
      <c r="N717" s="752">
        <v>55.71</v>
      </c>
      <c r="O717" s="609">
        <f t="shared" si="80"/>
        <v>-180500.4</v>
      </c>
      <c r="P717" s="703">
        <f t="shared" si="81"/>
        <v>97200.000000000029</v>
      </c>
      <c r="Q717" s="752">
        <v>55.71</v>
      </c>
      <c r="R717" s="609">
        <f t="shared" si="82"/>
        <v>-180500.4</v>
      </c>
      <c r="S717" s="703">
        <f t="shared" si="83"/>
        <v>97200.000000000029</v>
      </c>
      <c r="T717" s="697" t="s">
        <v>92</v>
      </c>
    </row>
    <row r="718" spans="1:20" x14ac:dyDescent="0.25">
      <c r="A718" s="690"/>
      <c r="B718" s="697" t="s">
        <v>1955</v>
      </c>
      <c r="C718" s="547" t="s">
        <v>40</v>
      </c>
      <c r="D718" s="683">
        <v>44713</v>
      </c>
      <c r="E718" s="547">
        <v>720</v>
      </c>
      <c r="F718" s="547" t="s">
        <v>5</v>
      </c>
      <c r="G718" s="727" t="s">
        <v>44</v>
      </c>
      <c r="H718" s="638">
        <v>-0.11944444444444401</v>
      </c>
      <c r="I718" s="638">
        <v>85.210000000000008</v>
      </c>
      <c r="J718" s="639">
        <f t="shared" si="77"/>
        <v>7328.059999999974</v>
      </c>
      <c r="K718" s="750">
        <v>55.71</v>
      </c>
      <c r="L718" s="608">
        <f t="shared" si="78"/>
        <v>-4791.0599999999822</v>
      </c>
      <c r="M718" s="751">
        <f t="shared" si="79"/>
        <v>2536.9999999999918</v>
      </c>
      <c r="N718" s="752">
        <v>55.71</v>
      </c>
      <c r="O718" s="609">
        <f t="shared" si="80"/>
        <v>-4791.0599999999822</v>
      </c>
      <c r="P718" s="703">
        <f t="shared" si="81"/>
        <v>2536.9999999999918</v>
      </c>
      <c r="Q718" s="752">
        <v>55.71</v>
      </c>
      <c r="R718" s="609">
        <f t="shared" si="82"/>
        <v>-4791.0599999999822</v>
      </c>
      <c r="S718" s="703">
        <f t="shared" si="83"/>
        <v>2536.9999999999918</v>
      </c>
      <c r="T718" s="697" t="s">
        <v>92</v>
      </c>
    </row>
    <row r="719" spans="1:20" x14ac:dyDescent="0.25">
      <c r="A719" s="690"/>
      <c r="B719" s="697" t="s">
        <v>1957</v>
      </c>
      <c r="C719" s="547" t="s">
        <v>40</v>
      </c>
      <c r="D719" s="683">
        <v>44713</v>
      </c>
      <c r="E719" s="547">
        <v>720</v>
      </c>
      <c r="F719" s="547" t="s">
        <v>5</v>
      </c>
      <c r="G719" s="727" t="s">
        <v>44</v>
      </c>
      <c r="H719" s="638">
        <v>-2.9013888888888899</v>
      </c>
      <c r="I719" s="638">
        <v>85.210000000000008</v>
      </c>
      <c r="J719" s="639">
        <f t="shared" si="77"/>
        <v>178003.69000000009</v>
      </c>
      <c r="K719" s="750">
        <v>55.71</v>
      </c>
      <c r="L719" s="608">
        <f t="shared" si="78"/>
        <v>-116378.19000000005</v>
      </c>
      <c r="M719" s="751">
        <f t="shared" si="79"/>
        <v>61625.500000000044</v>
      </c>
      <c r="N719" s="752">
        <v>55.71</v>
      </c>
      <c r="O719" s="609">
        <f t="shared" si="80"/>
        <v>-116378.19000000005</v>
      </c>
      <c r="P719" s="703">
        <f t="shared" si="81"/>
        <v>61625.500000000044</v>
      </c>
      <c r="Q719" s="752">
        <v>55.71</v>
      </c>
      <c r="R719" s="609">
        <f t="shared" si="82"/>
        <v>-116378.19000000005</v>
      </c>
      <c r="S719" s="703">
        <f t="shared" si="83"/>
        <v>61625.500000000044</v>
      </c>
      <c r="T719" s="697" t="s">
        <v>92</v>
      </c>
    </row>
    <row r="720" spans="1:20" x14ac:dyDescent="0.25">
      <c r="A720" s="690"/>
      <c r="B720" s="697" t="s">
        <v>1959</v>
      </c>
      <c r="C720" s="547" t="s">
        <v>40</v>
      </c>
      <c r="D720" s="683">
        <v>44713</v>
      </c>
      <c r="E720" s="547">
        <v>720</v>
      </c>
      <c r="F720" s="547" t="s">
        <v>5</v>
      </c>
      <c r="G720" s="727" t="s">
        <v>44</v>
      </c>
      <c r="H720" s="638">
        <v>-0.36111111111111099</v>
      </c>
      <c r="I720" s="638">
        <v>85.210000000000008</v>
      </c>
      <c r="J720" s="639">
        <f t="shared" si="77"/>
        <v>22154.6</v>
      </c>
      <c r="K720" s="750">
        <v>55.71</v>
      </c>
      <c r="L720" s="608">
        <f t="shared" si="78"/>
        <v>-14484.599999999997</v>
      </c>
      <c r="M720" s="751">
        <f t="shared" si="79"/>
        <v>7670.0000000000018</v>
      </c>
      <c r="N720" s="752">
        <v>55.71</v>
      </c>
      <c r="O720" s="609">
        <f t="shared" si="80"/>
        <v>-14484.599999999997</v>
      </c>
      <c r="P720" s="703">
        <f t="shared" si="81"/>
        <v>7670.0000000000018</v>
      </c>
      <c r="Q720" s="752">
        <v>55.71</v>
      </c>
      <c r="R720" s="609">
        <f t="shared" si="82"/>
        <v>-14484.599999999997</v>
      </c>
      <c r="S720" s="703">
        <f t="shared" si="83"/>
        <v>7670.0000000000018</v>
      </c>
      <c r="T720" s="697" t="s">
        <v>92</v>
      </c>
    </row>
    <row r="721" spans="1:20" x14ac:dyDescent="0.25">
      <c r="A721" s="690"/>
      <c r="B721" s="697" t="s">
        <v>1961</v>
      </c>
      <c r="C721" s="547" t="s">
        <v>40</v>
      </c>
      <c r="D721" s="683">
        <v>44713</v>
      </c>
      <c r="E721" s="547">
        <v>720</v>
      </c>
      <c r="F721" s="547" t="s">
        <v>5</v>
      </c>
      <c r="G721" s="727" t="s">
        <v>44</v>
      </c>
      <c r="H721" s="638">
        <v>-1.2094444444444401</v>
      </c>
      <c r="I721" s="638">
        <v>85.210000000000008</v>
      </c>
      <c r="J721" s="639">
        <f t="shared" si="77"/>
        <v>74200.86799999974</v>
      </c>
      <c r="K721" s="750">
        <v>55.71</v>
      </c>
      <c r="L721" s="608">
        <f t="shared" si="78"/>
        <v>-48512.267999999829</v>
      </c>
      <c r="M721" s="751">
        <f t="shared" si="79"/>
        <v>25688.599999999911</v>
      </c>
      <c r="N721" s="752">
        <v>55.71</v>
      </c>
      <c r="O721" s="609">
        <f t="shared" si="80"/>
        <v>-48512.267999999829</v>
      </c>
      <c r="P721" s="703">
        <f t="shared" si="81"/>
        <v>25688.599999999911</v>
      </c>
      <c r="Q721" s="752">
        <v>55.71</v>
      </c>
      <c r="R721" s="609">
        <f t="shared" si="82"/>
        <v>-48512.267999999829</v>
      </c>
      <c r="S721" s="703">
        <f t="shared" si="83"/>
        <v>25688.599999999911</v>
      </c>
      <c r="T721" s="697" t="s">
        <v>92</v>
      </c>
    </row>
    <row r="722" spans="1:20" x14ac:dyDescent="0.25">
      <c r="A722" s="690"/>
      <c r="B722" s="697" t="s">
        <v>1972</v>
      </c>
      <c r="C722" s="547" t="s">
        <v>40</v>
      </c>
      <c r="D722" s="683">
        <v>44743</v>
      </c>
      <c r="E722" s="547">
        <v>744</v>
      </c>
      <c r="F722" s="547" t="s">
        <v>3</v>
      </c>
      <c r="G722" s="727" t="s">
        <v>44</v>
      </c>
      <c r="H722" s="638">
        <v>-5</v>
      </c>
      <c r="I722" s="638">
        <v>62.9</v>
      </c>
      <c r="J722" s="639">
        <f t="shared" si="77"/>
        <v>233988</v>
      </c>
      <c r="K722" s="750">
        <v>66.319999999999993</v>
      </c>
      <c r="L722" s="608">
        <f t="shared" si="78"/>
        <v>-246710.39999999997</v>
      </c>
      <c r="M722" s="751">
        <f t="shared" si="79"/>
        <v>-12722.399999999965</v>
      </c>
      <c r="N722" s="752">
        <v>66.319999999999993</v>
      </c>
      <c r="O722" s="609">
        <f t="shared" si="80"/>
        <v>-246710.39999999997</v>
      </c>
      <c r="P722" s="703">
        <f t="shared" si="81"/>
        <v>-12722.399999999965</v>
      </c>
      <c r="Q722" s="752">
        <v>66.319999999999993</v>
      </c>
      <c r="R722" s="609">
        <f t="shared" si="82"/>
        <v>-246710.39999999997</v>
      </c>
      <c r="S722" s="703">
        <f t="shared" si="83"/>
        <v>-12722.399999999965</v>
      </c>
      <c r="T722" s="697" t="s">
        <v>54</v>
      </c>
    </row>
    <row r="723" spans="1:20" x14ac:dyDescent="0.25">
      <c r="A723" s="690"/>
      <c r="B723" s="697" t="s">
        <v>1975</v>
      </c>
      <c r="C723" s="547" t="s">
        <v>40</v>
      </c>
      <c r="D723" s="683">
        <v>44743</v>
      </c>
      <c r="E723" s="547">
        <v>744</v>
      </c>
      <c r="F723" s="547" t="s">
        <v>3</v>
      </c>
      <c r="G723" s="727" t="s">
        <v>44</v>
      </c>
      <c r="H723" s="638">
        <v>-1</v>
      </c>
      <c r="I723" s="638">
        <v>62.9</v>
      </c>
      <c r="J723" s="639">
        <f t="shared" si="77"/>
        <v>46797.599999999999</v>
      </c>
      <c r="K723" s="750">
        <v>66.319999999999993</v>
      </c>
      <c r="L723" s="608">
        <f t="shared" si="78"/>
        <v>-49342.079999999994</v>
      </c>
      <c r="M723" s="751">
        <f t="shared" si="79"/>
        <v>-2544.4799999999959</v>
      </c>
      <c r="N723" s="752">
        <v>66.319999999999993</v>
      </c>
      <c r="O723" s="609">
        <f t="shared" si="80"/>
        <v>-49342.079999999994</v>
      </c>
      <c r="P723" s="703">
        <f t="shared" si="81"/>
        <v>-2544.4799999999959</v>
      </c>
      <c r="Q723" s="752">
        <v>66.319999999999993</v>
      </c>
      <c r="R723" s="609">
        <f t="shared" si="82"/>
        <v>-49342.079999999994</v>
      </c>
      <c r="S723" s="703">
        <f t="shared" si="83"/>
        <v>-2544.4799999999959</v>
      </c>
      <c r="T723" s="697" t="s">
        <v>54</v>
      </c>
    </row>
    <row r="724" spans="1:20" x14ac:dyDescent="0.25">
      <c r="A724" s="690"/>
      <c r="B724" s="697" t="s">
        <v>1979</v>
      </c>
      <c r="C724" s="547" t="s">
        <v>40</v>
      </c>
      <c r="D724" s="683">
        <v>44774</v>
      </c>
      <c r="E724" s="547">
        <v>744</v>
      </c>
      <c r="F724" s="547" t="s">
        <v>3</v>
      </c>
      <c r="G724" s="727" t="s">
        <v>44</v>
      </c>
      <c r="H724" s="638">
        <v>-12</v>
      </c>
      <c r="I724" s="638">
        <v>82</v>
      </c>
      <c r="J724" s="639">
        <f t="shared" si="77"/>
        <v>732096</v>
      </c>
      <c r="K724" s="750">
        <v>76.900000000000006</v>
      </c>
      <c r="L724" s="608">
        <f t="shared" si="78"/>
        <v>-686563.20000000007</v>
      </c>
      <c r="M724" s="751">
        <f t="shared" si="79"/>
        <v>45532.79999999993</v>
      </c>
      <c r="N724" s="752">
        <v>76.900000000000006</v>
      </c>
      <c r="O724" s="609">
        <f t="shared" si="80"/>
        <v>-686563.20000000007</v>
      </c>
      <c r="P724" s="703">
        <f t="shared" si="81"/>
        <v>45532.79999999993</v>
      </c>
      <c r="Q724" s="752">
        <v>76.900000000000006</v>
      </c>
      <c r="R724" s="609">
        <f t="shared" si="82"/>
        <v>-686563.20000000007</v>
      </c>
      <c r="S724" s="703">
        <f t="shared" si="83"/>
        <v>45532.79999999993</v>
      </c>
      <c r="T724" s="697" t="s">
        <v>54</v>
      </c>
    </row>
    <row r="725" spans="1:20" x14ac:dyDescent="0.25">
      <c r="A725" s="690"/>
      <c r="B725" s="697" t="s">
        <v>1982</v>
      </c>
      <c r="C725" s="547" t="s">
        <v>40</v>
      </c>
      <c r="D725" s="683">
        <v>44743</v>
      </c>
      <c r="E725" s="547">
        <v>744</v>
      </c>
      <c r="F725" s="547" t="s">
        <v>3</v>
      </c>
      <c r="G725" s="727" t="s">
        <v>44</v>
      </c>
      <c r="H725" s="638">
        <v>-1</v>
      </c>
      <c r="I725" s="638">
        <v>64</v>
      </c>
      <c r="J725" s="639">
        <f t="shared" si="77"/>
        <v>47616</v>
      </c>
      <c r="K725" s="750">
        <v>66.319999999999993</v>
      </c>
      <c r="L725" s="608">
        <f t="shared" si="78"/>
        <v>-49342.079999999994</v>
      </c>
      <c r="M725" s="751">
        <f t="shared" si="79"/>
        <v>-1726.0799999999945</v>
      </c>
      <c r="N725" s="752">
        <v>66.319999999999993</v>
      </c>
      <c r="O725" s="609">
        <f t="shared" si="80"/>
        <v>-49342.079999999994</v>
      </c>
      <c r="P725" s="703">
        <f t="shared" si="81"/>
        <v>-1726.0799999999945</v>
      </c>
      <c r="Q725" s="752">
        <v>66.319999999999993</v>
      </c>
      <c r="R725" s="609">
        <f t="shared" si="82"/>
        <v>-49342.079999999994</v>
      </c>
      <c r="S725" s="703">
        <f t="shared" si="83"/>
        <v>-1726.0799999999945</v>
      </c>
      <c r="T725" s="697" t="s">
        <v>54</v>
      </c>
    </row>
    <row r="726" spans="1:20" x14ac:dyDescent="0.25">
      <c r="A726" s="690"/>
      <c r="B726" s="697" t="s">
        <v>1990</v>
      </c>
      <c r="C726" s="547" t="s">
        <v>40</v>
      </c>
      <c r="D726" s="683">
        <v>44805</v>
      </c>
      <c r="E726" s="547">
        <v>720</v>
      </c>
      <c r="F726" s="547" t="s">
        <v>3</v>
      </c>
      <c r="G726" s="727" t="s">
        <v>44</v>
      </c>
      <c r="H726" s="638">
        <v>-10</v>
      </c>
      <c r="I726" s="638">
        <v>88</v>
      </c>
      <c r="J726" s="639">
        <f t="shared" si="77"/>
        <v>633600</v>
      </c>
      <c r="K726" s="750">
        <v>56.08</v>
      </c>
      <c r="L726" s="608">
        <f t="shared" si="78"/>
        <v>-403776</v>
      </c>
      <c r="M726" s="751">
        <f t="shared" si="79"/>
        <v>229824</v>
      </c>
      <c r="N726" s="752">
        <v>56.08</v>
      </c>
      <c r="O726" s="609">
        <f t="shared" si="80"/>
        <v>-403776</v>
      </c>
      <c r="P726" s="703">
        <f t="shared" si="81"/>
        <v>229824</v>
      </c>
      <c r="Q726" s="752">
        <v>56.08</v>
      </c>
      <c r="R726" s="609">
        <f t="shared" si="82"/>
        <v>-403776</v>
      </c>
      <c r="S726" s="703">
        <f t="shared" si="83"/>
        <v>229824</v>
      </c>
      <c r="T726" s="697" t="s">
        <v>54</v>
      </c>
    </row>
    <row r="727" spans="1:20" x14ac:dyDescent="0.25">
      <c r="A727" s="690"/>
      <c r="B727" s="697" t="s">
        <v>1992</v>
      </c>
      <c r="C727" s="547" t="s">
        <v>40</v>
      </c>
      <c r="D727" s="683">
        <v>44805</v>
      </c>
      <c r="E727" s="547">
        <v>720</v>
      </c>
      <c r="F727" s="547" t="s">
        <v>3</v>
      </c>
      <c r="G727" s="727" t="s">
        <v>44</v>
      </c>
      <c r="H727" s="638">
        <v>-1</v>
      </c>
      <c r="I727" s="638">
        <v>88</v>
      </c>
      <c r="J727" s="639">
        <f t="shared" si="77"/>
        <v>63360</v>
      </c>
      <c r="K727" s="750">
        <v>56.08</v>
      </c>
      <c r="L727" s="608">
        <f t="shared" si="78"/>
        <v>-40377.599999999999</v>
      </c>
      <c r="M727" s="751">
        <f t="shared" si="79"/>
        <v>22982.400000000001</v>
      </c>
      <c r="N727" s="752">
        <v>56.08</v>
      </c>
      <c r="O727" s="609">
        <f t="shared" si="80"/>
        <v>-40377.599999999999</v>
      </c>
      <c r="P727" s="703">
        <f t="shared" si="81"/>
        <v>22982.400000000001</v>
      </c>
      <c r="Q727" s="752">
        <v>56.08</v>
      </c>
      <c r="R727" s="609">
        <f t="shared" si="82"/>
        <v>-40377.599999999999</v>
      </c>
      <c r="S727" s="703">
        <f t="shared" si="83"/>
        <v>22982.400000000001</v>
      </c>
      <c r="T727" s="697" t="s">
        <v>54</v>
      </c>
    </row>
    <row r="728" spans="1:20" x14ac:dyDescent="0.25">
      <c r="A728" s="690"/>
      <c r="B728" s="697" t="s">
        <v>1994</v>
      </c>
      <c r="C728" s="547" t="s">
        <v>40</v>
      </c>
      <c r="D728" s="683">
        <v>44805</v>
      </c>
      <c r="E728" s="547">
        <v>720</v>
      </c>
      <c r="F728" s="547" t="s">
        <v>3</v>
      </c>
      <c r="G728" s="727" t="s">
        <v>44</v>
      </c>
      <c r="H728" s="638">
        <v>-1</v>
      </c>
      <c r="I728" s="638">
        <v>88</v>
      </c>
      <c r="J728" s="639">
        <f t="shared" si="77"/>
        <v>63360</v>
      </c>
      <c r="K728" s="750">
        <v>56.08</v>
      </c>
      <c r="L728" s="608">
        <f t="shared" si="78"/>
        <v>-40377.599999999999</v>
      </c>
      <c r="M728" s="751">
        <f t="shared" si="79"/>
        <v>22982.400000000001</v>
      </c>
      <c r="N728" s="752">
        <v>56.08</v>
      </c>
      <c r="O728" s="609">
        <f t="shared" si="80"/>
        <v>-40377.599999999999</v>
      </c>
      <c r="P728" s="703">
        <f t="shared" si="81"/>
        <v>22982.400000000001</v>
      </c>
      <c r="Q728" s="752">
        <v>56.08</v>
      </c>
      <c r="R728" s="609">
        <f t="shared" si="82"/>
        <v>-40377.599999999999</v>
      </c>
      <c r="S728" s="703">
        <f t="shared" si="83"/>
        <v>22982.400000000001</v>
      </c>
      <c r="T728" s="697" t="s">
        <v>54</v>
      </c>
    </row>
    <row r="729" spans="1:20" x14ac:dyDescent="0.25">
      <c r="A729" s="690"/>
      <c r="B729" s="697" t="s">
        <v>1996</v>
      </c>
      <c r="C729" s="547" t="s">
        <v>40</v>
      </c>
      <c r="D729" s="683">
        <v>44805</v>
      </c>
      <c r="E729" s="547">
        <v>720</v>
      </c>
      <c r="F729" s="547" t="s">
        <v>3</v>
      </c>
      <c r="G729" s="727" t="s">
        <v>44</v>
      </c>
      <c r="H729" s="638">
        <v>-1</v>
      </c>
      <c r="I729" s="638">
        <v>88</v>
      </c>
      <c r="J729" s="639">
        <f t="shared" si="77"/>
        <v>63360</v>
      </c>
      <c r="K729" s="750">
        <v>56.08</v>
      </c>
      <c r="L729" s="608">
        <f t="shared" si="78"/>
        <v>-40377.599999999999</v>
      </c>
      <c r="M729" s="751">
        <f t="shared" si="79"/>
        <v>22982.400000000001</v>
      </c>
      <c r="N729" s="752">
        <v>56.08</v>
      </c>
      <c r="O729" s="609">
        <f t="shared" si="80"/>
        <v>-40377.599999999999</v>
      </c>
      <c r="P729" s="703">
        <f t="shared" si="81"/>
        <v>22982.400000000001</v>
      </c>
      <c r="Q729" s="752">
        <v>56.08</v>
      </c>
      <c r="R729" s="609">
        <f t="shared" si="82"/>
        <v>-40377.599999999999</v>
      </c>
      <c r="S729" s="703">
        <f t="shared" si="83"/>
        <v>22982.400000000001</v>
      </c>
      <c r="T729" s="697" t="s">
        <v>54</v>
      </c>
    </row>
    <row r="730" spans="1:20" x14ac:dyDescent="0.25">
      <c r="A730" s="690"/>
      <c r="B730" s="697" t="s">
        <v>1998</v>
      </c>
      <c r="C730" s="547" t="s">
        <v>40</v>
      </c>
      <c r="D730" s="683">
        <v>44805</v>
      </c>
      <c r="E730" s="547">
        <v>720</v>
      </c>
      <c r="F730" s="547" t="s">
        <v>3</v>
      </c>
      <c r="G730" s="727" t="s">
        <v>44</v>
      </c>
      <c r="H730" s="638">
        <v>-1</v>
      </c>
      <c r="I730" s="638">
        <v>88</v>
      </c>
      <c r="J730" s="639">
        <f t="shared" si="77"/>
        <v>63360</v>
      </c>
      <c r="K730" s="750">
        <v>56.08</v>
      </c>
      <c r="L730" s="608">
        <f t="shared" si="78"/>
        <v>-40377.599999999999</v>
      </c>
      <c r="M730" s="751">
        <f t="shared" si="79"/>
        <v>22982.400000000001</v>
      </c>
      <c r="N730" s="752">
        <v>56.08</v>
      </c>
      <c r="O730" s="609">
        <f t="shared" si="80"/>
        <v>-40377.599999999999</v>
      </c>
      <c r="P730" s="703">
        <f t="shared" si="81"/>
        <v>22982.400000000001</v>
      </c>
      <c r="Q730" s="752">
        <v>56.08</v>
      </c>
      <c r="R730" s="609">
        <f t="shared" si="82"/>
        <v>-40377.599999999999</v>
      </c>
      <c r="S730" s="703">
        <f t="shared" si="83"/>
        <v>22982.400000000001</v>
      </c>
      <c r="T730" s="697" t="s">
        <v>54</v>
      </c>
    </row>
    <row r="731" spans="1:20" x14ac:dyDescent="0.25">
      <c r="A731" s="690"/>
      <c r="B731" s="697" t="s">
        <v>2000</v>
      </c>
      <c r="C731" s="547" t="s">
        <v>40</v>
      </c>
      <c r="D731" s="683">
        <v>44743</v>
      </c>
      <c r="E731" s="547">
        <v>744</v>
      </c>
      <c r="F731" s="547" t="s">
        <v>3</v>
      </c>
      <c r="G731" s="727" t="s">
        <v>44</v>
      </c>
      <c r="H731" s="638">
        <v>-13</v>
      </c>
      <c r="I731" s="638">
        <v>64</v>
      </c>
      <c r="J731" s="639">
        <f t="shared" si="77"/>
        <v>619008</v>
      </c>
      <c r="K731" s="750">
        <v>66.319999999999993</v>
      </c>
      <c r="L731" s="608">
        <f t="shared" si="78"/>
        <v>-641447.03999999992</v>
      </c>
      <c r="M731" s="751">
        <f t="shared" si="79"/>
        <v>-22439.039999999921</v>
      </c>
      <c r="N731" s="752">
        <v>66.319999999999993</v>
      </c>
      <c r="O731" s="609">
        <f t="shared" si="80"/>
        <v>-641447.03999999992</v>
      </c>
      <c r="P731" s="703">
        <f t="shared" si="81"/>
        <v>-22439.039999999921</v>
      </c>
      <c r="Q731" s="752">
        <v>66.319999999999993</v>
      </c>
      <c r="R731" s="609">
        <f t="shared" si="82"/>
        <v>-641447.03999999992</v>
      </c>
      <c r="S731" s="703">
        <f t="shared" si="83"/>
        <v>-22439.039999999921</v>
      </c>
      <c r="T731" s="697" t="s">
        <v>54</v>
      </c>
    </row>
    <row r="732" spans="1:20" x14ac:dyDescent="0.25">
      <c r="A732" s="690"/>
      <c r="B732" s="697" t="s">
        <v>2020</v>
      </c>
      <c r="C732" s="547" t="s">
        <v>40</v>
      </c>
      <c r="D732" s="683">
        <v>44743</v>
      </c>
      <c r="E732" s="547">
        <v>744</v>
      </c>
      <c r="F732" s="547" t="s">
        <v>3</v>
      </c>
      <c r="G732" s="727" t="s">
        <v>44</v>
      </c>
      <c r="H732" s="638">
        <v>-10</v>
      </c>
      <c r="I732" s="638">
        <v>66</v>
      </c>
      <c r="J732" s="639">
        <f t="shared" si="77"/>
        <v>491040</v>
      </c>
      <c r="K732" s="750">
        <v>66.319999999999993</v>
      </c>
      <c r="L732" s="608">
        <f t="shared" si="78"/>
        <v>-493420.79999999993</v>
      </c>
      <c r="M732" s="751">
        <f t="shared" si="79"/>
        <v>-2380.7999999999302</v>
      </c>
      <c r="N732" s="752">
        <v>66.319999999999993</v>
      </c>
      <c r="O732" s="609">
        <f t="shared" si="80"/>
        <v>-493420.79999999993</v>
      </c>
      <c r="P732" s="703">
        <f t="shared" si="81"/>
        <v>-2380.7999999999302</v>
      </c>
      <c r="Q732" s="752">
        <v>66.319999999999993</v>
      </c>
      <c r="R732" s="609">
        <f t="shared" si="82"/>
        <v>-493420.79999999993</v>
      </c>
      <c r="S732" s="703">
        <f t="shared" si="83"/>
        <v>-2380.7999999999302</v>
      </c>
      <c r="T732" s="697" t="s">
        <v>54</v>
      </c>
    </row>
    <row r="733" spans="1:20" x14ac:dyDescent="0.25">
      <c r="A733" s="690"/>
      <c r="B733" s="697" t="s">
        <v>2037</v>
      </c>
      <c r="C733" s="547" t="s">
        <v>40</v>
      </c>
      <c r="D733" s="683">
        <v>44743</v>
      </c>
      <c r="E733" s="547">
        <v>744</v>
      </c>
      <c r="F733" s="547" t="s">
        <v>5</v>
      </c>
      <c r="G733" s="727" t="s">
        <v>44</v>
      </c>
      <c r="H733" s="638">
        <v>-5</v>
      </c>
      <c r="I733" s="638">
        <v>95</v>
      </c>
      <c r="J733" s="639">
        <f t="shared" si="77"/>
        <v>353400</v>
      </c>
      <c r="K733" s="750">
        <v>66.319999999999993</v>
      </c>
      <c r="L733" s="608">
        <f t="shared" si="78"/>
        <v>-246710.39999999997</v>
      </c>
      <c r="M733" s="751">
        <f t="shared" si="79"/>
        <v>106689.60000000003</v>
      </c>
      <c r="N733" s="752">
        <v>66.319999999999993</v>
      </c>
      <c r="O733" s="609">
        <f t="shared" si="80"/>
        <v>-246710.39999999997</v>
      </c>
      <c r="P733" s="703">
        <f t="shared" si="81"/>
        <v>106689.60000000003</v>
      </c>
      <c r="Q733" s="752">
        <v>66.319999999999993</v>
      </c>
      <c r="R733" s="609">
        <f t="shared" si="82"/>
        <v>-246710.39999999997</v>
      </c>
      <c r="S733" s="703">
        <f t="shared" si="83"/>
        <v>106689.60000000003</v>
      </c>
      <c r="T733" s="697" t="s">
        <v>54</v>
      </c>
    </row>
    <row r="734" spans="1:20" x14ac:dyDescent="0.25">
      <c r="A734" s="690"/>
      <c r="B734" s="697" t="s">
        <v>2040</v>
      </c>
      <c r="C734" s="547" t="s">
        <v>40</v>
      </c>
      <c r="D734" s="683">
        <v>44743</v>
      </c>
      <c r="E734" s="547">
        <v>744</v>
      </c>
      <c r="F734" s="547" t="s">
        <v>3</v>
      </c>
      <c r="G734" s="727" t="s">
        <v>44</v>
      </c>
      <c r="H734" s="638">
        <v>-15.4</v>
      </c>
      <c r="I734" s="638">
        <v>65.5</v>
      </c>
      <c r="J734" s="639">
        <f t="shared" si="77"/>
        <v>750472.8</v>
      </c>
      <c r="K734" s="750">
        <v>66.319999999999993</v>
      </c>
      <c r="L734" s="608">
        <f t="shared" si="78"/>
        <v>-759868.03199999989</v>
      </c>
      <c r="M734" s="751">
        <f t="shared" si="79"/>
        <v>-9395.2319999998435</v>
      </c>
      <c r="N734" s="752">
        <v>66.319999999999993</v>
      </c>
      <c r="O734" s="609">
        <f t="shared" si="80"/>
        <v>-759868.03199999989</v>
      </c>
      <c r="P734" s="703">
        <f t="shared" si="81"/>
        <v>-9395.2319999998435</v>
      </c>
      <c r="Q734" s="752">
        <v>66.319999999999993</v>
      </c>
      <c r="R734" s="609">
        <f t="shared" si="82"/>
        <v>-759868.03199999989</v>
      </c>
      <c r="S734" s="703">
        <f t="shared" si="83"/>
        <v>-9395.2319999998435</v>
      </c>
      <c r="T734" s="697" t="s">
        <v>54</v>
      </c>
    </row>
    <row r="735" spans="1:20" x14ac:dyDescent="0.25">
      <c r="A735" s="690"/>
      <c r="B735" s="697" t="s">
        <v>2052</v>
      </c>
      <c r="C735" s="547" t="s">
        <v>40</v>
      </c>
      <c r="D735" s="683">
        <v>44743</v>
      </c>
      <c r="E735" s="547">
        <v>744</v>
      </c>
      <c r="F735" s="547" t="s">
        <v>5</v>
      </c>
      <c r="G735" s="727" t="s">
        <v>44</v>
      </c>
      <c r="H735" s="638">
        <v>-3</v>
      </c>
      <c r="I735" s="638">
        <v>96.32</v>
      </c>
      <c r="J735" s="639">
        <f t="shared" si="77"/>
        <v>214986.23999999999</v>
      </c>
      <c r="K735" s="750">
        <v>66.319999999999993</v>
      </c>
      <c r="L735" s="608">
        <f t="shared" si="78"/>
        <v>-148026.23999999999</v>
      </c>
      <c r="M735" s="751">
        <f t="shared" si="79"/>
        <v>66960</v>
      </c>
      <c r="N735" s="752">
        <v>66.319999999999993</v>
      </c>
      <c r="O735" s="609">
        <f t="shared" si="80"/>
        <v>-148026.23999999999</v>
      </c>
      <c r="P735" s="703">
        <f t="shared" si="81"/>
        <v>66960</v>
      </c>
      <c r="Q735" s="752">
        <v>66.319999999999993</v>
      </c>
      <c r="R735" s="609">
        <f t="shared" si="82"/>
        <v>-148026.23999999999</v>
      </c>
      <c r="S735" s="703">
        <f t="shared" si="83"/>
        <v>66960</v>
      </c>
      <c r="T735" s="697" t="s">
        <v>92</v>
      </c>
    </row>
    <row r="736" spans="1:20" x14ac:dyDescent="0.25">
      <c r="A736" s="690"/>
      <c r="B736" s="697" t="s">
        <v>2054</v>
      </c>
      <c r="C736" s="547" t="s">
        <v>40</v>
      </c>
      <c r="D736" s="683">
        <v>44743</v>
      </c>
      <c r="E736" s="547">
        <v>744</v>
      </c>
      <c r="F736" s="547" t="s">
        <v>5</v>
      </c>
      <c r="G736" s="727" t="s">
        <v>44</v>
      </c>
      <c r="H736" s="638">
        <v>-2</v>
      </c>
      <c r="I736" s="638">
        <v>96.32</v>
      </c>
      <c r="J736" s="639">
        <f t="shared" si="77"/>
        <v>143324.16</v>
      </c>
      <c r="K736" s="750">
        <v>66.319999999999993</v>
      </c>
      <c r="L736" s="608">
        <f t="shared" si="78"/>
        <v>-98684.159999999989</v>
      </c>
      <c r="M736" s="751">
        <f t="shared" si="79"/>
        <v>44640.000000000015</v>
      </c>
      <c r="N736" s="752">
        <v>66.319999999999993</v>
      </c>
      <c r="O736" s="609">
        <f t="shared" si="80"/>
        <v>-98684.159999999989</v>
      </c>
      <c r="P736" s="703">
        <f t="shared" si="81"/>
        <v>44640.000000000015</v>
      </c>
      <c r="Q736" s="752">
        <v>66.319999999999993</v>
      </c>
      <c r="R736" s="609">
        <f t="shared" si="82"/>
        <v>-98684.159999999989</v>
      </c>
      <c r="S736" s="703">
        <f t="shared" si="83"/>
        <v>44640.000000000015</v>
      </c>
      <c r="T736" s="697" t="s">
        <v>92</v>
      </c>
    </row>
    <row r="737" spans="1:20" x14ac:dyDescent="0.25">
      <c r="A737" s="690"/>
      <c r="B737" s="697" t="s">
        <v>2056</v>
      </c>
      <c r="C737" s="547" t="s">
        <v>40</v>
      </c>
      <c r="D737" s="683">
        <v>44743</v>
      </c>
      <c r="E737" s="547">
        <v>744</v>
      </c>
      <c r="F737" s="547" t="s">
        <v>5</v>
      </c>
      <c r="G737" s="727" t="s">
        <v>44</v>
      </c>
      <c r="H737" s="638">
        <v>-7</v>
      </c>
      <c r="I737" s="638">
        <v>95.5</v>
      </c>
      <c r="J737" s="639">
        <f t="shared" si="77"/>
        <v>497364</v>
      </c>
      <c r="K737" s="750">
        <v>66.319999999999993</v>
      </c>
      <c r="L737" s="608">
        <f t="shared" si="78"/>
        <v>-345394.55999999994</v>
      </c>
      <c r="M737" s="751">
        <f t="shared" si="79"/>
        <v>151969.44000000006</v>
      </c>
      <c r="N737" s="752">
        <v>66.319999999999993</v>
      </c>
      <c r="O737" s="609">
        <f t="shared" si="80"/>
        <v>-345394.55999999994</v>
      </c>
      <c r="P737" s="703">
        <f t="shared" si="81"/>
        <v>151969.44000000006</v>
      </c>
      <c r="Q737" s="752">
        <v>66.319999999999993</v>
      </c>
      <c r="R737" s="609">
        <f t="shared" si="82"/>
        <v>-345394.55999999994</v>
      </c>
      <c r="S737" s="703">
        <f t="shared" si="83"/>
        <v>151969.44000000006</v>
      </c>
      <c r="T737" s="697" t="s">
        <v>54</v>
      </c>
    </row>
    <row r="738" spans="1:20" x14ac:dyDescent="0.25">
      <c r="A738" s="690"/>
      <c r="B738" s="697" t="s">
        <v>2058</v>
      </c>
      <c r="C738" s="547" t="s">
        <v>40</v>
      </c>
      <c r="D738" s="683">
        <v>44743</v>
      </c>
      <c r="E738" s="547">
        <v>744</v>
      </c>
      <c r="F738" s="547" t="s">
        <v>5</v>
      </c>
      <c r="G738" s="727" t="s">
        <v>44</v>
      </c>
      <c r="H738" s="638">
        <v>-15</v>
      </c>
      <c r="I738" s="638">
        <v>96.61999999999999</v>
      </c>
      <c r="J738" s="639">
        <f t="shared" si="77"/>
        <v>1078279.2</v>
      </c>
      <c r="K738" s="750">
        <v>66.319999999999993</v>
      </c>
      <c r="L738" s="608">
        <f t="shared" si="78"/>
        <v>-740131.2</v>
      </c>
      <c r="M738" s="751">
        <f t="shared" si="79"/>
        <v>338148</v>
      </c>
      <c r="N738" s="752">
        <v>66.319999999999993</v>
      </c>
      <c r="O738" s="609">
        <f t="shared" si="80"/>
        <v>-740131.2</v>
      </c>
      <c r="P738" s="703">
        <f t="shared" si="81"/>
        <v>338148</v>
      </c>
      <c r="Q738" s="752">
        <v>66.319999999999993</v>
      </c>
      <c r="R738" s="609">
        <f t="shared" si="82"/>
        <v>-740131.2</v>
      </c>
      <c r="S738" s="703">
        <f t="shared" si="83"/>
        <v>338148</v>
      </c>
      <c r="T738" s="697" t="s">
        <v>92</v>
      </c>
    </row>
    <row r="739" spans="1:20" x14ac:dyDescent="0.25">
      <c r="A739" s="690"/>
      <c r="B739" s="697" t="s">
        <v>2060</v>
      </c>
      <c r="C739" s="547" t="s">
        <v>40</v>
      </c>
      <c r="D739" s="683">
        <v>44743</v>
      </c>
      <c r="E739" s="547">
        <v>744</v>
      </c>
      <c r="F739" s="547" t="s">
        <v>5</v>
      </c>
      <c r="G739" s="727" t="s">
        <v>44</v>
      </c>
      <c r="H739" s="638">
        <v>-1</v>
      </c>
      <c r="I739" s="638">
        <v>96.32</v>
      </c>
      <c r="J739" s="639">
        <f t="shared" si="77"/>
        <v>71662.080000000002</v>
      </c>
      <c r="K739" s="750">
        <v>66.319999999999993</v>
      </c>
      <c r="L739" s="608">
        <f t="shared" si="78"/>
        <v>-49342.079999999994</v>
      </c>
      <c r="M739" s="751">
        <f t="shared" si="79"/>
        <v>22320.000000000007</v>
      </c>
      <c r="N739" s="752">
        <v>66.319999999999993</v>
      </c>
      <c r="O739" s="609">
        <f t="shared" si="80"/>
        <v>-49342.079999999994</v>
      </c>
      <c r="P739" s="703">
        <f t="shared" si="81"/>
        <v>22320.000000000007</v>
      </c>
      <c r="Q739" s="752">
        <v>66.319999999999993</v>
      </c>
      <c r="R739" s="609">
        <f t="shared" si="82"/>
        <v>-49342.079999999994</v>
      </c>
      <c r="S739" s="703">
        <f t="shared" si="83"/>
        <v>22320.000000000007</v>
      </c>
      <c r="T739" s="697" t="s">
        <v>92</v>
      </c>
    </row>
    <row r="740" spans="1:20" x14ac:dyDescent="0.25">
      <c r="A740" s="690"/>
      <c r="B740" s="697" t="s">
        <v>2069</v>
      </c>
      <c r="C740" s="547" t="s">
        <v>40</v>
      </c>
      <c r="D740" s="683">
        <v>44805</v>
      </c>
      <c r="E740" s="547">
        <v>720</v>
      </c>
      <c r="F740" s="547" t="s">
        <v>3</v>
      </c>
      <c r="G740" s="727" t="s">
        <v>44</v>
      </c>
      <c r="H740" s="638">
        <v>-2</v>
      </c>
      <c r="I740" s="638">
        <v>86.5</v>
      </c>
      <c r="J740" s="639">
        <f t="shared" si="77"/>
        <v>124560</v>
      </c>
      <c r="K740" s="750">
        <v>56.08</v>
      </c>
      <c r="L740" s="608">
        <f t="shared" si="78"/>
        <v>-80755.199999999997</v>
      </c>
      <c r="M740" s="751">
        <f t="shared" si="79"/>
        <v>43804.800000000003</v>
      </c>
      <c r="N740" s="752">
        <v>56.08</v>
      </c>
      <c r="O740" s="609">
        <f t="shared" si="80"/>
        <v>-80755.199999999997</v>
      </c>
      <c r="P740" s="703">
        <f t="shared" si="81"/>
        <v>43804.800000000003</v>
      </c>
      <c r="Q740" s="752">
        <v>56.08</v>
      </c>
      <c r="R740" s="609">
        <f t="shared" si="82"/>
        <v>-80755.199999999997</v>
      </c>
      <c r="S740" s="703">
        <f t="shared" si="83"/>
        <v>43804.800000000003</v>
      </c>
      <c r="T740" s="697" t="s">
        <v>54</v>
      </c>
    </row>
    <row r="741" spans="1:20" x14ac:dyDescent="0.25">
      <c r="A741" s="690"/>
      <c r="B741" s="697" t="s">
        <v>2071</v>
      </c>
      <c r="C741" s="547" t="s">
        <v>40</v>
      </c>
      <c r="D741" s="683">
        <v>44805</v>
      </c>
      <c r="E741" s="547">
        <v>720</v>
      </c>
      <c r="F741" s="547" t="s">
        <v>3</v>
      </c>
      <c r="G741" s="727" t="s">
        <v>44</v>
      </c>
      <c r="H741" s="638">
        <v>-5</v>
      </c>
      <c r="I741" s="638">
        <v>86.5</v>
      </c>
      <c r="J741" s="639">
        <f t="shared" si="77"/>
        <v>311400</v>
      </c>
      <c r="K741" s="750">
        <v>56.08</v>
      </c>
      <c r="L741" s="608">
        <f t="shared" si="78"/>
        <v>-201888</v>
      </c>
      <c r="M741" s="751">
        <f t="shared" si="79"/>
        <v>109512</v>
      </c>
      <c r="N741" s="752">
        <v>56.08</v>
      </c>
      <c r="O741" s="609">
        <f t="shared" si="80"/>
        <v>-201888</v>
      </c>
      <c r="P741" s="703">
        <f t="shared" si="81"/>
        <v>109512</v>
      </c>
      <c r="Q741" s="752">
        <v>56.08</v>
      </c>
      <c r="R741" s="609">
        <f t="shared" si="82"/>
        <v>-201888</v>
      </c>
      <c r="S741" s="703">
        <f t="shared" si="83"/>
        <v>109512</v>
      </c>
      <c r="T741" s="697" t="s">
        <v>54</v>
      </c>
    </row>
    <row r="742" spans="1:20" x14ac:dyDescent="0.25">
      <c r="A742" s="690"/>
      <c r="B742" s="697" t="s">
        <v>2073</v>
      </c>
      <c r="C742" s="547" t="s">
        <v>40</v>
      </c>
      <c r="D742" s="683">
        <v>44805</v>
      </c>
      <c r="E742" s="547">
        <v>720</v>
      </c>
      <c r="F742" s="547" t="s">
        <v>3</v>
      </c>
      <c r="G742" s="727" t="s">
        <v>44</v>
      </c>
      <c r="H742" s="638">
        <v>-1</v>
      </c>
      <c r="I742" s="638">
        <v>87</v>
      </c>
      <c r="J742" s="639">
        <f t="shared" si="77"/>
        <v>62640</v>
      </c>
      <c r="K742" s="750">
        <v>56.08</v>
      </c>
      <c r="L742" s="608">
        <f t="shared" si="78"/>
        <v>-40377.599999999999</v>
      </c>
      <c r="M742" s="751">
        <f t="shared" si="79"/>
        <v>22262.400000000001</v>
      </c>
      <c r="N742" s="752">
        <v>56.08</v>
      </c>
      <c r="O742" s="609">
        <f t="shared" si="80"/>
        <v>-40377.599999999999</v>
      </c>
      <c r="P742" s="703">
        <f t="shared" si="81"/>
        <v>22262.400000000001</v>
      </c>
      <c r="Q742" s="752">
        <v>56.08</v>
      </c>
      <c r="R742" s="609">
        <f t="shared" si="82"/>
        <v>-40377.599999999999</v>
      </c>
      <c r="S742" s="703">
        <f t="shared" si="83"/>
        <v>22262.400000000001</v>
      </c>
      <c r="T742" s="697" t="s">
        <v>54</v>
      </c>
    </row>
    <row r="743" spans="1:20" x14ac:dyDescent="0.25">
      <c r="A743" s="690"/>
      <c r="B743" s="697" t="s">
        <v>2077</v>
      </c>
      <c r="C743" s="547" t="s">
        <v>40</v>
      </c>
      <c r="D743" s="683">
        <v>44743</v>
      </c>
      <c r="E743" s="547">
        <v>744</v>
      </c>
      <c r="F743" s="547" t="s">
        <v>5</v>
      </c>
      <c r="G743" s="727" t="s">
        <v>44</v>
      </c>
      <c r="H743" s="638">
        <v>-10</v>
      </c>
      <c r="I743" s="638">
        <v>96.52</v>
      </c>
      <c r="J743" s="639">
        <f t="shared" si="77"/>
        <v>718108.79999999993</v>
      </c>
      <c r="K743" s="750">
        <v>66.319999999999993</v>
      </c>
      <c r="L743" s="608">
        <f t="shared" si="78"/>
        <v>-493420.79999999993</v>
      </c>
      <c r="M743" s="751">
        <f t="shared" si="79"/>
        <v>224688</v>
      </c>
      <c r="N743" s="752">
        <v>66.319999999999993</v>
      </c>
      <c r="O743" s="609">
        <f t="shared" si="80"/>
        <v>-493420.79999999993</v>
      </c>
      <c r="P743" s="703">
        <f t="shared" si="81"/>
        <v>224688</v>
      </c>
      <c r="Q743" s="752">
        <v>66.319999999999993</v>
      </c>
      <c r="R743" s="609">
        <f t="shared" si="82"/>
        <v>-493420.79999999993</v>
      </c>
      <c r="S743" s="703">
        <f t="shared" si="83"/>
        <v>224688</v>
      </c>
      <c r="T743" s="697" t="s">
        <v>92</v>
      </c>
    </row>
    <row r="744" spans="1:20" x14ac:dyDescent="0.25">
      <c r="A744" s="690"/>
      <c r="B744" s="697" t="s">
        <v>2087</v>
      </c>
      <c r="C744" s="547" t="s">
        <v>40</v>
      </c>
      <c r="D744" s="683">
        <v>44743</v>
      </c>
      <c r="E744" s="547">
        <v>744</v>
      </c>
      <c r="F744" s="547" t="s">
        <v>5</v>
      </c>
      <c r="G744" s="727" t="s">
        <v>13</v>
      </c>
      <c r="H744" s="638">
        <v>-0.55700000000000005</v>
      </c>
      <c r="I744" s="638">
        <v>96.32</v>
      </c>
      <c r="J744" s="639">
        <f t="shared" si="77"/>
        <v>39915.778559999999</v>
      </c>
      <c r="K744" s="750">
        <v>66.319999999999993</v>
      </c>
      <c r="L744" s="608">
        <f t="shared" si="78"/>
        <v>-27483.538559999997</v>
      </c>
      <c r="M744" s="751">
        <f t="shared" si="79"/>
        <v>12432.240000000002</v>
      </c>
      <c r="N744" s="752">
        <v>66.319999999999993</v>
      </c>
      <c r="O744" s="609">
        <f t="shared" si="80"/>
        <v>-27483.538559999997</v>
      </c>
      <c r="P744" s="703">
        <f t="shared" si="81"/>
        <v>12432.240000000002</v>
      </c>
      <c r="Q744" s="752">
        <v>66.319999999999993</v>
      </c>
      <c r="R744" s="609">
        <f t="shared" si="82"/>
        <v>-27483.538559999997</v>
      </c>
      <c r="S744" s="703">
        <f t="shared" si="83"/>
        <v>12432.240000000002</v>
      </c>
      <c r="T744" s="697" t="s">
        <v>92</v>
      </c>
    </row>
    <row r="745" spans="1:20" x14ac:dyDescent="0.25">
      <c r="A745" s="690"/>
      <c r="B745" s="697" t="s">
        <v>2089</v>
      </c>
      <c r="C745" s="547" t="s">
        <v>40</v>
      </c>
      <c r="D745" s="683">
        <v>44743</v>
      </c>
      <c r="E745" s="547">
        <v>744</v>
      </c>
      <c r="F745" s="547" t="s">
        <v>5</v>
      </c>
      <c r="G745" s="727" t="s">
        <v>44</v>
      </c>
      <c r="H745" s="638">
        <v>-15</v>
      </c>
      <c r="I745" s="638">
        <v>96.52</v>
      </c>
      <c r="J745" s="639">
        <f t="shared" si="77"/>
        <v>1077163.2</v>
      </c>
      <c r="K745" s="750">
        <v>66.319999999999993</v>
      </c>
      <c r="L745" s="608">
        <f t="shared" si="78"/>
        <v>-740131.2</v>
      </c>
      <c r="M745" s="751">
        <f t="shared" si="79"/>
        <v>337032</v>
      </c>
      <c r="N745" s="752">
        <v>66.319999999999993</v>
      </c>
      <c r="O745" s="609">
        <f t="shared" si="80"/>
        <v>-740131.2</v>
      </c>
      <c r="P745" s="703">
        <f t="shared" si="81"/>
        <v>337032</v>
      </c>
      <c r="Q745" s="752">
        <v>66.319999999999993</v>
      </c>
      <c r="R745" s="609">
        <f t="shared" si="82"/>
        <v>-740131.2</v>
      </c>
      <c r="S745" s="703">
        <f t="shared" si="83"/>
        <v>337032</v>
      </c>
      <c r="T745" s="697" t="s">
        <v>54</v>
      </c>
    </row>
    <row r="746" spans="1:20" x14ac:dyDescent="0.25">
      <c r="A746" s="690"/>
      <c r="B746" s="697" t="s">
        <v>2095</v>
      </c>
      <c r="C746" s="547" t="s">
        <v>40</v>
      </c>
      <c r="D746" s="683">
        <v>44743</v>
      </c>
      <c r="E746" s="547">
        <v>744</v>
      </c>
      <c r="F746" s="547" t="s">
        <v>5</v>
      </c>
      <c r="G746" s="727" t="s">
        <v>44</v>
      </c>
      <c r="H746" s="638">
        <v>-7</v>
      </c>
      <c r="I746" s="638">
        <v>96.32</v>
      </c>
      <c r="J746" s="639">
        <f t="shared" si="77"/>
        <v>501634.55999999994</v>
      </c>
      <c r="K746" s="750">
        <v>66.319999999999993</v>
      </c>
      <c r="L746" s="608">
        <f t="shared" si="78"/>
        <v>-345394.55999999994</v>
      </c>
      <c r="M746" s="751">
        <f t="shared" si="79"/>
        <v>156240</v>
      </c>
      <c r="N746" s="752">
        <v>66.319999999999993</v>
      </c>
      <c r="O746" s="609">
        <f t="shared" si="80"/>
        <v>-345394.55999999994</v>
      </c>
      <c r="P746" s="703">
        <f t="shared" si="81"/>
        <v>156240</v>
      </c>
      <c r="Q746" s="752">
        <v>66.319999999999993</v>
      </c>
      <c r="R746" s="609">
        <f t="shared" si="82"/>
        <v>-345394.55999999994</v>
      </c>
      <c r="S746" s="703">
        <f t="shared" si="83"/>
        <v>156240</v>
      </c>
      <c r="T746" s="697" t="s">
        <v>92</v>
      </c>
    </row>
    <row r="747" spans="1:20" x14ac:dyDescent="0.25">
      <c r="A747" s="690"/>
      <c r="B747" s="697" t="s">
        <v>2106</v>
      </c>
      <c r="C747" s="547" t="s">
        <v>40</v>
      </c>
      <c r="D747" s="683">
        <v>44743</v>
      </c>
      <c r="E747" s="547">
        <v>744</v>
      </c>
      <c r="F747" s="547" t="s">
        <v>5</v>
      </c>
      <c r="G747" s="727" t="s">
        <v>44</v>
      </c>
      <c r="H747" s="638">
        <v>-2</v>
      </c>
      <c r="I747" s="638">
        <v>96.02</v>
      </c>
      <c r="J747" s="639">
        <f t="shared" si="77"/>
        <v>142877.75999999998</v>
      </c>
      <c r="K747" s="750">
        <v>66.319999999999993</v>
      </c>
      <c r="L747" s="608">
        <f t="shared" si="78"/>
        <v>-98684.159999999989</v>
      </c>
      <c r="M747" s="751">
        <f t="shared" si="79"/>
        <v>44193.599999999991</v>
      </c>
      <c r="N747" s="752">
        <v>66.319999999999993</v>
      </c>
      <c r="O747" s="609">
        <f t="shared" si="80"/>
        <v>-98684.159999999989</v>
      </c>
      <c r="P747" s="703">
        <f t="shared" si="81"/>
        <v>44193.599999999991</v>
      </c>
      <c r="Q747" s="752">
        <v>66.319999999999993</v>
      </c>
      <c r="R747" s="609">
        <f t="shared" si="82"/>
        <v>-98684.159999999989</v>
      </c>
      <c r="S747" s="703">
        <f t="shared" si="83"/>
        <v>44193.599999999991</v>
      </c>
      <c r="T747" s="697" t="s">
        <v>92</v>
      </c>
    </row>
    <row r="748" spans="1:20" x14ac:dyDescent="0.25">
      <c r="A748" s="690"/>
      <c r="B748" s="697" t="s">
        <v>2108</v>
      </c>
      <c r="C748" s="547" t="s">
        <v>40</v>
      </c>
      <c r="D748" s="683">
        <v>44743</v>
      </c>
      <c r="E748" s="547">
        <v>744</v>
      </c>
      <c r="F748" s="547" t="s">
        <v>5</v>
      </c>
      <c r="G748" s="727" t="s">
        <v>44</v>
      </c>
      <c r="H748" s="638">
        <v>-4</v>
      </c>
      <c r="I748" s="638">
        <v>96.32</v>
      </c>
      <c r="J748" s="639">
        <f t="shared" si="77"/>
        <v>286648.32000000001</v>
      </c>
      <c r="K748" s="750">
        <v>66.319999999999993</v>
      </c>
      <c r="L748" s="608">
        <f t="shared" si="78"/>
        <v>-197368.31999999998</v>
      </c>
      <c r="M748" s="751">
        <f t="shared" si="79"/>
        <v>89280.000000000029</v>
      </c>
      <c r="N748" s="752">
        <v>66.319999999999993</v>
      </c>
      <c r="O748" s="609">
        <f t="shared" si="80"/>
        <v>-197368.31999999998</v>
      </c>
      <c r="P748" s="703">
        <f t="shared" si="81"/>
        <v>89280.000000000029</v>
      </c>
      <c r="Q748" s="752">
        <v>66.319999999999993</v>
      </c>
      <c r="R748" s="609">
        <f t="shared" si="82"/>
        <v>-197368.31999999998</v>
      </c>
      <c r="S748" s="703">
        <f t="shared" si="83"/>
        <v>89280.000000000029</v>
      </c>
      <c r="T748" s="697" t="s">
        <v>92</v>
      </c>
    </row>
    <row r="749" spans="1:20" x14ac:dyDescent="0.25">
      <c r="A749" s="690"/>
      <c r="B749" s="697" t="s">
        <v>2110</v>
      </c>
      <c r="C749" s="547" t="s">
        <v>40</v>
      </c>
      <c r="D749" s="683">
        <v>44743</v>
      </c>
      <c r="E749" s="547">
        <v>744</v>
      </c>
      <c r="F749" s="547" t="s">
        <v>5</v>
      </c>
      <c r="G749" s="727" t="s">
        <v>44</v>
      </c>
      <c r="H749" s="638">
        <v>-5</v>
      </c>
      <c r="I749" s="638">
        <v>96.32</v>
      </c>
      <c r="J749" s="639">
        <f t="shared" si="77"/>
        <v>358310.39999999997</v>
      </c>
      <c r="K749" s="750">
        <v>66.319999999999993</v>
      </c>
      <c r="L749" s="608">
        <f t="shared" si="78"/>
        <v>-246710.39999999997</v>
      </c>
      <c r="M749" s="751">
        <f t="shared" si="79"/>
        <v>111600</v>
      </c>
      <c r="N749" s="752">
        <v>66.319999999999993</v>
      </c>
      <c r="O749" s="609">
        <f t="shared" si="80"/>
        <v>-246710.39999999997</v>
      </c>
      <c r="P749" s="703">
        <f t="shared" si="81"/>
        <v>111600</v>
      </c>
      <c r="Q749" s="752">
        <v>66.319999999999993</v>
      </c>
      <c r="R749" s="609">
        <f t="shared" si="82"/>
        <v>-246710.39999999997</v>
      </c>
      <c r="S749" s="703">
        <f t="shared" si="83"/>
        <v>111600</v>
      </c>
      <c r="T749" s="697" t="s">
        <v>92</v>
      </c>
    </row>
    <row r="750" spans="1:20" x14ac:dyDescent="0.25">
      <c r="A750" s="690"/>
      <c r="B750" s="697" t="s">
        <v>2112</v>
      </c>
      <c r="C750" s="547" t="s">
        <v>40</v>
      </c>
      <c r="D750" s="683">
        <v>44743</v>
      </c>
      <c r="E750" s="547">
        <v>744</v>
      </c>
      <c r="F750" s="547" t="s">
        <v>5</v>
      </c>
      <c r="G750" s="727" t="s">
        <v>44</v>
      </c>
      <c r="H750" s="638">
        <v>-10</v>
      </c>
      <c r="I750" s="638">
        <v>96.32</v>
      </c>
      <c r="J750" s="639">
        <f t="shared" si="77"/>
        <v>716620.79999999993</v>
      </c>
      <c r="K750" s="750">
        <v>66.319999999999993</v>
      </c>
      <c r="L750" s="608">
        <f t="shared" si="78"/>
        <v>-493420.79999999993</v>
      </c>
      <c r="M750" s="751">
        <f t="shared" si="79"/>
        <v>223200</v>
      </c>
      <c r="N750" s="752">
        <v>66.319999999999993</v>
      </c>
      <c r="O750" s="609">
        <f t="shared" si="80"/>
        <v>-493420.79999999993</v>
      </c>
      <c r="P750" s="703">
        <f t="shared" si="81"/>
        <v>223200</v>
      </c>
      <c r="Q750" s="752">
        <v>66.319999999999993</v>
      </c>
      <c r="R750" s="609">
        <f t="shared" si="82"/>
        <v>-493420.79999999993</v>
      </c>
      <c r="S750" s="703">
        <f t="shared" si="83"/>
        <v>223200</v>
      </c>
      <c r="T750" s="697" t="s">
        <v>92</v>
      </c>
    </row>
    <row r="751" spans="1:20" x14ac:dyDescent="0.25">
      <c r="A751" s="690"/>
      <c r="B751" s="697" t="s">
        <v>2114</v>
      </c>
      <c r="C751" s="547" t="s">
        <v>40</v>
      </c>
      <c r="D751" s="683">
        <v>44743</v>
      </c>
      <c r="E751" s="547">
        <v>744</v>
      </c>
      <c r="F751" s="547" t="s">
        <v>5</v>
      </c>
      <c r="G751" s="727" t="s">
        <v>44</v>
      </c>
      <c r="H751" s="638">
        <v>-10</v>
      </c>
      <c r="I751" s="638">
        <v>96.61999999999999</v>
      </c>
      <c r="J751" s="639">
        <f t="shared" si="77"/>
        <v>718852.79999999993</v>
      </c>
      <c r="K751" s="750">
        <v>66.319999999999993</v>
      </c>
      <c r="L751" s="608">
        <f t="shared" si="78"/>
        <v>-493420.79999999993</v>
      </c>
      <c r="M751" s="751">
        <f t="shared" si="79"/>
        <v>225432</v>
      </c>
      <c r="N751" s="752">
        <v>66.319999999999993</v>
      </c>
      <c r="O751" s="609">
        <f t="shared" si="80"/>
        <v>-493420.79999999993</v>
      </c>
      <c r="P751" s="703">
        <f t="shared" si="81"/>
        <v>225432</v>
      </c>
      <c r="Q751" s="752">
        <v>66.319999999999993</v>
      </c>
      <c r="R751" s="609">
        <f t="shared" si="82"/>
        <v>-493420.79999999993</v>
      </c>
      <c r="S751" s="703">
        <f t="shared" si="83"/>
        <v>225432</v>
      </c>
      <c r="T751" s="697" t="s">
        <v>92</v>
      </c>
    </row>
    <row r="752" spans="1:20" x14ac:dyDescent="0.25">
      <c r="A752" s="690"/>
      <c r="B752" s="697" t="s">
        <v>2116</v>
      </c>
      <c r="C752" s="547" t="s">
        <v>40</v>
      </c>
      <c r="D752" s="683">
        <v>44743</v>
      </c>
      <c r="E752" s="547">
        <v>744</v>
      </c>
      <c r="F752" s="547" t="s">
        <v>5</v>
      </c>
      <c r="G752" s="727" t="s">
        <v>44</v>
      </c>
      <c r="H752" s="638">
        <v>-2</v>
      </c>
      <c r="I752" s="638">
        <v>96.32</v>
      </c>
      <c r="J752" s="639">
        <f t="shared" si="77"/>
        <v>143324.16</v>
      </c>
      <c r="K752" s="750">
        <v>66.319999999999993</v>
      </c>
      <c r="L752" s="608">
        <f t="shared" si="78"/>
        <v>-98684.159999999989</v>
      </c>
      <c r="M752" s="751">
        <f t="shared" si="79"/>
        <v>44640.000000000015</v>
      </c>
      <c r="N752" s="752">
        <v>66.319999999999993</v>
      </c>
      <c r="O752" s="609">
        <f t="shared" si="80"/>
        <v>-98684.159999999989</v>
      </c>
      <c r="P752" s="703">
        <f t="shared" si="81"/>
        <v>44640.000000000015</v>
      </c>
      <c r="Q752" s="752">
        <v>66.319999999999993</v>
      </c>
      <c r="R752" s="609">
        <f t="shared" si="82"/>
        <v>-98684.159999999989</v>
      </c>
      <c r="S752" s="703">
        <f t="shared" si="83"/>
        <v>44640.000000000015</v>
      </c>
      <c r="T752" s="697" t="s">
        <v>92</v>
      </c>
    </row>
    <row r="753" spans="1:20" x14ac:dyDescent="0.25">
      <c r="A753" s="690"/>
      <c r="B753" s="697" t="s">
        <v>2118</v>
      </c>
      <c r="C753" s="547" t="s">
        <v>40</v>
      </c>
      <c r="D753" s="683">
        <v>44743</v>
      </c>
      <c r="E753" s="547">
        <v>744</v>
      </c>
      <c r="F753" s="547" t="s">
        <v>5</v>
      </c>
      <c r="G753" s="727" t="s">
        <v>44</v>
      </c>
      <c r="H753" s="638">
        <v>-19</v>
      </c>
      <c r="I753" s="638">
        <v>96.62</v>
      </c>
      <c r="J753" s="639">
        <f t="shared" si="77"/>
        <v>1365820.32</v>
      </c>
      <c r="K753" s="750">
        <v>66.319999999999993</v>
      </c>
      <c r="L753" s="608">
        <f t="shared" si="78"/>
        <v>-937499.5199999999</v>
      </c>
      <c r="M753" s="751">
        <f t="shared" si="79"/>
        <v>428320.80000000016</v>
      </c>
      <c r="N753" s="752">
        <v>66.319999999999993</v>
      </c>
      <c r="O753" s="609">
        <f t="shared" si="80"/>
        <v>-937499.5199999999</v>
      </c>
      <c r="P753" s="703">
        <f t="shared" si="81"/>
        <v>428320.80000000016</v>
      </c>
      <c r="Q753" s="752">
        <v>66.319999999999993</v>
      </c>
      <c r="R753" s="609">
        <f t="shared" si="82"/>
        <v>-937499.5199999999</v>
      </c>
      <c r="S753" s="703">
        <f t="shared" si="83"/>
        <v>428320.80000000016</v>
      </c>
      <c r="T753" s="697" t="s">
        <v>54</v>
      </c>
    </row>
    <row r="754" spans="1:20" x14ac:dyDescent="0.25">
      <c r="A754" s="690"/>
      <c r="B754" s="697" t="s">
        <v>2122</v>
      </c>
      <c r="C754" s="547" t="s">
        <v>40</v>
      </c>
      <c r="D754" s="683">
        <v>44743</v>
      </c>
      <c r="E754" s="547">
        <v>744</v>
      </c>
      <c r="F754" s="547" t="s">
        <v>5</v>
      </c>
      <c r="G754" s="727" t="s">
        <v>44</v>
      </c>
      <c r="H754" s="638">
        <v>-2</v>
      </c>
      <c r="I754" s="638">
        <v>95.32</v>
      </c>
      <c r="J754" s="639">
        <f t="shared" si="77"/>
        <v>141836.16</v>
      </c>
      <c r="K754" s="750">
        <v>66.319999999999993</v>
      </c>
      <c r="L754" s="608">
        <f t="shared" si="78"/>
        <v>-98684.159999999989</v>
      </c>
      <c r="M754" s="751">
        <f t="shared" si="79"/>
        <v>43152.000000000015</v>
      </c>
      <c r="N754" s="752">
        <v>66.319999999999993</v>
      </c>
      <c r="O754" s="609">
        <f t="shared" si="80"/>
        <v>-98684.159999999989</v>
      </c>
      <c r="P754" s="703">
        <f t="shared" si="81"/>
        <v>43152.000000000015</v>
      </c>
      <c r="Q754" s="752">
        <v>66.319999999999993</v>
      </c>
      <c r="R754" s="609">
        <f t="shared" si="82"/>
        <v>-98684.159999999989</v>
      </c>
      <c r="S754" s="703">
        <f t="shared" si="83"/>
        <v>43152.000000000015</v>
      </c>
      <c r="T754" s="697" t="s">
        <v>92</v>
      </c>
    </row>
    <row r="755" spans="1:20" x14ac:dyDescent="0.25">
      <c r="A755" s="690"/>
      <c r="B755" s="697" t="s">
        <v>2124</v>
      </c>
      <c r="C755" s="547" t="s">
        <v>40</v>
      </c>
      <c r="D755" s="683">
        <v>44743</v>
      </c>
      <c r="E755" s="547">
        <v>744</v>
      </c>
      <c r="F755" s="547" t="s">
        <v>5</v>
      </c>
      <c r="G755" s="727" t="s">
        <v>12</v>
      </c>
      <c r="H755" s="638">
        <v>-20</v>
      </c>
      <c r="I755" s="638">
        <v>95.55</v>
      </c>
      <c r="J755" s="639">
        <f t="shared" si="77"/>
        <v>1421784</v>
      </c>
      <c r="K755" s="750">
        <v>66.319999999999993</v>
      </c>
      <c r="L755" s="608">
        <f t="shared" si="78"/>
        <v>-986841.59999999986</v>
      </c>
      <c r="M755" s="751">
        <f t="shared" si="79"/>
        <v>434942.40000000014</v>
      </c>
      <c r="N755" s="752">
        <v>66.319999999999993</v>
      </c>
      <c r="O755" s="609">
        <f t="shared" si="80"/>
        <v>-986841.59999999986</v>
      </c>
      <c r="P755" s="703">
        <f t="shared" si="81"/>
        <v>434942.40000000014</v>
      </c>
      <c r="Q755" s="752">
        <v>66.319999999999993</v>
      </c>
      <c r="R755" s="609">
        <f t="shared" si="82"/>
        <v>-986841.59999999986</v>
      </c>
      <c r="S755" s="703">
        <f t="shared" si="83"/>
        <v>434942.40000000014</v>
      </c>
      <c r="T755" s="697" t="s">
        <v>92</v>
      </c>
    </row>
    <row r="756" spans="1:20" x14ac:dyDescent="0.25">
      <c r="A756" s="690"/>
      <c r="B756" s="697" t="s">
        <v>2128</v>
      </c>
      <c r="C756" s="547" t="s">
        <v>40</v>
      </c>
      <c r="D756" s="683">
        <v>44927</v>
      </c>
      <c r="E756" s="547">
        <v>744</v>
      </c>
      <c r="F756" s="547" t="s">
        <v>3</v>
      </c>
      <c r="G756" s="727" t="s">
        <v>44</v>
      </c>
      <c r="H756" s="638">
        <v>14</v>
      </c>
      <c r="I756" s="638">
        <v>164.35067691280813</v>
      </c>
      <c r="J756" s="639">
        <f t="shared" si="77"/>
        <v>-1711876.6507238094</v>
      </c>
      <c r="K756" s="750">
        <v>68.72</v>
      </c>
      <c r="L756" s="608">
        <f t="shared" si="78"/>
        <v>715787.52</v>
      </c>
      <c r="M756" s="751">
        <f t="shared" si="79"/>
        <v>-996089.13072380936</v>
      </c>
      <c r="N756" s="752">
        <v>55.7</v>
      </c>
      <c r="O756" s="609">
        <f t="shared" si="80"/>
        <v>580171.20000000007</v>
      </c>
      <c r="P756" s="703">
        <f t="shared" si="81"/>
        <v>-1131705.4507238092</v>
      </c>
      <c r="Q756" s="752">
        <v>96.206580759134184</v>
      </c>
      <c r="R756" s="609">
        <f t="shared" si="82"/>
        <v>1002087.7451871417</v>
      </c>
      <c r="S756" s="703">
        <f t="shared" si="83"/>
        <v>-709788.90553666768</v>
      </c>
      <c r="T756" s="697" t="s">
        <v>54</v>
      </c>
    </row>
    <row r="757" spans="1:20" x14ac:dyDescent="0.25">
      <c r="A757" s="690"/>
      <c r="B757" s="697" t="s">
        <v>2130</v>
      </c>
      <c r="C757" s="547" t="s">
        <v>40</v>
      </c>
      <c r="D757" s="683">
        <v>44958</v>
      </c>
      <c r="E757" s="547">
        <v>672</v>
      </c>
      <c r="F757" s="547" t="s">
        <v>3</v>
      </c>
      <c r="G757" s="727" t="s">
        <v>44</v>
      </c>
      <c r="H757" s="638">
        <v>-14</v>
      </c>
      <c r="I757" s="638">
        <v>164.35067691280813</v>
      </c>
      <c r="J757" s="639">
        <f t="shared" si="77"/>
        <v>1546211.1683956988</v>
      </c>
      <c r="K757" s="750">
        <v>69.25</v>
      </c>
      <c r="L757" s="608">
        <f t="shared" si="78"/>
        <v>-651504</v>
      </c>
      <c r="M757" s="751">
        <f t="shared" si="79"/>
        <v>894707.16839569877</v>
      </c>
      <c r="N757" s="752">
        <v>55.7</v>
      </c>
      <c r="O757" s="609">
        <f t="shared" si="80"/>
        <v>-524025.60000000003</v>
      </c>
      <c r="P757" s="703">
        <f t="shared" si="81"/>
        <v>1022185.5683956987</v>
      </c>
      <c r="Q757" s="752">
        <v>92.430648861364247</v>
      </c>
      <c r="R757" s="609">
        <f t="shared" si="82"/>
        <v>-869587.54448771488</v>
      </c>
      <c r="S757" s="703">
        <f t="shared" si="83"/>
        <v>676623.62390798389</v>
      </c>
      <c r="T757" s="697" t="s">
        <v>54</v>
      </c>
    </row>
    <row r="758" spans="1:20" x14ac:dyDescent="0.25">
      <c r="A758" s="690"/>
      <c r="B758" s="697" t="s">
        <v>2133</v>
      </c>
      <c r="C758" s="547" t="s">
        <v>40</v>
      </c>
      <c r="D758" s="683">
        <v>44805</v>
      </c>
      <c r="E758" s="547">
        <v>720</v>
      </c>
      <c r="F758" s="547" t="s">
        <v>3</v>
      </c>
      <c r="G758" s="727" t="s">
        <v>44</v>
      </c>
      <c r="H758" s="638">
        <v>-4</v>
      </c>
      <c r="I758" s="638">
        <v>80</v>
      </c>
      <c r="J758" s="639">
        <f t="shared" si="77"/>
        <v>230400</v>
      </c>
      <c r="K758" s="750">
        <v>56.08</v>
      </c>
      <c r="L758" s="608">
        <f t="shared" si="78"/>
        <v>-161510.39999999999</v>
      </c>
      <c r="M758" s="751">
        <f t="shared" si="79"/>
        <v>68889.600000000006</v>
      </c>
      <c r="N758" s="752">
        <v>56.08</v>
      </c>
      <c r="O758" s="609">
        <f t="shared" si="80"/>
        <v>-161510.39999999999</v>
      </c>
      <c r="P758" s="703">
        <f t="shared" si="81"/>
        <v>68889.600000000006</v>
      </c>
      <c r="Q758" s="752">
        <v>56.08</v>
      </c>
      <c r="R758" s="609">
        <f t="shared" si="82"/>
        <v>-161510.39999999999</v>
      </c>
      <c r="S758" s="703">
        <f t="shared" si="83"/>
        <v>68889.600000000006</v>
      </c>
      <c r="T758" s="697" t="s">
        <v>54</v>
      </c>
    </row>
    <row r="759" spans="1:20" x14ac:dyDescent="0.25">
      <c r="A759" s="690"/>
      <c r="B759" s="697" t="s">
        <v>2138</v>
      </c>
      <c r="C759" s="547" t="s">
        <v>40</v>
      </c>
      <c r="D759" s="683">
        <v>44805</v>
      </c>
      <c r="E759" s="547">
        <v>720</v>
      </c>
      <c r="F759" s="547" t="s">
        <v>3</v>
      </c>
      <c r="G759" s="727" t="s">
        <v>44</v>
      </c>
      <c r="H759" s="638">
        <v>-2</v>
      </c>
      <c r="I759" s="638">
        <v>79</v>
      </c>
      <c r="J759" s="639">
        <f t="shared" si="77"/>
        <v>113760</v>
      </c>
      <c r="K759" s="750">
        <v>56.08</v>
      </c>
      <c r="L759" s="608">
        <f t="shared" si="78"/>
        <v>-80755.199999999997</v>
      </c>
      <c r="M759" s="751">
        <f t="shared" si="79"/>
        <v>33004.800000000003</v>
      </c>
      <c r="N759" s="752">
        <v>56.08</v>
      </c>
      <c r="O759" s="609">
        <f t="shared" si="80"/>
        <v>-80755.199999999997</v>
      </c>
      <c r="P759" s="703">
        <f t="shared" si="81"/>
        <v>33004.800000000003</v>
      </c>
      <c r="Q759" s="752">
        <v>56.08</v>
      </c>
      <c r="R759" s="609">
        <f t="shared" si="82"/>
        <v>-80755.199999999997</v>
      </c>
      <c r="S759" s="703">
        <f t="shared" si="83"/>
        <v>33004.800000000003</v>
      </c>
      <c r="T759" s="697" t="s">
        <v>54</v>
      </c>
    </row>
    <row r="760" spans="1:20" x14ac:dyDescent="0.25">
      <c r="A760" s="690"/>
      <c r="B760" s="697" t="s">
        <v>2140</v>
      </c>
      <c r="C760" s="547" t="s">
        <v>40</v>
      </c>
      <c r="D760" s="683">
        <v>44805</v>
      </c>
      <c r="E760" s="547">
        <v>720</v>
      </c>
      <c r="F760" s="547" t="s">
        <v>3</v>
      </c>
      <c r="G760" s="727" t="s">
        <v>44</v>
      </c>
      <c r="H760" s="638">
        <v>-2</v>
      </c>
      <c r="I760" s="638">
        <v>79.5</v>
      </c>
      <c r="J760" s="639">
        <f t="shared" si="77"/>
        <v>114480</v>
      </c>
      <c r="K760" s="750">
        <v>56.08</v>
      </c>
      <c r="L760" s="608">
        <f t="shared" si="78"/>
        <v>-80755.199999999997</v>
      </c>
      <c r="M760" s="751">
        <f t="shared" si="79"/>
        <v>33724.800000000003</v>
      </c>
      <c r="N760" s="752">
        <v>56.08</v>
      </c>
      <c r="O760" s="609">
        <f t="shared" si="80"/>
        <v>-80755.199999999997</v>
      </c>
      <c r="P760" s="703">
        <f t="shared" si="81"/>
        <v>33724.800000000003</v>
      </c>
      <c r="Q760" s="752">
        <v>56.08</v>
      </c>
      <c r="R760" s="609">
        <f t="shared" si="82"/>
        <v>-80755.199999999997</v>
      </c>
      <c r="S760" s="703">
        <f t="shared" si="83"/>
        <v>33724.800000000003</v>
      </c>
      <c r="T760" s="697" t="s">
        <v>54</v>
      </c>
    </row>
    <row r="761" spans="1:20" x14ac:dyDescent="0.25">
      <c r="A761" s="690"/>
      <c r="B761" s="697" t="s">
        <v>2149</v>
      </c>
      <c r="C761" s="547" t="s">
        <v>40</v>
      </c>
      <c r="D761" s="683">
        <v>44774</v>
      </c>
      <c r="E761" s="547">
        <v>744</v>
      </c>
      <c r="F761" s="547" t="s">
        <v>3</v>
      </c>
      <c r="G761" s="727" t="s">
        <v>44</v>
      </c>
      <c r="H761" s="638">
        <v>-3</v>
      </c>
      <c r="I761" s="638">
        <v>81.599999999999994</v>
      </c>
      <c r="J761" s="639">
        <f t="shared" si="77"/>
        <v>182131.19999999998</v>
      </c>
      <c r="K761" s="750">
        <v>76.900000000000006</v>
      </c>
      <c r="L761" s="608">
        <f t="shared" si="78"/>
        <v>-171640.80000000002</v>
      </c>
      <c r="M761" s="751">
        <f t="shared" si="79"/>
        <v>10490.399999999965</v>
      </c>
      <c r="N761" s="752">
        <v>76.900000000000006</v>
      </c>
      <c r="O761" s="609">
        <f t="shared" si="80"/>
        <v>-171640.80000000002</v>
      </c>
      <c r="P761" s="703">
        <f t="shared" si="81"/>
        <v>10490.399999999965</v>
      </c>
      <c r="Q761" s="752">
        <v>76.900000000000006</v>
      </c>
      <c r="R761" s="609">
        <f t="shared" si="82"/>
        <v>-171640.80000000002</v>
      </c>
      <c r="S761" s="703">
        <f t="shared" si="83"/>
        <v>10490.399999999965</v>
      </c>
      <c r="T761" s="697" t="s">
        <v>54</v>
      </c>
    </row>
    <row r="762" spans="1:20" x14ac:dyDescent="0.25">
      <c r="A762" s="690"/>
      <c r="B762" s="697" t="s">
        <v>2151</v>
      </c>
      <c r="C762" s="547" t="s">
        <v>40</v>
      </c>
      <c r="D762" s="683">
        <v>44774</v>
      </c>
      <c r="E762" s="547">
        <v>744</v>
      </c>
      <c r="F762" s="547" t="s">
        <v>3</v>
      </c>
      <c r="G762" s="727" t="s">
        <v>44</v>
      </c>
      <c r="H762" s="638">
        <v>-2</v>
      </c>
      <c r="I762" s="638">
        <v>82</v>
      </c>
      <c r="J762" s="639">
        <f t="shared" si="77"/>
        <v>122016</v>
      </c>
      <c r="K762" s="750">
        <v>76.900000000000006</v>
      </c>
      <c r="L762" s="608">
        <f t="shared" si="78"/>
        <v>-114427.20000000001</v>
      </c>
      <c r="M762" s="751">
        <f t="shared" si="79"/>
        <v>7588.7999999999884</v>
      </c>
      <c r="N762" s="752">
        <v>76.900000000000006</v>
      </c>
      <c r="O762" s="609">
        <f t="shared" si="80"/>
        <v>-114427.20000000001</v>
      </c>
      <c r="P762" s="703">
        <f t="shared" si="81"/>
        <v>7588.7999999999884</v>
      </c>
      <c r="Q762" s="752">
        <v>76.900000000000006</v>
      </c>
      <c r="R762" s="609">
        <f t="shared" si="82"/>
        <v>-114427.20000000001</v>
      </c>
      <c r="S762" s="703">
        <f t="shared" si="83"/>
        <v>7588.7999999999884</v>
      </c>
      <c r="T762" s="697" t="s">
        <v>54</v>
      </c>
    </row>
    <row r="763" spans="1:20" x14ac:dyDescent="0.25">
      <c r="A763" s="690"/>
      <c r="B763" s="697" t="s">
        <v>2153</v>
      </c>
      <c r="C763" s="547" t="s">
        <v>40</v>
      </c>
      <c r="D763" s="683">
        <v>44774</v>
      </c>
      <c r="E763" s="547">
        <v>744</v>
      </c>
      <c r="F763" s="547" t="s">
        <v>3</v>
      </c>
      <c r="G763" s="727" t="s">
        <v>44</v>
      </c>
      <c r="H763" s="638">
        <v>-2</v>
      </c>
      <c r="I763" s="638">
        <v>82</v>
      </c>
      <c r="J763" s="639">
        <f t="shared" si="77"/>
        <v>122016</v>
      </c>
      <c r="K763" s="750">
        <v>76.900000000000006</v>
      </c>
      <c r="L763" s="608">
        <f t="shared" si="78"/>
        <v>-114427.20000000001</v>
      </c>
      <c r="M763" s="751">
        <f t="shared" si="79"/>
        <v>7588.7999999999884</v>
      </c>
      <c r="N763" s="752">
        <v>76.900000000000006</v>
      </c>
      <c r="O763" s="609">
        <f t="shared" si="80"/>
        <v>-114427.20000000001</v>
      </c>
      <c r="P763" s="703">
        <f t="shared" si="81"/>
        <v>7588.7999999999884</v>
      </c>
      <c r="Q763" s="752">
        <v>76.900000000000006</v>
      </c>
      <c r="R763" s="609">
        <f t="shared" si="82"/>
        <v>-114427.20000000001</v>
      </c>
      <c r="S763" s="703">
        <f t="shared" si="83"/>
        <v>7588.7999999999884</v>
      </c>
      <c r="T763" s="697" t="s">
        <v>54</v>
      </c>
    </row>
    <row r="764" spans="1:20" x14ac:dyDescent="0.25">
      <c r="A764" s="690"/>
      <c r="B764" s="696" t="s">
        <v>2155</v>
      </c>
      <c r="C764" s="546" t="s">
        <v>40</v>
      </c>
      <c r="D764" s="682">
        <v>45017</v>
      </c>
      <c r="E764" s="546">
        <v>720</v>
      </c>
      <c r="F764" s="546" t="s">
        <v>3</v>
      </c>
      <c r="G764" s="726" t="s">
        <v>44</v>
      </c>
      <c r="H764" s="549">
        <v>10</v>
      </c>
      <c r="I764" s="549">
        <v>126.03579517853383</v>
      </c>
      <c r="J764" s="605">
        <f t="shared" si="77"/>
        <v>-907457.72528544359</v>
      </c>
      <c r="K764" s="746">
        <v>69.8</v>
      </c>
      <c r="L764" s="606">
        <f t="shared" si="78"/>
        <v>502560</v>
      </c>
      <c r="M764" s="747">
        <f t="shared" si="79"/>
        <v>-404897.72528544359</v>
      </c>
      <c r="N764" s="748">
        <v>55.7</v>
      </c>
      <c r="O764" s="607">
        <f t="shared" si="80"/>
        <v>401040</v>
      </c>
      <c r="P764" s="702">
        <f t="shared" si="81"/>
        <v>-506417.72528544359</v>
      </c>
      <c r="Q764" s="748">
        <v>85.732008718771311</v>
      </c>
      <c r="R764" s="607">
        <f t="shared" si="82"/>
        <v>617270.46277515346</v>
      </c>
      <c r="S764" s="702">
        <f t="shared" si="83"/>
        <v>-290187.26251029014</v>
      </c>
      <c r="T764" s="696" t="s">
        <v>54</v>
      </c>
    </row>
    <row r="765" spans="1:20" x14ac:dyDescent="0.25">
      <c r="A765" s="690"/>
      <c r="B765" s="691" t="s">
        <v>2155</v>
      </c>
      <c r="C765" s="676" t="s">
        <v>40</v>
      </c>
      <c r="D765" s="680">
        <v>45047</v>
      </c>
      <c r="E765" s="676">
        <v>744</v>
      </c>
      <c r="F765" s="676" t="s">
        <v>3</v>
      </c>
      <c r="G765" s="690" t="s">
        <v>44</v>
      </c>
      <c r="H765" s="115">
        <v>10</v>
      </c>
      <c r="I765" s="115">
        <v>126.03579517853383</v>
      </c>
      <c r="J765" s="601">
        <f t="shared" si="77"/>
        <v>-937706.31612829166</v>
      </c>
      <c r="K765" s="738">
        <v>70.2</v>
      </c>
      <c r="L765" s="677">
        <f t="shared" si="78"/>
        <v>522288</v>
      </c>
      <c r="M765" s="739">
        <f t="shared" si="79"/>
        <v>-415418.31612829166</v>
      </c>
      <c r="N765" s="740">
        <v>55.7</v>
      </c>
      <c r="O765" s="678">
        <f t="shared" si="80"/>
        <v>414408</v>
      </c>
      <c r="P765" s="700">
        <f t="shared" si="81"/>
        <v>-523298.31612829166</v>
      </c>
      <c r="Q765" s="740">
        <v>86.223309628334476</v>
      </c>
      <c r="R765" s="678">
        <f t="shared" si="82"/>
        <v>641501.42363480851</v>
      </c>
      <c r="S765" s="700">
        <f t="shared" si="83"/>
        <v>-296204.89249348314</v>
      </c>
      <c r="T765" s="691" t="s">
        <v>54</v>
      </c>
    </row>
    <row r="766" spans="1:20" x14ac:dyDescent="0.25">
      <c r="A766" s="690"/>
      <c r="B766" s="695" t="s">
        <v>2155</v>
      </c>
      <c r="C766" s="545" t="s">
        <v>40</v>
      </c>
      <c r="D766" s="681">
        <v>45078</v>
      </c>
      <c r="E766" s="545">
        <v>720</v>
      </c>
      <c r="F766" s="545" t="s">
        <v>3</v>
      </c>
      <c r="G766" s="725" t="s">
        <v>44</v>
      </c>
      <c r="H766" s="548">
        <v>10</v>
      </c>
      <c r="I766" s="548">
        <v>126.03579517853383</v>
      </c>
      <c r="J766" s="602">
        <f t="shared" si="77"/>
        <v>-907457.72528544359</v>
      </c>
      <c r="K766" s="742">
        <v>72.400000000000006</v>
      </c>
      <c r="L766" s="603">
        <f t="shared" si="78"/>
        <v>521280.00000000006</v>
      </c>
      <c r="M766" s="743">
        <f t="shared" si="79"/>
        <v>-386177.72528544354</v>
      </c>
      <c r="N766" s="744">
        <v>55.874535369068141</v>
      </c>
      <c r="O766" s="604">
        <f t="shared" si="80"/>
        <v>402296.65465729061</v>
      </c>
      <c r="P766" s="701">
        <f t="shared" si="81"/>
        <v>-505161.07062815299</v>
      </c>
      <c r="Q766" s="744">
        <v>88.925464630931856</v>
      </c>
      <c r="R766" s="604">
        <f t="shared" si="82"/>
        <v>640263.34534270933</v>
      </c>
      <c r="S766" s="701">
        <f t="shared" si="83"/>
        <v>-267194.37994273426</v>
      </c>
      <c r="T766" s="695" t="s">
        <v>54</v>
      </c>
    </row>
    <row r="767" spans="1:20" x14ac:dyDescent="0.25">
      <c r="A767" s="690"/>
      <c r="B767" s="697" t="s">
        <v>2161</v>
      </c>
      <c r="C767" s="547" t="s">
        <v>40</v>
      </c>
      <c r="D767" s="683">
        <v>44774</v>
      </c>
      <c r="E767" s="547">
        <v>744</v>
      </c>
      <c r="F767" s="547" t="s">
        <v>3</v>
      </c>
      <c r="G767" s="727" t="s">
        <v>44</v>
      </c>
      <c r="H767" s="638">
        <v>-6</v>
      </c>
      <c r="I767" s="638">
        <v>80</v>
      </c>
      <c r="J767" s="639">
        <f t="shared" si="77"/>
        <v>357120</v>
      </c>
      <c r="K767" s="750">
        <v>76.900000000000006</v>
      </c>
      <c r="L767" s="608">
        <f t="shared" si="78"/>
        <v>-343281.60000000003</v>
      </c>
      <c r="M767" s="751">
        <f t="shared" si="79"/>
        <v>13838.399999999965</v>
      </c>
      <c r="N767" s="752">
        <v>76.900000000000006</v>
      </c>
      <c r="O767" s="609">
        <f t="shared" si="80"/>
        <v>-343281.60000000003</v>
      </c>
      <c r="P767" s="703">
        <f t="shared" si="81"/>
        <v>13838.399999999965</v>
      </c>
      <c r="Q767" s="752">
        <v>76.900000000000006</v>
      </c>
      <c r="R767" s="609">
        <f t="shared" si="82"/>
        <v>-343281.60000000003</v>
      </c>
      <c r="S767" s="703">
        <f t="shared" si="83"/>
        <v>13838.399999999965</v>
      </c>
      <c r="T767" s="697" t="s">
        <v>54</v>
      </c>
    </row>
    <row r="768" spans="1:20" x14ac:dyDescent="0.25">
      <c r="A768" s="690"/>
      <c r="B768" s="697" t="s">
        <v>2163</v>
      </c>
      <c r="C768" s="547" t="s">
        <v>40</v>
      </c>
      <c r="D768" s="683">
        <v>44774</v>
      </c>
      <c r="E768" s="547">
        <v>744</v>
      </c>
      <c r="F768" s="547" t="s">
        <v>3</v>
      </c>
      <c r="G768" s="727" t="s">
        <v>44</v>
      </c>
      <c r="H768" s="638">
        <v>-2</v>
      </c>
      <c r="I768" s="638">
        <v>79</v>
      </c>
      <c r="J768" s="639">
        <f t="shared" si="77"/>
        <v>117552</v>
      </c>
      <c r="K768" s="750">
        <v>76.900000000000006</v>
      </c>
      <c r="L768" s="608">
        <f t="shared" si="78"/>
        <v>-114427.20000000001</v>
      </c>
      <c r="M768" s="751">
        <f t="shared" si="79"/>
        <v>3124.7999999999884</v>
      </c>
      <c r="N768" s="752">
        <v>76.900000000000006</v>
      </c>
      <c r="O768" s="609">
        <f t="shared" si="80"/>
        <v>-114427.20000000001</v>
      </c>
      <c r="P768" s="703">
        <f t="shared" si="81"/>
        <v>3124.7999999999884</v>
      </c>
      <c r="Q768" s="752">
        <v>76.900000000000006</v>
      </c>
      <c r="R768" s="609">
        <f t="shared" si="82"/>
        <v>-114427.20000000001</v>
      </c>
      <c r="S768" s="703">
        <f t="shared" si="83"/>
        <v>3124.7999999999884</v>
      </c>
      <c r="T768" s="697" t="s">
        <v>54</v>
      </c>
    </row>
    <row r="769" spans="1:20" x14ac:dyDescent="0.25">
      <c r="A769" s="690"/>
      <c r="B769" s="697" t="s">
        <v>2177</v>
      </c>
      <c r="C769" s="547" t="s">
        <v>40</v>
      </c>
      <c r="D769" s="683">
        <v>45261</v>
      </c>
      <c r="E769" s="547">
        <v>744</v>
      </c>
      <c r="F769" s="547" t="s">
        <v>3</v>
      </c>
      <c r="G769" s="727" t="s">
        <v>44</v>
      </c>
      <c r="H769" s="638">
        <v>12</v>
      </c>
      <c r="I769" s="638">
        <v>164.35067691280813</v>
      </c>
      <c r="J769" s="639">
        <f t="shared" si="77"/>
        <v>-1467322.8434775509</v>
      </c>
      <c r="K769" s="750">
        <v>80.45</v>
      </c>
      <c r="L769" s="608">
        <f t="shared" si="78"/>
        <v>718257.6</v>
      </c>
      <c r="M769" s="751">
        <f t="shared" si="79"/>
        <v>-749065.24347755092</v>
      </c>
      <c r="N769" s="752">
        <v>62.087104564109552</v>
      </c>
      <c r="O769" s="609">
        <f t="shared" si="80"/>
        <v>554313.66954837006</v>
      </c>
      <c r="P769" s="703">
        <f t="shared" si="81"/>
        <v>-913009.17392918083</v>
      </c>
      <c r="Q769" s="752">
        <v>98.812895435890439</v>
      </c>
      <c r="R769" s="609">
        <f t="shared" si="82"/>
        <v>882201.53045162989</v>
      </c>
      <c r="S769" s="703">
        <f t="shared" si="83"/>
        <v>-585121.313025921</v>
      </c>
      <c r="T769" s="697" t="s">
        <v>54</v>
      </c>
    </row>
    <row r="770" spans="1:20" x14ac:dyDescent="0.25">
      <c r="A770" s="690"/>
      <c r="B770" s="696" t="s">
        <v>2179</v>
      </c>
      <c r="C770" s="546" t="s">
        <v>40</v>
      </c>
      <c r="D770" s="682">
        <v>44927</v>
      </c>
      <c r="E770" s="546">
        <v>744</v>
      </c>
      <c r="F770" s="546" t="s">
        <v>3</v>
      </c>
      <c r="G770" s="726" t="s">
        <v>44</v>
      </c>
      <c r="H770" s="549">
        <v>16</v>
      </c>
      <c r="I770" s="549">
        <v>148.2180951299558</v>
      </c>
      <c r="J770" s="605">
        <f t="shared" si="77"/>
        <v>-1764388.2044269938</v>
      </c>
      <c r="K770" s="746">
        <v>68.72</v>
      </c>
      <c r="L770" s="606">
        <f t="shared" si="78"/>
        <v>818042.88</v>
      </c>
      <c r="M770" s="747">
        <f t="shared" si="79"/>
        <v>-946345.32442699384</v>
      </c>
      <c r="N770" s="748">
        <v>55.7</v>
      </c>
      <c r="O770" s="607">
        <f t="shared" si="80"/>
        <v>663052.80000000005</v>
      </c>
      <c r="P770" s="702">
        <f t="shared" si="81"/>
        <v>-1101335.4044269938</v>
      </c>
      <c r="Q770" s="748">
        <v>96.206580759134184</v>
      </c>
      <c r="R770" s="607">
        <f t="shared" si="82"/>
        <v>1145243.1373567334</v>
      </c>
      <c r="S770" s="702">
        <f t="shared" si="83"/>
        <v>-619145.06707026041</v>
      </c>
      <c r="T770" s="696" t="s">
        <v>54</v>
      </c>
    </row>
    <row r="771" spans="1:20" x14ac:dyDescent="0.25">
      <c r="A771" s="690"/>
      <c r="B771" s="691" t="s">
        <v>2179</v>
      </c>
      <c r="C771" s="676" t="s">
        <v>40</v>
      </c>
      <c r="D771" s="680">
        <v>44958</v>
      </c>
      <c r="E771" s="676">
        <v>672</v>
      </c>
      <c r="F771" s="676" t="s">
        <v>3</v>
      </c>
      <c r="G771" s="690" t="s">
        <v>44</v>
      </c>
      <c r="H771" s="115">
        <v>16</v>
      </c>
      <c r="I771" s="115">
        <v>148.2180951299558</v>
      </c>
      <c r="J771" s="601">
        <f t="shared" ref="J771:J834" si="84">(I771*(E771*H771))*-1</f>
        <v>-1593640.9588372847</v>
      </c>
      <c r="K771" s="738">
        <v>69.25</v>
      </c>
      <c r="L771" s="677">
        <f t="shared" ref="L771:L834" si="85">(((E771*H771)*K771))</f>
        <v>744576</v>
      </c>
      <c r="M771" s="739">
        <f t="shared" ref="M771:M834" si="86">J771+L771</f>
        <v>-849064.95883728471</v>
      </c>
      <c r="N771" s="740">
        <v>55.7</v>
      </c>
      <c r="O771" s="678">
        <f t="shared" ref="O771:O834" si="87">((E771*H771)*N771)</f>
        <v>598886.40000000002</v>
      </c>
      <c r="P771" s="700">
        <f t="shared" ref="P771:P834" si="88">J771+O771</f>
        <v>-994754.55883728468</v>
      </c>
      <c r="Q771" s="740">
        <v>92.430648861364247</v>
      </c>
      <c r="R771" s="678">
        <f t="shared" ref="R771:R834" si="89">((E771*H771)*Q771)</f>
        <v>993814.33655738842</v>
      </c>
      <c r="S771" s="700">
        <f t="shared" ref="S771:S834" si="90">J771+R771</f>
        <v>-599826.62227989628</v>
      </c>
      <c r="T771" s="691" t="s">
        <v>54</v>
      </c>
    </row>
    <row r="772" spans="1:20" x14ac:dyDescent="0.25">
      <c r="A772" s="690"/>
      <c r="B772" s="695" t="s">
        <v>2179</v>
      </c>
      <c r="C772" s="545" t="s">
        <v>40</v>
      </c>
      <c r="D772" s="681">
        <v>44986</v>
      </c>
      <c r="E772" s="545">
        <v>744</v>
      </c>
      <c r="F772" s="545" t="s">
        <v>3</v>
      </c>
      <c r="G772" s="725" t="s">
        <v>44</v>
      </c>
      <c r="H772" s="548">
        <v>16</v>
      </c>
      <c r="I772" s="548">
        <v>148.2180951299558</v>
      </c>
      <c r="J772" s="602">
        <f t="shared" si="84"/>
        <v>-1764388.2044269938</v>
      </c>
      <c r="K772" s="742">
        <v>69.3</v>
      </c>
      <c r="L772" s="603">
        <f t="shared" si="85"/>
        <v>824947.19999999995</v>
      </c>
      <c r="M772" s="743">
        <f t="shared" si="86"/>
        <v>-939441.0044269939</v>
      </c>
      <c r="N772" s="744">
        <v>55.7</v>
      </c>
      <c r="O772" s="604">
        <f t="shared" si="87"/>
        <v>663052.80000000005</v>
      </c>
      <c r="P772" s="701">
        <f t="shared" si="88"/>
        <v>-1101335.4044269938</v>
      </c>
      <c r="Q772" s="744">
        <v>89.053218420260009</v>
      </c>
      <c r="R772" s="604">
        <f t="shared" si="89"/>
        <v>1060089.5120747751</v>
      </c>
      <c r="S772" s="701">
        <f t="shared" si="90"/>
        <v>-704298.69235221879</v>
      </c>
      <c r="T772" s="695" t="s">
        <v>54</v>
      </c>
    </row>
    <row r="773" spans="1:20" x14ac:dyDescent="0.25">
      <c r="A773" s="690"/>
      <c r="B773" s="696" t="s">
        <v>2181</v>
      </c>
      <c r="C773" s="546" t="s">
        <v>40</v>
      </c>
      <c r="D773" s="682">
        <v>44927</v>
      </c>
      <c r="E773" s="546">
        <v>744</v>
      </c>
      <c r="F773" s="546" t="s">
        <v>3</v>
      </c>
      <c r="G773" s="726" t="s">
        <v>44</v>
      </c>
      <c r="H773" s="549">
        <v>3</v>
      </c>
      <c r="I773" s="549">
        <v>147.20980876852752</v>
      </c>
      <c r="J773" s="605">
        <f t="shared" si="84"/>
        <v>-328572.29317135341</v>
      </c>
      <c r="K773" s="746">
        <v>68.72</v>
      </c>
      <c r="L773" s="606">
        <f t="shared" si="85"/>
        <v>153383.04000000001</v>
      </c>
      <c r="M773" s="747">
        <f t="shared" si="86"/>
        <v>-175189.2531713534</v>
      </c>
      <c r="N773" s="748">
        <v>55.7</v>
      </c>
      <c r="O773" s="607">
        <f t="shared" si="87"/>
        <v>124322.40000000001</v>
      </c>
      <c r="P773" s="702">
        <f t="shared" si="88"/>
        <v>-204249.89317135338</v>
      </c>
      <c r="Q773" s="748">
        <v>96.206580759134184</v>
      </c>
      <c r="R773" s="607">
        <f t="shared" si="89"/>
        <v>214733.08825438749</v>
      </c>
      <c r="S773" s="702">
        <f t="shared" si="90"/>
        <v>-113839.20491696591</v>
      </c>
      <c r="T773" s="696" t="s">
        <v>54</v>
      </c>
    </row>
    <row r="774" spans="1:20" x14ac:dyDescent="0.25">
      <c r="A774" s="690"/>
      <c r="B774" s="691" t="s">
        <v>2181</v>
      </c>
      <c r="C774" s="676" t="s">
        <v>40</v>
      </c>
      <c r="D774" s="680">
        <v>44958</v>
      </c>
      <c r="E774" s="676">
        <v>672</v>
      </c>
      <c r="F774" s="676" t="s">
        <v>3</v>
      </c>
      <c r="G774" s="690" t="s">
        <v>44</v>
      </c>
      <c r="H774" s="115">
        <v>3</v>
      </c>
      <c r="I774" s="115">
        <v>147.20980876852752</v>
      </c>
      <c r="J774" s="601">
        <f t="shared" si="84"/>
        <v>-296774.97447735147</v>
      </c>
      <c r="K774" s="738">
        <v>69.25</v>
      </c>
      <c r="L774" s="677">
        <f t="shared" si="85"/>
        <v>139608</v>
      </c>
      <c r="M774" s="739">
        <f t="shared" si="86"/>
        <v>-157166.97447735147</v>
      </c>
      <c r="N774" s="740">
        <v>55.7</v>
      </c>
      <c r="O774" s="678">
        <f t="shared" si="87"/>
        <v>112291.20000000001</v>
      </c>
      <c r="P774" s="700">
        <f t="shared" si="88"/>
        <v>-184483.77447735146</v>
      </c>
      <c r="Q774" s="740">
        <v>92.430648861364247</v>
      </c>
      <c r="R774" s="678">
        <f t="shared" si="89"/>
        <v>186340.18810451034</v>
      </c>
      <c r="S774" s="700">
        <f t="shared" si="90"/>
        <v>-110434.78637284113</v>
      </c>
      <c r="T774" s="691" t="s">
        <v>54</v>
      </c>
    </row>
    <row r="775" spans="1:20" x14ac:dyDescent="0.25">
      <c r="A775" s="690"/>
      <c r="B775" s="695" t="s">
        <v>2181</v>
      </c>
      <c r="C775" s="545" t="s">
        <v>40</v>
      </c>
      <c r="D775" s="681">
        <v>44986</v>
      </c>
      <c r="E775" s="545">
        <v>744</v>
      </c>
      <c r="F775" s="545" t="s">
        <v>3</v>
      </c>
      <c r="G775" s="725" t="s">
        <v>44</v>
      </c>
      <c r="H775" s="548">
        <v>3</v>
      </c>
      <c r="I775" s="548">
        <v>147.20980876852752</v>
      </c>
      <c r="J775" s="602">
        <f t="shared" si="84"/>
        <v>-328572.29317135341</v>
      </c>
      <c r="K775" s="742">
        <v>69.3</v>
      </c>
      <c r="L775" s="603">
        <f t="shared" si="85"/>
        <v>154677.6</v>
      </c>
      <c r="M775" s="743">
        <f t="shared" si="86"/>
        <v>-173894.6931713534</v>
      </c>
      <c r="N775" s="744">
        <v>55.7</v>
      </c>
      <c r="O775" s="604">
        <f t="shared" si="87"/>
        <v>124322.40000000001</v>
      </c>
      <c r="P775" s="701">
        <f t="shared" si="88"/>
        <v>-204249.89317135338</v>
      </c>
      <c r="Q775" s="744">
        <v>89.053218420260009</v>
      </c>
      <c r="R775" s="604">
        <f t="shared" si="89"/>
        <v>198766.78351402035</v>
      </c>
      <c r="S775" s="701">
        <f t="shared" si="90"/>
        <v>-129805.50965733305</v>
      </c>
      <c r="T775" s="695" t="s">
        <v>54</v>
      </c>
    </row>
    <row r="776" spans="1:20" x14ac:dyDescent="0.25">
      <c r="A776" s="690"/>
      <c r="B776" s="696" t="s">
        <v>2183</v>
      </c>
      <c r="C776" s="546" t="s">
        <v>40</v>
      </c>
      <c r="D776" s="682">
        <v>44927</v>
      </c>
      <c r="E776" s="546">
        <v>744</v>
      </c>
      <c r="F776" s="546" t="s">
        <v>3</v>
      </c>
      <c r="G776" s="726" t="s">
        <v>44</v>
      </c>
      <c r="H776" s="549">
        <v>20</v>
      </c>
      <c r="I776" s="549">
        <v>146.70566558781337</v>
      </c>
      <c r="J776" s="605">
        <f t="shared" si="84"/>
        <v>-2182980.3039466632</v>
      </c>
      <c r="K776" s="746">
        <v>68.72</v>
      </c>
      <c r="L776" s="606">
        <f t="shared" si="85"/>
        <v>1022553.6</v>
      </c>
      <c r="M776" s="747">
        <f t="shared" si="86"/>
        <v>-1160426.7039466631</v>
      </c>
      <c r="N776" s="748">
        <v>55.7</v>
      </c>
      <c r="O776" s="607">
        <f t="shared" si="87"/>
        <v>828816</v>
      </c>
      <c r="P776" s="702">
        <f t="shared" si="88"/>
        <v>-1354164.3039466632</v>
      </c>
      <c r="Q776" s="748">
        <v>96.206580759134184</v>
      </c>
      <c r="R776" s="607">
        <f t="shared" si="89"/>
        <v>1431553.9216959167</v>
      </c>
      <c r="S776" s="702">
        <f t="shared" si="90"/>
        <v>-751426.38225074648</v>
      </c>
      <c r="T776" s="696" t="s">
        <v>54</v>
      </c>
    </row>
    <row r="777" spans="1:20" x14ac:dyDescent="0.25">
      <c r="A777" s="690"/>
      <c r="B777" s="691" t="s">
        <v>2183</v>
      </c>
      <c r="C777" s="676" t="s">
        <v>40</v>
      </c>
      <c r="D777" s="680">
        <v>44958</v>
      </c>
      <c r="E777" s="676">
        <v>672</v>
      </c>
      <c r="F777" s="676" t="s">
        <v>3</v>
      </c>
      <c r="G777" s="690" t="s">
        <v>44</v>
      </c>
      <c r="H777" s="115">
        <v>20</v>
      </c>
      <c r="I777" s="115">
        <v>146.70566558781337</v>
      </c>
      <c r="J777" s="601">
        <f t="shared" si="84"/>
        <v>-1971724.1455002117</v>
      </c>
      <c r="K777" s="738">
        <v>69.25</v>
      </c>
      <c r="L777" s="677">
        <f t="shared" si="85"/>
        <v>930720</v>
      </c>
      <c r="M777" s="739">
        <f t="shared" si="86"/>
        <v>-1041004.1455002117</v>
      </c>
      <c r="N777" s="740">
        <v>55.7</v>
      </c>
      <c r="O777" s="678">
        <f t="shared" si="87"/>
        <v>748608</v>
      </c>
      <c r="P777" s="700">
        <f t="shared" si="88"/>
        <v>-1223116.1455002117</v>
      </c>
      <c r="Q777" s="740">
        <v>92.430648861364247</v>
      </c>
      <c r="R777" s="678">
        <f t="shared" si="89"/>
        <v>1242267.9206967354</v>
      </c>
      <c r="S777" s="700">
        <f t="shared" si="90"/>
        <v>-729456.22480347636</v>
      </c>
      <c r="T777" s="691" t="s">
        <v>54</v>
      </c>
    </row>
    <row r="778" spans="1:20" x14ac:dyDescent="0.25">
      <c r="A778" s="690"/>
      <c r="B778" s="695" t="s">
        <v>2183</v>
      </c>
      <c r="C778" s="545" t="s">
        <v>40</v>
      </c>
      <c r="D778" s="681">
        <v>44986</v>
      </c>
      <c r="E778" s="545">
        <v>744</v>
      </c>
      <c r="F778" s="545" t="s">
        <v>3</v>
      </c>
      <c r="G778" s="725" t="s">
        <v>44</v>
      </c>
      <c r="H778" s="548">
        <v>20</v>
      </c>
      <c r="I778" s="548">
        <v>146.70566558781337</v>
      </c>
      <c r="J778" s="602">
        <f t="shared" si="84"/>
        <v>-2182980.3039466632</v>
      </c>
      <c r="K778" s="742">
        <v>69.3</v>
      </c>
      <c r="L778" s="603">
        <f t="shared" si="85"/>
        <v>1031184</v>
      </c>
      <c r="M778" s="743">
        <f t="shared" si="86"/>
        <v>-1151796.3039466632</v>
      </c>
      <c r="N778" s="744">
        <v>55.7</v>
      </c>
      <c r="O778" s="604">
        <f t="shared" si="87"/>
        <v>828816</v>
      </c>
      <c r="P778" s="701">
        <f t="shared" si="88"/>
        <v>-1354164.3039466632</v>
      </c>
      <c r="Q778" s="744">
        <v>89.053218420260009</v>
      </c>
      <c r="R778" s="604">
        <f t="shared" si="89"/>
        <v>1325111.8900934688</v>
      </c>
      <c r="S778" s="701">
        <f t="shared" si="90"/>
        <v>-857868.41385319433</v>
      </c>
      <c r="T778" s="695" t="s">
        <v>54</v>
      </c>
    </row>
    <row r="779" spans="1:20" x14ac:dyDescent="0.25">
      <c r="A779" s="690"/>
      <c r="B779" s="697" t="s">
        <v>2193</v>
      </c>
      <c r="C779" s="547" t="s">
        <v>40</v>
      </c>
      <c r="D779" s="683">
        <v>44774</v>
      </c>
      <c r="E779" s="547">
        <v>744</v>
      </c>
      <c r="F779" s="547" t="s">
        <v>3</v>
      </c>
      <c r="G779" s="727" t="s">
        <v>44</v>
      </c>
      <c r="H779" s="638">
        <v>-5</v>
      </c>
      <c r="I779" s="638">
        <v>79</v>
      </c>
      <c r="J779" s="639">
        <f t="shared" si="84"/>
        <v>293880</v>
      </c>
      <c r="K779" s="750">
        <v>76.900000000000006</v>
      </c>
      <c r="L779" s="608">
        <f t="shared" si="85"/>
        <v>-286068</v>
      </c>
      <c r="M779" s="751">
        <f t="shared" si="86"/>
        <v>7812</v>
      </c>
      <c r="N779" s="752">
        <v>76.900000000000006</v>
      </c>
      <c r="O779" s="609">
        <f t="shared" si="87"/>
        <v>-286068</v>
      </c>
      <c r="P779" s="703">
        <f t="shared" si="88"/>
        <v>7812</v>
      </c>
      <c r="Q779" s="752">
        <v>76.900000000000006</v>
      </c>
      <c r="R779" s="609">
        <f t="shared" si="89"/>
        <v>-286068</v>
      </c>
      <c r="S779" s="703">
        <f t="shared" si="90"/>
        <v>7812</v>
      </c>
      <c r="T779" s="697" t="s">
        <v>54</v>
      </c>
    </row>
    <row r="780" spans="1:20" x14ac:dyDescent="0.25">
      <c r="A780" s="690"/>
      <c r="B780" s="696" t="s">
        <v>2213</v>
      </c>
      <c r="C780" s="546" t="s">
        <v>40</v>
      </c>
      <c r="D780" s="682">
        <v>45017</v>
      </c>
      <c r="E780" s="546">
        <v>720</v>
      </c>
      <c r="F780" s="546" t="s">
        <v>3</v>
      </c>
      <c r="G780" s="726" t="s">
        <v>44</v>
      </c>
      <c r="H780" s="549">
        <v>5</v>
      </c>
      <c r="I780" s="549">
        <v>122.00264973282076</v>
      </c>
      <c r="J780" s="605">
        <f t="shared" si="84"/>
        <v>-439209.5390381547</v>
      </c>
      <c r="K780" s="746">
        <v>69.8</v>
      </c>
      <c r="L780" s="606">
        <f t="shared" si="85"/>
        <v>251280</v>
      </c>
      <c r="M780" s="747">
        <f t="shared" si="86"/>
        <v>-187929.5390381547</v>
      </c>
      <c r="N780" s="748">
        <v>55.7</v>
      </c>
      <c r="O780" s="607">
        <f t="shared" si="87"/>
        <v>200520</v>
      </c>
      <c r="P780" s="702">
        <f t="shared" si="88"/>
        <v>-238689.5390381547</v>
      </c>
      <c r="Q780" s="748">
        <v>85.732008718771311</v>
      </c>
      <c r="R780" s="607">
        <f t="shared" si="89"/>
        <v>308635.23138757673</v>
      </c>
      <c r="S780" s="702">
        <f t="shared" si="90"/>
        <v>-130574.30765057798</v>
      </c>
      <c r="T780" s="696" t="s">
        <v>54</v>
      </c>
    </row>
    <row r="781" spans="1:20" x14ac:dyDescent="0.25">
      <c r="A781" s="690"/>
      <c r="B781" s="691" t="s">
        <v>2213</v>
      </c>
      <c r="C781" s="676" t="s">
        <v>40</v>
      </c>
      <c r="D781" s="680">
        <v>45047</v>
      </c>
      <c r="E781" s="676">
        <v>744</v>
      </c>
      <c r="F781" s="676" t="s">
        <v>3</v>
      </c>
      <c r="G781" s="690" t="s">
        <v>44</v>
      </c>
      <c r="H781" s="115">
        <v>5</v>
      </c>
      <c r="I781" s="115">
        <v>122.00264973282076</v>
      </c>
      <c r="J781" s="601">
        <f t="shared" si="84"/>
        <v>-453849.8570060932</v>
      </c>
      <c r="K781" s="738">
        <v>70.2</v>
      </c>
      <c r="L781" s="677">
        <f t="shared" si="85"/>
        <v>261144</v>
      </c>
      <c r="M781" s="739">
        <f t="shared" si="86"/>
        <v>-192705.8570060932</v>
      </c>
      <c r="N781" s="740">
        <v>55.7</v>
      </c>
      <c r="O781" s="678">
        <f t="shared" si="87"/>
        <v>207204</v>
      </c>
      <c r="P781" s="700">
        <f t="shared" si="88"/>
        <v>-246645.8570060932</v>
      </c>
      <c r="Q781" s="740">
        <v>86.223309628334476</v>
      </c>
      <c r="R781" s="678">
        <f t="shared" si="89"/>
        <v>320750.71181740426</v>
      </c>
      <c r="S781" s="700">
        <f t="shared" si="90"/>
        <v>-133099.14518868894</v>
      </c>
      <c r="T781" s="691" t="s">
        <v>54</v>
      </c>
    </row>
    <row r="782" spans="1:20" x14ac:dyDescent="0.25">
      <c r="A782" s="690"/>
      <c r="B782" s="695" t="s">
        <v>2213</v>
      </c>
      <c r="C782" s="545" t="s">
        <v>40</v>
      </c>
      <c r="D782" s="681">
        <v>45078</v>
      </c>
      <c r="E782" s="545">
        <v>720</v>
      </c>
      <c r="F782" s="545" t="s">
        <v>3</v>
      </c>
      <c r="G782" s="725" t="s">
        <v>44</v>
      </c>
      <c r="H782" s="548">
        <v>5</v>
      </c>
      <c r="I782" s="548">
        <v>122.00264973282076</v>
      </c>
      <c r="J782" s="602">
        <f t="shared" si="84"/>
        <v>-439209.5390381547</v>
      </c>
      <c r="K782" s="742">
        <v>72.400000000000006</v>
      </c>
      <c r="L782" s="603">
        <f t="shared" si="85"/>
        <v>260640.00000000003</v>
      </c>
      <c r="M782" s="743">
        <f t="shared" si="86"/>
        <v>-178569.53903815467</v>
      </c>
      <c r="N782" s="744">
        <v>55.874535369068141</v>
      </c>
      <c r="O782" s="604">
        <f t="shared" si="87"/>
        <v>201148.3273286453</v>
      </c>
      <c r="P782" s="701">
        <f t="shared" si="88"/>
        <v>-238061.2117095094</v>
      </c>
      <c r="Q782" s="744">
        <v>88.925464630931856</v>
      </c>
      <c r="R782" s="604">
        <f t="shared" si="89"/>
        <v>320131.67267135467</v>
      </c>
      <c r="S782" s="701">
        <f t="shared" si="90"/>
        <v>-119077.86636680004</v>
      </c>
      <c r="T782" s="695" t="s">
        <v>54</v>
      </c>
    </row>
    <row r="783" spans="1:20" x14ac:dyDescent="0.25">
      <c r="A783" s="690"/>
      <c r="B783" s="696" t="s">
        <v>2215</v>
      </c>
      <c r="C783" s="546" t="s">
        <v>40</v>
      </c>
      <c r="D783" s="682">
        <v>45017</v>
      </c>
      <c r="E783" s="546">
        <v>720</v>
      </c>
      <c r="F783" s="546" t="s">
        <v>3</v>
      </c>
      <c r="G783" s="726" t="s">
        <v>44</v>
      </c>
      <c r="H783" s="549">
        <v>3</v>
      </c>
      <c r="I783" s="549">
        <v>120.99436337139248</v>
      </c>
      <c r="J783" s="605">
        <f t="shared" si="84"/>
        <v>-261347.82488220776</v>
      </c>
      <c r="K783" s="746">
        <v>69.8</v>
      </c>
      <c r="L783" s="606">
        <f t="shared" si="85"/>
        <v>150768</v>
      </c>
      <c r="M783" s="747">
        <f t="shared" si="86"/>
        <v>-110579.82488220776</v>
      </c>
      <c r="N783" s="748">
        <v>55.7</v>
      </c>
      <c r="O783" s="607">
        <f t="shared" si="87"/>
        <v>120312</v>
      </c>
      <c r="P783" s="702">
        <f t="shared" si="88"/>
        <v>-141035.82488220776</v>
      </c>
      <c r="Q783" s="748">
        <v>85.732008718771311</v>
      </c>
      <c r="R783" s="607">
        <f t="shared" si="89"/>
        <v>185181.13883254604</v>
      </c>
      <c r="S783" s="702">
        <f t="shared" si="90"/>
        <v>-76166.686049661716</v>
      </c>
      <c r="T783" s="696" t="s">
        <v>54</v>
      </c>
    </row>
    <row r="784" spans="1:20" x14ac:dyDescent="0.25">
      <c r="A784" s="690"/>
      <c r="B784" s="691" t="s">
        <v>2215</v>
      </c>
      <c r="C784" s="676" t="s">
        <v>40</v>
      </c>
      <c r="D784" s="680">
        <v>45047</v>
      </c>
      <c r="E784" s="676">
        <v>744</v>
      </c>
      <c r="F784" s="676" t="s">
        <v>3</v>
      </c>
      <c r="G784" s="690" t="s">
        <v>44</v>
      </c>
      <c r="H784" s="115">
        <v>3</v>
      </c>
      <c r="I784" s="115">
        <v>120.99436337139248</v>
      </c>
      <c r="J784" s="601">
        <f t="shared" si="84"/>
        <v>-270059.41904494801</v>
      </c>
      <c r="K784" s="738">
        <v>70.2</v>
      </c>
      <c r="L784" s="677">
        <f t="shared" si="85"/>
        <v>156686.39999999999</v>
      </c>
      <c r="M784" s="739">
        <f t="shared" si="86"/>
        <v>-113373.01904494801</v>
      </c>
      <c r="N784" s="740">
        <v>55.7</v>
      </c>
      <c r="O784" s="678">
        <f t="shared" si="87"/>
        <v>124322.40000000001</v>
      </c>
      <c r="P784" s="700">
        <f t="shared" si="88"/>
        <v>-145737.01904494799</v>
      </c>
      <c r="Q784" s="740">
        <v>86.223309628334476</v>
      </c>
      <c r="R784" s="678">
        <f t="shared" si="89"/>
        <v>192450.42709044256</v>
      </c>
      <c r="S784" s="700">
        <f t="shared" si="90"/>
        <v>-77608.991954505444</v>
      </c>
      <c r="T784" s="691" t="s">
        <v>54</v>
      </c>
    </row>
    <row r="785" spans="1:20" x14ac:dyDescent="0.25">
      <c r="A785" s="690"/>
      <c r="B785" s="695" t="s">
        <v>2215</v>
      </c>
      <c r="C785" s="545" t="s">
        <v>40</v>
      </c>
      <c r="D785" s="681">
        <v>45078</v>
      </c>
      <c r="E785" s="545">
        <v>720</v>
      </c>
      <c r="F785" s="545" t="s">
        <v>3</v>
      </c>
      <c r="G785" s="725" t="s">
        <v>44</v>
      </c>
      <c r="H785" s="548">
        <v>3</v>
      </c>
      <c r="I785" s="548">
        <v>120.99436337139248</v>
      </c>
      <c r="J785" s="602">
        <f t="shared" si="84"/>
        <v>-261347.82488220776</v>
      </c>
      <c r="K785" s="742">
        <v>72.400000000000006</v>
      </c>
      <c r="L785" s="603">
        <f t="shared" si="85"/>
        <v>156384</v>
      </c>
      <c r="M785" s="743">
        <f t="shared" si="86"/>
        <v>-104963.82488220776</v>
      </c>
      <c r="N785" s="744">
        <v>55.874535369068141</v>
      </c>
      <c r="O785" s="604">
        <f t="shared" si="87"/>
        <v>120688.99639718719</v>
      </c>
      <c r="P785" s="701">
        <f t="shared" si="88"/>
        <v>-140658.82848502055</v>
      </c>
      <c r="Q785" s="744">
        <v>88.925464630931856</v>
      </c>
      <c r="R785" s="604">
        <f t="shared" si="89"/>
        <v>192079.00360281282</v>
      </c>
      <c r="S785" s="701">
        <f t="shared" si="90"/>
        <v>-69268.821279394935</v>
      </c>
      <c r="T785" s="695" t="s">
        <v>54</v>
      </c>
    </row>
    <row r="786" spans="1:20" x14ac:dyDescent="0.25">
      <c r="A786" s="690"/>
      <c r="B786" s="696" t="s">
        <v>2217</v>
      </c>
      <c r="C786" s="546" t="s">
        <v>40</v>
      </c>
      <c r="D786" s="682">
        <v>44927</v>
      </c>
      <c r="E786" s="546">
        <v>744</v>
      </c>
      <c r="F786" s="546" t="s">
        <v>3</v>
      </c>
      <c r="G786" s="726" t="s">
        <v>44</v>
      </c>
      <c r="H786" s="549">
        <v>5</v>
      </c>
      <c r="I786" s="549">
        <v>141.1600905999579</v>
      </c>
      <c r="J786" s="605">
        <f t="shared" si="84"/>
        <v>-525115.53703184333</v>
      </c>
      <c r="K786" s="746">
        <v>68.72</v>
      </c>
      <c r="L786" s="606">
        <f t="shared" si="85"/>
        <v>255638.39999999999</v>
      </c>
      <c r="M786" s="747">
        <f t="shared" si="86"/>
        <v>-269477.1370318433</v>
      </c>
      <c r="N786" s="748">
        <v>55.7</v>
      </c>
      <c r="O786" s="607">
        <f t="shared" si="87"/>
        <v>207204</v>
      </c>
      <c r="P786" s="702">
        <f t="shared" si="88"/>
        <v>-317911.53703184333</v>
      </c>
      <c r="Q786" s="748">
        <v>96.206580759134184</v>
      </c>
      <c r="R786" s="607">
        <f t="shared" si="89"/>
        <v>357888.48042397917</v>
      </c>
      <c r="S786" s="702">
        <f t="shared" si="90"/>
        <v>-167227.05660786416</v>
      </c>
      <c r="T786" s="696" t="s">
        <v>54</v>
      </c>
    </row>
    <row r="787" spans="1:20" x14ac:dyDescent="0.25">
      <c r="A787" s="690"/>
      <c r="B787" s="691" t="s">
        <v>2217</v>
      </c>
      <c r="C787" s="676" t="s">
        <v>40</v>
      </c>
      <c r="D787" s="680">
        <v>44958</v>
      </c>
      <c r="E787" s="676">
        <v>672</v>
      </c>
      <c r="F787" s="676" t="s">
        <v>3</v>
      </c>
      <c r="G787" s="690" t="s">
        <v>44</v>
      </c>
      <c r="H787" s="115">
        <v>5</v>
      </c>
      <c r="I787" s="115">
        <v>141.1600905999579</v>
      </c>
      <c r="J787" s="601">
        <f t="shared" si="84"/>
        <v>-474297.90441585856</v>
      </c>
      <c r="K787" s="738">
        <v>69.25</v>
      </c>
      <c r="L787" s="677">
        <f t="shared" si="85"/>
        <v>232680</v>
      </c>
      <c r="M787" s="739">
        <f t="shared" si="86"/>
        <v>-241617.90441585856</v>
      </c>
      <c r="N787" s="740">
        <v>55.7</v>
      </c>
      <c r="O787" s="678">
        <f t="shared" si="87"/>
        <v>187152</v>
      </c>
      <c r="P787" s="700">
        <f t="shared" si="88"/>
        <v>-287145.90441585856</v>
      </c>
      <c r="Q787" s="740">
        <v>92.430648861364247</v>
      </c>
      <c r="R787" s="678">
        <f t="shared" si="89"/>
        <v>310566.98017418385</v>
      </c>
      <c r="S787" s="700">
        <f t="shared" si="90"/>
        <v>-163730.92424167471</v>
      </c>
      <c r="T787" s="691" t="s">
        <v>54</v>
      </c>
    </row>
    <row r="788" spans="1:20" x14ac:dyDescent="0.25">
      <c r="A788" s="690"/>
      <c r="B788" s="695" t="s">
        <v>2217</v>
      </c>
      <c r="C788" s="545" t="s">
        <v>40</v>
      </c>
      <c r="D788" s="681">
        <v>44986</v>
      </c>
      <c r="E788" s="545">
        <v>744</v>
      </c>
      <c r="F788" s="545" t="s">
        <v>3</v>
      </c>
      <c r="G788" s="725" t="s">
        <v>44</v>
      </c>
      <c r="H788" s="548">
        <v>5</v>
      </c>
      <c r="I788" s="548">
        <v>141.1600905999579</v>
      </c>
      <c r="J788" s="602">
        <f t="shared" si="84"/>
        <v>-525115.53703184333</v>
      </c>
      <c r="K788" s="742">
        <v>69.3</v>
      </c>
      <c r="L788" s="603">
        <f t="shared" si="85"/>
        <v>257796</v>
      </c>
      <c r="M788" s="743">
        <f t="shared" si="86"/>
        <v>-267319.53703184333</v>
      </c>
      <c r="N788" s="744">
        <v>55.7</v>
      </c>
      <c r="O788" s="604">
        <f t="shared" si="87"/>
        <v>207204</v>
      </c>
      <c r="P788" s="701">
        <f t="shared" si="88"/>
        <v>-317911.53703184333</v>
      </c>
      <c r="Q788" s="744">
        <v>89.053218420260009</v>
      </c>
      <c r="R788" s="604">
        <f t="shared" si="89"/>
        <v>331277.97252336721</v>
      </c>
      <c r="S788" s="701">
        <f t="shared" si="90"/>
        <v>-193837.56450847612</v>
      </c>
      <c r="T788" s="695" t="s">
        <v>54</v>
      </c>
    </row>
    <row r="789" spans="1:20" x14ac:dyDescent="0.25">
      <c r="A789" s="690"/>
      <c r="B789" s="696" t="s">
        <v>2226</v>
      </c>
      <c r="C789" s="546" t="s">
        <v>40</v>
      </c>
      <c r="D789" s="682">
        <v>45017</v>
      </c>
      <c r="E789" s="546">
        <v>720</v>
      </c>
      <c r="F789" s="546" t="s">
        <v>3</v>
      </c>
      <c r="G789" s="726" t="s">
        <v>44</v>
      </c>
      <c r="H789" s="549">
        <v>12</v>
      </c>
      <c r="I789" s="549">
        <v>120.99436337139248</v>
      </c>
      <c r="J789" s="605">
        <f t="shared" si="84"/>
        <v>-1045391.299528831</v>
      </c>
      <c r="K789" s="746">
        <v>69.8</v>
      </c>
      <c r="L789" s="606">
        <f t="shared" si="85"/>
        <v>603072</v>
      </c>
      <c r="M789" s="747">
        <f t="shared" si="86"/>
        <v>-442319.29952883103</v>
      </c>
      <c r="N789" s="748">
        <v>55.7</v>
      </c>
      <c r="O789" s="607">
        <f t="shared" si="87"/>
        <v>481248</v>
      </c>
      <c r="P789" s="702">
        <f t="shared" si="88"/>
        <v>-564143.29952883103</v>
      </c>
      <c r="Q789" s="748">
        <v>85.732008718771311</v>
      </c>
      <c r="R789" s="607">
        <f t="shared" si="89"/>
        <v>740724.55533018417</v>
      </c>
      <c r="S789" s="702">
        <f t="shared" si="90"/>
        <v>-304666.74419864686</v>
      </c>
      <c r="T789" s="696" t="s">
        <v>54</v>
      </c>
    </row>
    <row r="790" spans="1:20" x14ac:dyDescent="0.25">
      <c r="A790" s="690"/>
      <c r="B790" s="691" t="s">
        <v>2226</v>
      </c>
      <c r="C790" s="676" t="s">
        <v>40</v>
      </c>
      <c r="D790" s="680">
        <v>45047</v>
      </c>
      <c r="E790" s="676">
        <v>744</v>
      </c>
      <c r="F790" s="676" t="s">
        <v>3</v>
      </c>
      <c r="G790" s="690" t="s">
        <v>44</v>
      </c>
      <c r="H790" s="115">
        <v>12</v>
      </c>
      <c r="I790" s="115">
        <v>120.99436337139248</v>
      </c>
      <c r="J790" s="601">
        <f t="shared" si="84"/>
        <v>-1080237.676179792</v>
      </c>
      <c r="K790" s="738">
        <v>70.2</v>
      </c>
      <c r="L790" s="677">
        <f t="shared" si="85"/>
        <v>626745.59999999998</v>
      </c>
      <c r="M790" s="739">
        <f t="shared" si="86"/>
        <v>-453492.07617979206</v>
      </c>
      <c r="N790" s="740">
        <v>55.7</v>
      </c>
      <c r="O790" s="678">
        <f t="shared" si="87"/>
        <v>497289.60000000003</v>
      </c>
      <c r="P790" s="700">
        <f t="shared" si="88"/>
        <v>-582948.07617979194</v>
      </c>
      <c r="Q790" s="740">
        <v>86.223309628334476</v>
      </c>
      <c r="R790" s="678">
        <f t="shared" si="89"/>
        <v>769801.70836177026</v>
      </c>
      <c r="S790" s="700">
        <f t="shared" si="90"/>
        <v>-310435.96781802177</v>
      </c>
      <c r="T790" s="691" t="s">
        <v>54</v>
      </c>
    </row>
    <row r="791" spans="1:20" x14ac:dyDescent="0.25">
      <c r="A791" s="690"/>
      <c r="B791" s="695" t="s">
        <v>2226</v>
      </c>
      <c r="C791" s="545" t="s">
        <v>40</v>
      </c>
      <c r="D791" s="681">
        <v>45078</v>
      </c>
      <c r="E791" s="545">
        <v>720</v>
      </c>
      <c r="F791" s="545" t="s">
        <v>3</v>
      </c>
      <c r="G791" s="725" t="s">
        <v>44</v>
      </c>
      <c r="H791" s="548">
        <v>12</v>
      </c>
      <c r="I791" s="548">
        <v>120.99436337139248</v>
      </c>
      <c r="J791" s="602">
        <f t="shared" si="84"/>
        <v>-1045391.299528831</v>
      </c>
      <c r="K791" s="742">
        <v>72.400000000000006</v>
      </c>
      <c r="L791" s="603">
        <f t="shared" si="85"/>
        <v>625536</v>
      </c>
      <c r="M791" s="743">
        <f t="shared" si="86"/>
        <v>-419855.29952883103</v>
      </c>
      <c r="N791" s="744">
        <v>55.874535369068141</v>
      </c>
      <c r="O791" s="604">
        <f t="shared" si="87"/>
        <v>482755.98558874876</v>
      </c>
      <c r="P791" s="701">
        <f t="shared" si="88"/>
        <v>-562635.31394008221</v>
      </c>
      <c r="Q791" s="744">
        <v>88.925464630931856</v>
      </c>
      <c r="R791" s="604">
        <f t="shared" si="89"/>
        <v>768316.01441125129</v>
      </c>
      <c r="S791" s="701">
        <f t="shared" si="90"/>
        <v>-277075.28511757974</v>
      </c>
      <c r="T791" s="695" t="s">
        <v>54</v>
      </c>
    </row>
    <row r="792" spans="1:20" x14ac:dyDescent="0.25">
      <c r="A792" s="690"/>
      <c r="B792" s="696" t="s">
        <v>2228</v>
      </c>
      <c r="C792" s="546" t="s">
        <v>40</v>
      </c>
      <c r="D792" s="682">
        <v>45017</v>
      </c>
      <c r="E792" s="546">
        <v>720</v>
      </c>
      <c r="F792" s="546" t="s">
        <v>3</v>
      </c>
      <c r="G792" s="726" t="s">
        <v>44</v>
      </c>
      <c r="H792" s="549">
        <v>5</v>
      </c>
      <c r="I792" s="549">
        <v>112.42392929925218</v>
      </c>
      <c r="J792" s="605">
        <f t="shared" si="84"/>
        <v>-404726.14547730784</v>
      </c>
      <c r="K792" s="746">
        <v>69.8</v>
      </c>
      <c r="L792" s="606">
        <f t="shared" si="85"/>
        <v>251280</v>
      </c>
      <c r="M792" s="747">
        <f t="shared" si="86"/>
        <v>-153446.14547730784</v>
      </c>
      <c r="N792" s="748">
        <v>55.7</v>
      </c>
      <c r="O792" s="607">
        <f t="shared" si="87"/>
        <v>200520</v>
      </c>
      <c r="P792" s="702">
        <f t="shared" si="88"/>
        <v>-204206.14547730784</v>
      </c>
      <c r="Q792" s="748">
        <v>85.732008718771311</v>
      </c>
      <c r="R792" s="607">
        <f t="shared" si="89"/>
        <v>308635.23138757673</v>
      </c>
      <c r="S792" s="702">
        <f t="shared" si="90"/>
        <v>-96090.914089731115</v>
      </c>
      <c r="T792" s="696" t="s">
        <v>54</v>
      </c>
    </row>
    <row r="793" spans="1:20" x14ac:dyDescent="0.25">
      <c r="A793" s="690"/>
      <c r="B793" s="695" t="s">
        <v>2228</v>
      </c>
      <c r="C793" s="545" t="s">
        <v>40</v>
      </c>
      <c r="D793" s="681">
        <v>45047</v>
      </c>
      <c r="E793" s="545">
        <v>744</v>
      </c>
      <c r="F793" s="545" t="s">
        <v>3</v>
      </c>
      <c r="G793" s="725" t="s">
        <v>44</v>
      </c>
      <c r="H793" s="548">
        <v>5</v>
      </c>
      <c r="I793" s="548">
        <v>112.42392929925218</v>
      </c>
      <c r="J793" s="602">
        <f t="shared" si="84"/>
        <v>-418217.0169932181</v>
      </c>
      <c r="K793" s="742">
        <v>70.2</v>
      </c>
      <c r="L793" s="603">
        <f t="shared" si="85"/>
        <v>261144</v>
      </c>
      <c r="M793" s="743">
        <f t="shared" si="86"/>
        <v>-157073.0169932181</v>
      </c>
      <c r="N793" s="744">
        <v>55.7</v>
      </c>
      <c r="O793" s="604">
        <f t="shared" si="87"/>
        <v>207204</v>
      </c>
      <c r="P793" s="701">
        <f t="shared" si="88"/>
        <v>-211013.0169932181</v>
      </c>
      <c r="Q793" s="744">
        <v>86.223309628334476</v>
      </c>
      <c r="R793" s="604">
        <f t="shared" si="89"/>
        <v>320750.71181740426</v>
      </c>
      <c r="S793" s="701">
        <f t="shared" si="90"/>
        <v>-97466.305175813846</v>
      </c>
      <c r="T793" s="695" t="s">
        <v>54</v>
      </c>
    </row>
    <row r="794" spans="1:20" x14ac:dyDescent="0.25">
      <c r="A794" s="690"/>
      <c r="B794" s="697" t="s">
        <v>2247</v>
      </c>
      <c r="C794" s="547" t="s">
        <v>40</v>
      </c>
      <c r="D794" s="683">
        <v>44774</v>
      </c>
      <c r="E794" s="547">
        <v>744</v>
      </c>
      <c r="F794" s="547" t="s">
        <v>5</v>
      </c>
      <c r="G794" s="727" t="s">
        <v>44</v>
      </c>
      <c r="H794" s="638">
        <v>-3</v>
      </c>
      <c r="I794" s="638">
        <v>105.9</v>
      </c>
      <c r="J794" s="639">
        <f t="shared" si="84"/>
        <v>236368.80000000002</v>
      </c>
      <c r="K794" s="750">
        <v>76.900000000000006</v>
      </c>
      <c r="L794" s="608">
        <f t="shared" si="85"/>
        <v>-171640.80000000002</v>
      </c>
      <c r="M794" s="751">
        <f t="shared" si="86"/>
        <v>64728</v>
      </c>
      <c r="N794" s="752">
        <v>76.900000000000006</v>
      </c>
      <c r="O794" s="609">
        <f t="shared" si="87"/>
        <v>-171640.80000000002</v>
      </c>
      <c r="P794" s="703">
        <f t="shared" si="88"/>
        <v>64728</v>
      </c>
      <c r="Q794" s="752">
        <v>76.900000000000006</v>
      </c>
      <c r="R794" s="609">
        <f t="shared" si="89"/>
        <v>-171640.80000000002</v>
      </c>
      <c r="S794" s="703">
        <f t="shared" si="90"/>
        <v>64728</v>
      </c>
      <c r="T794" s="697" t="s">
        <v>92</v>
      </c>
    </row>
    <row r="795" spans="1:20" x14ac:dyDescent="0.25">
      <c r="A795" s="690"/>
      <c r="B795" s="697" t="s">
        <v>2259</v>
      </c>
      <c r="C795" s="547" t="s">
        <v>40</v>
      </c>
      <c r="D795" s="683">
        <v>44774</v>
      </c>
      <c r="E795" s="547">
        <v>744</v>
      </c>
      <c r="F795" s="547" t="s">
        <v>5</v>
      </c>
      <c r="G795" s="727" t="s">
        <v>44</v>
      </c>
      <c r="H795" s="638">
        <v>-3</v>
      </c>
      <c r="I795" s="638">
        <v>105.9</v>
      </c>
      <c r="J795" s="639">
        <f t="shared" si="84"/>
        <v>236368.80000000002</v>
      </c>
      <c r="K795" s="750">
        <v>76.900000000000006</v>
      </c>
      <c r="L795" s="608">
        <f t="shared" si="85"/>
        <v>-171640.80000000002</v>
      </c>
      <c r="M795" s="751">
        <f t="shared" si="86"/>
        <v>64728</v>
      </c>
      <c r="N795" s="752">
        <v>76.900000000000006</v>
      </c>
      <c r="O795" s="609">
        <f t="shared" si="87"/>
        <v>-171640.80000000002</v>
      </c>
      <c r="P795" s="703">
        <f t="shared" si="88"/>
        <v>64728</v>
      </c>
      <c r="Q795" s="752">
        <v>76.900000000000006</v>
      </c>
      <c r="R795" s="609">
        <f t="shared" si="89"/>
        <v>-171640.80000000002</v>
      </c>
      <c r="S795" s="703">
        <f t="shared" si="90"/>
        <v>64728</v>
      </c>
      <c r="T795" s="697" t="s">
        <v>92</v>
      </c>
    </row>
    <row r="796" spans="1:20" x14ac:dyDescent="0.25">
      <c r="A796" s="690"/>
      <c r="B796" s="697" t="s">
        <v>2261</v>
      </c>
      <c r="C796" s="547" t="s">
        <v>40</v>
      </c>
      <c r="D796" s="683">
        <v>44774</v>
      </c>
      <c r="E796" s="547">
        <v>744</v>
      </c>
      <c r="F796" s="547" t="s">
        <v>5</v>
      </c>
      <c r="G796" s="727" t="s">
        <v>44</v>
      </c>
      <c r="H796" s="638">
        <v>-10</v>
      </c>
      <c r="I796" s="638">
        <v>105.9</v>
      </c>
      <c r="J796" s="639">
        <f t="shared" si="84"/>
        <v>787896</v>
      </c>
      <c r="K796" s="750">
        <v>76.900000000000006</v>
      </c>
      <c r="L796" s="608">
        <f t="shared" si="85"/>
        <v>-572136</v>
      </c>
      <c r="M796" s="751">
        <f t="shared" si="86"/>
        <v>215760</v>
      </c>
      <c r="N796" s="752">
        <v>76.900000000000006</v>
      </c>
      <c r="O796" s="609">
        <f t="shared" si="87"/>
        <v>-572136</v>
      </c>
      <c r="P796" s="703">
        <f t="shared" si="88"/>
        <v>215760</v>
      </c>
      <c r="Q796" s="752">
        <v>76.900000000000006</v>
      </c>
      <c r="R796" s="609">
        <f t="shared" si="89"/>
        <v>-572136</v>
      </c>
      <c r="S796" s="703">
        <f t="shared" si="90"/>
        <v>215760</v>
      </c>
      <c r="T796" s="697" t="s">
        <v>92</v>
      </c>
    </row>
    <row r="797" spans="1:20" x14ac:dyDescent="0.25">
      <c r="A797" s="690"/>
      <c r="B797" s="697" t="s">
        <v>2263</v>
      </c>
      <c r="C797" s="547" t="s">
        <v>40</v>
      </c>
      <c r="D797" s="683">
        <v>44774</v>
      </c>
      <c r="E797" s="547">
        <v>744</v>
      </c>
      <c r="F797" s="547" t="s">
        <v>5</v>
      </c>
      <c r="G797" s="727" t="s">
        <v>44</v>
      </c>
      <c r="H797" s="638">
        <v>-9</v>
      </c>
      <c r="I797" s="638">
        <v>106</v>
      </c>
      <c r="J797" s="639">
        <f t="shared" si="84"/>
        <v>709776</v>
      </c>
      <c r="K797" s="750">
        <v>76.900000000000006</v>
      </c>
      <c r="L797" s="608">
        <f t="shared" si="85"/>
        <v>-514922.4</v>
      </c>
      <c r="M797" s="751">
        <f t="shared" si="86"/>
        <v>194853.59999999998</v>
      </c>
      <c r="N797" s="752">
        <v>76.900000000000006</v>
      </c>
      <c r="O797" s="609">
        <f t="shared" si="87"/>
        <v>-514922.4</v>
      </c>
      <c r="P797" s="703">
        <f t="shared" si="88"/>
        <v>194853.59999999998</v>
      </c>
      <c r="Q797" s="752">
        <v>76.900000000000006</v>
      </c>
      <c r="R797" s="609">
        <f t="shared" si="89"/>
        <v>-514922.4</v>
      </c>
      <c r="S797" s="703">
        <f t="shared" si="90"/>
        <v>194853.59999999998</v>
      </c>
      <c r="T797" s="697" t="s">
        <v>54</v>
      </c>
    </row>
    <row r="798" spans="1:20" x14ac:dyDescent="0.25">
      <c r="A798" s="690"/>
      <c r="B798" s="697" t="s">
        <v>2276</v>
      </c>
      <c r="C798" s="547" t="s">
        <v>40</v>
      </c>
      <c r="D798" s="683">
        <v>44774</v>
      </c>
      <c r="E798" s="547">
        <v>744</v>
      </c>
      <c r="F798" s="547" t="s">
        <v>5</v>
      </c>
      <c r="G798" s="727" t="s">
        <v>44</v>
      </c>
      <c r="H798" s="638">
        <v>-1.9</v>
      </c>
      <c r="I798" s="638">
        <v>104.9</v>
      </c>
      <c r="J798" s="639">
        <f t="shared" si="84"/>
        <v>148286.63999999998</v>
      </c>
      <c r="K798" s="750">
        <v>76.900000000000006</v>
      </c>
      <c r="L798" s="608">
        <f t="shared" si="85"/>
        <v>-108705.84</v>
      </c>
      <c r="M798" s="751">
        <f t="shared" si="86"/>
        <v>39580.799999999988</v>
      </c>
      <c r="N798" s="752">
        <v>76.900000000000006</v>
      </c>
      <c r="O798" s="609">
        <f t="shared" si="87"/>
        <v>-108705.84</v>
      </c>
      <c r="P798" s="703">
        <f t="shared" si="88"/>
        <v>39580.799999999988</v>
      </c>
      <c r="Q798" s="752">
        <v>76.900000000000006</v>
      </c>
      <c r="R798" s="609">
        <f t="shared" si="89"/>
        <v>-108705.84</v>
      </c>
      <c r="S798" s="703">
        <f t="shared" si="90"/>
        <v>39580.799999999988</v>
      </c>
      <c r="T798" s="697" t="s">
        <v>92</v>
      </c>
    </row>
    <row r="799" spans="1:20" x14ac:dyDescent="0.25">
      <c r="A799" s="690"/>
      <c r="B799" s="696" t="s">
        <v>2371</v>
      </c>
      <c r="C799" s="546" t="s">
        <v>40</v>
      </c>
      <c r="D799" s="682">
        <v>45017</v>
      </c>
      <c r="E799" s="546">
        <v>720</v>
      </c>
      <c r="F799" s="546" t="s">
        <v>3</v>
      </c>
      <c r="G799" s="726" t="s">
        <v>44</v>
      </c>
      <c r="H799" s="549">
        <v>-1.7</v>
      </c>
      <c r="I799" s="549">
        <v>75</v>
      </c>
      <c r="J799" s="605">
        <f t="shared" si="84"/>
        <v>91800</v>
      </c>
      <c r="K799" s="746">
        <v>69.8</v>
      </c>
      <c r="L799" s="606">
        <f t="shared" si="85"/>
        <v>-85435.199999999997</v>
      </c>
      <c r="M799" s="747">
        <f t="shared" si="86"/>
        <v>6364.8000000000029</v>
      </c>
      <c r="N799" s="748">
        <v>55.7</v>
      </c>
      <c r="O799" s="607">
        <f t="shared" si="87"/>
        <v>-68176.800000000003</v>
      </c>
      <c r="P799" s="702">
        <f t="shared" si="88"/>
        <v>23623.199999999997</v>
      </c>
      <c r="Q799" s="748">
        <v>85.732008718771311</v>
      </c>
      <c r="R799" s="607">
        <f t="shared" si="89"/>
        <v>-104935.97867177609</v>
      </c>
      <c r="S799" s="702">
        <f t="shared" si="90"/>
        <v>-13135.978671776087</v>
      </c>
      <c r="T799" s="696" t="s">
        <v>54</v>
      </c>
    </row>
    <row r="800" spans="1:20" x14ac:dyDescent="0.25">
      <c r="A800" s="690"/>
      <c r="B800" s="691" t="s">
        <v>2371</v>
      </c>
      <c r="C800" s="676" t="s">
        <v>40</v>
      </c>
      <c r="D800" s="680">
        <v>45047</v>
      </c>
      <c r="E800" s="676">
        <v>744</v>
      </c>
      <c r="F800" s="676" t="s">
        <v>3</v>
      </c>
      <c r="G800" s="690" t="s">
        <v>44</v>
      </c>
      <c r="H800" s="115">
        <v>-1.7</v>
      </c>
      <c r="I800" s="115">
        <v>75</v>
      </c>
      <c r="J800" s="601">
        <f t="shared" si="84"/>
        <v>94860</v>
      </c>
      <c r="K800" s="738">
        <v>70.2</v>
      </c>
      <c r="L800" s="677">
        <f t="shared" si="85"/>
        <v>-88788.96</v>
      </c>
      <c r="M800" s="739">
        <f t="shared" si="86"/>
        <v>6071.0399999999936</v>
      </c>
      <c r="N800" s="740">
        <v>55.7</v>
      </c>
      <c r="O800" s="678">
        <f t="shared" si="87"/>
        <v>-70449.36</v>
      </c>
      <c r="P800" s="700">
        <f t="shared" si="88"/>
        <v>24410.639999999999</v>
      </c>
      <c r="Q800" s="740">
        <v>86.223309628334476</v>
      </c>
      <c r="R800" s="678">
        <f t="shared" si="89"/>
        <v>-109055.24201791744</v>
      </c>
      <c r="S800" s="700">
        <f t="shared" si="90"/>
        <v>-14195.242017917437</v>
      </c>
      <c r="T800" s="691" t="s">
        <v>54</v>
      </c>
    </row>
    <row r="801" spans="1:20" x14ac:dyDescent="0.25">
      <c r="A801" s="690"/>
      <c r="B801" s="695" t="s">
        <v>2371</v>
      </c>
      <c r="C801" s="545" t="s">
        <v>40</v>
      </c>
      <c r="D801" s="681">
        <v>45078</v>
      </c>
      <c r="E801" s="545">
        <v>720</v>
      </c>
      <c r="F801" s="545" t="s">
        <v>3</v>
      </c>
      <c r="G801" s="725" t="s">
        <v>44</v>
      </c>
      <c r="H801" s="548">
        <v>-1.7</v>
      </c>
      <c r="I801" s="548">
        <v>75</v>
      </c>
      <c r="J801" s="602">
        <f t="shared" si="84"/>
        <v>91800</v>
      </c>
      <c r="K801" s="742">
        <v>72.400000000000006</v>
      </c>
      <c r="L801" s="603">
        <f t="shared" si="85"/>
        <v>-88617.600000000006</v>
      </c>
      <c r="M801" s="743">
        <f t="shared" si="86"/>
        <v>3182.3999999999942</v>
      </c>
      <c r="N801" s="744">
        <v>55.874535369068141</v>
      </c>
      <c r="O801" s="604">
        <f t="shared" si="87"/>
        <v>-68390.431291739398</v>
      </c>
      <c r="P801" s="701">
        <f t="shared" si="88"/>
        <v>23409.568708260602</v>
      </c>
      <c r="Q801" s="744">
        <v>88.925464630931856</v>
      </c>
      <c r="R801" s="604">
        <f t="shared" si="89"/>
        <v>-108844.76870826058</v>
      </c>
      <c r="S801" s="701">
        <f t="shared" si="90"/>
        <v>-17044.768708260584</v>
      </c>
      <c r="T801" s="695" t="s">
        <v>54</v>
      </c>
    </row>
    <row r="802" spans="1:20" x14ac:dyDescent="0.25">
      <c r="A802" s="690"/>
      <c r="B802" s="696" t="s">
        <v>2373</v>
      </c>
      <c r="C802" s="546" t="s">
        <v>40</v>
      </c>
      <c r="D802" s="682">
        <v>44927</v>
      </c>
      <c r="E802" s="546">
        <v>744</v>
      </c>
      <c r="F802" s="546" t="s">
        <v>3</v>
      </c>
      <c r="G802" s="726" t="s">
        <v>44</v>
      </c>
      <c r="H802" s="549">
        <v>-5</v>
      </c>
      <c r="I802" s="549">
        <v>74</v>
      </c>
      <c r="J802" s="605">
        <f t="shared" si="84"/>
        <v>275280</v>
      </c>
      <c r="K802" s="746">
        <v>68.72</v>
      </c>
      <c r="L802" s="606">
        <f t="shared" si="85"/>
        <v>-255638.39999999999</v>
      </c>
      <c r="M802" s="747">
        <f t="shared" si="86"/>
        <v>19641.600000000006</v>
      </c>
      <c r="N802" s="748">
        <v>55.7</v>
      </c>
      <c r="O802" s="607">
        <f t="shared" si="87"/>
        <v>-207204</v>
      </c>
      <c r="P802" s="702">
        <f t="shared" si="88"/>
        <v>68076</v>
      </c>
      <c r="Q802" s="748">
        <v>96.206580759134184</v>
      </c>
      <c r="R802" s="607">
        <f t="shared" si="89"/>
        <v>-357888.48042397917</v>
      </c>
      <c r="S802" s="702">
        <f t="shared" si="90"/>
        <v>-82608.48042397917</v>
      </c>
      <c r="T802" s="696" t="s">
        <v>54</v>
      </c>
    </row>
    <row r="803" spans="1:20" x14ac:dyDescent="0.25">
      <c r="A803" s="690"/>
      <c r="B803" s="691" t="s">
        <v>2373</v>
      </c>
      <c r="C803" s="676" t="s">
        <v>40</v>
      </c>
      <c r="D803" s="680">
        <v>44958</v>
      </c>
      <c r="E803" s="676">
        <v>672</v>
      </c>
      <c r="F803" s="676" t="s">
        <v>3</v>
      </c>
      <c r="G803" s="690" t="s">
        <v>44</v>
      </c>
      <c r="H803" s="115">
        <v>-5</v>
      </c>
      <c r="I803" s="115">
        <v>74</v>
      </c>
      <c r="J803" s="601">
        <f t="shared" si="84"/>
        <v>248640</v>
      </c>
      <c r="K803" s="738">
        <v>69.25</v>
      </c>
      <c r="L803" s="677">
        <f t="shared" si="85"/>
        <v>-232680</v>
      </c>
      <c r="M803" s="739">
        <f t="shared" si="86"/>
        <v>15960</v>
      </c>
      <c r="N803" s="740">
        <v>55.7</v>
      </c>
      <c r="O803" s="678">
        <f t="shared" si="87"/>
        <v>-187152</v>
      </c>
      <c r="P803" s="700">
        <f t="shared" si="88"/>
        <v>61488</v>
      </c>
      <c r="Q803" s="740">
        <v>92.430648861364247</v>
      </c>
      <c r="R803" s="678">
        <f t="shared" si="89"/>
        <v>-310566.98017418385</v>
      </c>
      <c r="S803" s="700">
        <f t="shared" si="90"/>
        <v>-61926.980174183846</v>
      </c>
      <c r="T803" s="691" t="s">
        <v>54</v>
      </c>
    </row>
    <row r="804" spans="1:20" x14ac:dyDescent="0.25">
      <c r="A804" s="690"/>
      <c r="B804" s="695" t="s">
        <v>2373</v>
      </c>
      <c r="C804" s="545" t="s">
        <v>40</v>
      </c>
      <c r="D804" s="681">
        <v>44986</v>
      </c>
      <c r="E804" s="545">
        <v>744</v>
      </c>
      <c r="F804" s="545" t="s">
        <v>3</v>
      </c>
      <c r="G804" s="725" t="s">
        <v>44</v>
      </c>
      <c r="H804" s="548">
        <v>-5</v>
      </c>
      <c r="I804" s="548">
        <v>74</v>
      </c>
      <c r="J804" s="602">
        <f t="shared" si="84"/>
        <v>275280</v>
      </c>
      <c r="K804" s="742">
        <v>69.3</v>
      </c>
      <c r="L804" s="603">
        <f t="shared" si="85"/>
        <v>-257796</v>
      </c>
      <c r="M804" s="743">
        <f t="shared" si="86"/>
        <v>17484</v>
      </c>
      <c r="N804" s="744">
        <v>55.7</v>
      </c>
      <c r="O804" s="604">
        <f t="shared" si="87"/>
        <v>-207204</v>
      </c>
      <c r="P804" s="701">
        <f t="shared" si="88"/>
        <v>68076</v>
      </c>
      <c r="Q804" s="744">
        <v>89.053218420260009</v>
      </c>
      <c r="R804" s="604">
        <f t="shared" si="89"/>
        <v>-331277.97252336721</v>
      </c>
      <c r="S804" s="701">
        <f t="shared" si="90"/>
        <v>-55997.972523367207</v>
      </c>
      <c r="T804" s="695" t="s">
        <v>54</v>
      </c>
    </row>
    <row r="805" spans="1:20" x14ac:dyDescent="0.25">
      <c r="A805" s="690"/>
      <c r="B805" s="696" t="s">
        <v>2375</v>
      </c>
      <c r="C805" s="546" t="s">
        <v>40</v>
      </c>
      <c r="D805" s="682">
        <v>45017</v>
      </c>
      <c r="E805" s="546">
        <v>720</v>
      </c>
      <c r="F805" s="546" t="s">
        <v>3</v>
      </c>
      <c r="G805" s="726" t="s">
        <v>44</v>
      </c>
      <c r="H805" s="549">
        <v>-1</v>
      </c>
      <c r="I805" s="549">
        <v>75</v>
      </c>
      <c r="J805" s="605">
        <f t="shared" si="84"/>
        <v>54000</v>
      </c>
      <c r="K805" s="746">
        <v>69.8</v>
      </c>
      <c r="L805" s="606">
        <f t="shared" si="85"/>
        <v>-50256</v>
      </c>
      <c r="M805" s="747">
        <f t="shared" si="86"/>
        <v>3744</v>
      </c>
      <c r="N805" s="748">
        <v>55.7</v>
      </c>
      <c r="O805" s="607">
        <f t="shared" si="87"/>
        <v>-40104</v>
      </c>
      <c r="P805" s="702">
        <f t="shared" si="88"/>
        <v>13896</v>
      </c>
      <c r="Q805" s="748">
        <v>85.732008718771311</v>
      </c>
      <c r="R805" s="607">
        <f t="shared" si="89"/>
        <v>-61727.046277515343</v>
      </c>
      <c r="S805" s="702">
        <f t="shared" si="90"/>
        <v>-7727.0462775153428</v>
      </c>
      <c r="T805" s="696" t="s">
        <v>54</v>
      </c>
    </row>
    <row r="806" spans="1:20" x14ac:dyDescent="0.25">
      <c r="A806" s="690"/>
      <c r="B806" s="691" t="s">
        <v>2375</v>
      </c>
      <c r="C806" s="676" t="s">
        <v>40</v>
      </c>
      <c r="D806" s="680">
        <v>45047</v>
      </c>
      <c r="E806" s="676">
        <v>744</v>
      </c>
      <c r="F806" s="676" t="s">
        <v>3</v>
      </c>
      <c r="G806" s="690" t="s">
        <v>44</v>
      </c>
      <c r="H806" s="115">
        <v>-1</v>
      </c>
      <c r="I806" s="115">
        <v>75</v>
      </c>
      <c r="J806" s="601">
        <f t="shared" si="84"/>
        <v>55800</v>
      </c>
      <c r="K806" s="738">
        <v>70.2</v>
      </c>
      <c r="L806" s="677">
        <f t="shared" si="85"/>
        <v>-52228.800000000003</v>
      </c>
      <c r="M806" s="739">
        <f t="shared" si="86"/>
        <v>3571.1999999999971</v>
      </c>
      <c r="N806" s="740">
        <v>55.7</v>
      </c>
      <c r="O806" s="678">
        <f t="shared" si="87"/>
        <v>-41440.800000000003</v>
      </c>
      <c r="P806" s="700">
        <f t="shared" si="88"/>
        <v>14359.199999999997</v>
      </c>
      <c r="Q806" s="740">
        <v>86.223309628334476</v>
      </c>
      <c r="R806" s="678">
        <f t="shared" si="89"/>
        <v>-64150.142363480853</v>
      </c>
      <c r="S806" s="700">
        <f t="shared" si="90"/>
        <v>-8350.1423634808525</v>
      </c>
      <c r="T806" s="691" t="s">
        <v>54</v>
      </c>
    </row>
    <row r="807" spans="1:20" x14ac:dyDescent="0.25">
      <c r="A807" s="690"/>
      <c r="B807" s="695" t="s">
        <v>2375</v>
      </c>
      <c r="C807" s="545" t="s">
        <v>40</v>
      </c>
      <c r="D807" s="681">
        <v>45078</v>
      </c>
      <c r="E807" s="545">
        <v>720</v>
      </c>
      <c r="F807" s="545" t="s">
        <v>3</v>
      </c>
      <c r="G807" s="725" t="s">
        <v>44</v>
      </c>
      <c r="H807" s="548">
        <v>-1</v>
      </c>
      <c r="I807" s="548">
        <v>75</v>
      </c>
      <c r="J807" s="602">
        <f t="shared" si="84"/>
        <v>54000</v>
      </c>
      <c r="K807" s="742">
        <v>72.400000000000006</v>
      </c>
      <c r="L807" s="603">
        <f t="shared" si="85"/>
        <v>-52128.000000000007</v>
      </c>
      <c r="M807" s="743">
        <f t="shared" si="86"/>
        <v>1871.9999999999927</v>
      </c>
      <c r="N807" s="744">
        <v>55.874535369068141</v>
      </c>
      <c r="O807" s="604">
        <f t="shared" si="87"/>
        <v>-40229.665465729064</v>
      </c>
      <c r="P807" s="701">
        <f t="shared" si="88"/>
        <v>13770.334534270936</v>
      </c>
      <c r="Q807" s="744">
        <v>88.925464630931856</v>
      </c>
      <c r="R807" s="604">
        <f t="shared" si="89"/>
        <v>-64026.334534270936</v>
      </c>
      <c r="S807" s="701">
        <f t="shared" si="90"/>
        <v>-10026.334534270936</v>
      </c>
      <c r="T807" s="695" t="s">
        <v>54</v>
      </c>
    </row>
    <row r="808" spans="1:20" x14ac:dyDescent="0.25">
      <c r="A808" s="690"/>
      <c r="B808" s="696" t="s">
        <v>2377</v>
      </c>
      <c r="C808" s="546" t="s">
        <v>40</v>
      </c>
      <c r="D808" s="682">
        <v>45017</v>
      </c>
      <c r="E808" s="546">
        <v>720</v>
      </c>
      <c r="F808" s="546" t="s">
        <v>3</v>
      </c>
      <c r="G808" s="726" t="s">
        <v>44</v>
      </c>
      <c r="H808" s="549">
        <v>-1.3</v>
      </c>
      <c r="I808" s="549">
        <v>75</v>
      </c>
      <c r="J808" s="605">
        <f t="shared" si="84"/>
        <v>70200</v>
      </c>
      <c r="K808" s="746">
        <v>69.8</v>
      </c>
      <c r="L808" s="606">
        <f t="shared" si="85"/>
        <v>-65332.799999999996</v>
      </c>
      <c r="M808" s="747">
        <f t="shared" si="86"/>
        <v>4867.2000000000044</v>
      </c>
      <c r="N808" s="748">
        <v>55.7</v>
      </c>
      <c r="O808" s="607">
        <f t="shared" si="87"/>
        <v>-52135.200000000004</v>
      </c>
      <c r="P808" s="702">
        <f t="shared" si="88"/>
        <v>18064.799999999996</v>
      </c>
      <c r="Q808" s="748">
        <v>85.732008718771311</v>
      </c>
      <c r="R808" s="607">
        <f t="shared" si="89"/>
        <v>-80245.160160769941</v>
      </c>
      <c r="S808" s="702">
        <f t="shared" si="90"/>
        <v>-10045.160160769941</v>
      </c>
      <c r="T808" s="696" t="s">
        <v>54</v>
      </c>
    </row>
    <row r="809" spans="1:20" x14ac:dyDescent="0.25">
      <c r="A809" s="690"/>
      <c r="B809" s="691" t="s">
        <v>2377</v>
      </c>
      <c r="C809" s="676" t="s">
        <v>40</v>
      </c>
      <c r="D809" s="680">
        <v>45047</v>
      </c>
      <c r="E809" s="676">
        <v>744</v>
      </c>
      <c r="F809" s="676" t="s">
        <v>3</v>
      </c>
      <c r="G809" s="690" t="s">
        <v>44</v>
      </c>
      <c r="H809" s="115">
        <v>-1.3</v>
      </c>
      <c r="I809" s="115">
        <v>75</v>
      </c>
      <c r="J809" s="601">
        <f t="shared" si="84"/>
        <v>72540</v>
      </c>
      <c r="K809" s="738">
        <v>70.2</v>
      </c>
      <c r="L809" s="677">
        <f t="shared" si="85"/>
        <v>-67897.440000000002</v>
      </c>
      <c r="M809" s="739">
        <f t="shared" si="86"/>
        <v>4642.5599999999977</v>
      </c>
      <c r="N809" s="740">
        <v>55.7</v>
      </c>
      <c r="O809" s="678">
        <f t="shared" si="87"/>
        <v>-53873.040000000008</v>
      </c>
      <c r="P809" s="700">
        <f t="shared" si="88"/>
        <v>18666.959999999992</v>
      </c>
      <c r="Q809" s="740">
        <v>86.223309628334476</v>
      </c>
      <c r="R809" s="678">
        <f t="shared" si="89"/>
        <v>-83395.185072525113</v>
      </c>
      <c r="S809" s="700">
        <f t="shared" si="90"/>
        <v>-10855.185072525113</v>
      </c>
      <c r="T809" s="691" t="s">
        <v>54</v>
      </c>
    </row>
    <row r="810" spans="1:20" x14ac:dyDescent="0.25">
      <c r="A810" s="690"/>
      <c r="B810" s="695" t="s">
        <v>2377</v>
      </c>
      <c r="C810" s="545" t="s">
        <v>40</v>
      </c>
      <c r="D810" s="681">
        <v>45078</v>
      </c>
      <c r="E810" s="545">
        <v>720</v>
      </c>
      <c r="F810" s="545" t="s">
        <v>3</v>
      </c>
      <c r="G810" s="725" t="s">
        <v>44</v>
      </c>
      <c r="H810" s="548">
        <v>-1.3</v>
      </c>
      <c r="I810" s="548">
        <v>75</v>
      </c>
      <c r="J810" s="602">
        <f t="shared" si="84"/>
        <v>70200</v>
      </c>
      <c r="K810" s="742">
        <v>72.400000000000006</v>
      </c>
      <c r="L810" s="603">
        <f t="shared" si="85"/>
        <v>-67766.400000000009</v>
      </c>
      <c r="M810" s="743">
        <f t="shared" si="86"/>
        <v>2433.5999999999913</v>
      </c>
      <c r="N810" s="744">
        <v>55.874535369068141</v>
      </c>
      <c r="O810" s="604">
        <f t="shared" si="87"/>
        <v>-52298.565105447778</v>
      </c>
      <c r="P810" s="701">
        <f t="shared" si="88"/>
        <v>17901.434894552222</v>
      </c>
      <c r="Q810" s="744">
        <v>88.925464630931856</v>
      </c>
      <c r="R810" s="604">
        <f t="shared" si="89"/>
        <v>-83234.23489455221</v>
      </c>
      <c r="S810" s="701">
        <f t="shared" si="90"/>
        <v>-13034.23489455221</v>
      </c>
      <c r="T810" s="695" t="s">
        <v>54</v>
      </c>
    </row>
    <row r="811" spans="1:20" x14ac:dyDescent="0.25">
      <c r="A811" s="690"/>
      <c r="B811" s="696" t="s">
        <v>2380</v>
      </c>
      <c r="C811" s="546" t="s">
        <v>40</v>
      </c>
      <c r="D811" s="682">
        <v>45108</v>
      </c>
      <c r="E811" s="546">
        <v>744</v>
      </c>
      <c r="F811" s="546" t="s">
        <v>3</v>
      </c>
      <c r="G811" s="726" t="s">
        <v>44</v>
      </c>
      <c r="H811" s="549">
        <v>30</v>
      </c>
      <c r="I811" s="549">
        <v>127</v>
      </c>
      <c r="J811" s="605">
        <f t="shared" si="84"/>
        <v>-2834640</v>
      </c>
      <c r="K811" s="746">
        <v>77.150000000000006</v>
      </c>
      <c r="L811" s="606">
        <f t="shared" si="85"/>
        <v>1721988.0000000002</v>
      </c>
      <c r="M811" s="747">
        <f t="shared" si="86"/>
        <v>-1112651.9999999998</v>
      </c>
      <c r="N811" s="748">
        <v>59.54033706800562</v>
      </c>
      <c r="O811" s="607">
        <f t="shared" si="87"/>
        <v>1328940.3233578855</v>
      </c>
      <c r="P811" s="702">
        <f t="shared" si="88"/>
        <v>-1505699.6766421145</v>
      </c>
      <c r="Q811" s="748">
        <v>94.759662931994384</v>
      </c>
      <c r="R811" s="607">
        <f t="shared" si="89"/>
        <v>2115035.6766421148</v>
      </c>
      <c r="S811" s="702">
        <f t="shared" si="90"/>
        <v>-719604.32335788524</v>
      </c>
      <c r="T811" s="696" t="s">
        <v>54</v>
      </c>
    </row>
    <row r="812" spans="1:20" x14ac:dyDescent="0.25">
      <c r="A812" s="690"/>
      <c r="B812" s="691" t="s">
        <v>2380</v>
      </c>
      <c r="C812" s="676" t="s">
        <v>40</v>
      </c>
      <c r="D812" s="680">
        <v>45139</v>
      </c>
      <c r="E812" s="676">
        <v>744</v>
      </c>
      <c r="F812" s="676" t="s">
        <v>3</v>
      </c>
      <c r="G812" s="690" t="s">
        <v>44</v>
      </c>
      <c r="H812" s="115">
        <v>30</v>
      </c>
      <c r="I812" s="115">
        <v>127</v>
      </c>
      <c r="J812" s="601">
        <f t="shared" si="84"/>
        <v>-2834640</v>
      </c>
      <c r="K812" s="738">
        <v>77.150000000000006</v>
      </c>
      <c r="L812" s="677">
        <f t="shared" si="85"/>
        <v>1721988.0000000002</v>
      </c>
      <c r="M812" s="739">
        <f t="shared" si="86"/>
        <v>-1112651.9999999998</v>
      </c>
      <c r="N812" s="740">
        <v>59.54033706800562</v>
      </c>
      <c r="O812" s="678">
        <f t="shared" si="87"/>
        <v>1328940.3233578855</v>
      </c>
      <c r="P812" s="700">
        <f t="shared" si="88"/>
        <v>-1505699.6766421145</v>
      </c>
      <c r="Q812" s="740">
        <v>94.759662931994384</v>
      </c>
      <c r="R812" s="678">
        <f t="shared" si="89"/>
        <v>2115035.6766421148</v>
      </c>
      <c r="S812" s="700">
        <f t="shared" si="90"/>
        <v>-719604.32335788524</v>
      </c>
      <c r="T812" s="691" t="s">
        <v>54</v>
      </c>
    </row>
    <row r="813" spans="1:20" x14ac:dyDescent="0.25">
      <c r="A813" s="690"/>
      <c r="B813" s="691" t="s">
        <v>2380</v>
      </c>
      <c r="C813" s="676" t="s">
        <v>40</v>
      </c>
      <c r="D813" s="680">
        <v>45170</v>
      </c>
      <c r="E813" s="676">
        <v>720</v>
      </c>
      <c r="F813" s="676" t="s">
        <v>3</v>
      </c>
      <c r="G813" s="690" t="s">
        <v>44</v>
      </c>
      <c r="H813" s="115">
        <v>30</v>
      </c>
      <c r="I813" s="115">
        <v>127</v>
      </c>
      <c r="J813" s="601">
        <f t="shared" si="84"/>
        <v>-2743200</v>
      </c>
      <c r="K813" s="738">
        <v>77.150000000000006</v>
      </c>
      <c r="L813" s="677">
        <f t="shared" si="85"/>
        <v>1666440.0000000002</v>
      </c>
      <c r="M813" s="739">
        <f t="shared" si="86"/>
        <v>-1076759.9999999998</v>
      </c>
      <c r="N813" s="740">
        <v>59.54033706800562</v>
      </c>
      <c r="O813" s="678">
        <f t="shared" si="87"/>
        <v>1286071.2806689213</v>
      </c>
      <c r="P813" s="700">
        <f t="shared" si="88"/>
        <v>-1457128.7193310787</v>
      </c>
      <c r="Q813" s="740">
        <v>94.759662931994384</v>
      </c>
      <c r="R813" s="678">
        <f t="shared" si="89"/>
        <v>2046808.7193310787</v>
      </c>
      <c r="S813" s="700">
        <f t="shared" si="90"/>
        <v>-696391.2806689213</v>
      </c>
      <c r="T813" s="691" t="s">
        <v>54</v>
      </c>
    </row>
    <row r="814" spans="1:20" x14ac:dyDescent="0.25">
      <c r="A814" s="690"/>
      <c r="B814" s="691" t="s">
        <v>2380</v>
      </c>
      <c r="C814" s="676" t="s">
        <v>40</v>
      </c>
      <c r="D814" s="680">
        <v>45200</v>
      </c>
      <c r="E814" s="676">
        <v>744</v>
      </c>
      <c r="F814" s="676" t="s">
        <v>3</v>
      </c>
      <c r="G814" s="690" t="s">
        <v>44</v>
      </c>
      <c r="H814" s="115">
        <v>30</v>
      </c>
      <c r="I814" s="115">
        <v>127</v>
      </c>
      <c r="J814" s="601">
        <f t="shared" si="84"/>
        <v>-2834640</v>
      </c>
      <c r="K814" s="738">
        <v>80.45</v>
      </c>
      <c r="L814" s="677">
        <f t="shared" si="85"/>
        <v>1795644</v>
      </c>
      <c r="M814" s="739">
        <f t="shared" si="86"/>
        <v>-1038996</v>
      </c>
      <c r="N814" s="740">
        <v>62.087104564109552</v>
      </c>
      <c r="O814" s="678">
        <f t="shared" si="87"/>
        <v>1385784.1738709251</v>
      </c>
      <c r="P814" s="700">
        <f t="shared" si="88"/>
        <v>-1448855.8261290749</v>
      </c>
      <c r="Q814" s="740">
        <v>98.812895435890439</v>
      </c>
      <c r="R814" s="678">
        <f t="shared" si="89"/>
        <v>2205503.8261290747</v>
      </c>
      <c r="S814" s="700">
        <f t="shared" si="90"/>
        <v>-629136.17387092533</v>
      </c>
      <c r="T814" s="691" t="s">
        <v>54</v>
      </c>
    </row>
    <row r="815" spans="1:20" x14ac:dyDescent="0.25">
      <c r="A815" s="690"/>
      <c r="B815" s="691" t="s">
        <v>2380</v>
      </c>
      <c r="C815" s="676" t="s">
        <v>40</v>
      </c>
      <c r="D815" s="680">
        <v>45231</v>
      </c>
      <c r="E815" s="676">
        <v>720</v>
      </c>
      <c r="F815" s="676" t="s">
        <v>3</v>
      </c>
      <c r="G815" s="690" t="s">
        <v>44</v>
      </c>
      <c r="H815" s="115">
        <v>30</v>
      </c>
      <c r="I815" s="115">
        <v>127</v>
      </c>
      <c r="J815" s="601">
        <f t="shared" si="84"/>
        <v>-2743200</v>
      </c>
      <c r="K815" s="738">
        <v>80.45</v>
      </c>
      <c r="L815" s="677">
        <f t="shared" si="85"/>
        <v>1737720</v>
      </c>
      <c r="M815" s="739">
        <f t="shared" si="86"/>
        <v>-1005480</v>
      </c>
      <c r="N815" s="740">
        <v>62.087104564109552</v>
      </c>
      <c r="O815" s="678">
        <f t="shared" si="87"/>
        <v>1341081.4585847664</v>
      </c>
      <c r="P815" s="700">
        <f t="shared" si="88"/>
        <v>-1402118.5414152336</v>
      </c>
      <c r="Q815" s="740">
        <v>98.812895435890439</v>
      </c>
      <c r="R815" s="678">
        <f t="shared" si="89"/>
        <v>2134358.5414152336</v>
      </c>
      <c r="S815" s="700">
        <f t="shared" si="90"/>
        <v>-608841.45858476637</v>
      </c>
      <c r="T815" s="691" t="s">
        <v>54</v>
      </c>
    </row>
    <row r="816" spans="1:20" x14ac:dyDescent="0.25">
      <c r="A816" s="690"/>
      <c r="B816" s="695" t="s">
        <v>2380</v>
      </c>
      <c r="C816" s="545" t="s">
        <v>40</v>
      </c>
      <c r="D816" s="681">
        <v>45261</v>
      </c>
      <c r="E816" s="545">
        <v>744</v>
      </c>
      <c r="F816" s="545" t="s">
        <v>3</v>
      </c>
      <c r="G816" s="725" t="s">
        <v>44</v>
      </c>
      <c r="H816" s="548">
        <v>30</v>
      </c>
      <c r="I816" s="548">
        <v>127</v>
      </c>
      <c r="J816" s="602">
        <f t="shared" si="84"/>
        <v>-2834640</v>
      </c>
      <c r="K816" s="742">
        <v>80.45</v>
      </c>
      <c r="L816" s="603">
        <f t="shared" si="85"/>
        <v>1795644</v>
      </c>
      <c r="M816" s="743">
        <f t="shared" si="86"/>
        <v>-1038996</v>
      </c>
      <c r="N816" s="744">
        <v>62.087104564109552</v>
      </c>
      <c r="O816" s="604">
        <f t="shared" si="87"/>
        <v>1385784.1738709251</v>
      </c>
      <c r="P816" s="701">
        <f t="shared" si="88"/>
        <v>-1448855.8261290749</v>
      </c>
      <c r="Q816" s="744">
        <v>98.812895435890439</v>
      </c>
      <c r="R816" s="604">
        <f t="shared" si="89"/>
        <v>2205503.8261290747</v>
      </c>
      <c r="S816" s="701">
        <f t="shared" si="90"/>
        <v>-629136.17387092533</v>
      </c>
      <c r="T816" s="695" t="s">
        <v>54</v>
      </c>
    </row>
    <row r="817" spans="1:20" x14ac:dyDescent="0.25">
      <c r="A817" s="690"/>
      <c r="B817" s="697" t="s">
        <v>2385</v>
      </c>
      <c r="C817" s="547" t="s">
        <v>40</v>
      </c>
      <c r="D817" s="683">
        <v>45261</v>
      </c>
      <c r="E817" s="547">
        <v>744</v>
      </c>
      <c r="F817" s="547" t="s">
        <v>3</v>
      </c>
      <c r="G817" s="727" t="s">
        <v>44</v>
      </c>
      <c r="H817" s="638">
        <v>-20</v>
      </c>
      <c r="I817" s="638">
        <v>110</v>
      </c>
      <c r="J817" s="639">
        <f t="shared" si="84"/>
        <v>1636800</v>
      </c>
      <c r="K817" s="750">
        <v>80.45</v>
      </c>
      <c r="L817" s="608">
        <f t="shared" si="85"/>
        <v>-1197096</v>
      </c>
      <c r="M817" s="751">
        <f t="shared" si="86"/>
        <v>439704</v>
      </c>
      <c r="N817" s="752">
        <v>62.087104564109552</v>
      </c>
      <c r="O817" s="609">
        <f t="shared" si="87"/>
        <v>-923856.11591395014</v>
      </c>
      <c r="P817" s="703">
        <f t="shared" si="88"/>
        <v>712943.88408604986</v>
      </c>
      <c r="Q817" s="752">
        <v>98.812895435890439</v>
      </c>
      <c r="R817" s="609">
        <f t="shared" si="89"/>
        <v>-1470335.8840860496</v>
      </c>
      <c r="S817" s="703">
        <f t="shared" si="90"/>
        <v>166464.11591395037</v>
      </c>
      <c r="T817" s="697" t="s">
        <v>54</v>
      </c>
    </row>
    <row r="818" spans="1:20" x14ac:dyDescent="0.25">
      <c r="A818" s="690"/>
      <c r="B818" s="696" t="s">
        <v>2387</v>
      </c>
      <c r="C818" s="546" t="s">
        <v>40</v>
      </c>
      <c r="D818" s="682">
        <v>44927</v>
      </c>
      <c r="E818" s="546">
        <v>744</v>
      </c>
      <c r="F818" s="546" t="s">
        <v>3</v>
      </c>
      <c r="G818" s="726" t="s">
        <v>44</v>
      </c>
      <c r="H818" s="549">
        <v>-2</v>
      </c>
      <c r="I818" s="549">
        <v>73</v>
      </c>
      <c r="J818" s="605">
        <f t="shared" si="84"/>
        <v>108624</v>
      </c>
      <c r="K818" s="746">
        <v>68.72</v>
      </c>
      <c r="L818" s="606">
        <f t="shared" si="85"/>
        <v>-102255.36</v>
      </c>
      <c r="M818" s="747">
        <f t="shared" si="86"/>
        <v>6368.6399999999994</v>
      </c>
      <c r="N818" s="748">
        <v>55.7</v>
      </c>
      <c r="O818" s="607">
        <f t="shared" si="87"/>
        <v>-82881.600000000006</v>
      </c>
      <c r="P818" s="702">
        <f t="shared" si="88"/>
        <v>25742.399999999994</v>
      </c>
      <c r="Q818" s="748">
        <v>96.206580759134184</v>
      </c>
      <c r="R818" s="607">
        <f t="shared" si="89"/>
        <v>-143155.39216959168</v>
      </c>
      <c r="S818" s="702">
        <f t="shared" si="90"/>
        <v>-34531.39216959168</v>
      </c>
      <c r="T818" s="696" t="s">
        <v>54</v>
      </c>
    </row>
    <row r="819" spans="1:20" x14ac:dyDescent="0.25">
      <c r="A819" s="690"/>
      <c r="B819" s="691" t="s">
        <v>2387</v>
      </c>
      <c r="C819" s="676" t="s">
        <v>40</v>
      </c>
      <c r="D819" s="680">
        <v>44958</v>
      </c>
      <c r="E819" s="676">
        <v>672</v>
      </c>
      <c r="F819" s="676" t="s">
        <v>3</v>
      </c>
      <c r="G819" s="690" t="s">
        <v>44</v>
      </c>
      <c r="H819" s="115">
        <v>-2</v>
      </c>
      <c r="I819" s="115">
        <v>73</v>
      </c>
      <c r="J819" s="601">
        <f t="shared" si="84"/>
        <v>98112</v>
      </c>
      <c r="K819" s="738">
        <v>69.25</v>
      </c>
      <c r="L819" s="677">
        <f t="shared" si="85"/>
        <v>-93072</v>
      </c>
      <c r="M819" s="739">
        <f t="shared" si="86"/>
        <v>5040</v>
      </c>
      <c r="N819" s="740">
        <v>55.7</v>
      </c>
      <c r="O819" s="678">
        <f t="shared" si="87"/>
        <v>-74860.800000000003</v>
      </c>
      <c r="P819" s="700">
        <f t="shared" si="88"/>
        <v>23251.199999999997</v>
      </c>
      <c r="Q819" s="740">
        <v>92.430648861364247</v>
      </c>
      <c r="R819" s="678">
        <f t="shared" si="89"/>
        <v>-124226.79206967355</v>
      </c>
      <c r="S819" s="700">
        <f t="shared" si="90"/>
        <v>-26114.792069673553</v>
      </c>
      <c r="T819" s="691" t="s">
        <v>54</v>
      </c>
    </row>
    <row r="820" spans="1:20" x14ac:dyDescent="0.25">
      <c r="A820" s="690"/>
      <c r="B820" s="691" t="s">
        <v>2387</v>
      </c>
      <c r="C820" s="676" t="s">
        <v>40</v>
      </c>
      <c r="D820" s="680">
        <v>44986</v>
      </c>
      <c r="E820" s="676">
        <v>744</v>
      </c>
      <c r="F820" s="676" t="s">
        <v>3</v>
      </c>
      <c r="G820" s="690" t="s">
        <v>44</v>
      </c>
      <c r="H820" s="115">
        <v>-2</v>
      </c>
      <c r="I820" s="115">
        <v>73</v>
      </c>
      <c r="J820" s="601">
        <f t="shared" si="84"/>
        <v>108624</v>
      </c>
      <c r="K820" s="738">
        <v>69.3</v>
      </c>
      <c r="L820" s="677">
        <f t="shared" si="85"/>
        <v>-103118.39999999999</v>
      </c>
      <c r="M820" s="739">
        <f t="shared" si="86"/>
        <v>5505.6000000000058</v>
      </c>
      <c r="N820" s="740">
        <v>55.7</v>
      </c>
      <c r="O820" s="678">
        <f t="shared" si="87"/>
        <v>-82881.600000000006</v>
      </c>
      <c r="P820" s="700">
        <f t="shared" si="88"/>
        <v>25742.399999999994</v>
      </c>
      <c r="Q820" s="740">
        <v>89.053218420260009</v>
      </c>
      <c r="R820" s="678">
        <f t="shared" si="89"/>
        <v>-132511.18900934688</v>
      </c>
      <c r="S820" s="700">
        <f t="shared" si="90"/>
        <v>-23887.189009346883</v>
      </c>
      <c r="T820" s="691" t="s">
        <v>54</v>
      </c>
    </row>
    <row r="821" spans="1:20" x14ac:dyDescent="0.25">
      <c r="A821" s="690"/>
      <c r="B821" s="691" t="s">
        <v>2387</v>
      </c>
      <c r="C821" s="676" t="s">
        <v>40</v>
      </c>
      <c r="D821" s="680">
        <v>45017</v>
      </c>
      <c r="E821" s="676">
        <v>720</v>
      </c>
      <c r="F821" s="676" t="s">
        <v>3</v>
      </c>
      <c r="G821" s="690" t="s">
        <v>44</v>
      </c>
      <c r="H821" s="115">
        <v>-2</v>
      </c>
      <c r="I821" s="115">
        <v>73</v>
      </c>
      <c r="J821" s="601">
        <f t="shared" si="84"/>
        <v>105120</v>
      </c>
      <c r="K821" s="738">
        <v>69.8</v>
      </c>
      <c r="L821" s="677">
        <f t="shared" si="85"/>
        <v>-100512</v>
      </c>
      <c r="M821" s="739">
        <f t="shared" si="86"/>
        <v>4608</v>
      </c>
      <c r="N821" s="740">
        <v>55.7</v>
      </c>
      <c r="O821" s="678">
        <f t="shared" si="87"/>
        <v>-80208</v>
      </c>
      <c r="P821" s="700">
        <f t="shared" si="88"/>
        <v>24912</v>
      </c>
      <c r="Q821" s="740">
        <v>85.732008718771311</v>
      </c>
      <c r="R821" s="678">
        <f t="shared" si="89"/>
        <v>-123454.09255503069</v>
      </c>
      <c r="S821" s="700">
        <f t="shared" si="90"/>
        <v>-18334.092555030686</v>
      </c>
      <c r="T821" s="691" t="s">
        <v>54</v>
      </c>
    </row>
    <row r="822" spans="1:20" x14ac:dyDescent="0.25">
      <c r="A822" s="690"/>
      <c r="B822" s="691" t="s">
        <v>2387</v>
      </c>
      <c r="C822" s="676" t="s">
        <v>40</v>
      </c>
      <c r="D822" s="680">
        <v>45047</v>
      </c>
      <c r="E822" s="676">
        <v>744</v>
      </c>
      <c r="F822" s="676" t="s">
        <v>3</v>
      </c>
      <c r="G822" s="690" t="s">
        <v>44</v>
      </c>
      <c r="H822" s="115">
        <v>-2</v>
      </c>
      <c r="I822" s="115">
        <v>73</v>
      </c>
      <c r="J822" s="601">
        <f t="shared" si="84"/>
        <v>108624</v>
      </c>
      <c r="K822" s="738">
        <v>70.2</v>
      </c>
      <c r="L822" s="677">
        <f t="shared" si="85"/>
        <v>-104457.60000000001</v>
      </c>
      <c r="M822" s="739">
        <f t="shared" si="86"/>
        <v>4166.3999999999942</v>
      </c>
      <c r="N822" s="740">
        <v>55.7</v>
      </c>
      <c r="O822" s="678">
        <f t="shared" si="87"/>
        <v>-82881.600000000006</v>
      </c>
      <c r="P822" s="700">
        <f t="shared" si="88"/>
        <v>25742.399999999994</v>
      </c>
      <c r="Q822" s="740">
        <v>86.223309628334476</v>
      </c>
      <c r="R822" s="678">
        <f t="shared" si="89"/>
        <v>-128300.28472696171</v>
      </c>
      <c r="S822" s="700">
        <f t="shared" si="90"/>
        <v>-19676.284726961705</v>
      </c>
      <c r="T822" s="691" t="s">
        <v>54</v>
      </c>
    </row>
    <row r="823" spans="1:20" x14ac:dyDescent="0.25">
      <c r="A823" s="690"/>
      <c r="B823" s="695" t="s">
        <v>2387</v>
      </c>
      <c r="C823" s="545" t="s">
        <v>40</v>
      </c>
      <c r="D823" s="681">
        <v>45078</v>
      </c>
      <c r="E823" s="545">
        <v>720</v>
      </c>
      <c r="F823" s="545" t="s">
        <v>3</v>
      </c>
      <c r="G823" s="725" t="s">
        <v>44</v>
      </c>
      <c r="H823" s="548">
        <v>-2</v>
      </c>
      <c r="I823" s="548">
        <v>73</v>
      </c>
      <c r="J823" s="602">
        <f t="shared" si="84"/>
        <v>105120</v>
      </c>
      <c r="K823" s="742">
        <v>72.400000000000006</v>
      </c>
      <c r="L823" s="603">
        <f t="shared" si="85"/>
        <v>-104256.00000000001</v>
      </c>
      <c r="M823" s="743">
        <f t="shared" si="86"/>
        <v>863.99999999998545</v>
      </c>
      <c r="N823" s="744">
        <v>55.874535369068141</v>
      </c>
      <c r="O823" s="604">
        <f t="shared" si="87"/>
        <v>-80459.330931458127</v>
      </c>
      <c r="P823" s="701">
        <f t="shared" si="88"/>
        <v>24660.669068541873</v>
      </c>
      <c r="Q823" s="744">
        <v>88.925464630931856</v>
      </c>
      <c r="R823" s="604">
        <f t="shared" si="89"/>
        <v>-128052.66906854187</v>
      </c>
      <c r="S823" s="701">
        <f t="shared" si="90"/>
        <v>-22932.669068541873</v>
      </c>
      <c r="T823" s="695" t="s">
        <v>54</v>
      </c>
    </row>
    <row r="824" spans="1:20" x14ac:dyDescent="0.25">
      <c r="A824" s="690"/>
      <c r="B824" s="696" t="s">
        <v>2394</v>
      </c>
      <c r="C824" s="546" t="s">
        <v>40</v>
      </c>
      <c r="D824" s="682">
        <v>44927</v>
      </c>
      <c r="E824" s="546">
        <v>744</v>
      </c>
      <c r="F824" s="546" t="s">
        <v>3</v>
      </c>
      <c r="G824" s="726" t="s">
        <v>44</v>
      </c>
      <c r="H824" s="549">
        <v>-5</v>
      </c>
      <c r="I824" s="549">
        <v>72</v>
      </c>
      <c r="J824" s="605">
        <f t="shared" si="84"/>
        <v>267840</v>
      </c>
      <c r="K824" s="746">
        <v>68.72</v>
      </c>
      <c r="L824" s="606">
        <f t="shared" si="85"/>
        <v>-255638.39999999999</v>
      </c>
      <c r="M824" s="747">
        <f t="shared" si="86"/>
        <v>12201.600000000006</v>
      </c>
      <c r="N824" s="748">
        <v>55.7</v>
      </c>
      <c r="O824" s="607">
        <f t="shared" si="87"/>
        <v>-207204</v>
      </c>
      <c r="P824" s="702">
        <f t="shared" si="88"/>
        <v>60636</v>
      </c>
      <c r="Q824" s="748">
        <v>96.206580759134184</v>
      </c>
      <c r="R824" s="607">
        <f t="shared" si="89"/>
        <v>-357888.48042397917</v>
      </c>
      <c r="S824" s="702">
        <f t="shared" si="90"/>
        <v>-90048.48042397917</v>
      </c>
      <c r="T824" s="696" t="s">
        <v>54</v>
      </c>
    </row>
    <row r="825" spans="1:20" x14ac:dyDescent="0.25">
      <c r="A825" s="690"/>
      <c r="B825" s="691" t="s">
        <v>2394</v>
      </c>
      <c r="C825" s="676" t="s">
        <v>40</v>
      </c>
      <c r="D825" s="680">
        <v>44958</v>
      </c>
      <c r="E825" s="676">
        <v>672</v>
      </c>
      <c r="F825" s="676" t="s">
        <v>3</v>
      </c>
      <c r="G825" s="690" t="s">
        <v>44</v>
      </c>
      <c r="H825" s="115">
        <v>-5</v>
      </c>
      <c r="I825" s="115">
        <v>72</v>
      </c>
      <c r="J825" s="601">
        <f t="shared" si="84"/>
        <v>241920</v>
      </c>
      <c r="K825" s="738">
        <v>69.25</v>
      </c>
      <c r="L825" s="677">
        <f t="shared" si="85"/>
        <v>-232680</v>
      </c>
      <c r="M825" s="739">
        <f t="shared" si="86"/>
        <v>9240</v>
      </c>
      <c r="N825" s="740">
        <v>55.7</v>
      </c>
      <c r="O825" s="678">
        <f t="shared" si="87"/>
        <v>-187152</v>
      </c>
      <c r="P825" s="700">
        <f t="shared" si="88"/>
        <v>54768</v>
      </c>
      <c r="Q825" s="740">
        <v>92.430648861364247</v>
      </c>
      <c r="R825" s="678">
        <f t="shared" si="89"/>
        <v>-310566.98017418385</v>
      </c>
      <c r="S825" s="700">
        <f t="shared" si="90"/>
        <v>-68646.980174183846</v>
      </c>
      <c r="T825" s="691" t="s">
        <v>54</v>
      </c>
    </row>
    <row r="826" spans="1:20" x14ac:dyDescent="0.25">
      <c r="A826" s="690"/>
      <c r="B826" s="695" t="s">
        <v>2394</v>
      </c>
      <c r="C826" s="545" t="s">
        <v>40</v>
      </c>
      <c r="D826" s="681">
        <v>44986</v>
      </c>
      <c r="E826" s="545">
        <v>744</v>
      </c>
      <c r="F826" s="545" t="s">
        <v>3</v>
      </c>
      <c r="G826" s="725" t="s">
        <v>44</v>
      </c>
      <c r="H826" s="548">
        <v>-5</v>
      </c>
      <c r="I826" s="548">
        <v>72</v>
      </c>
      <c r="J826" s="602">
        <f t="shared" si="84"/>
        <v>267840</v>
      </c>
      <c r="K826" s="742">
        <v>69.3</v>
      </c>
      <c r="L826" s="603">
        <f t="shared" si="85"/>
        <v>-257796</v>
      </c>
      <c r="M826" s="743">
        <f t="shared" si="86"/>
        <v>10044</v>
      </c>
      <c r="N826" s="744">
        <v>55.7</v>
      </c>
      <c r="O826" s="604">
        <f t="shared" si="87"/>
        <v>-207204</v>
      </c>
      <c r="P826" s="701">
        <f t="shared" si="88"/>
        <v>60636</v>
      </c>
      <c r="Q826" s="744">
        <v>89.053218420260009</v>
      </c>
      <c r="R826" s="604">
        <f t="shared" si="89"/>
        <v>-331277.97252336721</v>
      </c>
      <c r="S826" s="701">
        <f t="shared" si="90"/>
        <v>-63437.972523367207</v>
      </c>
      <c r="T826" s="695" t="s">
        <v>54</v>
      </c>
    </row>
    <row r="827" spans="1:20" x14ac:dyDescent="0.25">
      <c r="A827" s="690"/>
      <c r="B827" s="696" t="s">
        <v>2396</v>
      </c>
      <c r="C827" s="546" t="s">
        <v>40</v>
      </c>
      <c r="D827" s="682">
        <v>44927</v>
      </c>
      <c r="E827" s="546">
        <v>744</v>
      </c>
      <c r="F827" s="546" t="s">
        <v>3</v>
      </c>
      <c r="G827" s="726" t="s">
        <v>44</v>
      </c>
      <c r="H827" s="549">
        <v>-10</v>
      </c>
      <c r="I827" s="549">
        <v>72.2</v>
      </c>
      <c r="J827" s="605">
        <f t="shared" si="84"/>
        <v>537168</v>
      </c>
      <c r="K827" s="746">
        <v>68.72</v>
      </c>
      <c r="L827" s="606">
        <f t="shared" si="85"/>
        <v>-511276.79999999999</v>
      </c>
      <c r="M827" s="747">
        <f t="shared" si="86"/>
        <v>25891.200000000012</v>
      </c>
      <c r="N827" s="748">
        <v>55.7</v>
      </c>
      <c r="O827" s="607">
        <f t="shared" si="87"/>
        <v>-414408</v>
      </c>
      <c r="P827" s="702">
        <f t="shared" si="88"/>
        <v>122760</v>
      </c>
      <c r="Q827" s="748">
        <v>96.206580759134184</v>
      </c>
      <c r="R827" s="607">
        <f t="shared" si="89"/>
        <v>-715776.96084795834</v>
      </c>
      <c r="S827" s="702">
        <f t="shared" si="90"/>
        <v>-178608.96084795834</v>
      </c>
      <c r="T827" s="696" t="s">
        <v>54</v>
      </c>
    </row>
    <row r="828" spans="1:20" x14ac:dyDescent="0.25">
      <c r="A828" s="690"/>
      <c r="B828" s="691" t="s">
        <v>2396</v>
      </c>
      <c r="C828" s="676" t="s">
        <v>40</v>
      </c>
      <c r="D828" s="680">
        <v>44958</v>
      </c>
      <c r="E828" s="676">
        <v>672</v>
      </c>
      <c r="F828" s="676" t="s">
        <v>3</v>
      </c>
      <c r="G828" s="690" t="s">
        <v>44</v>
      </c>
      <c r="H828" s="115">
        <v>-10</v>
      </c>
      <c r="I828" s="115">
        <v>72.2</v>
      </c>
      <c r="J828" s="601">
        <f t="shared" si="84"/>
        <v>485184</v>
      </c>
      <c r="K828" s="738">
        <v>69.25</v>
      </c>
      <c r="L828" s="677">
        <f t="shared" si="85"/>
        <v>-465360</v>
      </c>
      <c r="M828" s="739">
        <f t="shared" si="86"/>
        <v>19824</v>
      </c>
      <c r="N828" s="740">
        <v>55.7</v>
      </c>
      <c r="O828" s="678">
        <f t="shared" si="87"/>
        <v>-374304</v>
      </c>
      <c r="P828" s="700">
        <f t="shared" si="88"/>
        <v>110880</v>
      </c>
      <c r="Q828" s="740">
        <v>92.430648861364247</v>
      </c>
      <c r="R828" s="678">
        <f t="shared" si="89"/>
        <v>-621133.96034836769</v>
      </c>
      <c r="S828" s="700">
        <f t="shared" si="90"/>
        <v>-135949.96034836769</v>
      </c>
      <c r="T828" s="691" t="s">
        <v>54</v>
      </c>
    </row>
    <row r="829" spans="1:20" x14ac:dyDescent="0.25">
      <c r="A829" s="690"/>
      <c r="B829" s="695" t="s">
        <v>2396</v>
      </c>
      <c r="C829" s="545" t="s">
        <v>40</v>
      </c>
      <c r="D829" s="681">
        <v>44986</v>
      </c>
      <c r="E829" s="545">
        <v>744</v>
      </c>
      <c r="F829" s="545" t="s">
        <v>3</v>
      </c>
      <c r="G829" s="725" t="s">
        <v>44</v>
      </c>
      <c r="H829" s="548">
        <v>-10</v>
      </c>
      <c r="I829" s="548">
        <v>72.2</v>
      </c>
      <c r="J829" s="602">
        <f t="shared" si="84"/>
        <v>537168</v>
      </c>
      <c r="K829" s="742">
        <v>69.3</v>
      </c>
      <c r="L829" s="603">
        <f t="shared" si="85"/>
        <v>-515592</v>
      </c>
      <c r="M829" s="743">
        <f t="shared" si="86"/>
        <v>21576</v>
      </c>
      <c r="N829" s="744">
        <v>55.7</v>
      </c>
      <c r="O829" s="604">
        <f t="shared" si="87"/>
        <v>-414408</v>
      </c>
      <c r="P829" s="701">
        <f t="shared" si="88"/>
        <v>122760</v>
      </c>
      <c r="Q829" s="744">
        <v>89.053218420260009</v>
      </c>
      <c r="R829" s="604">
        <f t="shared" si="89"/>
        <v>-662555.94504673441</v>
      </c>
      <c r="S829" s="701">
        <f t="shared" si="90"/>
        <v>-125387.94504673441</v>
      </c>
      <c r="T829" s="695" t="s">
        <v>54</v>
      </c>
    </row>
    <row r="830" spans="1:20" x14ac:dyDescent="0.25">
      <c r="A830" s="690"/>
      <c r="B830" s="696" t="s">
        <v>2402</v>
      </c>
      <c r="C830" s="546" t="s">
        <v>40</v>
      </c>
      <c r="D830" s="682">
        <v>45108</v>
      </c>
      <c r="E830" s="546">
        <v>744</v>
      </c>
      <c r="F830" s="546" t="s">
        <v>3</v>
      </c>
      <c r="G830" s="726" t="s">
        <v>44</v>
      </c>
      <c r="H830" s="549">
        <v>10</v>
      </c>
      <c r="I830" s="549">
        <v>115</v>
      </c>
      <c r="J830" s="605">
        <f t="shared" si="84"/>
        <v>-855600</v>
      </c>
      <c r="K830" s="746">
        <v>77.150000000000006</v>
      </c>
      <c r="L830" s="606">
        <f t="shared" si="85"/>
        <v>573996</v>
      </c>
      <c r="M830" s="747">
        <f t="shared" si="86"/>
        <v>-281604</v>
      </c>
      <c r="N830" s="748">
        <v>59.54033706800562</v>
      </c>
      <c r="O830" s="607">
        <f t="shared" si="87"/>
        <v>442980.10778596182</v>
      </c>
      <c r="P830" s="702">
        <f t="shared" si="88"/>
        <v>-412619.89221403818</v>
      </c>
      <c r="Q830" s="748">
        <v>94.759662931994384</v>
      </c>
      <c r="R830" s="607">
        <f t="shared" si="89"/>
        <v>705011.89221403818</v>
      </c>
      <c r="S830" s="702">
        <f t="shared" si="90"/>
        <v>-150588.10778596182</v>
      </c>
      <c r="T830" s="696" t="s">
        <v>54</v>
      </c>
    </row>
    <row r="831" spans="1:20" x14ac:dyDescent="0.25">
      <c r="A831" s="690"/>
      <c r="B831" s="691" t="s">
        <v>2402</v>
      </c>
      <c r="C831" s="676" t="s">
        <v>40</v>
      </c>
      <c r="D831" s="680">
        <v>45139</v>
      </c>
      <c r="E831" s="676">
        <v>744</v>
      </c>
      <c r="F831" s="676" t="s">
        <v>3</v>
      </c>
      <c r="G831" s="690" t="s">
        <v>44</v>
      </c>
      <c r="H831" s="115">
        <v>10</v>
      </c>
      <c r="I831" s="115">
        <v>115</v>
      </c>
      <c r="J831" s="601">
        <f t="shared" si="84"/>
        <v>-855600</v>
      </c>
      <c r="K831" s="738">
        <v>77.150000000000006</v>
      </c>
      <c r="L831" s="677">
        <f t="shared" si="85"/>
        <v>573996</v>
      </c>
      <c r="M831" s="739">
        <f t="shared" si="86"/>
        <v>-281604</v>
      </c>
      <c r="N831" s="740">
        <v>59.54033706800562</v>
      </c>
      <c r="O831" s="678">
        <f t="shared" si="87"/>
        <v>442980.10778596182</v>
      </c>
      <c r="P831" s="700">
        <f t="shared" si="88"/>
        <v>-412619.89221403818</v>
      </c>
      <c r="Q831" s="740">
        <v>94.759662931994384</v>
      </c>
      <c r="R831" s="678">
        <f t="shared" si="89"/>
        <v>705011.89221403818</v>
      </c>
      <c r="S831" s="700">
        <f t="shared" si="90"/>
        <v>-150588.10778596182</v>
      </c>
      <c r="T831" s="691" t="s">
        <v>54</v>
      </c>
    </row>
    <row r="832" spans="1:20" x14ac:dyDescent="0.25">
      <c r="A832" s="690"/>
      <c r="B832" s="691" t="s">
        <v>2402</v>
      </c>
      <c r="C832" s="676" t="s">
        <v>40</v>
      </c>
      <c r="D832" s="680">
        <v>45170</v>
      </c>
      <c r="E832" s="676">
        <v>720</v>
      </c>
      <c r="F832" s="676" t="s">
        <v>3</v>
      </c>
      <c r="G832" s="690" t="s">
        <v>44</v>
      </c>
      <c r="H832" s="115">
        <v>10</v>
      </c>
      <c r="I832" s="115">
        <v>115</v>
      </c>
      <c r="J832" s="601">
        <f t="shared" si="84"/>
        <v>-828000</v>
      </c>
      <c r="K832" s="738">
        <v>77.150000000000006</v>
      </c>
      <c r="L832" s="677">
        <f t="shared" si="85"/>
        <v>555480</v>
      </c>
      <c r="M832" s="739">
        <f t="shared" si="86"/>
        <v>-272520</v>
      </c>
      <c r="N832" s="740">
        <v>59.54033706800562</v>
      </c>
      <c r="O832" s="678">
        <f t="shared" si="87"/>
        <v>428690.42688964045</v>
      </c>
      <c r="P832" s="700">
        <f t="shared" si="88"/>
        <v>-399309.57311035955</v>
      </c>
      <c r="Q832" s="740">
        <v>94.759662931994384</v>
      </c>
      <c r="R832" s="678">
        <f t="shared" si="89"/>
        <v>682269.5731103596</v>
      </c>
      <c r="S832" s="700">
        <f t="shared" si="90"/>
        <v>-145730.4268896404</v>
      </c>
      <c r="T832" s="691" t="s">
        <v>54</v>
      </c>
    </row>
    <row r="833" spans="1:20" x14ac:dyDescent="0.25">
      <c r="A833" s="690"/>
      <c r="B833" s="691" t="s">
        <v>2402</v>
      </c>
      <c r="C833" s="676" t="s">
        <v>40</v>
      </c>
      <c r="D833" s="680">
        <v>45200</v>
      </c>
      <c r="E833" s="676">
        <v>744</v>
      </c>
      <c r="F833" s="676" t="s">
        <v>3</v>
      </c>
      <c r="G833" s="690" t="s">
        <v>44</v>
      </c>
      <c r="H833" s="115">
        <v>10</v>
      </c>
      <c r="I833" s="115">
        <v>115</v>
      </c>
      <c r="J833" s="601">
        <f t="shared" si="84"/>
        <v>-855600</v>
      </c>
      <c r="K833" s="738">
        <v>80.45</v>
      </c>
      <c r="L833" s="677">
        <f t="shared" si="85"/>
        <v>598548</v>
      </c>
      <c r="M833" s="739">
        <f t="shared" si="86"/>
        <v>-257052</v>
      </c>
      <c r="N833" s="740">
        <v>62.087104564109552</v>
      </c>
      <c r="O833" s="678">
        <f t="shared" si="87"/>
        <v>461928.05795697507</v>
      </c>
      <c r="P833" s="700">
        <f t="shared" si="88"/>
        <v>-393671.94204302493</v>
      </c>
      <c r="Q833" s="740">
        <v>98.812895435890439</v>
      </c>
      <c r="R833" s="678">
        <f t="shared" si="89"/>
        <v>735167.94204302481</v>
      </c>
      <c r="S833" s="700">
        <f t="shared" si="90"/>
        <v>-120432.05795697519</v>
      </c>
      <c r="T833" s="691" t="s">
        <v>54</v>
      </c>
    </row>
    <row r="834" spans="1:20" x14ac:dyDescent="0.25">
      <c r="A834" s="690"/>
      <c r="B834" s="691" t="s">
        <v>2402</v>
      </c>
      <c r="C834" s="676" t="s">
        <v>40</v>
      </c>
      <c r="D834" s="680">
        <v>45231</v>
      </c>
      <c r="E834" s="676">
        <v>720</v>
      </c>
      <c r="F834" s="676" t="s">
        <v>3</v>
      </c>
      <c r="G834" s="690" t="s">
        <v>44</v>
      </c>
      <c r="H834" s="115">
        <v>10</v>
      </c>
      <c r="I834" s="115">
        <v>115</v>
      </c>
      <c r="J834" s="601">
        <f t="shared" si="84"/>
        <v>-828000</v>
      </c>
      <c r="K834" s="738">
        <v>80.45</v>
      </c>
      <c r="L834" s="677">
        <f t="shared" si="85"/>
        <v>579240</v>
      </c>
      <c r="M834" s="739">
        <f t="shared" si="86"/>
        <v>-248760</v>
      </c>
      <c r="N834" s="740">
        <v>62.087104564109552</v>
      </c>
      <c r="O834" s="678">
        <f t="shared" si="87"/>
        <v>447027.15286158875</v>
      </c>
      <c r="P834" s="700">
        <f t="shared" si="88"/>
        <v>-380972.84713841125</v>
      </c>
      <c r="Q834" s="740">
        <v>98.812895435890439</v>
      </c>
      <c r="R834" s="678">
        <f t="shared" si="89"/>
        <v>711452.84713841113</v>
      </c>
      <c r="S834" s="700">
        <f t="shared" si="90"/>
        <v>-116547.15286158887</v>
      </c>
      <c r="T834" s="691" t="s">
        <v>54</v>
      </c>
    </row>
    <row r="835" spans="1:20" x14ac:dyDescent="0.25">
      <c r="A835" s="690"/>
      <c r="B835" s="695" t="s">
        <v>2402</v>
      </c>
      <c r="C835" s="545" t="s">
        <v>40</v>
      </c>
      <c r="D835" s="681">
        <v>45261</v>
      </c>
      <c r="E835" s="545">
        <v>744</v>
      </c>
      <c r="F835" s="545" t="s">
        <v>3</v>
      </c>
      <c r="G835" s="725" t="s">
        <v>44</v>
      </c>
      <c r="H835" s="548">
        <v>10</v>
      </c>
      <c r="I835" s="548">
        <v>115</v>
      </c>
      <c r="J835" s="602">
        <f t="shared" ref="J835:J898" si="91">(I835*(E835*H835))*-1</f>
        <v>-855600</v>
      </c>
      <c r="K835" s="742">
        <v>80.45</v>
      </c>
      <c r="L835" s="603">
        <f t="shared" ref="L835:L898" si="92">(((E835*H835)*K835))</f>
        <v>598548</v>
      </c>
      <c r="M835" s="743">
        <f t="shared" ref="M835:M898" si="93">J835+L835</f>
        <v>-257052</v>
      </c>
      <c r="N835" s="744">
        <v>62.087104564109552</v>
      </c>
      <c r="O835" s="604">
        <f t="shared" ref="O835:O898" si="94">((E835*H835)*N835)</f>
        <v>461928.05795697507</v>
      </c>
      <c r="P835" s="701">
        <f t="shared" ref="P835:P898" si="95">J835+O835</f>
        <v>-393671.94204302493</v>
      </c>
      <c r="Q835" s="744">
        <v>98.812895435890439</v>
      </c>
      <c r="R835" s="604">
        <f t="shared" ref="R835:R898" si="96">((E835*H835)*Q835)</f>
        <v>735167.94204302481</v>
      </c>
      <c r="S835" s="701">
        <f t="shared" ref="S835:S898" si="97">J835+R835</f>
        <v>-120432.05795697519</v>
      </c>
      <c r="T835" s="695" t="s">
        <v>54</v>
      </c>
    </row>
    <row r="836" spans="1:20" x14ac:dyDescent="0.25">
      <c r="A836" s="690"/>
      <c r="B836" s="696" t="s">
        <v>2404</v>
      </c>
      <c r="C836" s="546" t="s">
        <v>40</v>
      </c>
      <c r="D836" s="682">
        <v>45108</v>
      </c>
      <c r="E836" s="546">
        <v>744</v>
      </c>
      <c r="F836" s="546" t="s">
        <v>3</v>
      </c>
      <c r="G836" s="726" t="s">
        <v>44</v>
      </c>
      <c r="H836" s="549">
        <v>4</v>
      </c>
      <c r="I836" s="549">
        <v>115</v>
      </c>
      <c r="J836" s="605">
        <f t="shared" si="91"/>
        <v>-342240</v>
      </c>
      <c r="K836" s="746">
        <v>77.150000000000006</v>
      </c>
      <c r="L836" s="606">
        <f t="shared" si="92"/>
        <v>229598.40000000002</v>
      </c>
      <c r="M836" s="747">
        <f t="shared" si="93"/>
        <v>-112641.59999999998</v>
      </c>
      <c r="N836" s="748">
        <v>59.54033706800562</v>
      </c>
      <c r="O836" s="607">
        <f t="shared" si="94"/>
        <v>177192.04311438472</v>
      </c>
      <c r="P836" s="702">
        <f t="shared" si="95"/>
        <v>-165047.95688561528</v>
      </c>
      <c r="Q836" s="748">
        <v>94.759662931994384</v>
      </c>
      <c r="R836" s="607">
        <f t="shared" si="96"/>
        <v>282004.75688561529</v>
      </c>
      <c r="S836" s="702">
        <f t="shared" si="97"/>
        <v>-60235.243114384706</v>
      </c>
      <c r="T836" s="696" t="s">
        <v>54</v>
      </c>
    </row>
    <row r="837" spans="1:20" x14ac:dyDescent="0.25">
      <c r="A837" s="690"/>
      <c r="B837" s="691" t="s">
        <v>2404</v>
      </c>
      <c r="C837" s="676" t="s">
        <v>40</v>
      </c>
      <c r="D837" s="680">
        <v>45139</v>
      </c>
      <c r="E837" s="676">
        <v>744</v>
      </c>
      <c r="F837" s="676" t="s">
        <v>3</v>
      </c>
      <c r="G837" s="690" t="s">
        <v>44</v>
      </c>
      <c r="H837" s="115">
        <v>4</v>
      </c>
      <c r="I837" s="115">
        <v>115</v>
      </c>
      <c r="J837" s="601">
        <f t="shared" si="91"/>
        <v>-342240</v>
      </c>
      <c r="K837" s="738">
        <v>77.150000000000006</v>
      </c>
      <c r="L837" s="677">
        <f t="shared" si="92"/>
        <v>229598.40000000002</v>
      </c>
      <c r="M837" s="739">
        <f t="shared" si="93"/>
        <v>-112641.59999999998</v>
      </c>
      <c r="N837" s="740">
        <v>59.54033706800562</v>
      </c>
      <c r="O837" s="678">
        <f t="shared" si="94"/>
        <v>177192.04311438472</v>
      </c>
      <c r="P837" s="700">
        <f t="shared" si="95"/>
        <v>-165047.95688561528</v>
      </c>
      <c r="Q837" s="740">
        <v>94.759662931994384</v>
      </c>
      <c r="R837" s="678">
        <f t="shared" si="96"/>
        <v>282004.75688561529</v>
      </c>
      <c r="S837" s="700">
        <f t="shared" si="97"/>
        <v>-60235.243114384706</v>
      </c>
      <c r="T837" s="691" t="s">
        <v>54</v>
      </c>
    </row>
    <row r="838" spans="1:20" x14ac:dyDescent="0.25">
      <c r="A838" s="690"/>
      <c r="B838" s="691" t="s">
        <v>2404</v>
      </c>
      <c r="C838" s="676" t="s">
        <v>40</v>
      </c>
      <c r="D838" s="680">
        <v>45170</v>
      </c>
      <c r="E838" s="676">
        <v>720</v>
      </c>
      <c r="F838" s="676" t="s">
        <v>3</v>
      </c>
      <c r="G838" s="690" t="s">
        <v>44</v>
      </c>
      <c r="H838" s="115">
        <v>4</v>
      </c>
      <c r="I838" s="115">
        <v>115</v>
      </c>
      <c r="J838" s="601">
        <f t="shared" si="91"/>
        <v>-331200</v>
      </c>
      <c r="K838" s="738">
        <v>77.150000000000006</v>
      </c>
      <c r="L838" s="677">
        <f t="shared" si="92"/>
        <v>222192.00000000003</v>
      </c>
      <c r="M838" s="739">
        <f t="shared" si="93"/>
        <v>-109007.99999999997</v>
      </c>
      <c r="N838" s="740">
        <v>59.54033706800562</v>
      </c>
      <c r="O838" s="678">
        <f t="shared" si="94"/>
        <v>171476.17075585618</v>
      </c>
      <c r="P838" s="700">
        <f t="shared" si="95"/>
        <v>-159723.82924414382</v>
      </c>
      <c r="Q838" s="740">
        <v>94.759662931994384</v>
      </c>
      <c r="R838" s="678">
        <f t="shared" si="96"/>
        <v>272907.82924414385</v>
      </c>
      <c r="S838" s="700">
        <f t="shared" si="97"/>
        <v>-58292.170755856147</v>
      </c>
      <c r="T838" s="691" t="s">
        <v>54</v>
      </c>
    </row>
    <row r="839" spans="1:20" x14ac:dyDescent="0.25">
      <c r="A839" s="690"/>
      <c r="B839" s="691" t="s">
        <v>2404</v>
      </c>
      <c r="C839" s="676" t="s">
        <v>40</v>
      </c>
      <c r="D839" s="680">
        <v>45200</v>
      </c>
      <c r="E839" s="676">
        <v>744</v>
      </c>
      <c r="F839" s="676" t="s">
        <v>3</v>
      </c>
      <c r="G839" s="690" t="s">
        <v>44</v>
      </c>
      <c r="H839" s="115">
        <v>4</v>
      </c>
      <c r="I839" s="115">
        <v>115</v>
      </c>
      <c r="J839" s="601">
        <f t="shared" si="91"/>
        <v>-342240</v>
      </c>
      <c r="K839" s="738">
        <v>80.45</v>
      </c>
      <c r="L839" s="677">
        <f t="shared" si="92"/>
        <v>239419.2</v>
      </c>
      <c r="M839" s="739">
        <f t="shared" si="93"/>
        <v>-102820.79999999999</v>
      </c>
      <c r="N839" s="740">
        <v>62.087104564109552</v>
      </c>
      <c r="O839" s="678">
        <f t="shared" si="94"/>
        <v>184771.22318279004</v>
      </c>
      <c r="P839" s="700">
        <f t="shared" si="95"/>
        <v>-157468.77681720996</v>
      </c>
      <c r="Q839" s="740">
        <v>98.812895435890439</v>
      </c>
      <c r="R839" s="678">
        <f t="shared" si="96"/>
        <v>294067.17681720993</v>
      </c>
      <c r="S839" s="700">
        <f t="shared" si="97"/>
        <v>-48172.823182790074</v>
      </c>
      <c r="T839" s="691" t="s">
        <v>54</v>
      </c>
    </row>
    <row r="840" spans="1:20" x14ac:dyDescent="0.25">
      <c r="A840" s="690"/>
      <c r="B840" s="691" t="s">
        <v>2404</v>
      </c>
      <c r="C840" s="676" t="s">
        <v>40</v>
      </c>
      <c r="D840" s="680">
        <v>45231</v>
      </c>
      <c r="E840" s="676">
        <v>720</v>
      </c>
      <c r="F840" s="676" t="s">
        <v>3</v>
      </c>
      <c r="G840" s="690" t="s">
        <v>44</v>
      </c>
      <c r="H840" s="115">
        <v>4</v>
      </c>
      <c r="I840" s="115">
        <v>115</v>
      </c>
      <c r="J840" s="601">
        <f t="shared" si="91"/>
        <v>-331200</v>
      </c>
      <c r="K840" s="738">
        <v>80.45</v>
      </c>
      <c r="L840" s="677">
        <f t="shared" si="92"/>
        <v>231696</v>
      </c>
      <c r="M840" s="739">
        <f t="shared" si="93"/>
        <v>-99504</v>
      </c>
      <c r="N840" s="740">
        <v>62.087104564109552</v>
      </c>
      <c r="O840" s="678">
        <f t="shared" si="94"/>
        <v>178810.86114463551</v>
      </c>
      <c r="P840" s="700">
        <f t="shared" si="95"/>
        <v>-152389.13885536449</v>
      </c>
      <c r="Q840" s="740">
        <v>98.812895435890439</v>
      </c>
      <c r="R840" s="678">
        <f t="shared" si="96"/>
        <v>284581.13885536446</v>
      </c>
      <c r="S840" s="700">
        <f t="shared" si="97"/>
        <v>-46618.861144635535</v>
      </c>
      <c r="T840" s="691" t="s">
        <v>54</v>
      </c>
    </row>
    <row r="841" spans="1:20" x14ac:dyDescent="0.25">
      <c r="A841" s="690"/>
      <c r="B841" s="695" t="s">
        <v>2404</v>
      </c>
      <c r="C841" s="545" t="s">
        <v>40</v>
      </c>
      <c r="D841" s="681">
        <v>45261</v>
      </c>
      <c r="E841" s="545">
        <v>744</v>
      </c>
      <c r="F841" s="545" t="s">
        <v>3</v>
      </c>
      <c r="G841" s="725" t="s">
        <v>44</v>
      </c>
      <c r="H841" s="548">
        <v>4</v>
      </c>
      <c r="I841" s="548">
        <v>115</v>
      </c>
      <c r="J841" s="602">
        <f t="shared" si="91"/>
        <v>-342240</v>
      </c>
      <c r="K841" s="742">
        <v>80.45</v>
      </c>
      <c r="L841" s="603">
        <f t="shared" si="92"/>
        <v>239419.2</v>
      </c>
      <c r="M841" s="743">
        <f t="shared" si="93"/>
        <v>-102820.79999999999</v>
      </c>
      <c r="N841" s="744">
        <v>62.087104564109552</v>
      </c>
      <c r="O841" s="604">
        <f t="shared" si="94"/>
        <v>184771.22318279004</v>
      </c>
      <c r="P841" s="701">
        <f t="shared" si="95"/>
        <v>-157468.77681720996</v>
      </c>
      <c r="Q841" s="744">
        <v>98.812895435890439</v>
      </c>
      <c r="R841" s="604">
        <f t="shared" si="96"/>
        <v>294067.17681720993</v>
      </c>
      <c r="S841" s="701">
        <f t="shared" si="97"/>
        <v>-48172.823182790074</v>
      </c>
      <c r="T841" s="695" t="s">
        <v>54</v>
      </c>
    </row>
    <row r="842" spans="1:20" x14ac:dyDescent="0.25">
      <c r="A842" s="690"/>
      <c r="B842" s="696" t="s">
        <v>2406</v>
      </c>
      <c r="C842" s="546" t="s">
        <v>40</v>
      </c>
      <c r="D842" s="682">
        <v>45108</v>
      </c>
      <c r="E842" s="546">
        <v>744</v>
      </c>
      <c r="F842" s="546" t="s">
        <v>3</v>
      </c>
      <c r="G842" s="726" t="s">
        <v>44</v>
      </c>
      <c r="H842" s="549">
        <v>1</v>
      </c>
      <c r="I842" s="549">
        <v>115.5</v>
      </c>
      <c r="J842" s="605">
        <f t="shared" si="91"/>
        <v>-85932</v>
      </c>
      <c r="K842" s="746">
        <v>77.150000000000006</v>
      </c>
      <c r="L842" s="606">
        <f t="shared" si="92"/>
        <v>57399.600000000006</v>
      </c>
      <c r="M842" s="747">
        <f t="shared" si="93"/>
        <v>-28532.399999999994</v>
      </c>
      <c r="N842" s="748">
        <v>59.54033706800562</v>
      </c>
      <c r="O842" s="607">
        <f t="shared" si="94"/>
        <v>44298.010778596181</v>
      </c>
      <c r="P842" s="702">
        <f t="shared" si="95"/>
        <v>-41633.989221403819</v>
      </c>
      <c r="Q842" s="748">
        <v>94.759662931994384</v>
      </c>
      <c r="R842" s="607">
        <f t="shared" si="96"/>
        <v>70501.189221403823</v>
      </c>
      <c r="S842" s="702">
        <f t="shared" si="97"/>
        <v>-15430.810778596177</v>
      </c>
      <c r="T842" s="696" t="s">
        <v>54</v>
      </c>
    </row>
    <row r="843" spans="1:20" x14ac:dyDescent="0.25">
      <c r="A843" s="690"/>
      <c r="B843" s="691" t="s">
        <v>2406</v>
      </c>
      <c r="C843" s="676" t="s">
        <v>40</v>
      </c>
      <c r="D843" s="680">
        <v>45139</v>
      </c>
      <c r="E843" s="676">
        <v>744</v>
      </c>
      <c r="F843" s="676" t="s">
        <v>3</v>
      </c>
      <c r="G843" s="690" t="s">
        <v>44</v>
      </c>
      <c r="H843" s="115">
        <v>1</v>
      </c>
      <c r="I843" s="115">
        <v>115.5</v>
      </c>
      <c r="J843" s="601">
        <f t="shared" si="91"/>
        <v>-85932</v>
      </c>
      <c r="K843" s="738">
        <v>77.150000000000006</v>
      </c>
      <c r="L843" s="677">
        <f t="shared" si="92"/>
        <v>57399.600000000006</v>
      </c>
      <c r="M843" s="739">
        <f t="shared" si="93"/>
        <v>-28532.399999999994</v>
      </c>
      <c r="N843" s="740">
        <v>59.54033706800562</v>
      </c>
      <c r="O843" s="678">
        <f t="shared" si="94"/>
        <v>44298.010778596181</v>
      </c>
      <c r="P843" s="700">
        <f t="shared" si="95"/>
        <v>-41633.989221403819</v>
      </c>
      <c r="Q843" s="740">
        <v>94.759662931994384</v>
      </c>
      <c r="R843" s="678">
        <f t="shared" si="96"/>
        <v>70501.189221403823</v>
      </c>
      <c r="S843" s="700">
        <f t="shared" si="97"/>
        <v>-15430.810778596177</v>
      </c>
      <c r="T843" s="691" t="s">
        <v>54</v>
      </c>
    </row>
    <row r="844" spans="1:20" x14ac:dyDescent="0.25">
      <c r="A844" s="690"/>
      <c r="B844" s="691" t="s">
        <v>2406</v>
      </c>
      <c r="C844" s="676" t="s">
        <v>40</v>
      </c>
      <c r="D844" s="680">
        <v>45170</v>
      </c>
      <c r="E844" s="676">
        <v>720</v>
      </c>
      <c r="F844" s="676" t="s">
        <v>3</v>
      </c>
      <c r="G844" s="690" t="s">
        <v>44</v>
      </c>
      <c r="H844" s="115">
        <v>1</v>
      </c>
      <c r="I844" s="115">
        <v>115.5</v>
      </c>
      <c r="J844" s="601">
        <f t="shared" si="91"/>
        <v>-83160</v>
      </c>
      <c r="K844" s="738">
        <v>77.150000000000006</v>
      </c>
      <c r="L844" s="677">
        <f t="shared" si="92"/>
        <v>55548.000000000007</v>
      </c>
      <c r="M844" s="739">
        <f t="shared" si="93"/>
        <v>-27611.999999999993</v>
      </c>
      <c r="N844" s="740">
        <v>59.54033706800562</v>
      </c>
      <c r="O844" s="678">
        <f t="shared" si="94"/>
        <v>42869.042688964044</v>
      </c>
      <c r="P844" s="700">
        <f t="shared" si="95"/>
        <v>-40290.957311035956</v>
      </c>
      <c r="Q844" s="740">
        <v>94.759662931994384</v>
      </c>
      <c r="R844" s="678">
        <f t="shared" si="96"/>
        <v>68226.957311035963</v>
      </c>
      <c r="S844" s="700">
        <f t="shared" si="97"/>
        <v>-14933.042688964037</v>
      </c>
      <c r="T844" s="691" t="s">
        <v>54</v>
      </c>
    </row>
    <row r="845" spans="1:20" x14ac:dyDescent="0.25">
      <c r="A845" s="690"/>
      <c r="B845" s="691" t="s">
        <v>2406</v>
      </c>
      <c r="C845" s="676" t="s">
        <v>40</v>
      </c>
      <c r="D845" s="680">
        <v>45200</v>
      </c>
      <c r="E845" s="676">
        <v>744</v>
      </c>
      <c r="F845" s="676" t="s">
        <v>3</v>
      </c>
      <c r="G845" s="690" t="s">
        <v>44</v>
      </c>
      <c r="H845" s="115">
        <v>1</v>
      </c>
      <c r="I845" s="115">
        <v>115.5</v>
      </c>
      <c r="J845" s="601">
        <f t="shared" si="91"/>
        <v>-85932</v>
      </c>
      <c r="K845" s="738">
        <v>80.45</v>
      </c>
      <c r="L845" s="677">
        <f t="shared" si="92"/>
        <v>59854.8</v>
      </c>
      <c r="M845" s="739">
        <f t="shared" si="93"/>
        <v>-26077.199999999997</v>
      </c>
      <c r="N845" s="740">
        <v>62.087104564109552</v>
      </c>
      <c r="O845" s="678">
        <f t="shared" si="94"/>
        <v>46192.80579569751</v>
      </c>
      <c r="P845" s="700">
        <f t="shared" si="95"/>
        <v>-39739.19420430249</v>
      </c>
      <c r="Q845" s="740">
        <v>98.812895435890439</v>
      </c>
      <c r="R845" s="678">
        <f t="shared" si="96"/>
        <v>73516.794204302481</v>
      </c>
      <c r="S845" s="700">
        <f t="shared" si="97"/>
        <v>-12415.205795697519</v>
      </c>
      <c r="T845" s="691" t="s">
        <v>54</v>
      </c>
    </row>
    <row r="846" spans="1:20" x14ac:dyDescent="0.25">
      <c r="A846" s="690"/>
      <c r="B846" s="691" t="s">
        <v>2406</v>
      </c>
      <c r="C846" s="676" t="s">
        <v>40</v>
      </c>
      <c r="D846" s="680">
        <v>45231</v>
      </c>
      <c r="E846" s="676">
        <v>720</v>
      </c>
      <c r="F846" s="676" t="s">
        <v>3</v>
      </c>
      <c r="G846" s="690" t="s">
        <v>44</v>
      </c>
      <c r="H846" s="115">
        <v>1</v>
      </c>
      <c r="I846" s="115">
        <v>115.5</v>
      </c>
      <c r="J846" s="601">
        <f t="shared" si="91"/>
        <v>-83160</v>
      </c>
      <c r="K846" s="738">
        <v>80.45</v>
      </c>
      <c r="L846" s="677">
        <f t="shared" si="92"/>
        <v>57924</v>
      </c>
      <c r="M846" s="739">
        <f t="shared" si="93"/>
        <v>-25236</v>
      </c>
      <c r="N846" s="740">
        <v>62.087104564109552</v>
      </c>
      <c r="O846" s="678">
        <f t="shared" si="94"/>
        <v>44702.715286158877</v>
      </c>
      <c r="P846" s="700">
        <f t="shared" si="95"/>
        <v>-38457.284713841123</v>
      </c>
      <c r="Q846" s="740">
        <v>98.812895435890439</v>
      </c>
      <c r="R846" s="678">
        <f t="shared" si="96"/>
        <v>71145.284713841116</v>
      </c>
      <c r="S846" s="700">
        <f t="shared" si="97"/>
        <v>-12014.715286158884</v>
      </c>
      <c r="T846" s="691" t="s">
        <v>54</v>
      </c>
    </row>
    <row r="847" spans="1:20" x14ac:dyDescent="0.25">
      <c r="A847" s="690"/>
      <c r="B847" s="695" t="s">
        <v>2406</v>
      </c>
      <c r="C847" s="545" t="s">
        <v>40</v>
      </c>
      <c r="D847" s="681">
        <v>45261</v>
      </c>
      <c r="E847" s="545">
        <v>744</v>
      </c>
      <c r="F847" s="545" t="s">
        <v>3</v>
      </c>
      <c r="G847" s="725" t="s">
        <v>44</v>
      </c>
      <c r="H847" s="548">
        <v>1</v>
      </c>
      <c r="I847" s="548">
        <v>115.5</v>
      </c>
      <c r="J847" s="602">
        <f t="shared" si="91"/>
        <v>-85932</v>
      </c>
      <c r="K847" s="742">
        <v>80.45</v>
      </c>
      <c r="L847" s="603">
        <f t="shared" si="92"/>
        <v>59854.8</v>
      </c>
      <c r="M847" s="743">
        <f t="shared" si="93"/>
        <v>-26077.199999999997</v>
      </c>
      <c r="N847" s="744">
        <v>62.087104564109552</v>
      </c>
      <c r="O847" s="604">
        <f t="shared" si="94"/>
        <v>46192.80579569751</v>
      </c>
      <c r="P847" s="701">
        <f t="shared" si="95"/>
        <v>-39739.19420430249</v>
      </c>
      <c r="Q847" s="744">
        <v>98.812895435890439</v>
      </c>
      <c r="R847" s="604">
        <f t="shared" si="96"/>
        <v>73516.794204302481</v>
      </c>
      <c r="S847" s="701">
        <f t="shared" si="97"/>
        <v>-12415.205795697519</v>
      </c>
      <c r="T847" s="695" t="s">
        <v>54</v>
      </c>
    </row>
    <row r="848" spans="1:20" x14ac:dyDescent="0.25">
      <c r="A848" s="690"/>
      <c r="B848" s="696" t="s">
        <v>2418</v>
      </c>
      <c r="C848" s="546" t="s">
        <v>40</v>
      </c>
      <c r="D848" s="682">
        <v>45200</v>
      </c>
      <c r="E848" s="546">
        <v>744</v>
      </c>
      <c r="F848" s="546" t="s">
        <v>3</v>
      </c>
      <c r="G848" s="726" t="s">
        <v>44</v>
      </c>
      <c r="H848" s="549">
        <v>5</v>
      </c>
      <c r="I848" s="549">
        <v>115</v>
      </c>
      <c r="J848" s="605">
        <f t="shared" si="91"/>
        <v>-427800</v>
      </c>
      <c r="K848" s="746">
        <v>80.45</v>
      </c>
      <c r="L848" s="606">
        <f t="shared" si="92"/>
        <v>299274</v>
      </c>
      <c r="M848" s="747">
        <f t="shared" si="93"/>
        <v>-128526</v>
      </c>
      <c r="N848" s="748">
        <v>62.087104564109552</v>
      </c>
      <c r="O848" s="607">
        <f t="shared" si="94"/>
        <v>230964.02897848753</v>
      </c>
      <c r="P848" s="702">
        <f t="shared" si="95"/>
        <v>-196835.97102151247</v>
      </c>
      <c r="Q848" s="748">
        <v>98.812895435890439</v>
      </c>
      <c r="R848" s="607">
        <f t="shared" si="96"/>
        <v>367583.97102151241</v>
      </c>
      <c r="S848" s="702">
        <f t="shared" si="97"/>
        <v>-60216.028978487593</v>
      </c>
      <c r="T848" s="696" t="s">
        <v>54</v>
      </c>
    </row>
    <row r="849" spans="1:20" x14ac:dyDescent="0.25">
      <c r="A849" s="690"/>
      <c r="B849" s="691" t="s">
        <v>2418</v>
      </c>
      <c r="C849" s="676" t="s">
        <v>40</v>
      </c>
      <c r="D849" s="680">
        <v>45231</v>
      </c>
      <c r="E849" s="676">
        <v>720</v>
      </c>
      <c r="F849" s="676" t="s">
        <v>3</v>
      </c>
      <c r="G849" s="690" t="s">
        <v>44</v>
      </c>
      <c r="H849" s="115">
        <v>5</v>
      </c>
      <c r="I849" s="115">
        <v>115</v>
      </c>
      <c r="J849" s="601">
        <f t="shared" si="91"/>
        <v>-414000</v>
      </c>
      <c r="K849" s="738">
        <v>80.45</v>
      </c>
      <c r="L849" s="677">
        <f t="shared" si="92"/>
        <v>289620</v>
      </c>
      <c r="M849" s="739">
        <f t="shared" si="93"/>
        <v>-124380</v>
      </c>
      <c r="N849" s="740">
        <v>62.087104564109552</v>
      </c>
      <c r="O849" s="678">
        <f t="shared" si="94"/>
        <v>223513.57643079438</v>
      </c>
      <c r="P849" s="700">
        <f t="shared" si="95"/>
        <v>-190486.42356920562</v>
      </c>
      <c r="Q849" s="740">
        <v>98.812895435890439</v>
      </c>
      <c r="R849" s="678">
        <f t="shared" si="96"/>
        <v>355726.42356920557</v>
      </c>
      <c r="S849" s="700">
        <f t="shared" si="97"/>
        <v>-58273.576430794434</v>
      </c>
      <c r="T849" s="691" t="s">
        <v>54</v>
      </c>
    </row>
    <row r="850" spans="1:20" x14ac:dyDescent="0.25">
      <c r="A850" s="690"/>
      <c r="B850" s="695" t="s">
        <v>2418</v>
      </c>
      <c r="C850" s="545" t="s">
        <v>40</v>
      </c>
      <c r="D850" s="681">
        <v>45261</v>
      </c>
      <c r="E850" s="545">
        <v>744</v>
      </c>
      <c r="F850" s="545" t="s">
        <v>3</v>
      </c>
      <c r="G850" s="725" t="s">
        <v>44</v>
      </c>
      <c r="H850" s="548">
        <v>5</v>
      </c>
      <c r="I850" s="548">
        <v>115</v>
      </c>
      <c r="J850" s="602">
        <f t="shared" si="91"/>
        <v>-427800</v>
      </c>
      <c r="K850" s="742">
        <v>80.45</v>
      </c>
      <c r="L850" s="603">
        <f t="shared" si="92"/>
        <v>299274</v>
      </c>
      <c r="M850" s="743">
        <f t="shared" si="93"/>
        <v>-128526</v>
      </c>
      <c r="N850" s="744">
        <v>62.087104564109552</v>
      </c>
      <c r="O850" s="604">
        <f t="shared" si="94"/>
        <v>230964.02897848753</v>
      </c>
      <c r="P850" s="701">
        <f t="shared" si="95"/>
        <v>-196835.97102151247</v>
      </c>
      <c r="Q850" s="744">
        <v>98.812895435890439</v>
      </c>
      <c r="R850" s="604">
        <f t="shared" si="96"/>
        <v>367583.97102151241</v>
      </c>
      <c r="S850" s="701">
        <f t="shared" si="97"/>
        <v>-60216.028978487593</v>
      </c>
      <c r="T850" s="695" t="s">
        <v>54</v>
      </c>
    </row>
    <row r="851" spans="1:20" x14ac:dyDescent="0.25">
      <c r="A851" s="690"/>
      <c r="B851" s="696" t="s">
        <v>2420</v>
      </c>
      <c r="C851" s="546" t="s">
        <v>40</v>
      </c>
      <c r="D851" s="682">
        <v>45108</v>
      </c>
      <c r="E851" s="546">
        <v>744</v>
      </c>
      <c r="F851" s="546" t="s">
        <v>3</v>
      </c>
      <c r="G851" s="726" t="s">
        <v>44</v>
      </c>
      <c r="H851" s="549">
        <v>-5</v>
      </c>
      <c r="I851" s="549">
        <v>115</v>
      </c>
      <c r="J851" s="605">
        <f t="shared" si="91"/>
        <v>427800</v>
      </c>
      <c r="K851" s="746">
        <v>77.150000000000006</v>
      </c>
      <c r="L851" s="606">
        <f t="shared" si="92"/>
        <v>-286998</v>
      </c>
      <c r="M851" s="747">
        <f t="shared" si="93"/>
        <v>140802</v>
      </c>
      <c r="N851" s="748">
        <v>59.54033706800562</v>
      </c>
      <c r="O851" s="607">
        <f t="shared" si="94"/>
        <v>-221490.05389298091</v>
      </c>
      <c r="P851" s="702">
        <f t="shared" si="95"/>
        <v>206309.94610701909</v>
      </c>
      <c r="Q851" s="748">
        <v>94.759662931994384</v>
      </c>
      <c r="R851" s="607">
        <f t="shared" si="96"/>
        <v>-352505.94610701909</v>
      </c>
      <c r="S851" s="702">
        <f t="shared" si="97"/>
        <v>75294.053892980912</v>
      </c>
      <c r="T851" s="696" t="s">
        <v>54</v>
      </c>
    </row>
    <row r="852" spans="1:20" x14ac:dyDescent="0.25">
      <c r="A852" s="690"/>
      <c r="B852" s="691" t="s">
        <v>2420</v>
      </c>
      <c r="C852" s="676" t="s">
        <v>40</v>
      </c>
      <c r="D852" s="680">
        <v>45139</v>
      </c>
      <c r="E852" s="676">
        <v>744</v>
      </c>
      <c r="F852" s="676" t="s">
        <v>3</v>
      </c>
      <c r="G852" s="690" t="s">
        <v>44</v>
      </c>
      <c r="H852" s="115">
        <v>-5</v>
      </c>
      <c r="I852" s="115">
        <v>115</v>
      </c>
      <c r="J852" s="601">
        <f t="shared" si="91"/>
        <v>427800</v>
      </c>
      <c r="K852" s="738">
        <v>77.150000000000006</v>
      </c>
      <c r="L852" s="677">
        <f t="shared" si="92"/>
        <v>-286998</v>
      </c>
      <c r="M852" s="739">
        <f t="shared" si="93"/>
        <v>140802</v>
      </c>
      <c r="N852" s="740">
        <v>59.54033706800562</v>
      </c>
      <c r="O852" s="678">
        <f t="shared" si="94"/>
        <v>-221490.05389298091</v>
      </c>
      <c r="P852" s="700">
        <f t="shared" si="95"/>
        <v>206309.94610701909</v>
      </c>
      <c r="Q852" s="740">
        <v>94.759662931994384</v>
      </c>
      <c r="R852" s="678">
        <f t="shared" si="96"/>
        <v>-352505.94610701909</v>
      </c>
      <c r="S852" s="700">
        <f t="shared" si="97"/>
        <v>75294.053892980912</v>
      </c>
      <c r="T852" s="691" t="s">
        <v>54</v>
      </c>
    </row>
    <row r="853" spans="1:20" x14ac:dyDescent="0.25">
      <c r="A853" s="690"/>
      <c r="B853" s="695" t="s">
        <v>2420</v>
      </c>
      <c r="C853" s="545" t="s">
        <v>40</v>
      </c>
      <c r="D853" s="681">
        <v>45170</v>
      </c>
      <c r="E853" s="545">
        <v>720</v>
      </c>
      <c r="F853" s="545" t="s">
        <v>3</v>
      </c>
      <c r="G853" s="725" t="s">
        <v>44</v>
      </c>
      <c r="H853" s="548">
        <v>-5</v>
      </c>
      <c r="I853" s="548">
        <v>115</v>
      </c>
      <c r="J853" s="602">
        <f t="shared" si="91"/>
        <v>414000</v>
      </c>
      <c r="K853" s="742">
        <v>77.150000000000006</v>
      </c>
      <c r="L853" s="603">
        <f t="shared" si="92"/>
        <v>-277740</v>
      </c>
      <c r="M853" s="743">
        <f t="shared" si="93"/>
        <v>136260</v>
      </c>
      <c r="N853" s="744">
        <v>59.54033706800562</v>
      </c>
      <c r="O853" s="604">
        <f t="shared" si="94"/>
        <v>-214345.21344482023</v>
      </c>
      <c r="P853" s="701">
        <f t="shared" si="95"/>
        <v>199654.78655517977</v>
      </c>
      <c r="Q853" s="744">
        <v>94.759662931994384</v>
      </c>
      <c r="R853" s="604">
        <f t="shared" si="96"/>
        <v>-341134.7865551798</v>
      </c>
      <c r="S853" s="701">
        <f t="shared" si="97"/>
        <v>72865.213444820198</v>
      </c>
      <c r="T853" s="695" t="s">
        <v>54</v>
      </c>
    </row>
    <row r="854" spans="1:20" x14ac:dyDescent="0.25">
      <c r="A854" s="690"/>
      <c r="B854" s="697" t="s">
        <v>2425</v>
      </c>
      <c r="C854" s="547" t="s">
        <v>40</v>
      </c>
      <c r="D854" s="683">
        <v>45261</v>
      </c>
      <c r="E854" s="547">
        <v>744</v>
      </c>
      <c r="F854" s="547" t="s">
        <v>3</v>
      </c>
      <c r="G854" s="727" t="s">
        <v>44</v>
      </c>
      <c r="H854" s="638">
        <v>-10</v>
      </c>
      <c r="I854" s="638">
        <v>106.1</v>
      </c>
      <c r="J854" s="639">
        <f t="shared" si="91"/>
        <v>789384</v>
      </c>
      <c r="K854" s="750">
        <v>80.45</v>
      </c>
      <c r="L854" s="608">
        <f t="shared" si="92"/>
        <v>-598548</v>
      </c>
      <c r="M854" s="751">
        <f t="shared" si="93"/>
        <v>190836</v>
      </c>
      <c r="N854" s="752">
        <v>62.087104564109552</v>
      </c>
      <c r="O854" s="609">
        <f t="shared" si="94"/>
        <v>-461928.05795697507</v>
      </c>
      <c r="P854" s="703">
        <f t="shared" si="95"/>
        <v>327455.94204302493</v>
      </c>
      <c r="Q854" s="752">
        <v>98.812895435890439</v>
      </c>
      <c r="R854" s="609">
        <f t="shared" si="96"/>
        <v>-735167.94204302481</v>
      </c>
      <c r="S854" s="703">
        <f t="shared" si="97"/>
        <v>54216.057956975186</v>
      </c>
      <c r="T854" s="697" t="s">
        <v>54</v>
      </c>
    </row>
    <row r="855" spans="1:20" x14ac:dyDescent="0.25">
      <c r="A855" s="690"/>
      <c r="B855" s="697" t="s">
        <v>2427</v>
      </c>
      <c r="C855" s="547" t="s">
        <v>40</v>
      </c>
      <c r="D855" s="683">
        <v>44958</v>
      </c>
      <c r="E855" s="547">
        <v>672</v>
      </c>
      <c r="F855" s="547" t="s">
        <v>3</v>
      </c>
      <c r="G855" s="727" t="s">
        <v>44</v>
      </c>
      <c r="H855" s="638">
        <v>1</v>
      </c>
      <c r="I855" s="638">
        <v>72.5</v>
      </c>
      <c r="J855" s="639">
        <f t="shared" si="91"/>
        <v>-48720</v>
      </c>
      <c r="K855" s="750">
        <v>69.25</v>
      </c>
      <c r="L855" s="608">
        <f t="shared" si="92"/>
        <v>46536</v>
      </c>
      <c r="M855" s="751">
        <f t="shared" si="93"/>
        <v>-2184</v>
      </c>
      <c r="N855" s="752">
        <v>55.7</v>
      </c>
      <c r="O855" s="609">
        <f t="shared" si="94"/>
        <v>37430.400000000001</v>
      </c>
      <c r="P855" s="703">
        <f t="shared" si="95"/>
        <v>-11289.599999999999</v>
      </c>
      <c r="Q855" s="752">
        <v>92.430648861364247</v>
      </c>
      <c r="R855" s="609">
        <f t="shared" si="96"/>
        <v>62113.396034836776</v>
      </c>
      <c r="S855" s="703">
        <f t="shared" si="97"/>
        <v>13393.396034836776</v>
      </c>
      <c r="T855" s="697" t="s">
        <v>54</v>
      </c>
    </row>
    <row r="856" spans="1:20" x14ac:dyDescent="0.25">
      <c r="A856" s="690"/>
      <c r="B856" s="697" t="s">
        <v>2443</v>
      </c>
      <c r="C856" s="547" t="s">
        <v>40</v>
      </c>
      <c r="D856" s="683">
        <v>45261</v>
      </c>
      <c r="E856" s="547">
        <v>744</v>
      </c>
      <c r="F856" s="547" t="s">
        <v>3</v>
      </c>
      <c r="G856" s="727" t="s">
        <v>44</v>
      </c>
      <c r="H856" s="638">
        <v>-4.8387099999999998</v>
      </c>
      <c r="I856" s="638">
        <v>109</v>
      </c>
      <c r="J856" s="639">
        <f t="shared" si="91"/>
        <v>392400.02616000001</v>
      </c>
      <c r="K856" s="750">
        <v>80.45</v>
      </c>
      <c r="L856" s="608">
        <f t="shared" si="92"/>
        <v>-289620.01930799999</v>
      </c>
      <c r="M856" s="751">
        <f t="shared" si="93"/>
        <v>102780.00685200002</v>
      </c>
      <c r="N856" s="752">
        <v>62.087104564109552</v>
      </c>
      <c r="O856" s="609">
        <f t="shared" si="94"/>
        <v>-223513.59133169948</v>
      </c>
      <c r="P856" s="703">
        <f t="shared" si="95"/>
        <v>168886.43482830052</v>
      </c>
      <c r="Q856" s="752">
        <v>98.812895435890439</v>
      </c>
      <c r="R856" s="609">
        <f t="shared" si="96"/>
        <v>-355726.44728430046</v>
      </c>
      <c r="S856" s="703">
        <f t="shared" si="97"/>
        <v>36673.578875699546</v>
      </c>
      <c r="T856" s="697" t="s">
        <v>54</v>
      </c>
    </row>
    <row r="857" spans="1:20" x14ac:dyDescent="0.25">
      <c r="A857" s="690"/>
      <c r="B857" s="697" t="s">
        <v>2445</v>
      </c>
      <c r="C857" s="547" t="s">
        <v>40</v>
      </c>
      <c r="D857" s="683">
        <v>45231</v>
      </c>
      <c r="E857" s="547">
        <v>720</v>
      </c>
      <c r="F857" s="547" t="s">
        <v>3</v>
      </c>
      <c r="G857" s="727" t="s">
        <v>44</v>
      </c>
      <c r="H857" s="638">
        <v>5</v>
      </c>
      <c r="I857" s="638">
        <v>115</v>
      </c>
      <c r="J857" s="639">
        <f t="shared" si="91"/>
        <v>-414000</v>
      </c>
      <c r="K857" s="750">
        <v>80.45</v>
      </c>
      <c r="L857" s="608">
        <f t="shared" si="92"/>
        <v>289620</v>
      </c>
      <c r="M857" s="751">
        <f t="shared" si="93"/>
        <v>-124380</v>
      </c>
      <c r="N857" s="752">
        <v>62.087104564109552</v>
      </c>
      <c r="O857" s="609">
        <f t="shared" si="94"/>
        <v>223513.57643079438</v>
      </c>
      <c r="P857" s="703">
        <f t="shared" si="95"/>
        <v>-190486.42356920562</v>
      </c>
      <c r="Q857" s="752">
        <v>98.812895435890439</v>
      </c>
      <c r="R857" s="609">
        <f t="shared" si="96"/>
        <v>355726.42356920557</v>
      </c>
      <c r="S857" s="703">
        <f t="shared" si="97"/>
        <v>-58273.576430794434</v>
      </c>
      <c r="T857" s="697" t="s">
        <v>54</v>
      </c>
    </row>
    <row r="858" spans="1:20" x14ac:dyDescent="0.25">
      <c r="A858" s="690"/>
      <c r="B858" s="697" t="s">
        <v>2447</v>
      </c>
      <c r="C858" s="547" t="s">
        <v>40</v>
      </c>
      <c r="D858" s="683">
        <v>45078</v>
      </c>
      <c r="E858" s="547">
        <v>720</v>
      </c>
      <c r="F858" s="547" t="s">
        <v>3</v>
      </c>
      <c r="G858" s="727" t="s">
        <v>44</v>
      </c>
      <c r="H858" s="638">
        <v>-12</v>
      </c>
      <c r="I858" s="638">
        <v>85</v>
      </c>
      <c r="J858" s="639">
        <f t="shared" si="91"/>
        <v>734400</v>
      </c>
      <c r="K858" s="750">
        <v>72.400000000000006</v>
      </c>
      <c r="L858" s="608">
        <f t="shared" si="92"/>
        <v>-625536</v>
      </c>
      <c r="M858" s="751">
        <f t="shared" si="93"/>
        <v>108864</v>
      </c>
      <c r="N858" s="752">
        <v>55.874535369068141</v>
      </c>
      <c r="O858" s="609">
        <f t="shared" si="94"/>
        <v>-482755.98558874876</v>
      </c>
      <c r="P858" s="703">
        <f t="shared" si="95"/>
        <v>251644.01441125124</v>
      </c>
      <c r="Q858" s="752">
        <v>88.925464630931856</v>
      </c>
      <c r="R858" s="609">
        <f t="shared" si="96"/>
        <v>-768316.01441125129</v>
      </c>
      <c r="S858" s="703">
        <f t="shared" si="97"/>
        <v>-33916.014411251293</v>
      </c>
      <c r="T858" s="697" t="s">
        <v>54</v>
      </c>
    </row>
    <row r="859" spans="1:20" x14ac:dyDescent="0.25">
      <c r="A859" s="690"/>
      <c r="B859" s="697" t="s">
        <v>2449</v>
      </c>
      <c r="C859" s="547" t="s">
        <v>40</v>
      </c>
      <c r="D859" s="683">
        <v>45017</v>
      </c>
      <c r="E859" s="547">
        <v>720</v>
      </c>
      <c r="F859" s="547" t="s">
        <v>3</v>
      </c>
      <c r="G859" s="727" t="s">
        <v>44</v>
      </c>
      <c r="H859" s="638">
        <v>12</v>
      </c>
      <c r="I859" s="638">
        <v>70</v>
      </c>
      <c r="J859" s="639">
        <f t="shared" si="91"/>
        <v>-604800</v>
      </c>
      <c r="K859" s="750">
        <v>69.8</v>
      </c>
      <c r="L859" s="608">
        <f t="shared" si="92"/>
        <v>603072</v>
      </c>
      <c r="M859" s="751">
        <f t="shared" si="93"/>
        <v>-1728</v>
      </c>
      <c r="N859" s="752">
        <v>55.7</v>
      </c>
      <c r="O859" s="609">
        <f t="shared" si="94"/>
        <v>481248</v>
      </c>
      <c r="P859" s="703">
        <f t="shared" si="95"/>
        <v>-123552</v>
      </c>
      <c r="Q859" s="752">
        <v>85.732008718771311</v>
      </c>
      <c r="R859" s="609">
        <f t="shared" si="96"/>
        <v>740724.55533018417</v>
      </c>
      <c r="S859" s="703">
        <f t="shared" si="97"/>
        <v>135924.55533018417</v>
      </c>
      <c r="T859" s="697" t="s">
        <v>54</v>
      </c>
    </row>
    <row r="860" spans="1:20" x14ac:dyDescent="0.25">
      <c r="A860" s="690"/>
      <c r="B860" s="697" t="s">
        <v>2451</v>
      </c>
      <c r="C860" s="547" t="s">
        <v>40</v>
      </c>
      <c r="D860" s="683">
        <v>44958</v>
      </c>
      <c r="E860" s="547">
        <v>672</v>
      </c>
      <c r="F860" s="547" t="s">
        <v>3</v>
      </c>
      <c r="G860" s="727" t="s">
        <v>44</v>
      </c>
      <c r="H860" s="638">
        <v>3.3</v>
      </c>
      <c r="I860" s="638">
        <v>72.5</v>
      </c>
      <c r="J860" s="639">
        <f t="shared" si="91"/>
        <v>-160776</v>
      </c>
      <c r="K860" s="750">
        <v>69.25</v>
      </c>
      <c r="L860" s="608">
        <f t="shared" si="92"/>
        <v>153568.79999999999</v>
      </c>
      <c r="M860" s="751">
        <f t="shared" si="93"/>
        <v>-7207.2000000000116</v>
      </c>
      <c r="N860" s="752">
        <v>55.7</v>
      </c>
      <c r="O860" s="609">
        <f t="shared" si="94"/>
        <v>123520.32000000001</v>
      </c>
      <c r="P860" s="703">
        <f t="shared" si="95"/>
        <v>-37255.679999999993</v>
      </c>
      <c r="Q860" s="752">
        <v>92.430648861364247</v>
      </c>
      <c r="R860" s="609">
        <f t="shared" si="96"/>
        <v>204974.20691496134</v>
      </c>
      <c r="S860" s="703">
        <f t="shared" si="97"/>
        <v>44198.206914961338</v>
      </c>
      <c r="T860" s="697" t="s">
        <v>54</v>
      </c>
    </row>
    <row r="861" spans="1:20" x14ac:dyDescent="0.25">
      <c r="A861" s="690"/>
      <c r="B861" s="697" t="s">
        <v>2453</v>
      </c>
      <c r="C861" s="547" t="s">
        <v>40</v>
      </c>
      <c r="D861" s="683">
        <v>44986</v>
      </c>
      <c r="E861" s="547">
        <v>744</v>
      </c>
      <c r="F861" s="547" t="s">
        <v>3</v>
      </c>
      <c r="G861" s="727" t="s">
        <v>44</v>
      </c>
      <c r="H861" s="638">
        <v>1.3</v>
      </c>
      <c r="I861" s="638">
        <v>74</v>
      </c>
      <c r="J861" s="639">
        <f t="shared" si="91"/>
        <v>-71572.800000000003</v>
      </c>
      <c r="K861" s="750">
        <v>69.3</v>
      </c>
      <c r="L861" s="608">
        <f t="shared" si="92"/>
        <v>67026.960000000006</v>
      </c>
      <c r="M861" s="751">
        <f t="shared" si="93"/>
        <v>-4545.8399999999965</v>
      </c>
      <c r="N861" s="752">
        <v>55.7</v>
      </c>
      <c r="O861" s="609">
        <f t="shared" si="94"/>
        <v>53873.040000000008</v>
      </c>
      <c r="P861" s="703">
        <f t="shared" si="95"/>
        <v>-17699.759999999995</v>
      </c>
      <c r="Q861" s="752">
        <v>89.053218420260009</v>
      </c>
      <c r="R861" s="609">
        <f t="shared" si="96"/>
        <v>86132.272856075491</v>
      </c>
      <c r="S861" s="703">
        <f t="shared" si="97"/>
        <v>14559.472856075488</v>
      </c>
      <c r="T861" s="697" t="s">
        <v>54</v>
      </c>
    </row>
    <row r="862" spans="1:20" x14ac:dyDescent="0.25">
      <c r="A862" s="690"/>
      <c r="B862" s="697" t="s">
        <v>2455</v>
      </c>
      <c r="C862" s="547" t="s">
        <v>40</v>
      </c>
      <c r="D862" s="683">
        <v>44986</v>
      </c>
      <c r="E862" s="547">
        <v>744</v>
      </c>
      <c r="F862" s="547" t="s">
        <v>3</v>
      </c>
      <c r="G862" s="727" t="s">
        <v>44</v>
      </c>
      <c r="H862" s="638">
        <v>2</v>
      </c>
      <c r="I862" s="638">
        <v>74</v>
      </c>
      <c r="J862" s="639">
        <f t="shared" si="91"/>
        <v>-110112</v>
      </c>
      <c r="K862" s="750">
        <v>69.3</v>
      </c>
      <c r="L862" s="608">
        <f t="shared" si="92"/>
        <v>103118.39999999999</v>
      </c>
      <c r="M862" s="751">
        <f t="shared" si="93"/>
        <v>-6993.6000000000058</v>
      </c>
      <c r="N862" s="752">
        <v>55.7</v>
      </c>
      <c r="O862" s="609">
        <f t="shared" si="94"/>
        <v>82881.600000000006</v>
      </c>
      <c r="P862" s="703">
        <f t="shared" si="95"/>
        <v>-27230.399999999994</v>
      </c>
      <c r="Q862" s="752">
        <v>89.053218420260009</v>
      </c>
      <c r="R862" s="609">
        <f t="shared" si="96"/>
        <v>132511.18900934688</v>
      </c>
      <c r="S862" s="703">
        <f t="shared" si="97"/>
        <v>22399.189009346883</v>
      </c>
      <c r="T862" s="697" t="s">
        <v>54</v>
      </c>
    </row>
    <row r="863" spans="1:20" x14ac:dyDescent="0.25">
      <c r="A863" s="690"/>
      <c r="B863" s="697" t="s">
        <v>2457</v>
      </c>
      <c r="C863" s="547" t="s">
        <v>40</v>
      </c>
      <c r="D863" s="683">
        <v>44958</v>
      </c>
      <c r="E863" s="547">
        <v>672</v>
      </c>
      <c r="F863" s="547" t="s">
        <v>3</v>
      </c>
      <c r="G863" s="727" t="s">
        <v>44</v>
      </c>
      <c r="H863" s="638">
        <v>2</v>
      </c>
      <c r="I863" s="638">
        <v>72.5</v>
      </c>
      <c r="J863" s="639">
        <f t="shared" si="91"/>
        <v>-97440</v>
      </c>
      <c r="K863" s="750">
        <v>69.25</v>
      </c>
      <c r="L863" s="608">
        <f t="shared" si="92"/>
        <v>93072</v>
      </c>
      <c r="M863" s="751">
        <f t="shared" si="93"/>
        <v>-4368</v>
      </c>
      <c r="N863" s="752">
        <v>55.7</v>
      </c>
      <c r="O863" s="609">
        <f t="shared" si="94"/>
        <v>74860.800000000003</v>
      </c>
      <c r="P863" s="703">
        <f t="shared" si="95"/>
        <v>-22579.199999999997</v>
      </c>
      <c r="Q863" s="752">
        <v>92.430648861364247</v>
      </c>
      <c r="R863" s="609">
        <f t="shared" si="96"/>
        <v>124226.79206967355</v>
      </c>
      <c r="S863" s="703">
        <f t="shared" si="97"/>
        <v>26786.792069673553</v>
      </c>
      <c r="T863" s="697" t="s">
        <v>54</v>
      </c>
    </row>
    <row r="864" spans="1:20" x14ac:dyDescent="0.25">
      <c r="A864" s="690"/>
      <c r="B864" s="696" t="s">
        <v>2459</v>
      </c>
      <c r="C864" s="546" t="s">
        <v>40</v>
      </c>
      <c r="D864" s="682">
        <v>44927</v>
      </c>
      <c r="E864" s="546">
        <v>744</v>
      </c>
      <c r="F864" s="546" t="s">
        <v>3</v>
      </c>
      <c r="G864" s="726" t="s">
        <v>44</v>
      </c>
      <c r="H864" s="549">
        <v>8</v>
      </c>
      <c r="I864" s="549">
        <v>71</v>
      </c>
      <c r="J864" s="605">
        <f t="shared" si="91"/>
        <v>-422592</v>
      </c>
      <c r="K864" s="746">
        <v>68.72</v>
      </c>
      <c r="L864" s="606">
        <f t="shared" si="92"/>
        <v>409021.44</v>
      </c>
      <c r="M864" s="747">
        <f t="shared" si="93"/>
        <v>-13570.559999999998</v>
      </c>
      <c r="N864" s="748">
        <v>55.7</v>
      </c>
      <c r="O864" s="607">
        <f t="shared" si="94"/>
        <v>331526.40000000002</v>
      </c>
      <c r="P864" s="702">
        <f t="shared" si="95"/>
        <v>-91065.599999999977</v>
      </c>
      <c r="Q864" s="748">
        <v>96.206580759134184</v>
      </c>
      <c r="R864" s="607">
        <f t="shared" si="96"/>
        <v>572621.56867836672</v>
      </c>
      <c r="S864" s="702">
        <f t="shared" si="97"/>
        <v>150029.56867836672</v>
      </c>
      <c r="T864" s="696" t="s">
        <v>54</v>
      </c>
    </row>
    <row r="865" spans="1:20" x14ac:dyDescent="0.25">
      <c r="A865" s="690"/>
      <c r="B865" s="691" t="s">
        <v>2459</v>
      </c>
      <c r="C865" s="676" t="s">
        <v>40</v>
      </c>
      <c r="D865" s="680">
        <v>44958</v>
      </c>
      <c r="E865" s="676">
        <v>672</v>
      </c>
      <c r="F865" s="676" t="s">
        <v>3</v>
      </c>
      <c r="G865" s="690" t="s">
        <v>44</v>
      </c>
      <c r="H865" s="115">
        <v>8</v>
      </c>
      <c r="I865" s="115">
        <v>71</v>
      </c>
      <c r="J865" s="601">
        <f t="shared" si="91"/>
        <v>-381696</v>
      </c>
      <c r="K865" s="738">
        <v>69.25</v>
      </c>
      <c r="L865" s="677">
        <f t="shared" si="92"/>
        <v>372288</v>
      </c>
      <c r="M865" s="739">
        <f t="shared" si="93"/>
        <v>-9408</v>
      </c>
      <c r="N865" s="740">
        <v>55.7</v>
      </c>
      <c r="O865" s="678">
        <f t="shared" si="94"/>
        <v>299443.20000000001</v>
      </c>
      <c r="P865" s="700">
        <f t="shared" si="95"/>
        <v>-82252.799999999988</v>
      </c>
      <c r="Q865" s="740">
        <v>92.430648861364247</v>
      </c>
      <c r="R865" s="678">
        <f t="shared" si="96"/>
        <v>496907.16827869421</v>
      </c>
      <c r="S865" s="700">
        <f t="shared" si="97"/>
        <v>115211.16827869421</v>
      </c>
      <c r="T865" s="691" t="s">
        <v>54</v>
      </c>
    </row>
    <row r="866" spans="1:20" x14ac:dyDescent="0.25">
      <c r="A866" s="690"/>
      <c r="B866" s="695" t="s">
        <v>2459</v>
      </c>
      <c r="C866" s="545" t="s">
        <v>40</v>
      </c>
      <c r="D866" s="681">
        <v>44986</v>
      </c>
      <c r="E866" s="545">
        <v>744</v>
      </c>
      <c r="F866" s="545" t="s">
        <v>3</v>
      </c>
      <c r="G866" s="725" t="s">
        <v>44</v>
      </c>
      <c r="H866" s="548">
        <v>8</v>
      </c>
      <c r="I866" s="548">
        <v>71</v>
      </c>
      <c r="J866" s="602">
        <f t="shared" si="91"/>
        <v>-422592</v>
      </c>
      <c r="K866" s="742">
        <v>69.3</v>
      </c>
      <c r="L866" s="603">
        <f t="shared" si="92"/>
        <v>412473.59999999998</v>
      </c>
      <c r="M866" s="743">
        <f t="shared" si="93"/>
        <v>-10118.400000000023</v>
      </c>
      <c r="N866" s="744">
        <v>55.7</v>
      </c>
      <c r="O866" s="604">
        <f t="shared" si="94"/>
        <v>331526.40000000002</v>
      </c>
      <c r="P866" s="701">
        <f t="shared" si="95"/>
        <v>-91065.599999999977</v>
      </c>
      <c r="Q866" s="744">
        <v>89.053218420260009</v>
      </c>
      <c r="R866" s="604">
        <f t="shared" si="96"/>
        <v>530044.75603738753</v>
      </c>
      <c r="S866" s="701">
        <f t="shared" si="97"/>
        <v>107452.75603738753</v>
      </c>
      <c r="T866" s="695" t="s">
        <v>54</v>
      </c>
    </row>
    <row r="867" spans="1:20" x14ac:dyDescent="0.25">
      <c r="A867" s="690"/>
      <c r="B867" s="697" t="s">
        <v>2461</v>
      </c>
      <c r="C867" s="547" t="s">
        <v>40</v>
      </c>
      <c r="D867" s="683">
        <v>45231</v>
      </c>
      <c r="E867" s="547">
        <v>720</v>
      </c>
      <c r="F867" s="547" t="s">
        <v>3</v>
      </c>
      <c r="G867" s="727" t="s">
        <v>44</v>
      </c>
      <c r="H867" s="638">
        <v>15</v>
      </c>
      <c r="I867" s="638">
        <v>115</v>
      </c>
      <c r="J867" s="639">
        <f t="shared" si="91"/>
        <v>-1242000</v>
      </c>
      <c r="K867" s="750">
        <v>80.45</v>
      </c>
      <c r="L867" s="608">
        <f t="shared" si="92"/>
        <v>868860</v>
      </c>
      <c r="M867" s="751">
        <f t="shared" si="93"/>
        <v>-373140</v>
      </c>
      <c r="N867" s="752">
        <v>62.087104564109552</v>
      </c>
      <c r="O867" s="609">
        <f t="shared" si="94"/>
        <v>670540.72929238318</v>
      </c>
      <c r="P867" s="703">
        <f t="shared" si="95"/>
        <v>-571459.27070761682</v>
      </c>
      <c r="Q867" s="752">
        <v>98.812895435890439</v>
      </c>
      <c r="R867" s="609">
        <f t="shared" si="96"/>
        <v>1067179.2707076168</v>
      </c>
      <c r="S867" s="703">
        <f t="shared" si="97"/>
        <v>-174820.72929238318</v>
      </c>
      <c r="T867" s="697" t="s">
        <v>54</v>
      </c>
    </row>
    <row r="868" spans="1:20" x14ac:dyDescent="0.25">
      <c r="A868" s="690"/>
      <c r="B868" s="697" t="s">
        <v>2463</v>
      </c>
      <c r="C868" s="547" t="s">
        <v>40</v>
      </c>
      <c r="D868" s="683">
        <v>45261</v>
      </c>
      <c r="E868" s="547">
        <v>744</v>
      </c>
      <c r="F868" s="547" t="s">
        <v>3</v>
      </c>
      <c r="G868" s="727" t="s">
        <v>44</v>
      </c>
      <c r="H868" s="638">
        <v>-15</v>
      </c>
      <c r="I868" s="638">
        <v>109</v>
      </c>
      <c r="J868" s="639">
        <f t="shared" si="91"/>
        <v>1216440</v>
      </c>
      <c r="K868" s="750">
        <v>80.45</v>
      </c>
      <c r="L868" s="608">
        <f t="shared" si="92"/>
        <v>-897822</v>
      </c>
      <c r="M868" s="751">
        <f t="shared" si="93"/>
        <v>318618</v>
      </c>
      <c r="N868" s="752">
        <v>62.087104564109552</v>
      </c>
      <c r="O868" s="609">
        <f t="shared" si="94"/>
        <v>-692892.08693546255</v>
      </c>
      <c r="P868" s="703">
        <f t="shared" si="95"/>
        <v>523547.91306453745</v>
      </c>
      <c r="Q868" s="752">
        <v>98.812895435890439</v>
      </c>
      <c r="R868" s="609">
        <f t="shared" si="96"/>
        <v>-1102751.9130645373</v>
      </c>
      <c r="S868" s="703">
        <f t="shared" si="97"/>
        <v>113688.08693546266</v>
      </c>
      <c r="T868" s="697" t="s">
        <v>54</v>
      </c>
    </row>
    <row r="869" spans="1:20" x14ac:dyDescent="0.25">
      <c r="A869" s="690"/>
      <c r="B869" s="697" t="s">
        <v>2465</v>
      </c>
      <c r="C869" s="547" t="s">
        <v>40</v>
      </c>
      <c r="D869" s="683">
        <v>45200</v>
      </c>
      <c r="E869" s="547">
        <v>744</v>
      </c>
      <c r="F869" s="547" t="s">
        <v>3</v>
      </c>
      <c r="G869" s="727" t="s">
        <v>44</v>
      </c>
      <c r="H869" s="638">
        <v>12</v>
      </c>
      <c r="I869" s="638">
        <v>120</v>
      </c>
      <c r="J869" s="639">
        <f t="shared" si="91"/>
        <v>-1071360</v>
      </c>
      <c r="K869" s="750">
        <v>80.45</v>
      </c>
      <c r="L869" s="608">
        <f t="shared" si="92"/>
        <v>718257.6</v>
      </c>
      <c r="M869" s="751">
        <f t="shared" si="93"/>
        <v>-353102.4</v>
      </c>
      <c r="N869" s="752">
        <v>62.087104564109552</v>
      </c>
      <c r="O869" s="609">
        <f t="shared" si="94"/>
        <v>554313.66954837006</v>
      </c>
      <c r="P869" s="703">
        <f t="shared" si="95"/>
        <v>-517046.33045162994</v>
      </c>
      <c r="Q869" s="752">
        <v>98.812895435890439</v>
      </c>
      <c r="R869" s="609">
        <f t="shared" si="96"/>
        <v>882201.53045162989</v>
      </c>
      <c r="S869" s="703">
        <f t="shared" si="97"/>
        <v>-189158.46954837011</v>
      </c>
      <c r="T869" s="697" t="s">
        <v>54</v>
      </c>
    </row>
    <row r="870" spans="1:20" x14ac:dyDescent="0.25">
      <c r="A870" s="690"/>
      <c r="B870" s="697" t="s">
        <v>2471</v>
      </c>
      <c r="C870" s="547" t="s">
        <v>40</v>
      </c>
      <c r="D870" s="683">
        <v>45139</v>
      </c>
      <c r="E870" s="547">
        <v>744</v>
      </c>
      <c r="F870" s="547" t="s">
        <v>3</v>
      </c>
      <c r="G870" s="727" t="s">
        <v>44</v>
      </c>
      <c r="H870" s="638">
        <v>-12</v>
      </c>
      <c r="I870" s="638">
        <v>120</v>
      </c>
      <c r="J870" s="639">
        <f t="shared" si="91"/>
        <v>1071360</v>
      </c>
      <c r="K870" s="750">
        <v>77.150000000000006</v>
      </c>
      <c r="L870" s="608">
        <f t="shared" si="92"/>
        <v>-688795.20000000007</v>
      </c>
      <c r="M870" s="751">
        <f t="shared" si="93"/>
        <v>382564.79999999993</v>
      </c>
      <c r="N870" s="752">
        <v>59.54033706800562</v>
      </c>
      <c r="O870" s="609">
        <f t="shared" si="94"/>
        <v>-531576.12934315414</v>
      </c>
      <c r="P870" s="703">
        <f t="shared" si="95"/>
        <v>539783.87065684586</v>
      </c>
      <c r="Q870" s="752">
        <v>94.759662931994384</v>
      </c>
      <c r="R870" s="609">
        <f t="shared" si="96"/>
        <v>-846014.27065684588</v>
      </c>
      <c r="S870" s="703">
        <f t="shared" si="97"/>
        <v>225345.72934315412</v>
      </c>
      <c r="T870" s="697" t="s">
        <v>54</v>
      </c>
    </row>
    <row r="871" spans="1:20" x14ac:dyDescent="0.25">
      <c r="A871" s="690"/>
      <c r="B871" s="696" t="s">
        <v>2515</v>
      </c>
      <c r="C871" s="546" t="s">
        <v>40</v>
      </c>
      <c r="D871" s="682">
        <v>45292</v>
      </c>
      <c r="E871" s="546">
        <v>744</v>
      </c>
      <c r="F871" s="546" t="s">
        <v>3</v>
      </c>
      <c r="G871" s="726" t="s">
        <v>44</v>
      </c>
      <c r="H871" s="549">
        <v>15</v>
      </c>
      <c r="I871" s="549">
        <v>131.15945797953472</v>
      </c>
      <c r="J871" s="605">
        <f t="shared" si="91"/>
        <v>-1463739.5510516076</v>
      </c>
      <c r="K871" s="746">
        <v>100.1</v>
      </c>
      <c r="L871" s="606">
        <f t="shared" si="92"/>
        <v>1117116</v>
      </c>
      <c r="M871" s="747">
        <f t="shared" si="93"/>
        <v>-346623.55105160759</v>
      </c>
      <c r="N871" s="748">
        <v>92.278761745078526</v>
      </c>
      <c r="O871" s="607">
        <f t="shared" si="94"/>
        <v>1029830.9810750764</v>
      </c>
      <c r="P871" s="702">
        <f t="shared" si="95"/>
        <v>-433908.5699765312</v>
      </c>
      <c r="Q871" s="748">
        <v>107.92123825492146</v>
      </c>
      <c r="R871" s="607">
        <f t="shared" si="96"/>
        <v>1204401.0189249236</v>
      </c>
      <c r="S871" s="702">
        <f t="shared" si="97"/>
        <v>-259338.53212668397</v>
      </c>
      <c r="T871" s="696" t="s">
        <v>54</v>
      </c>
    </row>
    <row r="872" spans="1:20" x14ac:dyDescent="0.25">
      <c r="A872" s="690"/>
      <c r="B872" s="691" t="s">
        <v>2515</v>
      </c>
      <c r="C872" s="676" t="s">
        <v>40</v>
      </c>
      <c r="D872" s="680">
        <v>45323</v>
      </c>
      <c r="E872" s="676">
        <v>696</v>
      </c>
      <c r="F872" s="676" t="s">
        <v>3</v>
      </c>
      <c r="G872" s="690" t="s">
        <v>44</v>
      </c>
      <c r="H872" s="115">
        <v>15</v>
      </c>
      <c r="I872" s="115">
        <v>131.15945797953472</v>
      </c>
      <c r="J872" s="601">
        <f t="shared" si="91"/>
        <v>-1369304.7413063424</v>
      </c>
      <c r="K872" s="738">
        <v>100.1</v>
      </c>
      <c r="L872" s="677">
        <f t="shared" si="92"/>
        <v>1045043.9999999999</v>
      </c>
      <c r="M872" s="739">
        <f t="shared" si="93"/>
        <v>-324260.74130634253</v>
      </c>
      <c r="N872" s="740">
        <v>92.278761745078526</v>
      </c>
      <c r="O872" s="678">
        <f t="shared" si="94"/>
        <v>963390.27261861984</v>
      </c>
      <c r="P872" s="700">
        <f t="shared" si="95"/>
        <v>-405914.46868772258</v>
      </c>
      <c r="Q872" s="740">
        <v>107.92123825492146</v>
      </c>
      <c r="R872" s="678">
        <f t="shared" si="96"/>
        <v>1126697.72738138</v>
      </c>
      <c r="S872" s="700">
        <f t="shared" si="97"/>
        <v>-242607.01392496238</v>
      </c>
      <c r="T872" s="691" t="s">
        <v>54</v>
      </c>
    </row>
    <row r="873" spans="1:20" x14ac:dyDescent="0.25">
      <c r="A873" s="690"/>
      <c r="B873" s="691" t="s">
        <v>2515</v>
      </c>
      <c r="C873" s="676" t="s">
        <v>40</v>
      </c>
      <c r="D873" s="680">
        <v>45352</v>
      </c>
      <c r="E873" s="676">
        <v>744</v>
      </c>
      <c r="F873" s="676" t="s">
        <v>3</v>
      </c>
      <c r="G873" s="690" t="s">
        <v>44</v>
      </c>
      <c r="H873" s="115">
        <v>15</v>
      </c>
      <c r="I873" s="115">
        <v>131.15945797953472</v>
      </c>
      <c r="J873" s="601">
        <f t="shared" si="91"/>
        <v>-1463739.5510516076</v>
      </c>
      <c r="K873" s="738">
        <v>100.1</v>
      </c>
      <c r="L873" s="677">
        <f t="shared" si="92"/>
        <v>1117116</v>
      </c>
      <c r="M873" s="739">
        <f t="shared" si="93"/>
        <v>-346623.55105160759</v>
      </c>
      <c r="N873" s="740">
        <v>92.278761745078526</v>
      </c>
      <c r="O873" s="678">
        <f t="shared" si="94"/>
        <v>1029830.9810750764</v>
      </c>
      <c r="P873" s="700">
        <f t="shared" si="95"/>
        <v>-433908.5699765312</v>
      </c>
      <c r="Q873" s="740">
        <v>107.92123825492146</v>
      </c>
      <c r="R873" s="678">
        <f t="shared" si="96"/>
        <v>1204401.0189249236</v>
      </c>
      <c r="S873" s="700">
        <f t="shared" si="97"/>
        <v>-259338.53212668397</v>
      </c>
      <c r="T873" s="691" t="s">
        <v>54</v>
      </c>
    </row>
    <row r="874" spans="1:20" x14ac:dyDescent="0.25">
      <c r="A874" s="690"/>
      <c r="B874" s="691" t="s">
        <v>2515</v>
      </c>
      <c r="C874" s="676" t="s">
        <v>40</v>
      </c>
      <c r="D874" s="680">
        <v>45383</v>
      </c>
      <c r="E874" s="676">
        <v>720</v>
      </c>
      <c r="F874" s="676" t="s">
        <v>3</v>
      </c>
      <c r="G874" s="690" t="s">
        <v>44</v>
      </c>
      <c r="H874" s="115">
        <v>15</v>
      </c>
      <c r="I874" s="115">
        <v>131.15945797953472</v>
      </c>
      <c r="J874" s="601">
        <f t="shared" si="91"/>
        <v>-1416522.146178975</v>
      </c>
      <c r="K874" s="738">
        <v>100.1</v>
      </c>
      <c r="L874" s="677">
        <f t="shared" si="92"/>
        <v>1081080</v>
      </c>
      <c r="M874" s="739">
        <f t="shared" si="93"/>
        <v>-335442.146178975</v>
      </c>
      <c r="N874" s="740">
        <v>92.278761745078526</v>
      </c>
      <c r="O874" s="678">
        <f t="shared" si="94"/>
        <v>996610.62684684806</v>
      </c>
      <c r="P874" s="700">
        <f t="shared" si="95"/>
        <v>-419911.51933212695</v>
      </c>
      <c r="Q874" s="740">
        <v>107.92123825492146</v>
      </c>
      <c r="R874" s="678">
        <f t="shared" si="96"/>
        <v>1165549.3731531517</v>
      </c>
      <c r="S874" s="700">
        <f t="shared" si="97"/>
        <v>-250972.77302582329</v>
      </c>
      <c r="T874" s="691" t="s">
        <v>54</v>
      </c>
    </row>
    <row r="875" spans="1:20" x14ac:dyDescent="0.25">
      <c r="A875" s="690"/>
      <c r="B875" s="691" t="s">
        <v>2515</v>
      </c>
      <c r="C875" s="676" t="s">
        <v>40</v>
      </c>
      <c r="D875" s="680">
        <v>45413</v>
      </c>
      <c r="E875" s="676">
        <v>744</v>
      </c>
      <c r="F875" s="676" t="s">
        <v>3</v>
      </c>
      <c r="G875" s="690" t="s">
        <v>44</v>
      </c>
      <c r="H875" s="115">
        <v>15</v>
      </c>
      <c r="I875" s="115">
        <v>131.15945797953472</v>
      </c>
      <c r="J875" s="601">
        <f t="shared" si="91"/>
        <v>-1463739.5510516076</v>
      </c>
      <c r="K875" s="738">
        <v>100.1</v>
      </c>
      <c r="L875" s="677">
        <f t="shared" si="92"/>
        <v>1117116</v>
      </c>
      <c r="M875" s="739">
        <f t="shared" si="93"/>
        <v>-346623.55105160759</v>
      </c>
      <c r="N875" s="740">
        <v>92.278761745078526</v>
      </c>
      <c r="O875" s="678">
        <f t="shared" si="94"/>
        <v>1029830.9810750764</v>
      </c>
      <c r="P875" s="700">
        <f t="shared" si="95"/>
        <v>-433908.5699765312</v>
      </c>
      <c r="Q875" s="740">
        <v>107.92123825492146</v>
      </c>
      <c r="R875" s="678">
        <f t="shared" si="96"/>
        <v>1204401.0189249236</v>
      </c>
      <c r="S875" s="700">
        <f t="shared" si="97"/>
        <v>-259338.53212668397</v>
      </c>
      <c r="T875" s="691" t="s">
        <v>54</v>
      </c>
    </row>
    <row r="876" spans="1:20" x14ac:dyDescent="0.25">
      <c r="A876" s="690"/>
      <c r="B876" s="691" t="s">
        <v>2515</v>
      </c>
      <c r="C876" s="676" t="s">
        <v>40</v>
      </c>
      <c r="D876" s="680">
        <v>45444</v>
      </c>
      <c r="E876" s="676">
        <v>720</v>
      </c>
      <c r="F876" s="676" t="s">
        <v>3</v>
      </c>
      <c r="G876" s="690" t="s">
        <v>44</v>
      </c>
      <c r="H876" s="115">
        <v>15</v>
      </c>
      <c r="I876" s="115">
        <v>131.15945797953472</v>
      </c>
      <c r="J876" s="601">
        <f t="shared" si="91"/>
        <v>-1416522.146178975</v>
      </c>
      <c r="K876" s="738">
        <v>100.1</v>
      </c>
      <c r="L876" s="677">
        <f t="shared" si="92"/>
        <v>1081080</v>
      </c>
      <c r="M876" s="739">
        <f t="shared" si="93"/>
        <v>-335442.146178975</v>
      </c>
      <c r="N876" s="740">
        <v>92.278761745078526</v>
      </c>
      <c r="O876" s="678">
        <f t="shared" si="94"/>
        <v>996610.62684684806</v>
      </c>
      <c r="P876" s="700">
        <f t="shared" si="95"/>
        <v>-419911.51933212695</v>
      </c>
      <c r="Q876" s="740">
        <v>107.92123825492146</v>
      </c>
      <c r="R876" s="678">
        <f t="shared" si="96"/>
        <v>1165549.3731531517</v>
      </c>
      <c r="S876" s="700">
        <f t="shared" si="97"/>
        <v>-250972.77302582329</v>
      </c>
      <c r="T876" s="691" t="s">
        <v>54</v>
      </c>
    </row>
    <row r="877" spans="1:20" x14ac:dyDescent="0.25">
      <c r="A877" s="690"/>
      <c r="B877" s="691" t="s">
        <v>2515</v>
      </c>
      <c r="C877" s="676" t="s">
        <v>40</v>
      </c>
      <c r="D877" s="680">
        <v>45474</v>
      </c>
      <c r="E877" s="676">
        <v>744</v>
      </c>
      <c r="F877" s="676" t="s">
        <v>3</v>
      </c>
      <c r="G877" s="690" t="s">
        <v>44</v>
      </c>
      <c r="H877" s="115">
        <v>15</v>
      </c>
      <c r="I877" s="115">
        <v>131.15945797953472</v>
      </c>
      <c r="J877" s="601">
        <f t="shared" si="91"/>
        <v>-1463739.5510516076</v>
      </c>
      <c r="K877" s="738">
        <v>100.1</v>
      </c>
      <c r="L877" s="677">
        <f t="shared" si="92"/>
        <v>1117116</v>
      </c>
      <c r="M877" s="739">
        <f t="shared" si="93"/>
        <v>-346623.55105160759</v>
      </c>
      <c r="N877" s="740">
        <v>92.278761745078526</v>
      </c>
      <c r="O877" s="678">
        <f t="shared" si="94"/>
        <v>1029830.9810750764</v>
      </c>
      <c r="P877" s="700">
        <f t="shared" si="95"/>
        <v>-433908.5699765312</v>
      </c>
      <c r="Q877" s="740">
        <v>107.92123825492146</v>
      </c>
      <c r="R877" s="678">
        <f t="shared" si="96"/>
        <v>1204401.0189249236</v>
      </c>
      <c r="S877" s="700">
        <f t="shared" si="97"/>
        <v>-259338.53212668397</v>
      </c>
      <c r="T877" s="691" t="s">
        <v>54</v>
      </c>
    </row>
    <row r="878" spans="1:20" x14ac:dyDescent="0.25">
      <c r="A878" s="690"/>
      <c r="B878" s="691" t="s">
        <v>2515</v>
      </c>
      <c r="C878" s="676" t="s">
        <v>40</v>
      </c>
      <c r="D878" s="680">
        <v>45505</v>
      </c>
      <c r="E878" s="676">
        <v>744</v>
      </c>
      <c r="F878" s="676" t="s">
        <v>3</v>
      </c>
      <c r="G878" s="690" t="s">
        <v>44</v>
      </c>
      <c r="H878" s="115">
        <v>15</v>
      </c>
      <c r="I878" s="115">
        <v>131.15945797953472</v>
      </c>
      <c r="J878" s="601">
        <f t="shared" si="91"/>
        <v>-1463739.5510516076</v>
      </c>
      <c r="K878" s="738">
        <v>100.1</v>
      </c>
      <c r="L878" s="677">
        <f t="shared" si="92"/>
        <v>1117116</v>
      </c>
      <c r="M878" s="739">
        <f t="shared" si="93"/>
        <v>-346623.55105160759</v>
      </c>
      <c r="N878" s="740">
        <v>92.278761745078526</v>
      </c>
      <c r="O878" s="678">
        <f t="shared" si="94"/>
        <v>1029830.9810750764</v>
      </c>
      <c r="P878" s="700">
        <f t="shared" si="95"/>
        <v>-433908.5699765312</v>
      </c>
      <c r="Q878" s="740">
        <v>107.92123825492146</v>
      </c>
      <c r="R878" s="678">
        <f t="shared" si="96"/>
        <v>1204401.0189249236</v>
      </c>
      <c r="S878" s="700">
        <f t="shared" si="97"/>
        <v>-259338.53212668397</v>
      </c>
      <c r="T878" s="691" t="s">
        <v>54</v>
      </c>
    </row>
    <row r="879" spans="1:20" x14ac:dyDescent="0.25">
      <c r="A879" s="690"/>
      <c r="B879" s="691" t="s">
        <v>2515</v>
      </c>
      <c r="C879" s="676" t="s">
        <v>40</v>
      </c>
      <c r="D879" s="680">
        <v>45536</v>
      </c>
      <c r="E879" s="676">
        <v>720</v>
      </c>
      <c r="F879" s="676" t="s">
        <v>3</v>
      </c>
      <c r="G879" s="690" t="s">
        <v>44</v>
      </c>
      <c r="H879" s="115">
        <v>15</v>
      </c>
      <c r="I879" s="115">
        <v>131.15945797953472</v>
      </c>
      <c r="J879" s="601">
        <f t="shared" si="91"/>
        <v>-1416522.146178975</v>
      </c>
      <c r="K879" s="738">
        <v>100.1</v>
      </c>
      <c r="L879" s="677">
        <f t="shared" si="92"/>
        <v>1081080</v>
      </c>
      <c r="M879" s="739">
        <f t="shared" si="93"/>
        <v>-335442.146178975</v>
      </c>
      <c r="N879" s="740">
        <v>92.278761745078526</v>
      </c>
      <c r="O879" s="678">
        <f t="shared" si="94"/>
        <v>996610.62684684806</v>
      </c>
      <c r="P879" s="700">
        <f t="shared" si="95"/>
        <v>-419911.51933212695</v>
      </c>
      <c r="Q879" s="740">
        <v>107.92123825492146</v>
      </c>
      <c r="R879" s="678">
        <f t="shared" si="96"/>
        <v>1165549.3731531517</v>
      </c>
      <c r="S879" s="700">
        <f t="shared" si="97"/>
        <v>-250972.77302582329</v>
      </c>
      <c r="T879" s="691" t="s">
        <v>54</v>
      </c>
    </row>
    <row r="880" spans="1:20" x14ac:dyDescent="0.25">
      <c r="A880" s="690"/>
      <c r="B880" s="691" t="s">
        <v>2515</v>
      </c>
      <c r="C880" s="676" t="s">
        <v>40</v>
      </c>
      <c r="D880" s="680">
        <v>45566</v>
      </c>
      <c r="E880" s="676">
        <v>744</v>
      </c>
      <c r="F880" s="676" t="s">
        <v>3</v>
      </c>
      <c r="G880" s="690" t="s">
        <v>44</v>
      </c>
      <c r="H880" s="115">
        <v>15</v>
      </c>
      <c r="I880" s="115">
        <v>131.15945797953472</v>
      </c>
      <c r="J880" s="601">
        <f t="shared" si="91"/>
        <v>-1463739.5510516076</v>
      </c>
      <c r="K880" s="738">
        <v>100.1</v>
      </c>
      <c r="L880" s="677">
        <f t="shared" si="92"/>
        <v>1117116</v>
      </c>
      <c r="M880" s="739">
        <f t="shared" si="93"/>
        <v>-346623.55105160759</v>
      </c>
      <c r="N880" s="740">
        <v>92.278761745078526</v>
      </c>
      <c r="O880" s="678">
        <f t="shared" si="94"/>
        <v>1029830.9810750764</v>
      </c>
      <c r="P880" s="700">
        <f t="shared" si="95"/>
        <v>-433908.5699765312</v>
      </c>
      <c r="Q880" s="740">
        <v>107.92123825492146</v>
      </c>
      <c r="R880" s="678">
        <f t="shared" si="96"/>
        <v>1204401.0189249236</v>
      </c>
      <c r="S880" s="700">
        <f t="shared" si="97"/>
        <v>-259338.53212668397</v>
      </c>
      <c r="T880" s="691" t="s">
        <v>54</v>
      </c>
    </row>
    <row r="881" spans="1:20" x14ac:dyDescent="0.25">
      <c r="A881" s="690"/>
      <c r="B881" s="691" t="s">
        <v>2515</v>
      </c>
      <c r="C881" s="676" t="s">
        <v>40</v>
      </c>
      <c r="D881" s="680">
        <v>45597</v>
      </c>
      <c r="E881" s="676">
        <v>720</v>
      </c>
      <c r="F881" s="676" t="s">
        <v>3</v>
      </c>
      <c r="G881" s="690" t="s">
        <v>44</v>
      </c>
      <c r="H881" s="115">
        <v>15</v>
      </c>
      <c r="I881" s="115">
        <v>131.15945797953472</v>
      </c>
      <c r="J881" s="601">
        <f t="shared" si="91"/>
        <v>-1416522.146178975</v>
      </c>
      <c r="K881" s="738">
        <v>100.1</v>
      </c>
      <c r="L881" s="677">
        <f t="shared" si="92"/>
        <v>1081080</v>
      </c>
      <c r="M881" s="739">
        <f t="shared" si="93"/>
        <v>-335442.146178975</v>
      </c>
      <c r="N881" s="740">
        <v>92.278761745078526</v>
      </c>
      <c r="O881" s="678">
        <f t="shared" si="94"/>
        <v>996610.62684684806</v>
      </c>
      <c r="P881" s="700">
        <f t="shared" si="95"/>
        <v>-419911.51933212695</v>
      </c>
      <c r="Q881" s="740">
        <v>107.92123825492146</v>
      </c>
      <c r="R881" s="678">
        <f t="shared" si="96"/>
        <v>1165549.3731531517</v>
      </c>
      <c r="S881" s="700">
        <f t="shared" si="97"/>
        <v>-250972.77302582329</v>
      </c>
      <c r="T881" s="691" t="s">
        <v>54</v>
      </c>
    </row>
    <row r="882" spans="1:20" x14ac:dyDescent="0.25">
      <c r="A882" s="690"/>
      <c r="B882" s="695" t="s">
        <v>2515</v>
      </c>
      <c r="C882" s="545" t="s">
        <v>40</v>
      </c>
      <c r="D882" s="681">
        <v>45627</v>
      </c>
      <c r="E882" s="545">
        <v>744</v>
      </c>
      <c r="F882" s="545" t="s">
        <v>3</v>
      </c>
      <c r="G882" s="725" t="s">
        <v>44</v>
      </c>
      <c r="H882" s="548">
        <v>15</v>
      </c>
      <c r="I882" s="548">
        <v>131.15945797953472</v>
      </c>
      <c r="J882" s="602">
        <f t="shared" si="91"/>
        <v>-1463739.5510516076</v>
      </c>
      <c r="K882" s="742">
        <v>100.1</v>
      </c>
      <c r="L882" s="603">
        <f t="shared" si="92"/>
        <v>1117116</v>
      </c>
      <c r="M882" s="743">
        <f t="shared" si="93"/>
        <v>-346623.55105160759</v>
      </c>
      <c r="N882" s="744">
        <v>92.278761745078526</v>
      </c>
      <c r="O882" s="604">
        <f t="shared" si="94"/>
        <v>1029830.9810750764</v>
      </c>
      <c r="P882" s="701">
        <f t="shared" si="95"/>
        <v>-433908.5699765312</v>
      </c>
      <c r="Q882" s="744">
        <v>107.92123825492146</v>
      </c>
      <c r="R882" s="604">
        <f t="shared" si="96"/>
        <v>1204401.0189249236</v>
      </c>
      <c r="S882" s="701">
        <f t="shared" si="97"/>
        <v>-259338.53212668397</v>
      </c>
      <c r="T882" s="695" t="s">
        <v>54</v>
      </c>
    </row>
    <row r="883" spans="1:20" x14ac:dyDescent="0.25">
      <c r="A883" s="690"/>
      <c r="B883" s="697" t="s">
        <v>2532</v>
      </c>
      <c r="C883" s="547" t="s">
        <v>40</v>
      </c>
      <c r="D883" s="683">
        <v>45017</v>
      </c>
      <c r="E883" s="547">
        <v>720</v>
      </c>
      <c r="F883" s="547" t="s">
        <v>3</v>
      </c>
      <c r="G883" s="727" t="s">
        <v>44</v>
      </c>
      <c r="H883" s="638">
        <v>2</v>
      </c>
      <c r="I883" s="638">
        <v>66</v>
      </c>
      <c r="J883" s="639">
        <f t="shared" si="91"/>
        <v>-95040</v>
      </c>
      <c r="K883" s="750">
        <v>69.8</v>
      </c>
      <c r="L883" s="608">
        <f t="shared" si="92"/>
        <v>100512</v>
      </c>
      <c r="M883" s="751">
        <f t="shared" si="93"/>
        <v>5472</v>
      </c>
      <c r="N883" s="752">
        <v>55.7</v>
      </c>
      <c r="O883" s="609">
        <f t="shared" si="94"/>
        <v>80208</v>
      </c>
      <c r="P883" s="703">
        <f t="shared" si="95"/>
        <v>-14832</v>
      </c>
      <c r="Q883" s="752">
        <v>85.732008718771311</v>
      </c>
      <c r="R883" s="609">
        <f t="shared" si="96"/>
        <v>123454.09255503069</v>
      </c>
      <c r="S883" s="703">
        <f t="shared" si="97"/>
        <v>28414.092555030686</v>
      </c>
      <c r="T883" s="697" t="s">
        <v>54</v>
      </c>
    </row>
    <row r="884" spans="1:20" x14ac:dyDescent="0.25">
      <c r="A884" s="690"/>
      <c r="B884" s="697" t="s">
        <v>2554</v>
      </c>
      <c r="C884" s="547" t="s">
        <v>40</v>
      </c>
      <c r="D884" s="683">
        <v>44866</v>
      </c>
      <c r="E884" s="547">
        <v>720</v>
      </c>
      <c r="F884" s="547" t="s">
        <v>6</v>
      </c>
      <c r="G884" s="727" t="s">
        <v>44</v>
      </c>
      <c r="H884" s="638">
        <v>0.3</v>
      </c>
      <c r="I884" s="638">
        <v>204.7</v>
      </c>
      <c r="J884" s="639">
        <f t="shared" si="91"/>
        <v>-44215.199999999997</v>
      </c>
      <c r="K884" s="750">
        <v>55.7</v>
      </c>
      <c r="L884" s="608">
        <f t="shared" si="92"/>
        <v>12031.2</v>
      </c>
      <c r="M884" s="751">
        <f t="shared" si="93"/>
        <v>-32183.999999999996</v>
      </c>
      <c r="N884" s="752">
        <v>55.7</v>
      </c>
      <c r="O884" s="609">
        <f t="shared" si="94"/>
        <v>12031.2</v>
      </c>
      <c r="P884" s="703">
        <f t="shared" si="95"/>
        <v>-32183.999999999996</v>
      </c>
      <c r="Q884" s="752">
        <v>55.7</v>
      </c>
      <c r="R884" s="609">
        <f t="shared" si="96"/>
        <v>12031.2</v>
      </c>
      <c r="S884" s="703">
        <f t="shared" si="97"/>
        <v>-32183.999999999996</v>
      </c>
      <c r="T884" s="697" t="s">
        <v>92</v>
      </c>
    </row>
    <row r="885" spans="1:20" x14ac:dyDescent="0.25">
      <c r="A885" s="690"/>
      <c r="B885" s="697" t="s">
        <v>2557</v>
      </c>
      <c r="C885" s="547" t="s">
        <v>40</v>
      </c>
      <c r="D885" s="683">
        <v>44866</v>
      </c>
      <c r="E885" s="547">
        <v>720</v>
      </c>
      <c r="F885" s="547" t="s">
        <v>6</v>
      </c>
      <c r="G885" s="727" t="s">
        <v>44</v>
      </c>
      <c r="H885" s="638">
        <v>3.5</v>
      </c>
      <c r="I885" s="638">
        <v>204.7</v>
      </c>
      <c r="J885" s="639">
        <f t="shared" si="91"/>
        <v>-515844</v>
      </c>
      <c r="K885" s="750">
        <v>55.7</v>
      </c>
      <c r="L885" s="608">
        <f t="shared" si="92"/>
        <v>140364</v>
      </c>
      <c r="M885" s="751">
        <f t="shared" si="93"/>
        <v>-375480</v>
      </c>
      <c r="N885" s="752">
        <v>55.7</v>
      </c>
      <c r="O885" s="609">
        <f t="shared" si="94"/>
        <v>140364</v>
      </c>
      <c r="P885" s="703">
        <f t="shared" si="95"/>
        <v>-375480</v>
      </c>
      <c r="Q885" s="752">
        <v>55.7</v>
      </c>
      <c r="R885" s="609">
        <f t="shared" si="96"/>
        <v>140364</v>
      </c>
      <c r="S885" s="703">
        <f t="shared" si="97"/>
        <v>-375480</v>
      </c>
      <c r="T885" s="697" t="s">
        <v>92</v>
      </c>
    </row>
    <row r="886" spans="1:20" x14ac:dyDescent="0.25">
      <c r="A886" s="690"/>
      <c r="B886" s="697" t="s">
        <v>2560</v>
      </c>
      <c r="C886" s="547" t="s">
        <v>40</v>
      </c>
      <c r="D886" s="683">
        <v>44866</v>
      </c>
      <c r="E886" s="547">
        <v>720</v>
      </c>
      <c r="F886" s="547" t="s">
        <v>6</v>
      </c>
      <c r="G886" s="727" t="s">
        <v>44</v>
      </c>
      <c r="H886" s="638">
        <v>2.6388889999999998</v>
      </c>
      <c r="I886" s="638">
        <v>204.7</v>
      </c>
      <c r="J886" s="639">
        <f t="shared" si="91"/>
        <v>-388930.01637599996</v>
      </c>
      <c r="K886" s="750">
        <v>55.7</v>
      </c>
      <c r="L886" s="608">
        <f t="shared" si="92"/>
        <v>105830.004456</v>
      </c>
      <c r="M886" s="751">
        <f t="shared" si="93"/>
        <v>-283100.01191999996</v>
      </c>
      <c r="N886" s="752">
        <v>55.7</v>
      </c>
      <c r="O886" s="609">
        <f t="shared" si="94"/>
        <v>105830.004456</v>
      </c>
      <c r="P886" s="703">
        <f t="shared" si="95"/>
        <v>-283100.01191999996</v>
      </c>
      <c r="Q886" s="752">
        <v>55.7</v>
      </c>
      <c r="R886" s="609">
        <f t="shared" si="96"/>
        <v>105830.004456</v>
      </c>
      <c r="S886" s="703">
        <f t="shared" si="97"/>
        <v>-283100.01191999996</v>
      </c>
      <c r="T886" s="697" t="s">
        <v>92</v>
      </c>
    </row>
    <row r="887" spans="1:20" x14ac:dyDescent="0.25">
      <c r="A887" s="690"/>
      <c r="B887" s="697" t="s">
        <v>2562</v>
      </c>
      <c r="C887" s="547" t="s">
        <v>40</v>
      </c>
      <c r="D887" s="683">
        <v>44866</v>
      </c>
      <c r="E887" s="547">
        <v>720</v>
      </c>
      <c r="F887" s="547" t="s">
        <v>6</v>
      </c>
      <c r="G887" s="727" t="s">
        <v>44</v>
      </c>
      <c r="H887" s="638">
        <v>1.5</v>
      </c>
      <c r="I887" s="638">
        <v>204.7</v>
      </c>
      <c r="J887" s="639">
        <f t="shared" si="91"/>
        <v>-221076</v>
      </c>
      <c r="K887" s="750">
        <v>55.7</v>
      </c>
      <c r="L887" s="608">
        <f t="shared" si="92"/>
        <v>60156</v>
      </c>
      <c r="M887" s="751">
        <f t="shared" si="93"/>
        <v>-160920</v>
      </c>
      <c r="N887" s="752">
        <v>55.7</v>
      </c>
      <c r="O887" s="609">
        <f t="shared" si="94"/>
        <v>60156</v>
      </c>
      <c r="P887" s="703">
        <f t="shared" si="95"/>
        <v>-160920</v>
      </c>
      <c r="Q887" s="752">
        <v>55.7</v>
      </c>
      <c r="R887" s="609">
        <f t="shared" si="96"/>
        <v>60156</v>
      </c>
      <c r="S887" s="703">
        <f t="shared" si="97"/>
        <v>-160920</v>
      </c>
      <c r="T887" s="697" t="s">
        <v>92</v>
      </c>
    </row>
    <row r="888" spans="1:20" x14ac:dyDescent="0.25">
      <c r="A888" s="690"/>
      <c r="B888" s="697" t="s">
        <v>2564</v>
      </c>
      <c r="C888" s="547" t="s">
        <v>40</v>
      </c>
      <c r="D888" s="683">
        <v>44866</v>
      </c>
      <c r="E888" s="547">
        <v>720</v>
      </c>
      <c r="F888" s="547" t="s">
        <v>6</v>
      </c>
      <c r="G888" s="727" t="s">
        <v>44</v>
      </c>
      <c r="H888" s="638">
        <v>0.62375000000000003</v>
      </c>
      <c r="I888" s="638">
        <v>204.7</v>
      </c>
      <c r="J888" s="639">
        <f t="shared" si="91"/>
        <v>-91930.77</v>
      </c>
      <c r="K888" s="750">
        <v>55.7</v>
      </c>
      <c r="L888" s="608">
        <f t="shared" si="92"/>
        <v>25014.870000000003</v>
      </c>
      <c r="M888" s="751">
        <f t="shared" si="93"/>
        <v>-66915.899999999994</v>
      </c>
      <c r="N888" s="752">
        <v>55.7</v>
      </c>
      <c r="O888" s="609">
        <f t="shared" si="94"/>
        <v>25014.870000000003</v>
      </c>
      <c r="P888" s="703">
        <f t="shared" si="95"/>
        <v>-66915.899999999994</v>
      </c>
      <c r="Q888" s="752">
        <v>55.7</v>
      </c>
      <c r="R888" s="609">
        <f t="shared" si="96"/>
        <v>25014.870000000003</v>
      </c>
      <c r="S888" s="703">
        <f t="shared" si="97"/>
        <v>-66915.899999999994</v>
      </c>
      <c r="T888" s="697" t="s">
        <v>92</v>
      </c>
    </row>
    <row r="889" spans="1:20" x14ac:dyDescent="0.25">
      <c r="A889" s="690"/>
      <c r="B889" s="696" t="s">
        <v>2571</v>
      </c>
      <c r="C889" s="546" t="s">
        <v>40</v>
      </c>
      <c r="D889" s="682">
        <v>45658</v>
      </c>
      <c r="E889" s="546">
        <v>744</v>
      </c>
      <c r="F889" s="546" t="s">
        <v>3</v>
      </c>
      <c r="G889" s="726" t="s">
        <v>11</v>
      </c>
      <c r="H889" s="549">
        <v>35</v>
      </c>
      <c r="I889" s="549">
        <v>130.62395100724254</v>
      </c>
      <c r="J889" s="605">
        <f t="shared" si="91"/>
        <v>-3401447.6842285958</v>
      </c>
      <c r="K889" s="746">
        <v>112</v>
      </c>
      <c r="L889" s="606">
        <f t="shared" si="92"/>
        <v>2916480</v>
      </c>
      <c r="M889" s="747">
        <f t="shared" si="93"/>
        <v>-484967.68422859581</v>
      </c>
      <c r="N889" s="748">
        <v>112</v>
      </c>
      <c r="O889" s="607">
        <f t="shared" si="94"/>
        <v>2916480</v>
      </c>
      <c r="P889" s="702">
        <f t="shared" si="95"/>
        <v>-484967.68422859581</v>
      </c>
      <c r="Q889" s="748">
        <v>112</v>
      </c>
      <c r="R889" s="607">
        <f t="shared" si="96"/>
        <v>2916480</v>
      </c>
      <c r="S889" s="702">
        <f t="shared" si="97"/>
        <v>-484967.68422859581</v>
      </c>
      <c r="T889" s="696" t="s">
        <v>54</v>
      </c>
    </row>
    <row r="890" spans="1:20" x14ac:dyDescent="0.25">
      <c r="A890" s="690"/>
      <c r="B890" s="691" t="s">
        <v>2571</v>
      </c>
      <c r="C890" s="676" t="s">
        <v>40</v>
      </c>
      <c r="D890" s="680">
        <v>45689</v>
      </c>
      <c r="E890" s="676">
        <v>672</v>
      </c>
      <c r="F890" s="676" t="s">
        <v>3</v>
      </c>
      <c r="G890" s="690" t="s">
        <v>11</v>
      </c>
      <c r="H890" s="115">
        <v>35</v>
      </c>
      <c r="I890" s="115">
        <v>130.62395100724254</v>
      </c>
      <c r="J890" s="601">
        <f t="shared" si="91"/>
        <v>-3072275.3276903443</v>
      </c>
      <c r="K890" s="738">
        <v>112</v>
      </c>
      <c r="L890" s="677">
        <f t="shared" si="92"/>
        <v>2634240</v>
      </c>
      <c r="M890" s="739">
        <f t="shared" si="93"/>
        <v>-438035.3276903443</v>
      </c>
      <c r="N890" s="740">
        <v>112</v>
      </c>
      <c r="O890" s="678">
        <f t="shared" si="94"/>
        <v>2634240</v>
      </c>
      <c r="P890" s="700">
        <f t="shared" si="95"/>
        <v>-438035.3276903443</v>
      </c>
      <c r="Q890" s="740">
        <v>112</v>
      </c>
      <c r="R890" s="678">
        <f t="shared" si="96"/>
        <v>2634240</v>
      </c>
      <c r="S890" s="700">
        <f t="shared" si="97"/>
        <v>-438035.3276903443</v>
      </c>
      <c r="T890" s="691" t="s">
        <v>54</v>
      </c>
    </row>
    <row r="891" spans="1:20" x14ac:dyDescent="0.25">
      <c r="A891" s="690"/>
      <c r="B891" s="691" t="s">
        <v>2571</v>
      </c>
      <c r="C891" s="676" t="s">
        <v>40</v>
      </c>
      <c r="D891" s="680">
        <v>45717</v>
      </c>
      <c r="E891" s="676">
        <v>744</v>
      </c>
      <c r="F891" s="676" t="s">
        <v>3</v>
      </c>
      <c r="G891" s="690" t="s">
        <v>11</v>
      </c>
      <c r="H891" s="115">
        <v>35</v>
      </c>
      <c r="I891" s="115">
        <v>130.62395100724254</v>
      </c>
      <c r="J891" s="601">
        <f t="shared" si="91"/>
        <v>-3401447.6842285958</v>
      </c>
      <c r="K891" s="738">
        <v>112</v>
      </c>
      <c r="L891" s="677">
        <f t="shared" si="92"/>
        <v>2916480</v>
      </c>
      <c r="M891" s="739">
        <f t="shared" si="93"/>
        <v>-484967.68422859581</v>
      </c>
      <c r="N891" s="740">
        <v>112</v>
      </c>
      <c r="O891" s="678">
        <f t="shared" si="94"/>
        <v>2916480</v>
      </c>
      <c r="P891" s="700">
        <f t="shared" si="95"/>
        <v>-484967.68422859581</v>
      </c>
      <c r="Q891" s="740">
        <v>112</v>
      </c>
      <c r="R891" s="678">
        <f t="shared" si="96"/>
        <v>2916480</v>
      </c>
      <c r="S891" s="700">
        <f t="shared" si="97"/>
        <v>-484967.68422859581</v>
      </c>
      <c r="T891" s="691" t="s">
        <v>54</v>
      </c>
    </row>
    <row r="892" spans="1:20" x14ac:dyDescent="0.25">
      <c r="A892" s="690"/>
      <c r="B892" s="691" t="s">
        <v>2571</v>
      </c>
      <c r="C892" s="676" t="s">
        <v>40</v>
      </c>
      <c r="D892" s="680">
        <v>45748</v>
      </c>
      <c r="E892" s="676">
        <v>720</v>
      </c>
      <c r="F892" s="676" t="s">
        <v>3</v>
      </c>
      <c r="G892" s="690" t="s">
        <v>11</v>
      </c>
      <c r="H892" s="115">
        <v>35</v>
      </c>
      <c r="I892" s="115">
        <v>130.62395100724254</v>
      </c>
      <c r="J892" s="601">
        <f t="shared" si="91"/>
        <v>-3291723.5653825118</v>
      </c>
      <c r="K892" s="738">
        <v>112</v>
      </c>
      <c r="L892" s="677">
        <f t="shared" si="92"/>
        <v>2822400</v>
      </c>
      <c r="M892" s="739">
        <f t="shared" si="93"/>
        <v>-469323.56538251182</v>
      </c>
      <c r="N892" s="740">
        <v>112</v>
      </c>
      <c r="O892" s="678">
        <f t="shared" si="94"/>
        <v>2822400</v>
      </c>
      <c r="P892" s="700">
        <f t="shared" si="95"/>
        <v>-469323.56538251182</v>
      </c>
      <c r="Q892" s="740">
        <v>112</v>
      </c>
      <c r="R892" s="678">
        <f t="shared" si="96"/>
        <v>2822400</v>
      </c>
      <c r="S892" s="700">
        <f t="shared" si="97"/>
        <v>-469323.56538251182</v>
      </c>
      <c r="T892" s="691" t="s">
        <v>54</v>
      </c>
    </row>
    <row r="893" spans="1:20" x14ac:dyDescent="0.25">
      <c r="A893" s="690"/>
      <c r="B893" s="691" t="s">
        <v>2571</v>
      </c>
      <c r="C893" s="676" t="s">
        <v>40</v>
      </c>
      <c r="D893" s="680">
        <v>45778</v>
      </c>
      <c r="E893" s="676">
        <v>744</v>
      </c>
      <c r="F893" s="676" t="s">
        <v>3</v>
      </c>
      <c r="G893" s="690" t="s">
        <v>11</v>
      </c>
      <c r="H893" s="115">
        <v>35</v>
      </c>
      <c r="I893" s="115">
        <v>130.62395100724254</v>
      </c>
      <c r="J893" s="601">
        <f t="shared" si="91"/>
        <v>-3401447.6842285958</v>
      </c>
      <c r="K893" s="738">
        <v>112</v>
      </c>
      <c r="L893" s="677">
        <f t="shared" si="92"/>
        <v>2916480</v>
      </c>
      <c r="M893" s="739">
        <f t="shared" si="93"/>
        <v>-484967.68422859581</v>
      </c>
      <c r="N893" s="740">
        <v>112</v>
      </c>
      <c r="O893" s="678">
        <f t="shared" si="94"/>
        <v>2916480</v>
      </c>
      <c r="P893" s="700">
        <f t="shared" si="95"/>
        <v>-484967.68422859581</v>
      </c>
      <c r="Q893" s="740">
        <v>112</v>
      </c>
      <c r="R893" s="678">
        <f t="shared" si="96"/>
        <v>2916480</v>
      </c>
      <c r="S893" s="700">
        <f t="shared" si="97"/>
        <v>-484967.68422859581</v>
      </c>
      <c r="T893" s="691" t="s">
        <v>54</v>
      </c>
    </row>
    <row r="894" spans="1:20" x14ac:dyDescent="0.25">
      <c r="A894" s="690"/>
      <c r="B894" s="691" t="s">
        <v>2571</v>
      </c>
      <c r="C894" s="676" t="s">
        <v>40</v>
      </c>
      <c r="D894" s="680">
        <v>45809</v>
      </c>
      <c r="E894" s="676">
        <v>720</v>
      </c>
      <c r="F894" s="676" t="s">
        <v>3</v>
      </c>
      <c r="G894" s="690" t="s">
        <v>11</v>
      </c>
      <c r="H894" s="115">
        <v>35</v>
      </c>
      <c r="I894" s="115">
        <v>130.62395100724254</v>
      </c>
      <c r="J894" s="601">
        <f t="shared" si="91"/>
        <v>-3291723.5653825118</v>
      </c>
      <c r="K894" s="738">
        <v>112</v>
      </c>
      <c r="L894" s="677">
        <f t="shared" si="92"/>
        <v>2822400</v>
      </c>
      <c r="M894" s="739">
        <f t="shared" si="93"/>
        <v>-469323.56538251182</v>
      </c>
      <c r="N894" s="740">
        <v>112</v>
      </c>
      <c r="O894" s="678">
        <f t="shared" si="94"/>
        <v>2822400</v>
      </c>
      <c r="P894" s="700">
        <f t="shared" si="95"/>
        <v>-469323.56538251182</v>
      </c>
      <c r="Q894" s="740">
        <v>112</v>
      </c>
      <c r="R894" s="678">
        <f t="shared" si="96"/>
        <v>2822400</v>
      </c>
      <c r="S894" s="700">
        <f t="shared" si="97"/>
        <v>-469323.56538251182</v>
      </c>
      <c r="T894" s="691" t="s">
        <v>54</v>
      </c>
    </row>
    <row r="895" spans="1:20" x14ac:dyDescent="0.25">
      <c r="A895" s="690"/>
      <c r="B895" s="691" t="s">
        <v>2571</v>
      </c>
      <c r="C895" s="676" t="s">
        <v>40</v>
      </c>
      <c r="D895" s="680">
        <v>45839</v>
      </c>
      <c r="E895" s="676">
        <v>744</v>
      </c>
      <c r="F895" s="676" t="s">
        <v>3</v>
      </c>
      <c r="G895" s="690" t="s">
        <v>11</v>
      </c>
      <c r="H895" s="115">
        <v>35</v>
      </c>
      <c r="I895" s="115">
        <v>130.62395100724254</v>
      </c>
      <c r="J895" s="601">
        <f t="shared" si="91"/>
        <v>-3401447.6842285958</v>
      </c>
      <c r="K895" s="738">
        <v>112</v>
      </c>
      <c r="L895" s="677">
        <f t="shared" si="92"/>
        <v>2916480</v>
      </c>
      <c r="M895" s="739">
        <f t="shared" si="93"/>
        <v>-484967.68422859581</v>
      </c>
      <c r="N895" s="740">
        <v>112</v>
      </c>
      <c r="O895" s="678">
        <f t="shared" si="94"/>
        <v>2916480</v>
      </c>
      <c r="P895" s="700">
        <f t="shared" si="95"/>
        <v>-484967.68422859581</v>
      </c>
      <c r="Q895" s="740">
        <v>112</v>
      </c>
      <c r="R895" s="678">
        <f t="shared" si="96"/>
        <v>2916480</v>
      </c>
      <c r="S895" s="700">
        <f t="shared" si="97"/>
        <v>-484967.68422859581</v>
      </c>
      <c r="T895" s="691" t="s">
        <v>54</v>
      </c>
    </row>
    <row r="896" spans="1:20" x14ac:dyDescent="0.25">
      <c r="A896" s="690"/>
      <c r="B896" s="691" t="s">
        <v>2571</v>
      </c>
      <c r="C896" s="676" t="s">
        <v>40</v>
      </c>
      <c r="D896" s="680">
        <v>45870</v>
      </c>
      <c r="E896" s="676">
        <v>744</v>
      </c>
      <c r="F896" s="676" t="s">
        <v>3</v>
      </c>
      <c r="G896" s="690" t="s">
        <v>11</v>
      </c>
      <c r="H896" s="115">
        <v>35</v>
      </c>
      <c r="I896" s="115">
        <v>130.62395100724254</v>
      </c>
      <c r="J896" s="601">
        <f t="shared" si="91"/>
        <v>-3401447.6842285958</v>
      </c>
      <c r="K896" s="738">
        <v>112</v>
      </c>
      <c r="L896" s="677">
        <f t="shared" si="92"/>
        <v>2916480</v>
      </c>
      <c r="M896" s="739">
        <f t="shared" si="93"/>
        <v>-484967.68422859581</v>
      </c>
      <c r="N896" s="740">
        <v>112</v>
      </c>
      <c r="O896" s="678">
        <f t="shared" si="94"/>
        <v>2916480</v>
      </c>
      <c r="P896" s="700">
        <f t="shared" si="95"/>
        <v>-484967.68422859581</v>
      </c>
      <c r="Q896" s="740">
        <v>112</v>
      </c>
      <c r="R896" s="678">
        <f t="shared" si="96"/>
        <v>2916480</v>
      </c>
      <c r="S896" s="700">
        <f t="shared" si="97"/>
        <v>-484967.68422859581</v>
      </c>
      <c r="T896" s="691" t="s">
        <v>54</v>
      </c>
    </row>
    <row r="897" spans="1:20" x14ac:dyDescent="0.25">
      <c r="A897" s="690"/>
      <c r="B897" s="691" t="s">
        <v>2571</v>
      </c>
      <c r="C897" s="676" t="s">
        <v>40</v>
      </c>
      <c r="D897" s="680">
        <v>45901</v>
      </c>
      <c r="E897" s="676">
        <v>720</v>
      </c>
      <c r="F897" s="676" t="s">
        <v>3</v>
      </c>
      <c r="G897" s="690" t="s">
        <v>11</v>
      </c>
      <c r="H897" s="115">
        <v>35</v>
      </c>
      <c r="I897" s="115">
        <v>130.62395100724254</v>
      </c>
      <c r="J897" s="601">
        <f t="shared" si="91"/>
        <v>-3291723.5653825118</v>
      </c>
      <c r="K897" s="738">
        <v>112</v>
      </c>
      <c r="L897" s="677">
        <f t="shared" si="92"/>
        <v>2822400</v>
      </c>
      <c r="M897" s="739">
        <f t="shared" si="93"/>
        <v>-469323.56538251182</v>
      </c>
      <c r="N897" s="740">
        <v>112</v>
      </c>
      <c r="O897" s="678">
        <f t="shared" si="94"/>
        <v>2822400</v>
      </c>
      <c r="P897" s="700">
        <f t="shared" si="95"/>
        <v>-469323.56538251182</v>
      </c>
      <c r="Q897" s="740">
        <v>112</v>
      </c>
      <c r="R897" s="678">
        <f t="shared" si="96"/>
        <v>2822400</v>
      </c>
      <c r="S897" s="700">
        <f t="shared" si="97"/>
        <v>-469323.56538251182</v>
      </c>
      <c r="T897" s="691" t="s">
        <v>54</v>
      </c>
    </row>
    <row r="898" spans="1:20" x14ac:dyDescent="0.25">
      <c r="A898" s="690"/>
      <c r="B898" s="691" t="s">
        <v>2571</v>
      </c>
      <c r="C898" s="676" t="s">
        <v>40</v>
      </c>
      <c r="D898" s="680">
        <v>45931</v>
      </c>
      <c r="E898" s="676">
        <v>744</v>
      </c>
      <c r="F898" s="676" t="s">
        <v>3</v>
      </c>
      <c r="G898" s="690" t="s">
        <v>11</v>
      </c>
      <c r="H898" s="115">
        <v>35</v>
      </c>
      <c r="I898" s="115">
        <v>130.62395100724254</v>
      </c>
      <c r="J898" s="601">
        <f t="shared" si="91"/>
        <v>-3401447.6842285958</v>
      </c>
      <c r="K898" s="738">
        <v>112</v>
      </c>
      <c r="L898" s="677">
        <f t="shared" si="92"/>
        <v>2916480</v>
      </c>
      <c r="M898" s="739">
        <f t="shared" si="93"/>
        <v>-484967.68422859581</v>
      </c>
      <c r="N898" s="740">
        <v>112</v>
      </c>
      <c r="O898" s="678">
        <f t="shared" si="94"/>
        <v>2916480</v>
      </c>
      <c r="P898" s="700">
        <f t="shared" si="95"/>
        <v>-484967.68422859581</v>
      </c>
      <c r="Q898" s="740">
        <v>112</v>
      </c>
      <c r="R898" s="678">
        <f t="shared" si="96"/>
        <v>2916480</v>
      </c>
      <c r="S898" s="700">
        <f t="shared" si="97"/>
        <v>-484967.68422859581</v>
      </c>
      <c r="T898" s="691" t="s">
        <v>54</v>
      </c>
    </row>
    <row r="899" spans="1:20" x14ac:dyDescent="0.25">
      <c r="A899" s="690"/>
      <c r="B899" s="691" t="s">
        <v>2571</v>
      </c>
      <c r="C899" s="676" t="s">
        <v>40</v>
      </c>
      <c r="D899" s="680">
        <v>45962</v>
      </c>
      <c r="E899" s="676">
        <v>720</v>
      </c>
      <c r="F899" s="676" t="s">
        <v>3</v>
      </c>
      <c r="G899" s="690" t="s">
        <v>11</v>
      </c>
      <c r="H899" s="115">
        <v>35</v>
      </c>
      <c r="I899" s="115">
        <v>130.62395100724254</v>
      </c>
      <c r="J899" s="601">
        <f t="shared" ref="J899:J962" si="98">(I899*(E899*H899))*-1</f>
        <v>-3291723.5653825118</v>
      </c>
      <c r="K899" s="738">
        <v>112</v>
      </c>
      <c r="L899" s="677">
        <f t="shared" ref="L899:L962" si="99">(((E899*H899)*K899))</f>
        <v>2822400</v>
      </c>
      <c r="M899" s="739">
        <f t="shared" ref="M899:M962" si="100">J899+L899</f>
        <v>-469323.56538251182</v>
      </c>
      <c r="N899" s="740">
        <v>112</v>
      </c>
      <c r="O899" s="678">
        <f t="shared" ref="O899:O962" si="101">((E899*H899)*N899)</f>
        <v>2822400</v>
      </c>
      <c r="P899" s="700">
        <f t="shared" ref="P899:P962" si="102">J899+O899</f>
        <v>-469323.56538251182</v>
      </c>
      <c r="Q899" s="740">
        <v>112</v>
      </c>
      <c r="R899" s="678">
        <f t="shared" ref="R899:R962" si="103">((E899*H899)*Q899)</f>
        <v>2822400</v>
      </c>
      <c r="S899" s="700">
        <f t="shared" ref="S899:S962" si="104">J899+R899</f>
        <v>-469323.56538251182</v>
      </c>
      <c r="T899" s="691" t="s">
        <v>54</v>
      </c>
    </row>
    <row r="900" spans="1:20" x14ac:dyDescent="0.25">
      <c r="A900" s="690"/>
      <c r="B900" s="695" t="s">
        <v>2571</v>
      </c>
      <c r="C900" s="545" t="s">
        <v>40</v>
      </c>
      <c r="D900" s="681">
        <v>45992</v>
      </c>
      <c r="E900" s="545">
        <v>744</v>
      </c>
      <c r="F900" s="545" t="s">
        <v>3</v>
      </c>
      <c r="G900" s="725" t="s">
        <v>11</v>
      </c>
      <c r="H900" s="548">
        <v>35</v>
      </c>
      <c r="I900" s="548">
        <v>130.62395100724254</v>
      </c>
      <c r="J900" s="602">
        <f t="shared" si="98"/>
        <v>-3401447.6842285958</v>
      </c>
      <c r="K900" s="742">
        <v>112</v>
      </c>
      <c r="L900" s="603">
        <f t="shared" si="99"/>
        <v>2916480</v>
      </c>
      <c r="M900" s="743">
        <f t="shared" si="100"/>
        <v>-484967.68422859581</v>
      </c>
      <c r="N900" s="744">
        <v>112</v>
      </c>
      <c r="O900" s="604">
        <f t="shared" si="101"/>
        <v>2916480</v>
      </c>
      <c r="P900" s="701">
        <f t="shared" si="102"/>
        <v>-484967.68422859581</v>
      </c>
      <c r="Q900" s="744">
        <v>112</v>
      </c>
      <c r="R900" s="604">
        <f t="shared" si="103"/>
        <v>2916480</v>
      </c>
      <c r="S900" s="701">
        <f t="shared" si="104"/>
        <v>-484967.68422859581</v>
      </c>
      <c r="T900" s="695" t="s">
        <v>54</v>
      </c>
    </row>
    <row r="901" spans="1:20" x14ac:dyDescent="0.25">
      <c r="A901" s="690"/>
      <c r="B901" s="696" t="s">
        <v>2594</v>
      </c>
      <c r="C901" s="546" t="s">
        <v>40</v>
      </c>
      <c r="D901" s="682">
        <v>45017</v>
      </c>
      <c r="E901" s="546">
        <v>720</v>
      </c>
      <c r="F901" s="546" t="s">
        <v>3</v>
      </c>
      <c r="G901" s="726" t="s">
        <v>44</v>
      </c>
      <c r="H901" s="549">
        <v>20</v>
      </c>
      <c r="I901" s="549">
        <v>73</v>
      </c>
      <c r="J901" s="605">
        <f t="shared" si="98"/>
        <v>-1051200</v>
      </c>
      <c r="K901" s="746">
        <v>69.8</v>
      </c>
      <c r="L901" s="606">
        <f t="shared" si="99"/>
        <v>1005120</v>
      </c>
      <c r="M901" s="747">
        <f t="shared" si="100"/>
        <v>-46080</v>
      </c>
      <c r="N901" s="748">
        <v>55.7</v>
      </c>
      <c r="O901" s="607">
        <f t="shared" si="101"/>
        <v>802080</v>
      </c>
      <c r="P901" s="702">
        <f t="shared" si="102"/>
        <v>-249120</v>
      </c>
      <c r="Q901" s="748">
        <v>85.732008718771311</v>
      </c>
      <c r="R901" s="607">
        <f t="shared" si="103"/>
        <v>1234540.9255503069</v>
      </c>
      <c r="S901" s="702">
        <f t="shared" si="104"/>
        <v>183340.92555030691</v>
      </c>
      <c r="T901" s="696" t="s">
        <v>54</v>
      </c>
    </row>
    <row r="902" spans="1:20" x14ac:dyDescent="0.25">
      <c r="A902" s="690"/>
      <c r="B902" s="695" t="s">
        <v>2594</v>
      </c>
      <c r="C902" s="545" t="s">
        <v>40</v>
      </c>
      <c r="D902" s="681">
        <v>45047</v>
      </c>
      <c r="E902" s="545">
        <v>744</v>
      </c>
      <c r="F902" s="545" t="s">
        <v>3</v>
      </c>
      <c r="G902" s="725" t="s">
        <v>44</v>
      </c>
      <c r="H902" s="548">
        <v>20</v>
      </c>
      <c r="I902" s="548">
        <v>73</v>
      </c>
      <c r="J902" s="602">
        <f t="shared" si="98"/>
        <v>-1086240</v>
      </c>
      <c r="K902" s="742">
        <v>70.2</v>
      </c>
      <c r="L902" s="603">
        <f t="shared" si="99"/>
        <v>1044576</v>
      </c>
      <c r="M902" s="743">
        <f t="shared" si="100"/>
        <v>-41664</v>
      </c>
      <c r="N902" s="744">
        <v>55.7</v>
      </c>
      <c r="O902" s="604">
        <f t="shared" si="101"/>
        <v>828816</v>
      </c>
      <c r="P902" s="701">
        <f t="shared" si="102"/>
        <v>-257424</v>
      </c>
      <c r="Q902" s="744">
        <v>86.223309628334476</v>
      </c>
      <c r="R902" s="604">
        <f t="shared" si="103"/>
        <v>1283002.847269617</v>
      </c>
      <c r="S902" s="701">
        <f t="shared" si="104"/>
        <v>196762.84726961702</v>
      </c>
      <c r="T902" s="695" t="s">
        <v>54</v>
      </c>
    </row>
    <row r="903" spans="1:20" x14ac:dyDescent="0.25">
      <c r="A903" s="690"/>
      <c r="B903" s="697" t="s">
        <v>2596</v>
      </c>
      <c r="C903" s="547" t="s">
        <v>40</v>
      </c>
      <c r="D903" s="683">
        <v>44958</v>
      </c>
      <c r="E903" s="547">
        <v>672</v>
      </c>
      <c r="F903" s="547" t="s">
        <v>3</v>
      </c>
      <c r="G903" s="727" t="s">
        <v>44</v>
      </c>
      <c r="H903" s="638">
        <v>20</v>
      </c>
      <c r="I903" s="638">
        <v>71</v>
      </c>
      <c r="J903" s="639">
        <f t="shared" si="98"/>
        <v>-954240</v>
      </c>
      <c r="K903" s="750">
        <v>69.25</v>
      </c>
      <c r="L903" s="608">
        <f t="shared" si="99"/>
        <v>930720</v>
      </c>
      <c r="M903" s="751">
        <f t="shared" si="100"/>
        <v>-23520</v>
      </c>
      <c r="N903" s="752">
        <v>55.7</v>
      </c>
      <c r="O903" s="609">
        <f t="shared" si="101"/>
        <v>748608</v>
      </c>
      <c r="P903" s="703">
        <f t="shared" si="102"/>
        <v>-205632</v>
      </c>
      <c r="Q903" s="752">
        <v>92.430648861364247</v>
      </c>
      <c r="R903" s="609">
        <f t="shared" si="103"/>
        <v>1242267.9206967354</v>
      </c>
      <c r="S903" s="703">
        <f t="shared" si="104"/>
        <v>288027.92069673538</v>
      </c>
      <c r="T903" s="697" t="s">
        <v>54</v>
      </c>
    </row>
    <row r="904" spans="1:20" x14ac:dyDescent="0.25">
      <c r="A904" s="690"/>
      <c r="B904" s="697" t="s">
        <v>2598</v>
      </c>
      <c r="C904" s="547" t="s">
        <v>40</v>
      </c>
      <c r="D904" s="683">
        <v>44958</v>
      </c>
      <c r="E904" s="547">
        <v>672</v>
      </c>
      <c r="F904" s="547" t="s">
        <v>3</v>
      </c>
      <c r="G904" s="727" t="s">
        <v>44</v>
      </c>
      <c r="H904" s="638">
        <v>1</v>
      </c>
      <c r="I904" s="638">
        <v>71</v>
      </c>
      <c r="J904" s="639">
        <f t="shared" si="98"/>
        <v>-47712</v>
      </c>
      <c r="K904" s="750">
        <v>69.25</v>
      </c>
      <c r="L904" s="608">
        <f t="shared" si="99"/>
        <v>46536</v>
      </c>
      <c r="M904" s="751">
        <f t="shared" si="100"/>
        <v>-1176</v>
      </c>
      <c r="N904" s="752">
        <v>55.7</v>
      </c>
      <c r="O904" s="609">
        <f t="shared" si="101"/>
        <v>37430.400000000001</v>
      </c>
      <c r="P904" s="703">
        <f t="shared" si="102"/>
        <v>-10281.599999999999</v>
      </c>
      <c r="Q904" s="752">
        <v>92.430648861364247</v>
      </c>
      <c r="R904" s="609">
        <f t="shared" si="103"/>
        <v>62113.396034836776</v>
      </c>
      <c r="S904" s="703">
        <f t="shared" si="104"/>
        <v>14401.396034836776</v>
      </c>
      <c r="T904" s="697" t="s">
        <v>54</v>
      </c>
    </row>
    <row r="905" spans="1:20" x14ac:dyDescent="0.25">
      <c r="A905" s="690"/>
      <c r="B905" s="697" t="s">
        <v>2600</v>
      </c>
      <c r="C905" s="547" t="s">
        <v>40</v>
      </c>
      <c r="D905" s="683">
        <v>45017</v>
      </c>
      <c r="E905" s="547">
        <v>720</v>
      </c>
      <c r="F905" s="547" t="s">
        <v>3</v>
      </c>
      <c r="G905" s="727" t="s">
        <v>44</v>
      </c>
      <c r="H905" s="638">
        <v>2</v>
      </c>
      <c r="I905" s="638">
        <v>73</v>
      </c>
      <c r="J905" s="639">
        <f t="shared" si="98"/>
        <v>-105120</v>
      </c>
      <c r="K905" s="750">
        <v>69.8</v>
      </c>
      <c r="L905" s="608">
        <f t="shared" si="99"/>
        <v>100512</v>
      </c>
      <c r="M905" s="751">
        <f t="shared" si="100"/>
        <v>-4608</v>
      </c>
      <c r="N905" s="752">
        <v>55.7</v>
      </c>
      <c r="O905" s="609">
        <f t="shared" si="101"/>
        <v>80208</v>
      </c>
      <c r="P905" s="703">
        <f t="shared" si="102"/>
        <v>-24912</v>
      </c>
      <c r="Q905" s="752">
        <v>85.732008718771311</v>
      </c>
      <c r="R905" s="609">
        <f t="shared" si="103"/>
        <v>123454.09255503069</v>
      </c>
      <c r="S905" s="703">
        <f t="shared" si="104"/>
        <v>18334.092555030686</v>
      </c>
      <c r="T905" s="697" t="s">
        <v>54</v>
      </c>
    </row>
    <row r="906" spans="1:20" x14ac:dyDescent="0.25">
      <c r="A906" s="690"/>
      <c r="B906" s="696" t="s">
        <v>2602</v>
      </c>
      <c r="C906" s="546" t="s">
        <v>40</v>
      </c>
      <c r="D906" s="682">
        <v>45108</v>
      </c>
      <c r="E906" s="546">
        <v>744</v>
      </c>
      <c r="F906" s="546" t="s">
        <v>3</v>
      </c>
      <c r="G906" s="726" t="s">
        <v>44</v>
      </c>
      <c r="H906" s="549">
        <v>10</v>
      </c>
      <c r="I906" s="549">
        <v>93</v>
      </c>
      <c r="J906" s="605">
        <f t="shared" si="98"/>
        <v>-691920</v>
      </c>
      <c r="K906" s="746">
        <v>77.150000000000006</v>
      </c>
      <c r="L906" s="606">
        <f t="shared" si="99"/>
        <v>573996</v>
      </c>
      <c r="M906" s="747">
        <f t="shared" si="100"/>
        <v>-117924</v>
      </c>
      <c r="N906" s="748">
        <v>59.54033706800562</v>
      </c>
      <c r="O906" s="607">
        <f t="shared" si="101"/>
        <v>442980.10778596182</v>
      </c>
      <c r="P906" s="702">
        <f t="shared" si="102"/>
        <v>-248939.89221403818</v>
      </c>
      <c r="Q906" s="748">
        <v>94.759662931994384</v>
      </c>
      <c r="R906" s="607">
        <f t="shared" si="103"/>
        <v>705011.89221403818</v>
      </c>
      <c r="S906" s="702">
        <f t="shared" si="104"/>
        <v>13091.892214038176</v>
      </c>
      <c r="T906" s="696" t="s">
        <v>54</v>
      </c>
    </row>
    <row r="907" spans="1:20" x14ac:dyDescent="0.25">
      <c r="A907" s="690"/>
      <c r="B907" s="691" t="s">
        <v>2602</v>
      </c>
      <c r="C907" s="676" t="s">
        <v>40</v>
      </c>
      <c r="D907" s="680">
        <v>45139</v>
      </c>
      <c r="E907" s="676">
        <v>744</v>
      </c>
      <c r="F907" s="676" t="s">
        <v>3</v>
      </c>
      <c r="G907" s="690" t="s">
        <v>44</v>
      </c>
      <c r="H907" s="115">
        <v>10</v>
      </c>
      <c r="I907" s="115">
        <v>93</v>
      </c>
      <c r="J907" s="601">
        <f t="shared" si="98"/>
        <v>-691920</v>
      </c>
      <c r="K907" s="738">
        <v>77.150000000000006</v>
      </c>
      <c r="L907" s="677">
        <f t="shared" si="99"/>
        <v>573996</v>
      </c>
      <c r="M907" s="739">
        <f t="shared" si="100"/>
        <v>-117924</v>
      </c>
      <c r="N907" s="740">
        <v>59.54033706800562</v>
      </c>
      <c r="O907" s="678">
        <f t="shared" si="101"/>
        <v>442980.10778596182</v>
      </c>
      <c r="P907" s="700">
        <f t="shared" si="102"/>
        <v>-248939.89221403818</v>
      </c>
      <c r="Q907" s="740">
        <v>94.759662931994384</v>
      </c>
      <c r="R907" s="678">
        <f t="shared" si="103"/>
        <v>705011.89221403818</v>
      </c>
      <c r="S907" s="700">
        <f t="shared" si="104"/>
        <v>13091.892214038176</v>
      </c>
      <c r="T907" s="691" t="s">
        <v>54</v>
      </c>
    </row>
    <row r="908" spans="1:20" x14ac:dyDescent="0.25">
      <c r="A908" s="690"/>
      <c r="B908" s="695" t="s">
        <v>2602</v>
      </c>
      <c r="C908" s="545" t="s">
        <v>40</v>
      </c>
      <c r="D908" s="681">
        <v>45170</v>
      </c>
      <c r="E908" s="545">
        <v>720</v>
      </c>
      <c r="F908" s="545" t="s">
        <v>3</v>
      </c>
      <c r="G908" s="725" t="s">
        <v>44</v>
      </c>
      <c r="H908" s="548">
        <v>10</v>
      </c>
      <c r="I908" s="548">
        <v>93</v>
      </c>
      <c r="J908" s="602">
        <f t="shared" si="98"/>
        <v>-669600</v>
      </c>
      <c r="K908" s="742">
        <v>77.150000000000006</v>
      </c>
      <c r="L908" s="603">
        <f t="shared" si="99"/>
        <v>555480</v>
      </c>
      <c r="M908" s="743">
        <f t="shared" si="100"/>
        <v>-114120</v>
      </c>
      <c r="N908" s="744">
        <v>59.54033706800562</v>
      </c>
      <c r="O908" s="604">
        <f t="shared" si="101"/>
        <v>428690.42688964045</v>
      </c>
      <c r="P908" s="701">
        <f t="shared" si="102"/>
        <v>-240909.57311035955</v>
      </c>
      <c r="Q908" s="744">
        <v>94.759662931994384</v>
      </c>
      <c r="R908" s="604">
        <f t="shared" si="103"/>
        <v>682269.5731103596</v>
      </c>
      <c r="S908" s="701">
        <f t="shared" si="104"/>
        <v>12669.573110359604</v>
      </c>
      <c r="T908" s="695" t="s">
        <v>54</v>
      </c>
    </row>
    <row r="909" spans="1:20" x14ac:dyDescent="0.25">
      <c r="A909" s="690"/>
      <c r="B909" s="696" t="s">
        <v>2604</v>
      </c>
      <c r="C909" s="546" t="s">
        <v>40</v>
      </c>
      <c r="D909" s="682">
        <v>45108</v>
      </c>
      <c r="E909" s="546">
        <v>744</v>
      </c>
      <c r="F909" s="546" t="s">
        <v>3</v>
      </c>
      <c r="G909" s="726" t="s">
        <v>44</v>
      </c>
      <c r="H909" s="549">
        <v>20</v>
      </c>
      <c r="I909" s="549">
        <v>93</v>
      </c>
      <c r="J909" s="605">
        <f t="shared" si="98"/>
        <v>-1383840</v>
      </c>
      <c r="K909" s="746">
        <v>77.150000000000006</v>
      </c>
      <c r="L909" s="606">
        <f t="shared" si="99"/>
        <v>1147992</v>
      </c>
      <c r="M909" s="747">
        <f t="shared" si="100"/>
        <v>-235848</v>
      </c>
      <c r="N909" s="748">
        <v>59.54033706800562</v>
      </c>
      <c r="O909" s="607">
        <f t="shared" si="101"/>
        <v>885960.21557192365</v>
      </c>
      <c r="P909" s="702">
        <f t="shared" si="102"/>
        <v>-497879.78442807635</v>
      </c>
      <c r="Q909" s="748">
        <v>94.759662931994384</v>
      </c>
      <c r="R909" s="607">
        <f t="shared" si="103"/>
        <v>1410023.7844280764</v>
      </c>
      <c r="S909" s="702">
        <f t="shared" si="104"/>
        <v>26183.784428076353</v>
      </c>
      <c r="T909" s="696" t="s">
        <v>54</v>
      </c>
    </row>
    <row r="910" spans="1:20" x14ac:dyDescent="0.25">
      <c r="A910" s="690"/>
      <c r="B910" s="691" t="s">
        <v>2604</v>
      </c>
      <c r="C910" s="676" t="s">
        <v>40</v>
      </c>
      <c r="D910" s="680">
        <v>45139</v>
      </c>
      <c r="E910" s="676">
        <v>744</v>
      </c>
      <c r="F910" s="676" t="s">
        <v>3</v>
      </c>
      <c r="G910" s="690" t="s">
        <v>44</v>
      </c>
      <c r="H910" s="115">
        <v>20</v>
      </c>
      <c r="I910" s="115">
        <v>93</v>
      </c>
      <c r="J910" s="601">
        <f t="shared" si="98"/>
        <v>-1383840</v>
      </c>
      <c r="K910" s="738">
        <v>77.150000000000006</v>
      </c>
      <c r="L910" s="677">
        <f t="shared" si="99"/>
        <v>1147992</v>
      </c>
      <c r="M910" s="739">
        <f t="shared" si="100"/>
        <v>-235848</v>
      </c>
      <c r="N910" s="740">
        <v>59.54033706800562</v>
      </c>
      <c r="O910" s="678">
        <f t="shared" si="101"/>
        <v>885960.21557192365</v>
      </c>
      <c r="P910" s="700">
        <f t="shared" si="102"/>
        <v>-497879.78442807635</v>
      </c>
      <c r="Q910" s="740">
        <v>94.759662931994384</v>
      </c>
      <c r="R910" s="678">
        <f t="shared" si="103"/>
        <v>1410023.7844280764</v>
      </c>
      <c r="S910" s="700">
        <f t="shared" si="104"/>
        <v>26183.784428076353</v>
      </c>
      <c r="T910" s="691" t="s">
        <v>54</v>
      </c>
    </row>
    <row r="911" spans="1:20" x14ac:dyDescent="0.25">
      <c r="A911" s="690"/>
      <c r="B911" s="691" t="s">
        <v>2604</v>
      </c>
      <c r="C911" s="676" t="s">
        <v>40</v>
      </c>
      <c r="D911" s="680">
        <v>45170</v>
      </c>
      <c r="E911" s="676">
        <v>720</v>
      </c>
      <c r="F911" s="676" t="s">
        <v>3</v>
      </c>
      <c r="G911" s="690" t="s">
        <v>44</v>
      </c>
      <c r="H911" s="115">
        <v>20</v>
      </c>
      <c r="I911" s="115">
        <v>93</v>
      </c>
      <c r="J911" s="601">
        <f t="shared" si="98"/>
        <v>-1339200</v>
      </c>
      <c r="K911" s="738">
        <v>77.150000000000006</v>
      </c>
      <c r="L911" s="677">
        <f t="shared" si="99"/>
        <v>1110960</v>
      </c>
      <c r="M911" s="739">
        <f t="shared" si="100"/>
        <v>-228240</v>
      </c>
      <c r="N911" s="740">
        <v>59.54033706800562</v>
      </c>
      <c r="O911" s="678">
        <f t="shared" si="101"/>
        <v>857380.85377928091</v>
      </c>
      <c r="P911" s="700">
        <f t="shared" si="102"/>
        <v>-481819.14622071909</v>
      </c>
      <c r="Q911" s="740">
        <v>94.759662931994384</v>
      </c>
      <c r="R911" s="678">
        <f t="shared" si="103"/>
        <v>1364539.1462207192</v>
      </c>
      <c r="S911" s="700">
        <f t="shared" si="104"/>
        <v>25339.146220719209</v>
      </c>
      <c r="T911" s="691" t="s">
        <v>54</v>
      </c>
    </row>
    <row r="912" spans="1:20" x14ac:dyDescent="0.25">
      <c r="A912" s="690"/>
      <c r="B912" s="691" t="s">
        <v>2604</v>
      </c>
      <c r="C912" s="676" t="s">
        <v>40</v>
      </c>
      <c r="D912" s="680">
        <v>45200</v>
      </c>
      <c r="E912" s="676">
        <v>744</v>
      </c>
      <c r="F912" s="676" t="s">
        <v>3</v>
      </c>
      <c r="G912" s="690" t="s">
        <v>44</v>
      </c>
      <c r="H912" s="115">
        <v>20</v>
      </c>
      <c r="I912" s="115">
        <v>93</v>
      </c>
      <c r="J912" s="601">
        <f t="shared" si="98"/>
        <v>-1383840</v>
      </c>
      <c r="K912" s="738">
        <v>80.45</v>
      </c>
      <c r="L912" s="677">
        <f t="shared" si="99"/>
        <v>1197096</v>
      </c>
      <c r="M912" s="739">
        <f t="shared" si="100"/>
        <v>-186744</v>
      </c>
      <c r="N912" s="740">
        <v>62.087104564109552</v>
      </c>
      <c r="O912" s="678">
        <f t="shared" si="101"/>
        <v>923856.11591395014</v>
      </c>
      <c r="P912" s="700">
        <f t="shared" si="102"/>
        <v>-459983.88408604986</v>
      </c>
      <c r="Q912" s="740">
        <v>98.812895435890439</v>
      </c>
      <c r="R912" s="678">
        <f t="shared" si="103"/>
        <v>1470335.8840860496</v>
      </c>
      <c r="S912" s="700">
        <f t="shared" si="104"/>
        <v>86495.884086049628</v>
      </c>
      <c r="T912" s="691" t="s">
        <v>54</v>
      </c>
    </row>
    <row r="913" spans="1:20" x14ac:dyDescent="0.25">
      <c r="A913" s="690"/>
      <c r="B913" s="691" t="s">
        <v>2604</v>
      </c>
      <c r="C913" s="676" t="s">
        <v>40</v>
      </c>
      <c r="D913" s="680">
        <v>45231</v>
      </c>
      <c r="E913" s="676">
        <v>720</v>
      </c>
      <c r="F913" s="676" t="s">
        <v>3</v>
      </c>
      <c r="G913" s="690" t="s">
        <v>44</v>
      </c>
      <c r="H913" s="115">
        <v>20</v>
      </c>
      <c r="I913" s="115">
        <v>93</v>
      </c>
      <c r="J913" s="601">
        <f t="shared" si="98"/>
        <v>-1339200</v>
      </c>
      <c r="K913" s="738">
        <v>80.45</v>
      </c>
      <c r="L913" s="677">
        <f t="shared" si="99"/>
        <v>1158480</v>
      </c>
      <c r="M913" s="739">
        <f t="shared" si="100"/>
        <v>-180720</v>
      </c>
      <c r="N913" s="740">
        <v>62.087104564109552</v>
      </c>
      <c r="O913" s="678">
        <f t="shared" si="101"/>
        <v>894054.3057231775</v>
      </c>
      <c r="P913" s="700">
        <f t="shared" si="102"/>
        <v>-445145.6942768225</v>
      </c>
      <c r="Q913" s="740">
        <v>98.812895435890439</v>
      </c>
      <c r="R913" s="678">
        <f t="shared" si="103"/>
        <v>1422905.6942768223</v>
      </c>
      <c r="S913" s="700">
        <f t="shared" si="104"/>
        <v>83705.694276822265</v>
      </c>
      <c r="T913" s="691" t="s">
        <v>54</v>
      </c>
    </row>
    <row r="914" spans="1:20" x14ac:dyDescent="0.25">
      <c r="A914" s="690"/>
      <c r="B914" s="695" t="s">
        <v>2604</v>
      </c>
      <c r="C914" s="545" t="s">
        <v>40</v>
      </c>
      <c r="D914" s="681">
        <v>45261</v>
      </c>
      <c r="E914" s="545">
        <v>744</v>
      </c>
      <c r="F914" s="545" t="s">
        <v>3</v>
      </c>
      <c r="G914" s="725" t="s">
        <v>44</v>
      </c>
      <c r="H914" s="548">
        <v>20</v>
      </c>
      <c r="I914" s="548">
        <v>93</v>
      </c>
      <c r="J914" s="602">
        <f t="shared" si="98"/>
        <v>-1383840</v>
      </c>
      <c r="K914" s="742">
        <v>80.45</v>
      </c>
      <c r="L914" s="603">
        <f t="shared" si="99"/>
        <v>1197096</v>
      </c>
      <c r="M914" s="743">
        <f t="shared" si="100"/>
        <v>-186744</v>
      </c>
      <c r="N914" s="744">
        <v>62.087104564109552</v>
      </c>
      <c r="O914" s="604">
        <f t="shared" si="101"/>
        <v>923856.11591395014</v>
      </c>
      <c r="P914" s="701">
        <f t="shared" si="102"/>
        <v>-459983.88408604986</v>
      </c>
      <c r="Q914" s="744">
        <v>98.812895435890439</v>
      </c>
      <c r="R914" s="604">
        <f t="shared" si="103"/>
        <v>1470335.8840860496</v>
      </c>
      <c r="S914" s="701">
        <f t="shared" si="104"/>
        <v>86495.884086049628</v>
      </c>
      <c r="T914" s="695" t="s">
        <v>54</v>
      </c>
    </row>
    <row r="915" spans="1:20" x14ac:dyDescent="0.25">
      <c r="A915" s="690"/>
      <c r="B915" s="697" t="s">
        <v>2606</v>
      </c>
      <c r="C915" s="547" t="s">
        <v>40</v>
      </c>
      <c r="D915" s="683">
        <v>45017</v>
      </c>
      <c r="E915" s="547">
        <v>720</v>
      </c>
      <c r="F915" s="547" t="s">
        <v>3</v>
      </c>
      <c r="G915" s="727" t="s">
        <v>44</v>
      </c>
      <c r="H915" s="638">
        <v>20</v>
      </c>
      <c r="I915" s="638">
        <v>73</v>
      </c>
      <c r="J915" s="639">
        <f t="shared" si="98"/>
        <v>-1051200</v>
      </c>
      <c r="K915" s="750">
        <v>69.8</v>
      </c>
      <c r="L915" s="608">
        <f t="shared" si="99"/>
        <v>1005120</v>
      </c>
      <c r="M915" s="751">
        <f t="shared" si="100"/>
        <v>-46080</v>
      </c>
      <c r="N915" s="752">
        <v>55.7</v>
      </c>
      <c r="O915" s="609">
        <f t="shared" si="101"/>
        <v>802080</v>
      </c>
      <c r="P915" s="703">
        <f t="shared" si="102"/>
        <v>-249120</v>
      </c>
      <c r="Q915" s="752">
        <v>85.732008718771311</v>
      </c>
      <c r="R915" s="609">
        <f t="shared" si="103"/>
        <v>1234540.9255503069</v>
      </c>
      <c r="S915" s="703">
        <f t="shared" si="104"/>
        <v>183340.92555030691</v>
      </c>
      <c r="T915" s="697" t="s">
        <v>54</v>
      </c>
    </row>
    <row r="916" spans="1:20" x14ac:dyDescent="0.25">
      <c r="A916" s="690"/>
      <c r="B916" s="696" t="s">
        <v>2615</v>
      </c>
      <c r="C916" s="546" t="s">
        <v>40</v>
      </c>
      <c r="D916" s="682">
        <v>45108</v>
      </c>
      <c r="E916" s="546">
        <v>744</v>
      </c>
      <c r="F916" s="546" t="s">
        <v>3</v>
      </c>
      <c r="G916" s="726" t="s">
        <v>44</v>
      </c>
      <c r="H916" s="549">
        <v>-10</v>
      </c>
      <c r="I916" s="549">
        <v>92</v>
      </c>
      <c r="J916" s="605">
        <f t="shared" si="98"/>
        <v>684480</v>
      </c>
      <c r="K916" s="746">
        <v>77.150000000000006</v>
      </c>
      <c r="L916" s="606">
        <f t="shared" si="99"/>
        <v>-573996</v>
      </c>
      <c r="M916" s="747">
        <f t="shared" si="100"/>
        <v>110484</v>
      </c>
      <c r="N916" s="748">
        <v>59.54033706800562</v>
      </c>
      <c r="O916" s="607">
        <f t="shared" si="101"/>
        <v>-442980.10778596182</v>
      </c>
      <c r="P916" s="702">
        <f t="shared" si="102"/>
        <v>241499.89221403818</v>
      </c>
      <c r="Q916" s="748">
        <v>94.759662931994384</v>
      </c>
      <c r="R916" s="607">
        <f t="shared" si="103"/>
        <v>-705011.89221403818</v>
      </c>
      <c r="S916" s="702">
        <f t="shared" si="104"/>
        <v>-20531.892214038176</v>
      </c>
      <c r="T916" s="696" t="s">
        <v>54</v>
      </c>
    </row>
    <row r="917" spans="1:20" x14ac:dyDescent="0.25">
      <c r="A917" s="690"/>
      <c r="B917" s="691" t="s">
        <v>2615</v>
      </c>
      <c r="C917" s="676" t="s">
        <v>40</v>
      </c>
      <c r="D917" s="680">
        <v>45139</v>
      </c>
      <c r="E917" s="676">
        <v>744</v>
      </c>
      <c r="F917" s="676" t="s">
        <v>3</v>
      </c>
      <c r="G917" s="690" t="s">
        <v>44</v>
      </c>
      <c r="H917" s="115">
        <v>-10</v>
      </c>
      <c r="I917" s="115">
        <v>92</v>
      </c>
      <c r="J917" s="601">
        <f t="shared" si="98"/>
        <v>684480</v>
      </c>
      <c r="K917" s="738">
        <v>77.150000000000006</v>
      </c>
      <c r="L917" s="677">
        <f t="shared" si="99"/>
        <v>-573996</v>
      </c>
      <c r="M917" s="739">
        <f t="shared" si="100"/>
        <v>110484</v>
      </c>
      <c r="N917" s="740">
        <v>59.54033706800562</v>
      </c>
      <c r="O917" s="678">
        <f t="shared" si="101"/>
        <v>-442980.10778596182</v>
      </c>
      <c r="P917" s="700">
        <f t="shared" si="102"/>
        <v>241499.89221403818</v>
      </c>
      <c r="Q917" s="740">
        <v>94.759662931994384</v>
      </c>
      <c r="R917" s="678">
        <f t="shared" si="103"/>
        <v>-705011.89221403818</v>
      </c>
      <c r="S917" s="700">
        <f t="shared" si="104"/>
        <v>-20531.892214038176</v>
      </c>
      <c r="T917" s="691" t="s">
        <v>54</v>
      </c>
    </row>
    <row r="918" spans="1:20" x14ac:dyDescent="0.25">
      <c r="A918" s="690"/>
      <c r="B918" s="691" t="s">
        <v>2615</v>
      </c>
      <c r="C918" s="676" t="s">
        <v>40</v>
      </c>
      <c r="D918" s="680">
        <v>45170</v>
      </c>
      <c r="E918" s="676">
        <v>720</v>
      </c>
      <c r="F918" s="676" t="s">
        <v>3</v>
      </c>
      <c r="G918" s="690" t="s">
        <v>44</v>
      </c>
      <c r="H918" s="115">
        <v>-10</v>
      </c>
      <c r="I918" s="115">
        <v>92</v>
      </c>
      <c r="J918" s="601">
        <f t="shared" si="98"/>
        <v>662400</v>
      </c>
      <c r="K918" s="738">
        <v>77.150000000000006</v>
      </c>
      <c r="L918" s="677">
        <f t="shared" si="99"/>
        <v>-555480</v>
      </c>
      <c r="M918" s="739">
        <f t="shared" si="100"/>
        <v>106920</v>
      </c>
      <c r="N918" s="740">
        <v>59.54033706800562</v>
      </c>
      <c r="O918" s="678">
        <f t="shared" si="101"/>
        <v>-428690.42688964045</v>
      </c>
      <c r="P918" s="700">
        <f t="shared" si="102"/>
        <v>233709.57311035955</v>
      </c>
      <c r="Q918" s="740">
        <v>94.759662931994384</v>
      </c>
      <c r="R918" s="678">
        <f t="shared" si="103"/>
        <v>-682269.5731103596</v>
      </c>
      <c r="S918" s="700">
        <f t="shared" si="104"/>
        <v>-19869.573110359604</v>
      </c>
      <c r="T918" s="691" t="s">
        <v>54</v>
      </c>
    </row>
    <row r="919" spans="1:20" x14ac:dyDescent="0.25">
      <c r="A919" s="690"/>
      <c r="B919" s="691" t="s">
        <v>2615</v>
      </c>
      <c r="C919" s="676" t="s">
        <v>40</v>
      </c>
      <c r="D919" s="680">
        <v>45200</v>
      </c>
      <c r="E919" s="676">
        <v>744</v>
      </c>
      <c r="F919" s="676" t="s">
        <v>3</v>
      </c>
      <c r="G919" s="690" t="s">
        <v>44</v>
      </c>
      <c r="H919" s="115">
        <v>-10</v>
      </c>
      <c r="I919" s="115">
        <v>92</v>
      </c>
      <c r="J919" s="601">
        <f t="shared" si="98"/>
        <v>684480</v>
      </c>
      <c r="K919" s="738">
        <v>80.45</v>
      </c>
      <c r="L919" s="677">
        <f t="shared" si="99"/>
        <v>-598548</v>
      </c>
      <c r="M919" s="739">
        <f t="shared" si="100"/>
        <v>85932</v>
      </c>
      <c r="N919" s="740">
        <v>62.087104564109552</v>
      </c>
      <c r="O919" s="678">
        <f t="shared" si="101"/>
        <v>-461928.05795697507</v>
      </c>
      <c r="P919" s="700">
        <f t="shared" si="102"/>
        <v>222551.94204302493</v>
      </c>
      <c r="Q919" s="740">
        <v>98.812895435890439</v>
      </c>
      <c r="R919" s="678">
        <f t="shared" si="103"/>
        <v>-735167.94204302481</v>
      </c>
      <c r="S919" s="700">
        <f t="shared" si="104"/>
        <v>-50687.942043024814</v>
      </c>
      <c r="T919" s="691" t="s">
        <v>54</v>
      </c>
    </row>
    <row r="920" spans="1:20" x14ac:dyDescent="0.25">
      <c r="A920" s="690"/>
      <c r="B920" s="691" t="s">
        <v>2615</v>
      </c>
      <c r="C920" s="676" t="s">
        <v>40</v>
      </c>
      <c r="D920" s="680">
        <v>45231</v>
      </c>
      <c r="E920" s="676">
        <v>720</v>
      </c>
      <c r="F920" s="676" t="s">
        <v>3</v>
      </c>
      <c r="G920" s="690" t="s">
        <v>44</v>
      </c>
      <c r="H920" s="115">
        <v>-10</v>
      </c>
      <c r="I920" s="115">
        <v>92</v>
      </c>
      <c r="J920" s="601">
        <f t="shared" si="98"/>
        <v>662400</v>
      </c>
      <c r="K920" s="738">
        <v>80.45</v>
      </c>
      <c r="L920" s="677">
        <f t="shared" si="99"/>
        <v>-579240</v>
      </c>
      <c r="M920" s="739">
        <f t="shared" si="100"/>
        <v>83160</v>
      </c>
      <c r="N920" s="740">
        <v>62.087104564109552</v>
      </c>
      <c r="O920" s="678">
        <f t="shared" si="101"/>
        <v>-447027.15286158875</v>
      </c>
      <c r="P920" s="700">
        <f t="shared" si="102"/>
        <v>215372.84713841125</v>
      </c>
      <c r="Q920" s="740">
        <v>98.812895435890439</v>
      </c>
      <c r="R920" s="678">
        <f t="shared" si="103"/>
        <v>-711452.84713841113</v>
      </c>
      <c r="S920" s="700">
        <f t="shared" si="104"/>
        <v>-49052.847138411133</v>
      </c>
      <c r="T920" s="691" t="s">
        <v>54</v>
      </c>
    </row>
    <row r="921" spans="1:20" x14ac:dyDescent="0.25">
      <c r="A921" s="690"/>
      <c r="B921" s="695" t="s">
        <v>2615</v>
      </c>
      <c r="C921" s="545" t="s">
        <v>40</v>
      </c>
      <c r="D921" s="681">
        <v>45261</v>
      </c>
      <c r="E921" s="545">
        <v>744</v>
      </c>
      <c r="F921" s="545" t="s">
        <v>3</v>
      </c>
      <c r="G921" s="725" t="s">
        <v>44</v>
      </c>
      <c r="H921" s="548">
        <v>-10</v>
      </c>
      <c r="I921" s="548">
        <v>92</v>
      </c>
      <c r="J921" s="602">
        <f t="shared" si="98"/>
        <v>684480</v>
      </c>
      <c r="K921" s="742">
        <v>80.45</v>
      </c>
      <c r="L921" s="603">
        <f t="shared" si="99"/>
        <v>-598548</v>
      </c>
      <c r="M921" s="743">
        <f t="shared" si="100"/>
        <v>85932</v>
      </c>
      <c r="N921" s="744">
        <v>62.087104564109552</v>
      </c>
      <c r="O921" s="604">
        <f t="shared" si="101"/>
        <v>-461928.05795697507</v>
      </c>
      <c r="P921" s="701">
        <f t="shared" si="102"/>
        <v>222551.94204302493</v>
      </c>
      <c r="Q921" s="744">
        <v>98.812895435890439</v>
      </c>
      <c r="R921" s="604">
        <f t="shared" si="103"/>
        <v>-735167.94204302481</v>
      </c>
      <c r="S921" s="701">
        <f t="shared" si="104"/>
        <v>-50687.942043024814</v>
      </c>
      <c r="T921" s="695" t="s">
        <v>54</v>
      </c>
    </row>
    <row r="922" spans="1:20" x14ac:dyDescent="0.25">
      <c r="A922" s="690"/>
      <c r="B922" s="697" t="s">
        <v>2617</v>
      </c>
      <c r="C922" s="547" t="s">
        <v>40</v>
      </c>
      <c r="D922" s="683">
        <v>44986</v>
      </c>
      <c r="E922" s="547">
        <v>744</v>
      </c>
      <c r="F922" s="547" t="s">
        <v>3</v>
      </c>
      <c r="G922" s="727" t="s">
        <v>44</v>
      </c>
      <c r="H922" s="638">
        <v>20</v>
      </c>
      <c r="I922" s="638">
        <v>71</v>
      </c>
      <c r="J922" s="639">
        <f t="shared" si="98"/>
        <v>-1056480</v>
      </c>
      <c r="K922" s="750">
        <v>69.3</v>
      </c>
      <c r="L922" s="608">
        <f t="shared" si="99"/>
        <v>1031184</v>
      </c>
      <c r="M922" s="751">
        <f t="shared" si="100"/>
        <v>-25296</v>
      </c>
      <c r="N922" s="752">
        <v>55.7</v>
      </c>
      <c r="O922" s="609">
        <f t="shared" si="101"/>
        <v>828816</v>
      </c>
      <c r="P922" s="703">
        <f t="shared" si="102"/>
        <v>-227664</v>
      </c>
      <c r="Q922" s="752">
        <v>89.053218420260009</v>
      </c>
      <c r="R922" s="609">
        <f t="shared" si="103"/>
        <v>1325111.8900934688</v>
      </c>
      <c r="S922" s="703">
        <f t="shared" si="104"/>
        <v>268631.89009346883</v>
      </c>
      <c r="T922" s="697" t="s">
        <v>54</v>
      </c>
    </row>
    <row r="923" spans="1:20" x14ac:dyDescent="0.25">
      <c r="A923" s="690"/>
      <c r="B923" s="697" t="s">
        <v>2619</v>
      </c>
      <c r="C923" s="547" t="s">
        <v>40</v>
      </c>
      <c r="D923" s="683">
        <v>44986</v>
      </c>
      <c r="E923" s="547">
        <v>744</v>
      </c>
      <c r="F923" s="547" t="s">
        <v>3</v>
      </c>
      <c r="G923" s="727" t="s">
        <v>44</v>
      </c>
      <c r="H923" s="638">
        <v>2</v>
      </c>
      <c r="I923" s="638">
        <v>71</v>
      </c>
      <c r="J923" s="639">
        <f t="shared" si="98"/>
        <v>-105648</v>
      </c>
      <c r="K923" s="750">
        <v>69.3</v>
      </c>
      <c r="L923" s="608">
        <f t="shared" si="99"/>
        <v>103118.39999999999</v>
      </c>
      <c r="M923" s="751">
        <f t="shared" si="100"/>
        <v>-2529.6000000000058</v>
      </c>
      <c r="N923" s="752">
        <v>55.7</v>
      </c>
      <c r="O923" s="609">
        <f t="shared" si="101"/>
        <v>82881.600000000006</v>
      </c>
      <c r="P923" s="703">
        <f t="shared" si="102"/>
        <v>-22766.399999999994</v>
      </c>
      <c r="Q923" s="752">
        <v>89.053218420260009</v>
      </c>
      <c r="R923" s="609">
        <f t="shared" si="103"/>
        <v>132511.18900934688</v>
      </c>
      <c r="S923" s="703">
        <f t="shared" si="104"/>
        <v>26863.189009346883</v>
      </c>
      <c r="T923" s="697" t="s">
        <v>54</v>
      </c>
    </row>
    <row r="924" spans="1:20" x14ac:dyDescent="0.25">
      <c r="A924" s="690"/>
      <c r="B924" s="696" t="s">
        <v>2621</v>
      </c>
      <c r="C924" s="546" t="s">
        <v>40</v>
      </c>
      <c r="D924" s="682">
        <v>45017</v>
      </c>
      <c r="E924" s="546">
        <v>720</v>
      </c>
      <c r="F924" s="546" t="s">
        <v>3</v>
      </c>
      <c r="G924" s="726" t="s">
        <v>44</v>
      </c>
      <c r="H924" s="549">
        <v>10</v>
      </c>
      <c r="I924" s="549">
        <v>73.5</v>
      </c>
      <c r="J924" s="605">
        <f t="shared" si="98"/>
        <v>-529200</v>
      </c>
      <c r="K924" s="746">
        <v>69.8</v>
      </c>
      <c r="L924" s="606">
        <f t="shared" si="99"/>
        <v>502560</v>
      </c>
      <c r="M924" s="747">
        <f t="shared" si="100"/>
        <v>-26640</v>
      </c>
      <c r="N924" s="748">
        <v>55.7</v>
      </c>
      <c r="O924" s="607">
        <f t="shared" si="101"/>
        <v>401040</v>
      </c>
      <c r="P924" s="702">
        <f t="shared" si="102"/>
        <v>-128160</v>
      </c>
      <c r="Q924" s="748">
        <v>85.732008718771311</v>
      </c>
      <c r="R924" s="607">
        <f t="shared" si="103"/>
        <v>617270.46277515346</v>
      </c>
      <c r="S924" s="702">
        <f t="shared" si="104"/>
        <v>88070.462775153457</v>
      </c>
      <c r="T924" s="696" t="s">
        <v>54</v>
      </c>
    </row>
    <row r="925" spans="1:20" x14ac:dyDescent="0.25">
      <c r="A925" s="690"/>
      <c r="B925" s="695" t="s">
        <v>2621</v>
      </c>
      <c r="C925" s="545" t="s">
        <v>40</v>
      </c>
      <c r="D925" s="681">
        <v>45047</v>
      </c>
      <c r="E925" s="545">
        <v>744</v>
      </c>
      <c r="F925" s="545" t="s">
        <v>3</v>
      </c>
      <c r="G925" s="725" t="s">
        <v>44</v>
      </c>
      <c r="H925" s="548">
        <v>10</v>
      </c>
      <c r="I925" s="548">
        <v>73.5</v>
      </c>
      <c r="J925" s="602">
        <f t="shared" si="98"/>
        <v>-546840</v>
      </c>
      <c r="K925" s="742">
        <v>70.2</v>
      </c>
      <c r="L925" s="603">
        <f t="shared" si="99"/>
        <v>522288</v>
      </c>
      <c r="M925" s="743">
        <f t="shared" si="100"/>
        <v>-24552</v>
      </c>
      <c r="N925" s="744">
        <v>55.7</v>
      </c>
      <c r="O925" s="604">
        <f t="shared" si="101"/>
        <v>414408</v>
      </c>
      <c r="P925" s="701">
        <f t="shared" si="102"/>
        <v>-132432</v>
      </c>
      <c r="Q925" s="744">
        <v>86.223309628334476</v>
      </c>
      <c r="R925" s="604">
        <f t="shared" si="103"/>
        <v>641501.42363480851</v>
      </c>
      <c r="S925" s="701">
        <f t="shared" si="104"/>
        <v>94661.423634808511</v>
      </c>
      <c r="T925" s="695" t="s">
        <v>54</v>
      </c>
    </row>
    <row r="926" spans="1:20" x14ac:dyDescent="0.25">
      <c r="A926" s="690"/>
      <c r="B926" s="697" t="s">
        <v>2623</v>
      </c>
      <c r="C926" s="547" t="s">
        <v>40</v>
      </c>
      <c r="D926" s="683">
        <v>45047</v>
      </c>
      <c r="E926" s="547">
        <v>744</v>
      </c>
      <c r="F926" s="547" t="s">
        <v>3</v>
      </c>
      <c r="G926" s="727" t="s">
        <v>44</v>
      </c>
      <c r="H926" s="638">
        <v>2</v>
      </c>
      <c r="I926" s="638">
        <v>74</v>
      </c>
      <c r="J926" s="639">
        <f t="shared" si="98"/>
        <v>-110112</v>
      </c>
      <c r="K926" s="750">
        <v>70.2</v>
      </c>
      <c r="L926" s="608">
        <f t="shared" si="99"/>
        <v>104457.60000000001</v>
      </c>
      <c r="M926" s="751">
        <f t="shared" si="100"/>
        <v>-5654.3999999999942</v>
      </c>
      <c r="N926" s="752">
        <v>55.7</v>
      </c>
      <c r="O926" s="609">
        <f t="shared" si="101"/>
        <v>82881.600000000006</v>
      </c>
      <c r="P926" s="703">
        <f t="shared" si="102"/>
        <v>-27230.399999999994</v>
      </c>
      <c r="Q926" s="752">
        <v>86.223309628334476</v>
      </c>
      <c r="R926" s="609">
        <f t="shared" si="103"/>
        <v>128300.28472696171</v>
      </c>
      <c r="S926" s="703">
        <f t="shared" si="104"/>
        <v>18188.284726961705</v>
      </c>
      <c r="T926" s="697" t="s">
        <v>54</v>
      </c>
    </row>
    <row r="927" spans="1:20" x14ac:dyDescent="0.25">
      <c r="A927" s="690"/>
      <c r="B927" s="696" t="s">
        <v>2627</v>
      </c>
      <c r="C927" s="546" t="s">
        <v>40</v>
      </c>
      <c r="D927" s="682">
        <v>45200</v>
      </c>
      <c r="E927" s="546">
        <v>744</v>
      </c>
      <c r="F927" s="546" t="s">
        <v>3</v>
      </c>
      <c r="G927" s="726" t="s">
        <v>44</v>
      </c>
      <c r="H927" s="549">
        <v>-5</v>
      </c>
      <c r="I927" s="549">
        <v>93</v>
      </c>
      <c r="J927" s="605">
        <f t="shared" si="98"/>
        <v>345960</v>
      </c>
      <c r="K927" s="746">
        <v>80.45</v>
      </c>
      <c r="L927" s="606">
        <f t="shared" si="99"/>
        <v>-299274</v>
      </c>
      <c r="M927" s="747">
        <f t="shared" si="100"/>
        <v>46686</v>
      </c>
      <c r="N927" s="748">
        <v>62.087104564109552</v>
      </c>
      <c r="O927" s="607">
        <f t="shared" si="101"/>
        <v>-230964.02897848753</v>
      </c>
      <c r="P927" s="702">
        <f t="shared" si="102"/>
        <v>114995.97102151247</v>
      </c>
      <c r="Q927" s="748">
        <v>98.812895435890439</v>
      </c>
      <c r="R927" s="607">
        <f t="shared" si="103"/>
        <v>-367583.97102151241</v>
      </c>
      <c r="S927" s="702">
        <f t="shared" si="104"/>
        <v>-21623.971021512407</v>
      </c>
      <c r="T927" s="696" t="s">
        <v>54</v>
      </c>
    </row>
    <row r="928" spans="1:20" x14ac:dyDescent="0.25">
      <c r="A928" s="690"/>
      <c r="B928" s="691" t="s">
        <v>2627</v>
      </c>
      <c r="C928" s="676" t="s">
        <v>40</v>
      </c>
      <c r="D928" s="680">
        <v>45231</v>
      </c>
      <c r="E928" s="676">
        <v>720</v>
      </c>
      <c r="F928" s="676" t="s">
        <v>3</v>
      </c>
      <c r="G928" s="690" t="s">
        <v>44</v>
      </c>
      <c r="H928" s="115">
        <v>-5</v>
      </c>
      <c r="I928" s="115">
        <v>93</v>
      </c>
      <c r="J928" s="601">
        <f t="shared" si="98"/>
        <v>334800</v>
      </c>
      <c r="K928" s="738">
        <v>80.45</v>
      </c>
      <c r="L928" s="677">
        <f t="shared" si="99"/>
        <v>-289620</v>
      </c>
      <c r="M928" s="739">
        <f t="shared" si="100"/>
        <v>45180</v>
      </c>
      <c r="N928" s="740">
        <v>62.087104564109552</v>
      </c>
      <c r="O928" s="678">
        <f t="shared" si="101"/>
        <v>-223513.57643079438</v>
      </c>
      <c r="P928" s="700">
        <f t="shared" si="102"/>
        <v>111286.42356920562</v>
      </c>
      <c r="Q928" s="740">
        <v>98.812895435890439</v>
      </c>
      <c r="R928" s="678">
        <f t="shared" si="103"/>
        <v>-355726.42356920557</v>
      </c>
      <c r="S928" s="700">
        <f t="shared" si="104"/>
        <v>-20926.423569205566</v>
      </c>
      <c r="T928" s="691" t="s">
        <v>54</v>
      </c>
    </row>
    <row r="929" spans="1:20" x14ac:dyDescent="0.25">
      <c r="A929" s="690"/>
      <c r="B929" s="695" t="s">
        <v>2627</v>
      </c>
      <c r="C929" s="545" t="s">
        <v>40</v>
      </c>
      <c r="D929" s="681">
        <v>45261</v>
      </c>
      <c r="E929" s="545">
        <v>744</v>
      </c>
      <c r="F929" s="545" t="s">
        <v>3</v>
      </c>
      <c r="G929" s="725" t="s">
        <v>44</v>
      </c>
      <c r="H929" s="548">
        <v>-5</v>
      </c>
      <c r="I929" s="548">
        <v>93</v>
      </c>
      <c r="J929" s="602">
        <f t="shared" si="98"/>
        <v>345960</v>
      </c>
      <c r="K929" s="742">
        <v>80.45</v>
      </c>
      <c r="L929" s="603">
        <f t="shared" si="99"/>
        <v>-299274</v>
      </c>
      <c r="M929" s="743">
        <f t="shared" si="100"/>
        <v>46686</v>
      </c>
      <c r="N929" s="744">
        <v>62.087104564109552</v>
      </c>
      <c r="O929" s="604">
        <f t="shared" si="101"/>
        <v>-230964.02897848753</v>
      </c>
      <c r="P929" s="701">
        <f t="shared" si="102"/>
        <v>114995.97102151247</v>
      </c>
      <c r="Q929" s="744">
        <v>98.812895435890439</v>
      </c>
      <c r="R929" s="604">
        <f t="shared" si="103"/>
        <v>-367583.97102151241</v>
      </c>
      <c r="S929" s="701">
        <f t="shared" si="104"/>
        <v>-21623.971021512407</v>
      </c>
      <c r="T929" s="695" t="s">
        <v>54</v>
      </c>
    </row>
    <row r="930" spans="1:20" x14ac:dyDescent="0.25">
      <c r="A930" s="690"/>
      <c r="B930" s="696" t="s">
        <v>2629</v>
      </c>
      <c r="C930" s="546" t="s">
        <v>40</v>
      </c>
      <c r="D930" s="682">
        <v>45108</v>
      </c>
      <c r="E930" s="546">
        <v>744</v>
      </c>
      <c r="F930" s="546" t="s">
        <v>3</v>
      </c>
      <c r="G930" s="726" t="s">
        <v>44</v>
      </c>
      <c r="H930" s="549">
        <v>-2</v>
      </c>
      <c r="I930" s="549">
        <v>91</v>
      </c>
      <c r="J930" s="605">
        <f t="shared" si="98"/>
        <v>135408</v>
      </c>
      <c r="K930" s="746">
        <v>77.150000000000006</v>
      </c>
      <c r="L930" s="606">
        <f t="shared" si="99"/>
        <v>-114799.20000000001</v>
      </c>
      <c r="M930" s="747">
        <f t="shared" si="100"/>
        <v>20608.799999999988</v>
      </c>
      <c r="N930" s="748">
        <v>59.54033706800562</v>
      </c>
      <c r="O930" s="607">
        <f t="shared" si="101"/>
        <v>-88596.021557192362</v>
      </c>
      <c r="P930" s="702">
        <f t="shared" si="102"/>
        <v>46811.978442807638</v>
      </c>
      <c r="Q930" s="748">
        <v>94.759662931994384</v>
      </c>
      <c r="R930" s="607">
        <f t="shared" si="103"/>
        <v>-141002.37844280765</v>
      </c>
      <c r="S930" s="702">
        <f t="shared" si="104"/>
        <v>-5594.3784428076469</v>
      </c>
      <c r="T930" s="696" t="s">
        <v>54</v>
      </c>
    </row>
    <row r="931" spans="1:20" x14ac:dyDescent="0.25">
      <c r="A931" s="690"/>
      <c r="B931" s="691" t="s">
        <v>2629</v>
      </c>
      <c r="C931" s="676" t="s">
        <v>40</v>
      </c>
      <c r="D931" s="680">
        <v>45139</v>
      </c>
      <c r="E931" s="676">
        <v>744</v>
      </c>
      <c r="F931" s="676" t="s">
        <v>3</v>
      </c>
      <c r="G931" s="690" t="s">
        <v>44</v>
      </c>
      <c r="H931" s="115">
        <v>-2</v>
      </c>
      <c r="I931" s="115">
        <v>91</v>
      </c>
      <c r="J931" s="601">
        <f t="shared" si="98"/>
        <v>135408</v>
      </c>
      <c r="K931" s="738">
        <v>77.150000000000006</v>
      </c>
      <c r="L931" s="677">
        <f t="shared" si="99"/>
        <v>-114799.20000000001</v>
      </c>
      <c r="M931" s="739">
        <f t="shared" si="100"/>
        <v>20608.799999999988</v>
      </c>
      <c r="N931" s="740">
        <v>59.54033706800562</v>
      </c>
      <c r="O931" s="678">
        <f t="shared" si="101"/>
        <v>-88596.021557192362</v>
      </c>
      <c r="P931" s="700">
        <f t="shared" si="102"/>
        <v>46811.978442807638</v>
      </c>
      <c r="Q931" s="740">
        <v>94.759662931994384</v>
      </c>
      <c r="R931" s="678">
        <f t="shared" si="103"/>
        <v>-141002.37844280765</v>
      </c>
      <c r="S931" s="700">
        <f t="shared" si="104"/>
        <v>-5594.3784428076469</v>
      </c>
      <c r="T931" s="691" t="s">
        <v>54</v>
      </c>
    </row>
    <row r="932" spans="1:20" x14ac:dyDescent="0.25">
      <c r="A932" s="690"/>
      <c r="B932" s="691" t="s">
        <v>2629</v>
      </c>
      <c r="C932" s="676" t="s">
        <v>40</v>
      </c>
      <c r="D932" s="680">
        <v>45170</v>
      </c>
      <c r="E932" s="676">
        <v>720</v>
      </c>
      <c r="F932" s="676" t="s">
        <v>3</v>
      </c>
      <c r="G932" s="690" t="s">
        <v>44</v>
      </c>
      <c r="H932" s="115">
        <v>-2</v>
      </c>
      <c r="I932" s="115">
        <v>91</v>
      </c>
      <c r="J932" s="601">
        <f t="shared" si="98"/>
        <v>131040</v>
      </c>
      <c r="K932" s="738">
        <v>77.150000000000006</v>
      </c>
      <c r="L932" s="677">
        <f t="shared" si="99"/>
        <v>-111096.00000000001</v>
      </c>
      <c r="M932" s="739">
        <f t="shared" si="100"/>
        <v>19943.999999999985</v>
      </c>
      <c r="N932" s="740">
        <v>59.54033706800562</v>
      </c>
      <c r="O932" s="678">
        <f t="shared" si="101"/>
        <v>-85738.085377928088</v>
      </c>
      <c r="P932" s="700">
        <f t="shared" si="102"/>
        <v>45301.914622071912</v>
      </c>
      <c r="Q932" s="740">
        <v>94.759662931994384</v>
      </c>
      <c r="R932" s="678">
        <f t="shared" si="103"/>
        <v>-136453.91462207193</v>
      </c>
      <c r="S932" s="700">
        <f t="shared" si="104"/>
        <v>-5413.9146220719267</v>
      </c>
      <c r="T932" s="691" t="s">
        <v>54</v>
      </c>
    </row>
    <row r="933" spans="1:20" x14ac:dyDescent="0.25">
      <c r="A933" s="690"/>
      <c r="B933" s="691" t="s">
        <v>2629</v>
      </c>
      <c r="C933" s="676" t="s">
        <v>40</v>
      </c>
      <c r="D933" s="680">
        <v>45200</v>
      </c>
      <c r="E933" s="676">
        <v>744</v>
      </c>
      <c r="F933" s="676" t="s">
        <v>3</v>
      </c>
      <c r="G933" s="690" t="s">
        <v>44</v>
      </c>
      <c r="H933" s="115">
        <v>-2</v>
      </c>
      <c r="I933" s="115">
        <v>91</v>
      </c>
      <c r="J933" s="601">
        <f t="shared" si="98"/>
        <v>135408</v>
      </c>
      <c r="K933" s="738">
        <v>80.45</v>
      </c>
      <c r="L933" s="677">
        <f t="shared" si="99"/>
        <v>-119709.6</v>
      </c>
      <c r="M933" s="739">
        <f t="shared" si="100"/>
        <v>15698.399999999994</v>
      </c>
      <c r="N933" s="740">
        <v>62.087104564109552</v>
      </c>
      <c r="O933" s="678">
        <f t="shared" si="101"/>
        <v>-92385.61159139502</v>
      </c>
      <c r="P933" s="700">
        <f t="shared" si="102"/>
        <v>43022.38840860498</v>
      </c>
      <c r="Q933" s="740">
        <v>98.812895435890439</v>
      </c>
      <c r="R933" s="678">
        <f t="shared" si="103"/>
        <v>-147033.58840860496</v>
      </c>
      <c r="S933" s="700">
        <f t="shared" si="104"/>
        <v>-11625.588408604963</v>
      </c>
      <c r="T933" s="691" t="s">
        <v>54</v>
      </c>
    </row>
    <row r="934" spans="1:20" x14ac:dyDescent="0.25">
      <c r="A934" s="690"/>
      <c r="B934" s="691" t="s">
        <v>2629</v>
      </c>
      <c r="C934" s="676" t="s">
        <v>40</v>
      </c>
      <c r="D934" s="680">
        <v>45231</v>
      </c>
      <c r="E934" s="676">
        <v>720</v>
      </c>
      <c r="F934" s="676" t="s">
        <v>3</v>
      </c>
      <c r="G934" s="690" t="s">
        <v>44</v>
      </c>
      <c r="H934" s="115">
        <v>-2</v>
      </c>
      <c r="I934" s="115">
        <v>91</v>
      </c>
      <c r="J934" s="601">
        <f t="shared" si="98"/>
        <v>131040</v>
      </c>
      <c r="K934" s="738">
        <v>80.45</v>
      </c>
      <c r="L934" s="677">
        <f t="shared" si="99"/>
        <v>-115848</v>
      </c>
      <c r="M934" s="739">
        <f t="shared" si="100"/>
        <v>15192</v>
      </c>
      <c r="N934" s="740">
        <v>62.087104564109552</v>
      </c>
      <c r="O934" s="678">
        <f t="shared" si="101"/>
        <v>-89405.430572317753</v>
      </c>
      <c r="P934" s="700">
        <f t="shared" si="102"/>
        <v>41634.569427682247</v>
      </c>
      <c r="Q934" s="740">
        <v>98.812895435890439</v>
      </c>
      <c r="R934" s="678">
        <f t="shared" si="103"/>
        <v>-142290.56942768223</v>
      </c>
      <c r="S934" s="700">
        <f t="shared" si="104"/>
        <v>-11250.569427682232</v>
      </c>
      <c r="T934" s="691" t="s">
        <v>54</v>
      </c>
    </row>
    <row r="935" spans="1:20" x14ac:dyDescent="0.25">
      <c r="A935" s="690"/>
      <c r="B935" s="695" t="s">
        <v>2629</v>
      </c>
      <c r="C935" s="545" t="s">
        <v>40</v>
      </c>
      <c r="D935" s="681">
        <v>45261</v>
      </c>
      <c r="E935" s="545">
        <v>744</v>
      </c>
      <c r="F935" s="545" t="s">
        <v>3</v>
      </c>
      <c r="G935" s="725" t="s">
        <v>44</v>
      </c>
      <c r="H935" s="548">
        <v>-2</v>
      </c>
      <c r="I935" s="548">
        <v>91</v>
      </c>
      <c r="J935" s="602">
        <f t="shared" si="98"/>
        <v>135408</v>
      </c>
      <c r="K935" s="742">
        <v>80.45</v>
      </c>
      <c r="L935" s="603">
        <f t="shared" si="99"/>
        <v>-119709.6</v>
      </c>
      <c r="M935" s="743">
        <f t="shared" si="100"/>
        <v>15698.399999999994</v>
      </c>
      <c r="N935" s="744">
        <v>62.087104564109552</v>
      </c>
      <c r="O935" s="604">
        <f t="shared" si="101"/>
        <v>-92385.61159139502</v>
      </c>
      <c r="P935" s="701">
        <f t="shared" si="102"/>
        <v>43022.38840860498</v>
      </c>
      <c r="Q935" s="744">
        <v>98.812895435890439</v>
      </c>
      <c r="R935" s="604">
        <f t="shared" si="103"/>
        <v>-147033.58840860496</v>
      </c>
      <c r="S935" s="701">
        <f t="shared" si="104"/>
        <v>-11625.588408604963</v>
      </c>
      <c r="T935" s="695" t="s">
        <v>54</v>
      </c>
    </row>
    <row r="936" spans="1:20" x14ac:dyDescent="0.25">
      <c r="A936" s="690"/>
      <c r="B936" s="696" t="s">
        <v>2636</v>
      </c>
      <c r="C936" s="546" t="s">
        <v>40</v>
      </c>
      <c r="D936" s="682">
        <v>45200</v>
      </c>
      <c r="E936" s="546">
        <v>744</v>
      </c>
      <c r="F936" s="546" t="s">
        <v>3</v>
      </c>
      <c r="G936" s="726" t="s">
        <v>44</v>
      </c>
      <c r="H936" s="549">
        <v>5</v>
      </c>
      <c r="I936" s="549">
        <v>93</v>
      </c>
      <c r="J936" s="605">
        <f t="shared" si="98"/>
        <v>-345960</v>
      </c>
      <c r="K936" s="746">
        <v>80.45</v>
      </c>
      <c r="L936" s="606">
        <f t="shared" si="99"/>
        <v>299274</v>
      </c>
      <c r="M936" s="747">
        <f t="shared" si="100"/>
        <v>-46686</v>
      </c>
      <c r="N936" s="748">
        <v>62.087104564109552</v>
      </c>
      <c r="O936" s="607">
        <f t="shared" si="101"/>
        <v>230964.02897848753</v>
      </c>
      <c r="P936" s="702">
        <f t="shared" si="102"/>
        <v>-114995.97102151247</v>
      </c>
      <c r="Q936" s="748">
        <v>98.812895435890439</v>
      </c>
      <c r="R936" s="607">
        <f t="shared" si="103"/>
        <v>367583.97102151241</v>
      </c>
      <c r="S936" s="702">
        <f t="shared" si="104"/>
        <v>21623.971021512407</v>
      </c>
      <c r="T936" s="696" t="s">
        <v>54</v>
      </c>
    </row>
    <row r="937" spans="1:20" x14ac:dyDescent="0.25">
      <c r="A937" s="690"/>
      <c r="B937" s="691" t="s">
        <v>2636</v>
      </c>
      <c r="C937" s="676" t="s">
        <v>40</v>
      </c>
      <c r="D937" s="680">
        <v>45231</v>
      </c>
      <c r="E937" s="676">
        <v>720</v>
      </c>
      <c r="F937" s="676" t="s">
        <v>3</v>
      </c>
      <c r="G937" s="690" t="s">
        <v>44</v>
      </c>
      <c r="H937" s="115">
        <v>5</v>
      </c>
      <c r="I937" s="115">
        <v>93</v>
      </c>
      <c r="J937" s="601">
        <f t="shared" si="98"/>
        <v>-334800</v>
      </c>
      <c r="K937" s="738">
        <v>80.45</v>
      </c>
      <c r="L937" s="677">
        <f t="shared" si="99"/>
        <v>289620</v>
      </c>
      <c r="M937" s="739">
        <f t="shared" si="100"/>
        <v>-45180</v>
      </c>
      <c r="N937" s="740">
        <v>62.087104564109552</v>
      </c>
      <c r="O937" s="678">
        <f t="shared" si="101"/>
        <v>223513.57643079438</v>
      </c>
      <c r="P937" s="700">
        <f t="shared" si="102"/>
        <v>-111286.42356920562</v>
      </c>
      <c r="Q937" s="740">
        <v>98.812895435890439</v>
      </c>
      <c r="R937" s="678">
        <f t="shared" si="103"/>
        <v>355726.42356920557</v>
      </c>
      <c r="S937" s="700">
        <f t="shared" si="104"/>
        <v>20926.423569205566</v>
      </c>
      <c r="T937" s="691" t="s">
        <v>54</v>
      </c>
    </row>
    <row r="938" spans="1:20" x14ac:dyDescent="0.25">
      <c r="A938" s="690"/>
      <c r="B938" s="695" t="s">
        <v>2636</v>
      </c>
      <c r="C938" s="545" t="s">
        <v>40</v>
      </c>
      <c r="D938" s="681">
        <v>45261</v>
      </c>
      <c r="E938" s="545">
        <v>744</v>
      </c>
      <c r="F938" s="545" t="s">
        <v>3</v>
      </c>
      <c r="G938" s="725" t="s">
        <v>44</v>
      </c>
      <c r="H938" s="548">
        <v>5</v>
      </c>
      <c r="I938" s="548">
        <v>93</v>
      </c>
      <c r="J938" s="602">
        <f t="shared" si="98"/>
        <v>-345960</v>
      </c>
      <c r="K938" s="742">
        <v>80.45</v>
      </c>
      <c r="L938" s="603">
        <f t="shared" si="99"/>
        <v>299274</v>
      </c>
      <c r="M938" s="743">
        <f t="shared" si="100"/>
        <v>-46686</v>
      </c>
      <c r="N938" s="744">
        <v>62.087104564109552</v>
      </c>
      <c r="O938" s="604">
        <f t="shared" si="101"/>
        <v>230964.02897848753</v>
      </c>
      <c r="P938" s="701">
        <f t="shared" si="102"/>
        <v>-114995.97102151247</v>
      </c>
      <c r="Q938" s="744">
        <v>98.812895435890439</v>
      </c>
      <c r="R938" s="604">
        <f t="shared" si="103"/>
        <v>367583.97102151241</v>
      </c>
      <c r="S938" s="701">
        <f t="shared" si="104"/>
        <v>21623.971021512407</v>
      </c>
      <c r="T938" s="695" t="s">
        <v>54</v>
      </c>
    </row>
    <row r="939" spans="1:20" x14ac:dyDescent="0.25">
      <c r="A939" s="690"/>
      <c r="B939" s="696" t="s">
        <v>2638</v>
      </c>
      <c r="C939" s="546" t="s">
        <v>40</v>
      </c>
      <c r="D939" s="682">
        <v>45200</v>
      </c>
      <c r="E939" s="546">
        <v>744</v>
      </c>
      <c r="F939" s="546" t="s">
        <v>3</v>
      </c>
      <c r="G939" s="726" t="s">
        <v>44</v>
      </c>
      <c r="H939" s="549">
        <v>-5</v>
      </c>
      <c r="I939" s="549">
        <v>91</v>
      </c>
      <c r="J939" s="605">
        <f t="shared" si="98"/>
        <v>338520</v>
      </c>
      <c r="K939" s="746">
        <v>80.45</v>
      </c>
      <c r="L939" s="606">
        <f t="shared" si="99"/>
        <v>-299274</v>
      </c>
      <c r="M939" s="747">
        <f t="shared" si="100"/>
        <v>39246</v>
      </c>
      <c r="N939" s="748">
        <v>62.087104564109552</v>
      </c>
      <c r="O939" s="607">
        <f t="shared" si="101"/>
        <v>-230964.02897848753</v>
      </c>
      <c r="P939" s="702">
        <f t="shared" si="102"/>
        <v>107555.97102151247</v>
      </c>
      <c r="Q939" s="748">
        <v>98.812895435890439</v>
      </c>
      <c r="R939" s="607">
        <f t="shared" si="103"/>
        <v>-367583.97102151241</v>
      </c>
      <c r="S939" s="702">
        <f t="shared" si="104"/>
        <v>-29063.971021512407</v>
      </c>
      <c r="T939" s="696" t="s">
        <v>54</v>
      </c>
    </row>
    <row r="940" spans="1:20" x14ac:dyDescent="0.25">
      <c r="A940" s="690"/>
      <c r="B940" s="691" t="s">
        <v>2638</v>
      </c>
      <c r="C940" s="676" t="s">
        <v>40</v>
      </c>
      <c r="D940" s="680">
        <v>45231</v>
      </c>
      <c r="E940" s="676">
        <v>720</v>
      </c>
      <c r="F940" s="676" t="s">
        <v>3</v>
      </c>
      <c r="G940" s="690" t="s">
        <v>44</v>
      </c>
      <c r="H940" s="115">
        <v>-5</v>
      </c>
      <c r="I940" s="115">
        <v>91</v>
      </c>
      <c r="J940" s="601">
        <f t="shared" si="98"/>
        <v>327600</v>
      </c>
      <c r="K940" s="738">
        <v>80.45</v>
      </c>
      <c r="L940" s="677">
        <f t="shared" si="99"/>
        <v>-289620</v>
      </c>
      <c r="M940" s="739">
        <f t="shared" si="100"/>
        <v>37980</v>
      </c>
      <c r="N940" s="740">
        <v>62.087104564109552</v>
      </c>
      <c r="O940" s="678">
        <f t="shared" si="101"/>
        <v>-223513.57643079438</v>
      </c>
      <c r="P940" s="700">
        <f t="shared" si="102"/>
        <v>104086.42356920562</v>
      </c>
      <c r="Q940" s="740">
        <v>98.812895435890439</v>
      </c>
      <c r="R940" s="678">
        <f t="shared" si="103"/>
        <v>-355726.42356920557</v>
      </c>
      <c r="S940" s="700">
        <f t="shared" si="104"/>
        <v>-28126.423569205566</v>
      </c>
      <c r="T940" s="691" t="s">
        <v>54</v>
      </c>
    </row>
    <row r="941" spans="1:20" x14ac:dyDescent="0.25">
      <c r="A941" s="690"/>
      <c r="B941" s="695" t="s">
        <v>2638</v>
      </c>
      <c r="C941" s="545" t="s">
        <v>40</v>
      </c>
      <c r="D941" s="681">
        <v>45261</v>
      </c>
      <c r="E941" s="545">
        <v>744</v>
      </c>
      <c r="F941" s="545" t="s">
        <v>3</v>
      </c>
      <c r="G941" s="725" t="s">
        <v>44</v>
      </c>
      <c r="H941" s="548">
        <v>-5</v>
      </c>
      <c r="I941" s="548">
        <v>91</v>
      </c>
      <c r="J941" s="602">
        <f t="shared" si="98"/>
        <v>338520</v>
      </c>
      <c r="K941" s="742">
        <v>80.45</v>
      </c>
      <c r="L941" s="603">
        <f t="shared" si="99"/>
        <v>-299274</v>
      </c>
      <c r="M941" s="743">
        <f t="shared" si="100"/>
        <v>39246</v>
      </c>
      <c r="N941" s="744">
        <v>62.087104564109552</v>
      </c>
      <c r="O941" s="604">
        <f t="shared" si="101"/>
        <v>-230964.02897848753</v>
      </c>
      <c r="P941" s="701">
        <f t="shared" si="102"/>
        <v>107555.97102151247</v>
      </c>
      <c r="Q941" s="744">
        <v>98.812895435890439</v>
      </c>
      <c r="R941" s="604">
        <f t="shared" si="103"/>
        <v>-367583.97102151241</v>
      </c>
      <c r="S941" s="701">
        <f t="shared" si="104"/>
        <v>-29063.971021512407</v>
      </c>
      <c r="T941" s="695" t="s">
        <v>54</v>
      </c>
    </row>
    <row r="942" spans="1:20" x14ac:dyDescent="0.25">
      <c r="A942" s="690"/>
      <c r="B942" s="696" t="s">
        <v>2641</v>
      </c>
      <c r="C942" s="546" t="s">
        <v>40</v>
      </c>
      <c r="D942" s="682">
        <v>44927</v>
      </c>
      <c r="E942" s="546">
        <v>744</v>
      </c>
      <c r="F942" s="546" t="s">
        <v>3</v>
      </c>
      <c r="G942" s="726" t="s">
        <v>44</v>
      </c>
      <c r="H942" s="549">
        <v>5</v>
      </c>
      <c r="I942" s="549">
        <v>71</v>
      </c>
      <c r="J942" s="605">
        <f t="shared" si="98"/>
        <v>-264120</v>
      </c>
      <c r="K942" s="746">
        <v>68.72</v>
      </c>
      <c r="L942" s="606">
        <f t="shared" si="99"/>
        <v>255638.39999999999</v>
      </c>
      <c r="M942" s="747">
        <f t="shared" si="100"/>
        <v>-8481.6000000000058</v>
      </c>
      <c r="N942" s="748">
        <v>55.7</v>
      </c>
      <c r="O942" s="607">
        <f t="shared" si="101"/>
        <v>207204</v>
      </c>
      <c r="P942" s="702">
        <f t="shared" si="102"/>
        <v>-56916</v>
      </c>
      <c r="Q942" s="748">
        <v>96.206580759134184</v>
      </c>
      <c r="R942" s="607">
        <f t="shared" si="103"/>
        <v>357888.48042397917</v>
      </c>
      <c r="S942" s="702">
        <f t="shared" si="104"/>
        <v>93768.48042397917</v>
      </c>
      <c r="T942" s="696" t="s">
        <v>54</v>
      </c>
    </row>
    <row r="943" spans="1:20" x14ac:dyDescent="0.25">
      <c r="A943" s="690"/>
      <c r="B943" s="691" t="s">
        <v>2641</v>
      </c>
      <c r="C943" s="676" t="s">
        <v>40</v>
      </c>
      <c r="D943" s="680">
        <v>44958</v>
      </c>
      <c r="E943" s="676">
        <v>672</v>
      </c>
      <c r="F943" s="676" t="s">
        <v>3</v>
      </c>
      <c r="G943" s="690" t="s">
        <v>44</v>
      </c>
      <c r="H943" s="115">
        <v>5</v>
      </c>
      <c r="I943" s="115">
        <v>71</v>
      </c>
      <c r="J943" s="601">
        <f t="shared" si="98"/>
        <v>-238560</v>
      </c>
      <c r="K943" s="738">
        <v>69.25</v>
      </c>
      <c r="L943" s="677">
        <f t="shared" si="99"/>
        <v>232680</v>
      </c>
      <c r="M943" s="739">
        <f t="shared" si="100"/>
        <v>-5880</v>
      </c>
      <c r="N943" s="740">
        <v>55.7</v>
      </c>
      <c r="O943" s="678">
        <f t="shared" si="101"/>
        <v>187152</v>
      </c>
      <c r="P943" s="700">
        <f t="shared" si="102"/>
        <v>-51408</v>
      </c>
      <c r="Q943" s="740">
        <v>92.430648861364247</v>
      </c>
      <c r="R943" s="678">
        <f t="shared" si="103"/>
        <v>310566.98017418385</v>
      </c>
      <c r="S943" s="700">
        <f t="shared" si="104"/>
        <v>72006.980174183846</v>
      </c>
      <c r="T943" s="691" t="s">
        <v>54</v>
      </c>
    </row>
    <row r="944" spans="1:20" x14ac:dyDescent="0.25">
      <c r="A944" s="690"/>
      <c r="B944" s="691" t="s">
        <v>2641</v>
      </c>
      <c r="C944" s="676" t="s">
        <v>40</v>
      </c>
      <c r="D944" s="680">
        <v>44986</v>
      </c>
      <c r="E944" s="676">
        <v>744</v>
      </c>
      <c r="F944" s="676" t="s">
        <v>3</v>
      </c>
      <c r="G944" s="690" t="s">
        <v>44</v>
      </c>
      <c r="H944" s="115">
        <v>5</v>
      </c>
      <c r="I944" s="115">
        <v>71</v>
      </c>
      <c r="J944" s="601">
        <f t="shared" si="98"/>
        <v>-264120</v>
      </c>
      <c r="K944" s="738">
        <v>69.3</v>
      </c>
      <c r="L944" s="677">
        <f t="shared" si="99"/>
        <v>257796</v>
      </c>
      <c r="M944" s="739">
        <f t="shared" si="100"/>
        <v>-6324</v>
      </c>
      <c r="N944" s="740">
        <v>55.7</v>
      </c>
      <c r="O944" s="678">
        <f t="shared" si="101"/>
        <v>207204</v>
      </c>
      <c r="P944" s="700">
        <f t="shared" si="102"/>
        <v>-56916</v>
      </c>
      <c r="Q944" s="740">
        <v>89.053218420260009</v>
      </c>
      <c r="R944" s="678">
        <f t="shared" si="103"/>
        <v>331277.97252336721</v>
      </c>
      <c r="S944" s="700">
        <f t="shared" si="104"/>
        <v>67157.972523367207</v>
      </c>
      <c r="T944" s="691" t="s">
        <v>54</v>
      </c>
    </row>
    <row r="945" spans="1:20" x14ac:dyDescent="0.25">
      <c r="A945" s="690"/>
      <c r="B945" s="691" t="s">
        <v>2641</v>
      </c>
      <c r="C945" s="676" t="s">
        <v>40</v>
      </c>
      <c r="D945" s="680">
        <v>45017</v>
      </c>
      <c r="E945" s="676">
        <v>720</v>
      </c>
      <c r="F945" s="676" t="s">
        <v>3</v>
      </c>
      <c r="G945" s="690" t="s">
        <v>44</v>
      </c>
      <c r="H945" s="115">
        <v>5</v>
      </c>
      <c r="I945" s="115">
        <v>71</v>
      </c>
      <c r="J945" s="601">
        <f t="shared" si="98"/>
        <v>-255600</v>
      </c>
      <c r="K945" s="738">
        <v>69.8</v>
      </c>
      <c r="L945" s="677">
        <f t="shared" si="99"/>
        <v>251280</v>
      </c>
      <c r="M945" s="739">
        <f t="shared" si="100"/>
        <v>-4320</v>
      </c>
      <c r="N945" s="740">
        <v>55.7</v>
      </c>
      <c r="O945" s="678">
        <f t="shared" si="101"/>
        <v>200520</v>
      </c>
      <c r="P945" s="700">
        <f t="shared" si="102"/>
        <v>-55080</v>
      </c>
      <c r="Q945" s="740">
        <v>85.732008718771311</v>
      </c>
      <c r="R945" s="678">
        <f t="shared" si="103"/>
        <v>308635.23138757673</v>
      </c>
      <c r="S945" s="700">
        <f t="shared" si="104"/>
        <v>53035.231387576729</v>
      </c>
      <c r="T945" s="691" t="s">
        <v>54</v>
      </c>
    </row>
    <row r="946" spans="1:20" x14ac:dyDescent="0.25">
      <c r="A946" s="690"/>
      <c r="B946" s="695" t="s">
        <v>2641</v>
      </c>
      <c r="C946" s="545" t="s">
        <v>40</v>
      </c>
      <c r="D946" s="681">
        <v>45047</v>
      </c>
      <c r="E946" s="545">
        <v>744</v>
      </c>
      <c r="F946" s="545" t="s">
        <v>3</v>
      </c>
      <c r="G946" s="725" t="s">
        <v>44</v>
      </c>
      <c r="H946" s="548">
        <v>5</v>
      </c>
      <c r="I946" s="548">
        <v>71</v>
      </c>
      <c r="J946" s="602">
        <f t="shared" si="98"/>
        <v>-264120</v>
      </c>
      <c r="K946" s="742">
        <v>70.2</v>
      </c>
      <c r="L946" s="603">
        <f t="shared" si="99"/>
        <v>261144</v>
      </c>
      <c r="M946" s="743">
        <f t="shared" si="100"/>
        <v>-2976</v>
      </c>
      <c r="N946" s="744">
        <v>55.7</v>
      </c>
      <c r="O946" s="604">
        <f t="shared" si="101"/>
        <v>207204</v>
      </c>
      <c r="P946" s="701">
        <f t="shared" si="102"/>
        <v>-56916</v>
      </c>
      <c r="Q946" s="744">
        <v>86.223309628334476</v>
      </c>
      <c r="R946" s="604">
        <f t="shared" si="103"/>
        <v>320750.71181740426</v>
      </c>
      <c r="S946" s="701">
        <f t="shared" si="104"/>
        <v>56630.711817404255</v>
      </c>
      <c r="T946" s="695" t="s">
        <v>54</v>
      </c>
    </row>
    <row r="947" spans="1:20" x14ac:dyDescent="0.25">
      <c r="A947" s="690"/>
      <c r="B947" s="696" t="s">
        <v>2645</v>
      </c>
      <c r="C947" s="546" t="s">
        <v>40</v>
      </c>
      <c r="D947" s="682">
        <v>44927</v>
      </c>
      <c r="E947" s="546">
        <v>744</v>
      </c>
      <c r="F947" s="546" t="s">
        <v>3</v>
      </c>
      <c r="G947" s="726" t="s">
        <v>44</v>
      </c>
      <c r="H947" s="549">
        <v>20</v>
      </c>
      <c r="I947" s="549">
        <v>70</v>
      </c>
      <c r="J947" s="605">
        <f t="shared" si="98"/>
        <v>-1041600</v>
      </c>
      <c r="K947" s="746">
        <v>68.72</v>
      </c>
      <c r="L947" s="606">
        <f t="shared" si="99"/>
        <v>1022553.6</v>
      </c>
      <c r="M947" s="747">
        <f t="shared" si="100"/>
        <v>-19046.400000000023</v>
      </c>
      <c r="N947" s="748">
        <v>55.7</v>
      </c>
      <c r="O947" s="607">
        <f t="shared" si="101"/>
        <v>828816</v>
      </c>
      <c r="P947" s="702">
        <f t="shared" si="102"/>
        <v>-212784</v>
      </c>
      <c r="Q947" s="748">
        <v>96.206580759134184</v>
      </c>
      <c r="R947" s="607">
        <f t="shared" si="103"/>
        <v>1431553.9216959167</v>
      </c>
      <c r="S947" s="702">
        <f t="shared" si="104"/>
        <v>389953.92169591668</v>
      </c>
      <c r="T947" s="696" t="s">
        <v>54</v>
      </c>
    </row>
    <row r="948" spans="1:20" x14ac:dyDescent="0.25">
      <c r="A948" s="690"/>
      <c r="B948" s="691" t="s">
        <v>2645</v>
      </c>
      <c r="C948" s="676" t="s">
        <v>40</v>
      </c>
      <c r="D948" s="680">
        <v>44958</v>
      </c>
      <c r="E948" s="676">
        <v>672</v>
      </c>
      <c r="F948" s="676" t="s">
        <v>3</v>
      </c>
      <c r="G948" s="690" t="s">
        <v>44</v>
      </c>
      <c r="H948" s="115">
        <v>20</v>
      </c>
      <c r="I948" s="115">
        <v>70</v>
      </c>
      <c r="J948" s="601">
        <f t="shared" si="98"/>
        <v>-940800</v>
      </c>
      <c r="K948" s="738">
        <v>69.25</v>
      </c>
      <c r="L948" s="677">
        <f t="shared" si="99"/>
        <v>930720</v>
      </c>
      <c r="M948" s="739">
        <f t="shared" si="100"/>
        <v>-10080</v>
      </c>
      <c r="N948" s="740">
        <v>55.7</v>
      </c>
      <c r="O948" s="678">
        <f t="shared" si="101"/>
        <v>748608</v>
      </c>
      <c r="P948" s="700">
        <f t="shared" si="102"/>
        <v>-192192</v>
      </c>
      <c r="Q948" s="740">
        <v>92.430648861364247</v>
      </c>
      <c r="R948" s="678">
        <f t="shared" si="103"/>
        <v>1242267.9206967354</v>
      </c>
      <c r="S948" s="700">
        <f t="shared" si="104"/>
        <v>301467.92069673538</v>
      </c>
      <c r="T948" s="691" t="s">
        <v>54</v>
      </c>
    </row>
    <row r="949" spans="1:20" x14ac:dyDescent="0.25">
      <c r="A949" s="690"/>
      <c r="B949" s="695" t="s">
        <v>2645</v>
      </c>
      <c r="C949" s="545" t="s">
        <v>40</v>
      </c>
      <c r="D949" s="681">
        <v>44986</v>
      </c>
      <c r="E949" s="545">
        <v>744</v>
      </c>
      <c r="F949" s="545" t="s">
        <v>3</v>
      </c>
      <c r="G949" s="725" t="s">
        <v>44</v>
      </c>
      <c r="H949" s="548">
        <v>20</v>
      </c>
      <c r="I949" s="548">
        <v>70</v>
      </c>
      <c r="J949" s="602">
        <f t="shared" si="98"/>
        <v>-1041600</v>
      </c>
      <c r="K949" s="742">
        <v>69.3</v>
      </c>
      <c r="L949" s="603">
        <f t="shared" si="99"/>
        <v>1031184</v>
      </c>
      <c r="M949" s="743">
        <f t="shared" si="100"/>
        <v>-10416</v>
      </c>
      <c r="N949" s="744">
        <v>55.7</v>
      </c>
      <c r="O949" s="604">
        <f t="shared" si="101"/>
        <v>828816</v>
      </c>
      <c r="P949" s="701">
        <f t="shared" si="102"/>
        <v>-212784</v>
      </c>
      <c r="Q949" s="744">
        <v>89.053218420260009</v>
      </c>
      <c r="R949" s="604">
        <f t="shared" si="103"/>
        <v>1325111.8900934688</v>
      </c>
      <c r="S949" s="701">
        <f t="shared" si="104"/>
        <v>283511.89009346883</v>
      </c>
      <c r="T949" s="695" t="s">
        <v>54</v>
      </c>
    </row>
    <row r="950" spans="1:20" x14ac:dyDescent="0.25">
      <c r="A950" s="690"/>
      <c r="B950" s="696" t="s">
        <v>2647</v>
      </c>
      <c r="C950" s="546" t="s">
        <v>40</v>
      </c>
      <c r="D950" s="682">
        <v>44927</v>
      </c>
      <c r="E950" s="546">
        <v>744</v>
      </c>
      <c r="F950" s="546" t="s">
        <v>3</v>
      </c>
      <c r="G950" s="726" t="s">
        <v>44</v>
      </c>
      <c r="H950" s="549">
        <v>2</v>
      </c>
      <c r="I950" s="549">
        <v>70</v>
      </c>
      <c r="J950" s="605">
        <f t="shared" si="98"/>
        <v>-104160</v>
      </c>
      <c r="K950" s="746">
        <v>68.72</v>
      </c>
      <c r="L950" s="606">
        <f t="shared" si="99"/>
        <v>102255.36</v>
      </c>
      <c r="M950" s="747">
        <f t="shared" si="100"/>
        <v>-1904.6399999999994</v>
      </c>
      <c r="N950" s="748">
        <v>55.7</v>
      </c>
      <c r="O950" s="607">
        <f t="shared" si="101"/>
        <v>82881.600000000006</v>
      </c>
      <c r="P950" s="702">
        <f t="shared" si="102"/>
        <v>-21278.399999999994</v>
      </c>
      <c r="Q950" s="748">
        <v>96.206580759134184</v>
      </c>
      <c r="R950" s="607">
        <f t="shared" si="103"/>
        <v>143155.39216959168</v>
      </c>
      <c r="S950" s="702">
        <f t="shared" si="104"/>
        <v>38995.39216959168</v>
      </c>
      <c r="T950" s="696" t="s">
        <v>54</v>
      </c>
    </row>
    <row r="951" spans="1:20" x14ac:dyDescent="0.25">
      <c r="A951" s="690"/>
      <c r="B951" s="691" t="s">
        <v>2647</v>
      </c>
      <c r="C951" s="676" t="s">
        <v>40</v>
      </c>
      <c r="D951" s="680">
        <v>44958</v>
      </c>
      <c r="E951" s="676">
        <v>672</v>
      </c>
      <c r="F951" s="676" t="s">
        <v>3</v>
      </c>
      <c r="G951" s="690" t="s">
        <v>44</v>
      </c>
      <c r="H951" s="115">
        <v>2</v>
      </c>
      <c r="I951" s="115">
        <v>70</v>
      </c>
      <c r="J951" s="601">
        <f t="shared" si="98"/>
        <v>-94080</v>
      </c>
      <c r="K951" s="738">
        <v>69.25</v>
      </c>
      <c r="L951" s="677">
        <f t="shared" si="99"/>
        <v>93072</v>
      </c>
      <c r="M951" s="739">
        <f t="shared" si="100"/>
        <v>-1008</v>
      </c>
      <c r="N951" s="740">
        <v>55.7</v>
      </c>
      <c r="O951" s="678">
        <f t="shared" si="101"/>
        <v>74860.800000000003</v>
      </c>
      <c r="P951" s="700">
        <f t="shared" si="102"/>
        <v>-19219.199999999997</v>
      </c>
      <c r="Q951" s="740">
        <v>92.430648861364247</v>
      </c>
      <c r="R951" s="678">
        <f t="shared" si="103"/>
        <v>124226.79206967355</v>
      </c>
      <c r="S951" s="700">
        <f t="shared" si="104"/>
        <v>30146.792069673553</v>
      </c>
      <c r="T951" s="691" t="s">
        <v>54</v>
      </c>
    </row>
    <row r="952" spans="1:20" x14ac:dyDescent="0.25">
      <c r="A952" s="690"/>
      <c r="B952" s="695" t="s">
        <v>2647</v>
      </c>
      <c r="C952" s="545" t="s">
        <v>40</v>
      </c>
      <c r="D952" s="681">
        <v>44986</v>
      </c>
      <c r="E952" s="545">
        <v>744</v>
      </c>
      <c r="F952" s="545" t="s">
        <v>3</v>
      </c>
      <c r="G952" s="725" t="s">
        <v>44</v>
      </c>
      <c r="H952" s="548">
        <v>2</v>
      </c>
      <c r="I952" s="548">
        <v>70</v>
      </c>
      <c r="J952" s="602">
        <f t="shared" si="98"/>
        <v>-104160</v>
      </c>
      <c r="K952" s="742">
        <v>69.3</v>
      </c>
      <c r="L952" s="603">
        <f t="shared" si="99"/>
        <v>103118.39999999999</v>
      </c>
      <c r="M952" s="743">
        <f t="shared" si="100"/>
        <v>-1041.6000000000058</v>
      </c>
      <c r="N952" s="744">
        <v>55.7</v>
      </c>
      <c r="O952" s="604">
        <f t="shared" si="101"/>
        <v>82881.600000000006</v>
      </c>
      <c r="P952" s="701">
        <f t="shared" si="102"/>
        <v>-21278.399999999994</v>
      </c>
      <c r="Q952" s="744">
        <v>89.053218420260009</v>
      </c>
      <c r="R952" s="604">
        <f t="shared" si="103"/>
        <v>132511.18900934688</v>
      </c>
      <c r="S952" s="701">
        <f t="shared" si="104"/>
        <v>28351.189009346883</v>
      </c>
      <c r="T952" s="695" t="s">
        <v>54</v>
      </c>
    </row>
    <row r="953" spans="1:20" x14ac:dyDescent="0.25">
      <c r="A953" s="690"/>
      <c r="B953" s="697" t="s">
        <v>2651</v>
      </c>
      <c r="C953" s="547" t="s">
        <v>40</v>
      </c>
      <c r="D953" s="683">
        <v>44896</v>
      </c>
      <c r="E953" s="547">
        <v>744</v>
      </c>
      <c r="F953" s="547" t="s">
        <v>6</v>
      </c>
      <c r="G953" s="727" t="s">
        <v>44</v>
      </c>
      <c r="H953" s="638">
        <v>1.915</v>
      </c>
      <c r="I953" s="638">
        <v>205.2</v>
      </c>
      <c r="J953" s="639">
        <f t="shared" si="98"/>
        <v>-292360.75199999998</v>
      </c>
      <c r="K953" s="750">
        <v>215.7</v>
      </c>
      <c r="L953" s="608">
        <f t="shared" si="99"/>
        <v>307320.73199999996</v>
      </c>
      <c r="M953" s="751">
        <f t="shared" si="100"/>
        <v>14959.979999999981</v>
      </c>
      <c r="N953" s="752">
        <v>215.7</v>
      </c>
      <c r="O953" s="609">
        <f t="shared" si="101"/>
        <v>307320.73199999996</v>
      </c>
      <c r="P953" s="703">
        <f t="shared" si="102"/>
        <v>14959.979999999981</v>
      </c>
      <c r="Q953" s="752">
        <v>215.7</v>
      </c>
      <c r="R953" s="609">
        <f t="shared" si="103"/>
        <v>307320.73199999996</v>
      </c>
      <c r="S953" s="703">
        <f t="shared" si="104"/>
        <v>14959.979999999981</v>
      </c>
      <c r="T953" s="697" t="s">
        <v>92</v>
      </c>
    </row>
    <row r="954" spans="1:20" x14ac:dyDescent="0.25">
      <c r="A954" s="690"/>
      <c r="B954" s="697" t="s">
        <v>2656</v>
      </c>
      <c r="C954" s="547" t="s">
        <v>40</v>
      </c>
      <c r="D954" s="683">
        <v>44896</v>
      </c>
      <c r="E954" s="547">
        <v>744</v>
      </c>
      <c r="F954" s="547" t="s">
        <v>6</v>
      </c>
      <c r="G954" s="727" t="s">
        <v>44</v>
      </c>
      <c r="H954" s="638">
        <v>1.885</v>
      </c>
      <c r="I954" s="638">
        <v>205.7</v>
      </c>
      <c r="J954" s="639">
        <f t="shared" si="98"/>
        <v>-288481.908</v>
      </c>
      <c r="K954" s="750">
        <v>215.7</v>
      </c>
      <c r="L954" s="608">
        <f t="shared" si="99"/>
        <v>302506.30800000002</v>
      </c>
      <c r="M954" s="751">
        <f t="shared" si="100"/>
        <v>14024.400000000023</v>
      </c>
      <c r="N954" s="752">
        <v>215.7</v>
      </c>
      <c r="O954" s="609">
        <f t="shared" si="101"/>
        <v>302506.30800000002</v>
      </c>
      <c r="P954" s="703">
        <f t="shared" si="102"/>
        <v>14024.400000000023</v>
      </c>
      <c r="Q954" s="752">
        <v>215.7</v>
      </c>
      <c r="R954" s="609">
        <f t="shared" si="103"/>
        <v>302506.30800000002</v>
      </c>
      <c r="S954" s="703">
        <f t="shared" si="104"/>
        <v>14024.400000000023</v>
      </c>
      <c r="T954" s="697" t="s">
        <v>92</v>
      </c>
    </row>
    <row r="955" spans="1:20" x14ac:dyDescent="0.25">
      <c r="A955" s="690"/>
      <c r="B955" s="697" t="s">
        <v>2659</v>
      </c>
      <c r="C955" s="547" t="s">
        <v>40</v>
      </c>
      <c r="D955" s="683">
        <v>44896</v>
      </c>
      <c r="E955" s="547">
        <v>744</v>
      </c>
      <c r="F955" s="547" t="s">
        <v>6</v>
      </c>
      <c r="G955" s="727" t="s">
        <v>44</v>
      </c>
      <c r="H955" s="638">
        <v>1.2</v>
      </c>
      <c r="I955" s="638">
        <v>205.7</v>
      </c>
      <c r="J955" s="639">
        <f t="shared" si="98"/>
        <v>-183648.96</v>
      </c>
      <c r="K955" s="750">
        <v>215.7</v>
      </c>
      <c r="L955" s="608">
        <f t="shared" si="99"/>
        <v>192576.96</v>
      </c>
      <c r="M955" s="751">
        <f t="shared" si="100"/>
        <v>8928</v>
      </c>
      <c r="N955" s="752">
        <v>215.7</v>
      </c>
      <c r="O955" s="609">
        <f t="shared" si="101"/>
        <v>192576.96</v>
      </c>
      <c r="P955" s="703">
        <f t="shared" si="102"/>
        <v>8928</v>
      </c>
      <c r="Q955" s="752">
        <v>215.7</v>
      </c>
      <c r="R955" s="609">
        <f t="shared" si="103"/>
        <v>192576.96</v>
      </c>
      <c r="S955" s="703">
        <f t="shared" si="104"/>
        <v>8928</v>
      </c>
      <c r="T955" s="697" t="s">
        <v>92</v>
      </c>
    </row>
    <row r="956" spans="1:20" x14ac:dyDescent="0.25">
      <c r="A956" s="690"/>
      <c r="B956" s="697" t="s">
        <v>2661</v>
      </c>
      <c r="C956" s="547" t="s">
        <v>40</v>
      </c>
      <c r="D956" s="683">
        <v>44896</v>
      </c>
      <c r="E956" s="547">
        <v>744</v>
      </c>
      <c r="F956" s="547" t="s">
        <v>6</v>
      </c>
      <c r="G956" s="727" t="s">
        <v>44</v>
      </c>
      <c r="H956" s="638">
        <v>5</v>
      </c>
      <c r="I956" s="638">
        <v>205.2</v>
      </c>
      <c r="J956" s="639">
        <f t="shared" si="98"/>
        <v>-763344</v>
      </c>
      <c r="K956" s="750">
        <v>215.7</v>
      </c>
      <c r="L956" s="608">
        <f t="shared" si="99"/>
        <v>802404</v>
      </c>
      <c r="M956" s="751">
        <f t="shared" si="100"/>
        <v>39060</v>
      </c>
      <c r="N956" s="752">
        <v>215.7</v>
      </c>
      <c r="O956" s="609">
        <f t="shared" si="101"/>
        <v>802404</v>
      </c>
      <c r="P956" s="703">
        <f t="shared" si="102"/>
        <v>39060</v>
      </c>
      <c r="Q956" s="752">
        <v>215.7</v>
      </c>
      <c r="R956" s="609">
        <f t="shared" si="103"/>
        <v>802404</v>
      </c>
      <c r="S956" s="703">
        <f t="shared" si="104"/>
        <v>39060</v>
      </c>
      <c r="T956" s="697" t="s">
        <v>92</v>
      </c>
    </row>
    <row r="957" spans="1:20" x14ac:dyDescent="0.25">
      <c r="A957" s="690"/>
      <c r="B957" s="696" t="s">
        <v>2668</v>
      </c>
      <c r="C957" s="546" t="s">
        <v>40</v>
      </c>
      <c r="D957" s="682">
        <v>44927</v>
      </c>
      <c r="E957" s="546">
        <v>744</v>
      </c>
      <c r="F957" s="546" t="s">
        <v>3</v>
      </c>
      <c r="G957" s="726" t="s">
        <v>44</v>
      </c>
      <c r="H957" s="549">
        <v>10</v>
      </c>
      <c r="I957" s="549">
        <v>69.5</v>
      </c>
      <c r="J957" s="605">
        <f t="shared" si="98"/>
        <v>-517080</v>
      </c>
      <c r="K957" s="746">
        <v>68.72</v>
      </c>
      <c r="L957" s="606">
        <f t="shared" si="99"/>
        <v>511276.79999999999</v>
      </c>
      <c r="M957" s="747">
        <f t="shared" si="100"/>
        <v>-5803.2000000000116</v>
      </c>
      <c r="N957" s="748">
        <v>55.7</v>
      </c>
      <c r="O957" s="607">
        <f t="shared" si="101"/>
        <v>414408</v>
      </c>
      <c r="P957" s="702">
        <f t="shared" si="102"/>
        <v>-102672</v>
      </c>
      <c r="Q957" s="748">
        <v>96.206580759134184</v>
      </c>
      <c r="R957" s="607">
        <f t="shared" si="103"/>
        <v>715776.96084795834</v>
      </c>
      <c r="S957" s="702">
        <f t="shared" si="104"/>
        <v>198696.96084795834</v>
      </c>
      <c r="T957" s="696" t="s">
        <v>54</v>
      </c>
    </row>
    <row r="958" spans="1:20" x14ac:dyDescent="0.25">
      <c r="A958" s="690"/>
      <c r="B958" s="691" t="s">
        <v>2668</v>
      </c>
      <c r="C958" s="676" t="s">
        <v>40</v>
      </c>
      <c r="D958" s="680">
        <v>44958</v>
      </c>
      <c r="E958" s="676">
        <v>672</v>
      </c>
      <c r="F958" s="676" t="s">
        <v>3</v>
      </c>
      <c r="G958" s="690" t="s">
        <v>44</v>
      </c>
      <c r="H958" s="115">
        <v>10</v>
      </c>
      <c r="I958" s="115">
        <v>69.5</v>
      </c>
      <c r="J958" s="601">
        <f t="shared" si="98"/>
        <v>-467040</v>
      </c>
      <c r="K958" s="738">
        <v>69.25</v>
      </c>
      <c r="L958" s="677">
        <f t="shared" si="99"/>
        <v>465360</v>
      </c>
      <c r="M958" s="739">
        <f t="shared" si="100"/>
        <v>-1680</v>
      </c>
      <c r="N958" s="740">
        <v>55.7</v>
      </c>
      <c r="O958" s="678">
        <f t="shared" si="101"/>
        <v>374304</v>
      </c>
      <c r="P958" s="700">
        <f t="shared" si="102"/>
        <v>-92736</v>
      </c>
      <c r="Q958" s="740">
        <v>92.430648861364247</v>
      </c>
      <c r="R958" s="678">
        <f t="shared" si="103"/>
        <v>621133.96034836769</v>
      </c>
      <c r="S958" s="700">
        <f t="shared" si="104"/>
        <v>154093.96034836769</v>
      </c>
      <c r="T958" s="691" t="s">
        <v>54</v>
      </c>
    </row>
    <row r="959" spans="1:20" x14ac:dyDescent="0.25">
      <c r="A959" s="690"/>
      <c r="B959" s="695" t="s">
        <v>2668</v>
      </c>
      <c r="C959" s="545" t="s">
        <v>40</v>
      </c>
      <c r="D959" s="681">
        <v>44986</v>
      </c>
      <c r="E959" s="545">
        <v>744</v>
      </c>
      <c r="F959" s="545" t="s">
        <v>3</v>
      </c>
      <c r="G959" s="725" t="s">
        <v>44</v>
      </c>
      <c r="H959" s="548">
        <v>10</v>
      </c>
      <c r="I959" s="548">
        <v>69.5</v>
      </c>
      <c r="J959" s="602">
        <f t="shared" si="98"/>
        <v>-517080</v>
      </c>
      <c r="K959" s="742">
        <v>69.3</v>
      </c>
      <c r="L959" s="603">
        <f t="shared" si="99"/>
        <v>515592</v>
      </c>
      <c r="M959" s="743">
        <f t="shared" si="100"/>
        <v>-1488</v>
      </c>
      <c r="N959" s="744">
        <v>55.7</v>
      </c>
      <c r="O959" s="604">
        <f t="shared" si="101"/>
        <v>414408</v>
      </c>
      <c r="P959" s="701">
        <f t="shared" si="102"/>
        <v>-102672</v>
      </c>
      <c r="Q959" s="744">
        <v>89.053218420260009</v>
      </c>
      <c r="R959" s="604">
        <f t="shared" si="103"/>
        <v>662555.94504673441</v>
      </c>
      <c r="S959" s="701">
        <f t="shared" si="104"/>
        <v>145475.94504673441</v>
      </c>
      <c r="T959" s="695" t="s">
        <v>54</v>
      </c>
    </row>
    <row r="960" spans="1:20" x14ac:dyDescent="0.25">
      <c r="A960" s="690"/>
      <c r="B960" s="696" t="s">
        <v>2670</v>
      </c>
      <c r="C960" s="546" t="s">
        <v>40</v>
      </c>
      <c r="D960" s="682">
        <v>44927</v>
      </c>
      <c r="E960" s="546">
        <v>744</v>
      </c>
      <c r="F960" s="546" t="s">
        <v>3</v>
      </c>
      <c r="G960" s="726" t="s">
        <v>44</v>
      </c>
      <c r="H960" s="549">
        <v>10</v>
      </c>
      <c r="I960" s="549">
        <v>69.5</v>
      </c>
      <c r="J960" s="605">
        <f t="shared" si="98"/>
        <v>-517080</v>
      </c>
      <c r="K960" s="746">
        <v>68.72</v>
      </c>
      <c r="L960" s="606">
        <f t="shared" si="99"/>
        <v>511276.79999999999</v>
      </c>
      <c r="M960" s="747">
        <f t="shared" si="100"/>
        <v>-5803.2000000000116</v>
      </c>
      <c r="N960" s="748">
        <v>55.7</v>
      </c>
      <c r="O960" s="607">
        <f t="shared" si="101"/>
        <v>414408</v>
      </c>
      <c r="P960" s="702">
        <f t="shared" si="102"/>
        <v>-102672</v>
      </c>
      <c r="Q960" s="748">
        <v>96.206580759134184</v>
      </c>
      <c r="R960" s="607">
        <f t="shared" si="103"/>
        <v>715776.96084795834</v>
      </c>
      <c r="S960" s="702">
        <f t="shared" si="104"/>
        <v>198696.96084795834</v>
      </c>
      <c r="T960" s="696" t="s">
        <v>54</v>
      </c>
    </row>
    <row r="961" spans="1:20" x14ac:dyDescent="0.25">
      <c r="A961" s="690"/>
      <c r="B961" s="691" t="s">
        <v>2670</v>
      </c>
      <c r="C961" s="676" t="s">
        <v>40</v>
      </c>
      <c r="D961" s="680">
        <v>44958</v>
      </c>
      <c r="E961" s="676">
        <v>672</v>
      </c>
      <c r="F961" s="676" t="s">
        <v>3</v>
      </c>
      <c r="G961" s="690" t="s">
        <v>44</v>
      </c>
      <c r="H961" s="115">
        <v>10</v>
      </c>
      <c r="I961" s="115">
        <v>69.5</v>
      </c>
      <c r="J961" s="601">
        <f t="shared" si="98"/>
        <v>-467040</v>
      </c>
      <c r="K961" s="738">
        <v>69.25</v>
      </c>
      <c r="L961" s="677">
        <f t="shared" si="99"/>
        <v>465360</v>
      </c>
      <c r="M961" s="739">
        <f t="shared" si="100"/>
        <v>-1680</v>
      </c>
      <c r="N961" s="740">
        <v>55.7</v>
      </c>
      <c r="O961" s="678">
        <f t="shared" si="101"/>
        <v>374304</v>
      </c>
      <c r="P961" s="700">
        <f t="shared" si="102"/>
        <v>-92736</v>
      </c>
      <c r="Q961" s="740">
        <v>92.430648861364247</v>
      </c>
      <c r="R961" s="678">
        <f t="shared" si="103"/>
        <v>621133.96034836769</v>
      </c>
      <c r="S961" s="700">
        <f t="shared" si="104"/>
        <v>154093.96034836769</v>
      </c>
      <c r="T961" s="691" t="s">
        <v>54</v>
      </c>
    </row>
    <row r="962" spans="1:20" x14ac:dyDescent="0.25">
      <c r="A962" s="690"/>
      <c r="B962" s="695" t="s">
        <v>2670</v>
      </c>
      <c r="C962" s="545" t="s">
        <v>40</v>
      </c>
      <c r="D962" s="681">
        <v>44986</v>
      </c>
      <c r="E962" s="545">
        <v>744</v>
      </c>
      <c r="F962" s="545" t="s">
        <v>3</v>
      </c>
      <c r="G962" s="725" t="s">
        <v>44</v>
      </c>
      <c r="H962" s="548">
        <v>10</v>
      </c>
      <c r="I962" s="548">
        <v>69.5</v>
      </c>
      <c r="J962" s="602">
        <f t="shared" si="98"/>
        <v>-517080</v>
      </c>
      <c r="K962" s="742">
        <v>69.3</v>
      </c>
      <c r="L962" s="603">
        <f t="shared" si="99"/>
        <v>515592</v>
      </c>
      <c r="M962" s="743">
        <f t="shared" si="100"/>
        <v>-1488</v>
      </c>
      <c r="N962" s="744">
        <v>55.7</v>
      </c>
      <c r="O962" s="604">
        <f t="shared" si="101"/>
        <v>414408</v>
      </c>
      <c r="P962" s="701">
        <f t="shared" si="102"/>
        <v>-102672</v>
      </c>
      <c r="Q962" s="744">
        <v>89.053218420260009</v>
      </c>
      <c r="R962" s="604">
        <f t="shared" si="103"/>
        <v>662555.94504673441</v>
      </c>
      <c r="S962" s="701">
        <f t="shared" si="104"/>
        <v>145475.94504673441</v>
      </c>
      <c r="T962" s="695" t="s">
        <v>54</v>
      </c>
    </row>
    <row r="963" spans="1:20" x14ac:dyDescent="0.25">
      <c r="A963" s="690"/>
      <c r="B963" s="696" t="s">
        <v>2672</v>
      </c>
      <c r="C963" s="546" t="s">
        <v>40</v>
      </c>
      <c r="D963" s="682">
        <v>44927</v>
      </c>
      <c r="E963" s="546">
        <v>744</v>
      </c>
      <c r="F963" s="546" t="s">
        <v>3</v>
      </c>
      <c r="G963" s="726" t="s">
        <v>44</v>
      </c>
      <c r="H963" s="549">
        <v>0.5</v>
      </c>
      <c r="I963" s="549">
        <v>70</v>
      </c>
      <c r="J963" s="605">
        <f t="shared" ref="J963:J965" si="105">(I963*(E963*H963))*-1</f>
        <v>-26040</v>
      </c>
      <c r="K963" s="746">
        <v>68.72</v>
      </c>
      <c r="L963" s="606">
        <f t="shared" ref="L963:L965" si="106">(((E963*H963)*K963))</f>
        <v>25563.84</v>
      </c>
      <c r="M963" s="747">
        <f t="shared" ref="M963:M965" si="107">J963+L963</f>
        <v>-476.15999999999985</v>
      </c>
      <c r="N963" s="748">
        <v>55.7</v>
      </c>
      <c r="O963" s="607">
        <f t="shared" ref="O963:O965" si="108">((E963*H963)*N963)</f>
        <v>20720.400000000001</v>
      </c>
      <c r="P963" s="702">
        <f t="shared" ref="P963:P965" si="109">J963+O963</f>
        <v>-5319.5999999999985</v>
      </c>
      <c r="Q963" s="748">
        <v>96.206580759134184</v>
      </c>
      <c r="R963" s="607">
        <f t="shared" ref="R963:R965" si="110">((E963*H963)*Q963)</f>
        <v>35788.84804239792</v>
      </c>
      <c r="S963" s="702">
        <f t="shared" ref="S963:S965" si="111">J963+R963</f>
        <v>9748.8480423979199</v>
      </c>
      <c r="T963" s="696" t="s">
        <v>54</v>
      </c>
    </row>
    <row r="964" spans="1:20" x14ac:dyDescent="0.25">
      <c r="A964" s="690"/>
      <c r="B964" s="691" t="s">
        <v>2672</v>
      </c>
      <c r="C964" s="676" t="s">
        <v>40</v>
      </c>
      <c r="D964" s="680">
        <v>44958</v>
      </c>
      <c r="E964" s="676">
        <v>672</v>
      </c>
      <c r="F964" s="676" t="s">
        <v>3</v>
      </c>
      <c r="G964" s="690" t="s">
        <v>44</v>
      </c>
      <c r="H964" s="115">
        <v>0.5</v>
      </c>
      <c r="I964" s="115">
        <v>70</v>
      </c>
      <c r="J964" s="601">
        <f t="shared" si="105"/>
        <v>-23520</v>
      </c>
      <c r="K964" s="738">
        <v>69.25</v>
      </c>
      <c r="L964" s="677">
        <f t="shared" si="106"/>
        <v>23268</v>
      </c>
      <c r="M964" s="739">
        <f t="shared" si="107"/>
        <v>-252</v>
      </c>
      <c r="N964" s="740">
        <v>55.7</v>
      </c>
      <c r="O964" s="678">
        <f t="shared" si="108"/>
        <v>18715.2</v>
      </c>
      <c r="P964" s="700">
        <f t="shared" si="109"/>
        <v>-4804.7999999999993</v>
      </c>
      <c r="Q964" s="740">
        <v>92.430648861364247</v>
      </c>
      <c r="R964" s="678">
        <f t="shared" si="110"/>
        <v>31056.698017418388</v>
      </c>
      <c r="S964" s="700">
        <f t="shared" si="111"/>
        <v>7536.6980174183882</v>
      </c>
      <c r="T964" s="691" t="s">
        <v>54</v>
      </c>
    </row>
    <row r="965" spans="1:20" x14ac:dyDescent="0.25">
      <c r="A965" s="690"/>
      <c r="B965" s="705" t="s">
        <v>2672</v>
      </c>
      <c r="C965" s="665" t="s">
        <v>40</v>
      </c>
      <c r="D965" s="712">
        <v>44986</v>
      </c>
      <c r="E965" s="665">
        <v>744</v>
      </c>
      <c r="F965" s="665" t="s">
        <v>3</v>
      </c>
      <c r="G965" s="706" t="s">
        <v>44</v>
      </c>
      <c r="H965" s="187">
        <v>0.5</v>
      </c>
      <c r="I965" s="187">
        <v>70</v>
      </c>
      <c r="J965" s="707">
        <f t="shared" si="105"/>
        <v>-26040</v>
      </c>
      <c r="K965" s="758">
        <v>69.3</v>
      </c>
      <c r="L965" s="708">
        <f t="shared" si="106"/>
        <v>25779.599999999999</v>
      </c>
      <c r="M965" s="709">
        <f t="shared" si="107"/>
        <v>-260.40000000000146</v>
      </c>
      <c r="N965" s="759">
        <v>55.7</v>
      </c>
      <c r="O965" s="710">
        <f t="shared" si="108"/>
        <v>20720.400000000001</v>
      </c>
      <c r="P965" s="711">
        <f t="shared" si="109"/>
        <v>-5319.5999999999985</v>
      </c>
      <c r="Q965" s="759">
        <v>89.053218420260009</v>
      </c>
      <c r="R965" s="710">
        <f t="shared" si="110"/>
        <v>33127.797252336721</v>
      </c>
      <c r="S965" s="711">
        <f t="shared" si="111"/>
        <v>7087.7972523367207</v>
      </c>
      <c r="T965" s="695" t="s">
        <v>54</v>
      </c>
    </row>
  </sheetData>
  <autoFilter ref="B2:T2" xr:uid="{00000000-0001-0000-0400-000000000000}"/>
  <mergeCells count="3">
    <mergeCell ref="K1:M1"/>
    <mergeCell ref="N1:P1"/>
    <mergeCell ref="Q1:S1"/>
  </mergeCells>
  <pageMargins left="0.7" right="0.7" top="0.75" bottom="0.75" header="0.3" footer="0.3"/>
  <pageSetup paperSize="9" orientation="portrait" horizontalDpi="200" verticalDpi="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6">
    <tabColor theme="3"/>
  </sheetPr>
  <dimension ref="A2:V255"/>
  <sheetViews>
    <sheetView showGridLines="0" zoomScale="90" zoomScaleNormal="90" workbookViewId="0">
      <pane xSplit="2" ySplit="4" topLeftCell="C209" activePane="bottomRight" state="frozen"/>
      <selection activeCell="H9" sqref="H9"/>
      <selection pane="topRight" activeCell="H9" sqref="H9"/>
      <selection pane="bottomLeft" activeCell="H9" sqref="H9"/>
      <selection pane="bottomRight" activeCell="H216" sqref="H216"/>
    </sheetView>
  </sheetViews>
  <sheetFormatPr defaultRowHeight="15" x14ac:dyDescent="0.25"/>
  <cols>
    <col min="1" max="1" width="2" customWidth="1"/>
    <col min="2" max="2" width="14.85546875" customWidth="1"/>
    <col min="3" max="3" width="12.85546875" customWidth="1"/>
    <col min="4" max="4" width="13.7109375" customWidth="1"/>
    <col min="5" max="6" width="14" customWidth="1"/>
    <col min="7" max="7" width="12.5703125" customWidth="1"/>
    <col min="8" max="8" width="13.140625" customWidth="1"/>
    <col min="9" max="10" width="14" customWidth="1"/>
    <col min="11" max="11" width="16.5703125" bestFit="1" customWidth="1"/>
    <col min="12" max="15" width="14" customWidth="1"/>
    <col min="16" max="16" width="11.85546875" bestFit="1" customWidth="1"/>
    <col min="17" max="17" width="12.140625" customWidth="1"/>
    <col min="18" max="20" width="13.28515625" bestFit="1" customWidth="1"/>
  </cols>
  <sheetData>
    <row r="2" spans="1:22" x14ac:dyDescent="0.25">
      <c r="B2" s="119" t="s">
        <v>310</v>
      </c>
      <c r="C2" s="118">
        <f>'PAINEL DE CONTROLE'!$O$21</f>
        <v>20000000</v>
      </c>
      <c r="D2" s="119" t="s">
        <v>201</v>
      </c>
      <c r="E2" s="130">
        <f ca="1">OFFSET($O$1,MATCH(MAX($B:$B),$B:$B)-1,0)</f>
        <v>5.5509558723568914E-4</v>
      </c>
      <c r="F2" s="190"/>
      <c r="G2" s="307" t="s">
        <v>318</v>
      </c>
      <c r="H2" s="315"/>
      <c r="I2" s="119" t="s">
        <v>319</v>
      </c>
      <c r="J2" s="316"/>
      <c r="M2" s="104" t="s">
        <v>212</v>
      </c>
      <c r="N2" s="129">
        <f>MAX(0,MAX(M5:M98521))</f>
        <v>13148169.948613763</v>
      </c>
      <c r="P2" s="307" t="s">
        <v>240</v>
      </c>
      <c r="Q2" s="118">
        <f>'PAINEL DE CONTROLE'!$O$23</f>
        <v>30000000</v>
      </c>
      <c r="R2" s="119" t="s">
        <v>201</v>
      </c>
      <c r="S2" s="130">
        <f ca="1">OFFSET($U$1,MATCH(MAX($B:$B),$B:$B)-1,0)</f>
        <v>0.12182994937218142</v>
      </c>
    </row>
    <row r="3" spans="1:22" x14ac:dyDescent="0.25">
      <c r="M3" s="308" t="s">
        <v>191</v>
      </c>
      <c r="N3" s="309">
        <f>MIN(N5:N98521)</f>
        <v>-8966707.539900586</v>
      </c>
    </row>
    <row r="4" spans="1:22" x14ac:dyDescent="0.25">
      <c r="B4" s="541" t="s">
        <v>185</v>
      </c>
      <c r="C4" s="518" t="s">
        <v>190</v>
      </c>
      <c r="D4" s="310" t="s">
        <v>192</v>
      </c>
      <c r="E4" s="310" t="s">
        <v>186</v>
      </c>
      <c r="F4" s="542" t="s">
        <v>18</v>
      </c>
      <c r="G4" s="310" t="s">
        <v>194</v>
      </c>
      <c r="H4" s="310" t="s">
        <v>193</v>
      </c>
      <c r="I4" s="310" t="s">
        <v>195</v>
      </c>
      <c r="J4" s="542" t="s">
        <v>196</v>
      </c>
      <c r="K4" s="542" t="s">
        <v>235</v>
      </c>
      <c r="L4" s="310" t="s">
        <v>197</v>
      </c>
      <c r="M4" s="310" t="s">
        <v>187</v>
      </c>
      <c r="N4" s="310" t="s">
        <v>188</v>
      </c>
      <c r="O4" s="542" t="s">
        <v>189</v>
      </c>
      <c r="P4" s="310" t="s">
        <v>309</v>
      </c>
      <c r="Q4" s="310" t="s">
        <v>315</v>
      </c>
      <c r="R4" s="310" t="s">
        <v>313</v>
      </c>
      <c r="S4" s="310" t="s">
        <v>316</v>
      </c>
      <c r="T4" s="310" t="s">
        <v>314</v>
      </c>
      <c r="U4" s="542" t="s">
        <v>311</v>
      </c>
    </row>
    <row r="5" spans="1:22" x14ac:dyDescent="0.25">
      <c r="A5" s="690"/>
      <c r="B5" s="765">
        <v>44568</v>
      </c>
      <c r="C5" s="545">
        <v>0</v>
      </c>
      <c r="D5" s="568">
        <v>0</v>
      </c>
      <c r="E5" s="568">
        <v>0</v>
      </c>
      <c r="F5" s="766">
        <v>0</v>
      </c>
      <c r="G5" s="695">
        <v>0</v>
      </c>
      <c r="H5" s="568">
        <v>0</v>
      </c>
      <c r="I5" s="568">
        <v>0</v>
      </c>
      <c r="J5" s="766">
        <v>0</v>
      </c>
      <c r="K5" s="569">
        <v>0</v>
      </c>
      <c r="L5" s="767">
        <v>-8306755.3025830835</v>
      </c>
      <c r="M5" s="568">
        <v>0</v>
      </c>
      <c r="N5" s="568">
        <v>0</v>
      </c>
      <c r="O5" s="768">
        <v>0</v>
      </c>
      <c r="P5" s="769">
        <v>0</v>
      </c>
      <c r="Q5" s="568">
        <v>0</v>
      </c>
      <c r="R5" s="568">
        <v>0</v>
      </c>
      <c r="S5" s="568">
        <v>0</v>
      </c>
      <c r="T5" s="568">
        <v>0</v>
      </c>
      <c r="U5" s="768">
        <v>0</v>
      </c>
      <c r="V5" s="691"/>
    </row>
    <row r="6" spans="1:22" x14ac:dyDescent="0.25">
      <c r="A6" s="690"/>
      <c r="B6" s="770">
        <v>44571</v>
      </c>
      <c r="C6" s="546">
        <v>741</v>
      </c>
      <c r="D6" s="620">
        <v>158731048.59285706</v>
      </c>
      <c r="E6" s="620">
        <v>0</v>
      </c>
      <c r="F6" s="771">
        <v>86027749.040857524</v>
      </c>
      <c r="G6" s="696">
        <v>411</v>
      </c>
      <c r="H6" s="620">
        <v>-167557159.57544041</v>
      </c>
      <c r="I6" s="620">
        <v>0</v>
      </c>
      <c r="J6" s="771">
        <v>-94334504.343440607</v>
      </c>
      <c r="K6" s="621">
        <v>458224</v>
      </c>
      <c r="L6" s="772">
        <f>$F$6+$J$6</f>
        <v>-8306755.3025830835</v>
      </c>
      <c r="M6" s="620">
        <f>MAX($L$3:$L$6)</f>
        <v>-8306755.3025830835</v>
      </c>
      <c r="N6" s="620">
        <f>$L$6-MAX(0,$M$6)</f>
        <v>-8306755.3025830835</v>
      </c>
      <c r="O6" s="773">
        <f>($N$6/$C$2)*-1</f>
        <v>0.41533776512915416</v>
      </c>
      <c r="P6" s="774">
        <v>0.05</v>
      </c>
      <c r="Q6" s="620">
        <v>-8454134.3653259408</v>
      </c>
      <c r="R6" s="620">
        <v>-147379.06274287775</v>
      </c>
      <c r="S6" s="620">
        <v>-8146923.3996854993</v>
      </c>
      <c r="T6" s="620">
        <v>159831.90289756376</v>
      </c>
      <c r="U6" s="773">
        <f>($R$6/$Q$2)*-1</f>
        <v>4.9126354247625917E-3</v>
      </c>
      <c r="V6" s="691"/>
    </row>
    <row r="7" spans="1:22" x14ac:dyDescent="0.25">
      <c r="A7" s="690"/>
      <c r="B7" s="760">
        <v>44572</v>
      </c>
      <c r="C7">
        <v>755</v>
      </c>
      <c r="D7" s="1">
        <v>157314976.59285706</v>
      </c>
      <c r="E7" s="1">
        <v>0</v>
      </c>
      <c r="F7" s="761">
        <v>89618235.443257436</v>
      </c>
      <c r="G7" s="691">
        <v>425</v>
      </c>
      <c r="H7" s="1">
        <v>-166141087.57544041</v>
      </c>
      <c r="I7" s="1">
        <v>0</v>
      </c>
      <c r="J7" s="761">
        <v>-97937444.825840622</v>
      </c>
      <c r="K7" s="622">
        <v>458224</v>
      </c>
      <c r="L7" s="762">
        <f>$F$7+$J$7</f>
        <v>-8319209.382583186</v>
      </c>
      <c r="M7" s="1">
        <f>MAX($L$3:$L$7)</f>
        <v>-8306755.3025830835</v>
      </c>
      <c r="N7" s="1">
        <f>$L$7-MAX(0,$M$7)</f>
        <v>-8319209.382583186</v>
      </c>
      <c r="O7" s="763">
        <f>($N$7/$C$2)*-1</f>
        <v>0.41596046912915929</v>
      </c>
      <c r="P7" s="764">
        <v>0.05</v>
      </c>
      <c r="Q7" s="1">
        <v>-8462704.3474626075</v>
      </c>
      <c r="R7" s="1">
        <v>-143494.96487954073</v>
      </c>
      <c r="S7" s="1">
        <v>-8163333.3180470197</v>
      </c>
      <c r="T7" s="1">
        <v>155876.06453604717</v>
      </c>
      <c r="U7" s="763">
        <f>($R$7/$Q$2)*-1</f>
        <v>4.7831654959846906E-3</v>
      </c>
      <c r="V7" s="691"/>
    </row>
    <row r="8" spans="1:22" x14ac:dyDescent="0.25">
      <c r="A8" s="690"/>
      <c r="B8" s="760">
        <v>44573</v>
      </c>
      <c r="C8">
        <v>766</v>
      </c>
      <c r="D8" s="1">
        <v>156315710.06568316</v>
      </c>
      <c r="E8" s="1">
        <v>0</v>
      </c>
      <c r="F8" s="761">
        <v>91829758.515363008</v>
      </c>
      <c r="G8" s="691">
        <v>436</v>
      </c>
      <c r="H8" s="1">
        <v>-165142549.78157085</v>
      </c>
      <c r="I8" s="1">
        <v>0</v>
      </c>
      <c r="J8" s="761">
        <v>-100157471.19125096</v>
      </c>
      <c r="K8" s="622">
        <v>458224</v>
      </c>
      <c r="L8" s="762">
        <f>$F$8+$J$8</f>
        <v>-8327712.6758879572</v>
      </c>
      <c r="M8" s="1">
        <f>MAX($L$3:$L$8)</f>
        <v>-8306755.3025830835</v>
      </c>
      <c r="N8" s="1">
        <f>$L$8-MAX(0,$M$8)</f>
        <v>-8327712.6758879572</v>
      </c>
      <c r="O8" s="763">
        <f>($N$8/$C$2)*-1</f>
        <v>0.41638563379439786</v>
      </c>
      <c r="P8" s="764">
        <v>0.05</v>
      </c>
      <c r="Q8" s="1">
        <v>-8468878.3171932437</v>
      </c>
      <c r="R8" s="1">
        <v>-141165.64130551368</v>
      </c>
      <c r="S8" s="1">
        <v>-8174255.843439281</v>
      </c>
      <c r="T8" s="1">
        <v>153456.83244844899</v>
      </c>
      <c r="U8" s="763">
        <f>($R$8/$Q$2)*-1</f>
        <v>4.7055213768504561E-3</v>
      </c>
      <c r="V8" s="691"/>
    </row>
    <row r="9" spans="1:22" x14ac:dyDescent="0.25">
      <c r="A9" s="690"/>
      <c r="B9" s="760">
        <v>44574</v>
      </c>
      <c r="C9">
        <v>771</v>
      </c>
      <c r="D9" s="1">
        <v>157177262.06568316</v>
      </c>
      <c r="E9" s="1">
        <v>0</v>
      </c>
      <c r="F9" s="761">
        <v>90861183.315603048</v>
      </c>
      <c r="G9" s="691">
        <v>441</v>
      </c>
      <c r="H9" s="1">
        <v>-166004101.78157085</v>
      </c>
      <c r="I9" s="1">
        <v>0</v>
      </c>
      <c r="J9" s="761">
        <v>-99186231.511490941</v>
      </c>
      <c r="K9" s="622">
        <v>458224</v>
      </c>
      <c r="L9" s="762">
        <f>$F$9+$J$9</f>
        <v>-8325048.1958878934</v>
      </c>
      <c r="M9" s="1">
        <f>MAX($L$3:$L$9)</f>
        <v>-8306755.3025830835</v>
      </c>
      <c r="N9" s="1">
        <f>$L$9-MAX(0,$M$9)</f>
        <v>-8325048.1958878934</v>
      </c>
      <c r="O9" s="763">
        <f>($N$9/$C$2)*-1</f>
        <v>0.41625240979439465</v>
      </c>
      <c r="P9" s="764">
        <v>0.05</v>
      </c>
      <c r="Q9" s="1">
        <v>-8467031.7071393244</v>
      </c>
      <c r="R9" s="1">
        <v>-141983.5112515958</v>
      </c>
      <c r="S9" s="1">
        <v>-8170757.4148950521</v>
      </c>
      <c r="T9" s="1">
        <v>154290.7809926765</v>
      </c>
      <c r="U9" s="763">
        <f>($R$9/$Q$2)*-1</f>
        <v>4.7327837083865265E-3</v>
      </c>
      <c r="V9" s="691"/>
    </row>
    <row r="10" spans="1:22" x14ac:dyDescent="0.25">
      <c r="A10" s="690"/>
      <c r="B10" s="760">
        <v>44575</v>
      </c>
      <c r="C10">
        <v>785</v>
      </c>
      <c r="D10" s="1">
        <v>156827453.66568315</v>
      </c>
      <c r="E10" s="1">
        <v>0</v>
      </c>
      <c r="F10" s="761">
        <v>89184460.516563118</v>
      </c>
      <c r="G10" s="691">
        <v>455</v>
      </c>
      <c r="H10" s="1">
        <v>-165654293.38157085</v>
      </c>
      <c r="I10" s="1">
        <v>0</v>
      </c>
      <c r="J10" s="761">
        <v>-97500128.792450994</v>
      </c>
      <c r="K10" s="622">
        <v>458224</v>
      </c>
      <c r="L10" s="762">
        <f>$F$10+$J$10</f>
        <v>-8315668.2758878767</v>
      </c>
      <c r="M10" s="1">
        <f>MAX($L$3:$L$10)</f>
        <v>-8306755.3025830835</v>
      </c>
      <c r="N10" s="1">
        <f>$L$10-MAX(0,$M$10)</f>
        <v>-8315668.2758878767</v>
      </c>
      <c r="O10" s="763">
        <f>($N$10/$C$2)*-1</f>
        <v>0.41578341379439382</v>
      </c>
      <c r="P10" s="764">
        <v>0.05</v>
      </c>
      <c r="Q10" s="1">
        <v>-8460255.8575819544</v>
      </c>
      <c r="R10" s="1">
        <v>-144587.58169422578</v>
      </c>
      <c r="S10" s="1">
        <v>-8158519.1132997442</v>
      </c>
      <c r="T10" s="1">
        <v>157149.16258798447</v>
      </c>
      <c r="U10" s="763">
        <f>($R$10/$Q$2)*-1</f>
        <v>4.8195860564741923E-3</v>
      </c>
      <c r="V10" s="691"/>
    </row>
    <row r="11" spans="1:22" x14ac:dyDescent="0.25">
      <c r="A11" s="690"/>
      <c r="B11" s="760">
        <v>44578</v>
      </c>
      <c r="C11">
        <v>790</v>
      </c>
      <c r="D11" s="1">
        <v>159028949.66568315</v>
      </c>
      <c r="E11" s="1">
        <v>0</v>
      </c>
      <c r="F11" s="761">
        <v>88760900.116563052</v>
      </c>
      <c r="G11" s="691">
        <v>460</v>
      </c>
      <c r="H11" s="1">
        <v>-167855789.38157085</v>
      </c>
      <c r="I11" s="1">
        <v>0</v>
      </c>
      <c r="J11" s="761">
        <v>-97076392.352450997</v>
      </c>
      <c r="K11" s="622">
        <v>458224</v>
      </c>
      <c r="L11" s="762">
        <f>$F$11+$J$11</f>
        <v>-8315492.2358879447</v>
      </c>
      <c r="M11" s="1">
        <f>MAX($L$3:$L$11)</f>
        <v>-8306755.3025830835</v>
      </c>
      <c r="N11" s="1">
        <f>$L$11-MAX(0,$M$11)</f>
        <v>-8315492.2358879447</v>
      </c>
      <c r="O11" s="763">
        <f>($N$11/$C$2)*-1</f>
        <v>0.41577461179439723</v>
      </c>
      <c r="P11" s="764">
        <v>0.05</v>
      </c>
      <c r="Q11" s="1">
        <v>-8460146.6553447433</v>
      </c>
      <c r="R11" s="1">
        <v>-144654.41945701465</v>
      </c>
      <c r="S11" s="1">
        <v>-8158284.0462907106</v>
      </c>
      <c r="T11" s="1">
        <v>157208.18959701806</v>
      </c>
      <c r="U11" s="763">
        <f>($R$11/$Q$2)*-1</f>
        <v>4.8218139819004883E-3</v>
      </c>
      <c r="V11" s="691"/>
    </row>
    <row r="12" spans="1:22" x14ac:dyDescent="0.25">
      <c r="A12" s="690"/>
      <c r="B12" s="760">
        <v>44579</v>
      </c>
      <c r="C12">
        <v>792</v>
      </c>
      <c r="D12" s="1">
        <v>159558865.80006507</v>
      </c>
      <c r="E12" s="1">
        <v>0</v>
      </c>
      <c r="F12" s="761">
        <v>86331075.051904932</v>
      </c>
      <c r="G12" s="691">
        <v>462</v>
      </c>
      <c r="H12" s="1">
        <v>-168385090.20090541</v>
      </c>
      <c r="I12" s="1">
        <v>0</v>
      </c>
      <c r="J12" s="761">
        <v>-94636151.932745442</v>
      </c>
      <c r="K12" s="622">
        <v>458224</v>
      </c>
      <c r="L12" s="762">
        <f>$F$12+$J$12</f>
        <v>-8305076.8808405101</v>
      </c>
      <c r="M12" s="1">
        <f>MAX($L$3:$L$12)</f>
        <v>-8305076.8808405101</v>
      </c>
      <c r="N12" s="1">
        <f>$L$12-MAX(0,$M$12)</f>
        <v>-8305076.8808405101</v>
      </c>
      <c r="O12" s="763">
        <f>($N$12/$C$2)*-1</f>
        <v>0.41525384404202553</v>
      </c>
      <c r="P12" s="764">
        <v>0.05</v>
      </c>
      <c r="Q12" s="1">
        <v>-8452421.7104282249</v>
      </c>
      <c r="R12" s="1">
        <v>-147344.82958785817</v>
      </c>
      <c r="S12" s="1">
        <v>-8144877.5889145331</v>
      </c>
      <c r="T12" s="1">
        <v>160199.29192583356</v>
      </c>
      <c r="U12" s="763">
        <f>($R$12/$Q$2)*-1</f>
        <v>4.9114943195952727E-3</v>
      </c>
      <c r="V12" s="691"/>
    </row>
    <row r="13" spans="1:22" x14ac:dyDescent="0.25">
      <c r="A13" s="690"/>
      <c r="B13" s="760">
        <v>44580</v>
      </c>
      <c r="C13">
        <v>808</v>
      </c>
      <c r="D13" s="1">
        <v>156506353.74198508</v>
      </c>
      <c r="E13" s="1">
        <v>0</v>
      </c>
      <c r="F13" s="761">
        <v>82953355.847585082</v>
      </c>
      <c r="G13" s="691">
        <v>478</v>
      </c>
      <c r="H13" s="1">
        <v>-165332578.14282542</v>
      </c>
      <c r="I13" s="1">
        <v>0</v>
      </c>
      <c r="J13" s="761">
        <v>-91248762.64842549</v>
      </c>
      <c r="K13" s="622">
        <v>458224</v>
      </c>
      <c r="L13" s="762">
        <f>$F$13+$J$13</f>
        <v>-8295406.8008404076</v>
      </c>
      <c r="M13" s="1">
        <f>MAX($L$3:$L$13)</f>
        <v>-8295406.8008404076</v>
      </c>
      <c r="N13" s="1">
        <f>$L$13-MAX(0,$M$13)</f>
        <v>-8295406.8008404076</v>
      </c>
      <c r="O13" s="763">
        <f>($N$13/$C$2)*-1</f>
        <v>0.4147703400420204</v>
      </c>
      <c r="P13" s="764">
        <v>0.05</v>
      </c>
      <c r="Q13" s="1">
        <v>-8445472.1656676233</v>
      </c>
      <c r="R13" s="1">
        <v>-150065.36482725944</v>
      </c>
      <c r="S13" s="1">
        <v>-8132248.8744489523</v>
      </c>
      <c r="T13" s="1">
        <v>163157.92639141157</v>
      </c>
      <c r="U13" s="763">
        <f>($R$13/$Q$2)*-1</f>
        <v>5.0021788275753151E-3</v>
      </c>
      <c r="V13" s="691"/>
    </row>
    <row r="14" spans="1:22" x14ac:dyDescent="0.25">
      <c r="A14" s="690"/>
      <c r="B14" s="760">
        <v>44582</v>
      </c>
      <c r="C14">
        <v>828</v>
      </c>
      <c r="D14" s="1">
        <v>154164121.74198508</v>
      </c>
      <c r="E14" s="1">
        <v>0</v>
      </c>
      <c r="F14" s="761">
        <v>82772638.24806498</v>
      </c>
      <c r="G14" s="691">
        <v>490</v>
      </c>
      <c r="H14" s="1">
        <v>-163735306.14282542</v>
      </c>
      <c r="I14" s="1">
        <v>0</v>
      </c>
      <c r="J14" s="761">
        <v>-91062556.248905465</v>
      </c>
      <c r="K14" s="622">
        <v>458224</v>
      </c>
      <c r="L14" s="762">
        <f>$F$14+$J$14</f>
        <v>-8289918.0008404851</v>
      </c>
      <c r="M14" s="1">
        <f>MAX($L$3:$L$14)</f>
        <v>-8289918.0008404851</v>
      </c>
      <c r="N14" s="1">
        <f>$L$14-MAX(0,$M$14)</f>
        <v>-8289918.0008404851</v>
      </c>
      <c r="O14" s="763">
        <f>($N$14/$C$2)*-1</f>
        <v>0.41449590004202425</v>
      </c>
      <c r="P14" s="764">
        <v>0.05</v>
      </c>
      <c r="Q14" s="1">
        <v>-8692146.0415277276</v>
      </c>
      <c r="R14" s="1">
        <v>-402228.04068736173</v>
      </c>
      <c r="S14" s="1">
        <v>-7825582.2268191138</v>
      </c>
      <c r="T14" s="1">
        <v>464335.77402125206</v>
      </c>
      <c r="U14" s="763">
        <f>($R$14/$Q$2)*-1</f>
        <v>1.3407601356245391E-2</v>
      </c>
      <c r="V14" s="691"/>
    </row>
    <row r="15" spans="1:22" x14ac:dyDescent="0.25">
      <c r="A15" s="690"/>
      <c r="B15" s="760">
        <v>44585</v>
      </c>
      <c r="C15">
        <v>834</v>
      </c>
      <c r="D15" s="1">
        <v>157749505.74198508</v>
      </c>
      <c r="E15" s="1">
        <v>0</v>
      </c>
      <c r="F15" s="761">
        <v>89210722.24422501</v>
      </c>
      <c r="G15" s="691">
        <v>496</v>
      </c>
      <c r="H15" s="1">
        <v>-167320690.14282542</v>
      </c>
      <c r="I15" s="1">
        <v>0</v>
      </c>
      <c r="J15" s="761">
        <v>-97596995.925065488</v>
      </c>
      <c r="K15" s="622">
        <v>458224</v>
      </c>
      <c r="L15" s="762">
        <f>$F$15+$J$15</f>
        <v>-8386273.6808404773</v>
      </c>
      <c r="M15" s="1">
        <f>MAX($L$3:$L$15)</f>
        <v>-8289918.0008404851</v>
      </c>
      <c r="N15" s="1">
        <f>$L$15-MAX(0,$M$15)</f>
        <v>-8386273.6808404773</v>
      </c>
      <c r="O15" s="763">
        <f>($N$15/$C$2)*-1</f>
        <v>0.41931368404202385</v>
      </c>
      <c r="P15" s="764">
        <v>0.05</v>
      </c>
      <c r="Q15" s="1">
        <v>-8745115.2064516731</v>
      </c>
      <c r="R15" s="1">
        <v>-358841.52561130095</v>
      </c>
      <c r="S15" s="1">
        <v>-7958078.5381102106</v>
      </c>
      <c r="T15" s="1">
        <v>428195.14273016155</v>
      </c>
      <c r="U15" s="763">
        <f>($R$15/$Q$2)*-1</f>
        <v>1.1961384187043365E-2</v>
      </c>
      <c r="V15" s="691"/>
    </row>
    <row r="16" spans="1:22" x14ac:dyDescent="0.25">
      <c r="A16" s="690"/>
      <c r="B16" s="760">
        <v>44586</v>
      </c>
      <c r="C16">
        <v>840</v>
      </c>
      <c r="D16" s="1">
        <v>158850721.74198508</v>
      </c>
      <c r="E16" s="1">
        <v>0</v>
      </c>
      <c r="F16" s="761">
        <v>95023320.63942492</v>
      </c>
      <c r="G16" s="691">
        <v>499</v>
      </c>
      <c r="H16" s="1">
        <v>-168184690.14282542</v>
      </c>
      <c r="I16" s="1">
        <v>0</v>
      </c>
      <c r="J16" s="761">
        <v>-103507861.12026548</v>
      </c>
      <c r="K16" s="622">
        <v>458224</v>
      </c>
      <c r="L16" s="762">
        <f>$F$16+$J$16</f>
        <v>-8484540.4808405638</v>
      </c>
      <c r="M16" s="1">
        <f>MAX($L$3:$L$16)</f>
        <v>-8289918.0008404851</v>
      </c>
      <c r="N16" s="1">
        <f>$L$16-MAX(0,$M$16)</f>
        <v>-8484540.4808405638</v>
      </c>
      <c r="O16" s="763">
        <f>($N$16/$C$2)*-1</f>
        <v>0.42422702404202817</v>
      </c>
      <c r="P16" s="764">
        <v>0.05</v>
      </c>
      <c r="Q16" s="1">
        <v>-8748666.382996466</v>
      </c>
      <c r="R16" s="1">
        <v>-264125.9021560885</v>
      </c>
      <c r="S16" s="1">
        <v>-8197670.2562150462</v>
      </c>
      <c r="T16" s="1">
        <v>286870.22462533135</v>
      </c>
      <c r="U16" s="763">
        <f>($R$16/$Q$2)*-1</f>
        <v>8.8041967385362827E-3</v>
      </c>
      <c r="V16" s="691"/>
    </row>
    <row r="17" spans="1:22" x14ac:dyDescent="0.25">
      <c r="A17" s="690"/>
      <c r="B17" s="760">
        <v>44587</v>
      </c>
      <c r="C17">
        <v>840</v>
      </c>
      <c r="D17" s="1">
        <v>158850721.74198508</v>
      </c>
      <c r="E17" s="1">
        <v>0</v>
      </c>
      <c r="F17" s="761">
        <v>97730825.437025025</v>
      </c>
      <c r="G17" s="691">
        <v>499</v>
      </c>
      <c r="H17" s="1">
        <v>-168184690.14282542</v>
      </c>
      <c r="I17" s="1">
        <v>0</v>
      </c>
      <c r="J17" s="761">
        <v>-106242429.99786547</v>
      </c>
      <c r="K17" s="622">
        <v>458224</v>
      </c>
      <c r="L17" s="762">
        <f>$F$17+$J$17</f>
        <v>-8511604.5608404428</v>
      </c>
      <c r="M17" s="1">
        <f>MAX($L$3:$L$17)</f>
        <v>-8289918.0008404851</v>
      </c>
      <c r="N17" s="1">
        <f>$L$17-MAX(0,$M$17)</f>
        <v>-8511604.5608404428</v>
      </c>
      <c r="O17" s="763">
        <f>($N$17/$C$2)*-1</f>
        <v>0.42558022804202211</v>
      </c>
      <c r="P17" s="764">
        <v>0.05</v>
      </c>
      <c r="Q17" s="1">
        <v>-8767089.515858911</v>
      </c>
      <c r="R17" s="1">
        <v>-255484.95501853712</v>
      </c>
      <c r="S17" s="1">
        <v>-8234104.7133426806</v>
      </c>
      <c r="T17" s="1">
        <v>277499.84749769326</v>
      </c>
      <c r="U17" s="763">
        <f>($R$17/$Q$2)*-1</f>
        <v>8.5161651672845708E-3</v>
      </c>
      <c r="V17" s="691"/>
    </row>
    <row r="18" spans="1:22" x14ac:dyDescent="0.25">
      <c r="A18" s="690"/>
      <c r="B18" s="760">
        <v>44588</v>
      </c>
      <c r="C18">
        <v>846</v>
      </c>
      <c r="D18" s="1">
        <v>160898785.74198508</v>
      </c>
      <c r="E18" s="1">
        <v>0</v>
      </c>
      <c r="F18" s="761">
        <v>101360765.43414497</v>
      </c>
      <c r="G18" s="691">
        <v>505</v>
      </c>
      <c r="H18" s="1">
        <v>-170232754.14282542</v>
      </c>
      <c r="I18" s="1">
        <v>0</v>
      </c>
      <c r="J18" s="761">
        <v>-109912911.5149855</v>
      </c>
      <c r="K18" s="622">
        <v>458224</v>
      </c>
      <c r="L18" s="762">
        <f>$F$18+$J$18</f>
        <v>-8552146.080840528</v>
      </c>
      <c r="M18" s="1">
        <f>MAX($L$3:$L$18)</f>
        <v>-8289918.0008404851</v>
      </c>
      <c r="N18" s="1">
        <f>$L$18-MAX(0,$M$18)</f>
        <v>-8552146.080840528</v>
      </c>
      <c r="O18" s="763">
        <f>($N$18/$C$2)*-1</f>
        <v>0.4276073040420264</v>
      </c>
      <c r="P18" s="764">
        <v>0.05</v>
      </c>
      <c r="Q18" s="1">
        <v>-8794382.2012759633</v>
      </c>
      <c r="R18" s="1">
        <v>-242236.12043558806</v>
      </c>
      <c r="S18" s="1">
        <v>-8288967.774076567</v>
      </c>
      <c r="T18" s="1">
        <v>263178.30676380824</v>
      </c>
      <c r="U18" s="763">
        <f>($R$18/$Q$2)*-1</f>
        <v>8.0745373478529354E-3</v>
      </c>
      <c r="V18" s="691"/>
    </row>
    <row r="19" spans="1:22" x14ac:dyDescent="0.25">
      <c r="A19" s="690"/>
      <c r="B19" s="760">
        <v>44589</v>
      </c>
      <c r="C19">
        <v>848</v>
      </c>
      <c r="D19" s="1">
        <v>161395681.74198508</v>
      </c>
      <c r="E19" s="1">
        <v>0</v>
      </c>
      <c r="F19" s="761">
        <v>102857003.4317449</v>
      </c>
      <c r="G19" s="691">
        <v>506</v>
      </c>
      <c r="H19" s="1">
        <v>-170592754.14282542</v>
      </c>
      <c r="I19" s="1">
        <v>0</v>
      </c>
      <c r="J19" s="761">
        <v>-111412031.9125855</v>
      </c>
      <c r="K19" s="622">
        <v>458224</v>
      </c>
      <c r="L19" s="762">
        <f>$F$19+$J$19</f>
        <v>-8555028.4808405936</v>
      </c>
      <c r="M19" s="1">
        <f>MAX($L$3:$L$19)</f>
        <v>-8289918.0008404851</v>
      </c>
      <c r="N19" s="1">
        <f>$L$19-MAX(0,$M$19)</f>
        <v>-8555028.4808405936</v>
      </c>
      <c r="O19" s="763">
        <f>($N$19/$C$2)*-1</f>
        <v>0.4277514240420297</v>
      </c>
      <c r="P19" s="764">
        <v>0.05</v>
      </c>
      <c r="Q19" s="1">
        <v>-8749150.7327067181</v>
      </c>
      <c r="R19" s="1">
        <v>-194122.25186634436</v>
      </c>
      <c r="S19" s="1">
        <v>-8343953.5785874911</v>
      </c>
      <c r="T19" s="1">
        <v>211074.90225288272</v>
      </c>
      <c r="U19" s="763">
        <f>($R$19/$Q$2)*-1</f>
        <v>6.4707417288781457E-3</v>
      </c>
      <c r="V19" s="691"/>
    </row>
    <row r="20" spans="1:22" x14ac:dyDescent="0.25">
      <c r="A20" s="690"/>
      <c r="B20" s="760">
        <v>44592</v>
      </c>
      <c r="C20">
        <v>860</v>
      </c>
      <c r="D20" s="1">
        <v>163557865.74198508</v>
      </c>
      <c r="E20" s="1">
        <v>0</v>
      </c>
      <c r="F20" s="761">
        <v>103690703.43126491</v>
      </c>
      <c r="G20" s="691">
        <v>517</v>
      </c>
      <c r="H20" s="1">
        <v>-172565218.14282542</v>
      </c>
      <c r="I20" s="1">
        <v>0</v>
      </c>
      <c r="J20" s="761">
        <v>-112250452.71210545</v>
      </c>
      <c r="K20" s="622">
        <v>458224</v>
      </c>
      <c r="L20" s="762">
        <f>$F$20+$J$20</f>
        <v>-8559749.2808405459</v>
      </c>
      <c r="M20" s="1">
        <f>MAX($L$3:$L$20)</f>
        <v>-8289918.0008404851</v>
      </c>
      <c r="N20" s="1">
        <f>$L$20-MAX(0,$M$20)</f>
        <v>-8559749.2808405459</v>
      </c>
      <c r="O20" s="763">
        <f>($N$20/$C$2)*-1</f>
        <v>0.42798746404202731</v>
      </c>
      <c r="P20" s="764">
        <v>0.05</v>
      </c>
      <c r="Q20" s="1">
        <v>-8685929.8653421849</v>
      </c>
      <c r="R20" s="1">
        <v>-126180.58450181037</v>
      </c>
      <c r="S20" s="1">
        <v>-8422184.4544293508</v>
      </c>
      <c r="T20" s="1">
        <v>137564.82641102374</v>
      </c>
      <c r="U20" s="763">
        <f>($R$20/$Q$2)*-1</f>
        <v>4.2060194833936793E-3</v>
      </c>
      <c r="V20" s="691"/>
    </row>
    <row r="21" spans="1:22" x14ac:dyDescent="0.25">
      <c r="A21" s="690"/>
      <c r="B21" s="760">
        <v>44593</v>
      </c>
      <c r="C21">
        <v>866</v>
      </c>
      <c r="D21" s="1">
        <v>165593641.74198508</v>
      </c>
      <c r="E21" s="1">
        <v>0</v>
      </c>
      <c r="F21" s="761">
        <v>104776067.43126489</v>
      </c>
      <c r="G21" s="691">
        <v>517</v>
      </c>
      <c r="H21" s="1">
        <v>-172565218.14282542</v>
      </c>
      <c r="I21" s="1">
        <v>0</v>
      </c>
      <c r="J21" s="761">
        <v>-113353961.67210543</v>
      </c>
      <c r="K21" s="622">
        <v>458224</v>
      </c>
      <c r="L21" s="762">
        <f>$F$21+$J$21</f>
        <v>-8577894.2408405393</v>
      </c>
      <c r="M21" s="1">
        <f>MAX($L$3:$L$21)</f>
        <v>-8289918.0008404851</v>
      </c>
      <c r="N21" s="1">
        <f>$L$21-MAX(0,$M$21)</f>
        <v>-8577894.2408405393</v>
      </c>
      <c r="O21" s="763">
        <f>($N$21/$C$2)*-1</f>
        <v>0.42889471204202695</v>
      </c>
      <c r="P21" s="764">
        <v>0.05</v>
      </c>
      <c r="Q21" s="1">
        <v>-9030918.9814064223</v>
      </c>
      <c r="R21" s="1">
        <v>-453024.74056604318</v>
      </c>
      <c r="S21" s="1">
        <v>-8086205.1466431431</v>
      </c>
      <c r="T21" s="1">
        <v>491689.094197236</v>
      </c>
      <c r="U21" s="763">
        <f>($R$21/$Q$2)*-1</f>
        <v>1.5100824685534774E-2</v>
      </c>
      <c r="V21" s="691"/>
    </row>
    <row r="22" spans="1:22" x14ac:dyDescent="0.25">
      <c r="A22" s="690"/>
      <c r="B22" s="760">
        <v>44594</v>
      </c>
      <c r="C22">
        <v>869</v>
      </c>
      <c r="D22" s="1">
        <v>167316555.2779851</v>
      </c>
      <c r="E22" s="1">
        <v>0</v>
      </c>
      <c r="F22" s="761">
        <v>104261754.15174489</v>
      </c>
      <c r="G22" s="691">
        <v>520</v>
      </c>
      <c r="H22" s="1">
        <v>-174704607.99882543</v>
      </c>
      <c r="I22" s="1">
        <v>0</v>
      </c>
      <c r="J22" s="761">
        <v>-112848368.79258551</v>
      </c>
      <c r="K22" s="622">
        <v>458224</v>
      </c>
      <c r="L22" s="762">
        <f>$F$22+$J$22</f>
        <v>-8586614.6408406198</v>
      </c>
      <c r="M22" s="1">
        <f>MAX($L$3:$L$22)</f>
        <v>-8289918.0008404851</v>
      </c>
      <c r="N22" s="1">
        <f>$L$22-MAX(0,$M$22)</f>
        <v>-8586614.6408406198</v>
      </c>
      <c r="O22" s="763">
        <f>($N$22/$C$2)*-1</f>
        <v>0.42933073204203098</v>
      </c>
      <c r="P22" s="764">
        <v>0.05</v>
      </c>
      <c r="Q22" s="1">
        <v>-8100231.286683796</v>
      </c>
      <c r="R22" s="1">
        <v>486383.35415658168</v>
      </c>
      <c r="S22" s="1">
        <v>-7150335.4858164676</v>
      </c>
      <c r="T22" s="1">
        <v>1436279.1550239101</v>
      </c>
      <c r="U22" s="763">
        <f>($R$22/$Q$2)*-1</f>
        <v>-1.6212778471886055E-2</v>
      </c>
      <c r="V22" s="691"/>
    </row>
    <row r="23" spans="1:22" x14ac:dyDescent="0.25">
      <c r="A23" s="690"/>
      <c r="B23" s="760">
        <v>44595</v>
      </c>
      <c r="C23">
        <v>869</v>
      </c>
      <c r="D23" s="1">
        <v>167316555.2779851</v>
      </c>
      <c r="E23" s="1">
        <v>0</v>
      </c>
      <c r="F23" s="761">
        <v>107757903.74886487</v>
      </c>
      <c r="G23" s="691">
        <v>520</v>
      </c>
      <c r="H23" s="1">
        <v>-174704607.99882543</v>
      </c>
      <c r="I23" s="1">
        <v>0</v>
      </c>
      <c r="J23" s="761">
        <v>-116292798.62970544</v>
      </c>
      <c r="K23" s="622">
        <v>458224</v>
      </c>
      <c r="L23" s="762">
        <f>$F$23+$J$23</f>
        <v>-8534894.8808405697</v>
      </c>
      <c r="M23" s="1">
        <f>MAX($L$3:$L$23)</f>
        <v>-8289918.0008404851</v>
      </c>
      <c r="N23" s="1">
        <f>$L$23-MAX(0,$M$23)</f>
        <v>-8534894.8808405697</v>
      </c>
      <c r="O23" s="763">
        <f>($N$23/$C$2)*-1</f>
        <v>0.4267447440420285</v>
      </c>
      <c r="P23" s="764">
        <v>0.05</v>
      </c>
      <c r="Q23" s="1">
        <v>-8033917.6748894053</v>
      </c>
      <c r="R23" s="1">
        <v>500977.20595097076</v>
      </c>
      <c r="S23" s="1">
        <v>-7114355.5672301361</v>
      </c>
      <c r="T23" s="1">
        <v>1420539.3136102399</v>
      </c>
      <c r="U23" s="763">
        <f>($R$23/$Q$2)*-1</f>
        <v>-1.6699240198365693E-2</v>
      </c>
      <c r="V23" s="691"/>
    </row>
    <row r="24" spans="1:22" x14ac:dyDescent="0.25">
      <c r="A24" s="690"/>
      <c r="B24" s="760">
        <v>44596</v>
      </c>
      <c r="C24">
        <v>870</v>
      </c>
      <c r="D24" s="1">
        <v>167533803.2779851</v>
      </c>
      <c r="E24" s="1">
        <v>0</v>
      </c>
      <c r="F24" s="761">
        <v>110533107.74646497</v>
      </c>
      <c r="G24" s="691">
        <v>521</v>
      </c>
      <c r="H24" s="1">
        <v>-174921855.99882543</v>
      </c>
      <c r="I24" s="1">
        <v>0</v>
      </c>
      <c r="J24" s="761">
        <v>-119024857.10730545</v>
      </c>
      <c r="K24" s="622">
        <v>458224</v>
      </c>
      <c r="L24" s="762">
        <f>$F$24+$J$24</f>
        <v>-8491749.3608404845</v>
      </c>
      <c r="M24" s="1">
        <f>MAX($L$3:$L$24)</f>
        <v>-8289918.0008404851</v>
      </c>
      <c r="N24" s="1">
        <f>$L$24-MAX(0,$M$24)</f>
        <v>-8491749.3608404845</v>
      </c>
      <c r="O24" s="763">
        <f>($N$24/$C$2)*-1</f>
        <v>0.42458746804202424</v>
      </c>
      <c r="P24" s="764">
        <v>0.05</v>
      </c>
      <c r="Q24" s="1">
        <v>-7978589.7807974564</v>
      </c>
      <c r="R24" s="1">
        <v>513159.58004292008</v>
      </c>
      <c r="S24" s="1">
        <v>-7084373.518668754</v>
      </c>
      <c r="T24" s="1">
        <v>1407375.8421716224</v>
      </c>
      <c r="U24" s="763">
        <f>($R$24/$Q$2)*-1</f>
        <v>-1.7105319334764002E-2</v>
      </c>
      <c r="V24" s="691"/>
    </row>
    <row r="25" spans="1:22" x14ac:dyDescent="0.25">
      <c r="A25" s="690"/>
      <c r="B25" s="760">
        <v>44599</v>
      </c>
      <c r="C25">
        <v>870</v>
      </c>
      <c r="D25" s="1">
        <v>167533803.2779851</v>
      </c>
      <c r="E25" s="1">
        <v>0</v>
      </c>
      <c r="F25" s="761">
        <v>112492263.74502499</v>
      </c>
      <c r="G25" s="691">
        <v>521</v>
      </c>
      <c r="H25" s="1">
        <v>-174921855.99882543</v>
      </c>
      <c r="I25" s="1">
        <v>0</v>
      </c>
      <c r="J25" s="761">
        <v>-120958304.78586543</v>
      </c>
      <c r="K25" s="622">
        <v>458224</v>
      </c>
      <c r="L25" s="762">
        <f>$F$25+$J$25</f>
        <v>-8466041.040840432</v>
      </c>
      <c r="M25" s="1">
        <f>MAX($L$3:$L$25)</f>
        <v>-8289918.0008404851</v>
      </c>
      <c r="N25" s="1">
        <f>$L$25-MAX(0,$M$25)</f>
        <v>-8466041.040840432</v>
      </c>
      <c r="O25" s="763">
        <f>($N$25/$C$2)*-1</f>
        <v>0.42330205204202159</v>
      </c>
      <c r="P25" s="764">
        <v>0.05</v>
      </c>
      <c r="Q25" s="1">
        <v>-7945630.6125284741</v>
      </c>
      <c r="R25" s="1">
        <v>520410.42831189837</v>
      </c>
      <c r="S25" s="1">
        <v>-7066423.4709525649</v>
      </c>
      <c r="T25" s="1">
        <v>1399617.5698878076</v>
      </c>
      <c r="U25" s="763">
        <f>($R$25/$Q$2)*-1</f>
        <v>-1.7347014277063279E-2</v>
      </c>
      <c r="V25" s="691"/>
    </row>
    <row r="26" spans="1:22" x14ac:dyDescent="0.25">
      <c r="A26" s="690"/>
      <c r="B26" s="760">
        <v>44600</v>
      </c>
      <c r="C26">
        <v>870</v>
      </c>
      <c r="D26" s="1">
        <v>167533803.2779851</v>
      </c>
      <c r="E26" s="1">
        <v>0</v>
      </c>
      <c r="F26" s="761">
        <v>121291333.33638489</v>
      </c>
      <c r="G26" s="691">
        <v>521</v>
      </c>
      <c r="H26" s="1">
        <v>-174921855.99882543</v>
      </c>
      <c r="I26" s="1">
        <v>0</v>
      </c>
      <c r="J26" s="761">
        <v>-129601569.25722547</v>
      </c>
      <c r="K26" s="622">
        <v>458224</v>
      </c>
      <c r="L26" s="762">
        <f>$F$26+$J$26</f>
        <v>-8310235.9208405763</v>
      </c>
      <c r="M26" s="1">
        <f>MAX($L$3:$L$26)</f>
        <v>-8289918.0008404851</v>
      </c>
      <c r="N26" s="1">
        <f>$L$26-MAX(0,$M$26)</f>
        <v>-8310235.9208405763</v>
      </c>
      <c r="O26" s="763">
        <f>($N$26/$C$2)*-1</f>
        <v>0.41551179604202881</v>
      </c>
      <c r="P26" s="764">
        <v>0.05</v>
      </c>
      <c r="Q26" s="1">
        <v>-7745832.5410933988</v>
      </c>
      <c r="R26" s="1">
        <v>564403.37974696979</v>
      </c>
      <c r="S26" s="1">
        <v>-6958115.9198569227</v>
      </c>
      <c r="T26" s="1">
        <v>1352120.0009834459</v>
      </c>
      <c r="U26" s="763">
        <f>($R$26/$Q$2)*-1</f>
        <v>-1.8813445991565661E-2</v>
      </c>
      <c r="V26" s="691"/>
    </row>
    <row r="27" spans="1:22" x14ac:dyDescent="0.25">
      <c r="A27" s="690"/>
      <c r="B27" s="760">
        <v>44601</v>
      </c>
      <c r="C27">
        <v>874</v>
      </c>
      <c r="D27" s="1">
        <v>169497723.2779851</v>
      </c>
      <c r="E27" s="1">
        <v>0</v>
      </c>
      <c r="F27" s="761">
        <v>120772813.98630489</v>
      </c>
      <c r="G27" s="691">
        <v>522</v>
      </c>
      <c r="H27" s="1">
        <v>-175139104.68330541</v>
      </c>
      <c r="I27" s="1">
        <v>0</v>
      </c>
      <c r="J27" s="761">
        <v>-129139865.91594546</v>
      </c>
      <c r="K27" s="622">
        <v>458224</v>
      </c>
      <c r="L27" s="762">
        <f>$F$27+$J$27</f>
        <v>-8367051.9296405613</v>
      </c>
      <c r="M27" s="1">
        <f>MAX($L$3:$L$27)</f>
        <v>-8289918.0008404851</v>
      </c>
      <c r="N27" s="1">
        <f>$L$27-MAX(0,$M$27)</f>
        <v>-8367051.9296405613</v>
      </c>
      <c r="O27" s="763">
        <f>($N$27/$C$2)*-1</f>
        <v>0.41835259648202805</v>
      </c>
      <c r="P27" s="764">
        <v>0.05</v>
      </c>
      <c r="Q27" s="1">
        <v>-9250460.7356164642</v>
      </c>
      <c r="R27" s="1">
        <v>-883408.80597610027</v>
      </c>
      <c r="S27" s="1">
        <v>-7409216.5310381576</v>
      </c>
      <c r="T27" s="1">
        <v>957835.39860220626</v>
      </c>
      <c r="U27" s="763">
        <f>($R$27/$Q$2)*-1</f>
        <v>2.9446960199203343E-2</v>
      </c>
      <c r="V27" s="691"/>
    </row>
    <row r="28" spans="1:22" x14ac:dyDescent="0.25">
      <c r="A28" s="690"/>
      <c r="B28" s="760">
        <v>44602</v>
      </c>
      <c r="C28">
        <v>875</v>
      </c>
      <c r="D28" s="1">
        <v>169735803.2779851</v>
      </c>
      <c r="E28" s="1">
        <v>0</v>
      </c>
      <c r="F28" s="761">
        <v>119082088.38822491</v>
      </c>
      <c r="G28" s="691">
        <v>523</v>
      </c>
      <c r="H28" s="1">
        <v>-175377184.68330541</v>
      </c>
      <c r="I28" s="1">
        <v>0</v>
      </c>
      <c r="J28" s="761">
        <v>-127527988.95786548</v>
      </c>
      <c r="K28" s="622">
        <v>458224</v>
      </c>
      <c r="L28" s="762">
        <f>$F$28+$J$28</f>
        <v>-8445900.5696405619</v>
      </c>
      <c r="M28" s="1">
        <f>MAX($L$3:$L$28)</f>
        <v>-8289918.0008404851</v>
      </c>
      <c r="N28" s="1">
        <f>$L$28-MAX(0,$M$28)</f>
        <v>-8445900.5696405619</v>
      </c>
      <c r="O28" s="763">
        <f>($N$28/$C$2)*-1</f>
        <v>0.4222950284820281</v>
      </c>
      <c r="P28" s="764">
        <v>0.05</v>
      </c>
      <c r="Q28" s="1">
        <v>-9351581.7367243059</v>
      </c>
      <c r="R28" s="1">
        <v>-905681.16708393395</v>
      </c>
      <c r="S28" s="1">
        <v>-7463937.3285054956</v>
      </c>
      <c r="T28" s="1">
        <v>981963.24113487639</v>
      </c>
      <c r="U28" s="763">
        <f>($R$28/$Q$2)*-1</f>
        <v>3.0189372236131131E-2</v>
      </c>
      <c r="V28" s="691"/>
    </row>
    <row r="29" spans="1:22" x14ac:dyDescent="0.25">
      <c r="A29" s="690"/>
      <c r="B29" s="760">
        <v>44603</v>
      </c>
      <c r="C29">
        <v>875</v>
      </c>
      <c r="D29" s="1">
        <v>169735803.2779851</v>
      </c>
      <c r="E29" s="1">
        <v>0</v>
      </c>
      <c r="F29" s="761">
        <v>120394974.78678495</v>
      </c>
      <c r="G29" s="691">
        <v>523</v>
      </c>
      <c r="H29" s="1">
        <v>-175377184.68330541</v>
      </c>
      <c r="I29" s="1">
        <v>0</v>
      </c>
      <c r="J29" s="761">
        <v>-128781610.71642549</v>
      </c>
      <c r="K29" s="622">
        <v>458224</v>
      </c>
      <c r="L29" s="762">
        <f>$F$29+$J$29</f>
        <v>-8386635.9296405464</v>
      </c>
      <c r="M29" s="1">
        <f>MAX($L$3:$L$29)</f>
        <v>-8289918.0008404851</v>
      </c>
      <c r="N29" s="1">
        <f>$L$29-MAX(0,$M$29)</f>
        <v>-8386635.9296405464</v>
      </c>
      <c r="O29" s="763">
        <f>($N$29/$C$2)*-1</f>
        <v>0.41933179648202734</v>
      </c>
      <c r="P29" s="764">
        <v>0.05</v>
      </c>
      <c r="Q29" s="1">
        <v>-9275585.7727110349</v>
      </c>
      <c r="R29" s="1">
        <v>-888949.84307066165</v>
      </c>
      <c r="S29" s="1">
        <v>-7422769.2480343916</v>
      </c>
      <c r="T29" s="1">
        <v>963866.68160598166</v>
      </c>
      <c r="U29" s="763">
        <f>($R$29/$Q$2)*-1</f>
        <v>2.9631661435688721E-2</v>
      </c>
      <c r="V29" s="691"/>
    </row>
    <row r="30" spans="1:22" x14ac:dyDescent="0.25">
      <c r="A30" s="690"/>
      <c r="B30" s="760">
        <v>44606</v>
      </c>
      <c r="C30">
        <v>875</v>
      </c>
      <c r="D30" s="1">
        <v>169735803.2779851</v>
      </c>
      <c r="E30" s="1">
        <v>0</v>
      </c>
      <c r="F30" s="761">
        <v>118429276.388705</v>
      </c>
      <c r="G30" s="691">
        <v>523</v>
      </c>
      <c r="H30" s="1">
        <v>-175377184.68330541</v>
      </c>
      <c r="I30" s="1">
        <v>0</v>
      </c>
      <c r="J30" s="761">
        <v>-126894717.03834547</v>
      </c>
      <c r="K30" s="622">
        <v>458224</v>
      </c>
      <c r="L30" s="762">
        <f>$F$30+$J$30</f>
        <v>-8465440.6496404707</v>
      </c>
      <c r="M30" s="1">
        <f>MAX($L$3:$L$30)</f>
        <v>-8289918.0008404851</v>
      </c>
      <c r="N30" s="1">
        <f>$L$30-MAX(0,$M$30)</f>
        <v>-8465440.6496404707</v>
      </c>
      <c r="O30" s="763">
        <f>($N$30/$C$2)*-1</f>
        <v>0.42327203248202355</v>
      </c>
      <c r="P30" s="764">
        <v>0.38000000010000018</v>
      </c>
      <c r="Q30" s="1">
        <v>-8615377.8058410306</v>
      </c>
      <c r="R30" s="1">
        <v>-149937.15620066039</v>
      </c>
      <c r="S30" s="1">
        <v>-8315457.0888705384</v>
      </c>
      <c r="T30" s="1">
        <v>149983.56076983176</v>
      </c>
      <c r="U30" s="763">
        <f>($R$30/$Q$2)*-1</f>
        <v>4.9979052066886796E-3</v>
      </c>
      <c r="V30" s="691"/>
    </row>
    <row r="31" spans="1:22" x14ac:dyDescent="0.25">
      <c r="A31" s="690"/>
      <c r="B31" s="760">
        <v>44607</v>
      </c>
      <c r="C31">
        <v>875</v>
      </c>
      <c r="D31" s="1">
        <v>169735803.2779851</v>
      </c>
      <c r="E31" s="1">
        <v>0</v>
      </c>
      <c r="F31" s="761">
        <v>114278423.5925449</v>
      </c>
      <c r="G31" s="691">
        <v>523</v>
      </c>
      <c r="H31" s="1">
        <v>-175377184.68330541</v>
      </c>
      <c r="I31" s="1">
        <v>0</v>
      </c>
      <c r="J31" s="761">
        <v>-122901300.88218553</v>
      </c>
      <c r="K31" s="622">
        <v>458224</v>
      </c>
      <c r="L31" s="762">
        <f>$F$31+$J$31</f>
        <v>-8622877.2896406353</v>
      </c>
      <c r="M31" s="1">
        <f>MAX($L$3:$L$31)</f>
        <v>-8289918.0008404851</v>
      </c>
      <c r="N31" s="1">
        <f>$L$31-MAX(0,$M$31)</f>
        <v>-8622877.2896406353</v>
      </c>
      <c r="O31" s="763">
        <f>($N$31/$C$2)*-1</f>
        <v>0.43114386448203174</v>
      </c>
      <c r="P31" s="764">
        <v>0.38000000010000018</v>
      </c>
      <c r="Q31" s="1">
        <v>-8780128.3262813445</v>
      </c>
      <c r="R31" s="1">
        <v>-157251.03664097376</v>
      </c>
      <c r="S31" s="1">
        <v>-8465579.8484302089</v>
      </c>
      <c r="T31" s="1">
        <v>157297.44121016189</v>
      </c>
      <c r="U31" s="763">
        <f>($R$31/$Q$2)*-1</f>
        <v>5.2417012213657917E-3</v>
      </c>
      <c r="V31" s="691"/>
    </row>
    <row r="32" spans="1:22" x14ac:dyDescent="0.25">
      <c r="A32" s="690"/>
      <c r="B32" s="760">
        <v>44608</v>
      </c>
      <c r="C32">
        <v>875</v>
      </c>
      <c r="D32" s="1">
        <v>169623091.70868638</v>
      </c>
      <c r="E32" s="1">
        <v>0</v>
      </c>
      <c r="F32" s="761">
        <v>115533635.22228667</v>
      </c>
      <c r="G32" s="691">
        <v>523</v>
      </c>
      <c r="H32" s="1">
        <v>-175258043.76426712</v>
      </c>
      <c r="I32" s="1">
        <v>0</v>
      </c>
      <c r="J32" s="761">
        <v>-124110846.04218724</v>
      </c>
      <c r="K32" s="622">
        <v>458224</v>
      </c>
      <c r="L32" s="762">
        <f>$F$32+$J$32</f>
        <v>-8577210.8199005723</v>
      </c>
      <c r="M32" s="1">
        <f>MAX($L$3:$L$32)</f>
        <v>-8289918.0008404851</v>
      </c>
      <c r="N32" s="1">
        <f>$L$32-MAX(0,$M$32)</f>
        <v>-8577210.8199005723</v>
      </c>
      <c r="O32" s="763">
        <f>($N$32/$C$2)*-1</f>
        <v>0.42886054099502863</v>
      </c>
      <c r="P32" s="764">
        <v>0.05</v>
      </c>
      <c r="Q32" s="1">
        <v>-9521788.0769576244</v>
      </c>
      <c r="R32" s="1">
        <v>-944577.2570570074</v>
      </c>
      <c r="S32" s="1">
        <v>-7553156.8903866941</v>
      </c>
      <c r="T32" s="1">
        <v>1024053.9295139229</v>
      </c>
      <c r="U32" s="763">
        <f>($R$32/$Q$2)*-1</f>
        <v>3.1485908568566916E-2</v>
      </c>
      <c r="V32" s="691"/>
    </row>
    <row r="33" spans="1:22" x14ac:dyDescent="0.25">
      <c r="A33" s="690"/>
      <c r="B33" s="760">
        <v>44609</v>
      </c>
      <c r="C33">
        <v>876</v>
      </c>
      <c r="D33" s="1">
        <v>169745851.70868638</v>
      </c>
      <c r="E33" s="1">
        <v>0</v>
      </c>
      <c r="F33" s="761">
        <v>116680712.82180651</v>
      </c>
      <c r="G33" s="691">
        <v>524</v>
      </c>
      <c r="H33" s="1">
        <v>-175380803.76426712</v>
      </c>
      <c r="I33" s="1">
        <v>0</v>
      </c>
      <c r="J33" s="761">
        <v>-125238534.0417072</v>
      </c>
      <c r="K33" s="622">
        <v>458224</v>
      </c>
      <c r="L33" s="762">
        <f>$F$33+$J$33</f>
        <v>-8557821.2199006975</v>
      </c>
      <c r="M33" s="1">
        <f>MAX($L$3:$L$33)</f>
        <v>-8289918.0008404851</v>
      </c>
      <c r="N33" s="1">
        <f>$L$33-MAX(0,$M$33)</f>
        <v>-8557821.2199006975</v>
      </c>
      <c r="O33" s="763">
        <f>($N$33/$C$2)*-1</f>
        <v>0.42789106099503488</v>
      </c>
      <c r="P33" s="764">
        <v>0.05</v>
      </c>
      <c r="Q33" s="1">
        <v>-9496937.3985778093</v>
      </c>
      <c r="R33" s="1">
        <v>-939116.17867719568</v>
      </c>
      <c r="S33" s="1">
        <v>-7539589.1791978944</v>
      </c>
      <c r="T33" s="1">
        <v>1018232.0407027192</v>
      </c>
      <c r="U33" s="763">
        <f>($R$33/$Q$2)*-1</f>
        <v>3.1303872622573191E-2</v>
      </c>
      <c r="V33" s="691"/>
    </row>
    <row r="34" spans="1:22" x14ac:dyDescent="0.25">
      <c r="A34" s="690"/>
      <c r="B34" s="760">
        <v>44610</v>
      </c>
      <c r="C34">
        <v>876</v>
      </c>
      <c r="D34" s="1">
        <v>169745851.70868638</v>
      </c>
      <c r="E34" s="1">
        <v>0</v>
      </c>
      <c r="F34" s="761">
        <v>117390268.02132656</v>
      </c>
      <c r="G34" s="691">
        <v>524</v>
      </c>
      <c r="H34" s="1">
        <v>-175380803.76426712</v>
      </c>
      <c r="I34" s="1">
        <v>0</v>
      </c>
      <c r="J34" s="761">
        <v>-125928503.80122724</v>
      </c>
      <c r="K34" s="622">
        <v>458224</v>
      </c>
      <c r="L34" s="762">
        <f>$F$34+$J$34</f>
        <v>-8538235.779900685</v>
      </c>
      <c r="M34" s="1">
        <f>MAX($L$3:$L$34)</f>
        <v>-8289918.0008404851</v>
      </c>
      <c r="N34" s="1">
        <f>$L$34-MAX(0,$M$34)</f>
        <v>-8538235.779900685</v>
      </c>
      <c r="O34" s="763">
        <f>($N$34/$C$2)*-1</f>
        <v>0.42691178899503424</v>
      </c>
      <c r="P34" s="764">
        <v>0.05</v>
      </c>
      <c r="Q34" s="1">
        <v>-9471825.0360275656</v>
      </c>
      <c r="R34" s="1">
        <v>-933589.25612694025</v>
      </c>
      <c r="S34" s="1">
        <v>-7525976.4769690968</v>
      </c>
      <c r="T34" s="1">
        <v>1012259.3029315285</v>
      </c>
      <c r="U34" s="763">
        <f>($R$34/$Q$2)*-1</f>
        <v>3.111964187089801E-2</v>
      </c>
      <c r="V34" s="691"/>
    </row>
    <row r="35" spans="1:22" x14ac:dyDescent="0.25">
      <c r="A35" s="690"/>
      <c r="B35" s="760">
        <v>44613</v>
      </c>
      <c r="C35">
        <v>877</v>
      </c>
      <c r="D35" s="1">
        <v>170486875.70868638</v>
      </c>
      <c r="E35" s="1">
        <v>0</v>
      </c>
      <c r="F35" s="761">
        <v>114791778.42372663</v>
      </c>
      <c r="G35" s="691">
        <v>525</v>
      </c>
      <c r="H35" s="1">
        <v>-176121827.76426712</v>
      </c>
      <c r="I35" s="1">
        <v>0</v>
      </c>
      <c r="J35" s="761">
        <v>-123428428.12362722</v>
      </c>
      <c r="K35" s="622">
        <v>458224</v>
      </c>
      <c r="L35" s="762">
        <f>$F$35+$J$35</f>
        <v>-8636649.6999005824</v>
      </c>
      <c r="M35" s="1">
        <f>MAX($L$3:$L$35)</f>
        <v>-8289918.0008404851</v>
      </c>
      <c r="N35" s="1">
        <f>$L$35-MAX(0,$M$35)</f>
        <v>-8636649.6999005824</v>
      </c>
      <c r="O35" s="763">
        <f>($N$35/$C$2)*-1</f>
        <v>0.43183248499502913</v>
      </c>
      <c r="P35" s="764">
        <v>0.05</v>
      </c>
      <c r="Q35" s="1">
        <v>-9598024.7217291407</v>
      </c>
      <c r="R35" s="1">
        <v>-961375.02182852104</v>
      </c>
      <c r="S35" s="1">
        <v>-7594339.9735127026</v>
      </c>
      <c r="T35" s="1">
        <v>1042309.7263879171</v>
      </c>
      <c r="U35" s="763">
        <f>($R$35/$Q$2)*-1</f>
        <v>3.2045834060950698E-2</v>
      </c>
      <c r="V35" s="691"/>
    </row>
    <row r="36" spans="1:22" x14ac:dyDescent="0.25">
      <c r="A36" s="690"/>
      <c r="B36" s="760">
        <v>44614</v>
      </c>
      <c r="C36">
        <v>877</v>
      </c>
      <c r="D36" s="1">
        <v>170486875.70868638</v>
      </c>
      <c r="E36" s="1">
        <v>0</v>
      </c>
      <c r="F36" s="761">
        <v>107317376.83044651</v>
      </c>
      <c r="G36" s="691">
        <v>525</v>
      </c>
      <c r="H36" s="1">
        <v>-176121827.76426712</v>
      </c>
      <c r="I36" s="1">
        <v>0</v>
      </c>
      <c r="J36" s="761">
        <v>-116229592.85034728</v>
      </c>
      <c r="K36" s="622">
        <v>458224</v>
      </c>
      <c r="L36" s="762">
        <f>$F$36+$J$36</f>
        <v>-8912216.019900769</v>
      </c>
      <c r="M36" s="1">
        <f>MAX($L$3:$L$36)</f>
        <v>-8289918.0008404851</v>
      </c>
      <c r="N36" s="1">
        <f>$L$36-MAX(0,$M$36)</f>
        <v>-8912216.019900769</v>
      </c>
      <c r="O36" s="763">
        <f>($N$36/$C$2)*-1</f>
        <v>0.44561080099503847</v>
      </c>
      <c r="P36" s="764">
        <v>0.05</v>
      </c>
      <c r="Q36" s="1">
        <v>-9951389.3564293869</v>
      </c>
      <c r="R36" s="1">
        <v>-1039173.3365287669</v>
      </c>
      <c r="S36" s="1">
        <v>-7785802.7244103653</v>
      </c>
      <c r="T36" s="1">
        <v>1126413.2954902546</v>
      </c>
      <c r="U36" s="763">
        <f>($R$36/$Q$2)*-1</f>
        <v>3.4639111217625564E-2</v>
      </c>
      <c r="V36" s="691"/>
    </row>
    <row r="37" spans="1:22" x14ac:dyDescent="0.25">
      <c r="A37" s="690"/>
      <c r="B37" s="760">
        <v>44615</v>
      </c>
      <c r="C37">
        <v>880</v>
      </c>
      <c r="D37" s="1">
        <v>171875995.70868638</v>
      </c>
      <c r="E37" s="1">
        <v>0</v>
      </c>
      <c r="F37" s="761">
        <v>106594060.03140661</v>
      </c>
      <c r="G37" s="691">
        <v>527</v>
      </c>
      <c r="H37" s="1">
        <v>-177143267.76426712</v>
      </c>
      <c r="I37" s="1">
        <v>0</v>
      </c>
      <c r="J37" s="761">
        <v>-115560767.5713072</v>
      </c>
      <c r="K37" s="622">
        <v>458224</v>
      </c>
      <c r="L37" s="762">
        <f>$F$37+$J$37</f>
        <v>-8966707.539900586</v>
      </c>
      <c r="M37" s="1">
        <f>MAX($L$3:$L$37)</f>
        <v>-8289918.0008404851</v>
      </c>
      <c r="N37" s="1">
        <f>$L$37-MAX(0,$M$37)</f>
        <v>-8966707.539900586</v>
      </c>
      <c r="O37" s="763">
        <f>($N$37/$C$2)*-1</f>
        <v>0.44833537699502929</v>
      </c>
      <c r="P37" s="764">
        <v>0.05</v>
      </c>
      <c r="Q37" s="1">
        <v>-9887077.199978631</v>
      </c>
      <c r="R37" s="1">
        <v>-920369.66007801332</v>
      </c>
      <c r="S37" s="1">
        <v>-7165619.114765103</v>
      </c>
      <c r="T37" s="1">
        <v>1801088.4251355147</v>
      </c>
      <c r="U37" s="763">
        <f>($R$37/$Q$2)*-1</f>
        <v>3.0678988669267111E-2</v>
      </c>
      <c r="V37" s="691"/>
    </row>
    <row r="38" spans="1:22" x14ac:dyDescent="0.25">
      <c r="A38" s="690"/>
      <c r="B38" s="760">
        <v>44616</v>
      </c>
      <c r="C38">
        <v>882</v>
      </c>
      <c r="D38" s="1">
        <v>172480795.70868638</v>
      </c>
      <c r="E38" s="1">
        <v>0</v>
      </c>
      <c r="F38" s="761">
        <v>111935794.03044665</v>
      </c>
      <c r="G38" s="691">
        <v>529</v>
      </c>
      <c r="H38" s="1">
        <v>-178527587.76426712</v>
      </c>
      <c r="I38" s="1">
        <v>0</v>
      </c>
      <c r="J38" s="761">
        <v>-120654269.33034728</v>
      </c>
      <c r="K38" s="622">
        <v>370104</v>
      </c>
      <c r="L38" s="762">
        <f>$F$38+$J$38</f>
        <v>-8718475.2999006361</v>
      </c>
      <c r="M38" s="1">
        <f>MAX($L$3:$L$38)</f>
        <v>-8289918.0008404851</v>
      </c>
      <c r="N38" s="1">
        <f>$L$38-MAX(0,$M$38)</f>
        <v>-8718475.2999006361</v>
      </c>
      <c r="O38" s="763">
        <f>($N$38/$C$2)*-1</f>
        <v>0.43592376499503183</v>
      </c>
      <c r="P38" s="764">
        <v>0.05</v>
      </c>
      <c r="Q38" s="1">
        <v>-9097638.8982666582</v>
      </c>
      <c r="R38" s="1">
        <v>-379163.5983660426</v>
      </c>
      <c r="S38" s="1">
        <v>-6570769.8024501391</v>
      </c>
      <c r="T38" s="1">
        <v>2147705.4974504765</v>
      </c>
      <c r="U38" s="763">
        <f>($R$38/$Q$2)*-1</f>
        <v>1.2638786612201421E-2</v>
      </c>
      <c r="V38" s="691"/>
    </row>
    <row r="39" spans="1:22" x14ac:dyDescent="0.25">
      <c r="A39" s="690"/>
      <c r="B39" s="760">
        <v>44617</v>
      </c>
      <c r="C39">
        <v>883</v>
      </c>
      <c r="D39" s="1">
        <v>173176315.70868638</v>
      </c>
      <c r="E39" s="1">
        <v>0</v>
      </c>
      <c r="F39" s="761">
        <v>113142902.82804655</v>
      </c>
      <c r="G39" s="691">
        <v>530</v>
      </c>
      <c r="H39" s="1">
        <v>-180119555.76426712</v>
      </c>
      <c r="I39" s="1">
        <v>0</v>
      </c>
      <c r="J39" s="761">
        <v>-121897426.8479473</v>
      </c>
      <c r="K39" s="622">
        <v>370104</v>
      </c>
      <c r="L39" s="762">
        <f>$F$39+$J$39</f>
        <v>-8754524.0199007541</v>
      </c>
      <c r="M39" s="1">
        <f>MAX($L$3:$L$39)</f>
        <v>-8289918.0008404851</v>
      </c>
      <c r="N39" s="1">
        <f>$L$39-MAX(0,$M$39)</f>
        <v>-8754524.0199007541</v>
      </c>
      <c r="O39" s="763">
        <f>($N$39/$C$2)*-1</f>
        <v>0.43772620099503773</v>
      </c>
      <c r="P39" s="764">
        <v>0.05</v>
      </c>
      <c r="Q39" s="1">
        <v>-8492851.7828356959</v>
      </c>
      <c r="R39" s="1">
        <v>261672.23706492037</v>
      </c>
      <c r="S39" s="1">
        <v>-5956988.2273691595</v>
      </c>
      <c r="T39" s="1">
        <v>2797535.7925314568</v>
      </c>
      <c r="U39" s="763">
        <f>($R$39/$Q$2)*-1</f>
        <v>-8.7224079021640116E-3</v>
      </c>
      <c r="V39" s="691"/>
    </row>
    <row r="40" spans="1:22" x14ac:dyDescent="0.25">
      <c r="A40" s="690"/>
      <c r="B40" s="760">
        <v>44622</v>
      </c>
      <c r="C40">
        <v>896</v>
      </c>
      <c r="D40" s="1">
        <v>179340917.90868637</v>
      </c>
      <c r="E40" s="1">
        <v>0</v>
      </c>
      <c r="F40" s="761">
        <v>114662213.82708658</v>
      </c>
      <c r="G40" s="691">
        <v>543</v>
      </c>
      <c r="H40" s="1">
        <v>-186401085.9642671</v>
      </c>
      <c r="I40" s="1">
        <v>0</v>
      </c>
      <c r="J40" s="761">
        <v>-123377630.32698727</v>
      </c>
      <c r="K40" s="622">
        <v>370104</v>
      </c>
      <c r="L40" s="762">
        <f>$F$40+$J$40</f>
        <v>-8715416.4999006838</v>
      </c>
      <c r="M40" s="1">
        <f>MAX($L$3:$L$40)</f>
        <v>-8289918.0008404851</v>
      </c>
      <c r="N40" s="1">
        <f>$L$40-MAX(0,$M$40)</f>
        <v>-8715416.4999006838</v>
      </c>
      <c r="O40" s="763">
        <f>($N$40/$C$2)*-1</f>
        <v>0.43577082499503417</v>
      </c>
      <c r="P40" s="764">
        <v>0.05</v>
      </c>
      <c r="Q40" s="1">
        <v>-8442708.5582049564</v>
      </c>
      <c r="R40" s="1">
        <v>272707.94169566408</v>
      </c>
      <c r="S40" s="1">
        <v>-5929777.8171040686</v>
      </c>
      <c r="T40" s="1">
        <v>2785638.6827965518</v>
      </c>
      <c r="U40" s="763">
        <f>($R$40/$Q$2)*-1</f>
        <v>-9.0902647231888029E-3</v>
      </c>
      <c r="V40" s="691"/>
    </row>
    <row r="41" spans="1:22" x14ac:dyDescent="0.25">
      <c r="A41" s="690"/>
      <c r="B41" s="760">
        <v>44623</v>
      </c>
      <c r="C41">
        <v>897</v>
      </c>
      <c r="D41" s="1">
        <v>179606597.90868637</v>
      </c>
      <c r="E41" s="1">
        <v>0</v>
      </c>
      <c r="F41" s="761">
        <v>114276022.62756658</v>
      </c>
      <c r="G41" s="691">
        <v>544</v>
      </c>
      <c r="H41" s="1">
        <v>-186666765.9642671</v>
      </c>
      <c r="I41" s="1">
        <v>0</v>
      </c>
      <c r="J41" s="761">
        <v>-123011156.32746725</v>
      </c>
      <c r="K41" s="622">
        <v>370104</v>
      </c>
      <c r="L41" s="762">
        <f>$F$41+$J$41</f>
        <v>-8735133.6999006718</v>
      </c>
      <c r="M41" s="1">
        <f>MAX($L$3:$L$41)</f>
        <v>-8289918.0008404851</v>
      </c>
      <c r="N41" s="1">
        <f>$L$41-MAX(0,$M$41)</f>
        <v>-8735133.6999006718</v>
      </c>
      <c r="O41" s="763">
        <f>($N$41/$C$2)*-1</f>
        <v>0.43675668499503362</v>
      </c>
      <c r="P41" s="764">
        <v>0.05</v>
      </c>
      <c r="Q41" s="1">
        <v>-8467996.5074079335</v>
      </c>
      <c r="R41" s="1">
        <v>267137.19249268249</v>
      </c>
      <c r="S41" s="1">
        <v>-5943435.5188352698</v>
      </c>
      <c r="T41" s="1">
        <v>2791698.1810653461</v>
      </c>
      <c r="U41" s="763">
        <f>($R$41/$Q$2)*-1</f>
        <v>-8.9045730830894163E-3</v>
      </c>
      <c r="V41" s="691"/>
    </row>
    <row r="42" spans="1:22" x14ac:dyDescent="0.25">
      <c r="A42" s="690"/>
      <c r="B42" s="760">
        <v>44624</v>
      </c>
      <c r="C42">
        <v>909</v>
      </c>
      <c r="D42" s="1">
        <v>182109551.90868637</v>
      </c>
      <c r="E42" s="1">
        <v>0</v>
      </c>
      <c r="F42" s="761">
        <v>114247723.02756658</v>
      </c>
      <c r="G42" s="691">
        <v>556</v>
      </c>
      <c r="H42" s="1">
        <v>-189695895.9642671</v>
      </c>
      <c r="I42" s="1">
        <v>0</v>
      </c>
      <c r="J42" s="761">
        <v>-122982856.72746725</v>
      </c>
      <c r="K42" s="622">
        <v>370104</v>
      </c>
      <c r="L42" s="762">
        <f>$F$42+$J$42</f>
        <v>-8735133.6999006718</v>
      </c>
      <c r="M42" s="1">
        <f>MAX($L$3:$L$42)</f>
        <v>-8289918.0008404851</v>
      </c>
      <c r="N42" s="1">
        <f>$L$42-MAX(0,$M$42)</f>
        <v>-8735133.6999006718</v>
      </c>
      <c r="O42" s="763">
        <f>($N$42/$C$2)*-1</f>
        <v>0.43675668499503362</v>
      </c>
      <c r="P42" s="764">
        <v>0.05</v>
      </c>
      <c r="Q42" s="1">
        <v>-7997596.5074079344</v>
      </c>
      <c r="R42" s="1">
        <v>737537.19249268156</v>
      </c>
      <c r="S42" s="1">
        <v>-5473035.5188352698</v>
      </c>
      <c r="T42" s="1">
        <v>3262098.1810653461</v>
      </c>
      <c r="U42" s="763">
        <f>($R$42/$Q$2)*-1</f>
        <v>-2.4584573083089385E-2</v>
      </c>
      <c r="V42" s="691"/>
    </row>
    <row r="43" spans="1:22" x14ac:dyDescent="0.25">
      <c r="A43" s="690"/>
      <c r="B43" s="760">
        <v>44627</v>
      </c>
      <c r="C43">
        <v>940</v>
      </c>
      <c r="D43" s="1">
        <v>190113694.80900636</v>
      </c>
      <c r="E43" s="1">
        <v>0</v>
      </c>
      <c r="F43" s="761">
        <v>110310353.95044658</v>
      </c>
      <c r="G43" s="691">
        <v>587</v>
      </c>
      <c r="H43" s="1">
        <v>-198446394.45901909</v>
      </c>
      <c r="I43" s="1">
        <v>0</v>
      </c>
      <c r="J43" s="761">
        <v>-119183446.13034727</v>
      </c>
      <c r="K43" s="622">
        <v>370104</v>
      </c>
      <c r="L43" s="762">
        <f>$F$43+$J$43</f>
        <v>-8873092.1799006909</v>
      </c>
      <c r="M43" s="1">
        <f>MAX($L$3:$L$43)</f>
        <v>-8289918.0008404851</v>
      </c>
      <c r="N43" s="1">
        <f>$L$43-MAX(0,$M$43)</f>
        <v>-8873092.1799006909</v>
      </c>
      <c r="O43" s="763">
        <f>($N$43/$C$2)*-1</f>
        <v>0.44365460899503456</v>
      </c>
      <c r="P43" s="764">
        <v>0.05</v>
      </c>
      <c r="Q43" s="1">
        <v>-7087335.2482393486</v>
      </c>
      <c r="R43" s="1">
        <v>1785756.9316612696</v>
      </c>
      <c r="S43" s="1">
        <v>-4481658.4085065182</v>
      </c>
      <c r="T43" s="1">
        <v>4391433.7713941</v>
      </c>
      <c r="U43" s="763">
        <f>($R$43/$Q$2)*-1</f>
        <v>-5.9525231055375653E-2</v>
      </c>
      <c r="V43" s="691"/>
    </row>
    <row r="44" spans="1:22" x14ac:dyDescent="0.25">
      <c r="A44" s="690"/>
      <c r="B44" s="760">
        <v>44628</v>
      </c>
      <c r="C44">
        <v>947</v>
      </c>
      <c r="D44" s="1">
        <v>190550397.84900638</v>
      </c>
      <c r="E44" s="1">
        <v>0</v>
      </c>
      <c r="F44" s="761">
        <v>111161347.87092662</v>
      </c>
      <c r="G44" s="691">
        <v>594</v>
      </c>
      <c r="H44" s="1">
        <v>-199595578.77901909</v>
      </c>
      <c r="I44" s="1">
        <v>0</v>
      </c>
      <c r="J44" s="761">
        <v>-119962783.0108272</v>
      </c>
      <c r="K44" s="622">
        <v>370104</v>
      </c>
      <c r="L44" s="762">
        <f>$F$44+$J$44</f>
        <v>-8801435.13990058</v>
      </c>
      <c r="M44" s="1">
        <f>MAX($L$3:$L$44)</f>
        <v>-8289918.0008404851</v>
      </c>
      <c r="N44" s="1">
        <f>$L$44-MAX(0,$M$44)</f>
        <v>-8801435.13990058</v>
      </c>
      <c r="O44" s="763">
        <f>($N$44/$C$2)*-1</f>
        <v>0.44007175699502898</v>
      </c>
      <c r="P44" s="764">
        <v>0.05</v>
      </c>
      <c r="Q44" s="1">
        <v>-6646033.3289238932</v>
      </c>
      <c r="R44" s="1">
        <v>2155401.8109767223</v>
      </c>
      <c r="S44" s="1">
        <v>-4082470.7673465163</v>
      </c>
      <c r="T44" s="1">
        <v>4718964.3725540992</v>
      </c>
      <c r="U44" s="763">
        <f>($R$44/$Q$2)*-1</f>
        <v>-7.1846727032557414E-2</v>
      </c>
      <c r="V44" s="691"/>
    </row>
    <row r="45" spans="1:22" x14ac:dyDescent="0.25">
      <c r="A45" s="690"/>
      <c r="B45" s="760">
        <v>44629</v>
      </c>
      <c r="C45">
        <v>948</v>
      </c>
      <c r="D45" s="1">
        <v>190730397.84900638</v>
      </c>
      <c r="E45" s="1">
        <v>0</v>
      </c>
      <c r="F45" s="761">
        <v>110815299.07188658</v>
      </c>
      <c r="G45" s="691">
        <v>589</v>
      </c>
      <c r="H45" s="1">
        <v>-199775578.77901909</v>
      </c>
      <c r="I45" s="1">
        <v>2300292</v>
      </c>
      <c r="J45" s="761">
        <v>-119585797.49178724</v>
      </c>
      <c r="K45" s="622">
        <v>370104</v>
      </c>
      <c r="L45" s="762">
        <f>$F$45+$J$45</f>
        <v>-8770498.4199006557</v>
      </c>
      <c r="M45" s="1">
        <f>MAX($L$3:$L$45)</f>
        <v>-8289918.0008404851</v>
      </c>
      <c r="N45" s="1">
        <f>$L$45-MAX(0,$M$45)</f>
        <v>-8770498.4199006557</v>
      </c>
      <c r="O45" s="763">
        <f>($N$45/$C$2)*-1</f>
        <v>0.43852492099503276</v>
      </c>
      <c r="P45" s="764">
        <v>0.05</v>
      </c>
      <c r="Q45" s="1">
        <v>-6606361.4001970943</v>
      </c>
      <c r="R45" s="1">
        <v>2164137.0197035205</v>
      </c>
      <c r="S45" s="1">
        <v>-4060966.7374029877</v>
      </c>
      <c r="T45" s="1">
        <v>4709531.6824976271</v>
      </c>
      <c r="U45" s="763">
        <f>($R$45/$Q$2)*-1</f>
        <v>-7.2137900656784021E-2</v>
      </c>
      <c r="V45" s="691"/>
    </row>
    <row r="46" spans="1:22" x14ac:dyDescent="0.25">
      <c r="A46" s="690"/>
      <c r="B46" s="760">
        <v>44630</v>
      </c>
      <c r="C46">
        <v>948</v>
      </c>
      <c r="D46" s="1">
        <v>195496031.72791833</v>
      </c>
      <c r="E46" s="1">
        <v>0</v>
      </c>
      <c r="F46" s="761">
        <v>110815299.07188658</v>
      </c>
      <c r="G46" s="691">
        <v>589</v>
      </c>
      <c r="H46" s="1">
        <v>-199775578.77901909</v>
      </c>
      <c r="I46" s="1">
        <v>0</v>
      </c>
      <c r="J46" s="761">
        <v>-119585797.49178724</v>
      </c>
      <c r="K46" s="622">
        <v>370104</v>
      </c>
      <c r="L46" s="762">
        <f>$F$46+$J$46</f>
        <v>-8770498.4199006557</v>
      </c>
      <c r="M46" s="1">
        <f>MAX($L$3:$L$46)</f>
        <v>-8289918.0008404851</v>
      </c>
      <c r="N46" s="1">
        <f>$L$46-MAX(0,$M$46)</f>
        <v>-8770498.4199006557</v>
      </c>
      <c r="O46" s="763">
        <f>($N$46/$C$2)*-1</f>
        <v>0.43852492099503276</v>
      </c>
      <c r="P46" s="764">
        <v>0.05</v>
      </c>
      <c r="Q46" s="1">
        <v>-10150342.501919018</v>
      </c>
      <c r="R46" s="1">
        <v>-1379844.0820184015</v>
      </c>
      <c r="S46" s="1">
        <v>-7604947.8373506507</v>
      </c>
      <c r="T46" s="1">
        <v>1165550.5825499659</v>
      </c>
      <c r="U46" s="763">
        <f>($R$46/$Q$2)*-1</f>
        <v>4.5994802733946717E-2</v>
      </c>
      <c r="V46" s="691"/>
    </row>
    <row r="47" spans="1:22" x14ac:dyDescent="0.25">
      <c r="A47" s="690"/>
      <c r="B47" s="760">
        <v>44631</v>
      </c>
      <c r="C47">
        <v>951</v>
      </c>
      <c r="D47" s="1">
        <v>196793634.10013905</v>
      </c>
      <c r="E47" s="1">
        <v>0</v>
      </c>
      <c r="F47" s="761">
        <v>119390751.04884657</v>
      </c>
      <c r="G47" s="691">
        <v>589</v>
      </c>
      <c r="H47" s="1">
        <v>-199602581.15123981</v>
      </c>
      <c r="I47" s="1">
        <v>0</v>
      </c>
      <c r="J47" s="761">
        <v>-127980331.75674726</v>
      </c>
      <c r="K47" s="622">
        <v>370104</v>
      </c>
      <c r="L47" s="762">
        <f>$F$47+$J$47</f>
        <v>-8589580.7079006881</v>
      </c>
      <c r="M47" s="1">
        <f>MAX($L$3:$L$47)</f>
        <v>-8289918.0008404851</v>
      </c>
      <c r="N47" s="1">
        <f>$L$47-MAX(0,$M$47)</f>
        <v>-8589580.7079006881</v>
      </c>
      <c r="O47" s="763">
        <f>($N$47/$C$2)*-1</f>
        <v>0.4294790353950344</v>
      </c>
      <c r="P47" s="764">
        <v>0.05</v>
      </c>
      <c r="Q47" s="1">
        <v>-10581604.170856172</v>
      </c>
      <c r="R47" s="1">
        <v>-1992023.4629555512</v>
      </c>
      <c r="S47" s="1">
        <v>-7228054.3925966239</v>
      </c>
      <c r="T47" s="1">
        <v>1361526.3153039971</v>
      </c>
      <c r="U47" s="763">
        <f>($R$47/$Q$2)*-1</f>
        <v>6.6400782098518379E-2</v>
      </c>
      <c r="V47" s="691"/>
    </row>
    <row r="48" spans="1:22" x14ac:dyDescent="0.25">
      <c r="A48" s="690"/>
      <c r="B48" s="760">
        <v>44634</v>
      </c>
      <c r="C48">
        <v>953</v>
      </c>
      <c r="D48" s="1">
        <v>196665070.90013903</v>
      </c>
      <c r="E48" s="1">
        <v>0</v>
      </c>
      <c r="F48" s="761">
        <v>120349507.84788661</v>
      </c>
      <c r="G48" s="691">
        <v>591</v>
      </c>
      <c r="H48" s="1">
        <v>-199474017.95123979</v>
      </c>
      <c r="I48" s="1">
        <v>0</v>
      </c>
      <c r="J48" s="761">
        <v>-128892585.43578726</v>
      </c>
      <c r="K48" s="622">
        <v>370104</v>
      </c>
      <c r="L48" s="762">
        <f>$F$48+$J$48</f>
        <v>-8543077.5879006535</v>
      </c>
      <c r="M48" s="1">
        <f>MAX($L$3:$L$48)</f>
        <v>-8289918.0008404851</v>
      </c>
      <c r="N48" s="1">
        <f>$L$48-MAX(0,$M$48)</f>
        <v>-8543077.5879006535</v>
      </c>
      <c r="O48" s="763">
        <f>($N$48/$C$2)*-1</f>
        <v>0.42715387939503269</v>
      </c>
      <c r="P48" s="764">
        <v>0.05</v>
      </c>
      <c r="Q48" s="1">
        <v>-10521968.656791365</v>
      </c>
      <c r="R48" s="1">
        <v>-1978891.0688907448</v>
      </c>
      <c r="S48" s="1">
        <v>-7195772.5867535081</v>
      </c>
      <c r="T48" s="1">
        <v>1347305.0011471119</v>
      </c>
      <c r="U48" s="763">
        <f>($R$48/$Q$2)*-1</f>
        <v>6.5963035629691497E-2</v>
      </c>
      <c r="V48" s="691"/>
    </row>
    <row r="49" spans="1:22" x14ac:dyDescent="0.25">
      <c r="A49" s="690"/>
      <c r="B49" s="760">
        <v>44635</v>
      </c>
      <c r="C49">
        <v>953</v>
      </c>
      <c r="D49" s="1">
        <v>196445056.71863434</v>
      </c>
      <c r="E49" s="1">
        <v>0</v>
      </c>
      <c r="F49" s="761">
        <v>122711082.46494173</v>
      </c>
      <c r="G49" s="691">
        <v>591</v>
      </c>
      <c r="H49" s="1">
        <v>-199215968.19865972</v>
      </c>
      <c r="I49" s="1">
        <v>0</v>
      </c>
      <c r="J49" s="761">
        <v>-131043005.04176688</v>
      </c>
      <c r="K49" s="622">
        <v>370104</v>
      </c>
      <c r="L49" s="762">
        <f>$F$49+$J$49</f>
        <v>-8331922.5768251568</v>
      </c>
      <c r="M49" s="1">
        <f>MAX($L$3:$L$49)</f>
        <v>-8289918.0008404851</v>
      </c>
      <c r="N49" s="1">
        <f>$L$49-MAX(0,$M$49)</f>
        <v>-8331922.5768251568</v>
      </c>
      <c r="O49" s="763">
        <f>($N$49/$C$2)*-1</f>
        <v>0.41659612884125785</v>
      </c>
      <c r="P49" s="764">
        <v>0.05</v>
      </c>
      <c r="Q49" s="1">
        <v>-10253830.693819955</v>
      </c>
      <c r="R49" s="1">
        <v>-1921908.116994842</v>
      </c>
      <c r="S49" s="1">
        <v>-7082435.9204155942</v>
      </c>
      <c r="T49" s="1">
        <v>1249486.6564095188</v>
      </c>
      <c r="U49" s="763">
        <f>($R$49/$Q$2)*-1</f>
        <v>6.406360389982807E-2</v>
      </c>
      <c r="V49" s="691"/>
    </row>
    <row r="50" spans="1:22" x14ac:dyDescent="0.25">
      <c r="A50" s="690"/>
      <c r="B50" s="760">
        <v>44636</v>
      </c>
      <c r="C50">
        <v>971</v>
      </c>
      <c r="D50" s="1">
        <v>197328256.71863434</v>
      </c>
      <c r="E50" s="1">
        <v>0</v>
      </c>
      <c r="F50" s="761">
        <v>123541427.26446168</v>
      </c>
      <c r="G50" s="691">
        <v>609</v>
      </c>
      <c r="H50" s="1">
        <v>-200099168.19865972</v>
      </c>
      <c r="I50" s="1">
        <v>0</v>
      </c>
      <c r="J50" s="761">
        <v>-131868142.32128692</v>
      </c>
      <c r="K50" s="622">
        <v>370104</v>
      </c>
      <c r="L50" s="762">
        <f>$F$50+$J$50</f>
        <v>-8326715.0568252355</v>
      </c>
      <c r="M50" s="1">
        <f>MAX($L$3:$L$50)</f>
        <v>-8289918.0008404851</v>
      </c>
      <c r="N50" s="1">
        <f>$L$50-MAX(0,$M$50)</f>
        <v>-8326715.0568252355</v>
      </c>
      <c r="O50" s="763">
        <f>($N$50/$C$2)*-1</f>
        <v>0.41633575284126179</v>
      </c>
      <c r="P50" s="764">
        <v>0.05</v>
      </c>
      <c r="Q50" s="1">
        <v>-10249851.481649857</v>
      </c>
      <c r="R50" s="1">
        <v>-1923136.4248247407</v>
      </c>
      <c r="S50" s="1">
        <v>-7063856.8073390648</v>
      </c>
      <c r="T50" s="1">
        <v>1262858.2494860515</v>
      </c>
      <c r="U50" s="763">
        <f>($R$50/$Q$2)*-1</f>
        <v>6.4104547494158018E-2</v>
      </c>
      <c r="V50" s="691"/>
    </row>
    <row r="51" spans="1:22" x14ac:dyDescent="0.25">
      <c r="A51" s="690"/>
      <c r="B51" s="760">
        <v>44637</v>
      </c>
      <c r="C51">
        <v>977</v>
      </c>
      <c r="D51" s="1">
        <v>197990656.71863434</v>
      </c>
      <c r="E51" s="1">
        <v>0</v>
      </c>
      <c r="F51" s="761">
        <v>123929742.46494171</v>
      </c>
      <c r="G51" s="691">
        <v>615</v>
      </c>
      <c r="H51" s="1">
        <v>-200761568.19865972</v>
      </c>
      <c r="I51" s="1">
        <v>0</v>
      </c>
      <c r="J51" s="761">
        <v>-132198319.44176689</v>
      </c>
      <c r="K51" s="622">
        <v>370104</v>
      </c>
      <c r="L51" s="762">
        <f>$F$51+$J$51</f>
        <v>-8268576.9768251777</v>
      </c>
      <c r="M51" s="1">
        <f>MAX($L$3:$L$51)</f>
        <v>-8268576.9768251777</v>
      </c>
      <c r="N51" s="1">
        <f>$L$51-MAX(0,$M$51)</f>
        <v>-8268576.9768251777</v>
      </c>
      <c r="O51" s="763">
        <f>($N$51/$C$2)*-1</f>
        <v>0.41342884884125886</v>
      </c>
      <c r="P51" s="764">
        <v>0.05</v>
      </c>
      <c r="Q51" s="1">
        <v>-10172598.201772893</v>
      </c>
      <c r="R51" s="1">
        <v>-1904021.2249477804</v>
      </c>
      <c r="S51" s="1">
        <v>-7038446.5067381561</v>
      </c>
      <c r="T51" s="1">
        <v>1230130.4700869564</v>
      </c>
      <c r="U51" s="763">
        <f>($R$51/$Q$2)*-1</f>
        <v>6.346737416492601E-2</v>
      </c>
      <c r="V51" s="691"/>
    </row>
    <row r="52" spans="1:22" x14ac:dyDescent="0.25">
      <c r="A52" s="690"/>
      <c r="B52" s="760">
        <v>44638</v>
      </c>
      <c r="C52">
        <v>977</v>
      </c>
      <c r="D52" s="1">
        <v>197990656.71863434</v>
      </c>
      <c r="E52" s="1">
        <v>0</v>
      </c>
      <c r="F52" s="761">
        <v>127867304.86110176</v>
      </c>
      <c r="G52" s="691">
        <v>615</v>
      </c>
      <c r="H52" s="1">
        <v>-200761568.19865972</v>
      </c>
      <c r="I52" s="1">
        <v>0</v>
      </c>
      <c r="J52" s="761">
        <v>-135984655.6779269</v>
      </c>
      <c r="K52" s="622">
        <v>370104</v>
      </c>
      <c r="L52" s="762">
        <f>$F$52+$J$52</f>
        <v>-8117350.8168251365</v>
      </c>
      <c r="M52" s="1">
        <f>MAX($L$3:$L$52)</f>
        <v>-8117350.8168251365</v>
      </c>
      <c r="N52" s="1">
        <f>$L$52-MAX(0,$M$52)</f>
        <v>-8117350.8168251365</v>
      </c>
      <c r="O52" s="763">
        <f>($N$52/$C$2)*-1</f>
        <v>0.40586754084125681</v>
      </c>
      <c r="P52" s="764">
        <v>0.05</v>
      </c>
      <c r="Q52" s="1">
        <v>-9975965.2993210182</v>
      </c>
      <c r="R52" s="1">
        <v>-1858614.4824959049</v>
      </c>
      <c r="S52" s="1">
        <v>-6948461.3141299067</v>
      </c>
      <c r="T52" s="1">
        <v>1168889.5026952066</v>
      </c>
      <c r="U52" s="763">
        <f>($R$52/$Q$2)*-1</f>
        <v>6.1953816083196833E-2</v>
      </c>
      <c r="V52" s="691"/>
    </row>
    <row r="53" spans="1:22" x14ac:dyDescent="0.25">
      <c r="A53" s="690"/>
      <c r="B53" s="760">
        <v>44641</v>
      </c>
      <c r="C53">
        <v>1001</v>
      </c>
      <c r="D53" s="1">
        <v>196564037.75060919</v>
      </c>
      <c r="E53" s="1">
        <v>0</v>
      </c>
      <c r="F53" s="761">
        <v>130188312.29115656</v>
      </c>
      <c r="G53" s="691">
        <v>621</v>
      </c>
      <c r="H53" s="1">
        <v>-200982368.19865972</v>
      </c>
      <c r="I53" s="1">
        <v>0</v>
      </c>
      <c r="J53" s="761">
        <v>-138294938.15600687</v>
      </c>
      <c r="K53" s="622">
        <v>370104</v>
      </c>
      <c r="L53" s="762">
        <f>$F$53+$J$53</f>
        <v>-8106625.8648503125</v>
      </c>
      <c r="M53" s="1">
        <f>MAX($L$3:$L$53)</f>
        <v>-8106625.8648503125</v>
      </c>
      <c r="N53" s="1">
        <f>$L$53-MAX(0,$M$53)</f>
        <v>-8106625.8648503125</v>
      </c>
      <c r="O53" s="763">
        <f>($N$53/$C$2)*-1</f>
        <v>0.4053312932425156</v>
      </c>
      <c r="P53" s="764">
        <v>0.05</v>
      </c>
      <c r="Q53" s="1">
        <v>-10830603.68016639</v>
      </c>
      <c r="R53" s="1">
        <v>-2723977.8153161258</v>
      </c>
      <c r="S53" s="1">
        <v>-6012632.0005780654</v>
      </c>
      <c r="T53" s="1">
        <v>2093993.8642721986</v>
      </c>
      <c r="U53" s="763">
        <f>($R$53/$Q$2)*-1</f>
        <v>9.0799260510537522E-2</v>
      </c>
      <c r="V53" s="691"/>
    </row>
    <row r="54" spans="1:22" x14ac:dyDescent="0.25">
      <c r="A54" s="690"/>
      <c r="B54" s="760">
        <v>44642</v>
      </c>
      <c r="C54">
        <v>1001</v>
      </c>
      <c r="D54" s="1">
        <v>198418246.31681156</v>
      </c>
      <c r="E54" s="1">
        <v>0</v>
      </c>
      <c r="F54" s="761">
        <v>134444469.65567899</v>
      </c>
      <c r="G54" s="691">
        <v>621</v>
      </c>
      <c r="H54" s="1">
        <v>-202559594.24298283</v>
      </c>
      <c r="I54" s="1">
        <v>0</v>
      </c>
      <c r="J54" s="761">
        <v>-141907125.87865031</v>
      </c>
      <c r="K54" s="622">
        <v>370104</v>
      </c>
      <c r="L54" s="762">
        <f>$F$54+$J$54</f>
        <v>-7462656.2229713202</v>
      </c>
      <c r="M54" s="1">
        <f>MAX($L$3:$L$54)</f>
        <v>-7462656.2229713202</v>
      </c>
      <c r="N54" s="1">
        <f>$L$54-MAX(0,$M$54)</f>
        <v>-7462656.2229713202</v>
      </c>
      <c r="O54" s="763">
        <f>($N$54/$C$2)*-1</f>
        <v>0.373132811148566</v>
      </c>
      <c r="P54" s="764">
        <v>0.05</v>
      </c>
      <c r="Q54" s="1">
        <v>-10083004.076186011</v>
      </c>
      <c r="R54" s="1">
        <v>-2620347.8532148441</v>
      </c>
      <c r="S54" s="1">
        <v>-5480829.7259735819</v>
      </c>
      <c r="T54" s="1">
        <v>1981826.4969975846</v>
      </c>
      <c r="U54" s="763">
        <f>($R$54/$Q$2)*-1</f>
        <v>8.734492844049481E-2</v>
      </c>
      <c r="V54" s="691"/>
    </row>
    <row r="55" spans="1:22" x14ac:dyDescent="0.25">
      <c r="A55" s="690"/>
      <c r="B55" s="760">
        <v>44643</v>
      </c>
      <c r="C55">
        <v>1013</v>
      </c>
      <c r="D55" s="1">
        <v>198933358.31681156</v>
      </c>
      <c r="E55" s="1">
        <v>0</v>
      </c>
      <c r="F55" s="761">
        <v>132844860.05711898</v>
      </c>
      <c r="G55" s="691">
        <v>633</v>
      </c>
      <c r="H55" s="1">
        <v>-203074706.24298283</v>
      </c>
      <c r="I55" s="1">
        <v>0</v>
      </c>
      <c r="J55" s="761">
        <v>-140354587.24009019</v>
      </c>
      <c r="K55" s="622">
        <v>370104</v>
      </c>
      <c r="L55" s="762">
        <f>$F$55+$J$55</f>
        <v>-7509727.1829712093</v>
      </c>
      <c r="M55" s="1">
        <f>MAX($L$3:$L$55)</f>
        <v>-7462656.2229713202</v>
      </c>
      <c r="N55" s="1">
        <f>$L$55-MAX(0,$M$55)</f>
        <v>-7509727.1829712093</v>
      </c>
      <c r="O55" s="763">
        <f>($N$55/$C$2)*-1</f>
        <v>0.37548635914856049</v>
      </c>
      <c r="P55" s="764">
        <v>0.05</v>
      </c>
      <c r="Q55" s="1">
        <v>-10140669.091212727</v>
      </c>
      <c r="R55" s="1">
        <v>-2630941.9082415625</v>
      </c>
      <c r="S55" s="1">
        <v>-5528483.4843550418</v>
      </c>
      <c r="T55" s="1">
        <v>1981243.6986161228</v>
      </c>
      <c r="U55" s="763">
        <f>($R$55/$Q$2)*-1</f>
        <v>8.7698063608052088E-2</v>
      </c>
      <c r="V55" s="691"/>
    </row>
    <row r="56" spans="1:22" x14ac:dyDescent="0.25">
      <c r="A56" s="690"/>
      <c r="B56" s="760">
        <v>44644</v>
      </c>
      <c r="C56">
        <v>1013</v>
      </c>
      <c r="D56" s="1">
        <v>198933358.31681156</v>
      </c>
      <c r="E56" s="1">
        <v>0</v>
      </c>
      <c r="F56" s="761">
        <v>135401131.25759903</v>
      </c>
      <c r="G56" s="691">
        <v>633</v>
      </c>
      <c r="H56" s="1">
        <v>-203074706.24298283</v>
      </c>
      <c r="I56" s="1">
        <v>0</v>
      </c>
      <c r="J56" s="761">
        <v>-142629730.12057024</v>
      </c>
      <c r="K56" s="622">
        <v>370104</v>
      </c>
      <c r="L56" s="762">
        <f>$F$56+$J$56</f>
        <v>-7228598.8629712164</v>
      </c>
      <c r="M56" s="1">
        <f>MAX($L$3:$L$56)</f>
        <v>-7228598.8629712164</v>
      </c>
      <c r="N56" s="1">
        <f>$L$56-MAX(0,$M$56)</f>
        <v>-7228598.8629712164</v>
      </c>
      <c r="O56" s="763">
        <f>($N$56/$C$2)*-1</f>
        <v>0.36142994314856081</v>
      </c>
      <c r="P56" s="764">
        <v>0.05</v>
      </c>
      <c r="Q56" s="1">
        <v>-9777454.7024976239</v>
      </c>
      <c r="R56" s="1">
        <v>-2548855.8395264568</v>
      </c>
      <c r="S56" s="1">
        <v>-5348261.4083470926</v>
      </c>
      <c r="T56" s="1">
        <v>1880337.4546240745</v>
      </c>
      <c r="U56" s="763">
        <f>($R$56/$Q$2)*-1</f>
        <v>8.4961861317548557E-2</v>
      </c>
      <c r="V56" s="691"/>
    </row>
    <row r="57" spans="1:22" x14ac:dyDescent="0.25">
      <c r="A57" s="690"/>
      <c r="B57" s="760">
        <v>44645</v>
      </c>
      <c r="C57">
        <v>1030</v>
      </c>
      <c r="D57" s="1">
        <v>204813958.31681156</v>
      </c>
      <c r="E57" s="1">
        <v>0</v>
      </c>
      <c r="F57" s="761">
        <v>135313216.85783899</v>
      </c>
      <c r="G57" s="691">
        <v>638</v>
      </c>
      <c r="H57" s="1">
        <v>-203305106.24298283</v>
      </c>
      <c r="I57" s="1">
        <v>0</v>
      </c>
      <c r="J57" s="761">
        <v>-142578247.00081027</v>
      </c>
      <c r="K57" s="622">
        <v>370104</v>
      </c>
      <c r="L57" s="762">
        <f>$F$57+$J$57</f>
        <v>-7265030.1429712772</v>
      </c>
      <c r="M57" s="1">
        <f>MAX($L$3:$L$57)</f>
        <v>-7228598.8629712164</v>
      </c>
      <c r="N57" s="1">
        <f>$L$57-MAX(0,$M$57)</f>
        <v>-7265030.1429712772</v>
      </c>
      <c r="O57" s="763">
        <f>($N$57/$C$2)*-1</f>
        <v>0.36325150714856386</v>
      </c>
      <c r="P57" s="764">
        <v>0.05</v>
      </c>
      <c r="Q57" s="1">
        <v>-10258501.003033808</v>
      </c>
      <c r="R57" s="1">
        <v>-2993470.860062642</v>
      </c>
      <c r="S57" s="1">
        <v>-4903196.9382629432</v>
      </c>
      <c r="T57" s="1">
        <v>2361833.2047082223</v>
      </c>
      <c r="U57" s="763">
        <f>($R$57/$Q$2)*-1</f>
        <v>9.9782362002088065E-2</v>
      </c>
      <c r="V57" s="691"/>
    </row>
    <row r="58" spans="1:22" x14ac:dyDescent="0.25">
      <c r="A58" s="690"/>
      <c r="B58" s="760">
        <v>44648</v>
      </c>
      <c r="C58">
        <v>1031</v>
      </c>
      <c r="D58" s="1">
        <v>205394278.31681156</v>
      </c>
      <c r="E58" s="1">
        <v>0</v>
      </c>
      <c r="F58" s="761">
        <v>136971436.85591894</v>
      </c>
      <c r="G58" s="691">
        <v>639</v>
      </c>
      <c r="H58" s="1">
        <v>-203885426.24298283</v>
      </c>
      <c r="I58" s="1">
        <v>0</v>
      </c>
      <c r="J58" s="761">
        <v>-144080454.51889014</v>
      </c>
      <c r="K58" s="622">
        <v>370104</v>
      </c>
      <c r="L58" s="762">
        <f>$F$58+$J$58</f>
        <v>-7109017.6629711986</v>
      </c>
      <c r="M58" s="1">
        <f>MAX($L$3:$L$58)</f>
        <v>-7109017.6629711986</v>
      </c>
      <c r="N58" s="1">
        <f>$L$58-MAX(0,$M$58)</f>
        <v>-7109017.6629711986</v>
      </c>
      <c r="O58" s="763">
        <f>($N$58/$C$2)*-1</f>
        <v>0.35545088314855994</v>
      </c>
      <c r="P58" s="764">
        <v>0.05</v>
      </c>
      <c r="Q58" s="1">
        <v>-10054101.531980013</v>
      </c>
      <c r="R58" s="1">
        <v>-2945083.8690088466</v>
      </c>
      <c r="S58" s="1">
        <v>-4811638.9301164895</v>
      </c>
      <c r="T58" s="1">
        <v>2297378.7328546774</v>
      </c>
      <c r="U58" s="763">
        <f>($R$58/$Q$2)*-1</f>
        <v>9.8169462300294885E-2</v>
      </c>
      <c r="V58" s="691"/>
    </row>
    <row r="59" spans="1:22" x14ac:dyDescent="0.25">
      <c r="A59" s="690"/>
      <c r="B59" s="760">
        <v>44649</v>
      </c>
      <c r="C59">
        <v>1034</v>
      </c>
      <c r="D59" s="1">
        <v>207080132.18871751</v>
      </c>
      <c r="E59" s="1">
        <v>0</v>
      </c>
      <c r="F59" s="761">
        <v>135751118.72878489</v>
      </c>
      <c r="G59" s="691">
        <v>642</v>
      </c>
      <c r="H59" s="1">
        <v>-205578026.24298283</v>
      </c>
      <c r="I59" s="1">
        <v>0</v>
      </c>
      <c r="J59" s="761">
        <v>-142895099.79985005</v>
      </c>
      <c r="K59" s="622">
        <v>370104</v>
      </c>
      <c r="L59" s="762">
        <f>$F$59+$J$59</f>
        <v>-7143981.0710651577</v>
      </c>
      <c r="M59" s="1">
        <f>MAX($L$3:$L$59)</f>
        <v>-7109017.6629711986</v>
      </c>
      <c r="N59" s="1">
        <f>$L$59-MAX(0,$M$59)</f>
        <v>-7143981.0710651577</v>
      </c>
      <c r="O59" s="763">
        <f>($N$59/$C$2)*-1</f>
        <v>0.35719905355325787</v>
      </c>
      <c r="P59" s="764">
        <v>0.05</v>
      </c>
      <c r="Q59" s="1">
        <v>-10097033.713571576</v>
      </c>
      <c r="R59" s="1">
        <v>-2953052.6425063163</v>
      </c>
      <c r="S59" s="1">
        <v>-4837972.8049515672</v>
      </c>
      <c r="T59" s="1">
        <v>2306008.2661136929</v>
      </c>
      <c r="U59" s="763">
        <f>($R$59/$Q$2)*-1</f>
        <v>9.843508808354387E-2</v>
      </c>
      <c r="V59" s="691"/>
    </row>
    <row r="60" spans="1:22" x14ac:dyDescent="0.25">
      <c r="A60" s="690"/>
      <c r="B60" s="760">
        <v>44650</v>
      </c>
      <c r="C60">
        <v>1047</v>
      </c>
      <c r="D60" s="1">
        <v>208201525.55957976</v>
      </c>
      <c r="E60" s="1">
        <v>0</v>
      </c>
      <c r="F60" s="761">
        <v>134536339.94436714</v>
      </c>
      <c r="G60" s="691">
        <v>643</v>
      </c>
      <c r="H60" s="1">
        <v>-206738666.24298283</v>
      </c>
      <c r="I60" s="1">
        <v>0</v>
      </c>
      <c r="J60" s="761">
        <v>-141768601.23793015</v>
      </c>
      <c r="K60" s="622">
        <v>370104</v>
      </c>
      <c r="L60" s="762">
        <f>$F$60+$J$60</f>
        <v>-7232261.2935630083</v>
      </c>
      <c r="M60" s="1">
        <f>MAX($L$3:$L$60)</f>
        <v>-7109017.6629711986</v>
      </c>
      <c r="N60" s="1">
        <f>$L$60-MAX(0,$M$60)</f>
        <v>-7232261.2935630083</v>
      </c>
      <c r="O60" s="763">
        <f>($N$60/$C$2)*-1</f>
        <v>0.36161306467815041</v>
      </c>
      <c r="P60" s="764">
        <v>0.05</v>
      </c>
      <c r="Q60" s="1">
        <v>-10199160.923447112</v>
      </c>
      <c r="R60" s="1">
        <v>-2966899.629884094</v>
      </c>
      <c r="S60" s="1">
        <v>-4911257.8668826828</v>
      </c>
      <c r="T60" s="1">
        <v>2321003.4266803348</v>
      </c>
      <c r="U60" s="763">
        <f>($R$60/$Q$2)*-1</f>
        <v>9.8896654329469799E-2</v>
      </c>
      <c r="V60" s="691"/>
    </row>
    <row r="61" spans="1:22" x14ac:dyDescent="0.25">
      <c r="A61" s="690"/>
      <c r="B61" s="760">
        <v>44651</v>
      </c>
      <c r="C61">
        <v>1056</v>
      </c>
      <c r="D61" s="1">
        <v>210146341.55957976</v>
      </c>
      <c r="E61" s="1">
        <v>0</v>
      </c>
      <c r="F61" s="761">
        <v>133892861.54820704</v>
      </c>
      <c r="G61" s="691">
        <v>652</v>
      </c>
      <c r="H61" s="1">
        <v>-208683482.24298283</v>
      </c>
      <c r="I61" s="1">
        <v>0</v>
      </c>
      <c r="J61" s="761">
        <v>-141160984.12177014</v>
      </c>
      <c r="K61" s="622">
        <v>370104</v>
      </c>
      <c r="L61" s="762">
        <f>$F$61+$J$61</f>
        <v>-7268122.5735630989</v>
      </c>
      <c r="M61" s="1">
        <f>MAX($L$3:$L$61)</f>
        <v>-7109017.6629711986</v>
      </c>
      <c r="N61" s="1">
        <f>$L$61-MAX(0,$M$61)</f>
        <v>-7268122.5735630989</v>
      </c>
      <c r="O61" s="763">
        <f>($N$61/$C$2)*-1</f>
        <v>0.36340612867815497</v>
      </c>
      <c r="P61" s="764">
        <v>0.05</v>
      </c>
      <c r="Q61" s="1">
        <v>-10245147.31544975</v>
      </c>
      <c r="R61" s="1">
        <v>-2977024.7418867322</v>
      </c>
      <c r="S61" s="1">
        <v>-4936168.3367530527</v>
      </c>
      <c r="T61" s="1">
        <v>2331954.2368099652</v>
      </c>
      <c r="U61" s="763">
        <f>($R$61/$Q$2)*-1</f>
        <v>9.923415806289107E-2</v>
      </c>
      <c r="V61" s="691"/>
    </row>
    <row r="62" spans="1:22" x14ac:dyDescent="0.25">
      <c r="A62" s="690"/>
      <c r="B62" s="760">
        <v>44652</v>
      </c>
      <c r="C62">
        <v>1064</v>
      </c>
      <c r="D62" s="1">
        <v>212437992.68018293</v>
      </c>
      <c r="E62" s="1">
        <v>0</v>
      </c>
      <c r="F62" s="761">
        <v>138917634.46461052</v>
      </c>
      <c r="G62" s="691">
        <v>655</v>
      </c>
      <c r="H62" s="1">
        <v>-209754719.43129268</v>
      </c>
      <c r="I62" s="1">
        <v>0</v>
      </c>
      <c r="J62" s="761">
        <v>-145788255.34480017</v>
      </c>
      <c r="K62" s="622">
        <v>370104</v>
      </c>
      <c r="L62" s="762">
        <f>$F$62+$J$62</f>
        <v>-6870620.8801896572</v>
      </c>
      <c r="M62" s="1">
        <f>MAX($L$3:$L$62)</f>
        <v>-6870620.8801896572</v>
      </c>
      <c r="N62" s="1">
        <f>$L$62-MAX(0,$M$62)</f>
        <v>-6870620.8801896572</v>
      </c>
      <c r="O62" s="763">
        <f>($N$62/$C$2)*-1</f>
        <v>0.34353104400948287</v>
      </c>
      <c r="P62" s="764">
        <v>0.05</v>
      </c>
      <c r="Q62" s="1">
        <v>-10110971.950938025</v>
      </c>
      <c r="R62" s="1">
        <v>-3240351.070748508</v>
      </c>
      <c r="S62" s="1">
        <v>-4372157.6357976208</v>
      </c>
      <c r="T62" s="1">
        <v>2498463.2443918968</v>
      </c>
      <c r="U62" s="763">
        <f>($R$62/$Q$2)*-1</f>
        <v>0.1080117023582836</v>
      </c>
      <c r="V62" s="691"/>
    </row>
    <row r="63" spans="1:22" x14ac:dyDescent="0.25">
      <c r="A63" s="690"/>
      <c r="B63" s="760">
        <v>44655</v>
      </c>
      <c r="C63">
        <v>1069</v>
      </c>
      <c r="D63" s="1">
        <v>215058000.68018293</v>
      </c>
      <c r="E63" s="1">
        <v>0</v>
      </c>
      <c r="F63" s="761">
        <v>140158638.46341044</v>
      </c>
      <c r="G63" s="691">
        <v>655</v>
      </c>
      <c r="H63" s="1">
        <v>-209754719.43129268</v>
      </c>
      <c r="I63" s="1">
        <v>0</v>
      </c>
      <c r="J63" s="761">
        <v>-146846140.30360025</v>
      </c>
      <c r="K63" s="622">
        <v>370104</v>
      </c>
      <c r="L63" s="762">
        <f>$F$63+$J$63</f>
        <v>-6687501.8401898146</v>
      </c>
      <c r="M63" s="1">
        <f>MAX($L$3:$L$63)</f>
        <v>-6687501.8401898146</v>
      </c>
      <c r="N63" s="1">
        <f>$L$63-MAX(0,$M$63)</f>
        <v>-6687501.8401898146</v>
      </c>
      <c r="O63" s="763">
        <f>($N$63/$C$2)*-1</f>
        <v>0.33437509200949073</v>
      </c>
      <c r="P63" s="764">
        <v>0.05</v>
      </c>
      <c r="Q63" s="1">
        <v>-10721021.475183705</v>
      </c>
      <c r="R63" s="1">
        <v>-4033519.6349941883</v>
      </c>
      <c r="S63" s="1">
        <v>-3690483.3271029387</v>
      </c>
      <c r="T63" s="1">
        <v>2997018.5130865779</v>
      </c>
      <c r="U63" s="763">
        <f>($R$63/$Q$2)*-1</f>
        <v>0.13445065449980628</v>
      </c>
      <c r="V63" s="691"/>
    </row>
    <row r="64" spans="1:22" x14ac:dyDescent="0.25">
      <c r="A64" s="690"/>
      <c r="B64" s="760">
        <v>44656</v>
      </c>
      <c r="C64">
        <v>1073</v>
      </c>
      <c r="D64" s="1">
        <v>216083693.96018291</v>
      </c>
      <c r="E64" s="1">
        <v>0</v>
      </c>
      <c r="F64" s="761">
        <v>142925895.33933046</v>
      </c>
      <c r="G64" s="691">
        <v>659</v>
      </c>
      <c r="H64" s="1">
        <v>-210780412.71129265</v>
      </c>
      <c r="I64" s="1">
        <v>0</v>
      </c>
      <c r="J64" s="761">
        <v>-149234460.70024011</v>
      </c>
      <c r="K64" s="622">
        <v>370104</v>
      </c>
      <c r="L64" s="762">
        <f>$F$64+$J$64</f>
        <v>-6308565.3609096408</v>
      </c>
      <c r="M64" s="1">
        <f>MAX($L$3:$L$64)</f>
        <v>-6308565.3609096408</v>
      </c>
      <c r="N64" s="1">
        <f>$L$64-MAX(0,$M$64)</f>
        <v>-6308565.3609096408</v>
      </c>
      <c r="O64" s="763">
        <f>($N$64/$C$2)*-1</f>
        <v>0.31542826804548202</v>
      </c>
      <c r="P64" s="764">
        <v>0.05</v>
      </c>
      <c r="Q64" s="1">
        <v>-10233776.833218833</v>
      </c>
      <c r="R64" s="1">
        <v>-3925211.4723093202</v>
      </c>
      <c r="S64" s="1">
        <v>-3448216.4951577103</v>
      </c>
      <c r="T64" s="1">
        <v>2860348.8657518029</v>
      </c>
      <c r="U64" s="763">
        <f>($R$64/$Q$2)*-1</f>
        <v>0.13084038241031068</v>
      </c>
      <c r="V64" s="691"/>
    </row>
    <row r="65" spans="1:22" x14ac:dyDescent="0.25">
      <c r="A65" s="690"/>
      <c r="B65" s="760">
        <v>44657</v>
      </c>
      <c r="C65">
        <v>1080</v>
      </c>
      <c r="D65" s="1">
        <v>216963176.36018291</v>
      </c>
      <c r="E65" s="1">
        <v>0</v>
      </c>
      <c r="F65" s="761">
        <v>147610317.93537039</v>
      </c>
      <c r="G65" s="691">
        <v>664</v>
      </c>
      <c r="H65" s="1">
        <v>-211659895.11129266</v>
      </c>
      <c r="I65" s="1">
        <v>0</v>
      </c>
      <c r="J65" s="761">
        <v>-153320252.37448013</v>
      </c>
      <c r="K65" s="622">
        <v>370104</v>
      </c>
      <c r="L65" s="762">
        <f>$F$65+$J$65</f>
        <v>-5709934.4391097426</v>
      </c>
      <c r="M65" s="1">
        <f>MAX($L$3:$L$65)</f>
        <v>-5709934.4391097426</v>
      </c>
      <c r="N65" s="1">
        <f>$L$65-MAX(0,$M$65)</f>
        <v>-5709934.4391097426</v>
      </c>
      <c r="O65" s="763">
        <f>($N$65/$C$2)*-1</f>
        <v>0.28549672195548714</v>
      </c>
      <c r="P65" s="764">
        <v>0.05</v>
      </c>
      <c r="Q65" s="1">
        <v>-9458785.796888113</v>
      </c>
      <c r="R65" s="1">
        <v>-3748851.3577785986</v>
      </c>
      <c r="S65" s="1">
        <v>-3088965.382317238</v>
      </c>
      <c r="T65" s="1">
        <v>2620969.0567922764</v>
      </c>
      <c r="U65" s="763">
        <f>($R$65/$Q$2)*-1</f>
        <v>0.12496171192595329</v>
      </c>
      <c r="V65" s="691"/>
    </row>
    <row r="66" spans="1:22" x14ac:dyDescent="0.25">
      <c r="A66" s="690"/>
      <c r="B66" s="760">
        <v>44658</v>
      </c>
      <c r="C66">
        <v>1087</v>
      </c>
      <c r="D66" s="1">
        <v>220725296.36018291</v>
      </c>
      <c r="E66" s="1">
        <v>0</v>
      </c>
      <c r="F66" s="761">
        <v>148428911.13585037</v>
      </c>
      <c r="G66" s="691">
        <v>664</v>
      </c>
      <c r="H66" s="1">
        <v>-211659895.11129266</v>
      </c>
      <c r="I66" s="1">
        <v>0</v>
      </c>
      <c r="J66" s="761">
        <v>-154000329.69352016</v>
      </c>
      <c r="K66" s="622">
        <v>370104</v>
      </c>
      <c r="L66" s="762">
        <f>$F$66+$J$66</f>
        <v>-5571418.5576697886</v>
      </c>
      <c r="M66" s="1">
        <f>MAX($L$3:$L$66)</f>
        <v>-5571418.5576697886</v>
      </c>
      <c r="N66" s="1">
        <f>$L$66-MAX(0,$M$66)</f>
        <v>-5571418.5576697886</v>
      </c>
      <c r="O66" s="763">
        <f>($N$66/$C$2)*-1</f>
        <v>0.27857092788348942</v>
      </c>
      <c r="P66" s="764">
        <v>0.05</v>
      </c>
      <c r="Q66" s="1">
        <v>-10340921.282933846</v>
      </c>
      <c r="R66" s="1">
        <v>-4769502.7252643304</v>
      </c>
      <c r="S66" s="1">
        <v>-1854863.7764023566</v>
      </c>
      <c r="T66" s="1">
        <v>3716554.7812671592</v>
      </c>
      <c r="U66" s="763">
        <f>($R$66/$Q$2)*-1</f>
        <v>0.15898342417547767</v>
      </c>
      <c r="V66" s="691"/>
    </row>
    <row r="67" spans="1:22" x14ac:dyDescent="0.25">
      <c r="A67" s="690"/>
      <c r="B67" s="760">
        <v>44659</v>
      </c>
      <c r="C67">
        <v>1090</v>
      </c>
      <c r="D67" s="1">
        <v>221576336.36018291</v>
      </c>
      <c r="E67" s="1">
        <v>0</v>
      </c>
      <c r="F67" s="761">
        <v>147396894.33813038</v>
      </c>
      <c r="G67" s="691">
        <v>664</v>
      </c>
      <c r="H67" s="1">
        <v>-211659895.11129266</v>
      </c>
      <c r="I67" s="1">
        <v>0</v>
      </c>
      <c r="J67" s="761">
        <v>-153087048.33364013</v>
      </c>
      <c r="K67" s="622">
        <v>370104</v>
      </c>
      <c r="L67" s="762">
        <f>$F$67+$J$67</f>
        <v>-5690153.9955097437</v>
      </c>
      <c r="M67" s="1">
        <f>MAX($L$3:$L$67)</f>
        <v>-5571418.5576697886</v>
      </c>
      <c r="N67" s="1">
        <f>$L$67-MAX(0,$M$67)</f>
        <v>-5690153.9955097437</v>
      </c>
      <c r="O67" s="763">
        <f>($N$67/$C$2)*-1</f>
        <v>0.28450769977548718</v>
      </c>
      <c r="P67" s="764">
        <v>0.05</v>
      </c>
      <c r="Q67" s="1">
        <v>-10551170.824580893</v>
      </c>
      <c r="R67" s="1">
        <v>-4861016.8290713783</v>
      </c>
      <c r="S67" s="1">
        <v>-1855067.2826138404</v>
      </c>
      <c r="T67" s="1">
        <v>3835086.7128956742</v>
      </c>
      <c r="U67" s="763">
        <f>($R$67/$Q$2)*-1</f>
        <v>0.16203389430237927</v>
      </c>
      <c r="V67" s="691"/>
    </row>
    <row r="68" spans="1:22" x14ac:dyDescent="0.25">
      <c r="A68" s="690"/>
      <c r="B68" s="760">
        <v>44662</v>
      </c>
      <c r="C68">
        <v>1090</v>
      </c>
      <c r="D68" s="1">
        <v>221304276.39218301</v>
      </c>
      <c r="E68" s="1">
        <v>0</v>
      </c>
      <c r="F68" s="761">
        <v>150107055.94089043</v>
      </c>
      <c r="G68" s="691">
        <v>664</v>
      </c>
      <c r="H68" s="1">
        <v>-211387835.14329275</v>
      </c>
      <c r="I68" s="1">
        <v>0</v>
      </c>
      <c r="J68" s="761">
        <v>-156096653.23168027</v>
      </c>
      <c r="K68" s="622">
        <v>370104</v>
      </c>
      <c r="L68" s="762">
        <f>$F$68+$J$68</f>
        <v>-5989597.2907898426</v>
      </c>
      <c r="M68" s="1">
        <f>MAX($L$3:$L$68)</f>
        <v>-5571418.5576697886</v>
      </c>
      <c r="N68" s="1">
        <f>$L$68-MAX(0,$M$68)</f>
        <v>-5989597.2907898426</v>
      </c>
      <c r="O68" s="763">
        <f>($N$68/$C$2)*-1</f>
        <v>0.29947986453949216</v>
      </c>
      <c r="P68" s="764">
        <v>0.05</v>
      </c>
      <c r="Q68" s="1">
        <v>-10762797.393712528</v>
      </c>
      <c r="R68" s="1">
        <v>-4773200.1029230068</v>
      </c>
      <c r="S68" s="1">
        <v>-2036808.4851199319</v>
      </c>
      <c r="T68" s="1">
        <v>3952788.8056695894</v>
      </c>
      <c r="U68" s="763">
        <f>($R$68/$Q$2)*-1</f>
        <v>0.15910667009743357</v>
      </c>
      <c r="V68" s="691"/>
    </row>
    <row r="69" spans="1:22" x14ac:dyDescent="0.25">
      <c r="A69" s="690"/>
      <c r="B69" s="760">
        <v>44663</v>
      </c>
      <c r="C69">
        <v>1091</v>
      </c>
      <c r="D69" s="1">
        <v>221072148.39218301</v>
      </c>
      <c r="E69" s="1">
        <v>0</v>
      </c>
      <c r="F69" s="761">
        <v>148409180.74377054</v>
      </c>
      <c r="G69" s="691">
        <v>664</v>
      </c>
      <c r="H69" s="1">
        <v>-211387835.14329275</v>
      </c>
      <c r="I69" s="1">
        <v>0</v>
      </c>
      <c r="J69" s="761">
        <v>-154716285.4345603</v>
      </c>
      <c r="K69" s="622">
        <v>370104</v>
      </c>
      <c r="L69" s="762">
        <f>$F$69+$J$69</f>
        <v>-6307104.6907897592</v>
      </c>
      <c r="M69" s="1">
        <f>MAX($L$3:$L$69)</f>
        <v>-5571418.5576697886</v>
      </c>
      <c r="N69" s="1">
        <f>$L$69-MAX(0,$M$69)</f>
        <v>-6307104.6907897592</v>
      </c>
      <c r="O69" s="763">
        <f>($N$69/$C$2)*-1</f>
        <v>0.31535523453948794</v>
      </c>
      <c r="P69" s="764">
        <v>0.05</v>
      </c>
      <c r="Q69" s="1">
        <v>-11096657.452619139</v>
      </c>
      <c r="R69" s="1">
        <v>-4789552.7618296165</v>
      </c>
      <c r="S69" s="1">
        <v>-2354099.2244985816</v>
      </c>
      <c r="T69" s="1">
        <v>3953005.466290941</v>
      </c>
      <c r="U69" s="763">
        <f>($R$69/$Q$2)*-1</f>
        <v>0.15965175872765389</v>
      </c>
      <c r="V69" s="691"/>
    </row>
    <row r="70" spans="1:22" x14ac:dyDescent="0.25">
      <c r="A70" s="690"/>
      <c r="B70" s="760">
        <v>44664</v>
      </c>
      <c r="C70">
        <v>1096</v>
      </c>
      <c r="D70" s="1">
        <v>221126556.39218301</v>
      </c>
      <c r="E70" s="1">
        <v>0</v>
      </c>
      <c r="F70" s="761">
        <v>145490737.54545051</v>
      </c>
      <c r="G70" s="691">
        <v>664</v>
      </c>
      <c r="H70" s="1">
        <v>-211387835.14329275</v>
      </c>
      <c r="I70" s="1">
        <v>0</v>
      </c>
      <c r="J70" s="761">
        <v>-152100074.95624021</v>
      </c>
      <c r="K70" s="622">
        <v>370104</v>
      </c>
      <c r="L70" s="762">
        <f>$F$70+$J$70</f>
        <v>-6609337.4107896984</v>
      </c>
      <c r="M70" s="1">
        <f>MAX($L$3:$L$70)</f>
        <v>-5571418.5576697886</v>
      </c>
      <c r="N70" s="1">
        <f>$L$70-MAX(0,$M$70)</f>
        <v>-6609337.4107896984</v>
      </c>
      <c r="O70" s="763">
        <f>($N$70/$C$2)*-1</f>
        <v>0.33046687053948492</v>
      </c>
      <c r="P70" s="764">
        <v>0.05</v>
      </c>
      <c r="Q70" s="1">
        <v>-11480756.336503712</v>
      </c>
      <c r="R70" s="1">
        <v>-4871418.9257141948</v>
      </c>
      <c r="S70" s="1">
        <v>-2567670.8431160976</v>
      </c>
      <c r="T70" s="1">
        <v>4041666.5676734201</v>
      </c>
      <c r="U70" s="763">
        <f>($R$70/$Q$2)*-1</f>
        <v>0.16238063085713983</v>
      </c>
      <c r="V70" s="691"/>
    </row>
    <row r="71" spans="1:22" x14ac:dyDescent="0.25">
      <c r="A71" s="690"/>
      <c r="B71" s="760">
        <v>44665</v>
      </c>
      <c r="C71">
        <v>1097</v>
      </c>
      <c r="D71" s="1">
        <v>221328156.39218301</v>
      </c>
      <c r="E71" s="1">
        <v>0</v>
      </c>
      <c r="F71" s="761">
        <v>143382353.14665052</v>
      </c>
      <c r="G71" s="691">
        <v>664</v>
      </c>
      <c r="H71" s="1">
        <v>-211387835.14329275</v>
      </c>
      <c r="I71" s="1">
        <v>0</v>
      </c>
      <c r="J71" s="761">
        <v>-150259353.43528029</v>
      </c>
      <c r="K71" s="622">
        <v>370104</v>
      </c>
      <c r="L71" s="762">
        <f>$F$71+$J$71</f>
        <v>-6877000.2886297703</v>
      </c>
      <c r="M71" s="1">
        <f>MAX($L$3:$L$71)</f>
        <v>-5571418.5576697886</v>
      </c>
      <c r="N71" s="1">
        <f>$L$71-MAX(0,$M$71)</f>
        <v>-6877000.2886297703</v>
      </c>
      <c r="O71" s="763">
        <f>($N$71/$C$2)*-1</f>
        <v>0.34385001443148849</v>
      </c>
      <c r="P71" s="764">
        <v>0.05</v>
      </c>
      <c r="Q71" s="1">
        <v>-11881206.134396691</v>
      </c>
      <c r="R71" s="1">
        <v>-5004205.8457671758</v>
      </c>
      <c r="S71" s="1">
        <v>-2691563.121925984</v>
      </c>
      <c r="T71" s="1">
        <v>4185437.1667035311</v>
      </c>
      <c r="U71" s="763">
        <f>($R$71/$Q$2)*-1</f>
        <v>0.16680686152557253</v>
      </c>
      <c r="V71" s="691"/>
    </row>
    <row r="72" spans="1:22" x14ac:dyDescent="0.25">
      <c r="A72" s="690"/>
      <c r="B72" s="760">
        <v>44669</v>
      </c>
      <c r="C72">
        <v>1097</v>
      </c>
      <c r="D72" s="1">
        <v>221328156.39218301</v>
      </c>
      <c r="E72" s="1">
        <v>0</v>
      </c>
      <c r="F72" s="761">
        <v>147643710.34113052</v>
      </c>
      <c r="G72" s="691">
        <v>664</v>
      </c>
      <c r="H72" s="1">
        <v>-211387835.14329275</v>
      </c>
      <c r="I72" s="1">
        <v>0</v>
      </c>
      <c r="J72" s="761">
        <v>-153937321.75192022</v>
      </c>
      <c r="K72" s="622">
        <v>370104</v>
      </c>
      <c r="L72" s="762">
        <f>$F$72+$J$72</f>
        <v>-6293611.4107896984</v>
      </c>
      <c r="M72" s="1">
        <f>MAX($L$3:$L$72)</f>
        <v>-5571418.5576697886</v>
      </c>
      <c r="N72" s="1">
        <f>$L$72-MAX(0,$M$72)</f>
        <v>-6293611.4107896984</v>
      </c>
      <c r="O72" s="763">
        <f>($N$72/$C$2)*-1</f>
        <v>0.31468057053948489</v>
      </c>
      <c r="P72" s="764">
        <v>0.05</v>
      </c>
      <c r="Q72" s="1">
        <v>-11124984.543802526</v>
      </c>
      <c r="R72" s="1">
        <v>-4831373.1330130072</v>
      </c>
      <c r="S72" s="1">
        <v>-2330214.5640586657</v>
      </c>
      <c r="T72" s="1">
        <v>3963396.846730853</v>
      </c>
      <c r="U72" s="763">
        <f>($R$72/$Q$2)*-1</f>
        <v>0.16104577110043358</v>
      </c>
      <c r="V72" s="691"/>
    </row>
    <row r="73" spans="1:22" x14ac:dyDescent="0.25">
      <c r="A73" s="690"/>
      <c r="B73" s="760">
        <v>44670</v>
      </c>
      <c r="C73">
        <v>1097</v>
      </c>
      <c r="D73" s="1">
        <v>221176987.75250864</v>
      </c>
      <c r="E73" s="1">
        <v>0</v>
      </c>
      <c r="F73" s="761">
        <v>151482263.30337623</v>
      </c>
      <c r="G73" s="691">
        <v>664</v>
      </c>
      <c r="H73" s="1">
        <v>-211215712.12493876</v>
      </c>
      <c r="I73" s="1">
        <v>0</v>
      </c>
      <c r="J73" s="761">
        <v>-156901459.68972626</v>
      </c>
      <c r="K73" s="622">
        <v>370104</v>
      </c>
      <c r="L73" s="762">
        <f>$F$73+$J$73</f>
        <v>-5419196.3863500357</v>
      </c>
      <c r="M73" s="1">
        <f>MAX($L$3:$L$73)</f>
        <v>-5419196.3863500357</v>
      </c>
      <c r="N73" s="1">
        <f>$L$73-MAX(0,$M$73)</f>
        <v>-5419196.3863500357</v>
      </c>
      <c r="O73" s="763">
        <f>($N$73/$C$2)*-1</f>
        <v>0.27095981931750179</v>
      </c>
      <c r="P73" s="764">
        <v>0.05</v>
      </c>
      <c r="Q73" s="1">
        <v>-10002133.552281423</v>
      </c>
      <c r="R73" s="1">
        <v>-4582937.1659313198</v>
      </c>
      <c r="S73" s="1">
        <v>-1759631.5414408748</v>
      </c>
      <c r="T73" s="1">
        <v>3659564.8449092279</v>
      </c>
      <c r="U73" s="763">
        <f>($R$73/$Q$2)*-1</f>
        <v>0.15276457219771067</v>
      </c>
      <c r="V73" s="691"/>
    </row>
    <row r="74" spans="1:22" x14ac:dyDescent="0.25">
      <c r="A74" s="690"/>
      <c r="B74" s="760">
        <v>44671</v>
      </c>
      <c r="C74">
        <v>1103</v>
      </c>
      <c r="D74" s="1">
        <v>222706987.75250864</v>
      </c>
      <c r="E74" s="1">
        <v>0</v>
      </c>
      <c r="F74" s="761">
        <v>151717736.90625617</v>
      </c>
      <c r="G74" s="691">
        <v>664</v>
      </c>
      <c r="H74" s="1">
        <v>-211215712.12493876</v>
      </c>
      <c r="I74" s="1">
        <v>0</v>
      </c>
      <c r="J74" s="761">
        <v>-157071737.53116626</v>
      </c>
      <c r="K74" s="622">
        <v>370104</v>
      </c>
      <c r="L74" s="762">
        <f>$F$74+$J$74</f>
        <v>-5354000.6249100864</v>
      </c>
      <c r="M74" s="1">
        <f>MAX($L$3:$L$74)</f>
        <v>-5354000.6249100864</v>
      </c>
      <c r="N74" s="1">
        <f>$L$74-MAX(0,$M$74)</f>
        <v>-5354000.6249100864</v>
      </c>
      <c r="O74" s="763">
        <f>($N$74/$C$2)*-1</f>
        <v>0.26770003124550434</v>
      </c>
      <c r="P74" s="764">
        <v>0.05</v>
      </c>
      <c r="Q74" s="1">
        <v>-10427574.10721094</v>
      </c>
      <c r="R74" s="1">
        <v>-5073573.4823008366</v>
      </c>
      <c r="S74" s="1">
        <v>-1276996.8836126777</v>
      </c>
      <c r="T74" s="1">
        <v>4077003.7412974257</v>
      </c>
      <c r="U74" s="763">
        <f>($R$74/$Q$2)*-1</f>
        <v>0.16911911607669455</v>
      </c>
      <c r="V74" s="691"/>
    </row>
    <row r="75" spans="1:22" x14ac:dyDescent="0.25">
      <c r="A75" s="690"/>
      <c r="B75" s="760">
        <v>44673</v>
      </c>
      <c r="C75">
        <v>1103</v>
      </c>
      <c r="D75" s="1">
        <v>222706987.75250864</v>
      </c>
      <c r="E75" s="1">
        <v>0</v>
      </c>
      <c r="F75" s="761">
        <v>151266367.70601612</v>
      </c>
      <c r="G75" s="691">
        <v>664</v>
      </c>
      <c r="H75" s="1">
        <v>-211215712.12493876</v>
      </c>
      <c r="I75" s="1">
        <v>0</v>
      </c>
      <c r="J75" s="761">
        <v>-156803590.81164619</v>
      </c>
      <c r="K75" s="622">
        <v>370104</v>
      </c>
      <c r="L75" s="762">
        <f>$F$75+$J$75</f>
        <v>-5537223.10563007</v>
      </c>
      <c r="M75" s="1">
        <f>MAX($L$3:$L$75)</f>
        <v>-5354000.6249100864</v>
      </c>
      <c r="N75" s="1">
        <f>$L$75-MAX(0,$M$75)</f>
        <v>-5537223.10563007</v>
      </c>
      <c r="O75" s="763">
        <f>($N$75/$C$2)*-1</f>
        <v>0.27686115528150351</v>
      </c>
      <c r="P75" s="764">
        <v>0.05</v>
      </c>
      <c r="Q75" s="1">
        <v>-10665511.404331828</v>
      </c>
      <c r="R75" s="1">
        <v>-5128288.298701725</v>
      </c>
      <c r="S75" s="1">
        <v>-1374177.7275499669</v>
      </c>
      <c r="T75" s="1">
        <v>4163045.3780801357</v>
      </c>
      <c r="U75" s="763">
        <f>($R$75/$Q$2)*-1</f>
        <v>0.17094294329005749</v>
      </c>
      <c r="V75" s="691"/>
    </row>
    <row r="76" spans="1:22" x14ac:dyDescent="0.25">
      <c r="A76" s="690"/>
      <c r="B76" s="760">
        <v>44676</v>
      </c>
      <c r="C76">
        <v>1103</v>
      </c>
      <c r="D76" s="1">
        <v>222706987.75250864</v>
      </c>
      <c r="E76" s="1">
        <v>0</v>
      </c>
      <c r="F76" s="761">
        <v>147701695.70889595</v>
      </c>
      <c r="G76" s="691">
        <v>664</v>
      </c>
      <c r="H76" s="1">
        <v>-211215712.12493876</v>
      </c>
      <c r="I76" s="1">
        <v>0</v>
      </c>
      <c r="J76" s="761">
        <v>-153832195.69452614</v>
      </c>
      <c r="K76" s="622">
        <v>370104</v>
      </c>
      <c r="L76" s="762">
        <f>$F$76+$J$76</f>
        <v>-6130499.9856301844</v>
      </c>
      <c r="M76" s="1">
        <f>MAX($L$3:$L$76)</f>
        <v>-5354000.6249100864</v>
      </c>
      <c r="N76" s="1">
        <f>$L$76-MAX(0,$M$76)</f>
        <v>-6130499.9856301844</v>
      </c>
      <c r="O76" s="763">
        <f>($N$76/$C$2)*-1</f>
        <v>0.30652499928150923</v>
      </c>
      <c r="P76" s="764">
        <v>0.05</v>
      </c>
      <c r="Q76" s="1">
        <v>-11431298.662913935</v>
      </c>
      <c r="R76" s="1">
        <v>-5300798.6772838365</v>
      </c>
      <c r="S76" s="1">
        <v>-1735990.0003069961</v>
      </c>
      <c r="T76" s="1">
        <v>4394509.9853231031</v>
      </c>
      <c r="U76" s="763">
        <f>($R$76/$Q$2)*-1</f>
        <v>0.17669328924279454</v>
      </c>
      <c r="V76" s="691"/>
    </row>
    <row r="77" spans="1:22" x14ac:dyDescent="0.25">
      <c r="A77" s="690"/>
      <c r="B77" s="760">
        <v>44677</v>
      </c>
      <c r="C77">
        <v>1103</v>
      </c>
      <c r="D77" s="1">
        <v>222706987.75250864</v>
      </c>
      <c r="E77" s="1">
        <v>0</v>
      </c>
      <c r="F77" s="761">
        <v>150891596.90995216</v>
      </c>
      <c r="G77" s="691">
        <v>664</v>
      </c>
      <c r="H77" s="1">
        <v>-211215712.12493876</v>
      </c>
      <c r="I77" s="1">
        <v>0</v>
      </c>
      <c r="J77" s="761">
        <v>-156233923.69044626</v>
      </c>
      <c r="K77" s="622">
        <v>370104</v>
      </c>
      <c r="L77" s="762">
        <f>$F$77+$J$77</f>
        <v>-5342326.7804940939</v>
      </c>
      <c r="M77" s="1">
        <f>MAX($L$3:$L$77)</f>
        <v>-5342326.7804940939</v>
      </c>
      <c r="N77" s="1">
        <f>$L$77-MAX(0,$M$77)</f>
        <v>-5342326.7804940939</v>
      </c>
      <c r="O77" s="763">
        <f>($N$77/$C$2)*-1</f>
        <v>0.26711633902470472</v>
      </c>
      <c r="P77" s="764">
        <v>0.05</v>
      </c>
      <c r="Q77" s="1">
        <v>-10413035.07885734</v>
      </c>
      <c r="R77" s="1">
        <v>-5070708.2983632404</v>
      </c>
      <c r="S77" s="1">
        <v>-1268425.8002540246</v>
      </c>
      <c r="T77" s="1">
        <v>4073900.9802400749</v>
      </c>
      <c r="U77" s="763">
        <f>($R$77/$Q$2)*-1</f>
        <v>0.16902360994544136</v>
      </c>
      <c r="V77" s="691"/>
    </row>
    <row r="78" spans="1:22" x14ac:dyDescent="0.25">
      <c r="A78" s="690"/>
      <c r="B78" s="760">
        <v>44678</v>
      </c>
      <c r="C78">
        <v>1103</v>
      </c>
      <c r="D78" s="1">
        <v>222706987.75250864</v>
      </c>
      <c r="E78" s="1">
        <v>0</v>
      </c>
      <c r="F78" s="761">
        <v>150910541.32017604</v>
      </c>
      <c r="G78" s="691">
        <v>664</v>
      </c>
      <c r="H78" s="1">
        <v>-211215712.12493876</v>
      </c>
      <c r="I78" s="1">
        <v>0</v>
      </c>
      <c r="J78" s="761">
        <v>-156237937.21068621</v>
      </c>
      <c r="K78" s="622">
        <v>370104</v>
      </c>
      <c r="L78" s="762">
        <f>$F$78+$J$78</f>
        <v>-5327395.8905101717</v>
      </c>
      <c r="M78" s="1">
        <f>MAX($L$3:$L$78)</f>
        <v>-5327395.8905101717</v>
      </c>
      <c r="N78" s="1">
        <f>$L$78-MAX(0,$M$78)</f>
        <v>-5327395.8905101717</v>
      </c>
      <c r="O78" s="763">
        <f>($N$78/$C$2)*-1</f>
        <v>0.26636979452550857</v>
      </c>
      <c r="P78" s="764">
        <v>0.05</v>
      </c>
      <c r="Q78" s="1">
        <v>-10395951.008021716</v>
      </c>
      <c r="R78" s="1">
        <v>-5068555.1175116152</v>
      </c>
      <c r="S78" s="1">
        <v>-1246896.6489560353</v>
      </c>
      <c r="T78" s="1">
        <v>4080499.2415540656</v>
      </c>
      <c r="U78" s="763">
        <f>($R$78/$Q$2)*-1</f>
        <v>0.16895183725038718</v>
      </c>
      <c r="V78" s="691"/>
    </row>
    <row r="79" spans="1:22" x14ac:dyDescent="0.25">
      <c r="A79" s="690"/>
      <c r="B79" s="760">
        <v>44679</v>
      </c>
      <c r="C79">
        <v>1105</v>
      </c>
      <c r="D79" s="1">
        <v>223754587.75250864</v>
      </c>
      <c r="E79" s="1">
        <v>0</v>
      </c>
      <c r="F79" s="761">
        <v>150921888.52065602</v>
      </c>
      <c r="G79" s="691">
        <v>666</v>
      </c>
      <c r="H79" s="1">
        <v>-212263312.12493876</v>
      </c>
      <c r="I79" s="1">
        <v>0</v>
      </c>
      <c r="J79" s="761">
        <v>-156257241.85116616</v>
      </c>
      <c r="K79" s="622">
        <v>370104</v>
      </c>
      <c r="L79" s="762">
        <f>$F$79+$J$79</f>
        <v>-5335353.3305101395</v>
      </c>
      <c r="M79" s="1">
        <f>MAX($L$3:$L$79)</f>
        <v>-5327395.8905101717</v>
      </c>
      <c r="N79" s="1">
        <f>$L$79-MAX(0,$M$79)</f>
        <v>-5335353.3305101395</v>
      </c>
      <c r="O79" s="763">
        <f>($N$79/$C$2)*-1</f>
        <v>0.26676766652550699</v>
      </c>
      <c r="P79" s="764">
        <v>0.05</v>
      </c>
      <c r="Q79" s="1">
        <v>-10393649.388373025</v>
      </c>
      <c r="R79" s="1">
        <v>-5058296.0578629244</v>
      </c>
      <c r="S79" s="1">
        <v>-1304030.9349110713</v>
      </c>
      <c r="T79" s="1">
        <v>4031322.395599029</v>
      </c>
      <c r="U79" s="763">
        <f>($R$79/$Q$2)*-1</f>
        <v>0.16860986859543081</v>
      </c>
      <c r="V79" s="691"/>
    </row>
    <row r="80" spans="1:22" x14ac:dyDescent="0.25">
      <c r="A80" s="690"/>
      <c r="B80" s="760">
        <v>44680</v>
      </c>
      <c r="C80">
        <v>1108</v>
      </c>
      <c r="D80" s="1">
        <v>223651987.75250864</v>
      </c>
      <c r="E80" s="1">
        <v>0</v>
      </c>
      <c r="F80" s="761">
        <v>150872786.92233604</v>
      </c>
      <c r="G80" s="691">
        <v>667</v>
      </c>
      <c r="H80" s="1">
        <v>-212437912.12493876</v>
      </c>
      <c r="I80" s="1">
        <v>0</v>
      </c>
      <c r="J80" s="761">
        <v>-156162493.93068618</v>
      </c>
      <c r="K80" s="622">
        <v>370104</v>
      </c>
      <c r="L80" s="762">
        <f>$F$80+$J$80</f>
        <v>-5289707.0083501339</v>
      </c>
      <c r="M80" s="1">
        <f>MAX($L$3:$L$80)</f>
        <v>-5289707.0083501339</v>
      </c>
      <c r="N80" s="1">
        <f>$L$80-MAX(0,$M$80)</f>
        <v>-5289707.0083501339</v>
      </c>
      <c r="O80" s="763">
        <f>($N$80/$C$2)*-1</f>
        <v>0.2644853504175067</v>
      </c>
      <c r="P80" s="764">
        <v>0.05</v>
      </c>
      <c r="Q80" s="1">
        <v>-10239330.295286277</v>
      </c>
      <c r="R80" s="1">
        <v>-4949623.2869361797</v>
      </c>
      <c r="S80" s="1">
        <v>-1338778.773896551</v>
      </c>
      <c r="T80" s="1">
        <v>3950928.2344535468</v>
      </c>
      <c r="U80" s="763">
        <f>($R$80/$Q$2)*-1</f>
        <v>0.16498744289787265</v>
      </c>
      <c r="V80" s="691"/>
    </row>
    <row r="81" spans="1:22" x14ac:dyDescent="0.25">
      <c r="A81" s="690"/>
      <c r="B81" s="760">
        <v>44683</v>
      </c>
      <c r="C81">
        <v>1109</v>
      </c>
      <c r="D81" s="1">
        <v>223283175.39150086</v>
      </c>
      <c r="E81" s="1">
        <v>0</v>
      </c>
      <c r="F81" s="761">
        <v>150307173.36204824</v>
      </c>
      <c r="G81" s="691">
        <v>667</v>
      </c>
      <c r="H81" s="1">
        <v>-212200478.79935443</v>
      </c>
      <c r="I81" s="1">
        <v>0</v>
      </c>
      <c r="J81" s="761">
        <v>-155570728.44510186</v>
      </c>
      <c r="K81" s="622">
        <v>370104</v>
      </c>
      <c r="L81" s="762">
        <f>$F$81+$J$81</f>
        <v>-5263555.0830536187</v>
      </c>
      <c r="M81" s="1">
        <f>MAX($L$3:$L$81)</f>
        <v>-5263555.0830536187</v>
      </c>
      <c r="N81" s="1">
        <f>$L$81-MAX(0,$M$81)</f>
        <v>-5263555.0830536187</v>
      </c>
      <c r="O81" s="763">
        <f>($N$81/$C$2)*-1</f>
        <v>0.26317775415268091</v>
      </c>
      <c r="P81" s="764">
        <v>0.05</v>
      </c>
      <c r="Q81" s="1">
        <v>-10145977.530865161</v>
      </c>
      <c r="R81" s="1">
        <v>-4882422.4478117116</v>
      </c>
      <c r="S81" s="1">
        <v>-1354746.7115463989</v>
      </c>
      <c r="T81" s="1">
        <v>3908808.3715070505</v>
      </c>
      <c r="U81" s="763">
        <f>($R$81/$Q$2)*-1</f>
        <v>0.16274741492705705</v>
      </c>
      <c r="V81" s="691"/>
    </row>
    <row r="82" spans="1:22" x14ac:dyDescent="0.25">
      <c r="A82" s="690"/>
      <c r="B82" s="760">
        <v>44684</v>
      </c>
      <c r="C82">
        <v>1114</v>
      </c>
      <c r="D82" s="1">
        <v>222612351.39150086</v>
      </c>
      <c r="E82" s="1">
        <v>0</v>
      </c>
      <c r="F82" s="761">
        <v>148144590.95940816</v>
      </c>
      <c r="G82" s="691">
        <v>668</v>
      </c>
      <c r="H82" s="1">
        <v>-212922494.79935443</v>
      </c>
      <c r="I82" s="1">
        <v>0</v>
      </c>
      <c r="J82" s="761">
        <v>-153867022.56606179</v>
      </c>
      <c r="K82" s="622">
        <v>370104</v>
      </c>
      <c r="L82" s="762">
        <f>$F$82+$J$82</f>
        <v>-5722431.6066536307</v>
      </c>
      <c r="M82" s="1">
        <f>MAX($L$3:$L$82)</f>
        <v>-5263555.0830536187</v>
      </c>
      <c r="N82" s="1">
        <f>$L$82-MAX(0,$M$82)</f>
        <v>-5722431.6066536307</v>
      </c>
      <c r="O82" s="763">
        <f>($N$82/$C$2)*-1</f>
        <v>0.28612158033268154</v>
      </c>
      <c r="P82" s="764">
        <v>0.05</v>
      </c>
      <c r="Q82" s="1">
        <v>-10187575.234836468</v>
      </c>
      <c r="R82" s="1">
        <v>-4465143.6281830203</v>
      </c>
      <c r="S82" s="1">
        <v>-1791239.4911186369</v>
      </c>
      <c r="T82" s="1">
        <v>3931192.1155348113</v>
      </c>
      <c r="U82" s="763">
        <f>($R$82/$Q$2)*-1</f>
        <v>0.14883812093943402</v>
      </c>
      <c r="V82" s="691"/>
    </row>
    <row r="83" spans="1:22" x14ac:dyDescent="0.25">
      <c r="A83" s="690"/>
      <c r="B83" s="760">
        <v>44685</v>
      </c>
      <c r="C83">
        <v>1114</v>
      </c>
      <c r="D83" s="1">
        <v>222612351.39150086</v>
      </c>
      <c r="E83" s="1">
        <v>0</v>
      </c>
      <c r="F83" s="761">
        <v>148745766.95724827</v>
      </c>
      <c r="G83" s="691">
        <v>668</v>
      </c>
      <c r="H83" s="1">
        <v>-212922494.79935443</v>
      </c>
      <c r="I83" s="1">
        <v>0</v>
      </c>
      <c r="J83" s="761">
        <v>-154477863.84750187</v>
      </c>
      <c r="K83" s="622">
        <v>370104</v>
      </c>
      <c r="L83" s="762">
        <f>$F$83+$J$83</f>
        <v>-5732096.8902536035</v>
      </c>
      <c r="M83" s="1">
        <f>MAX($L$3:$L$83)</f>
        <v>-5263555.0830536187</v>
      </c>
      <c r="N83" s="1">
        <f>$L$83-MAX(0,$M$83)</f>
        <v>-5732096.8902536035</v>
      </c>
      <c r="O83" s="763">
        <f>($N$83/$C$2)*-1</f>
        <v>0.28660484451268015</v>
      </c>
      <c r="P83" s="764">
        <v>0.05</v>
      </c>
      <c r="Q83" s="1">
        <v>-10199666.794334412</v>
      </c>
      <c r="R83" s="1">
        <v>-4467569.9040809618</v>
      </c>
      <c r="S83" s="1">
        <v>-1798277.3153532371</v>
      </c>
      <c r="T83" s="1">
        <v>3933819.5749002127</v>
      </c>
      <c r="U83" s="763">
        <f>($R$83/$Q$2)*-1</f>
        <v>0.14891899680269874</v>
      </c>
      <c r="V83" s="691"/>
    </row>
    <row r="84" spans="1:22" x14ac:dyDescent="0.25">
      <c r="A84" s="690"/>
      <c r="B84" s="760">
        <v>44686</v>
      </c>
      <c r="C84">
        <v>1114</v>
      </c>
      <c r="D84" s="1">
        <v>222612351.39150086</v>
      </c>
      <c r="E84" s="1">
        <v>0</v>
      </c>
      <c r="F84" s="761">
        <v>146052683.75508824</v>
      </c>
      <c r="G84" s="691">
        <v>668</v>
      </c>
      <c r="H84" s="1">
        <v>-212922494.79935443</v>
      </c>
      <c r="I84" s="1">
        <v>0</v>
      </c>
      <c r="J84" s="761">
        <v>-152291358.72894177</v>
      </c>
      <c r="K84" s="622">
        <v>370104</v>
      </c>
      <c r="L84" s="762">
        <f>$F$84+$J$84</f>
        <v>-6238674.9738535285</v>
      </c>
      <c r="M84" s="1">
        <f>MAX($L$3:$L$84)</f>
        <v>-5263555.0830536187</v>
      </c>
      <c r="N84" s="1">
        <f>$L$84-MAX(0,$M$84)</f>
        <v>-6238674.9738535285</v>
      </c>
      <c r="O84" s="763">
        <f>($N$84/$C$2)*-1</f>
        <v>0.31193374869267643</v>
      </c>
      <c r="P84" s="764">
        <v>0.05</v>
      </c>
      <c r="Q84" s="1">
        <v>-10849806.722927658</v>
      </c>
      <c r="R84" s="1">
        <v>-4611131.7490742113</v>
      </c>
      <c r="S84" s="1">
        <v>-2144257.1202941183</v>
      </c>
      <c r="T84" s="1">
        <v>4094417.8535593282</v>
      </c>
      <c r="U84" s="763">
        <f>($R$84/$Q$2)*-1</f>
        <v>0.15370439163580704</v>
      </c>
      <c r="V84" s="691"/>
    </row>
    <row r="85" spans="1:22" x14ac:dyDescent="0.25">
      <c r="A85" s="690"/>
      <c r="B85" s="760">
        <v>44687</v>
      </c>
      <c r="C85">
        <v>1118</v>
      </c>
      <c r="D85" s="1">
        <v>221055999.39150086</v>
      </c>
      <c r="E85" s="1">
        <v>0</v>
      </c>
      <c r="F85" s="761">
        <v>145165470.95508817</v>
      </c>
      <c r="G85" s="691">
        <v>668</v>
      </c>
      <c r="H85" s="1">
        <v>-212922494.79935443</v>
      </c>
      <c r="I85" s="1">
        <v>0</v>
      </c>
      <c r="J85" s="761">
        <v>-151469915.17038178</v>
      </c>
      <c r="K85" s="622">
        <v>370104</v>
      </c>
      <c r="L85" s="762">
        <f>$F$85+$J$85</f>
        <v>-6304444.2152936161</v>
      </c>
      <c r="M85" s="1">
        <f>MAX($L$3:$L$85)</f>
        <v>-5263555.0830536187</v>
      </c>
      <c r="N85" s="1">
        <f>$L$85-MAX(0,$M$85)</f>
        <v>-6304444.2152936161</v>
      </c>
      <c r="O85" s="763">
        <f>($N$85/$C$2)*-1</f>
        <v>0.31522221076468082</v>
      </c>
      <c r="P85" s="764">
        <v>0.05</v>
      </c>
      <c r="Q85" s="1">
        <v>-10435493.292518605</v>
      </c>
      <c r="R85" s="1">
        <v>-4131049.0772251487</v>
      </c>
      <c r="S85" s="1">
        <v>-2688868.6439230954</v>
      </c>
      <c r="T85" s="1">
        <v>3615575.5713703604</v>
      </c>
      <c r="U85" s="763">
        <f>($R$85/$Q$2)*-1</f>
        <v>0.13770163590750495</v>
      </c>
      <c r="V85" s="691"/>
    </row>
    <row r="86" spans="1:22" x14ac:dyDescent="0.25">
      <c r="A86" s="690"/>
      <c r="B86" s="760">
        <v>44690</v>
      </c>
      <c r="C86">
        <v>1119</v>
      </c>
      <c r="D86" s="1">
        <v>220871487.39150086</v>
      </c>
      <c r="E86" s="1">
        <v>0</v>
      </c>
      <c r="F86" s="761">
        <v>147764956.55484831</v>
      </c>
      <c r="G86" s="691">
        <v>668</v>
      </c>
      <c r="H86" s="1">
        <v>-212922494.79935443</v>
      </c>
      <c r="I86" s="1">
        <v>0</v>
      </c>
      <c r="J86" s="761">
        <v>-153805497.84870186</v>
      </c>
      <c r="K86" s="622">
        <v>370104</v>
      </c>
      <c r="L86" s="762">
        <f>$F$86+$J$86</f>
        <v>-6040541.2938535511</v>
      </c>
      <c r="M86" s="1">
        <f>MAX($L$3:$L$86)</f>
        <v>-5263555.0830536187</v>
      </c>
      <c r="N86" s="1">
        <f>$L$86-MAX(0,$M$86)</f>
        <v>-6040541.2938535511</v>
      </c>
      <c r="O86" s="763">
        <f>($N$86/$C$2)*-1</f>
        <v>0.30202706469267754</v>
      </c>
      <c r="P86" s="764">
        <v>0.05</v>
      </c>
      <c r="Q86" s="1">
        <v>-10045983.604695037</v>
      </c>
      <c r="R86" s="1">
        <v>-4005442.3108415874</v>
      </c>
      <c r="S86" s="1">
        <v>-2560940.6767149568</v>
      </c>
      <c r="T86" s="1">
        <v>3479600.6171384929</v>
      </c>
      <c r="U86" s="763">
        <f>($R$86/$Q$2)*-1</f>
        <v>0.13351474369471958</v>
      </c>
      <c r="V86" s="691"/>
    </row>
    <row r="87" spans="1:22" x14ac:dyDescent="0.25">
      <c r="A87" s="690"/>
      <c r="B87" s="760">
        <v>44691</v>
      </c>
      <c r="C87">
        <v>1119</v>
      </c>
      <c r="D87" s="1">
        <v>220871487.39150086</v>
      </c>
      <c r="E87" s="1">
        <v>0</v>
      </c>
      <c r="F87" s="761">
        <v>148013716.55484828</v>
      </c>
      <c r="G87" s="691">
        <v>668</v>
      </c>
      <c r="H87" s="1">
        <v>-212922494.79935443</v>
      </c>
      <c r="I87" s="1">
        <v>0</v>
      </c>
      <c r="J87" s="761">
        <v>-154097952.84870186</v>
      </c>
      <c r="K87" s="622">
        <v>370104</v>
      </c>
      <c r="L87" s="762">
        <f>$F$87+$J$87</f>
        <v>-6084236.293853581</v>
      </c>
      <c r="M87" s="1">
        <f>MAX($L$3:$L$87)</f>
        <v>-5263555.0830536187</v>
      </c>
      <c r="N87" s="1">
        <f>$L$87-MAX(0,$M$87)</f>
        <v>-6084236.293853581</v>
      </c>
      <c r="O87" s="763">
        <f>($N$87/$C$2)*-1</f>
        <v>0.30421181469267905</v>
      </c>
      <c r="P87" s="764">
        <v>0.05</v>
      </c>
      <c r="Q87" s="1">
        <v>-9552311.7319245748</v>
      </c>
      <c r="R87" s="1">
        <v>-3468075.438071127</v>
      </c>
      <c r="S87" s="1">
        <v>-2619223.8802788574</v>
      </c>
      <c r="T87" s="1">
        <v>3465012.4135745903</v>
      </c>
      <c r="U87" s="763">
        <f>($R$87/$Q$2)*-1</f>
        <v>0.11560251460237091</v>
      </c>
      <c r="V87" s="691"/>
    </row>
    <row r="88" spans="1:22" x14ac:dyDescent="0.25">
      <c r="A88" s="690"/>
      <c r="B88" s="760">
        <v>44692</v>
      </c>
      <c r="C88">
        <v>1120</v>
      </c>
      <c r="D88" s="1">
        <v>220387887.39150086</v>
      </c>
      <c r="E88" s="1">
        <v>0</v>
      </c>
      <c r="F88" s="761">
        <v>145026220.55580828</v>
      </c>
      <c r="G88" s="691">
        <v>668</v>
      </c>
      <c r="H88" s="1">
        <v>-212922494.79935443</v>
      </c>
      <c r="I88" s="1">
        <v>0</v>
      </c>
      <c r="J88" s="761">
        <v>-151521063.97182178</v>
      </c>
      <c r="K88" s="622">
        <v>370104</v>
      </c>
      <c r="L88" s="762">
        <f>$F$88+$J$88</f>
        <v>-6494843.416013509</v>
      </c>
      <c r="M88" s="1">
        <f>MAX($L$3:$L$88)</f>
        <v>-5263555.0830536187</v>
      </c>
      <c r="N88" s="1">
        <f>$L$88-MAX(0,$M$88)</f>
        <v>-6494843.416013509</v>
      </c>
      <c r="O88" s="763">
        <f>($N$88/$C$2)*-1</f>
        <v>0.32474217080067547</v>
      </c>
      <c r="P88" s="764">
        <v>0.05</v>
      </c>
      <c r="Q88" s="1">
        <v>-9933077.9450099543</v>
      </c>
      <c r="R88" s="1">
        <v>-3438234.5289965048</v>
      </c>
      <c r="S88" s="1">
        <v>-3057191.8087723269</v>
      </c>
      <c r="T88" s="1">
        <v>3437651.6072411225</v>
      </c>
      <c r="U88" s="763">
        <f>($R$88/$Q$2)*-1</f>
        <v>0.11460781763321683</v>
      </c>
      <c r="V88" s="691"/>
    </row>
    <row r="89" spans="1:22" x14ac:dyDescent="0.25">
      <c r="A89" s="690"/>
      <c r="B89" s="760">
        <v>44693</v>
      </c>
      <c r="C89">
        <v>1120</v>
      </c>
      <c r="D89" s="1">
        <v>220387887.39150086</v>
      </c>
      <c r="E89" s="1">
        <v>0</v>
      </c>
      <c r="F89" s="761">
        <v>144529479.3512482</v>
      </c>
      <c r="G89" s="691">
        <v>668</v>
      </c>
      <c r="H89" s="1">
        <v>-212922494.79935443</v>
      </c>
      <c r="I89" s="1">
        <v>0</v>
      </c>
      <c r="J89" s="761">
        <v>-151203618.01230183</v>
      </c>
      <c r="K89" s="622">
        <v>370104</v>
      </c>
      <c r="L89" s="762">
        <f>$F$89+$J$89</f>
        <v>-6674138.6610536277</v>
      </c>
      <c r="M89" s="1">
        <f>MAX($L$3:$L$89)</f>
        <v>-5263555.0830536187</v>
      </c>
      <c r="N89" s="1">
        <f>$L$89-MAX(0,$M$89)</f>
        <v>-6674138.6610536277</v>
      </c>
      <c r="O89" s="763">
        <f>($N$89/$C$2)*-1</f>
        <v>0.3337069330526814</v>
      </c>
      <c r="P89" s="764">
        <v>0.05</v>
      </c>
      <c r="Q89" s="1">
        <v>-10163866.193701169</v>
      </c>
      <c r="R89" s="1">
        <v>-3489727.5326477196</v>
      </c>
      <c r="S89" s="1">
        <v>-3175757.7836394142</v>
      </c>
      <c r="T89" s="1">
        <v>3498380.8774140347</v>
      </c>
      <c r="U89" s="763">
        <f>($R$89/$Q$2)*-1</f>
        <v>0.11632425108825732</v>
      </c>
      <c r="V89" s="691"/>
    </row>
    <row r="90" spans="1:22" x14ac:dyDescent="0.25">
      <c r="A90" s="690"/>
      <c r="B90" s="760">
        <v>44694</v>
      </c>
      <c r="C90">
        <v>1142</v>
      </c>
      <c r="D90" s="1">
        <v>225885411.39150089</v>
      </c>
      <c r="E90" s="1">
        <v>0</v>
      </c>
      <c r="F90" s="761">
        <v>146783090.14788833</v>
      </c>
      <c r="G90" s="691">
        <v>684</v>
      </c>
      <c r="H90" s="1">
        <v>-219275246.79935446</v>
      </c>
      <c r="I90" s="1">
        <v>0</v>
      </c>
      <c r="J90" s="761">
        <v>-153264740.29110178</v>
      </c>
      <c r="K90" s="622">
        <v>370104</v>
      </c>
      <c r="L90" s="762">
        <f>$F$90+$J$90</f>
        <v>-6481650.1432134509</v>
      </c>
      <c r="M90" s="1">
        <f>MAX($L$3:$L$90)</f>
        <v>-5263555.0830536187</v>
      </c>
      <c r="N90" s="1">
        <f>$L$90-MAX(0,$M$90)</f>
        <v>-6481650.1432134509</v>
      </c>
      <c r="O90" s="763">
        <f>($N$90/$C$2)*-1</f>
        <v>0.32408250716067255</v>
      </c>
      <c r="P90" s="764">
        <v>0.05</v>
      </c>
      <c r="Q90" s="1">
        <v>-9657787.4549856447</v>
      </c>
      <c r="R90" s="1">
        <v>-3176137.3117721966</v>
      </c>
      <c r="S90" s="1">
        <v>-3322861.9573981822</v>
      </c>
      <c r="T90" s="1">
        <v>3158788.1858152659</v>
      </c>
      <c r="U90" s="763">
        <f>($R$90/$Q$2)*-1</f>
        <v>0.10587124372573989</v>
      </c>
      <c r="V90" s="691"/>
    </row>
    <row r="91" spans="1:22" x14ac:dyDescent="0.25">
      <c r="A91" s="690"/>
      <c r="B91" s="760">
        <v>44697</v>
      </c>
      <c r="C91">
        <v>1142</v>
      </c>
      <c r="D91" s="1">
        <v>225885411.39150086</v>
      </c>
      <c r="E91" s="1">
        <v>0</v>
      </c>
      <c r="F91" s="761">
        <v>146055587.74644837</v>
      </c>
      <c r="G91" s="691">
        <v>684</v>
      </c>
      <c r="H91" s="1">
        <v>-219275246.79935443</v>
      </c>
      <c r="I91" s="1">
        <v>0</v>
      </c>
      <c r="J91" s="761">
        <v>-152746533.61326188</v>
      </c>
      <c r="K91" s="622">
        <v>370104</v>
      </c>
      <c r="L91" s="762">
        <f>$F$91+$J$91</f>
        <v>-6690945.8668135107</v>
      </c>
      <c r="M91" s="1">
        <f>MAX($L$3:$L$91)</f>
        <v>-5263555.0830536187</v>
      </c>
      <c r="N91" s="1">
        <f>$L$91-MAX(0,$M$91)</f>
        <v>-6690945.8668135107</v>
      </c>
      <c r="O91" s="763">
        <f>($N$91/$C$2)*-1</f>
        <v>0.33454729334067551</v>
      </c>
      <c r="P91" s="764">
        <v>0.05</v>
      </c>
      <c r="Q91" s="1">
        <v>-9923794.0191548504</v>
      </c>
      <c r="R91" s="1">
        <v>-3232848.1523413993</v>
      </c>
      <c r="S91" s="1">
        <v>-3468297.3887928105</v>
      </c>
      <c r="T91" s="1">
        <v>3222648.4780206406</v>
      </c>
      <c r="U91" s="763">
        <f>($R$91/$Q$2)*-1</f>
        <v>0.10776160507804665</v>
      </c>
      <c r="V91" s="691"/>
    </row>
    <row r="92" spans="1:22" x14ac:dyDescent="0.25">
      <c r="A92" s="690"/>
      <c r="B92" s="760">
        <v>44698</v>
      </c>
      <c r="C92">
        <v>1142</v>
      </c>
      <c r="D92" s="1">
        <v>225849020.57228309</v>
      </c>
      <c r="E92" s="1">
        <v>0</v>
      </c>
      <c r="F92" s="761">
        <v>140809900.93131039</v>
      </c>
      <c r="G92" s="691">
        <v>668</v>
      </c>
      <c r="H92" s="1">
        <v>-212886053.04577059</v>
      </c>
      <c r="I92" s="1">
        <v>3107028</v>
      </c>
      <c r="J92" s="761">
        <v>-147556984.1837579</v>
      </c>
      <c r="K92" s="622">
        <v>370104</v>
      </c>
      <c r="L92" s="762">
        <f>$F$92+$J$92</f>
        <v>-6747083.2524475157</v>
      </c>
      <c r="M92" s="1">
        <f>MAX($L$3:$L$92)</f>
        <v>-5263555.0830536187</v>
      </c>
      <c r="N92" s="1">
        <f>$L$92-MAX(0,$M$92)</f>
        <v>-6747083.2524475157</v>
      </c>
      <c r="O92" s="763">
        <f>($N$92/$C$2)*-1</f>
        <v>0.33735416262237578</v>
      </c>
      <c r="P92" s="764">
        <v>0.05</v>
      </c>
      <c r="Q92" s="1">
        <v>-10137668.522048511</v>
      </c>
      <c r="R92" s="1">
        <v>-3390585.2696009614</v>
      </c>
      <c r="S92" s="1">
        <v>-3353666.5813540514</v>
      </c>
      <c r="T92" s="1">
        <v>3393416.6710934979</v>
      </c>
      <c r="U92" s="763">
        <f>($R$92/$Q$2)*-1</f>
        <v>0.11301950898669871</v>
      </c>
      <c r="V92" s="691"/>
    </row>
    <row r="93" spans="1:22" x14ac:dyDescent="0.25">
      <c r="A93" s="690"/>
      <c r="B93" s="760">
        <v>44699</v>
      </c>
      <c r="C93">
        <v>1142</v>
      </c>
      <c r="D93" s="1">
        <v>225849020.57228303</v>
      </c>
      <c r="E93" s="1">
        <v>0</v>
      </c>
      <c r="F93" s="761">
        <v>142000521.7296305</v>
      </c>
      <c r="G93" s="691">
        <v>668</v>
      </c>
      <c r="H93" s="1">
        <v>-212886053.04577059</v>
      </c>
      <c r="I93" s="1">
        <v>0</v>
      </c>
      <c r="J93" s="761">
        <v>-148622128.18207806</v>
      </c>
      <c r="K93" s="622">
        <v>370104</v>
      </c>
      <c r="L93" s="762">
        <f>$F$93+$J$93</f>
        <v>-6621606.4524475634</v>
      </c>
      <c r="M93" s="1">
        <f>MAX($L$3:$L$93)</f>
        <v>-5263555.0830536187</v>
      </c>
      <c r="N93" s="1">
        <f>$L$93-MAX(0,$M$93)</f>
        <v>-6621606.4524475634</v>
      </c>
      <c r="O93" s="763">
        <f>($N$93/$C$2)*-1</f>
        <v>0.33108032262237819</v>
      </c>
      <c r="P93" s="764">
        <v>0.05</v>
      </c>
      <c r="Q93" s="1">
        <v>-9980848.6054766998</v>
      </c>
      <c r="R93" s="1">
        <v>-3359242.1530291485</v>
      </c>
      <c r="S93" s="1">
        <v>-3262095.6240388374</v>
      </c>
      <c r="T93" s="1">
        <v>3359510.8284087139</v>
      </c>
      <c r="U93" s="763">
        <f>($R$93/$Q$2)*-1</f>
        <v>0.11197473843430494</v>
      </c>
      <c r="V93" s="691"/>
    </row>
    <row r="94" spans="1:22" x14ac:dyDescent="0.25">
      <c r="A94" s="690"/>
      <c r="B94" s="760">
        <v>44700</v>
      </c>
      <c r="C94">
        <v>1146</v>
      </c>
      <c r="D94" s="1">
        <v>226083860.57228303</v>
      </c>
      <c r="E94" s="1">
        <v>0</v>
      </c>
      <c r="F94" s="761">
        <v>144625910.5277105</v>
      </c>
      <c r="G94" s="691">
        <v>668</v>
      </c>
      <c r="H94" s="1">
        <v>-212886053.04577059</v>
      </c>
      <c r="I94" s="1">
        <v>0</v>
      </c>
      <c r="J94" s="761">
        <v>-150936239.62015802</v>
      </c>
      <c r="K94" s="622">
        <v>370104</v>
      </c>
      <c r="L94" s="762">
        <f>$F$94+$J$94</f>
        <v>-6310329.0924475193</v>
      </c>
      <c r="M94" s="1">
        <f>MAX($L$3:$L$94)</f>
        <v>-5263555.0830536187</v>
      </c>
      <c r="N94" s="1">
        <f>$L$94-MAX(0,$M$94)</f>
        <v>-6310329.0924475193</v>
      </c>
      <c r="O94" s="763">
        <f>($N$94/$C$2)*-1</f>
        <v>0.31551645462237599</v>
      </c>
      <c r="P94" s="764">
        <v>0.05</v>
      </c>
      <c r="Q94" s="1">
        <v>-9678362.4638666604</v>
      </c>
      <c r="R94" s="1">
        <v>-3368033.3714191103</v>
      </c>
      <c r="S94" s="1">
        <v>-2941249.8204245372</v>
      </c>
      <c r="T94" s="1">
        <v>3369079.2720230129</v>
      </c>
      <c r="U94" s="763">
        <f>($R$94/$Q$2)*-1</f>
        <v>0.11226777904730367</v>
      </c>
      <c r="V94" s="691"/>
    </row>
    <row r="95" spans="1:22" x14ac:dyDescent="0.25">
      <c r="A95" s="690"/>
      <c r="B95" s="760">
        <v>44701</v>
      </c>
      <c r="C95">
        <v>1149</v>
      </c>
      <c r="D95" s="1">
        <v>225768620.57228306</v>
      </c>
      <c r="E95" s="1">
        <v>0</v>
      </c>
      <c r="F95" s="761">
        <v>146041675.32579058</v>
      </c>
      <c r="G95" s="691">
        <v>668</v>
      </c>
      <c r="H95" s="1">
        <v>-212886053.04577059</v>
      </c>
      <c r="I95" s="1">
        <v>0</v>
      </c>
      <c r="J95" s="761">
        <v>-152019020.3782379</v>
      </c>
      <c r="K95" s="622">
        <v>370104</v>
      </c>
      <c r="L95" s="762">
        <f>$F$95+$J$95</f>
        <v>-5977345.052447319</v>
      </c>
      <c r="M95" s="1">
        <f>MAX($L$3:$L$95)</f>
        <v>-5263555.0830536187</v>
      </c>
      <c r="N95" s="1">
        <f>$L$95-MAX(0,$M$95)</f>
        <v>-5977345.052447319</v>
      </c>
      <c r="O95" s="763">
        <f>($N$95/$C$2)*-1</f>
        <v>0.29886725262236596</v>
      </c>
      <c r="P95" s="764">
        <v>0.05</v>
      </c>
      <c r="Q95" s="1">
        <v>-9116664.1006035563</v>
      </c>
      <c r="R95" s="1">
        <v>-3139319.0481560044</v>
      </c>
      <c r="S95" s="1">
        <v>-2761031.1579359598</v>
      </c>
      <c r="T95" s="1">
        <v>3216313.8945115921</v>
      </c>
      <c r="U95" s="763">
        <f>($R$95/$Q$2)*-1</f>
        <v>0.10464396827186681</v>
      </c>
      <c r="V95" s="691"/>
    </row>
    <row r="96" spans="1:22" x14ac:dyDescent="0.25">
      <c r="A96" s="690"/>
      <c r="B96" s="760">
        <v>44704</v>
      </c>
      <c r="C96">
        <v>1159</v>
      </c>
      <c r="D96" s="1">
        <v>221432444.57228306</v>
      </c>
      <c r="E96" s="1">
        <v>0</v>
      </c>
      <c r="F96" s="761">
        <v>146482202.52579057</v>
      </c>
      <c r="G96" s="691">
        <v>676</v>
      </c>
      <c r="H96" s="1">
        <v>-209239637.04577059</v>
      </c>
      <c r="I96" s="1">
        <v>0</v>
      </c>
      <c r="J96" s="761">
        <v>-152410059.09823793</v>
      </c>
      <c r="K96" s="622">
        <v>370104</v>
      </c>
      <c r="L96" s="762">
        <f>$F$96+$J$96</f>
        <v>-5927856.5724473596</v>
      </c>
      <c r="M96" s="1">
        <f>MAX($L$3:$L$96)</f>
        <v>-5263555.0830536187</v>
      </c>
      <c r="N96" s="1">
        <f>$L$96-MAX(0,$M$96)</f>
        <v>-5927856.5724473596</v>
      </c>
      <c r="O96" s="763">
        <f>($N$96/$C$2)*-1</f>
        <v>0.29639282862236799</v>
      </c>
      <c r="P96" s="764">
        <v>0.05</v>
      </c>
      <c r="Q96" s="1">
        <v>-8857877.3865219131</v>
      </c>
      <c r="R96" s="1">
        <v>-2930020.8140743636</v>
      </c>
      <c r="S96" s="1">
        <v>-2938207.7016983102</v>
      </c>
      <c r="T96" s="1">
        <v>2989648.8707492393</v>
      </c>
      <c r="U96" s="763">
        <f>($R$96/$Q$2)*-1</f>
        <v>9.7667360469145453E-2</v>
      </c>
      <c r="V96" s="691"/>
    </row>
    <row r="97" spans="1:22" x14ac:dyDescent="0.25">
      <c r="A97" s="690"/>
      <c r="B97" s="760">
        <v>44705</v>
      </c>
      <c r="C97">
        <v>1161</v>
      </c>
      <c r="D97" s="1">
        <v>219506823.77228302</v>
      </c>
      <c r="E97" s="1">
        <v>0</v>
      </c>
      <c r="F97" s="761">
        <v>148631393.16715994</v>
      </c>
      <c r="G97" s="691">
        <v>678</v>
      </c>
      <c r="H97" s="1">
        <v>-207314016.24577057</v>
      </c>
      <c r="I97" s="1">
        <v>0</v>
      </c>
      <c r="J97" s="761">
        <v>-154160768.61463788</v>
      </c>
      <c r="K97" s="622">
        <v>370104</v>
      </c>
      <c r="L97" s="762">
        <f>$F$97+$J$97</f>
        <v>-5529375.4474779367</v>
      </c>
      <c r="M97" s="1">
        <f>MAX($L$3:$L$97)</f>
        <v>-5263555.0830536187</v>
      </c>
      <c r="N97" s="1">
        <f>$L$97-MAX(0,$M$97)</f>
        <v>-5529375.4474779367</v>
      </c>
      <c r="O97" s="763">
        <f>($N$97/$C$2)*-1</f>
        <v>0.27646877237389683</v>
      </c>
      <c r="P97" s="764">
        <v>0.05</v>
      </c>
      <c r="Q97" s="1">
        <v>-8351153.7062670635</v>
      </c>
      <c r="R97" s="1">
        <v>-2821778.2587889563</v>
      </c>
      <c r="S97" s="1">
        <v>-2656835.84985189</v>
      </c>
      <c r="T97" s="1">
        <v>2872539.5976262172</v>
      </c>
      <c r="U97" s="763">
        <f>($R$97/$Q$2)*-1</f>
        <v>9.4059275292965205E-2</v>
      </c>
      <c r="V97" s="691"/>
    </row>
    <row r="98" spans="1:22" x14ac:dyDescent="0.25">
      <c r="A98" s="690"/>
      <c r="B98" s="760">
        <v>44706</v>
      </c>
      <c r="C98">
        <v>1167</v>
      </c>
      <c r="D98" s="1">
        <v>218264583.77228302</v>
      </c>
      <c r="E98" s="1">
        <v>0</v>
      </c>
      <c r="F98" s="761">
        <v>149761550.76547983</v>
      </c>
      <c r="G98" s="691">
        <v>678</v>
      </c>
      <c r="H98" s="1">
        <v>-207314016.24577057</v>
      </c>
      <c r="I98" s="1">
        <v>0</v>
      </c>
      <c r="J98" s="761">
        <v>-155146052.3729578</v>
      </c>
      <c r="K98" s="622">
        <v>370104</v>
      </c>
      <c r="L98" s="762">
        <f>$F$98+$J$98</f>
        <v>-5384501.607477963</v>
      </c>
      <c r="M98" s="1">
        <f>MAX($L$3:$L$98)</f>
        <v>-5263555.0830536187</v>
      </c>
      <c r="N98" s="1">
        <f>$L$98-MAX(0,$M$98)</f>
        <v>-5384501.607477963</v>
      </c>
      <c r="O98" s="763">
        <f>($N$98/$C$2)*-1</f>
        <v>0.26922508037389814</v>
      </c>
      <c r="P98" s="764">
        <v>0.05</v>
      </c>
      <c r="Q98" s="1">
        <v>-7813864.1791900694</v>
      </c>
      <c r="R98" s="1">
        <v>-2429362.5717119593</v>
      </c>
      <c r="S98" s="1">
        <v>-2936904.1997590275</v>
      </c>
      <c r="T98" s="1">
        <v>2447597.4077190827</v>
      </c>
      <c r="U98" s="763">
        <f>($R$98/$Q$2)*-1</f>
        <v>8.0978752390398645E-2</v>
      </c>
      <c r="V98" s="691"/>
    </row>
    <row r="99" spans="1:22" x14ac:dyDescent="0.25">
      <c r="A99" s="690"/>
      <c r="B99" s="760">
        <v>44707</v>
      </c>
      <c r="C99">
        <v>1181</v>
      </c>
      <c r="D99" s="1">
        <v>215446575.77228302</v>
      </c>
      <c r="E99" s="1">
        <v>0</v>
      </c>
      <c r="F99" s="761">
        <v>151195760.53299049</v>
      </c>
      <c r="G99" s="691">
        <v>679</v>
      </c>
      <c r="H99" s="1">
        <v>-207263976.24577057</v>
      </c>
      <c r="I99" s="1">
        <v>0</v>
      </c>
      <c r="J99" s="761">
        <v>-156207557.73031795</v>
      </c>
      <c r="K99" s="622">
        <v>370104</v>
      </c>
      <c r="L99" s="762">
        <f>$F$99+$J$99</f>
        <v>-5011797.1973274648</v>
      </c>
      <c r="M99" s="1">
        <f>MAX($L$3:$L$99)</f>
        <v>-5011797.1973274648</v>
      </c>
      <c r="N99" s="1">
        <f>$L$99-MAX(0,$M$99)</f>
        <v>-5011797.1973274648</v>
      </c>
      <c r="O99" s="763">
        <f>($N$99/$C$2)*-1</f>
        <v>0.25058985986637322</v>
      </c>
      <c r="P99" s="764">
        <v>0.05</v>
      </c>
      <c r="Q99" s="1">
        <v>-6556932.8654980427</v>
      </c>
      <c r="R99" s="1">
        <v>-1545135.6681704978</v>
      </c>
      <c r="S99" s="1">
        <v>-3521697.3049595887</v>
      </c>
      <c r="T99" s="1">
        <v>1490099.8923679562</v>
      </c>
      <c r="U99" s="763">
        <f>($R$99/$Q$2)*-1</f>
        <v>5.1504522272349924E-2</v>
      </c>
      <c r="V99" s="691"/>
    </row>
    <row r="100" spans="1:22" x14ac:dyDescent="0.25">
      <c r="A100" s="690"/>
      <c r="B100" s="760">
        <v>44708</v>
      </c>
      <c r="C100">
        <v>1181</v>
      </c>
      <c r="D100" s="1">
        <v>215446575.77228305</v>
      </c>
      <c r="E100" s="1">
        <v>0</v>
      </c>
      <c r="F100" s="761">
        <v>152244207.50163296</v>
      </c>
      <c r="G100" s="691">
        <v>679</v>
      </c>
      <c r="H100" s="1">
        <v>-207263976.24577057</v>
      </c>
      <c r="I100" s="1">
        <v>0</v>
      </c>
      <c r="J100" s="761">
        <v>-157234354.8019667</v>
      </c>
      <c r="K100" s="622">
        <v>370104</v>
      </c>
      <c r="L100" s="762">
        <f>$F$100+$J$100</f>
        <v>-4990147.3003337383</v>
      </c>
      <c r="M100" s="1">
        <f>MAX($L$3:$L$100)</f>
        <v>-4990147.3003337383</v>
      </c>
      <c r="N100" s="1">
        <f>$L$100-MAX(0,$M$100)</f>
        <v>-4990147.3003337383</v>
      </c>
      <c r="O100" s="763">
        <f>($N$100/$C$2)*-1</f>
        <v>0.24950736501668691</v>
      </c>
      <c r="P100" s="764">
        <v>0.05</v>
      </c>
      <c r="Q100" s="1">
        <v>-6529783.0149305826</v>
      </c>
      <c r="R100" s="1">
        <v>-1539635.7145969514</v>
      </c>
      <c r="S100" s="1">
        <v>-3499144.9122122107</v>
      </c>
      <c r="T100" s="1">
        <v>1491002.3881214205</v>
      </c>
      <c r="U100" s="763">
        <f>($R$100/$Q$2)*-1</f>
        <v>5.1321190486565048E-2</v>
      </c>
      <c r="V100" s="691"/>
    </row>
    <row r="101" spans="1:22" x14ac:dyDescent="0.25">
      <c r="A101" s="690"/>
      <c r="B101" s="760">
        <v>44711</v>
      </c>
      <c r="C101">
        <v>1182</v>
      </c>
      <c r="D101" s="1">
        <v>215242719.77228305</v>
      </c>
      <c r="E101" s="1">
        <v>0</v>
      </c>
      <c r="F101" s="761">
        <v>152625995.11491665</v>
      </c>
      <c r="G101" s="691">
        <v>679</v>
      </c>
      <c r="H101" s="1">
        <v>-207263976.24577057</v>
      </c>
      <c r="I101" s="1">
        <v>0</v>
      </c>
      <c r="J101" s="761">
        <v>-157582172.49350476</v>
      </c>
      <c r="K101" s="622">
        <v>370104</v>
      </c>
      <c r="L101" s="762">
        <f>$F$101+$J$101</f>
        <v>-4956177.3785881102</v>
      </c>
      <c r="M101" s="1">
        <f>MAX($L$3:$L$101)</f>
        <v>-4956177.3785881102</v>
      </c>
      <c r="N101" s="1">
        <f>$L$101-MAX(0,$M$101)</f>
        <v>-4956177.3785881102</v>
      </c>
      <c r="O101" s="763">
        <f>($N$101/$C$2)*-1</f>
        <v>0.24780886892940551</v>
      </c>
      <c r="P101" s="764">
        <v>0.05</v>
      </c>
      <c r="Q101" s="1">
        <v>-6429329.3796346439</v>
      </c>
      <c r="R101" s="1">
        <v>-1473152.0010464741</v>
      </c>
      <c r="S101" s="1">
        <v>-3532060.8876758888</v>
      </c>
      <c r="T101" s="1">
        <v>1424116.490912281</v>
      </c>
      <c r="U101" s="763">
        <f>($R$101/$Q$2)*-1</f>
        <v>4.9105066701549134E-2</v>
      </c>
      <c r="V101" s="691"/>
    </row>
    <row r="102" spans="1:22" x14ac:dyDescent="0.25">
      <c r="A102" s="690"/>
      <c r="B102" s="760">
        <v>44712</v>
      </c>
      <c r="C102">
        <v>1184</v>
      </c>
      <c r="D102" s="1">
        <v>215850567.77228302</v>
      </c>
      <c r="E102" s="1">
        <v>0</v>
      </c>
      <c r="F102" s="761">
        <v>152416862.59472364</v>
      </c>
      <c r="G102" s="691">
        <v>679</v>
      </c>
      <c r="H102" s="1">
        <v>-207263976.24577057</v>
      </c>
      <c r="I102" s="1">
        <v>0</v>
      </c>
      <c r="J102" s="761">
        <v>-157329210.21331176</v>
      </c>
      <c r="K102" s="622">
        <v>370104</v>
      </c>
      <c r="L102" s="762">
        <f>$F$102+$J$102</f>
        <v>-4912347.6185881197</v>
      </c>
      <c r="M102" s="1">
        <f>MAX($L$3:$L$102)</f>
        <v>-4912347.6185881197</v>
      </c>
      <c r="N102" s="1">
        <f>$L$102-MAX(0,$M$102)</f>
        <v>-4912347.6185881197</v>
      </c>
      <c r="O102" s="763">
        <f>($N$102/$C$2)*-1</f>
        <v>0.24561738092940599</v>
      </c>
      <c r="P102" s="764">
        <v>0.05</v>
      </c>
      <c r="Q102" s="1">
        <v>-6585342.7561413404</v>
      </c>
      <c r="R102" s="1">
        <v>-1672995.1375531731</v>
      </c>
      <c r="S102" s="1">
        <v>-3292366.868717215</v>
      </c>
      <c r="T102" s="1">
        <v>1619980.7498709522</v>
      </c>
      <c r="U102" s="763">
        <f>($R$102/$Q$2)*-1</f>
        <v>5.5766504585105771E-2</v>
      </c>
      <c r="V102" s="691"/>
    </row>
    <row r="103" spans="1:22" x14ac:dyDescent="0.25">
      <c r="A103" s="690"/>
      <c r="B103" s="760">
        <v>44713</v>
      </c>
      <c r="C103">
        <v>1201</v>
      </c>
      <c r="D103" s="1">
        <v>208976021.27263606</v>
      </c>
      <c r="E103" s="1">
        <v>0</v>
      </c>
      <c r="F103" s="761">
        <v>151663091.14304957</v>
      </c>
      <c r="G103" s="691">
        <v>679</v>
      </c>
      <c r="H103" s="1">
        <v>-207159635.91041854</v>
      </c>
      <c r="I103" s="1">
        <v>0</v>
      </c>
      <c r="J103" s="761">
        <v>-157128786.26611224</v>
      </c>
      <c r="K103" s="622">
        <v>370104</v>
      </c>
      <c r="L103" s="762">
        <f>$F$103+$J$103</f>
        <v>-5465695.1230626702</v>
      </c>
      <c r="M103" s="1">
        <f>MAX($L$3:$L$103)</f>
        <v>-4912347.6185881197</v>
      </c>
      <c r="N103" s="1">
        <f>$L$103-MAX(0,$M$103)</f>
        <v>-5465695.1230626702</v>
      </c>
      <c r="O103" s="763">
        <f>($N$103/$C$2)*-1</f>
        <v>0.27328475615313352</v>
      </c>
      <c r="P103" s="764">
        <v>0.05</v>
      </c>
      <c r="Q103" s="1">
        <v>-7031157.291326575</v>
      </c>
      <c r="R103" s="1">
        <v>-1565462.168263847</v>
      </c>
      <c r="S103" s="1">
        <v>-3965808.5731560723</v>
      </c>
      <c r="T103" s="1">
        <v>1499886.5499066557</v>
      </c>
      <c r="U103" s="763">
        <f>($R$103/$Q$2)*-1</f>
        <v>5.2182072275461566E-2</v>
      </c>
      <c r="V103" s="691"/>
    </row>
    <row r="104" spans="1:22" x14ac:dyDescent="0.25">
      <c r="A104" s="690"/>
      <c r="B104" s="760">
        <v>44714</v>
      </c>
      <c r="C104">
        <v>1216</v>
      </c>
      <c r="D104" s="1">
        <v>211372589.27263606</v>
      </c>
      <c r="E104" s="1">
        <v>0</v>
      </c>
      <c r="F104" s="761">
        <v>151807676.73992953</v>
      </c>
      <c r="G104" s="691">
        <v>686</v>
      </c>
      <c r="H104" s="1">
        <v>-211657403.91041854</v>
      </c>
      <c r="I104" s="1">
        <v>0</v>
      </c>
      <c r="J104" s="761">
        <v>-157240499.54587218</v>
      </c>
      <c r="K104" s="622">
        <v>370104</v>
      </c>
      <c r="L104" s="762">
        <f>$F$104+$J$104</f>
        <v>-5432822.8059426546</v>
      </c>
      <c r="M104" s="1">
        <f>MAX($L$3:$L$104)</f>
        <v>-4912347.6185881197</v>
      </c>
      <c r="N104" s="1">
        <f>$L$104-MAX(0,$M$104)</f>
        <v>-5432822.8059426546</v>
      </c>
      <c r="O104" s="763">
        <f>($N$104/$C$2)*-1</f>
        <v>0.27164114029713271</v>
      </c>
      <c r="P104" s="764">
        <v>0.05</v>
      </c>
      <c r="Q104" s="1">
        <v>-6378638.0484562581</v>
      </c>
      <c r="R104" s="1">
        <v>-945815.24251352809</v>
      </c>
      <c r="S104" s="1">
        <v>-4591595.4459240707</v>
      </c>
      <c r="T104" s="1">
        <v>841227.36001865938</v>
      </c>
      <c r="U104" s="763">
        <f>($R$104/$Q$2)*-1</f>
        <v>3.1527174750450936E-2</v>
      </c>
      <c r="V104" s="691"/>
    </row>
    <row r="105" spans="1:22" x14ac:dyDescent="0.25">
      <c r="A105" s="690"/>
      <c r="B105" s="760">
        <v>44715</v>
      </c>
      <c r="C105">
        <v>1223</v>
      </c>
      <c r="D105" s="1">
        <v>214270613.27263606</v>
      </c>
      <c r="E105" s="1">
        <v>0</v>
      </c>
      <c r="F105" s="761">
        <v>151654081.6285435</v>
      </c>
      <c r="G105" s="691">
        <v>689</v>
      </c>
      <c r="H105" s="1">
        <v>-213698603.91041854</v>
      </c>
      <c r="I105" s="1">
        <v>0</v>
      </c>
      <c r="J105" s="761">
        <v>-157144048.43592593</v>
      </c>
      <c r="K105" s="622">
        <v>370104</v>
      </c>
      <c r="L105" s="762">
        <f>$F$105+$J$105</f>
        <v>-5489966.8073824346</v>
      </c>
      <c r="M105" s="1">
        <f>MAX($L$3:$L$105)</f>
        <v>-4912347.6185881197</v>
      </c>
      <c r="N105" s="1">
        <f>$L$105-MAX(0,$M$105)</f>
        <v>-5489966.8073824346</v>
      </c>
      <c r="O105" s="763">
        <f>($N$105/$C$2)*-1</f>
        <v>0.27449834036912174</v>
      </c>
      <c r="P105" s="764">
        <v>0.05</v>
      </c>
      <c r="Q105" s="1">
        <v>-6693736.7952005314</v>
      </c>
      <c r="R105" s="1">
        <v>-1203769.9878178006</v>
      </c>
      <c r="S105" s="1">
        <v>-4369450.8976687677</v>
      </c>
      <c r="T105" s="1">
        <v>1120515.909713963</v>
      </c>
      <c r="U105" s="763">
        <f>($R$105/$Q$2)*-1</f>
        <v>4.0125666260593357E-2</v>
      </c>
      <c r="V105" s="691"/>
    </row>
    <row r="106" spans="1:22" x14ac:dyDescent="0.25">
      <c r="A106" s="690"/>
      <c r="B106" s="760">
        <v>44718</v>
      </c>
      <c r="C106">
        <v>1235</v>
      </c>
      <c r="D106" s="1">
        <v>222500213.27263606</v>
      </c>
      <c r="E106" s="1">
        <v>0</v>
      </c>
      <c r="F106" s="761">
        <v>151212682.38533857</v>
      </c>
      <c r="G106" s="691">
        <v>698</v>
      </c>
      <c r="H106" s="1">
        <v>-223980203.91041854</v>
      </c>
      <c r="I106" s="1">
        <v>0</v>
      </c>
      <c r="J106" s="761">
        <v>-156774244.06696123</v>
      </c>
      <c r="K106" s="622">
        <v>370104</v>
      </c>
      <c r="L106" s="762">
        <f>$F$106+$J$106</f>
        <v>-5561561.6816226542</v>
      </c>
      <c r="M106" s="1">
        <f>MAX($L$3:$L$106)</f>
        <v>-4912347.6185881197</v>
      </c>
      <c r="N106" s="1">
        <f>$L$106-MAX(0,$M$106)</f>
        <v>-5561561.6816226542</v>
      </c>
      <c r="O106" s="763">
        <f>($N$106/$C$2)*-1</f>
        <v>0.27807808408113271</v>
      </c>
      <c r="P106" s="764">
        <v>0.05</v>
      </c>
      <c r="Q106" s="1">
        <v>-6610650.5653021531</v>
      </c>
      <c r="R106" s="1">
        <v>-1049088.8836794235</v>
      </c>
      <c r="S106" s="1">
        <v>-4608552.8209078275</v>
      </c>
      <c r="T106" s="1">
        <v>953008.86071490217</v>
      </c>
      <c r="U106" s="763">
        <f>($R$106/$Q$2)*-1</f>
        <v>3.4969629455980783E-2</v>
      </c>
      <c r="V106" s="691"/>
    </row>
    <row r="107" spans="1:22" x14ac:dyDescent="0.25">
      <c r="A107" s="690"/>
      <c r="B107" s="760">
        <v>44719</v>
      </c>
      <c r="C107">
        <v>1246</v>
      </c>
      <c r="D107" s="1">
        <v>219443381.27263606</v>
      </c>
      <c r="E107" s="1">
        <v>0</v>
      </c>
      <c r="F107" s="761">
        <v>153343686.42782357</v>
      </c>
      <c r="G107" s="691">
        <v>698</v>
      </c>
      <c r="H107" s="1">
        <v>-223980203.91041854</v>
      </c>
      <c r="I107" s="1">
        <v>0</v>
      </c>
      <c r="J107" s="761">
        <v>-158724607.551606</v>
      </c>
      <c r="K107" s="622">
        <v>370104</v>
      </c>
      <c r="L107" s="762">
        <f>$F$107+$J$107</f>
        <v>-5380921.1237824261</v>
      </c>
      <c r="M107" s="1">
        <f>MAX($L$3:$L$107)</f>
        <v>-4912347.6185881197</v>
      </c>
      <c r="N107" s="1">
        <f>$L$107-MAX(0,$M$107)</f>
        <v>-5380921.1237824261</v>
      </c>
      <c r="O107" s="763">
        <f>($N$107/$C$2)*-1</f>
        <v>0.26904605618912131</v>
      </c>
      <c r="P107" s="764">
        <v>0.05</v>
      </c>
      <c r="Q107" s="1">
        <v>-5522174.8978775553</v>
      </c>
      <c r="R107" s="1">
        <v>-141253.7740948284</v>
      </c>
      <c r="S107" s="1">
        <v>-5366205.4553796491</v>
      </c>
      <c r="T107" s="1">
        <v>14715.668403077871</v>
      </c>
      <c r="U107" s="763">
        <f>($R$107/$Q$2)*-1</f>
        <v>4.7084591364942802E-3</v>
      </c>
      <c r="V107" s="691"/>
    </row>
    <row r="108" spans="1:22" x14ac:dyDescent="0.25">
      <c r="A108" s="690"/>
      <c r="B108" s="760">
        <v>44720</v>
      </c>
      <c r="C108">
        <v>1247</v>
      </c>
      <c r="D108" s="1">
        <v>219364901.27263606</v>
      </c>
      <c r="E108" s="1">
        <v>0</v>
      </c>
      <c r="F108" s="761">
        <v>154813226.82830352</v>
      </c>
      <c r="G108" s="691">
        <v>698</v>
      </c>
      <c r="H108" s="1">
        <v>-223980203.91041854</v>
      </c>
      <c r="I108" s="1">
        <v>0</v>
      </c>
      <c r="J108" s="761">
        <v>-160214987.15064597</v>
      </c>
      <c r="K108" s="622">
        <v>370104</v>
      </c>
      <c r="L108" s="762">
        <f>$F$108+$J$108</f>
        <v>-5401760.3223424554</v>
      </c>
      <c r="M108" s="1">
        <f>MAX($L$3:$L$108)</f>
        <v>-4912347.6185881197</v>
      </c>
      <c r="N108" s="1">
        <f>$L$108-MAX(0,$M$108)</f>
        <v>-5401760.3223424554</v>
      </c>
      <c r="O108" s="763">
        <f>($N$108/$C$2)*-1</f>
        <v>0.27008801611712274</v>
      </c>
      <c r="P108" s="764">
        <v>0.05</v>
      </c>
      <c r="Q108" s="1">
        <v>-5522456.5888209324</v>
      </c>
      <c r="R108" s="1">
        <v>-120696.26647819765</v>
      </c>
      <c r="S108" s="1">
        <v>-5390135.5546057569</v>
      </c>
      <c r="T108" s="1">
        <v>11624.767736977898</v>
      </c>
      <c r="U108" s="763">
        <f>($R$108/$Q$2)*-1</f>
        <v>4.023208882606588E-3</v>
      </c>
      <c r="V108" s="691"/>
    </row>
    <row r="109" spans="1:22" x14ac:dyDescent="0.25">
      <c r="A109" s="690"/>
      <c r="B109" s="760">
        <v>44721</v>
      </c>
      <c r="C109">
        <v>1247</v>
      </c>
      <c r="D109" s="1">
        <v>219357535.67263606</v>
      </c>
      <c r="E109" s="1">
        <v>0</v>
      </c>
      <c r="F109" s="761">
        <v>158136163.15118343</v>
      </c>
      <c r="G109" s="691">
        <v>698</v>
      </c>
      <c r="H109" s="1">
        <v>-223972838.31041855</v>
      </c>
      <c r="I109" s="1">
        <v>0</v>
      </c>
      <c r="J109" s="761">
        <v>-163592182.16448593</v>
      </c>
      <c r="K109" s="622">
        <v>396540</v>
      </c>
      <c r="L109" s="762">
        <f>$F$109+$J$109</f>
        <v>-5456019.013302505</v>
      </c>
      <c r="M109" s="1">
        <f>MAX($L$3:$L$109)</f>
        <v>-4912347.6185881197</v>
      </c>
      <c r="N109" s="1">
        <f>$L$109-MAX(0,$M$109)</f>
        <v>-5456019.013302505</v>
      </c>
      <c r="O109" s="763">
        <f>($N$109/$C$2)*-1</f>
        <v>0.27280095066512527</v>
      </c>
      <c r="P109" s="764">
        <v>0.05</v>
      </c>
      <c r="Q109" s="1">
        <v>-5522798.3053634241</v>
      </c>
      <c r="R109" s="1">
        <v>-66779.292060695589</v>
      </c>
      <c r="S109" s="1">
        <v>-5382796.7735175742</v>
      </c>
      <c r="T109" s="1">
        <v>73222.23978515435</v>
      </c>
      <c r="U109" s="763">
        <f>($R$109/$Q$2)*-1</f>
        <v>2.2259764020231862E-3</v>
      </c>
      <c r="V109" s="691"/>
    </row>
    <row r="110" spans="1:22" x14ac:dyDescent="0.25">
      <c r="A110" s="690"/>
      <c r="B110" s="760">
        <v>44722</v>
      </c>
      <c r="C110">
        <v>1247</v>
      </c>
      <c r="D110" s="1">
        <v>219357535.67263606</v>
      </c>
      <c r="E110" s="1">
        <v>0</v>
      </c>
      <c r="F110" s="761">
        <v>158479612.75046337</v>
      </c>
      <c r="G110" s="691">
        <v>698</v>
      </c>
      <c r="H110" s="1">
        <v>-223972838.31041855</v>
      </c>
      <c r="I110" s="1">
        <v>0</v>
      </c>
      <c r="J110" s="761">
        <v>-163938646.6437659</v>
      </c>
      <c r="K110" s="622">
        <v>396540</v>
      </c>
      <c r="L110" s="762">
        <f>$F$110+$J$110</f>
        <v>-5459033.8933025301</v>
      </c>
      <c r="M110" s="1">
        <f>MAX($L$3:$L$110)</f>
        <v>-4912347.6185881197</v>
      </c>
      <c r="N110" s="1">
        <f>$L$110-MAX(0,$M$110)</f>
        <v>-5459033.8933025301</v>
      </c>
      <c r="O110" s="763">
        <f>($N$110/$C$2)*-1</f>
        <v>0.27295169466512648</v>
      </c>
      <c r="P110" s="764">
        <v>0.05</v>
      </c>
      <c r="Q110" s="1">
        <v>-5524914.3991684187</v>
      </c>
      <c r="R110" s="1">
        <v>-65880.505865693092</v>
      </c>
      <c r="S110" s="1">
        <v>-5386784.9658303289</v>
      </c>
      <c r="T110" s="1">
        <v>72248.927472396754</v>
      </c>
      <c r="U110" s="763">
        <f>($R$110/$Q$2)*-1</f>
        <v>2.19601686218977E-3</v>
      </c>
      <c r="V110" s="691"/>
    </row>
    <row r="111" spans="1:22" x14ac:dyDescent="0.25">
      <c r="A111" s="690"/>
      <c r="B111" s="760">
        <v>44725</v>
      </c>
      <c r="C111">
        <v>1247</v>
      </c>
      <c r="D111" s="1">
        <v>219357535.67263606</v>
      </c>
      <c r="E111" s="1">
        <v>0</v>
      </c>
      <c r="F111" s="761">
        <v>159763528.74878344</v>
      </c>
      <c r="G111" s="691">
        <v>698</v>
      </c>
      <c r="H111" s="1">
        <v>-223972838.31041855</v>
      </c>
      <c r="I111" s="1">
        <v>0</v>
      </c>
      <c r="J111" s="761">
        <v>-165223297.52208591</v>
      </c>
      <c r="K111" s="622">
        <v>396540</v>
      </c>
      <c r="L111" s="762">
        <f>$F$111+$J$111</f>
        <v>-5459768.7733024657</v>
      </c>
      <c r="M111" s="1">
        <f>MAX($L$3:$L$111)</f>
        <v>-4912347.6185881197</v>
      </c>
      <c r="N111" s="1">
        <f>$L$111-MAX(0,$M$111)</f>
        <v>-5459768.7733024657</v>
      </c>
      <c r="O111" s="763">
        <f>($N$111/$C$2)*-1</f>
        <v>0.27298843866512329</v>
      </c>
      <c r="P111" s="764">
        <v>0.05</v>
      </c>
      <c r="Q111" s="1">
        <v>-5525114.8636400942</v>
      </c>
      <c r="R111" s="1">
        <v>-65346.090337365866</v>
      </c>
      <c r="S111" s="1">
        <v>-5388053.9729298195</v>
      </c>
      <c r="T111" s="1">
        <v>71714.800372908823</v>
      </c>
      <c r="U111" s="763">
        <f>($R$111/$Q$2)*-1</f>
        <v>2.1782030112455289E-3</v>
      </c>
      <c r="V111" s="691"/>
    </row>
    <row r="112" spans="1:22" x14ac:dyDescent="0.25">
      <c r="A112" s="690"/>
      <c r="B112" s="760">
        <v>44726</v>
      </c>
      <c r="C112">
        <v>1247</v>
      </c>
      <c r="D112" s="1">
        <v>219357535.67263606</v>
      </c>
      <c r="E112" s="1">
        <v>0</v>
      </c>
      <c r="F112" s="761">
        <v>163710295.94971153</v>
      </c>
      <c r="G112" s="691">
        <v>698</v>
      </c>
      <c r="H112" s="1">
        <v>-223972838.31041855</v>
      </c>
      <c r="I112" s="1">
        <v>0</v>
      </c>
      <c r="J112" s="761">
        <v>-169213204.638246</v>
      </c>
      <c r="K112" s="622">
        <v>396540</v>
      </c>
      <c r="L112" s="762">
        <f>$F$112+$J$112</f>
        <v>-5502908.6885344684</v>
      </c>
      <c r="M112" s="1">
        <f>MAX($L$3:$L$112)</f>
        <v>-4912347.6185881197</v>
      </c>
      <c r="N112" s="1">
        <f>$L$112-MAX(0,$M$112)</f>
        <v>-5502908.6885344684</v>
      </c>
      <c r="O112" s="763">
        <f>($N$112/$C$2)*-1</f>
        <v>0.2751454344267234</v>
      </c>
      <c r="P112" s="764">
        <v>0.05</v>
      </c>
      <c r="Q112" s="1">
        <v>-5569798.367767619</v>
      </c>
      <c r="R112" s="1">
        <v>-66889.679232896306</v>
      </c>
      <c r="S112" s="1">
        <v>-5429362.828059026</v>
      </c>
      <c r="T112" s="1">
        <v>73545.860475696623</v>
      </c>
      <c r="U112" s="763">
        <f>($R$112/$Q$2)*-1</f>
        <v>2.2296559744298767E-3</v>
      </c>
      <c r="V112" s="691"/>
    </row>
    <row r="113" spans="1:22" x14ac:dyDescent="0.25">
      <c r="A113" s="690"/>
      <c r="B113" s="760">
        <v>44727</v>
      </c>
      <c r="C113">
        <v>1250</v>
      </c>
      <c r="D113" s="1">
        <v>220924399.67263606</v>
      </c>
      <c r="E113" s="1">
        <v>0</v>
      </c>
      <c r="F113" s="761">
        <v>164202697.15022349</v>
      </c>
      <c r="G113" s="691">
        <v>698</v>
      </c>
      <c r="H113" s="1">
        <v>-223972838.31041855</v>
      </c>
      <c r="I113" s="1">
        <v>0</v>
      </c>
      <c r="J113" s="761">
        <v>-169725194.35776594</v>
      </c>
      <c r="K113" s="622">
        <v>396540</v>
      </c>
      <c r="L113" s="762">
        <f>$F$113+$J$113</f>
        <v>-5522497.2075424492</v>
      </c>
      <c r="M113" s="1">
        <f>MAX($L$3:$L$113)</f>
        <v>-4912347.6185881197</v>
      </c>
      <c r="N113" s="1">
        <f>$L$113-MAX(0,$M$113)</f>
        <v>-5522497.2075424492</v>
      </c>
      <c r="O113" s="763">
        <f>($N$113/$C$2)*-1</f>
        <v>0.27612486037712247</v>
      </c>
      <c r="P113" s="764">
        <v>0.05</v>
      </c>
      <c r="Q113" s="1">
        <v>-5899747.7107440922</v>
      </c>
      <c r="R113" s="1">
        <v>-377250.50320136454</v>
      </c>
      <c r="S113" s="1">
        <v>-5112743.2953972779</v>
      </c>
      <c r="T113" s="1">
        <v>409753.91214544978</v>
      </c>
      <c r="U113" s="763">
        <f>($R$113/$Q$2)*-1</f>
        <v>1.2575016773378817E-2</v>
      </c>
      <c r="V113" s="691"/>
    </row>
    <row r="114" spans="1:22" x14ac:dyDescent="0.25">
      <c r="A114" s="690"/>
      <c r="B114" s="760">
        <v>44729</v>
      </c>
      <c r="C114">
        <v>1251</v>
      </c>
      <c r="D114" s="1">
        <v>221330013.03103152</v>
      </c>
      <c r="E114" s="1">
        <v>0</v>
      </c>
      <c r="F114" s="761">
        <v>163134792.11029896</v>
      </c>
      <c r="G114" s="691">
        <v>698</v>
      </c>
      <c r="H114" s="1">
        <v>-223961796.2353889</v>
      </c>
      <c r="I114" s="1">
        <v>0</v>
      </c>
      <c r="J114" s="761">
        <v>-168618531.2808162</v>
      </c>
      <c r="K114" s="622">
        <v>396540</v>
      </c>
      <c r="L114" s="762">
        <f>$F$114+$J$114</f>
        <v>-5483739.170517236</v>
      </c>
      <c r="M114" s="1">
        <f>MAX($L$3:$L$114)</f>
        <v>-4912347.6185881197</v>
      </c>
      <c r="N114" s="1">
        <f>$L$114-MAX(0,$M$114)</f>
        <v>-5483739.170517236</v>
      </c>
      <c r="O114" s="763">
        <f>($N$114/$C$2)*-1</f>
        <v>0.27418695852586178</v>
      </c>
      <c r="P114" s="764">
        <v>0.05</v>
      </c>
      <c r="Q114" s="1">
        <v>-5957075.6061190255</v>
      </c>
      <c r="R114" s="1">
        <v>-473336.43560182769</v>
      </c>
      <c r="S114" s="1">
        <v>-4969883.4944076492</v>
      </c>
      <c r="T114" s="1">
        <v>513855.67610954866</v>
      </c>
      <c r="U114" s="763">
        <f>($R$114/$Q$2)*-1</f>
        <v>1.5777881186727589E-2</v>
      </c>
      <c r="V114" s="691"/>
    </row>
    <row r="115" spans="1:22" x14ac:dyDescent="0.25">
      <c r="A115" s="690"/>
      <c r="B115" s="760">
        <v>44732</v>
      </c>
      <c r="C115">
        <v>1251</v>
      </c>
      <c r="D115" s="1">
        <v>221330013.03103152</v>
      </c>
      <c r="E115" s="1">
        <v>0</v>
      </c>
      <c r="F115" s="761">
        <v>161308884.112459</v>
      </c>
      <c r="G115" s="691">
        <v>698</v>
      </c>
      <c r="H115" s="1">
        <v>-223961796.2353889</v>
      </c>
      <c r="I115" s="1">
        <v>0</v>
      </c>
      <c r="J115" s="761">
        <v>-166861074.40297627</v>
      </c>
      <c r="K115" s="622">
        <v>396540</v>
      </c>
      <c r="L115" s="762">
        <f>$F$115+$J$115</f>
        <v>-5552190.2905172706</v>
      </c>
      <c r="M115" s="1">
        <f>MAX($L$3:$L$115)</f>
        <v>-4912347.6185881197</v>
      </c>
      <c r="N115" s="1">
        <f>$L$115-MAX(0,$M$115)</f>
        <v>-5552190.2905172706</v>
      </c>
      <c r="O115" s="763">
        <f>($N$115/$C$2)*-1</f>
        <v>0.27760951452586352</v>
      </c>
      <c r="P115" s="764">
        <v>0.05</v>
      </c>
      <c r="Q115" s="1">
        <v>-6044631.8026734684</v>
      </c>
      <c r="R115" s="1">
        <v>-492441.51215627138</v>
      </c>
      <c r="S115" s="1">
        <v>-5017671.7030010633</v>
      </c>
      <c r="T115" s="1">
        <v>534518.58751613367</v>
      </c>
      <c r="U115" s="763">
        <f>($R$115/$Q$2)*-1</f>
        <v>1.6414717071875713E-2</v>
      </c>
      <c r="V115" s="691"/>
    </row>
    <row r="116" spans="1:22" x14ac:dyDescent="0.25">
      <c r="A116" s="690"/>
      <c r="B116" s="760">
        <v>44733</v>
      </c>
      <c r="C116">
        <v>1252</v>
      </c>
      <c r="D116" s="1">
        <v>221321791.83103153</v>
      </c>
      <c r="E116" s="1">
        <v>0</v>
      </c>
      <c r="F116" s="761">
        <v>162670971.71077892</v>
      </c>
      <c r="G116" s="691">
        <v>698</v>
      </c>
      <c r="H116" s="1">
        <v>-223961796.2353889</v>
      </c>
      <c r="I116" s="1">
        <v>0</v>
      </c>
      <c r="J116" s="761">
        <v>-168165724.24057624</v>
      </c>
      <c r="K116" s="622">
        <v>396540</v>
      </c>
      <c r="L116" s="762">
        <f>$F$116+$J$116</f>
        <v>-5494752.5297973156</v>
      </c>
      <c r="M116" s="1">
        <f>MAX($L$3:$L$116)</f>
        <v>-4912347.6185881197</v>
      </c>
      <c r="N116" s="1">
        <f>$L$116-MAX(0,$M$116)</f>
        <v>-5494752.5297973156</v>
      </c>
      <c r="O116" s="763">
        <f>($N$116/$C$2)*-1</f>
        <v>0.27473762648986577</v>
      </c>
      <c r="P116" s="764">
        <v>0.05</v>
      </c>
      <c r="Q116" s="1">
        <v>-5966771.7158986609</v>
      </c>
      <c r="R116" s="1">
        <v>-472019.18610146083</v>
      </c>
      <c r="S116" s="1">
        <v>-4982349.659583373</v>
      </c>
      <c r="T116" s="1">
        <v>512402.87021382712</v>
      </c>
      <c r="U116" s="763">
        <f>($R$116/$Q$2)*-1</f>
        <v>1.5733972870048695E-2</v>
      </c>
      <c r="V116" s="691"/>
    </row>
    <row r="117" spans="1:22" x14ac:dyDescent="0.25">
      <c r="A117" s="690"/>
      <c r="B117" s="760">
        <v>44734</v>
      </c>
      <c r="C117">
        <v>1252</v>
      </c>
      <c r="D117" s="1">
        <v>221321791.83103153</v>
      </c>
      <c r="E117" s="1">
        <v>0</v>
      </c>
      <c r="F117" s="761">
        <v>164435713.30981892</v>
      </c>
      <c r="G117" s="691">
        <v>698</v>
      </c>
      <c r="H117" s="1">
        <v>-223961796.2353889</v>
      </c>
      <c r="I117" s="1">
        <v>0</v>
      </c>
      <c r="J117" s="761">
        <v>-169847039.19961628</v>
      </c>
      <c r="K117" s="622">
        <v>396540</v>
      </c>
      <c r="L117" s="762">
        <f>$F$117+$J$117</f>
        <v>-5411325.8897973597</v>
      </c>
      <c r="M117" s="1">
        <f>MAX($L$3:$L$117)</f>
        <v>-4912347.6185881197</v>
      </c>
      <c r="N117" s="1">
        <f>$L$117-MAX(0,$M$117)</f>
        <v>-5411325.8897973597</v>
      </c>
      <c r="O117" s="763">
        <f>($N$117/$C$2)*-1</f>
        <v>0.27056629448986796</v>
      </c>
      <c r="P117" s="764">
        <v>0.05</v>
      </c>
      <c r="Q117" s="1">
        <v>-5859797.4392038938</v>
      </c>
      <c r="R117" s="1">
        <v>-448471.54940669239</v>
      </c>
      <c r="S117" s="1">
        <v>-4924359.4532875102</v>
      </c>
      <c r="T117" s="1">
        <v>486966.43650969118</v>
      </c>
      <c r="U117" s="763">
        <f>($R$117/$Q$2)*-1</f>
        <v>1.4949051646889746E-2</v>
      </c>
      <c r="V117" s="691"/>
    </row>
    <row r="118" spans="1:22" x14ac:dyDescent="0.25">
      <c r="A118" s="690"/>
      <c r="B118" s="760">
        <v>44735</v>
      </c>
      <c r="C118">
        <v>1253</v>
      </c>
      <c r="D118" s="1">
        <v>221620591.83103153</v>
      </c>
      <c r="E118" s="1">
        <v>0</v>
      </c>
      <c r="F118" s="761">
        <v>166882179.71029904</v>
      </c>
      <c r="G118" s="691">
        <v>698</v>
      </c>
      <c r="H118" s="1">
        <v>-223961796.2353889</v>
      </c>
      <c r="I118" s="1">
        <v>0</v>
      </c>
      <c r="J118" s="761">
        <v>-172242503.67721632</v>
      </c>
      <c r="K118" s="622">
        <v>396540</v>
      </c>
      <c r="L118" s="762">
        <f>$F$118+$J$118</f>
        <v>-5360323.9669172764</v>
      </c>
      <c r="M118" s="1">
        <f>MAX($L$3:$L$118)</f>
        <v>-4912347.6185881197</v>
      </c>
      <c r="N118" s="1">
        <f>$L$118-MAX(0,$M$118)</f>
        <v>-5360323.9669172764</v>
      </c>
      <c r="O118" s="763">
        <f>($N$118/$C$2)*-1</f>
        <v>0.26801619834586382</v>
      </c>
      <c r="P118" s="764">
        <v>0.05</v>
      </c>
      <c r="Q118" s="1">
        <v>-5876422.3836101927</v>
      </c>
      <c r="R118" s="1">
        <v>-516098.4166929936</v>
      </c>
      <c r="S118" s="1">
        <v>-4800880.3539553052</v>
      </c>
      <c r="T118" s="1">
        <v>559443.6129618939</v>
      </c>
      <c r="U118" s="763">
        <f>($R$118/$Q$2)*-1</f>
        <v>1.720328055643312E-2</v>
      </c>
      <c r="V118" s="691"/>
    </row>
    <row r="119" spans="1:22" x14ac:dyDescent="0.25">
      <c r="A119" s="690"/>
      <c r="B119" s="760">
        <v>44736</v>
      </c>
      <c r="C119">
        <v>1253</v>
      </c>
      <c r="D119" s="1">
        <v>221620591.83103153</v>
      </c>
      <c r="E119" s="1">
        <v>0</v>
      </c>
      <c r="F119" s="761">
        <v>166059901.31173891</v>
      </c>
      <c r="G119" s="691">
        <v>698</v>
      </c>
      <c r="H119" s="1">
        <v>-223961796.2353889</v>
      </c>
      <c r="I119" s="1">
        <v>0</v>
      </c>
      <c r="J119" s="761">
        <v>-171484219.3579362</v>
      </c>
      <c r="K119" s="622">
        <v>396540</v>
      </c>
      <c r="L119" s="762">
        <f>$F$119+$J$119</f>
        <v>-5424318.0461972952</v>
      </c>
      <c r="M119" s="1">
        <f>MAX($L$3:$L$119)</f>
        <v>-4912347.6185881197</v>
      </c>
      <c r="N119" s="1">
        <f>$L$119-MAX(0,$M$119)</f>
        <v>-5424318.0461972952</v>
      </c>
      <c r="O119" s="763">
        <f>($N$119/$C$2)*-1</f>
        <v>0.27121590230986475</v>
      </c>
      <c r="P119" s="764">
        <v>0.05</v>
      </c>
      <c r="Q119" s="1">
        <v>-5956340.0372888204</v>
      </c>
      <c r="R119" s="1">
        <v>-532021.99109161552</v>
      </c>
      <c r="S119" s="1">
        <v>-4847658.222429865</v>
      </c>
      <c r="T119" s="1">
        <v>576659.82376733981</v>
      </c>
      <c r="U119" s="763">
        <f>($R$119/$Q$2)*-1</f>
        <v>1.7734066369720518E-2</v>
      </c>
      <c r="V119" s="691"/>
    </row>
    <row r="120" spans="1:22" x14ac:dyDescent="0.25">
      <c r="A120" s="690"/>
      <c r="B120" s="760">
        <v>44739</v>
      </c>
      <c r="C120">
        <v>1255</v>
      </c>
      <c r="D120" s="1">
        <v>221480959.83103153</v>
      </c>
      <c r="E120" s="1">
        <v>0</v>
      </c>
      <c r="F120" s="761">
        <v>167395765.31149897</v>
      </c>
      <c r="G120" s="691">
        <v>698</v>
      </c>
      <c r="H120" s="1">
        <v>-223961796.2353889</v>
      </c>
      <c r="I120" s="1">
        <v>0</v>
      </c>
      <c r="J120" s="761">
        <v>-172744712.31697628</v>
      </c>
      <c r="K120" s="622">
        <v>396540</v>
      </c>
      <c r="L120" s="762">
        <f>$F$120+$J$120</f>
        <v>-5348947.0054773092</v>
      </c>
      <c r="M120" s="1">
        <f>MAX($L$3:$L$120)</f>
        <v>-4912347.6185881197</v>
      </c>
      <c r="N120" s="1">
        <f>$L$120-MAX(0,$M$120)</f>
        <v>-5348947.0054773092</v>
      </c>
      <c r="O120" s="763">
        <f>($N$120/$C$2)*-1</f>
        <v>0.26744735027386546</v>
      </c>
      <c r="P120" s="764">
        <v>0.05</v>
      </c>
      <c r="Q120" s="1">
        <v>-5838949.3779622987</v>
      </c>
      <c r="R120" s="1">
        <v>-490002.37248510029</v>
      </c>
      <c r="S120" s="1">
        <v>-4817763.2848930052</v>
      </c>
      <c r="T120" s="1">
        <v>531183.72058419324</v>
      </c>
      <c r="U120" s="763">
        <f>($R$120/$Q$2)*-1</f>
        <v>1.633341241617001E-2</v>
      </c>
      <c r="V120" s="691"/>
    </row>
    <row r="121" spans="1:22" x14ac:dyDescent="0.25">
      <c r="A121" s="690"/>
      <c r="B121" s="760">
        <v>44740</v>
      </c>
      <c r="C121">
        <v>1257</v>
      </c>
      <c r="D121" s="1">
        <v>221449591.83103153</v>
      </c>
      <c r="E121" s="1">
        <v>0</v>
      </c>
      <c r="F121" s="761">
        <v>166266394.90693906</v>
      </c>
      <c r="G121" s="691">
        <v>698</v>
      </c>
      <c r="H121" s="1">
        <v>-223961796.2353889</v>
      </c>
      <c r="I121" s="1">
        <v>0</v>
      </c>
      <c r="J121" s="761">
        <v>-171579847.11745632</v>
      </c>
      <c r="K121" s="622">
        <v>396540</v>
      </c>
      <c r="L121" s="762">
        <f>$F$121+$J$121</f>
        <v>-5313452.2105172575</v>
      </c>
      <c r="M121" s="1">
        <f>MAX($L$3:$L$121)</f>
        <v>-4912347.6185881197</v>
      </c>
      <c r="N121" s="1">
        <f>$L$121-MAX(0,$M$121)</f>
        <v>-5313452.2105172575</v>
      </c>
      <c r="O121" s="763">
        <f>($N$121/$C$2)*-1</f>
        <v>0.26567261052586288</v>
      </c>
      <c r="P121" s="764">
        <v>0.05</v>
      </c>
      <c r="Q121" s="1">
        <v>-5799589.7813087869</v>
      </c>
      <c r="R121" s="1">
        <v>-486137.57079158071</v>
      </c>
      <c r="S121" s="1">
        <v>-4786481.4802063964</v>
      </c>
      <c r="T121" s="1">
        <v>526970.7303108098</v>
      </c>
      <c r="U121" s="763">
        <f>($R$121/$Q$2)*-1</f>
        <v>1.6204585693052692E-2</v>
      </c>
      <c r="V121" s="691"/>
    </row>
    <row r="122" spans="1:22" x14ac:dyDescent="0.25">
      <c r="A122" s="690"/>
      <c r="B122" s="760">
        <v>44741</v>
      </c>
      <c r="C122">
        <v>1265</v>
      </c>
      <c r="D122" s="1">
        <v>221686523.81839153</v>
      </c>
      <c r="E122" s="1">
        <v>0</v>
      </c>
      <c r="F122" s="761">
        <v>169741015.70677909</v>
      </c>
      <c r="G122" s="691">
        <v>698</v>
      </c>
      <c r="H122" s="1">
        <v>-223961796.2353889</v>
      </c>
      <c r="I122" s="1">
        <v>0</v>
      </c>
      <c r="J122" s="761">
        <v>-174759284.07457629</v>
      </c>
      <c r="K122" s="622">
        <v>396540</v>
      </c>
      <c r="L122" s="762">
        <f>$F$122+$J$122</f>
        <v>-5018268.3677971959</v>
      </c>
      <c r="M122" s="1">
        <f>MAX($L$3:$L$122)</f>
        <v>-4912347.6185881197</v>
      </c>
      <c r="N122" s="1">
        <f>$L$122-MAX(0,$M$122)</f>
        <v>-5018268.3677971959</v>
      </c>
      <c r="O122" s="763">
        <f>($N$122/$C$2)*-1</f>
        <v>0.25091341838985981</v>
      </c>
      <c r="P122" s="764">
        <v>0.05</v>
      </c>
      <c r="Q122" s="1">
        <v>-5752761.0104236677</v>
      </c>
      <c r="R122" s="1">
        <v>-734492.6426264653</v>
      </c>
      <c r="S122" s="1">
        <v>-4241349.7122583594</v>
      </c>
      <c r="T122" s="1">
        <v>776918.65553884301</v>
      </c>
      <c r="U122" s="763">
        <f>($R$122/$Q$2)*-1</f>
        <v>2.4483088087548843E-2</v>
      </c>
      <c r="V122" s="691"/>
    </row>
    <row r="123" spans="1:22" x14ac:dyDescent="0.25">
      <c r="A123" s="690"/>
      <c r="B123" s="760">
        <v>44742</v>
      </c>
      <c r="C123">
        <v>1278</v>
      </c>
      <c r="D123" s="1">
        <v>223035827.81839153</v>
      </c>
      <c r="E123" s="1">
        <v>0</v>
      </c>
      <c r="F123" s="761">
        <v>171715866.10775492</v>
      </c>
      <c r="G123" s="691">
        <v>698</v>
      </c>
      <c r="H123" s="1">
        <v>-223961796.2353889</v>
      </c>
      <c r="I123" s="1">
        <v>0</v>
      </c>
      <c r="J123" s="761">
        <v>-176513825.67313626</v>
      </c>
      <c r="K123" s="622">
        <v>396540</v>
      </c>
      <c r="L123" s="762">
        <f>$F$123+$J$123</f>
        <v>-4797959.5653813481</v>
      </c>
      <c r="M123" s="1">
        <f>MAX($L$3:$L$123)</f>
        <v>-4797959.5653813481</v>
      </c>
      <c r="N123" s="1">
        <f>$L$123-MAX(0,$M$123)</f>
        <v>-4797959.5653813481</v>
      </c>
      <c r="O123" s="763">
        <f>($N$123/$C$2)*-1</f>
        <v>0.23989797826906742</v>
      </c>
      <c r="P123" s="764">
        <v>0.05</v>
      </c>
      <c r="Q123" s="1">
        <v>-6149130.1096763648</v>
      </c>
      <c r="R123" s="1">
        <v>-1351170.5442951601</v>
      </c>
      <c r="S123" s="1">
        <v>-3369543.8749784706</v>
      </c>
      <c r="T123" s="1">
        <v>1428415.6904027341</v>
      </c>
      <c r="U123" s="763">
        <f>($R$123/$Q$2)*-1</f>
        <v>4.5039018143172002E-2</v>
      </c>
      <c r="V123" s="691"/>
    </row>
    <row r="124" spans="1:22" x14ac:dyDescent="0.25">
      <c r="A124" s="690"/>
      <c r="B124" s="760">
        <v>44743</v>
      </c>
      <c r="C124">
        <v>1281</v>
      </c>
      <c r="D124" s="1">
        <v>222010512.64957345</v>
      </c>
      <c r="E124" s="1">
        <v>0</v>
      </c>
      <c r="F124" s="761">
        <v>171377402.86119276</v>
      </c>
      <c r="G124" s="691">
        <v>701</v>
      </c>
      <c r="H124" s="1">
        <v>-222944926.50685012</v>
      </c>
      <c r="I124" s="1">
        <v>0</v>
      </c>
      <c r="J124" s="761">
        <v>-176259536.86579764</v>
      </c>
      <c r="K124" s="622">
        <v>396540</v>
      </c>
      <c r="L124" s="762">
        <f>$F$124+$J$124</f>
        <v>-4882134.004604876</v>
      </c>
      <c r="M124" s="1">
        <f>MAX($L$3:$L$124)</f>
        <v>-4797959.5653813481</v>
      </c>
      <c r="N124" s="1">
        <f>$L$124-MAX(0,$M$124)</f>
        <v>-4882134.004604876</v>
      </c>
      <c r="O124" s="763">
        <f>($N$124/$C$2)*-1</f>
        <v>0.24410670023024381</v>
      </c>
      <c r="P124" s="764">
        <v>0.05</v>
      </c>
      <c r="Q124" s="1">
        <v>-6253643.7171102511</v>
      </c>
      <c r="R124" s="1">
        <v>-1371509.7125054142</v>
      </c>
      <c r="S124" s="1">
        <v>-3417406.6703439546</v>
      </c>
      <c r="T124" s="1">
        <v>1464727.3342608823</v>
      </c>
      <c r="U124" s="763">
        <f>($R$124/$Q$2)*-1</f>
        <v>4.5716990416847139E-2</v>
      </c>
      <c r="V124" s="691"/>
    </row>
    <row r="125" spans="1:22" x14ac:dyDescent="0.25">
      <c r="A125" s="690"/>
      <c r="B125" s="760">
        <v>44746</v>
      </c>
      <c r="C125">
        <v>1286</v>
      </c>
      <c r="D125" s="1">
        <v>222246931.84957346</v>
      </c>
      <c r="E125" s="1">
        <v>0</v>
      </c>
      <c r="F125" s="761">
        <v>169726732.86279282</v>
      </c>
      <c r="G125" s="691">
        <v>705</v>
      </c>
      <c r="H125" s="1">
        <v>-221381907.30685014</v>
      </c>
      <c r="I125" s="1">
        <v>0</v>
      </c>
      <c r="J125" s="761">
        <v>-175120837.06699768</v>
      </c>
      <c r="K125" s="622">
        <v>396540</v>
      </c>
      <c r="L125" s="762">
        <f>$F$125+$J$125</f>
        <v>-5394104.2042048573</v>
      </c>
      <c r="M125" s="1">
        <f>MAX($L$3:$L$125)</f>
        <v>-4797959.5653813481</v>
      </c>
      <c r="N125" s="1">
        <f>$L$125-MAX(0,$M$125)</f>
        <v>-5394104.2042048573</v>
      </c>
      <c r="O125" s="763">
        <f>($N$125/$C$2)*-1</f>
        <v>0.26970521021024285</v>
      </c>
      <c r="P125" s="764">
        <v>0.05</v>
      </c>
      <c r="Q125" s="1">
        <v>-6824293.2451775065</v>
      </c>
      <c r="R125" s="1">
        <v>-1430189.0409726696</v>
      </c>
      <c r="S125" s="1">
        <v>-3855659.3460310725</v>
      </c>
      <c r="T125" s="1">
        <v>1538444.8581737643</v>
      </c>
      <c r="U125" s="763">
        <f>($R$125/$Q$2)*-1</f>
        <v>4.7672968032422318E-2</v>
      </c>
      <c r="V125" s="691"/>
    </row>
    <row r="126" spans="1:22" x14ac:dyDescent="0.25">
      <c r="A126" s="690"/>
      <c r="B126" s="760">
        <v>44747</v>
      </c>
      <c r="C126">
        <v>1293</v>
      </c>
      <c r="D126" s="1">
        <v>221167129.84957346</v>
      </c>
      <c r="E126" s="1">
        <v>0</v>
      </c>
      <c r="F126" s="761">
        <v>164992580.47023278</v>
      </c>
      <c r="G126" s="691">
        <v>712</v>
      </c>
      <c r="H126" s="1">
        <v>-220302105.30685014</v>
      </c>
      <c r="I126" s="1">
        <v>0</v>
      </c>
      <c r="J126" s="761">
        <v>-171016612.19251761</v>
      </c>
      <c r="K126" s="622">
        <v>396540</v>
      </c>
      <c r="L126" s="762">
        <f>$F$126+$J$126</f>
        <v>-6024031.7222848237</v>
      </c>
      <c r="M126" s="1">
        <f>MAX($L$3:$L$126)</f>
        <v>-4797959.5653813481</v>
      </c>
      <c r="N126" s="1">
        <f>$L$126-MAX(0,$M$126)</f>
        <v>-6024031.7222848237</v>
      </c>
      <c r="O126" s="763">
        <f>($N$126/$C$2)*-1</f>
        <v>0.30120158611424119</v>
      </c>
      <c r="P126" s="764">
        <v>0.05</v>
      </c>
      <c r="Q126" s="1">
        <v>-7633567.7618692471</v>
      </c>
      <c r="R126" s="1">
        <v>-1609536.0395844085</v>
      </c>
      <c r="S126" s="1">
        <v>-4279884.0140510648</v>
      </c>
      <c r="T126" s="1">
        <v>1744147.7082337737</v>
      </c>
      <c r="U126" s="763">
        <f>($R$126/$Q$2)*-1</f>
        <v>5.3651201319480285E-2</v>
      </c>
      <c r="V126" s="691"/>
    </row>
    <row r="127" spans="1:22" x14ac:dyDescent="0.25">
      <c r="A127" s="690"/>
      <c r="B127" s="760">
        <v>44748</v>
      </c>
      <c r="C127">
        <v>1303</v>
      </c>
      <c r="D127" s="1">
        <v>217432337.10957345</v>
      </c>
      <c r="E127" s="1">
        <v>0</v>
      </c>
      <c r="F127" s="761">
        <v>167866347.56663284</v>
      </c>
      <c r="G127" s="691">
        <v>721</v>
      </c>
      <c r="H127" s="1">
        <v>-217184832.56685013</v>
      </c>
      <c r="I127" s="1">
        <v>0</v>
      </c>
      <c r="J127" s="761">
        <v>-173521856.88987756</v>
      </c>
      <c r="K127" s="622">
        <v>396540</v>
      </c>
      <c r="L127" s="762">
        <f>$F$127+$J$127</f>
        <v>-5655509.3232447207</v>
      </c>
      <c r="M127" s="1">
        <f>MAX($L$3:$L$127)</f>
        <v>-4797959.5653813481</v>
      </c>
      <c r="N127" s="1">
        <f>$L$127-MAX(0,$M$127)</f>
        <v>-5655509.3232447207</v>
      </c>
      <c r="O127" s="763">
        <f>($N$127/$C$2)*-1</f>
        <v>0.28277546616223603</v>
      </c>
      <c r="P127" s="764">
        <v>0.05</v>
      </c>
      <c r="Q127" s="1">
        <v>-6945663.011363144</v>
      </c>
      <c r="R127" s="1">
        <v>-1290153.6881183116</v>
      </c>
      <c r="S127" s="1">
        <v>-4212423.6341756899</v>
      </c>
      <c r="T127" s="1">
        <v>1443085.6890691426</v>
      </c>
      <c r="U127" s="763">
        <f>($R$127/$Q$2)*-1</f>
        <v>4.3005122937277054E-2</v>
      </c>
      <c r="V127" s="691"/>
    </row>
    <row r="128" spans="1:22" x14ac:dyDescent="0.25">
      <c r="A128" s="690"/>
      <c r="B128" s="760">
        <v>44749</v>
      </c>
      <c r="C128">
        <v>1303</v>
      </c>
      <c r="D128" s="1">
        <v>217432337.10957345</v>
      </c>
      <c r="E128" s="1">
        <v>0</v>
      </c>
      <c r="F128" s="761">
        <v>171260342.36140072</v>
      </c>
      <c r="G128" s="691">
        <v>721</v>
      </c>
      <c r="H128" s="1">
        <v>-217184832.56685013</v>
      </c>
      <c r="I128" s="1">
        <v>0</v>
      </c>
      <c r="J128" s="761">
        <v>-176823881.64795753</v>
      </c>
      <c r="K128" s="622">
        <v>396540</v>
      </c>
      <c r="L128" s="762">
        <f>$F$128+$J$128</f>
        <v>-5563539.2865568101</v>
      </c>
      <c r="M128" s="1">
        <f>MAX($L$3:$L$128)</f>
        <v>-4797959.5653813481</v>
      </c>
      <c r="N128" s="1">
        <f>$L$128-MAX(0,$M$128)</f>
        <v>-5563539.2865568101</v>
      </c>
      <c r="O128" s="763">
        <f>($N$128/$C$2)*-1</f>
        <v>0.2781769643278405</v>
      </c>
      <c r="P128" s="764">
        <v>0.05</v>
      </c>
      <c r="Q128" s="1">
        <v>-6837310.5860116836</v>
      </c>
      <c r="R128" s="1">
        <v>-1273771.2994548455</v>
      </c>
      <c r="S128" s="1">
        <v>-4097107.6971864961</v>
      </c>
      <c r="T128" s="1">
        <v>1466431.589370342</v>
      </c>
      <c r="U128" s="763">
        <f>($R$128/$Q$2)*-1</f>
        <v>4.2459043315161517E-2</v>
      </c>
      <c r="V128" s="691"/>
    </row>
    <row r="129" spans="1:22" x14ac:dyDescent="0.25">
      <c r="A129" s="690"/>
      <c r="B129" s="760">
        <v>44750</v>
      </c>
      <c r="C129">
        <v>1304</v>
      </c>
      <c r="D129" s="1">
        <v>217787597.10957345</v>
      </c>
      <c r="E129" s="1">
        <v>0</v>
      </c>
      <c r="F129" s="761">
        <v>170015001.55852073</v>
      </c>
      <c r="G129" s="691">
        <v>721</v>
      </c>
      <c r="H129" s="1">
        <v>-217184832.56685013</v>
      </c>
      <c r="I129" s="1">
        <v>0</v>
      </c>
      <c r="J129" s="761">
        <v>-175368949.08603752</v>
      </c>
      <c r="K129" s="622">
        <v>396540</v>
      </c>
      <c r="L129" s="762">
        <f>$F$129+$J$129</f>
        <v>-5353947.5275167823</v>
      </c>
      <c r="M129" s="1">
        <f>MAX($L$3:$L$129)</f>
        <v>-4797959.5653813481</v>
      </c>
      <c r="N129" s="1">
        <f>$L$129-MAX(0,$M$129)</f>
        <v>-5353947.5275167823</v>
      </c>
      <c r="O129" s="763">
        <f>($N$129/$C$2)*-1</f>
        <v>0.26769737637583912</v>
      </c>
      <c r="P129" s="764">
        <v>0.05</v>
      </c>
      <c r="Q129" s="1">
        <v>-6670130.3545719981</v>
      </c>
      <c r="R129" s="1">
        <v>-1316182.8270551618</v>
      </c>
      <c r="S129" s="1">
        <v>-3874158.7842485094</v>
      </c>
      <c r="T129" s="1">
        <v>1479788.7432683269</v>
      </c>
      <c r="U129" s="763">
        <f>($R$129/$Q$2)*-1</f>
        <v>4.3872760901838725E-2</v>
      </c>
      <c r="V129" s="691"/>
    </row>
    <row r="130" spans="1:22" x14ac:dyDescent="0.25">
      <c r="A130" s="690"/>
      <c r="B130" s="760">
        <v>44753</v>
      </c>
      <c r="C130">
        <v>1304</v>
      </c>
      <c r="D130" s="1">
        <v>217795417.12957343</v>
      </c>
      <c r="E130" s="1">
        <v>0</v>
      </c>
      <c r="F130" s="761">
        <v>165989090.96020079</v>
      </c>
      <c r="G130" s="691">
        <v>721</v>
      </c>
      <c r="H130" s="1">
        <v>-217192652.58685011</v>
      </c>
      <c r="I130" s="1">
        <v>0</v>
      </c>
      <c r="J130" s="761">
        <v>-171287986.32723761</v>
      </c>
      <c r="K130" s="622">
        <v>396540</v>
      </c>
      <c r="L130" s="762">
        <f>$F$130+$J$130</f>
        <v>-5298895.3670368195</v>
      </c>
      <c r="M130" s="1">
        <f>MAX($L$3:$L$130)</f>
        <v>-4797959.5653813481</v>
      </c>
      <c r="N130" s="1">
        <f>$L$130-MAX(0,$M$130)</f>
        <v>-5298895.3670368195</v>
      </c>
      <c r="O130" s="763">
        <f>($N$130/$C$2)*-1</f>
        <v>0.264944768351841</v>
      </c>
      <c r="P130" s="764">
        <v>0.05</v>
      </c>
      <c r="Q130" s="1">
        <v>-6656544.5923031541</v>
      </c>
      <c r="R130" s="1">
        <v>-1357649.225266315</v>
      </c>
      <c r="S130" s="1">
        <v>-3778332.3899021866</v>
      </c>
      <c r="T130" s="1">
        <v>1520562.9771346524</v>
      </c>
      <c r="U130" s="763">
        <f>($R$130/$Q$2)*-1</f>
        <v>4.5254974175543833E-2</v>
      </c>
      <c r="V130" s="691"/>
    </row>
    <row r="131" spans="1:22" x14ac:dyDescent="0.25">
      <c r="A131" s="690"/>
      <c r="B131" s="760">
        <v>44754</v>
      </c>
      <c r="C131">
        <v>1304</v>
      </c>
      <c r="D131" s="1">
        <v>217795417.12957343</v>
      </c>
      <c r="E131" s="1">
        <v>0</v>
      </c>
      <c r="F131" s="761">
        <v>164507587.76140076</v>
      </c>
      <c r="G131" s="691">
        <v>721</v>
      </c>
      <c r="H131" s="1">
        <v>-217192652.58685011</v>
      </c>
      <c r="I131" s="1">
        <v>0</v>
      </c>
      <c r="J131" s="761">
        <v>-169948099.44795758</v>
      </c>
      <c r="K131" s="622">
        <v>396540</v>
      </c>
      <c r="L131" s="762">
        <f>$F$131+$J$131</f>
        <v>-5440511.6865568161</v>
      </c>
      <c r="M131" s="1">
        <f>MAX($L$3:$L$131)</f>
        <v>-4797959.5653813481</v>
      </c>
      <c r="N131" s="1">
        <f>$L$131-MAX(0,$M$131)</f>
        <v>-5440511.6865568161</v>
      </c>
      <c r="O131" s="763">
        <f>($N$131/$C$2)*-1</f>
        <v>0.2720255843278408</v>
      </c>
      <c r="P131" s="764">
        <v>0.05</v>
      </c>
      <c r="Q131" s="1">
        <v>-6838451.7367367214</v>
      </c>
      <c r="R131" s="1">
        <v>-1397940.0501798801</v>
      </c>
      <c r="S131" s="1">
        <v>-3869160.7108970108</v>
      </c>
      <c r="T131" s="1">
        <v>1571350.9756598305</v>
      </c>
      <c r="U131" s="763">
        <f>($R$131/$Q$2)*-1</f>
        <v>4.6598001672662669E-2</v>
      </c>
      <c r="V131" s="691"/>
    </row>
    <row r="132" spans="1:22" x14ac:dyDescent="0.25">
      <c r="A132" s="690"/>
      <c r="B132" s="760">
        <v>44755</v>
      </c>
      <c r="C132">
        <v>1304</v>
      </c>
      <c r="D132" s="1">
        <v>217795417.12957343</v>
      </c>
      <c r="E132" s="1">
        <v>0</v>
      </c>
      <c r="F132" s="761">
        <v>163346260.16164076</v>
      </c>
      <c r="G132" s="691">
        <v>721</v>
      </c>
      <c r="H132" s="1">
        <v>-217192652.58685011</v>
      </c>
      <c r="I132" s="1">
        <v>0</v>
      </c>
      <c r="J132" s="761">
        <v>-169074251.88963747</v>
      </c>
      <c r="K132" s="622">
        <v>396540</v>
      </c>
      <c r="L132" s="762">
        <f>$F$132+$J$132</f>
        <v>-5727991.727996707</v>
      </c>
      <c r="M132" s="1">
        <f>MAX($L$3:$L$132)</f>
        <v>-4797959.5653813481</v>
      </c>
      <c r="N132" s="1">
        <f>$L$132-MAX(0,$M$132)</f>
        <v>-5727991.727996707</v>
      </c>
      <c r="O132" s="763">
        <f>($N$132/$C$2)*-1</f>
        <v>0.28639958639983537</v>
      </c>
      <c r="P132" s="764">
        <v>0.05</v>
      </c>
      <c r="Q132" s="1">
        <v>-7214550.8084288016</v>
      </c>
      <c r="R132" s="1">
        <v>-1486559.0804319652</v>
      </c>
      <c r="S132" s="1">
        <v>-4069027.5649533551</v>
      </c>
      <c r="T132" s="1">
        <v>1658964.1630434813</v>
      </c>
      <c r="U132" s="763">
        <f>($R$132/$Q$2)*-1</f>
        <v>4.9551969347732171E-2</v>
      </c>
      <c r="V132" s="691"/>
    </row>
    <row r="133" spans="1:22" x14ac:dyDescent="0.25">
      <c r="A133" s="690"/>
      <c r="B133" s="760">
        <v>44756</v>
      </c>
      <c r="C133">
        <v>1310</v>
      </c>
      <c r="D133" s="1">
        <v>217255719.52957344</v>
      </c>
      <c r="E133" s="1">
        <v>0</v>
      </c>
      <c r="F133" s="761">
        <v>162487239.75913677</v>
      </c>
      <c r="G133" s="691">
        <v>724</v>
      </c>
      <c r="H133" s="1">
        <v>-216179770.98685011</v>
      </c>
      <c r="I133" s="1">
        <v>0</v>
      </c>
      <c r="J133" s="761">
        <v>-168200004.85083759</v>
      </c>
      <c r="K133" s="622">
        <v>396540</v>
      </c>
      <c r="L133" s="762">
        <f>$F$133+$J$133</f>
        <v>-5712765.0917008221</v>
      </c>
      <c r="M133" s="1">
        <f>MAX($L$3:$L$133)</f>
        <v>-4797959.5653813481</v>
      </c>
      <c r="N133" s="1">
        <f>$L$133-MAX(0,$M$133)</f>
        <v>-5712765.0917008221</v>
      </c>
      <c r="O133" s="763">
        <f>($N$133/$C$2)*-1</f>
        <v>0.28563825458504111</v>
      </c>
      <c r="P133" s="764">
        <v>0.05</v>
      </c>
      <c r="Q133" s="1">
        <v>-7351706.0674062949</v>
      </c>
      <c r="R133" s="1">
        <v>-1638940.9757054616</v>
      </c>
      <c r="S133" s="1">
        <v>-3882031.9872839618</v>
      </c>
      <c r="T133" s="1">
        <v>1830733.1044168714</v>
      </c>
      <c r="U133" s="763">
        <f>($R$133/$Q$2)*-1</f>
        <v>5.4631365856848718E-2</v>
      </c>
      <c r="V133" s="691"/>
    </row>
    <row r="134" spans="1:22" x14ac:dyDescent="0.25">
      <c r="A134" s="690"/>
      <c r="B134" s="760">
        <v>44757</v>
      </c>
      <c r="C134">
        <v>1311</v>
      </c>
      <c r="D134" s="1">
        <v>217208103.52957344</v>
      </c>
      <c r="E134" s="1">
        <v>0</v>
      </c>
      <c r="F134" s="761">
        <v>162461936.1600889</v>
      </c>
      <c r="G134" s="691">
        <v>725</v>
      </c>
      <c r="H134" s="1">
        <v>-216132154.98685011</v>
      </c>
      <c r="I134" s="1">
        <v>0</v>
      </c>
      <c r="J134" s="761">
        <v>-168218007.97155768</v>
      </c>
      <c r="K134" s="622">
        <v>396540</v>
      </c>
      <c r="L134" s="762">
        <f>$F$134+$J$134</f>
        <v>-5756071.81146878</v>
      </c>
      <c r="M134" s="1">
        <f>MAX($L$3:$L$134)</f>
        <v>-4797959.5653813481</v>
      </c>
      <c r="N134" s="1">
        <f>$L$134-MAX(0,$M$134)</f>
        <v>-5756071.81146878</v>
      </c>
      <c r="O134" s="763">
        <f>($N$134/$C$2)*-1</f>
        <v>0.28780359057343902</v>
      </c>
      <c r="P134" s="764">
        <v>0.05</v>
      </c>
      <c r="Q134" s="1">
        <v>-7407341.1651617009</v>
      </c>
      <c r="R134" s="1">
        <v>-1651269.3536928687</v>
      </c>
      <c r="S134" s="1">
        <v>-3910204.1714656539</v>
      </c>
      <c r="T134" s="1">
        <v>1845867.6400031783</v>
      </c>
      <c r="U134" s="763">
        <f>($R$134/$Q$2)*-1</f>
        <v>5.5042311789762294E-2</v>
      </c>
      <c r="V134" s="691"/>
    </row>
    <row r="135" spans="1:22" x14ac:dyDescent="0.25">
      <c r="A135" s="690"/>
      <c r="B135" s="760">
        <v>44760</v>
      </c>
      <c r="C135">
        <v>1317</v>
      </c>
      <c r="D135" s="1">
        <v>215675861.10620993</v>
      </c>
      <c r="E135" s="1">
        <v>0</v>
      </c>
      <c r="F135" s="761">
        <v>162710388.13552529</v>
      </c>
      <c r="G135" s="691">
        <v>731</v>
      </c>
      <c r="H135" s="1">
        <v>-214604985.71726584</v>
      </c>
      <c r="I135" s="1">
        <v>0</v>
      </c>
      <c r="J135" s="761">
        <v>-168398489.94125319</v>
      </c>
      <c r="K135" s="622">
        <v>396540</v>
      </c>
      <c r="L135" s="762">
        <f>$F$135+$J$135</f>
        <v>-5688101.8057278991</v>
      </c>
      <c r="M135" s="1">
        <f>MAX($L$3:$L$135)</f>
        <v>-4797959.5653813481</v>
      </c>
      <c r="N135" s="1">
        <f>$L$135-MAX(0,$M$135)</f>
        <v>-5688101.8057278991</v>
      </c>
      <c r="O135" s="763">
        <f>($N$135/$C$2)*-1</f>
        <v>0.28440509028639493</v>
      </c>
      <c r="P135" s="764">
        <v>0.05</v>
      </c>
      <c r="Q135" s="1">
        <v>-7316578.4537208155</v>
      </c>
      <c r="R135" s="1">
        <v>-1628476.6479928736</v>
      </c>
      <c r="S135" s="1">
        <v>-3881218.4017680441</v>
      </c>
      <c r="T135" s="1">
        <v>1806883.4039598978</v>
      </c>
      <c r="U135" s="763">
        <f>($R$135/$Q$2)*-1</f>
        <v>5.4282554933095785E-2</v>
      </c>
      <c r="V135" s="691"/>
    </row>
    <row r="136" spans="1:22" x14ac:dyDescent="0.25">
      <c r="A136" s="690"/>
      <c r="B136" s="760">
        <v>44761</v>
      </c>
      <c r="C136">
        <v>1317</v>
      </c>
      <c r="D136" s="1">
        <v>215675861.10620993</v>
      </c>
      <c r="E136" s="1">
        <v>0</v>
      </c>
      <c r="F136" s="761">
        <v>159739205.73928538</v>
      </c>
      <c r="G136" s="691">
        <v>731</v>
      </c>
      <c r="H136" s="1">
        <v>-214604985.71726584</v>
      </c>
      <c r="I136" s="1">
        <v>0</v>
      </c>
      <c r="J136" s="761">
        <v>-165815974.50461328</v>
      </c>
      <c r="K136" s="622">
        <v>396540</v>
      </c>
      <c r="L136" s="762">
        <f>$F$136+$J$136</f>
        <v>-6076768.7653279006</v>
      </c>
      <c r="M136" s="1">
        <f>MAX($L$3:$L$136)</f>
        <v>-4797959.5653813481</v>
      </c>
      <c r="N136" s="1">
        <f>$L$136-MAX(0,$M$136)</f>
        <v>-6076768.7653279006</v>
      </c>
      <c r="O136" s="763">
        <f>($N$136/$C$2)*-1</f>
        <v>0.30383843826639501</v>
      </c>
      <c r="P136" s="764">
        <v>0.05</v>
      </c>
      <c r="Q136" s="1">
        <v>-7820540.8277712017</v>
      </c>
      <c r="R136" s="1">
        <v>-1743772.0624432582</v>
      </c>
      <c r="S136" s="1">
        <v>-4157826.7614269885</v>
      </c>
      <c r="T136" s="1">
        <v>1918942.003900955</v>
      </c>
      <c r="U136" s="763">
        <f>($R$136/$Q$2)*-1</f>
        <v>5.8125735414775274E-2</v>
      </c>
      <c r="V136" s="691"/>
    </row>
    <row r="137" spans="1:22" x14ac:dyDescent="0.25">
      <c r="A137" s="690"/>
      <c r="B137" s="760">
        <v>44762</v>
      </c>
      <c r="C137">
        <v>1317</v>
      </c>
      <c r="D137" s="1">
        <v>215675861.10620993</v>
      </c>
      <c r="E137" s="1">
        <v>0</v>
      </c>
      <c r="F137" s="761">
        <v>157612358.13904539</v>
      </c>
      <c r="G137" s="691">
        <v>731</v>
      </c>
      <c r="H137" s="1">
        <v>-214604985.71726584</v>
      </c>
      <c r="I137" s="1">
        <v>0</v>
      </c>
      <c r="J137" s="761">
        <v>-163959690.78581327</v>
      </c>
      <c r="K137" s="622">
        <v>396540</v>
      </c>
      <c r="L137" s="762">
        <f>$F$137+$J$137</f>
        <v>-6347332.6467678845</v>
      </c>
      <c r="M137" s="1">
        <f>MAX($L$3:$L$137)</f>
        <v>-4797959.5653813481</v>
      </c>
      <c r="N137" s="1">
        <f>$L$137-MAX(0,$M$137)</f>
        <v>-6347332.6467678845</v>
      </c>
      <c r="O137" s="763">
        <f>($N$137/$C$2)*-1</f>
        <v>0.31736663233839424</v>
      </c>
      <c r="P137" s="764">
        <v>0.05</v>
      </c>
      <c r="Q137" s="1">
        <v>-8172564.5309836473</v>
      </c>
      <c r="R137" s="1">
        <v>-1825231.8842156976</v>
      </c>
      <c r="S137" s="1">
        <v>-4354789.1382304998</v>
      </c>
      <c r="T137" s="1">
        <v>1992543.5085374499</v>
      </c>
      <c r="U137" s="763">
        <f>($R$137/$Q$2)*-1</f>
        <v>6.084106280718992E-2</v>
      </c>
      <c r="V137" s="691"/>
    </row>
    <row r="138" spans="1:22" x14ac:dyDescent="0.25">
      <c r="A138" s="690"/>
      <c r="B138" s="760">
        <v>44763</v>
      </c>
      <c r="C138">
        <v>1320</v>
      </c>
      <c r="D138" s="1">
        <v>215944901.10620993</v>
      </c>
      <c r="E138" s="1">
        <v>0</v>
      </c>
      <c r="F138" s="761">
        <v>156858537.33539739</v>
      </c>
      <c r="G138" s="691">
        <v>732</v>
      </c>
      <c r="H138" s="1">
        <v>-214113945.71726584</v>
      </c>
      <c r="I138" s="1">
        <v>0</v>
      </c>
      <c r="J138" s="761">
        <v>-163126438.62605321</v>
      </c>
      <c r="K138" s="622">
        <v>396540</v>
      </c>
      <c r="L138" s="762">
        <f>$F$138+$J$138</f>
        <v>-6267901.2906558216</v>
      </c>
      <c r="M138" s="1">
        <f>MAX($L$3:$L$138)</f>
        <v>-4797959.5653813481</v>
      </c>
      <c r="N138" s="1">
        <f>$L$138-MAX(0,$M$138)</f>
        <v>-6267901.2906558216</v>
      </c>
      <c r="O138" s="763">
        <f>($N$138/$C$2)*-1</f>
        <v>0.31339506453279109</v>
      </c>
      <c r="P138" s="764">
        <v>0.05</v>
      </c>
      <c r="Q138" s="1">
        <v>-8306751.3519426249</v>
      </c>
      <c r="R138" s="1">
        <v>-2038850.0612866813</v>
      </c>
      <c r="S138" s="1">
        <v>-4044026.6789883659</v>
      </c>
      <c r="T138" s="1">
        <v>2223874.6116675776</v>
      </c>
      <c r="U138" s="763">
        <f>($R$138/$Q$2)*-1</f>
        <v>6.7961668709556042E-2</v>
      </c>
      <c r="V138" s="691"/>
    </row>
    <row r="139" spans="1:22" x14ac:dyDescent="0.25">
      <c r="A139" s="690"/>
      <c r="B139" s="760">
        <v>44764</v>
      </c>
      <c r="C139">
        <v>1328</v>
      </c>
      <c r="D139" s="1">
        <v>216169253.10620993</v>
      </c>
      <c r="E139" s="1">
        <v>0</v>
      </c>
      <c r="F139" s="761">
        <v>158222262.93923727</v>
      </c>
      <c r="G139" s="691">
        <v>733</v>
      </c>
      <c r="H139" s="1">
        <v>-213760545.71726584</v>
      </c>
      <c r="I139" s="1">
        <v>0</v>
      </c>
      <c r="J139" s="761">
        <v>-164427166.62461311</v>
      </c>
      <c r="K139" s="622">
        <v>396540</v>
      </c>
      <c r="L139" s="762">
        <f>$F$139+$J$139</f>
        <v>-6204903.6853758395</v>
      </c>
      <c r="M139" s="1">
        <f>MAX($L$3:$L$139)</f>
        <v>-4797959.5653813481</v>
      </c>
      <c r="N139" s="1">
        <f>$L$139-MAX(0,$M$139)</f>
        <v>-6204903.6853758395</v>
      </c>
      <c r="O139" s="763">
        <f>($N$139/$C$2)*-1</f>
        <v>0.310245184268792</v>
      </c>
      <c r="P139" s="764">
        <v>0.05</v>
      </c>
      <c r="Q139" s="1">
        <v>-8369140.201713901</v>
      </c>
      <c r="R139" s="1">
        <v>-2164236.5163379572</v>
      </c>
      <c r="S139" s="1">
        <v>-3832738.7262749285</v>
      </c>
      <c r="T139" s="1">
        <v>2372164.9591010152</v>
      </c>
      <c r="U139" s="763">
        <f>($R$139/$Q$2)*-1</f>
        <v>7.2141217211265235E-2</v>
      </c>
      <c r="V139" s="691"/>
    </row>
    <row r="140" spans="1:22" x14ac:dyDescent="0.25">
      <c r="A140" s="690"/>
      <c r="B140" s="760">
        <v>44767</v>
      </c>
      <c r="C140">
        <v>1329</v>
      </c>
      <c r="D140" s="1">
        <v>215418780.30620992</v>
      </c>
      <c r="E140" s="1">
        <v>0</v>
      </c>
      <c r="F140" s="761">
        <v>157693420.5449971</v>
      </c>
      <c r="G140" s="691">
        <v>734</v>
      </c>
      <c r="H140" s="1">
        <v>-213010072.91726583</v>
      </c>
      <c r="I140" s="1">
        <v>0</v>
      </c>
      <c r="J140" s="761">
        <v>-163927150.86461312</v>
      </c>
      <c r="K140" s="622">
        <v>396540</v>
      </c>
      <c r="L140" s="762">
        <f>$F$140+$J$140</f>
        <v>-6233730.3196160197</v>
      </c>
      <c r="M140" s="1">
        <f>MAX($L$3:$L$140)</f>
        <v>-4797959.5653813481</v>
      </c>
      <c r="N140" s="1">
        <f>$L$140-MAX(0,$M$140)</f>
        <v>-6233730.3196160197</v>
      </c>
      <c r="O140" s="763">
        <f>($N$140/$C$2)*-1</f>
        <v>0.31168651598080099</v>
      </c>
      <c r="P140" s="764">
        <v>0.05</v>
      </c>
      <c r="Q140" s="1">
        <v>-8386139.909347333</v>
      </c>
      <c r="R140" s="1">
        <v>-2152409.5897313897</v>
      </c>
      <c r="S140" s="1">
        <v>-3886879.9792615701</v>
      </c>
      <c r="T140" s="1">
        <v>2346850.3403543732</v>
      </c>
      <c r="U140" s="763">
        <f>($R$140/$Q$2)*-1</f>
        <v>7.1746986324379661E-2</v>
      </c>
      <c r="V140" s="691"/>
    </row>
    <row r="141" spans="1:22" x14ac:dyDescent="0.25">
      <c r="A141" s="690"/>
      <c r="B141" s="760">
        <v>44768</v>
      </c>
      <c r="C141">
        <v>1330</v>
      </c>
      <c r="D141" s="1">
        <v>215057940.30620992</v>
      </c>
      <c r="E141" s="1">
        <v>0</v>
      </c>
      <c r="F141" s="761">
        <v>156981370.14722133</v>
      </c>
      <c r="G141" s="691">
        <v>734</v>
      </c>
      <c r="H141" s="1">
        <v>-213010072.91726583</v>
      </c>
      <c r="I141" s="1">
        <v>0</v>
      </c>
      <c r="J141" s="761">
        <v>-163338336.54593322</v>
      </c>
      <c r="K141" s="622">
        <v>396540</v>
      </c>
      <c r="L141" s="762">
        <f>$F$141+$J$141</f>
        <v>-6356966.39871189</v>
      </c>
      <c r="M141" s="1">
        <f>MAX($L$3:$L$141)</f>
        <v>-4797959.5653813481</v>
      </c>
      <c r="N141" s="1">
        <f>$L$141-MAX(0,$M$141)</f>
        <v>-6356966.39871189</v>
      </c>
      <c r="O141" s="763">
        <f>($N$141/$C$2)*-1</f>
        <v>0.31784831993559448</v>
      </c>
      <c r="P141" s="764">
        <v>0.05</v>
      </c>
      <c r="Q141" s="1">
        <v>-8398376.0195599385</v>
      </c>
      <c r="R141" s="1">
        <v>-2041409.6208479963</v>
      </c>
      <c r="S141" s="1">
        <v>-4128877.0398893626</v>
      </c>
      <c r="T141" s="1">
        <v>2228089.3588225795</v>
      </c>
      <c r="U141" s="763">
        <f>($R$141/$Q$2)*-1</f>
        <v>6.8046987361599878E-2</v>
      </c>
      <c r="V141" s="691"/>
    </row>
    <row r="142" spans="1:22" x14ac:dyDescent="0.25">
      <c r="A142" s="690"/>
      <c r="B142" s="760">
        <v>44769</v>
      </c>
      <c r="C142">
        <v>1330</v>
      </c>
      <c r="D142" s="1">
        <v>215057940.30620992</v>
      </c>
      <c r="E142" s="1">
        <v>0</v>
      </c>
      <c r="F142" s="761">
        <v>156501131.34803739</v>
      </c>
      <c r="G142" s="691">
        <v>734</v>
      </c>
      <c r="H142" s="1">
        <v>-213010072.91726583</v>
      </c>
      <c r="I142" s="1">
        <v>0</v>
      </c>
      <c r="J142" s="761">
        <v>-162836439.42557326</v>
      </c>
      <c r="K142" s="622">
        <v>396540</v>
      </c>
      <c r="L142" s="762">
        <f>$F$142+$J$142</f>
        <v>-6335308.0775358677</v>
      </c>
      <c r="M142" s="1">
        <f>MAX($L$3:$L$142)</f>
        <v>-4797959.5653813481</v>
      </c>
      <c r="N142" s="1">
        <f>$L$142-MAX(0,$M$142)</f>
        <v>-6335308.0775358677</v>
      </c>
      <c r="O142" s="763">
        <f>($N$142/$C$2)*-1</f>
        <v>0.31676540387679336</v>
      </c>
      <c r="P142" s="764">
        <v>0.05</v>
      </c>
      <c r="Q142" s="1">
        <v>-8367164.7847111393</v>
      </c>
      <c r="R142" s="1">
        <v>-2031856.7071751989</v>
      </c>
      <c r="S142" s="1">
        <v>-4111316.4718733141</v>
      </c>
      <c r="T142" s="1">
        <v>2223991.6056626262</v>
      </c>
      <c r="U142" s="763">
        <f>($R$142/$Q$2)*-1</f>
        <v>6.7728556905839968E-2</v>
      </c>
      <c r="V142" s="691"/>
    </row>
    <row r="143" spans="1:22" x14ac:dyDescent="0.25">
      <c r="A143" s="690"/>
      <c r="B143" s="760">
        <v>44770</v>
      </c>
      <c r="C143">
        <v>1336</v>
      </c>
      <c r="D143" s="1">
        <v>213714684.30620992</v>
      </c>
      <c r="E143" s="1">
        <v>0</v>
      </c>
      <c r="F143" s="761">
        <v>159415839.35003728</v>
      </c>
      <c r="G143" s="691">
        <v>739</v>
      </c>
      <c r="H143" s="1">
        <v>-211009456.91726583</v>
      </c>
      <c r="I143" s="1">
        <v>0</v>
      </c>
      <c r="J143" s="761">
        <v>-165578539.74293315</v>
      </c>
      <c r="K143" s="622">
        <v>396540</v>
      </c>
      <c r="L143" s="762">
        <f>$F$143+$J$143</f>
        <v>-6162700.3928958774</v>
      </c>
      <c r="M143" s="1">
        <f>MAX($L$3:$L$143)</f>
        <v>-4797959.5653813481</v>
      </c>
      <c r="N143" s="1">
        <f>$L$143-MAX(0,$M$143)</f>
        <v>-6162700.3928958774</v>
      </c>
      <c r="O143" s="763">
        <f>($N$143/$C$2)*-1</f>
        <v>0.30813501964479389</v>
      </c>
      <c r="P143" s="764">
        <v>0.05</v>
      </c>
      <c r="Q143" s="1">
        <v>-8359599.9004629916</v>
      </c>
      <c r="R143" s="1">
        <v>-2196899.5075670509</v>
      </c>
      <c r="S143" s="1">
        <v>-3728138.460054615</v>
      </c>
      <c r="T143" s="1">
        <v>2434561.9328413256</v>
      </c>
      <c r="U143" s="763">
        <f>($R$143/$Q$2)*-1</f>
        <v>7.3229983585568356E-2</v>
      </c>
      <c r="V143" s="691"/>
    </row>
    <row r="144" spans="1:22" x14ac:dyDescent="0.25">
      <c r="A144" s="690"/>
      <c r="B144" s="760">
        <v>44771</v>
      </c>
      <c r="C144">
        <v>1342</v>
      </c>
      <c r="D144" s="1">
        <v>212500356.30620992</v>
      </c>
      <c r="E144" s="1">
        <v>0</v>
      </c>
      <c r="F144" s="761">
        <v>161489936.14667735</v>
      </c>
      <c r="G144" s="691">
        <v>743</v>
      </c>
      <c r="H144" s="1">
        <v>-209795128.91726583</v>
      </c>
      <c r="I144" s="1">
        <v>0</v>
      </c>
      <c r="J144" s="761">
        <v>-167187502.86077321</v>
      </c>
      <c r="K144" s="622">
        <v>396540</v>
      </c>
      <c r="L144" s="762">
        <f>$F$144+$J$144</f>
        <v>-5697566.7140958607</v>
      </c>
      <c r="M144" s="1">
        <f>MAX($L$3:$L$144)</f>
        <v>-4797959.5653813481</v>
      </c>
      <c r="N144" s="1">
        <f>$L$144-MAX(0,$M$144)</f>
        <v>-5697566.7140958607</v>
      </c>
      <c r="O144" s="763">
        <f>($N$144/$C$2)*-1</f>
        <v>0.28487833570479304</v>
      </c>
      <c r="P144" s="764">
        <v>0.05</v>
      </c>
      <c r="Q144" s="1">
        <v>-7758758.7441233415</v>
      </c>
      <c r="R144" s="1">
        <v>-2061192.030027397</v>
      </c>
      <c r="S144" s="1">
        <v>-3428458.0759124751</v>
      </c>
      <c r="T144" s="1">
        <v>2269108.6381834694</v>
      </c>
      <c r="U144" s="763">
        <f>($R$144/$Q$2)*-1</f>
        <v>6.8706401000913228E-2</v>
      </c>
      <c r="V144" s="691"/>
    </row>
    <row r="145" spans="1:22" x14ac:dyDescent="0.25">
      <c r="A145" s="690"/>
      <c r="B145" s="760">
        <v>44774</v>
      </c>
      <c r="C145">
        <v>1349</v>
      </c>
      <c r="D145" s="1">
        <v>212004257.98541945</v>
      </c>
      <c r="E145" s="1">
        <v>0</v>
      </c>
      <c r="F145" s="761">
        <v>160961498.71556672</v>
      </c>
      <c r="G145" s="691">
        <v>746</v>
      </c>
      <c r="H145" s="1">
        <v>-208097922.44277489</v>
      </c>
      <c r="I145" s="1">
        <v>0</v>
      </c>
      <c r="J145" s="761">
        <v>-166768411.51548225</v>
      </c>
      <c r="K145" s="622">
        <v>396540</v>
      </c>
      <c r="L145" s="762">
        <f>$F$145+$J$145</f>
        <v>-5806912.7999155223</v>
      </c>
      <c r="M145" s="1">
        <f>MAX($L$3:$L$145)</f>
        <v>-4797959.5653813481</v>
      </c>
      <c r="N145" s="1">
        <f>$L$145-MAX(0,$M$145)</f>
        <v>-5806912.7999155223</v>
      </c>
      <c r="O145" s="763">
        <f>($N$145/$C$2)*-1</f>
        <v>0.29034563999577612</v>
      </c>
      <c r="P145" s="764">
        <v>0.05</v>
      </c>
      <c r="Q145" s="1">
        <v>-8366874.9647437092</v>
      </c>
      <c r="R145" s="1">
        <v>-2559962.1648283359</v>
      </c>
      <c r="S145" s="1">
        <v>-3039725.4152681478</v>
      </c>
      <c r="T145" s="1">
        <v>2767187.3846472255</v>
      </c>
      <c r="U145" s="763">
        <f>($R$145/$Q$2)*-1</f>
        <v>8.533207216094453E-2</v>
      </c>
      <c r="V145" s="691"/>
    </row>
    <row r="146" spans="1:22" x14ac:dyDescent="0.25">
      <c r="A146" s="690"/>
      <c r="B146" s="760">
        <v>44775</v>
      </c>
      <c r="C146">
        <v>1356</v>
      </c>
      <c r="D146" s="1">
        <v>208279660.06541947</v>
      </c>
      <c r="E146" s="1">
        <v>0</v>
      </c>
      <c r="F146" s="761">
        <v>161139417.59497479</v>
      </c>
      <c r="G146" s="691">
        <v>753</v>
      </c>
      <c r="H146" s="1">
        <v>-204373324.5227749</v>
      </c>
      <c r="I146" s="1">
        <v>0</v>
      </c>
      <c r="J146" s="761">
        <v>-167058390.31572229</v>
      </c>
      <c r="K146" s="622">
        <v>396540</v>
      </c>
      <c r="L146" s="762">
        <f>$F$146+$J$146</f>
        <v>-5918972.7207475007</v>
      </c>
      <c r="M146" s="1">
        <f>MAX($L$3:$L$146)</f>
        <v>-4797959.5653813481</v>
      </c>
      <c r="N146" s="1">
        <f>$L$146-MAX(0,$M$146)</f>
        <v>-5918972.7207475007</v>
      </c>
      <c r="O146" s="763">
        <f>($N$146/$C$2)*-1</f>
        <v>0.29594863603737503</v>
      </c>
      <c r="P146" s="764">
        <v>0.05</v>
      </c>
      <c r="Q146" s="1">
        <v>-8514431.5393558517</v>
      </c>
      <c r="R146" s="1">
        <v>-2595458.8186084814</v>
      </c>
      <c r="S146" s="1">
        <v>-3107716.572389829</v>
      </c>
      <c r="T146" s="1">
        <v>2811256.1483575413</v>
      </c>
      <c r="U146" s="763">
        <f>($R$146/$Q$2)*-1</f>
        <v>8.6515293953616054E-2</v>
      </c>
      <c r="V146" s="691"/>
    </row>
    <row r="147" spans="1:22" x14ac:dyDescent="0.25">
      <c r="A147" s="690"/>
      <c r="B147" s="760">
        <v>44776</v>
      </c>
      <c r="C147">
        <v>1358</v>
      </c>
      <c r="D147" s="1">
        <v>206721277.66541946</v>
      </c>
      <c r="E147" s="1">
        <v>0</v>
      </c>
      <c r="F147" s="761">
        <v>158400579.59586287</v>
      </c>
      <c r="G147" s="691">
        <v>755</v>
      </c>
      <c r="H147" s="1">
        <v>-202814942.1227749</v>
      </c>
      <c r="I147" s="1">
        <v>0</v>
      </c>
      <c r="J147" s="761">
        <v>-164609809.5198023</v>
      </c>
      <c r="K147" s="622">
        <v>396540</v>
      </c>
      <c r="L147" s="762">
        <f>$F$147+$J$147</f>
        <v>-6209229.9239394367</v>
      </c>
      <c r="M147" s="1">
        <f>MAX($L$3:$L$147)</f>
        <v>-4797959.5653813481</v>
      </c>
      <c r="N147" s="1">
        <f>$L$147-MAX(0,$M$147)</f>
        <v>-6209229.9239394367</v>
      </c>
      <c r="O147" s="763">
        <f>($N$147/$C$2)*-1</f>
        <v>0.31046149619697183</v>
      </c>
      <c r="P147" s="764">
        <v>0.05</v>
      </c>
      <c r="Q147" s="1">
        <v>-8915962.2187199891</v>
      </c>
      <c r="R147" s="1">
        <v>-2706732.294780612</v>
      </c>
      <c r="S147" s="1">
        <v>-3277519.7968490729</v>
      </c>
      <c r="T147" s="1">
        <v>2931710.1270903042</v>
      </c>
      <c r="U147" s="763">
        <f>($R$147/$Q$2)*-1</f>
        <v>9.0224409826020396E-2</v>
      </c>
      <c r="V147" s="691"/>
    </row>
    <row r="148" spans="1:22" x14ac:dyDescent="0.25">
      <c r="A148" s="690"/>
      <c r="B148" s="760">
        <v>44777</v>
      </c>
      <c r="C148">
        <v>1358</v>
      </c>
      <c r="D148" s="1">
        <v>206721277.66541946</v>
      </c>
      <c r="E148" s="1">
        <v>0</v>
      </c>
      <c r="F148" s="761">
        <v>154769855.19819883</v>
      </c>
      <c r="G148" s="691">
        <v>755</v>
      </c>
      <c r="H148" s="1">
        <v>-202814942.1227749</v>
      </c>
      <c r="I148" s="1">
        <v>0</v>
      </c>
      <c r="J148" s="761">
        <v>-161867730.08412224</v>
      </c>
      <c r="K148" s="622">
        <v>396540</v>
      </c>
      <c r="L148" s="762">
        <f>$F$148+$J$148</f>
        <v>-7097874.8859234154</v>
      </c>
      <c r="M148" s="1">
        <f>MAX($L$3:$L$148)</f>
        <v>-4797959.5653813481</v>
      </c>
      <c r="N148" s="1">
        <f>$L$148-MAX(0,$M$148)</f>
        <v>-7097874.8859234154</v>
      </c>
      <c r="O148" s="763">
        <f>($N$148/$C$2)*-1</f>
        <v>0.35489374429617077</v>
      </c>
      <c r="P148" s="764">
        <v>0.05</v>
      </c>
      <c r="Q148" s="1">
        <v>-10080634.537249539</v>
      </c>
      <c r="R148" s="1">
        <v>-2982759.6513261627</v>
      </c>
      <c r="S148" s="1">
        <v>-3867249.5927208057</v>
      </c>
      <c r="T148" s="1">
        <v>3230625.2932025706</v>
      </c>
      <c r="U148" s="763">
        <f>($R$148/$Q$2)*-1</f>
        <v>9.9425321710872094E-2</v>
      </c>
      <c r="V148" s="691"/>
    </row>
    <row r="149" spans="1:22" x14ac:dyDescent="0.25">
      <c r="A149" s="690"/>
      <c r="B149" s="760">
        <v>44778</v>
      </c>
      <c r="C149">
        <v>1360</v>
      </c>
      <c r="D149" s="1">
        <v>206882806.34325936</v>
      </c>
      <c r="E149" s="1">
        <v>0</v>
      </c>
      <c r="F149" s="761">
        <v>155008262.27515879</v>
      </c>
      <c r="G149" s="691">
        <v>757</v>
      </c>
      <c r="H149" s="1">
        <v>-202976470.8006148</v>
      </c>
      <c r="I149" s="1">
        <v>0</v>
      </c>
      <c r="J149" s="761">
        <v>-162001517.88124222</v>
      </c>
      <c r="K149" s="622">
        <v>396540</v>
      </c>
      <c r="L149" s="762">
        <f>$F$149+$J$149</f>
        <v>-6993255.6060834229</v>
      </c>
      <c r="M149" s="1">
        <f>MAX($L$3:$L$149)</f>
        <v>-4797959.5653813481</v>
      </c>
      <c r="N149" s="1">
        <f>$L$149-MAX(0,$M$149)</f>
        <v>-6993255.6060834229</v>
      </c>
      <c r="O149" s="763">
        <f>($N$149/$C$2)*-1</f>
        <v>0.34966278030417114</v>
      </c>
      <c r="P149" s="764">
        <v>0.05</v>
      </c>
      <c r="Q149" s="1">
        <v>-9943838.2378841676</v>
      </c>
      <c r="R149" s="1">
        <v>-2950582.6318007912</v>
      </c>
      <c r="S149" s="1">
        <v>-3797475.4067033855</v>
      </c>
      <c r="T149" s="1">
        <v>3195780.1993799908</v>
      </c>
      <c r="U149" s="763">
        <f>($R$149/$Q$2)*-1</f>
        <v>9.8352754393359706E-2</v>
      </c>
      <c r="V149" s="691"/>
    </row>
    <row r="150" spans="1:22" x14ac:dyDescent="0.25">
      <c r="A150" s="690"/>
      <c r="B150" s="760">
        <v>44781</v>
      </c>
      <c r="C150">
        <v>1360</v>
      </c>
      <c r="D150" s="1">
        <v>206882806.34325936</v>
      </c>
      <c r="E150" s="1">
        <v>0</v>
      </c>
      <c r="F150" s="761">
        <v>158214826.27301475</v>
      </c>
      <c r="G150" s="691">
        <v>757</v>
      </c>
      <c r="H150" s="1">
        <v>-202976470.8006148</v>
      </c>
      <c r="I150" s="1">
        <v>0</v>
      </c>
      <c r="J150" s="761">
        <v>-164730975.71908218</v>
      </c>
      <c r="K150" s="622">
        <v>396540</v>
      </c>
      <c r="L150" s="762">
        <f>$F$150+$J$150</f>
        <v>-6516149.4460674226</v>
      </c>
      <c r="M150" s="1">
        <f>MAX($L$3:$L$150)</f>
        <v>-4797959.5653813481</v>
      </c>
      <c r="N150" s="1">
        <f>$L$150-MAX(0,$M$150)</f>
        <v>-6516149.4460674226</v>
      </c>
      <c r="O150" s="763">
        <f>($N$150/$C$2)*-1</f>
        <v>0.32580747230337115</v>
      </c>
      <c r="P150" s="764">
        <v>0.05</v>
      </c>
      <c r="Q150" s="1">
        <v>-9322628.6014659777</v>
      </c>
      <c r="R150" s="1">
        <v>-2806479.1553986017</v>
      </c>
      <c r="S150" s="1">
        <v>-3476421.5855757948</v>
      </c>
      <c r="T150" s="1">
        <v>3039727.8604915813</v>
      </c>
      <c r="U150" s="763">
        <f>($R$150/$Q$2)*-1</f>
        <v>9.3549305179953385E-2</v>
      </c>
      <c r="V150" s="691"/>
    </row>
    <row r="151" spans="1:22" x14ac:dyDescent="0.25">
      <c r="A151" s="690"/>
      <c r="B151" s="760">
        <v>44782</v>
      </c>
      <c r="C151">
        <v>1360</v>
      </c>
      <c r="D151" s="1">
        <v>206860532.29269934</v>
      </c>
      <c r="E151" s="1">
        <v>0</v>
      </c>
      <c r="F151" s="761">
        <v>159826795.39692682</v>
      </c>
      <c r="G151" s="691">
        <v>757</v>
      </c>
      <c r="H151" s="1">
        <v>-202954196.75005478</v>
      </c>
      <c r="I151" s="1">
        <v>0</v>
      </c>
      <c r="J151" s="761">
        <v>-165242837.37724218</v>
      </c>
      <c r="K151" s="622">
        <v>396540</v>
      </c>
      <c r="L151" s="762">
        <f>$F$151+$J$151</f>
        <v>-5416041.9803153574</v>
      </c>
      <c r="M151" s="1">
        <f>MAX($L$3:$L$151)</f>
        <v>-4797959.5653813481</v>
      </c>
      <c r="N151" s="1">
        <f>$L$151-MAX(0,$M$151)</f>
        <v>-5416041.9803153574</v>
      </c>
      <c r="O151" s="763">
        <f>($N$151/$C$2)*-1</f>
        <v>0.27080209901576785</v>
      </c>
      <c r="P151" s="764">
        <v>0.05</v>
      </c>
      <c r="Q151" s="1">
        <v>-8212960.4194595683</v>
      </c>
      <c r="R151" s="1">
        <v>-2796918.4391441923</v>
      </c>
      <c r="S151" s="1">
        <v>-2495932.1940795053</v>
      </c>
      <c r="T151" s="1">
        <v>2920109.7862358708</v>
      </c>
      <c r="U151" s="763">
        <f>($R$151/$Q$2)*-1</f>
        <v>9.3230614638139739E-2</v>
      </c>
      <c r="V151" s="691"/>
    </row>
    <row r="152" spans="1:22" x14ac:dyDescent="0.25">
      <c r="A152" s="690"/>
      <c r="B152" s="760">
        <v>44783</v>
      </c>
      <c r="C152">
        <v>1360</v>
      </c>
      <c r="D152" s="1">
        <v>206860532.29269934</v>
      </c>
      <c r="E152" s="1">
        <v>0</v>
      </c>
      <c r="F152" s="761">
        <v>159777861.79788688</v>
      </c>
      <c r="G152" s="691">
        <v>757</v>
      </c>
      <c r="H152" s="1">
        <v>-202954196.75005478</v>
      </c>
      <c r="I152" s="1">
        <v>0</v>
      </c>
      <c r="J152" s="761">
        <v>-165252903.69652221</v>
      </c>
      <c r="K152" s="622">
        <v>396540</v>
      </c>
      <c r="L152" s="762">
        <f>$F$152+$J$152</f>
        <v>-5475041.8986353278</v>
      </c>
      <c r="M152" s="1">
        <f>MAX($L$3:$L$152)</f>
        <v>-4797959.5653813481</v>
      </c>
      <c r="N152" s="1">
        <f>$L$152-MAX(0,$M$152)</f>
        <v>-5475041.8986353278</v>
      </c>
      <c r="O152" s="763">
        <f>($N$152/$C$2)*-1</f>
        <v>0.27375209493176639</v>
      </c>
      <c r="P152" s="764">
        <v>0.05</v>
      </c>
      <c r="Q152" s="1">
        <v>-8278576.9250052627</v>
      </c>
      <c r="R152" s="1">
        <v>-2803535.026369879</v>
      </c>
      <c r="S152" s="1">
        <v>-2570011.1243457301</v>
      </c>
      <c r="T152" s="1">
        <v>2905030.7742896536</v>
      </c>
      <c r="U152" s="763">
        <f>($R$152/$Q$2)*-1</f>
        <v>9.3451167545662628E-2</v>
      </c>
      <c r="V152" s="691"/>
    </row>
    <row r="153" spans="1:22" x14ac:dyDescent="0.25">
      <c r="A153" s="690"/>
      <c r="B153" s="760">
        <v>44784</v>
      </c>
      <c r="C153">
        <v>1361</v>
      </c>
      <c r="D153" s="1">
        <v>206630132.29269934</v>
      </c>
      <c r="E153" s="1">
        <v>0</v>
      </c>
      <c r="F153" s="761">
        <v>160033246.59492683</v>
      </c>
      <c r="G153" s="691">
        <v>758</v>
      </c>
      <c r="H153" s="1">
        <v>-202723796.75005478</v>
      </c>
      <c r="I153" s="1">
        <v>0</v>
      </c>
      <c r="J153" s="761">
        <v>-165416709.93604219</v>
      </c>
      <c r="K153" s="622">
        <v>396540</v>
      </c>
      <c r="L153" s="762">
        <f>$F$153+$J$153</f>
        <v>-5383463.3411153555</v>
      </c>
      <c r="M153" s="1">
        <f>MAX($L$3:$L$153)</f>
        <v>-4797959.5653813481</v>
      </c>
      <c r="N153" s="1">
        <f>$L$153-MAX(0,$M$153)</f>
        <v>-5383463.3411153555</v>
      </c>
      <c r="O153" s="763">
        <f>($N$153/$C$2)*-1</f>
        <v>0.26917316705576777</v>
      </c>
      <c r="P153" s="764">
        <v>0.05</v>
      </c>
      <c r="Q153" s="1">
        <v>-8163573.3364225142</v>
      </c>
      <c r="R153" s="1">
        <v>-2780109.9953071345</v>
      </c>
      <c r="S153" s="1">
        <v>-2518615.2404038999</v>
      </c>
      <c r="T153" s="1">
        <v>2864848.1007114798</v>
      </c>
      <c r="U153" s="763">
        <f>($R$153/$Q$2)*-1</f>
        <v>9.2670333176904485E-2</v>
      </c>
      <c r="V153" s="691"/>
    </row>
    <row r="154" spans="1:22" x14ac:dyDescent="0.25">
      <c r="A154" s="690"/>
      <c r="B154" s="760">
        <v>44785</v>
      </c>
      <c r="C154">
        <v>1363</v>
      </c>
      <c r="D154" s="1">
        <v>206401892.29269934</v>
      </c>
      <c r="E154" s="1">
        <v>0</v>
      </c>
      <c r="F154" s="761">
        <v>159785832.99636686</v>
      </c>
      <c r="G154" s="691">
        <v>760</v>
      </c>
      <c r="H154" s="1">
        <v>-202495556.75005478</v>
      </c>
      <c r="I154" s="1">
        <v>0</v>
      </c>
      <c r="J154" s="761">
        <v>-165257691.45604223</v>
      </c>
      <c r="K154" s="622">
        <v>396540</v>
      </c>
      <c r="L154" s="762">
        <f>$F$154+$J$154</f>
        <v>-5471858.4596753716</v>
      </c>
      <c r="M154" s="1">
        <f>MAX($L$3:$L$154)</f>
        <v>-4797959.5653813481</v>
      </c>
      <c r="N154" s="1">
        <f>$L$154-MAX(0,$M$154)</f>
        <v>-5471858.4596753716</v>
      </c>
      <c r="O154" s="763">
        <f>($N$154/$C$2)*-1</f>
        <v>0.27359292298376858</v>
      </c>
      <c r="P154" s="764">
        <v>0.05</v>
      </c>
      <c r="Q154" s="1">
        <v>-8274016.7124643475</v>
      </c>
      <c r="R154" s="1">
        <v>-2802158.2527889665</v>
      </c>
      <c r="S154" s="1">
        <v>-2583123.2247976516</v>
      </c>
      <c r="T154" s="1">
        <v>2888735.2348777293</v>
      </c>
      <c r="U154" s="763">
        <f>($R$154/$Q$2)*-1</f>
        <v>9.3405275092965548E-2</v>
      </c>
      <c r="V154" s="691"/>
    </row>
    <row r="155" spans="1:22" x14ac:dyDescent="0.25">
      <c r="A155" s="690"/>
      <c r="B155" s="760">
        <v>44788</v>
      </c>
      <c r="C155">
        <v>1363</v>
      </c>
      <c r="D155" s="1">
        <v>206401892.29269934</v>
      </c>
      <c r="E155" s="1">
        <v>0</v>
      </c>
      <c r="F155" s="761">
        <v>160001264.79396683</v>
      </c>
      <c r="G155" s="691">
        <v>760</v>
      </c>
      <c r="H155" s="1">
        <v>-202495556.75005478</v>
      </c>
      <c r="I155" s="1">
        <v>0</v>
      </c>
      <c r="J155" s="761">
        <v>-165371303.25580218</v>
      </c>
      <c r="K155" s="622">
        <v>396540</v>
      </c>
      <c r="L155" s="762">
        <f>$F$155+$J$155</f>
        <v>-5370038.4618353546</v>
      </c>
      <c r="M155" s="1">
        <f>MAX($L$3:$L$155)</f>
        <v>-4797959.5653813481</v>
      </c>
      <c r="N155" s="1">
        <f>$L$155-MAX(0,$M$155)</f>
        <v>-5370038.4618353546</v>
      </c>
      <c r="O155" s="763">
        <f>($N$155/$C$2)*-1</f>
        <v>0.26850192309176774</v>
      </c>
      <c r="P155" s="764">
        <v>0.05</v>
      </c>
      <c r="Q155" s="1">
        <v>-8146303.0416801926</v>
      </c>
      <c r="R155" s="1">
        <v>-2776264.5798448175</v>
      </c>
      <c r="S155" s="1">
        <v>-2509365.2985931714</v>
      </c>
      <c r="T155" s="1">
        <v>2860673.1632422036</v>
      </c>
      <c r="U155" s="763">
        <f>($R$155/$Q$2)*-1</f>
        <v>9.2542152661493918E-2</v>
      </c>
      <c r="V155" s="691"/>
    </row>
    <row r="156" spans="1:22" x14ac:dyDescent="0.25">
      <c r="A156" s="690"/>
      <c r="B156" s="760">
        <v>44789</v>
      </c>
      <c r="C156">
        <v>1369</v>
      </c>
      <c r="D156" s="1">
        <v>208705729.09269935</v>
      </c>
      <c r="E156" s="1">
        <v>0</v>
      </c>
      <c r="F156" s="761">
        <v>161183924.5959667</v>
      </c>
      <c r="G156" s="691">
        <v>766</v>
      </c>
      <c r="H156" s="1">
        <v>-204799393.55005479</v>
      </c>
      <c r="I156" s="1">
        <v>0</v>
      </c>
      <c r="J156" s="761">
        <v>-166346193.69412211</v>
      </c>
      <c r="K156" s="622">
        <v>396540</v>
      </c>
      <c r="L156" s="762">
        <f>$F$156+$J$156</f>
        <v>-5162269.0981554091</v>
      </c>
      <c r="M156" s="1">
        <f>MAX($L$3:$L$156)</f>
        <v>-4797959.5653813481</v>
      </c>
      <c r="N156" s="1">
        <f>$L$156-MAX(0,$M$156)</f>
        <v>-5162269.0981554091</v>
      </c>
      <c r="O156" s="763">
        <f>($N$156/$C$2)*-1</f>
        <v>0.25811345490777043</v>
      </c>
      <c r="P156" s="764">
        <v>0.05</v>
      </c>
      <c r="Q156" s="1">
        <v>-7849643.6445295438</v>
      </c>
      <c r="R156" s="1">
        <v>-2687374.5463741682</v>
      </c>
      <c r="S156" s="1">
        <v>-2427508.4810091727</v>
      </c>
      <c r="T156" s="1">
        <v>2734760.6171462028</v>
      </c>
      <c r="U156" s="763">
        <f>($R$156/$Q$2)*-1</f>
        <v>8.9579151545805605E-2</v>
      </c>
      <c r="V156" s="691"/>
    </row>
    <row r="157" spans="1:22" x14ac:dyDescent="0.25">
      <c r="A157" s="690"/>
      <c r="B157" s="760">
        <v>44790</v>
      </c>
      <c r="C157">
        <v>1383</v>
      </c>
      <c r="D157" s="1">
        <v>224657137.09269935</v>
      </c>
      <c r="E157" s="1">
        <v>0</v>
      </c>
      <c r="F157" s="761">
        <v>163776220.99459916</v>
      </c>
      <c r="G157" s="691">
        <v>768</v>
      </c>
      <c r="H157" s="1">
        <v>-204324721.55005479</v>
      </c>
      <c r="I157" s="1">
        <v>0</v>
      </c>
      <c r="J157" s="761">
        <v>-166789909.65304232</v>
      </c>
      <c r="K157" s="622">
        <v>396540</v>
      </c>
      <c r="L157" s="762">
        <f>$F$157+$J$157</f>
        <v>-3013688.6584431529</v>
      </c>
      <c r="M157" s="1">
        <f>MAX($L$3:$L$157)</f>
        <v>-3013688.6584431529</v>
      </c>
      <c r="N157" s="1">
        <f>$L$157-MAX(0,$M$157)</f>
        <v>-3013688.6584431529</v>
      </c>
      <c r="O157" s="763">
        <f>($N$157/$C$2)*-1</f>
        <v>0.15068443292215764</v>
      </c>
      <c r="P157" s="764">
        <v>0.05</v>
      </c>
      <c r="Q157" s="1">
        <v>-5627680.324386212</v>
      </c>
      <c r="R157" s="1">
        <v>-2613991.6659428347</v>
      </c>
      <c r="S157" s="1">
        <v>-369496.51734120958</v>
      </c>
      <c r="T157" s="1">
        <v>2644192.1411021678</v>
      </c>
      <c r="U157" s="763">
        <f>($R$157/$Q$2)*-1</f>
        <v>8.7133055531427819E-2</v>
      </c>
      <c r="V157" s="691"/>
    </row>
    <row r="158" spans="1:22" x14ac:dyDescent="0.25">
      <c r="A158" s="690"/>
      <c r="B158" s="760">
        <v>44791</v>
      </c>
      <c r="C158">
        <v>1393</v>
      </c>
      <c r="D158" s="1">
        <v>238424401.09269935</v>
      </c>
      <c r="E158" s="1">
        <v>0</v>
      </c>
      <c r="F158" s="761">
        <v>164333881.67681122</v>
      </c>
      <c r="G158" s="691">
        <v>778</v>
      </c>
      <c r="H158" s="1">
        <v>-218091985.55005479</v>
      </c>
      <c r="I158" s="1">
        <v>0</v>
      </c>
      <c r="J158" s="761">
        <v>-167161013.0126822</v>
      </c>
      <c r="K158" s="622">
        <v>396540</v>
      </c>
      <c r="L158" s="762">
        <f>$F$158+$J$158</f>
        <v>-2827131.3358709812</v>
      </c>
      <c r="M158" s="1">
        <f>MAX($L$3:$L$158)</f>
        <v>-2827131.3358709812</v>
      </c>
      <c r="N158" s="1">
        <f>$L$158-MAX(0,$M$158)</f>
        <v>-2827131.3358709812</v>
      </c>
      <c r="O158" s="763">
        <f>($N$158/$C$2)*-1</f>
        <v>0.14135656679354905</v>
      </c>
      <c r="P158" s="764">
        <v>0.05</v>
      </c>
      <c r="Q158" s="1">
        <v>-5426432.4419872146</v>
      </c>
      <c r="R158" s="1">
        <v>-2599301.1061159954</v>
      </c>
      <c r="S158" s="1">
        <v>-202562.35886136442</v>
      </c>
      <c r="T158" s="1">
        <v>2624568.9770098547</v>
      </c>
      <c r="U158" s="763">
        <f>($R$158/$Q$2)*-1</f>
        <v>8.6643370203866518E-2</v>
      </c>
      <c r="V158" s="691"/>
    </row>
    <row r="159" spans="1:22" x14ac:dyDescent="0.25">
      <c r="A159" s="690"/>
      <c r="B159" s="760">
        <v>44792</v>
      </c>
      <c r="C159">
        <v>1397</v>
      </c>
      <c r="D159" s="1">
        <v>237921721.09269935</v>
      </c>
      <c r="E159" s="1">
        <v>0</v>
      </c>
      <c r="F159" s="761">
        <v>165119819.89753708</v>
      </c>
      <c r="G159" s="691">
        <v>779</v>
      </c>
      <c r="H159" s="1">
        <v>-217798105.55005479</v>
      </c>
      <c r="I159" s="1">
        <v>0</v>
      </c>
      <c r="J159" s="761">
        <v>-167888678.55124202</v>
      </c>
      <c r="K159" s="622">
        <v>396540</v>
      </c>
      <c r="L159" s="762">
        <f>$F$159+$J$159</f>
        <v>-2768858.6537049413</v>
      </c>
      <c r="M159" s="1">
        <f>MAX($L$3:$L$159)</f>
        <v>-2768858.6537049413</v>
      </c>
      <c r="N159" s="1">
        <f>$L$159-MAX(0,$M$159)</f>
        <v>-2768858.6537049413</v>
      </c>
      <c r="O159" s="763">
        <f>($N$159/$C$2)*-1</f>
        <v>0.13844293268524707</v>
      </c>
      <c r="P159" s="764">
        <v>0.05</v>
      </c>
      <c r="Q159" s="1">
        <v>-5220564.6869460288</v>
      </c>
      <c r="R159" s="1">
        <v>-2451706.0332409758</v>
      </c>
      <c r="S159" s="1">
        <v>-285998.41150601208</v>
      </c>
      <c r="T159" s="1">
        <v>2482860.2421990409</v>
      </c>
      <c r="U159" s="763">
        <f>($R$159/$Q$2)*-1</f>
        <v>8.1723534441365861E-2</v>
      </c>
      <c r="V159" s="691"/>
    </row>
    <row r="160" spans="1:22" x14ac:dyDescent="0.25">
      <c r="A160" s="690"/>
      <c r="B160" s="760">
        <v>44795</v>
      </c>
      <c r="C160">
        <v>1404</v>
      </c>
      <c r="D160" s="1">
        <v>240518641.09269935</v>
      </c>
      <c r="E160" s="1">
        <v>0</v>
      </c>
      <c r="F160" s="761">
        <v>165971998.73882616</v>
      </c>
      <c r="G160" s="691">
        <v>779</v>
      </c>
      <c r="H160" s="1">
        <v>-217798105.55005479</v>
      </c>
      <c r="I160" s="1">
        <v>0</v>
      </c>
      <c r="J160" s="761">
        <v>-168596757.63148215</v>
      </c>
      <c r="K160" s="622">
        <v>396540</v>
      </c>
      <c r="L160" s="762">
        <f>$F$160+$J$160</f>
        <v>-2624758.8926559985</v>
      </c>
      <c r="M160" s="1">
        <f>MAX($L$3:$L$160)</f>
        <v>-2624758.8926559985</v>
      </c>
      <c r="N160" s="1">
        <f>$L$160-MAX(0,$M$160)</f>
        <v>-2624758.8926559985</v>
      </c>
      <c r="O160" s="763">
        <f>($N$160/$C$2)*-1</f>
        <v>0.13123794463279992</v>
      </c>
      <c r="P160" s="764">
        <v>0.05</v>
      </c>
      <c r="Q160" s="1">
        <v>-5171518.3186649978</v>
      </c>
      <c r="R160" s="1">
        <v>-2546759.4260090576</v>
      </c>
      <c r="S160" s="1">
        <v>24589.933223644737</v>
      </c>
      <c r="T160" s="1">
        <v>2649348.825879585</v>
      </c>
      <c r="U160" s="763">
        <f>($R$160/$Q$2)*-1</f>
        <v>8.4891980866968586E-2</v>
      </c>
      <c r="V160" s="691"/>
    </row>
    <row r="161" spans="1:22" x14ac:dyDescent="0.25">
      <c r="A161" s="690"/>
      <c r="B161" s="760">
        <v>44796</v>
      </c>
      <c r="C161">
        <v>1415</v>
      </c>
      <c r="D161" s="1">
        <v>244058281.09269935</v>
      </c>
      <c r="E161" s="1">
        <v>0</v>
      </c>
      <c r="F161" s="761">
        <v>166933536.1966387</v>
      </c>
      <c r="G161" s="691">
        <v>788</v>
      </c>
      <c r="H161" s="1">
        <v>-221417665.55005479</v>
      </c>
      <c r="I161" s="1">
        <v>0</v>
      </c>
      <c r="J161" s="761">
        <v>-169477916.25076219</v>
      </c>
      <c r="K161" s="622">
        <v>396540</v>
      </c>
      <c r="L161" s="762">
        <f>$F$161+$J$161</f>
        <v>-2544380.054123491</v>
      </c>
      <c r="M161" s="1">
        <f>MAX($L$3:$L$161)</f>
        <v>-2544380.054123491</v>
      </c>
      <c r="N161" s="1">
        <f>$L$161-MAX(0,$M$161)</f>
        <v>-2544380.054123491</v>
      </c>
      <c r="O161" s="763">
        <f>($N$161/$C$2)*-1</f>
        <v>0.12721900270617456</v>
      </c>
      <c r="P161" s="764">
        <v>0.05</v>
      </c>
      <c r="Q161" s="1">
        <v>-5047975.9640597999</v>
      </c>
      <c r="R161" s="1">
        <v>-2503595.9099364234</v>
      </c>
      <c r="S161" s="1">
        <v>85075.172668294981</v>
      </c>
      <c r="T161" s="1">
        <v>2629455.2267916715</v>
      </c>
      <c r="U161" s="763">
        <f>($R$161/$Q$2)*-1</f>
        <v>8.3453196997880785E-2</v>
      </c>
      <c r="V161" s="691"/>
    </row>
    <row r="162" spans="1:22" x14ac:dyDescent="0.25">
      <c r="A162" s="690"/>
      <c r="B162" s="760">
        <v>44797</v>
      </c>
      <c r="C162">
        <v>1415</v>
      </c>
      <c r="D162" s="1">
        <v>244114342.40422201</v>
      </c>
      <c r="E162" s="1">
        <v>0</v>
      </c>
      <c r="F162" s="761">
        <v>167170511.72525534</v>
      </c>
      <c r="G162" s="691">
        <v>788</v>
      </c>
      <c r="H162" s="1">
        <v>-221417665.55005479</v>
      </c>
      <c r="I162" s="1">
        <v>0</v>
      </c>
      <c r="J162" s="761">
        <v>-169414125.02860221</v>
      </c>
      <c r="K162" s="622">
        <v>396540</v>
      </c>
      <c r="L162" s="762">
        <f>$F$162+$J$162</f>
        <v>-2243613.3033468723</v>
      </c>
      <c r="M162" s="1">
        <f>MAX($L$3:$L$162)</f>
        <v>-2243613.3033468723</v>
      </c>
      <c r="N162" s="1">
        <f>$L$162-MAX(0,$M$162)</f>
        <v>-2243613.3033468723</v>
      </c>
      <c r="O162" s="763">
        <f>($N$162/$C$2)*-1</f>
        <v>0.11218066516734361</v>
      </c>
      <c r="P162" s="764">
        <v>0.05</v>
      </c>
      <c r="Q162" s="1">
        <v>-4635201.6585027501</v>
      </c>
      <c r="R162" s="1">
        <v>-2391588.3551557641</v>
      </c>
      <c r="S162" s="1">
        <v>236058.37541653914</v>
      </c>
      <c r="T162" s="1">
        <v>2479671.6787635251</v>
      </c>
      <c r="U162" s="763">
        <f>($R$162/$Q$2)*-1</f>
        <v>7.9719611838525467E-2</v>
      </c>
      <c r="V162" s="691"/>
    </row>
    <row r="163" spans="1:22" x14ac:dyDescent="0.25">
      <c r="A163" s="690"/>
      <c r="B163" s="760">
        <v>44798</v>
      </c>
      <c r="C163">
        <v>1421</v>
      </c>
      <c r="D163" s="1">
        <v>248017818.06396821</v>
      </c>
      <c r="E163" s="1">
        <v>0</v>
      </c>
      <c r="F163" s="761">
        <v>167843306.38695058</v>
      </c>
      <c r="G163" s="691">
        <v>788</v>
      </c>
      <c r="H163" s="1">
        <v>-221657562.40662512</v>
      </c>
      <c r="I163" s="1">
        <v>0</v>
      </c>
      <c r="J163" s="761">
        <v>-170096464.52565247</v>
      </c>
      <c r="K163" s="622">
        <v>396540</v>
      </c>
      <c r="L163" s="762">
        <f>$F$163+$J$163</f>
        <v>-2253158.1387018859</v>
      </c>
      <c r="M163" s="1">
        <f>MAX($L$3:$L$163)</f>
        <v>-2243613.3033468723</v>
      </c>
      <c r="N163" s="1">
        <f>$L$163-MAX(0,$M$163)</f>
        <v>-2253158.1387018859</v>
      </c>
      <c r="O163" s="763">
        <f>($N$163/$C$2)*-1</f>
        <v>0.1126579069350943</v>
      </c>
      <c r="P163" s="764">
        <v>0.05</v>
      </c>
      <c r="Q163" s="1">
        <v>-4976229.2946385108</v>
      </c>
      <c r="R163" s="1">
        <v>-2723071.1559365559</v>
      </c>
      <c r="S163" s="1">
        <v>606212.8538112035</v>
      </c>
      <c r="T163" s="1">
        <v>2859370.9925131584</v>
      </c>
      <c r="U163" s="763">
        <f>($R$163/$Q$2)*-1</f>
        <v>9.0769038531218538E-2</v>
      </c>
      <c r="V163" s="691"/>
    </row>
    <row r="164" spans="1:22" x14ac:dyDescent="0.25">
      <c r="A164" s="690"/>
      <c r="B164" s="760">
        <v>44799</v>
      </c>
      <c r="C164">
        <v>1426</v>
      </c>
      <c r="D164" s="1">
        <v>251978958.06396821</v>
      </c>
      <c r="E164" s="1">
        <v>0</v>
      </c>
      <c r="F164" s="761">
        <v>165772736.56660756</v>
      </c>
      <c r="G164" s="691">
        <v>793</v>
      </c>
      <c r="H164" s="1">
        <v>-225618702.40662512</v>
      </c>
      <c r="I164" s="1">
        <v>0</v>
      </c>
      <c r="J164" s="761">
        <v>-168635578.34661251</v>
      </c>
      <c r="K164" s="622">
        <v>396540</v>
      </c>
      <c r="L164" s="762">
        <f>$F$164+$J$164</f>
        <v>-2862841.7800049484</v>
      </c>
      <c r="M164" s="1">
        <f>MAX($L$3:$L$164)</f>
        <v>-2243613.3033468723</v>
      </c>
      <c r="N164" s="1">
        <f>$L$164-MAX(0,$M$164)</f>
        <v>-2862841.7800049484</v>
      </c>
      <c r="O164" s="763">
        <f>($N$164/$C$2)*-1</f>
        <v>0.14314208900024741</v>
      </c>
      <c r="P164" s="764">
        <v>0.05</v>
      </c>
      <c r="Q164" s="1">
        <v>-5682107.1288599549</v>
      </c>
      <c r="R164" s="1">
        <v>-2819265.3488548035</v>
      </c>
      <c r="S164" s="1">
        <v>103285.71803140081</v>
      </c>
      <c r="T164" s="1">
        <v>2966127.4980365522</v>
      </c>
      <c r="U164" s="763">
        <f>($R$164/$Q$2)*-1</f>
        <v>9.3975511628493449E-2</v>
      </c>
      <c r="V164" s="691"/>
    </row>
    <row r="165" spans="1:22" x14ac:dyDescent="0.25">
      <c r="A165" s="690"/>
      <c r="B165" s="760">
        <v>44802</v>
      </c>
      <c r="C165">
        <v>1429</v>
      </c>
      <c r="D165" s="1">
        <v>251414262.06396821</v>
      </c>
      <c r="E165" s="1">
        <v>0</v>
      </c>
      <c r="F165" s="761">
        <v>165541214.36607563</v>
      </c>
      <c r="G165" s="691">
        <v>793</v>
      </c>
      <c r="H165" s="1">
        <v>-225618702.40662512</v>
      </c>
      <c r="I165" s="1">
        <v>0</v>
      </c>
      <c r="J165" s="761">
        <v>-168484177.3467325</v>
      </c>
      <c r="K165" s="622">
        <v>396540</v>
      </c>
      <c r="L165" s="762">
        <f>$F$165+$J$165</f>
        <v>-2942962.9806568623</v>
      </c>
      <c r="M165" s="1">
        <f>MAX($L$3:$L$165)</f>
        <v>-2243613.3033468723</v>
      </c>
      <c r="N165" s="1">
        <f>$L$165-MAX(0,$M$165)</f>
        <v>-2942962.9806568623</v>
      </c>
      <c r="O165" s="763">
        <f>($N$165/$C$2)*-1</f>
        <v>0.14714814903284312</v>
      </c>
      <c r="P165" s="764">
        <v>0.05</v>
      </c>
      <c r="Q165" s="1">
        <v>-5582389.745125086</v>
      </c>
      <c r="R165" s="1">
        <v>-2639426.7644679304</v>
      </c>
      <c r="S165" s="1">
        <v>-170290.35816813167</v>
      </c>
      <c r="T165" s="1">
        <v>2772672.622489024</v>
      </c>
      <c r="U165" s="763">
        <f>($R$165/$Q$2)*-1</f>
        <v>8.7980892148931011E-2</v>
      </c>
      <c r="V165" s="691"/>
    </row>
    <row r="166" spans="1:22" x14ac:dyDescent="0.25">
      <c r="A166" s="690"/>
      <c r="B166" s="760">
        <v>44803</v>
      </c>
      <c r="C166">
        <v>1435</v>
      </c>
      <c r="D166" s="1">
        <v>250611471.18396822</v>
      </c>
      <c r="E166" s="1">
        <v>0</v>
      </c>
      <c r="F166" s="761">
        <v>169410445.88566774</v>
      </c>
      <c r="G166" s="691">
        <v>794</v>
      </c>
      <c r="H166" s="1">
        <v>-225379878.40662512</v>
      </c>
      <c r="I166" s="1">
        <v>0</v>
      </c>
      <c r="J166" s="761">
        <v>-171515038.46361262</v>
      </c>
      <c r="K166" s="622">
        <v>396540</v>
      </c>
      <c r="L166" s="762">
        <f>$F$166+$J$166</f>
        <v>-2104592.5779448748</v>
      </c>
      <c r="M166" s="1">
        <f>MAX($L$3:$L$166)</f>
        <v>-2104592.5779448748</v>
      </c>
      <c r="N166" s="1">
        <f>$L$166-MAX(0,$M$166)</f>
        <v>-2104592.5779448748</v>
      </c>
      <c r="O166" s="763">
        <f>($N$166/$C$2)*-1</f>
        <v>0.10522962889724374</v>
      </c>
      <c r="P166" s="764">
        <v>0.05</v>
      </c>
      <c r="Q166" s="1">
        <v>-4309634.6173363086</v>
      </c>
      <c r="R166" s="1">
        <v>-2205042.03939116</v>
      </c>
      <c r="S166" s="1">
        <v>96600.340588862076</v>
      </c>
      <c r="T166" s="1">
        <v>2201192.9185340106</v>
      </c>
      <c r="U166" s="763">
        <f>($R$166/$Q$2)*-1</f>
        <v>7.3501401313038672E-2</v>
      </c>
      <c r="V166" s="691"/>
    </row>
    <row r="167" spans="1:22" x14ac:dyDescent="0.25">
      <c r="A167" s="690"/>
      <c r="B167" s="760">
        <v>44804</v>
      </c>
      <c r="C167">
        <v>1438</v>
      </c>
      <c r="D167" s="1">
        <v>248884647.18396822</v>
      </c>
      <c r="E167" s="1">
        <v>0</v>
      </c>
      <c r="F167" s="761">
        <v>170716786.2863158</v>
      </c>
      <c r="G167" s="691">
        <v>797</v>
      </c>
      <c r="H167" s="1">
        <v>-223653054.40662512</v>
      </c>
      <c r="I167" s="1">
        <v>0</v>
      </c>
      <c r="J167" s="761">
        <v>-172553880.74457261</v>
      </c>
      <c r="K167" s="622">
        <v>396540</v>
      </c>
      <c r="L167" s="762">
        <f>$F$167+$J$167</f>
        <v>-1837094.4582568109</v>
      </c>
      <c r="M167" s="1">
        <f>MAX($L$3:$L$167)</f>
        <v>-1837094.4582568109</v>
      </c>
      <c r="N167" s="1">
        <f>$L$167-MAX(0,$M$167)</f>
        <v>-1837094.4582568109</v>
      </c>
      <c r="O167" s="763">
        <f>($N$167/$C$2)*-1</f>
        <v>9.1854722912840539E-2</v>
      </c>
      <c r="P167" s="764">
        <v>0.05</v>
      </c>
      <c r="Q167" s="1">
        <v>-3990066.1986494823</v>
      </c>
      <c r="R167" s="1">
        <v>-2152971.7403923338</v>
      </c>
      <c r="S167" s="1">
        <v>367183.40768956486</v>
      </c>
      <c r="T167" s="1">
        <v>2204277.8659467134</v>
      </c>
      <c r="U167" s="763">
        <f>($R$167/$Q$2)*-1</f>
        <v>7.1765724679744458E-2</v>
      </c>
      <c r="V167" s="691"/>
    </row>
    <row r="168" spans="1:22" x14ac:dyDescent="0.25">
      <c r="A168" s="690"/>
      <c r="B168" s="760">
        <v>44805</v>
      </c>
      <c r="C168">
        <v>1440</v>
      </c>
      <c r="D168" s="1">
        <v>248715588.89480719</v>
      </c>
      <c r="E168" s="1">
        <v>0</v>
      </c>
      <c r="F168" s="761">
        <v>171378248.2370587</v>
      </c>
      <c r="G168" s="691">
        <v>797</v>
      </c>
      <c r="H168" s="1">
        <v>-223651676.77569625</v>
      </c>
      <c r="I168" s="1">
        <v>0</v>
      </c>
      <c r="J168" s="761">
        <v>-173173741.74468359</v>
      </c>
      <c r="K168" s="622">
        <v>396540</v>
      </c>
      <c r="L168" s="762">
        <f>$F$168+$J$168</f>
        <v>-1795493.5076248944</v>
      </c>
      <c r="M168" s="1">
        <f>MAX($L$3:$L$168)</f>
        <v>-1795493.5076248944</v>
      </c>
      <c r="N168" s="1">
        <f>$L$168-MAX(0,$M$168)</f>
        <v>-1795493.5076248944</v>
      </c>
      <c r="O168" s="763">
        <f>($N$168/$C$2)*-1</f>
        <v>8.9774675381244715E-2</v>
      </c>
      <c r="P168" s="764">
        <v>0.05</v>
      </c>
      <c r="Q168" s="1">
        <v>-3894085.2828199537</v>
      </c>
      <c r="R168" s="1">
        <v>-2098591.7751949122</v>
      </c>
      <c r="S168" s="1">
        <v>293360.46336798882</v>
      </c>
      <c r="T168" s="1">
        <v>2088853.9709930306</v>
      </c>
      <c r="U168" s="763">
        <f>($R$168/$Q$2)*-1</f>
        <v>6.9953059173163745E-2</v>
      </c>
      <c r="V168" s="691"/>
    </row>
    <row r="169" spans="1:22" x14ac:dyDescent="0.25">
      <c r="A169" s="690"/>
      <c r="B169" s="760">
        <v>44806</v>
      </c>
      <c r="C169">
        <v>1445</v>
      </c>
      <c r="D169" s="1">
        <v>248097448.47916648</v>
      </c>
      <c r="E169" s="1">
        <v>0</v>
      </c>
      <c r="F169" s="761">
        <v>175046049.06251484</v>
      </c>
      <c r="G169" s="691">
        <v>798</v>
      </c>
      <c r="H169" s="1">
        <v>-223505912.18859553</v>
      </c>
      <c r="I169" s="1">
        <v>0</v>
      </c>
      <c r="J169" s="761">
        <v>-176263708.27506292</v>
      </c>
      <c r="K169" s="622">
        <v>396540</v>
      </c>
      <c r="L169" s="762">
        <f>$F$169+$J$169</f>
        <v>-1217659.2125480771</v>
      </c>
      <c r="M169" s="1">
        <f>MAX($L$3:$L$169)</f>
        <v>-1217659.2125480771</v>
      </c>
      <c r="N169" s="1">
        <f>$L$169-MAX(0,$M$169)</f>
        <v>-1217659.2125480771</v>
      </c>
      <c r="O169" s="763">
        <f>($N$169/$C$2)*-1</f>
        <v>6.0882960627403858E-2</v>
      </c>
      <c r="P169" s="764">
        <v>0.05</v>
      </c>
      <c r="Q169" s="1">
        <v>-2987588.4016957292</v>
      </c>
      <c r="R169" s="1">
        <v>-1769929.1891475469</v>
      </c>
      <c r="S169" s="1">
        <v>384857.0211776495</v>
      </c>
      <c r="T169" s="1">
        <v>1602516.2337258318</v>
      </c>
      <c r="U169" s="763">
        <f>($R$169/$Q$2)*-1</f>
        <v>5.899763963825156E-2</v>
      </c>
      <c r="V169" s="691"/>
    </row>
    <row r="170" spans="1:22" x14ac:dyDescent="0.25">
      <c r="A170" s="690"/>
      <c r="B170" s="760">
        <v>44809</v>
      </c>
      <c r="C170">
        <v>1445</v>
      </c>
      <c r="D170" s="1">
        <v>248096116.71916649</v>
      </c>
      <c r="E170" s="1">
        <v>0</v>
      </c>
      <c r="F170" s="761">
        <v>175825175.82468209</v>
      </c>
      <c r="G170" s="691">
        <v>798</v>
      </c>
      <c r="H170" s="1">
        <v>-223504580.42859554</v>
      </c>
      <c r="I170" s="1">
        <v>0</v>
      </c>
      <c r="J170" s="761">
        <v>-176953413.842823</v>
      </c>
      <c r="K170" s="622">
        <v>396540</v>
      </c>
      <c r="L170" s="762">
        <f>$F$170+$J$170</f>
        <v>-1128238.0181409121</v>
      </c>
      <c r="M170" s="1">
        <f>MAX($L$3:$L$170)</f>
        <v>-1128238.0181409121</v>
      </c>
      <c r="N170" s="1">
        <f>$L$170-MAX(0,$M$170)</f>
        <v>-1128238.0181409121</v>
      </c>
      <c r="O170" s="763">
        <f>($N$170/$C$2)*-1</f>
        <v>5.6411900907045606E-2</v>
      </c>
      <c r="P170" s="764">
        <v>0.05</v>
      </c>
      <c r="Q170" s="1">
        <v>-2878810.3586349241</v>
      </c>
      <c r="R170" s="1">
        <v>-1750572.3404939477</v>
      </c>
      <c r="S170" s="1">
        <v>421273.92488638684</v>
      </c>
      <c r="T170" s="1">
        <v>1549511.9430273632</v>
      </c>
      <c r="U170" s="763">
        <f>($R$170/$Q$2)*-1</f>
        <v>5.835241134979826E-2</v>
      </c>
      <c r="V170" s="691"/>
    </row>
    <row r="171" spans="1:22" x14ac:dyDescent="0.25">
      <c r="A171" s="690"/>
      <c r="B171" s="760">
        <v>44810</v>
      </c>
      <c r="C171">
        <v>1448</v>
      </c>
      <c r="D171" s="1">
        <v>248652698.31916648</v>
      </c>
      <c r="E171" s="1">
        <v>0</v>
      </c>
      <c r="F171" s="761">
        <v>177955484.92779493</v>
      </c>
      <c r="G171" s="691">
        <v>798</v>
      </c>
      <c r="H171" s="1">
        <v>-223517898.02859554</v>
      </c>
      <c r="I171" s="1">
        <v>0</v>
      </c>
      <c r="J171" s="761">
        <v>-178413901.14186296</v>
      </c>
      <c r="K171" s="622">
        <v>396540</v>
      </c>
      <c r="L171" s="762">
        <f>$F$171+$J$171</f>
        <v>-458416.21406802535</v>
      </c>
      <c r="M171" s="1">
        <f>MAX($L$3:$L$171)</f>
        <v>-458416.21406802535</v>
      </c>
      <c r="N171" s="1">
        <f>$L$171-MAX(0,$M$171)</f>
        <v>-458416.21406802535</v>
      </c>
      <c r="O171" s="763">
        <f>($N$171/$C$2)*-1</f>
        <v>2.2920810703401268E-2</v>
      </c>
      <c r="P171" s="764">
        <v>0.05</v>
      </c>
      <c r="Q171" s="1">
        <v>-2231115.5408034935</v>
      </c>
      <c r="R171" s="1">
        <v>-1772699.326735388</v>
      </c>
      <c r="S171" s="1">
        <v>988482.14960323833</v>
      </c>
      <c r="T171" s="1">
        <v>1446898.3636713438</v>
      </c>
      <c r="U171" s="763">
        <f>($R$171/$Q$2)*-1</f>
        <v>5.9089977557846264E-2</v>
      </c>
      <c r="V171" s="691"/>
    </row>
    <row r="172" spans="1:22" x14ac:dyDescent="0.25">
      <c r="A172" s="690"/>
      <c r="B172" s="760">
        <v>44812</v>
      </c>
      <c r="C172">
        <v>1451</v>
      </c>
      <c r="D172" s="1">
        <v>248445460.71916649</v>
      </c>
      <c r="E172" s="1">
        <v>0</v>
      </c>
      <c r="F172" s="761">
        <v>177350928.4277781</v>
      </c>
      <c r="G172" s="691">
        <v>798</v>
      </c>
      <c r="H172" s="1">
        <v>-223504580.42859554</v>
      </c>
      <c r="I172" s="1">
        <v>0</v>
      </c>
      <c r="J172" s="761">
        <v>-177841813.56234294</v>
      </c>
      <c r="K172" s="622">
        <v>396540</v>
      </c>
      <c r="L172" s="762">
        <f>$F$172+$J$172</f>
        <v>-490885.13456484675</v>
      </c>
      <c r="M172" s="1">
        <f>MAX($L$3:$L$172)</f>
        <v>-458416.21406802535</v>
      </c>
      <c r="N172" s="1">
        <f>$L$172-MAX(0,$M$172)</f>
        <v>-490885.13456484675</v>
      </c>
      <c r="O172" s="763">
        <f>($N$172/$C$2)*-1</f>
        <v>2.4544256728242338E-2</v>
      </c>
      <c r="P172" s="764">
        <v>0.05</v>
      </c>
      <c r="Q172" s="1">
        <v>-2423322.7328187074</v>
      </c>
      <c r="R172" s="1">
        <v>-1932437.5982537251</v>
      </c>
      <c r="S172" s="1">
        <v>1217427.9637581538</v>
      </c>
      <c r="T172" s="1">
        <v>1708313.0983231361</v>
      </c>
      <c r="U172" s="763">
        <f>($R$172/$Q$2)*-1</f>
        <v>6.4414586608457503E-2</v>
      </c>
      <c r="V172" s="691"/>
    </row>
    <row r="173" spans="1:22" x14ac:dyDescent="0.25">
      <c r="A173" s="690"/>
      <c r="B173" s="760">
        <v>44813</v>
      </c>
      <c r="C173">
        <v>1451</v>
      </c>
      <c r="D173" s="1">
        <v>248447536.47916648</v>
      </c>
      <c r="E173" s="1">
        <v>0</v>
      </c>
      <c r="F173" s="761">
        <v>177542868.04889873</v>
      </c>
      <c r="G173" s="691">
        <v>798</v>
      </c>
      <c r="H173" s="1">
        <v>-223505912.18859553</v>
      </c>
      <c r="I173" s="1">
        <v>0</v>
      </c>
      <c r="J173" s="761">
        <v>-177992302.3344627</v>
      </c>
      <c r="K173" s="622">
        <v>396540</v>
      </c>
      <c r="L173" s="762">
        <f>$F$173+$J$173</f>
        <v>-449434.28556397557</v>
      </c>
      <c r="M173" s="1">
        <f>MAX($L$3:$L$173)</f>
        <v>-449434.28556397557</v>
      </c>
      <c r="N173" s="1">
        <f>$L$173-MAX(0,$M$173)</f>
        <v>-449434.28556397557</v>
      </c>
      <c r="O173" s="763">
        <f>($N$173/$C$2)*-1</f>
        <v>2.247171427819878E-2</v>
      </c>
      <c r="P173" s="764">
        <v>0.05</v>
      </c>
      <c r="Q173" s="1">
        <v>-2368256.6965698618</v>
      </c>
      <c r="R173" s="1">
        <v>-1918822.4110057596</v>
      </c>
      <c r="S173" s="1">
        <v>1211308.8294416899</v>
      </c>
      <c r="T173" s="1">
        <v>1660743.1150057921</v>
      </c>
      <c r="U173" s="763">
        <f>($R$173/$Q$2)*-1</f>
        <v>6.396074703352532E-2</v>
      </c>
      <c r="V173" s="691"/>
    </row>
    <row r="174" spans="1:22" x14ac:dyDescent="0.25">
      <c r="A174" s="690"/>
      <c r="B174" s="760">
        <v>44816</v>
      </c>
      <c r="C174">
        <v>1451</v>
      </c>
      <c r="D174" s="1">
        <v>248447536.47916648</v>
      </c>
      <c r="E174" s="1">
        <v>0</v>
      </c>
      <c r="F174" s="761">
        <v>176073236.90954593</v>
      </c>
      <c r="G174" s="691">
        <v>798</v>
      </c>
      <c r="H174" s="1">
        <v>-223505912.18859553</v>
      </c>
      <c r="I174" s="1">
        <v>0</v>
      </c>
      <c r="J174" s="761">
        <v>-176725174.87458286</v>
      </c>
      <c r="K174" s="622">
        <v>731340</v>
      </c>
      <c r="L174" s="762">
        <f>$F$174+$J$174</f>
        <v>-651937.96503692865</v>
      </c>
      <c r="M174" s="1">
        <f>MAX($L$3:$L$174)</f>
        <v>-449434.28556397557</v>
      </c>
      <c r="N174" s="1">
        <f>$L$174-MAX(0,$M$174)</f>
        <v>-651937.96503692865</v>
      </c>
      <c r="O174" s="763">
        <f>($N$174/$C$2)*-1</f>
        <v>3.2596898251846432E-2</v>
      </c>
      <c r="P174" s="764">
        <v>0.05</v>
      </c>
      <c r="Q174" s="1">
        <v>-5035572.8892562799</v>
      </c>
      <c r="R174" s="1">
        <v>-4383634.9242192935</v>
      </c>
      <c r="S174" s="1">
        <v>3459317.6951410249</v>
      </c>
      <c r="T174" s="1">
        <v>4111255.6601780113</v>
      </c>
      <c r="U174" s="763">
        <f>($R$174/$Q$2)*-1</f>
        <v>0.14612116414064311</v>
      </c>
      <c r="V174" s="691"/>
    </row>
    <row r="175" spans="1:22" x14ac:dyDescent="0.25">
      <c r="A175" s="690"/>
      <c r="B175" s="760">
        <v>44817</v>
      </c>
      <c r="C175">
        <v>1451</v>
      </c>
      <c r="D175" s="1">
        <v>248447536.47916648</v>
      </c>
      <c r="E175" s="1">
        <v>0</v>
      </c>
      <c r="F175" s="761">
        <v>176710639.26825798</v>
      </c>
      <c r="G175" s="691">
        <v>798</v>
      </c>
      <c r="H175" s="1">
        <v>-223505912.18859553</v>
      </c>
      <c r="I175" s="1">
        <v>0</v>
      </c>
      <c r="J175" s="761">
        <v>-177323346.55410287</v>
      </c>
      <c r="K175" s="622">
        <v>731340</v>
      </c>
      <c r="L175" s="762">
        <f>$F$175+$J$175</f>
        <v>-612707.28584489226</v>
      </c>
      <c r="M175" s="1">
        <f>MAX($L$3:$L$175)</f>
        <v>-449434.28556397557</v>
      </c>
      <c r="N175" s="1">
        <f>$L$175-MAX(0,$M$175)</f>
        <v>-612707.28584489226</v>
      </c>
      <c r="O175" s="763">
        <f>($N$175/$C$2)*-1</f>
        <v>3.0635364292244612E-2</v>
      </c>
      <c r="P175" s="764">
        <v>0.05</v>
      </c>
      <c r="Q175" s="1">
        <v>-4953843.4182106555</v>
      </c>
      <c r="R175" s="1">
        <v>-4341136.1323656738</v>
      </c>
      <c r="S175" s="1">
        <v>3368689.1981648924</v>
      </c>
      <c r="T175" s="1">
        <v>3981396.4840098745</v>
      </c>
      <c r="U175" s="763">
        <f>($R$175/$Q$2)*-1</f>
        <v>0.14470453774552247</v>
      </c>
      <c r="V175" s="691"/>
    </row>
    <row r="176" spans="1:22" x14ac:dyDescent="0.25">
      <c r="A176" s="690"/>
      <c r="B176" s="760">
        <v>44818</v>
      </c>
      <c r="C176">
        <v>1453</v>
      </c>
      <c r="D176" s="1">
        <v>250803376.47916648</v>
      </c>
      <c r="E176" s="1">
        <v>0</v>
      </c>
      <c r="F176" s="761">
        <v>176104903.27048993</v>
      </c>
      <c r="G176" s="691">
        <v>798</v>
      </c>
      <c r="H176" s="1">
        <v>-223505912.18859553</v>
      </c>
      <c r="I176" s="1">
        <v>0</v>
      </c>
      <c r="J176" s="761">
        <v>-176811877.15482289</v>
      </c>
      <c r="K176" s="622">
        <v>731340</v>
      </c>
      <c r="L176" s="762">
        <f>$F$176+$J$176</f>
        <v>-706973.88433295488</v>
      </c>
      <c r="M176" s="1">
        <f>MAX($L$3:$L$176)</f>
        <v>-449434.28556397557</v>
      </c>
      <c r="N176" s="1">
        <f>$L$176-MAX(0,$M$176)</f>
        <v>-706973.88433295488</v>
      </c>
      <c r="O176" s="763">
        <f>($N$176/$C$2)*-1</f>
        <v>3.5348694216647741E-2</v>
      </c>
      <c r="P176" s="764">
        <v>0.05</v>
      </c>
      <c r="Q176" s="1">
        <v>-5751398.877428161</v>
      </c>
      <c r="R176" s="1">
        <v>-5044424.9930951726</v>
      </c>
      <c r="S176" s="1">
        <v>4094835.4010901572</v>
      </c>
      <c r="T176" s="1">
        <v>4801809.2854231456</v>
      </c>
      <c r="U176" s="763">
        <f>($R$176/$Q$2)*-1</f>
        <v>0.16814749976983909</v>
      </c>
      <c r="V176" s="691"/>
    </row>
    <row r="177" spans="1:22" x14ac:dyDescent="0.25">
      <c r="A177" s="690"/>
      <c r="B177" s="760">
        <v>44819</v>
      </c>
      <c r="C177">
        <v>1459</v>
      </c>
      <c r="D177" s="1">
        <v>250345864.34729975</v>
      </c>
      <c r="E177" s="1">
        <v>0</v>
      </c>
      <c r="F177" s="761">
        <v>178839479.13788727</v>
      </c>
      <c r="G177" s="691">
        <v>798</v>
      </c>
      <c r="H177" s="1">
        <v>-223648154.31335747</v>
      </c>
      <c r="I177" s="1">
        <v>0</v>
      </c>
      <c r="J177" s="761">
        <v>-178959516.91778484</v>
      </c>
      <c r="K177" s="622">
        <v>731340</v>
      </c>
      <c r="L177" s="762">
        <f>$F$177+$J$177</f>
        <v>-120037.77989757061</v>
      </c>
      <c r="M177" s="1">
        <f>MAX($L$3:$L$177)</f>
        <v>-120037.77989757061</v>
      </c>
      <c r="N177" s="1">
        <f>$L$177-MAX(0,$M$177)</f>
        <v>-120037.77989757061</v>
      </c>
      <c r="O177" s="763">
        <f>($N$177/$C$2)*-1</f>
        <v>6.0018889948785306E-3</v>
      </c>
      <c r="P177" s="764">
        <v>0.05</v>
      </c>
      <c r="Q177" s="1">
        <v>-4760071.7509945072</v>
      </c>
      <c r="R177" s="1">
        <v>-4640033.9710966498</v>
      </c>
      <c r="S177" s="1">
        <v>4100404.52091417</v>
      </c>
      <c r="T177" s="1">
        <v>4220442.3008120265</v>
      </c>
      <c r="U177" s="763">
        <f>($R$177/$Q$2)*-1</f>
        <v>0.154667799036555</v>
      </c>
      <c r="V177" s="691"/>
    </row>
    <row r="178" spans="1:22" x14ac:dyDescent="0.25">
      <c r="A178" s="690"/>
      <c r="B178" s="760">
        <v>44820</v>
      </c>
      <c r="C178">
        <v>1467</v>
      </c>
      <c r="D178" s="1">
        <v>251308144.34729975</v>
      </c>
      <c r="E178" s="1">
        <v>0</v>
      </c>
      <c r="F178" s="761">
        <v>180045525.07769769</v>
      </c>
      <c r="G178" s="691">
        <v>798</v>
      </c>
      <c r="H178" s="1">
        <v>-223648154.31335747</v>
      </c>
      <c r="I178" s="1">
        <v>0</v>
      </c>
      <c r="J178" s="761">
        <v>-180017761.69670486</v>
      </c>
      <c r="K178" s="622">
        <v>731340</v>
      </c>
      <c r="L178" s="762">
        <f>$F$178+$J$178</f>
        <v>27763.3809928298</v>
      </c>
      <c r="M178" s="1">
        <f>MAX($L$3:$L$178)</f>
        <v>27763.3809928298</v>
      </c>
      <c r="N178" s="1">
        <f>$L$178-MAX(0,$M$178)</f>
        <v>0</v>
      </c>
      <c r="O178" s="763">
        <f>($N$178/$C$2)*-1</f>
        <v>0</v>
      </c>
      <c r="P178" s="764">
        <v>0.05</v>
      </c>
      <c r="Q178" s="1">
        <v>-4829658.0813534353</v>
      </c>
      <c r="R178" s="1">
        <v>-4857421.4623460565</v>
      </c>
      <c r="S178" s="1">
        <v>4424558.8149688281</v>
      </c>
      <c r="T178" s="1">
        <v>4396795.4339762069</v>
      </c>
      <c r="U178" s="763">
        <f>($R$178/$Q$2)*-1</f>
        <v>0.16191404874486856</v>
      </c>
      <c r="V178" s="691"/>
    </row>
    <row r="179" spans="1:22" x14ac:dyDescent="0.25">
      <c r="A179" s="690"/>
      <c r="B179" s="760">
        <v>44823</v>
      </c>
      <c r="C179">
        <v>1467</v>
      </c>
      <c r="D179" s="1">
        <v>251308144.34729975</v>
      </c>
      <c r="E179" s="1">
        <v>0</v>
      </c>
      <c r="F179" s="761">
        <v>179530393.13711116</v>
      </c>
      <c r="G179" s="691">
        <v>798</v>
      </c>
      <c r="H179" s="1">
        <v>-223648154.31335747</v>
      </c>
      <c r="I179" s="1">
        <v>0</v>
      </c>
      <c r="J179" s="761">
        <v>-179820394.27766478</v>
      </c>
      <c r="K179" s="622">
        <v>731340</v>
      </c>
      <c r="L179" s="762">
        <f>$F$179+$J$179</f>
        <v>-290001.14055362344</v>
      </c>
      <c r="M179" s="1">
        <f>MAX($L$3:$L$179)</f>
        <v>27763.3809928298</v>
      </c>
      <c r="N179" s="1">
        <f>$L$179-MAX(0,$M$179)</f>
        <v>-317764.52154645324</v>
      </c>
      <c r="O179" s="763">
        <f>($N$179/$C$2)*-1</f>
        <v>1.5888226077322661E-2</v>
      </c>
      <c r="P179" s="764">
        <v>0.05</v>
      </c>
      <c r="Q179" s="1">
        <v>-5253092.4998606537</v>
      </c>
      <c r="R179" s="1">
        <v>-4963091.3593067974</v>
      </c>
      <c r="S179" s="1">
        <v>4237848.0673630647</v>
      </c>
      <c r="T179" s="1">
        <v>4527849.207916921</v>
      </c>
      <c r="U179" s="763">
        <f>($R$179/$Q$2)*-1</f>
        <v>0.16543637864355992</v>
      </c>
      <c r="V179" s="691"/>
    </row>
    <row r="180" spans="1:22" x14ac:dyDescent="0.25">
      <c r="A180" s="690"/>
      <c r="B180" s="760">
        <v>44824</v>
      </c>
      <c r="C180">
        <v>1476</v>
      </c>
      <c r="D180" s="1">
        <v>254213680.34729975</v>
      </c>
      <c r="E180" s="1">
        <v>0</v>
      </c>
      <c r="F180" s="761">
        <v>183062091.73871112</v>
      </c>
      <c r="G180" s="691">
        <v>798</v>
      </c>
      <c r="H180" s="1">
        <v>-223648154.31335747</v>
      </c>
      <c r="I180" s="1">
        <v>0</v>
      </c>
      <c r="J180" s="761">
        <v>-182356094.83514476</v>
      </c>
      <c r="K180" s="622">
        <v>731340</v>
      </c>
      <c r="L180" s="762">
        <f>$F$180+$J$180</f>
        <v>705996.90356636047</v>
      </c>
      <c r="M180" s="1">
        <f>MAX($L$3:$L$180)</f>
        <v>705996.90356636047</v>
      </c>
      <c r="N180" s="1">
        <f>$L$180-MAX(0,$M$180)</f>
        <v>0</v>
      </c>
      <c r="O180" s="763">
        <f>($N$180/$C$2)*-1</f>
        <v>0</v>
      </c>
      <c r="P180" s="764">
        <v>0.05</v>
      </c>
      <c r="Q180" s="1">
        <v>-4754290.2662101192</v>
      </c>
      <c r="R180" s="1">
        <v>-5460287.1697762646</v>
      </c>
      <c r="S180" s="1">
        <v>5696821.6918535884</v>
      </c>
      <c r="T180" s="1">
        <v>4990824.7882874431</v>
      </c>
      <c r="U180" s="763">
        <f>($R$180/$Q$2)*-1</f>
        <v>0.18200957232587547</v>
      </c>
      <c r="V180" s="691"/>
    </row>
    <row r="181" spans="1:22" x14ac:dyDescent="0.25">
      <c r="A181" s="690"/>
      <c r="B181" s="760">
        <v>44825</v>
      </c>
      <c r="C181">
        <v>1476</v>
      </c>
      <c r="D181" s="1">
        <v>254213680.34729975</v>
      </c>
      <c r="E181" s="1">
        <v>0</v>
      </c>
      <c r="F181" s="761">
        <v>184861733.14571118</v>
      </c>
      <c r="G181" s="691">
        <v>798</v>
      </c>
      <c r="H181" s="1">
        <v>-223648154.31335747</v>
      </c>
      <c r="I181" s="1">
        <v>0</v>
      </c>
      <c r="J181" s="761">
        <v>-183325041.55514479</v>
      </c>
      <c r="K181" s="622">
        <v>731340</v>
      </c>
      <c r="L181" s="762">
        <f>$F$181+$J$181</f>
        <v>1536691.5905663967</v>
      </c>
      <c r="M181" s="1">
        <f>MAX($L$3:$L$181)</f>
        <v>1536691.5905663967</v>
      </c>
      <c r="N181" s="1">
        <f>$L$181-MAX(0,$M$181)</f>
        <v>0</v>
      </c>
      <c r="O181" s="763">
        <f>($N$181/$C$2)*-1</f>
        <v>0</v>
      </c>
      <c r="P181" s="764">
        <v>0.05</v>
      </c>
      <c r="Q181" s="1">
        <v>-3779364.5538835763</v>
      </c>
      <c r="R181" s="1">
        <v>-5316056.1444497239</v>
      </c>
      <c r="S181" s="1">
        <v>6372161.4516360573</v>
      </c>
      <c r="T181" s="1">
        <v>4835469.8610699093</v>
      </c>
      <c r="U181" s="763">
        <f>($R$181/$Q$2)*-1</f>
        <v>0.17720187148165747</v>
      </c>
      <c r="V181" s="691"/>
    </row>
    <row r="182" spans="1:22" x14ac:dyDescent="0.25">
      <c r="A182" s="690"/>
      <c r="B182" s="760">
        <v>44826</v>
      </c>
      <c r="C182">
        <v>1476</v>
      </c>
      <c r="D182" s="1">
        <v>254213680.34729975</v>
      </c>
      <c r="E182" s="1">
        <v>0</v>
      </c>
      <c r="F182" s="761">
        <v>184388264.74671912</v>
      </c>
      <c r="G182" s="691">
        <v>798</v>
      </c>
      <c r="H182" s="1">
        <v>-223648154.31335747</v>
      </c>
      <c r="I182" s="1">
        <v>0</v>
      </c>
      <c r="J182" s="761">
        <v>-182938592.59526476</v>
      </c>
      <c r="K182" s="622">
        <v>731340</v>
      </c>
      <c r="L182" s="762">
        <f>$F$182+$J$182</f>
        <v>1449672.1514543593</v>
      </c>
      <c r="M182" s="1">
        <f>MAX($L$3:$L$182)</f>
        <v>1536691.5905663967</v>
      </c>
      <c r="N182" s="1">
        <f>$L$182-MAX(0,$M$182)</f>
        <v>-87019.43911203742</v>
      </c>
      <c r="O182" s="763">
        <f>($N$182/$C$2)*-1</f>
        <v>4.3509719556018714E-3</v>
      </c>
      <c r="P182" s="764">
        <v>0.05</v>
      </c>
      <c r="Q182" s="1">
        <v>-3873338.1434845952</v>
      </c>
      <c r="R182" s="1">
        <v>-5323010.2949387347</v>
      </c>
      <c r="S182" s="1">
        <v>6328365.4764023498</v>
      </c>
      <c r="T182" s="1">
        <v>4878693.3249482103</v>
      </c>
      <c r="U182" s="763">
        <f>($R$182/$Q$2)*-1</f>
        <v>0.17743367649795783</v>
      </c>
      <c r="V182" s="691"/>
    </row>
    <row r="183" spans="1:22" x14ac:dyDescent="0.25">
      <c r="A183" s="690"/>
      <c r="B183" s="760">
        <v>44827</v>
      </c>
      <c r="C183">
        <v>1482</v>
      </c>
      <c r="D183" s="1">
        <v>253955596.34729975</v>
      </c>
      <c r="E183" s="1">
        <v>0</v>
      </c>
      <c r="F183" s="761">
        <v>184869260.16691065</v>
      </c>
      <c r="G183" s="691">
        <v>798</v>
      </c>
      <c r="H183" s="1">
        <v>-223648154.31335747</v>
      </c>
      <c r="I183" s="1">
        <v>0</v>
      </c>
      <c r="J183" s="761">
        <v>-182986025.72684002</v>
      </c>
      <c r="K183" s="622">
        <v>731340</v>
      </c>
      <c r="L183" s="762">
        <f>$F$183+$J$183</f>
        <v>1883234.4400706291</v>
      </c>
      <c r="M183" s="1">
        <f>MAX($L$3:$L$183)</f>
        <v>1883234.4400706291</v>
      </c>
      <c r="N183" s="1">
        <f>$L$183-MAX(0,$M$183)</f>
        <v>0</v>
      </c>
      <c r="O183" s="763">
        <f>($N$183/$C$2)*-1</f>
        <v>0</v>
      </c>
      <c r="P183" s="764">
        <v>0.05</v>
      </c>
      <c r="Q183" s="1">
        <v>-3192122.3247660045</v>
      </c>
      <c r="R183" s="1">
        <v>-5075356.7648363849</v>
      </c>
      <c r="S183" s="1">
        <v>6561215.6522329338</v>
      </c>
      <c r="T183" s="1">
        <v>4677981.2121625533</v>
      </c>
      <c r="U183" s="763">
        <f>($R$183/$Q$2)*-1</f>
        <v>0.16917855882787949</v>
      </c>
      <c r="V183" s="691"/>
    </row>
    <row r="184" spans="1:22" x14ac:dyDescent="0.25">
      <c r="A184" s="690"/>
      <c r="B184" s="760">
        <v>44830</v>
      </c>
      <c r="C184">
        <v>1487</v>
      </c>
      <c r="D184" s="1">
        <v>255244360.34729975</v>
      </c>
      <c r="E184" s="1">
        <v>0</v>
      </c>
      <c r="F184" s="761">
        <v>185936995.14786327</v>
      </c>
      <c r="G184" s="691">
        <v>798</v>
      </c>
      <c r="H184" s="1">
        <v>-223648154.31335747</v>
      </c>
      <c r="I184" s="1">
        <v>0</v>
      </c>
      <c r="J184" s="761">
        <v>-183686330.59454489</v>
      </c>
      <c r="K184" s="622">
        <v>731340</v>
      </c>
      <c r="L184" s="762">
        <f>$F$184+$J$184</f>
        <v>2250664.5533183813</v>
      </c>
      <c r="M184" s="1">
        <f>MAX($L$3:$L$184)</f>
        <v>2250664.5533183813</v>
      </c>
      <c r="N184" s="1">
        <f>$L$184-MAX(0,$M$184)</f>
        <v>0</v>
      </c>
      <c r="O184" s="763">
        <f>($N$184/$C$2)*-1</f>
        <v>0</v>
      </c>
      <c r="P184" s="764">
        <v>0.05</v>
      </c>
      <c r="Q184" s="1">
        <v>-3095256.5084519796</v>
      </c>
      <c r="R184" s="1">
        <v>-5345921.061770116</v>
      </c>
      <c r="S184" s="1">
        <v>7163374.3489847444</v>
      </c>
      <c r="T184" s="1">
        <v>4912709.795666608</v>
      </c>
      <c r="U184" s="763">
        <f>($R$184/$Q$2)*-1</f>
        <v>0.17819736872567055</v>
      </c>
      <c r="V184" s="691"/>
    </row>
    <row r="185" spans="1:22" x14ac:dyDescent="0.25">
      <c r="A185" s="690"/>
      <c r="B185" s="760">
        <v>44831</v>
      </c>
      <c r="C185">
        <v>1487</v>
      </c>
      <c r="D185" s="1">
        <v>255244360.34729975</v>
      </c>
      <c r="E185" s="1">
        <v>0</v>
      </c>
      <c r="F185" s="761">
        <v>187030439.05357546</v>
      </c>
      <c r="G185" s="691">
        <v>798</v>
      </c>
      <c r="H185" s="1">
        <v>-223648154.31335747</v>
      </c>
      <c r="I185" s="1">
        <v>0</v>
      </c>
      <c r="J185" s="761">
        <v>-184883564.63534504</v>
      </c>
      <c r="K185" s="622">
        <v>731340</v>
      </c>
      <c r="L185" s="762">
        <f>$F$185+$J$185</f>
        <v>2146874.4182304144</v>
      </c>
      <c r="M185" s="1">
        <f>MAX($L$3:$L$185)</f>
        <v>2250664.5533183813</v>
      </c>
      <c r="N185" s="1">
        <f>$L$185-MAX(0,$M$185)</f>
        <v>-103790.13508796692</v>
      </c>
      <c r="O185" s="763">
        <f>($N$185/$C$2)*-1</f>
        <v>5.1895067543983459E-3</v>
      </c>
      <c r="P185" s="764">
        <v>0.05</v>
      </c>
      <c r="Q185" s="1">
        <v>-3225595.3668232253</v>
      </c>
      <c r="R185" s="1">
        <v>-5372469.7850533621</v>
      </c>
      <c r="S185" s="1">
        <v>7067239.3622981235</v>
      </c>
      <c r="T185" s="1">
        <v>4920364.9440679867</v>
      </c>
      <c r="U185" s="763">
        <f>($R$185/$Q$2)*-1</f>
        <v>0.17908232616844541</v>
      </c>
      <c r="V185" s="691"/>
    </row>
    <row r="186" spans="1:22" x14ac:dyDescent="0.25">
      <c r="A186" s="690"/>
      <c r="B186" s="760">
        <v>44832</v>
      </c>
      <c r="C186">
        <v>1487</v>
      </c>
      <c r="D186" s="1">
        <v>255244360.34729975</v>
      </c>
      <c r="E186" s="1">
        <v>0</v>
      </c>
      <c r="F186" s="761">
        <v>187570383.35173526</v>
      </c>
      <c r="G186" s="691">
        <v>798</v>
      </c>
      <c r="H186" s="1">
        <v>-223648154.31335747</v>
      </c>
      <c r="I186" s="1">
        <v>0</v>
      </c>
      <c r="J186" s="761">
        <v>-185008042.63454491</v>
      </c>
      <c r="K186" s="622">
        <v>731340</v>
      </c>
      <c r="L186" s="762">
        <f>$F$186+$J$186</f>
        <v>2562340.7171903551</v>
      </c>
      <c r="M186" s="1">
        <f>MAX($L$3:$L$186)</f>
        <v>2562340.7171903551</v>
      </c>
      <c r="N186" s="1">
        <f>$L$186-MAX(0,$M$186)</f>
        <v>0</v>
      </c>
      <c r="O186" s="763">
        <f>($N$186/$C$2)*-1</f>
        <v>0</v>
      </c>
      <c r="P186" s="764">
        <v>0.05</v>
      </c>
      <c r="Q186" s="1">
        <v>-2709933.584552458</v>
      </c>
      <c r="R186" s="1">
        <v>-5272274.3017425984</v>
      </c>
      <c r="S186" s="1">
        <v>7367223.9959347229</v>
      </c>
      <c r="T186" s="1">
        <v>4804883.278744583</v>
      </c>
      <c r="U186" s="763">
        <f>($R$186/$Q$2)*-1</f>
        <v>0.17574247672475329</v>
      </c>
      <c r="V186" s="691"/>
    </row>
    <row r="187" spans="1:22" x14ac:dyDescent="0.25">
      <c r="A187" s="690"/>
      <c r="B187" s="760">
        <v>44833</v>
      </c>
      <c r="C187">
        <v>1487</v>
      </c>
      <c r="D187" s="1">
        <v>255244360.34729975</v>
      </c>
      <c r="E187" s="1">
        <v>0</v>
      </c>
      <c r="F187" s="761">
        <v>189140280.51671115</v>
      </c>
      <c r="G187" s="691">
        <v>798</v>
      </c>
      <c r="H187" s="1">
        <v>-223648154.31335747</v>
      </c>
      <c r="I187" s="1">
        <v>0</v>
      </c>
      <c r="J187" s="761">
        <v>-185676932.2343049</v>
      </c>
      <c r="K187" s="622">
        <v>731340</v>
      </c>
      <c r="L187" s="762">
        <f>$F$187+$J$187</f>
        <v>3463348.2824062407</v>
      </c>
      <c r="M187" s="1">
        <f>MAX($L$3:$L$187)</f>
        <v>3463348.2824062407</v>
      </c>
      <c r="N187" s="1">
        <f>$L$187-MAX(0,$M$187)</f>
        <v>0</v>
      </c>
      <c r="O187" s="763">
        <f>($N$187/$C$2)*-1</f>
        <v>0</v>
      </c>
      <c r="P187" s="764">
        <v>0.05</v>
      </c>
      <c r="Q187" s="1">
        <v>-1605148.0382255507</v>
      </c>
      <c r="R187" s="1">
        <v>-5068496.320631694</v>
      </c>
      <c r="S187" s="1">
        <v>8025464.120356515</v>
      </c>
      <c r="T187" s="1">
        <v>4562115.8379503721</v>
      </c>
      <c r="U187" s="763">
        <f>($R$187/$Q$2)*-1</f>
        <v>0.16894987735438979</v>
      </c>
      <c r="V187" s="691"/>
    </row>
    <row r="188" spans="1:22" x14ac:dyDescent="0.25">
      <c r="A188" s="690"/>
      <c r="B188" s="760">
        <v>44834</v>
      </c>
      <c r="C188">
        <v>1488</v>
      </c>
      <c r="D188" s="1">
        <v>255475000.34729975</v>
      </c>
      <c r="E188" s="1">
        <v>0</v>
      </c>
      <c r="F188" s="761">
        <v>189067208.83951175</v>
      </c>
      <c r="G188" s="691">
        <v>798</v>
      </c>
      <c r="H188" s="1">
        <v>-223648154.31335747</v>
      </c>
      <c r="I188" s="1">
        <v>0</v>
      </c>
      <c r="J188" s="761">
        <v>-185532659.95526487</v>
      </c>
      <c r="K188" s="622">
        <v>731340</v>
      </c>
      <c r="L188" s="762">
        <f>$F$188+$J$188</f>
        <v>3534548.8842468858</v>
      </c>
      <c r="M188" s="1">
        <f>MAX($L$3:$L$188)</f>
        <v>3534548.8842468858</v>
      </c>
      <c r="N188" s="1">
        <f>$L$188-MAX(0,$M$188)</f>
        <v>0</v>
      </c>
      <c r="O188" s="763">
        <f>($N$188/$C$2)*-1</f>
        <v>0</v>
      </c>
      <c r="P188" s="764">
        <v>0.05</v>
      </c>
      <c r="Q188" s="1">
        <v>-1598182.9305147543</v>
      </c>
      <c r="R188" s="1">
        <v>-5132731.8147615325</v>
      </c>
      <c r="S188" s="1">
        <v>8117964.1703799237</v>
      </c>
      <c r="T188" s="1">
        <v>4583415.2861331459</v>
      </c>
      <c r="U188" s="763">
        <f>($R$188/$Q$2)*-1</f>
        <v>0.17109106049205108</v>
      </c>
      <c r="V188" s="691"/>
    </row>
    <row r="189" spans="1:22" x14ac:dyDescent="0.25">
      <c r="A189" s="690"/>
      <c r="B189" s="760">
        <v>44837</v>
      </c>
      <c r="C189">
        <v>1488</v>
      </c>
      <c r="D189" s="1">
        <v>255391114.78113341</v>
      </c>
      <c r="E189" s="1">
        <v>0</v>
      </c>
      <c r="F189" s="761">
        <v>189327612.03469104</v>
      </c>
      <c r="G189" s="691">
        <v>798</v>
      </c>
      <c r="H189" s="1">
        <v>-223504158.30974832</v>
      </c>
      <c r="I189" s="1">
        <v>0</v>
      </c>
      <c r="J189" s="761">
        <v>-185503313.51165569</v>
      </c>
      <c r="K189" s="622">
        <v>731340</v>
      </c>
      <c r="L189" s="762">
        <f>$F$189+$J$189</f>
        <v>3824298.5230353475</v>
      </c>
      <c r="M189" s="1">
        <f>MAX($L$3:$L$189)</f>
        <v>3824298.5230353475</v>
      </c>
      <c r="N189" s="1">
        <f>$L$189-MAX(0,$M$189)</f>
        <v>0</v>
      </c>
      <c r="O189" s="763">
        <f>($N$189/$C$2)*-1</f>
        <v>0</v>
      </c>
      <c r="P189" s="764">
        <v>0.05</v>
      </c>
      <c r="Q189" s="1">
        <v>-1223518.8579295082</v>
      </c>
      <c r="R189" s="1">
        <v>-5047817.3809648771</v>
      </c>
      <c r="S189" s="1">
        <v>8255968.4519599918</v>
      </c>
      <c r="T189" s="1">
        <v>4431669.9289246229</v>
      </c>
      <c r="U189" s="763">
        <f>($R$189/$Q$2)*-1</f>
        <v>0.1682605793654959</v>
      </c>
      <c r="V189" s="691"/>
    </row>
    <row r="190" spans="1:22" x14ac:dyDescent="0.25">
      <c r="A190" s="690"/>
      <c r="B190" s="760">
        <v>44838</v>
      </c>
      <c r="C190">
        <v>1489</v>
      </c>
      <c r="D190" s="1">
        <v>255351046.78113341</v>
      </c>
      <c r="E190" s="1">
        <v>0</v>
      </c>
      <c r="F190" s="761">
        <v>190055085.39380479</v>
      </c>
      <c r="G190" s="691">
        <v>798</v>
      </c>
      <c r="H190" s="1">
        <v>-223504158.30974832</v>
      </c>
      <c r="I190" s="1">
        <v>0</v>
      </c>
      <c r="J190" s="761">
        <v>-186003009.59045562</v>
      </c>
      <c r="K190" s="622">
        <v>731340</v>
      </c>
      <c r="L190" s="762">
        <f>$F$190+$J$190</f>
        <v>4052075.8033491671</v>
      </c>
      <c r="M190" s="1">
        <f>MAX($L$3:$L$190)</f>
        <v>4052075.8033491671</v>
      </c>
      <c r="N190" s="1">
        <f>$L$190-MAX(0,$M$190)</f>
        <v>0</v>
      </c>
      <c r="O190" s="763">
        <f>($N$190/$C$2)*-1</f>
        <v>0</v>
      </c>
      <c r="P190" s="764">
        <v>0.05</v>
      </c>
      <c r="Q190" s="1">
        <v>-971367.35475237155</v>
      </c>
      <c r="R190" s="1">
        <v>-5023443.1581016742</v>
      </c>
      <c r="S190" s="1">
        <v>8452796.8665019479</v>
      </c>
      <c r="T190" s="1">
        <v>4400721.0631526457</v>
      </c>
      <c r="U190" s="763">
        <f>($R$190/$Q$2)*-1</f>
        <v>0.1674481052700558</v>
      </c>
      <c r="V190" s="691"/>
    </row>
    <row r="191" spans="1:22" x14ac:dyDescent="0.25">
      <c r="A191" s="690"/>
      <c r="B191" s="760">
        <v>44839</v>
      </c>
      <c r="C191">
        <v>1490</v>
      </c>
      <c r="D191" s="1">
        <v>255149806.78113341</v>
      </c>
      <c r="E191" s="1">
        <v>0</v>
      </c>
      <c r="F191" s="761">
        <v>190271734.69334486</v>
      </c>
      <c r="G191" s="691">
        <v>798</v>
      </c>
      <c r="H191" s="1">
        <v>-223504158.30974832</v>
      </c>
      <c r="I191" s="1">
        <v>0</v>
      </c>
      <c r="J191" s="761">
        <v>-186115761.65045565</v>
      </c>
      <c r="K191" s="622">
        <v>731340</v>
      </c>
      <c r="L191" s="762">
        <f>$F$191+$J$191</f>
        <v>4155973.0428892076</v>
      </c>
      <c r="M191" s="1">
        <f>MAX($L$3:$L$191)</f>
        <v>4155973.0428892076</v>
      </c>
      <c r="N191" s="1">
        <f>$L$191-MAX(0,$M$191)</f>
        <v>0</v>
      </c>
      <c r="O191" s="763">
        <f>($N$191/$C$2)*-1</f>
        <v>0</v>
      </c>
      <c r="P191" s="764">
        <v>0.05</v>
      </c>
      <c r="Q191" s="1">
        <v>-854345.61799020972</v>
      </c>
      <c r="R191" s="1">
        <v>-5010318.6608795151</v>
      </c>
      <c r="S191" s="1">
        <v>8525186.7326478083</v>
      </c>
      <c r="T191" s="1">
        <v>4369213.6897585029</v>
      </c>
      <c r="U191" s="763">
        <f>($R$191/$Q$2)*-1</f>
        <v>0.16701062202931716</v>
      </c>
      <c r="V191" s="691"/>
    </row>
    <row r="192" spans="1:22" x14ac:dyDescent="0.25">
      <c r="A192" s="690"/>
      <c r="B192" s="760">
        <v>44840</v>
      </c>
      <c r="C192">
        <v>1490</v>
      </c>
      <c r="D192" s="1">
        <v>255149806.78113341</v>
      </c>
      <c r="E192" s="1">
        <v>0</v>
      </c>
      <c r="F192" s="761">
        <v>191796230.79703283</v>
      </c>
      <c r="G192" s="691">
        <v>798</v>
      </c>
      <c r="H192" s="1">
        <v>-223504158.30974832</v>
      </c>
      <c r="I192" s="1">
        <v>0</v>
      </c>
      <c r="J192" s="761">
        <v>-186967595.87045559</v>
      </c>
      <c r="K192" s="622">
        <v>731340</v>
      </c>
      <c r="L192" s="762">
        <f>$F$192+$J$192</f>
        <v>4828634.9265772402</v>
      </c>
      <c r="M192" s="1">
        <f>MAX($L$3:$L$192)</f>
        <v>4828634.9265772402</v>
      </c>
      <c r="N192" s="1">
        <f>$L$192-MAX(0,$M$192)</f>
        <v>0</v>
      </c>
      <c r="O192" s="763">
        <f>($N$192/$C$2)*-1</f>
        <v>0</v>
      </c>
      <c r="P192" s="764">
        <v>0.05</v>
      </c>
      <c r="Q192" s="1">
        <v>-46042.890028460883</v>
      </c>
      <c r="R192" s="1">
        <v>-4874677.8166057635</v>
      </c>
      <c r="S192" s="1">
        <v>8998290.3930001464</v>
      </c>
      <c r="T192" s="1">
        <v>4169655.4664228437</v>
      </c>
      <c r="U192" s="763">
        <f>($R$192/$Q$2)*-1</f>
        <v>0.16248926055352544</v>
      </c>
      <c r="V192" s="691"/>
    </row>
    <row r="193" spans="1:22" x14ac:dyDescent="0.25">
      <c r="A193" s="690"/>
      <c r="B193" s="760">
        <v>44841</v>
      </c>
      <c r="C193">
        <v>1512</v>
      </c>
      <c r="D193" s="1">
        <v>271845255.10113347</v>
      </c>
      <c r="E193" s="1">
        <v>0</v>
      </c>
      <c r="F193" s="761">
        <v>191903125.11916882</v>
      </c>
      <c r="G193" s="691">
        <v>816</v>
      </c>
      <c r="H193" s="1">
        <v>-238874718.30974832</v>
      </c>
      <c r="I193" s="1">
        <v>0</v>
      </c>
      <c r="J193" s="761">
        <v>-186715973.87045562</v>
      </c>
      <c r="K193" s="622">
        <v>731340</v>
      </c>
      <c r="L193" s="762">
        <f>$F$193+$J$193</f>
        <v>5187151.2487131953</v>
      </c>
      <c r="M193" s="1">
        <f>MAX($L$3:$L$193)</f>
        <v>5187151.2487131953</v>
      </c>
      <c r="N193" s="1">
        <f>$L$193-MAX(0,$M$193)</f>
        <v>0</v>
      </c>
      <c r="O193" s="763">
        <f>($N$193/$C$2)*-1</f>
        <v>0</v>
      </c>
      <c r="P193" s="764">
        <v>0.05</v>
      </c>
      <c r="Q193" s="1">
        <v>21508.139273854904</v>
      </c>
      <c r="R193" s="1">
        <v>-5165643.1094394494</v>
      </c>
      <c r="S193" s="1">
        <v>9639588.5326141939</v>
      </c>
      <c r="T193" s="1">
        <v>4452437.2839008896</v>
      </c>
      <c r="U193" s="763">
        <f>($R$193/$Q$2)*-1</f>
        <v>0.17218810364798165</v>
      </c>
      <c r="V193" s="691"/>
    </row>
    <row r="194" spans="1:22" x14ac:dyDescent="0.25">
      <c r="A194" s="690"/>
      <c r="B194" s="760">
        <v>44844</v>
      </c>
      <c r="C194">
        <v>1522</v>
      </c>
      <c r="D194" s="1">
        <v>271172285.50113344</v>
      </c>
      <c r="E194" s="1">
        <v>0</v>
      </c>
      <c r="F194" s="761">
        <v>192680332.27934483</v>
      </c>
      <c r="G194" s="691">
        <v>823</v>
      </c>
      <c r="H194" s="1">
        <v>-236603694.30974832</v>
      </c>
      <c r="I194" s="1">
        <v>0</v>
      </c>
      <c r="J194" s="761">
        <v>-186821312.42666671</v>
      </c>
      <c r="K194" s="622">
        <v>568820</v>
      </c>
      <c r="L194" s="762">
        <f>$F$194+$J$194</f>
        <v>5859019.8526781201</v>
      </c>
      <c r="M194" s="1">
        <f>MAX($L$3:$L$194)</f>
        <v>5859019.8526781201</v>
      </c>
      <c r="N194" s="1">
        <f>$L$194-MAX(0,$M$194)</f>
        <v>0</v>
      </c>
      <c r="O194" s="763">
        <f>($N$194/$C$2)*-1</f>
        <v>0</v>
      </c>
      <c r="P194" s="764">
        <v>0.05</v>
      </c>
      <c r="Q194" s="1">
        <v>317352.1942102937</v>
      </c>
      <c r="R194" s="1">
        <v>-5541667.6584677976</v>
      </c>
      <c r="S194" s="1">
        <v>10449010.390340649</v>
      </c>
      <c r="T194" s="1">
        <v>4589990.5376625573</v>
      </c>
      <c r="U194" s="763">
        <f>($R$194/$Q$2)*-1</f>
        <v>0.18472225528225991</v>
      </c>
      <c r="V194" s="691"/>
    </row>
    <row r="195" spans="1:22" x14ac:dyDescent="0.25">
      <c r="A195" s="690"/>
      <c r="B195" s="760">
        <v>44845</v>
      </c>
      <c r="C195">
        <v>1529</v>
      </c>
      <c r="D195" s="1">
        <v>268820448.70113343</v>
      </c>
      <c r="E195" s="1">
        <v>0</v>
      </c>
      <c r="F195" s="761">
        <v>193828321.40064073</v>
      </c>
      <c r="G195" s="691">
        <v>829</v>
      </c>
      <c r="H195" s="1">
        <v>-234266574.30974832</v>
      </c>
      <c r="I195" s="1">
        <v>0</v>
      </c>
      <c r="J195" s="761">
        <v>-187534726.53847474</v>
      </c>
      <c r="K195" s="622">
        <v>568820</v>
      </c>
      <c r="L195" s="762">
        <f>$F$195+$J$195</f>
        <v>6293594.8621659875</v>
      </c>
      <c r="M195" s="1">
        <f>MAX($L$3:$L$195)</f>
        <v>6293594.8621659875</v>
      </c>
      <c r="N195" s="1">
        <f>$L$195-MAX(0,$M$195)</f>
        <v>0</v>
      </c>
      <c r="O195" s="763">
        <f>($N$195/$C$2)*-1</f>
        <v>0</v>
      </c>
      <c r="P195" s="764">
        <v>0.05</v>
      </c>
      <c r="Q195" s="1">
        <v>907415.12024113163</v>
      </c>
      <c r="R195" s="1">
        <v>-5386179.7419249685</v>
      </c>
      <c r="S195" s="1">
        <v>10435967.257823093</v>
      </c>
      <c r="T195" s="1">
        <v>4142372.3956569927</v>
      </c>
      <c r="U195" s="763">
        <f>($R$195/$Q$2)*-1</f>
        <v>0.17953932473083228</v>
      </c>
      <c r="V195" s="691"/>
    </row>
    <row r="196" spans="1:22" x14ac:dyDescent="0.25">
      <c r="A196" s="690"/>
      <c r="B196" s="760">
        <v>44847</v>
      </c>
      <c r="C196">
        <v>1529</v>
      </c>
      <c r="D196" s="1">
        <v>268820448.70113343</v>
      </c>
      <c r="E196" s="1">
        <v>0</v>
      </c>
      <c r="F196" s="761">
        <v>194240309.12208071</v>
      </c>
      <c r="G196" s="691">
        <v>829</v>
      </c>
      <c r="H196" s="1">
        <v>-234266574.30974832</v>
      </c>
      <c r="I196" s="1">
        <v>0</v>
      </c>
      <c r="J196" s="761">
        <v>-187884374.22247475</v>
      </c>
      <c r="K196" s="622">
        <v>568820</v>
      </c>
      <c r="L196" s="762">
        <f>$F$196+$J$196</f>
        <v>6355934.8996059597</v>
      </c>
      <c r="M196" s="1">
        <f>MAX($L$3:$L$196)</f>
        <v>6355934.8996059597</v>
      </c>
      <c r="N196" s="1">
        <f>$L$196-MAX(0,$M$196)</f>
        <v>0</v>
      </c>
      <c r="O196" s="763">
        <f>($N$196/$C$2)*-1</f>
        <v>0</v>
      </c>
      <c r="P196" s="764">
        <v>0.05</v>
      </c>
      <c r="Q196" s="1">
        <v>979458.56608800124</v>
      </c>
      <c r="R196" s="1">
        <v>-5376476.3335181009</v>
      </c>
      <c r="S196" s="1">
        <v>10506886.033448864</v>
      </c>
      <c r="T196" s="1">
        <v>4150951.1338427616</v>
      </c>
      <c r="U196" s="763">
        <f>($R$196/$Q$2)*-1</f>
        <v>0.17921587778393669</v>
      </c>
      <c r="V196" s="691"/>
    </row>
    <row r="197" spans="1:22" x14ac:dyDescent="0.25">
      <c r="A197" s="690"/>
      <c r="B197" s="760">
        <v>44848</v>
      </c>
      <c r="C197">
        <v>1556</v>
      </c>
      <c r="D197" s="1">
        <v>274539082.30113351</v>
      </c>
      <c r="E197" s="1">
        <v>0</v>
      </c>
      <c r="F197" s="761">
        <v>194504087.20308003</v>
      </c>
      <c r="G197" s="691">
        <v>847</v>
      </c>
      <c r="H197" s="1">
        <v>-241886382.30974832</v>
      </c>
      <c r="I197" s="1">
        <v>0</v>
      </c>
      <c r="J197" s="761">
        <v>-187765825.95368442</v>
      </c>
      <c r="K197" s="622">
        <v>568820</v>
      </c>
      <c r="L197" s="762">
        <f>$F$197+$J$197</f>
        <v>6738261.2493956089</v>
      </c>
      <c r="M197" s="1">
        <f>MAX($L$3:$L$197)</f>
        <v>6738261.2493956089</v>
      </c>
      <c r="N197" s="1">
        <f>$L$197-MAX(0,$M$197)</f>
        <v>0</v>
      </c>
      <c r="O197" s="763">
        <f>($N$197/$C$2)*-1</f>
        <v>0</v>
      </c>
      <c r="P197" s="764">
        <v>0.05</v>
      </c>
      <c r="Q197" s="1">
        <v>1963060.3064256702</v>
      </c>
      <c r="R197" s="1">
        <v>-4775200.9429698577</v>
      </c>
      <c r="S197" s="1">
        <v>10132488.268289132</v>
      </c>
      <c r="T197" s="1">
        <v>3394227.0188936042</v>
      </c>
      <c r="U197" s="763">
        <f>($R$197/$Q$2)*-1</f>
        <v>0.15917336476566193</v>
      </c>
      <c r="V197" s="691"/>
    </row>
    <row r="198" spans="1:22" x14ac:dyDescent="0.25">
      <c r="A198" s="690"/>
      <c r="B198" s="760">
        <v>44851</v>
      </c>
      <c r="C198">
        <v>1580</v>
      </c>
      <c r="D198" s="1">
        <v>274539082.30113351</v>
      </c>
      <c r="E198" s="1">
        <v>0</v>
      </c>
      <c r="F198" s="761">
        <v>194497255.28294489</v>
      </c>
      <c r="G198" s="691">
        <v>847</v>
      </c>
      <c r="H198" s="1">
        <v>-241886382.30974832</v>
      </c>
      <c r="I198" s="1">
        <v>0</v>
      </c>
      <c r="J198" s="761">
        <v>-187765062.39861876</v>
      </c>
      <c r="K198" s="622">
        <v>568820</v>
      </c>
      <c r="L198" s="762">
        <f>$F$198+$J$198</f>
        <v>6732192.8843261302</v>
      </c>
      <c r="M198" s="1">
        <f>MAX($L$3:$L$198)</f>
        <v>6738261.2493956089</v>
      </c>
      <c r="N198" s="1">
        <f>$L$198-MAX(0,$M$198)</f>
        <v>-6068.3650694787502</v>
      </c>
      <c r="O198" s="763">
        <f>($N$198/$C$2)*-1</f>
        <v>3.0341825347393749E-4</v>
      </c>
      <c r="P198" s="764">
        <v>0.05</v>
      </c>
      <c r="Q198" s="1">
        <v>1936501.1375090079</v>
      </c>
      <c r="R198" s="1">
        <v>-4795691.7468170971</v>
      </c>
      <c r="S198" s="1">
        <v>10204792.53906367</v>
      </c>
      <c r="T198" s="1">
        <v>3472599.6547375647</v>
      </c>
      <c r="U198" s="763">
        <f>($R$198/$Q$2)*-1</f>
        <v>0.15985639156056991</v>
      </c>
      <c r="V198" s="691"/>
    </row>
    <row r="199" spans="1:22" x14ac:dyDescent="0.25">
      <c r="A199" s="690"/>
      <c r="B199" s="760">
        <v>44852</v>
      </c>
      <c r="C199">
        <v>1587</v>
      </c>
      <c r="D199" s="1">
        <v>274885818.49800485</v>
      </c>
      <c r="E199" s="1">
        <v>0</v>
      </c>
      <c r="F199" s="761">
        <v>195160817.1194362</v>
      </c>
      <c r="G199" s="691">
        <v>853</v>
      </c>
      <c r="H199" s="1">
        <v>-242144900.55462879</v>
      </c>
      <c r="I199" s="1">
        <v>0</v>
      </c>
      <c r="J199" s="761">
        <v>-188275171.46735546</v>
      </c>
      <c r="K199" s="622">
        <v>568820</v>
      </c>
      <c r="L199" s="762">
        <f>$F$199+$J$199</f>
        <v>6885645.6520807445</v>
      </c>
      <c r="M199" s="1">
        <f>MAX($L$3:$L$199)</f>
        <v>6885645.6520807445</v>
      </c>
      <c r="N199" s="1">
        <f>$L$199-MAX(0,$M$199)</f>
        <v>0</v>
      </c>
      <c r="O199" s="763">
        <f>($N$199/$C$2)*-1</f>
        <v>0</v>
      </c>
      <c r="P199" s="764">
        <v>0.05</v>
      </c>
      <c r="Q199" s="1">
        <v>2097593.8049100703</v>
      </c>
      <c r="R199" s="1">
        <v>-4788051.8471706994</v>
      </c>
      <c r="S199" s="1">
        <v>10169620.216455739</v>
      </c>
      <c r="T199" s="1">
        <v>3283974.5643749693</v>
      </c>
      <c r="U199" s="763">
        <f>($R$199/$Q$2)*-1</f>
        <v>0.1596017282390233</v>
      </c>
      <c r="V199" s="691"/>
    </row>
    <row r="200" spans="1:22" x14ac:dyDescent="0.25">
      <c r="A200" s="690"/>
      <c r="B200" s="760">
        <v>44853</v>
      </c>
      <c r="C200">
        <v>1589</v>
      </c>
      <c r="D200" s="1">
        <v>274145154.49800485</v>
      </c>
      <c r="E200" s="1">
        <v>0</v>
      </c>
      <c r="F200" s="761">
        <v>194698127.51895213</v>
      </c>
      <c r="G200" s="691">
        <v>855</v>
      </c>
      <c r="H200" s="1">
        <v>-241404236.55462879</v>
      </c>
      <c r="I200" s="1">
        <v>0</v>
      </c>
      <c r="J200" s="761">
        <v>-188226291.38735545</v>
      </c>
      <c r="K200" s="622">
        <v>568820</v>
      </c>
      <c r="L200" s="762">
        <f>$F$200+$J$200</f>
        <v>6471836.1315966845</v>
      </c>
      <c r="M200" s="1">
        <f>MAX($L$3:$L$200)</f>
        <v>6885645.6520807445</v>
      </c>
      <c r="N200" s="1">
        <f>$L$200-MAX(0,$M$200)</f>
        <v>-413809.52048406005</v>
      </c>
      <c r="O200" s="763">
        <f>($N$200/$C$2)*-1</f>
        <v>2.0690476024203003E-2</v>
      </c>
      <c r="P200" s="764">
        <v>0.05</v>
      </c>
      <c r="Q200" s="1">
        <v>1602829.6580782663</v>
      </c>
      <c r="R200" s="1">
        <v>-4869006.4735185029</v>
      </c>
      <c r="S200" s="1">
        <v>10007043.754178643</v>
      </c>
      <c r="T200" s="1">
        <v>3535207.622581874</v>
      </c>
      <c r="U200" s="763">
        <f>($R$200/$Q$2)*-1</f>
        <v>0.1623002157839501</v>
      </c>
      <c r="V200" s="691"/>
    </row>
    <row r="201" spans="1:22" x14ac:dyDescent="0.25">
      <c r="A201" s="690"/>
      <c r="B201" s="760">
        <v>44854</v>
      </c>
      <c r="C201">
        <v>1603</v>
      </c>
      <c r="D201" s="1">
        <v>275815799.27184486</v>
      </c>
      <c r="E201" s="1">
        <v>0</v>
      </c>
      <c r="F201" s="761">
        <v>193636744.92003211</v>
      </c>
      <c r="G201" s="691">
        <v>869</v>
      </c>
      <c r="H201" s="1">
        <v>-243074881.3284688</v>
      </c>
      <c r="I201" s="1">
        <v>0</v>
      </c>
      <c r="J201" s="761">
        <v>-187884903.26915538</v>
      </c>
      <c r="K201" s="622">
        <v>568820</v>
      </c>
      <c r="L201" s="762">
        <f>$F$201+$J$201</f>
        <v>5751841.6508767307</v>
      </c>
      <c r="M201" s="1">
        <f>MAX($L$3:$L$201)</f>
        <v>6885645.6520807445</v>
      </c>
      <c r="N201" s="1">
        <f>$L$201-MAX(0,$M$201)</f>
        <v>-1133804.0012040138</v>
      </c>
      <c r="O201" s="763">
        <f>($N$201/$C$2)*-1</f>
        <v>5.6690200060200688E-2</v>
      </c>
      <c r="P201" s="764">
        <v>0.05</v>
      </c>
      <c r="Q201" s="1">
        <v>801327.02674865909</v>
      </c>
      <c r="R201" s="1">
        <v>-4950514.6241281079</v>
      </c>
      <c r="S201" s="1">
        <v>9451011.7050911859</v>
      </c>
      <c r="T201" s="1">
        <v>3699170.0542144189</v>
      </c>
      <c r="U201" s="763">
        <f>($R$201/$Q$2)*-1</f>
        <v>0.16501715413760359</v>
      </c>
      <c r="V201" s="691"/>
    </row>
    <row r="202" spans="1:22" x14ac:dyDescent="0.25">
      <c r="A202" s="690"/>
      <c r="B202" s="760">
        <v>44855</v>
      </c>
      <c r="C202">
        <v>1605</v>
      </c>
      <c r="D202" s="1">
        <v>275815799.27184486</v>
      </c>
      <c r="E202" s="1">
        <v>0</v>
      </c>
      <c r="F202" s="761">
        <v>193818443.21991208</v>
      </c>
      <c r="G202" s="691">
        <v>870</v>
      </c>
      <c r="H202" s="1">
        <v>-242988577.3284688</v>
      </c>
      <c r="I202" s="1">
        <v>0</v>
      </c>
      <c r="J202" s="761">
        <v>-187737221.48975533</v>
      </c>
      <c r="K202" s="622">
        <v>568820</v>
      </c>
      <c r="L202" s="762">
        <f>$F$202+$J$202</f>
        <v>6081221.7301567495</v>
      </c>
      <c r="M202" s="1">
        <f>MAX($L$3:$L$202)</f>
        <v>6885645.6520807445</v>
      </c>
      <c r="N202" s="1">
        <f>$L$202-MAX(0,$M$202)</f>
        <v>-804423.92192399502</v>
      </c>
      <c r="O202" s="763">
        <f>($N$202/$C$2)*-1</f>
        <v>4.022119609619975E-2</v>
      </c>
      <c r="P202" s="764">
        <v>0.05</v>
      </c>
      <c r="Q202" s="1">
        <v>1077666.8121739142</v>
      </c>
      <c r="R202" s="1">
        <v>-5003554.9179828567</v>
      </c>
      <c r="S202" s="1">
        <v>9939547.3785528895</v>
      </c>
      <c r="T202" s="1">
        <v>3858325.6483961185</v>
      </c>
      <c r="U202" s="763">
        <f>($R$202/$Q$2)*-1</f>
        <v>0.16678516393276188</v>
      </c>
      <c r="V202" s="691"/>
    </row>
    <row r="203" spans="1:22" x14ac:dyDescent="0.25">
      <c r="A203" s="690"/>
      <c r="B203" s="760">
        <v>44858</v>
      </c>
      <c r="C203">
        <v>1606</v>
      </c>
      <c r="D203" s="1">
        <v>275963111.27184486</v>
      </c>
      <c r="E203" s="1">
        <v>0</v>
      </c>
      <c r="F203" s="761">
        <v>193980671.248568</v>
      </c>
      <c r="G203" s="691">
        <v>870</v>
      </c>
      <c r="H203" s="1">
        <v>-242988577.3284688</v>
      </c>
      <c r="I203" s="1">
        <v>0</v>
      </c>
      <c r="J203" s="761">
        <v>-187780495.17941523</v>
      </c>
      <c r="K203" s="622">
        <v>568820</v>
      </c>
      <c r="L203" s="762">
        <f>$F$203+$J$203</f>
        <v>6200176.0691527724</v>
      </c>
      <c r="M203" s="1">
        <f>MAX($L$3:$L$203)</f>
        <v>6885645.6520807445</v>
      </c>
      <c r="N203" s="1">
        <f>$L$203-MAX(0,$M$203)</f>
        <v>-685469.58292797208</v>
      </c>
      <c r="O203" s="763">
        <f>($N$203/$C$2)*-1</f>
        <v>3.4273479146398604E-2</v>
      </c>
      <c r="P203" s="764">
        <v>0.05</v>
      </c>
      <c r="Q203" s="1">
        <v>1194306.6286169924</v>
      </c>
      <c r="R203" s="1">
        <v>-5005869.4405357791</v>
      </c>
      <c r="S203" s="1">
        <v>9922272.9965883996</v>
      </c>
      <c r="T203" s="1">
        <v>3722096.9274356281</v>
      </c>
      <c r="U203" s="763">
        <f>($R$203/$Q$2)*-1</f>
        <v>0.16686231468452598</v>
      </c>
      <c r="V203" s="691"/>
    </row>
    <row r="204" spans="1:22" x14ac:dyDescent="0.25">
      <c r="A204" s="690"/>
      <c r="B204" s="760">
        <v>44859</v>
      </c>
      <c r="C204">
        <v>1606</v>
      </c>
      <c r="D204" s="1">
        <v>275963111.27184486</v>
      </c>
      <c r="E204" s="1">
        <v>0</v>
      </c>
      <c r="F204" s="761">
        <v>193207284.91991603</v>
      </c>
      <c r="G204" s="691">
        <v>870</v>
      </c>
      <c r="H204" s="1">
        <v>-242988577.3284688</v>
      </c>
      <c r="I204" s="1">
        <v>0</v>
      </c>
      <c r="J204" s="761">
        <v>-187645161.98999533</v>
      </c>
      <c r="K204" s="622">
        <v>568820</v>
      </c>
      <c r="L204" s="762">
        <f>$F$204+$J$204</f>
        <v>5562122.9299207032</v>
      </c>
      <c r="M204" s="1">
        <f>MAX($L$3:$L$204)</f>
        <v>6885645.6520807445</v>
      </c>
      <c r="N204" s="1">
        <f>$L$204-MAX(0,$M$204)</f>
        <v>-1323522.7221600413</v>
      </c>
      <c r="O204" s="763">
        <f>($N$204/$C$2)*-1</f>
        <v>6.6176136108002062E-2</v>
      </c>
      <c r="P204" s="764">
        <v>0.05</v>
      </c>
      <c r="Q204" s="1">
        <v>485378.73539894447</v>
      </c>
      <c r="R204" s="1">
        <v>-5076744.1945218267</v>
      </c>
      <c r="S204" s="1">
        <v>9423777.8161839563</v>
      </c>
      <c r="T204" s="1">
        <v>3861654.8862631852</v>
      </c>
      <c r="U204" s="763">
        <f>($R$204/$Q$2)*-1</f>
        <v>0.16922480648406088</v>
      </c>
      <c r="V204" s="691"/>
    </row>
    <row r="205" spans="1:22" x14ac:dyDescent="0.25">
      <c r="A205" s="690"/>
      <c r="B205" s="760">
        <v>44860</v>
      </c>
      <c r="C205">
        <v>1606</v>
      </c>
      <c r="D205" s="1">
        <v>275963111.27184486</v>
      </c>
      <c r="E205" s="1">
        <v>0</v>
      </c>
      <c r="F205" s="761">
        <v>193015581.71993607</v>
      </c>
      <c r="G205" s="691">
        <v>870</v>
      </c>
      <c r="H205" s="1">
        <v>-242988577.3284688</v>
      </c>
      <c r="I205" s="1">
        <v>0</v>
      </c>
      <c r="J205" s="761">
        <v>-187247575.59083539</v>
      </c>
      <c r="K205" s="622">
        <v>568820</v>
      </c>
      <c r="L205" s="762">
        <f>$F$205+$J$205</f>
        <v>5768006.1291006804</v>
      </c>
      <c r="M205" s="1">
        <f>MAX($L$3:$L$205)</f>
        <v>6885645.6520807445</v>
      </c>
      <c r="N205" s="1">
        <f>$L$205-MAX(0,$M$205)</f>
        <v>-1117639.5229800642</v>
      </c>
      <c r="O205" s="763">
        <f>($N$205/$C$2)*-1</f>
        <v>5.5881976149003205E-2</v>
      </c>
      <c r="P205" s="764">
        <v>0.05</v>
      </c>
      <c r="Q205" s="1">
        <v>649857.99755168892</v>
      </c>
      <c r="R205" s="1">
        <v>-5118148.1315490818</v>
      </c>
      <c r="S205" s="1">
        <v>9816867.5780937187</v>
      </c>
      <c r="T205" s="1">
        <v>4048861.448992948</v>
      </c>
      <c r="U205" s="763">
        <f>($R$205/$Q$2)*-1</f>
        <v>0.17060493771830273</v>
      </c>
      <c r="V205" s="691"/>
    </row>
    <row r="206" spans="1:22" x14ac:dyDescent="0.25">
      <c r="A206" s="690"/>
      <c r="B206" s="760">
        <v>44861</v>
      </c>
      <c r="C206">
        <v>1607</v>
      </c>
      <c r="D206" s="1">
        <v>275864999.27184486</v>
      </c>
      <c r="E206" s="1">
        <v>0</v>
      </c>
      <c r="F206" s="761">
        <v>193551019.52171609</v>
      </c>
      <c r="G206" s="691">
        <v>870</v>
      </c>
      <c r="H206" s="1">
        <v>-242988577.3284688</v>
      </c>
      <c r="I206" s="1">
        <v>0</v>
      </c>
      <c r="J206" s="761">
        <v>-187570320.99071535</v>
      </c>
      <c r="K206" s="622">
        <v>568820</v>
      </c>
      <c r="L206" s="762">
        <f>$F$206+$J$206</f>
        <v>5980698.5310007334</v>
      </c>
      <c r="M206" s="1">
        <f>MAX($L$3:$L$206)</f>
        <v>6885645.6520807445</v>
      </c>
      <c r="N206" s="1">
        <f>$L$206-MAX(0,$M$206)</f>
        <v>-904947.12108001113</v>
      </c>
      <c r="O206" s="763">
        <f>($N$206/$C$2)*-1</f>
        <v>4.5247356054000556E-2</v>
      </c>
      <c r="P206" s="764">
        <v>0.05</v>
      </c>
      <c r="Q206" s="1">
        <v>960833.33649759181</v>
      </c>
      <c r="R206" s="1">
        <v>-5019865.1945031779</v>
      </c>
      <c r="S206" s="1">
        <v>9757184.2453368809</v>
      </c>
      <c r="T206" s="1">
        <v>3776485.7143361112</v>
      </c>
      <c r="U206" s="763">
        <f>($R$206/$Q$2)*-1</f>
        <v>0.1673288398167726</v>
      </c>
      <c r="V206" s="691"/>
    </row>
    <row r="207" spans="1:22" x14ac:dyDescent="0.25">
      <c r="A207" s="690"/>
      <c r="B207" s="760">
        <v>44862</v>
      </c>
      <c r="C207">
        <v>1607</v>
      </c>
      <c r="D207" s="1">
        <v>275864999.27184486</v>
      </c>
      <c r="E207" s="1">
        <v>0</v>
      </c>
      <c r="F207" s="761">
        <v>193120188.30568016</v>
      </c>
      <c r="G207" s="691">
        <v>870</v>
      </c>
      <c r="H207" s="1">
        <v>-242988577.3284688</v>
      </c>
      <c r="I207" s="1">
        <v>0</v>
      </c>
      <c r="J207" s="761">
        <v>-187207853.16983071</v>
      </c>
      <c r="K207" s="622">
        <v>568820</v>
      </c>
      <c r="L207" s="762">
        <f>$F$207+$J$207</f>
        <v>5912335.1358494461</v>
      </c>
      <c r="M207" s="1">
        <f>MAX($L$3:$L$207)</f>
        <v>6885645.6520807445</v>
      </c>
      <c r="N207" s="1">
        <f>$L$207-MAX(0,$M$207)</f>
        <v>-973310.51623129845</v>
      </c>
      <c r="O207" s="763">
        <f>($N$207/$C$2)*-1</f>
        <v>4.8665525811564921E-2</v>
      </c>
      <c r="P207" s="764">
        <v>0.05</v>
      </c>
      <c r="Q207" s="1">
        <v>877875.34190770239</v>
      </c>
      <c r="R207" s="1">
        <v>-5034459.7939413106</v>
      </c>
      <c r="S207" s="1">
        <v>9688459.6759560779</v>
      </c>
      <c r="T207" s="1">
        <v>3776124.5401070649</v>
      </c>
      <c r="U207" s="763">
        <f>($R$207/$Q$2)*-1</f>
        <v>0.16781532646471034</v>
      </c>
      <c r="V207" s="691"/>
    </row>
    <row r="208" spans="1:22" x14ac:dyDescent="0.25">
      <c r="A208" s="690"/>
      <c r="B208" s="760">
        <v>44865</v>
      </c>
      <c r="C208">
        <v>1607</v>
      </c>
      <c r="D208" s="1">
        <v>275864999.27184486</v>
      </c>
      <c r="E208" s="1">
        <v>0</v>
      </c>
      <c r="F208" s="761">
        <v>192880215.80588979</v>
      </c>
      <c r="G208" s="691">
        <v>870</v>
      </c>
      <c r="H208" s="1">
        <v>-242988577.3284688</v>
      </c>
      <c r="I208" s="1">
        <v>0</v>
      </c>
      <c r="J208" s="761">
        <v>-187157024.23019069</v>
      </c>
      <c r="K208" s="622">
        <v>568820</v>
      </c>
      <c r="L208" s="762">
        <f>$F$208+$J$208</f>
        <v>5723191.575699091</v>
      </c>
      <c r="M208" s="1">
        <f>MAX($L$3:$L$208)</f>
        <v>6885645.6520807445</v>
      </c>
      <c r="N208" s="1">
        <f>$L$208-MAX(0,$M$208)</f>
        <v>-1162454.0763816535</v>
      </c>
      <c r="O208" s="763">
        <f>($N$208/$C$2)*-1</f>
        <v>5.8122703819082674E-2</v>
      </c>
      <c r="P208" s="764">
        <v>0.05</v>
      </c>
      <c r="Q208" s="1">
        <v>640458.54592317715</v>
      </c>
      <c r="R208" s="1">
        <v>-5082733.0297757452</v>
      </c>
      <c r="S208" s="1">
        <v>9590463.8160327282</v>
      </c>
      <c r="T208" s="1">
        <v>3867272.2403338058</v>
      </c>
      <c r="U208" s="763">
        <f>($R$208/$Q$2)*-1</f>
        <v>0.16942443432585819</v>
      </c>
      <c r="V208" s="691"/>
    </row>
    <row r="209" spans="1:22" x14ac:dyDescent="0.25">
      <c r="A209" s="690"/>
      <c r="B209" s="760">
        <v>44866</v>
      </c>
      <c r="C209">
        <v>1607</v>
      </c>
      <c r="D209" s="1">
        <v>275697652.41663951</v>
      </c>
      <c r="E209" s="1">
        <v>0</v>
      </c>
      <c r="F209" s="761">
        <v>193587031.36584786</v>
      </c>
      <c r="G209" s="691">
        <v>870</v>
      </c>
      <c r="H209" s="1">
        <v>-242797004.27287105</v>
      </c>
      <c r="I209" s="1">
        <v>0</v>
      </c>
      <c r="J209" s="761">
        <v>-187564240.63914004</v>
      </c>
      <c r="K209" s="622">
        <v>568820</v>
      </c>
      <c r="L209" s="762">
        <f>$F$209+$J$209</f>
        <v>6022790.7267078161</v>
      </c>
      <c r="M209" s="1">
        <f>MAX($L$3:$L$209)</f>
        <v>6885645.6520807445</v>
      </c>
      <c r="N209" s="1">
        <f>$L$209-MAX(0,$M$209)</f>
        <v>-862854.92537292838</v>
      </c>
      <c r="O209" s="763">
        <f>($N$209/$C$2)*-1</f>
        <v>4.314274626864642E-2</v>
      </c>
      <c r="P209" s="764">
        <v>0.05</v>
      </c>
      <c r="Q209" s="1">
        <v>1009870.0284419693</v>
      </c>
      <c r="R209" s="1">
        <v>-5012920.6982656652</v>
      </c>
      <c r="S209" s="1">
        <v>9785242.2949368469</v>
      </c>
      <c r="T209" s="1">
        <v>3762451.5682292124</v>
      </c>
      <c r="U209" s="763">
        <f>($R$209/$Q$2)*-1</f>
        <v>0.1670973566088555</v>
      </c>
      <c r="V209" s="691"/>
    </row>
    <row r="210" spans="1:22" x14ac:dyDescent="0.25">
      <c r="A210" s="690"/>
      <c r="B210" s="760">
        <v>44868</v>
      </c>
      <c r="C210">
        <v>1611</v>
      </c>
      <c r="D210" s="1">
        <v>275290948.41663951</v>
      </c>
      <c r="E210" s="1">
        <v>0</v>
      </c>
      <c r="F210" s="761">
        <v>193852282.82748672</v>
      </c>
      <c r="G210" s="691">
        <v>870</v>
      </c>
      <c r="H210" s="1">
        <v>-242797004.27287105</v>
      </c>
      <c r="I210" s="1">
        <v>0</v>
      </c>
      <c r="J210" s="761">
        <v>-187755296.72687751</v>
      </c>
      <c r="K210" s="622">
        <v>568820</v>
      </c>
      <c r="L210" s="762">
        <f>$F$210+$J$210</f>
        <v>6096986.1006092131</v>
      </c>
      <c r="M210" s="1">
        <f>MAX($L$3:$L$210)</f>
        <v>6885645.6520807445</v>
      </c>
      <c r="N210" s="1">
        <f>$L$210-MAX(0,$M$210)</f>
        <v>-788659.55147153139</v>
      </c>
      <c r="O210" s="763">
        <f>($N$210/$C$2)*-1</f>
        <v>3.9432977573576569E-2</v>
      </c>
      <c r="P210" s="764">
        <v>0.05</v>
      </c>
      <c r="Q210" s="1">
        <v>1240493.0216747737</v>
      </c>
      <c r="R210" s="1">
        <v>-4856493.078934297</v>
      </c>
      <c r="S210" s="1">
        <v>9640675.1770461872</v>
      </c>
      <c r="T210" s="1">
        <v>3543689.0764371166</v>
      </c>
      <c r="U210" s="763">
        <f>($R$210/$Q$2)*-1</f>
        <v>0.16188310263114322</v>
      </c>
      <c r="V210" s="691"/>
    </row>
    <row r="211" spans="1:22" x14ac:dyDescent="0.25">
      <c r="A211" s="690"/>
      <c r="B211" s="760">
        <v>44869</v>
      </c>
      <c r="C211">
        <v>1612</v>
      </c>
      <c r="D211" s="1">
        <v>274875758.41463953</v>
      </c>
      <c r="E211" s="1">
        <v>0</v>
      </c>
      <c r="F211" s="761">
        <v>194989198.87639493</v>
      </c>
      <c r="G211" s="691">
        <v>870</v>
      </c>
      <c r="H211" s="1">
        <v>-242796222.2708711</v>
      </c>
      <c r="I211" s="1">
        <v>0</v>
      </c>
      <c r="J211" s="761">
        <v>-188368297.42984554</v>
      </c>
      <c r="K211" s="622">
        <v>373796</v>
      </c>
      <c r="L211" s="762">
        <f>$F$211+$J$211</f>
        <v>6620901.4465493858</v>
      </c>
      <c r="M211" s="1">
        <f>MAX($L$3:$L$211)</f>
        <v>6885645.6520807445</v>
      </c>
      <c r="N211" s="1">
        <f>$L$211-MAX(0,$M$211)</f>
        <v>-264744.20553135872</v>
      </c>
      <c r="O211" s="763">
        <f>($N$211/$C$2)*-1</f>
        <v>1.3237210276567936E-2</v>
      </c>
      <c r="P211" s="764">
        <v>0.05</v>
      </c>
      <c r="Q211" s="1">
        <v>2244605.1362082316</v>
      </c>
      <c r="R211" s="1">
        <v>-4376296.3103409894</v>
      </c>
      <c r="S211" s="1">
        <v>9855377.209811328</v>
      </c>
      <c r="T211" s="1">
        <v>3234475.763262107</v>
      </c>
      <c r="U211" s="763">
        <f>($R$211/$Q$2)*-1</f>
        <v>0.14587654367803299</v>
      </c>
      <c r="V211" s="691"/>
    </row>
    <row r="212" spans="1:22" x14ac:dyDescent="0.25">
      <c r="A212" s="690"/>
      <c r="B212" s="760">
        <v>44872</v>
      </c>
      <c r="C212">
        <v>1613</v>
      </c>
      <c r="D212" s="1">
        <v>274528905.61463952</v>
      </c>
      <c r="E212" s="1">
        <v>0</v>
      </c>
      <c r="F212" s="761">
        <v>194956145.9470568</v>
      </c>
      <c r="G212" s="691">
        <v>870</v>
      </c>
      <c r="H212" s="1">
        <v>-242796222.2708711</v>
      </c>
      <c r="I212" s="1">
        <v>0</v>
      </c>
      <c r="J212" s="761">
        <v>-188351518.74136531</v>
      </c>
      <c r="K212" s="622">
        <v>373796</v>
      </c>
      <c r="L212" s="762">
        <f>$F$212+$J$212</f>
        <v>6604627.2056914866</v>
      </c>
      <c r="M212" s="1">
        <f>MAX($L$3:$L$212)</f>
        <v>6885645.6520807445</v>
      </c>
      <c r="N212" s="1">
        <f>$L$212-MAX(0,$M$212)</f>
        <v>-281018.44638925791</v>
      </c>
      <c r="O212" s="763">
        <f>($N$212/$C$2)*-1</f>
        <v>1.4050922319462896E-2</v>
      </c>
      <c r="P212" s="764">
        <v>0.05</v>
      </c>
      <c r="Q212" s="1">
        <v>2232338.1642960738</v>
      </c>
      <c r="R212" s="1">
        <v>-4372289.0413952367</v>
      </c>
      <c r="S212" s="1">
        <v>9847017.9415081255</v>
      </c>
      <c r="T212" s="1">
        <v>3242390.7358168149</v>
      </c>
      <c r="U212" s="763">
        <f>($R$212/$Q$2)*-1</f>
        <v>0.14574296804650788</v>
      </c>
      <c r="V212" s="691"/>
    </row>
    <row r="213" spans="1:22" x14ac:dyDescent="0.25">
      <c r="A213" s="690"/>
      <c r="B213" s="760">
        <v>44873</v>
      </c>
      <c r="C213">
        <v>1614</v>
      </c>
      <c r="D213" s="1">
        <v>274492676.47616112</v>
      </c>
      <c r="E213" s="1">
        <v>0</v>
      </c>
      <c r="F213" s="761">
        <v>195275394.27499628</v>
      </c>
      <c r="G213" s="691">
        <v>870</v>
      </c>
      <c r="H213" s="1">
        <v>-242796222.2708711</v>
      </c>
      <c r="I213" s="1">
        <v>0</v>
      </c>
      <c r="J213" s="761">
        <v>-188531992.33101568</v>
      </c>
      <c r="K213" s="622">
        <v>373796</v>
      </c>
      <c r="L213" s="762">
        <f>$F$213+$J$213</f>
        <v>6743401.9439806044</v>
      </c>
      <c r="M213" s="1">
        <f>MAX($L$3:$L$213)</f>
        <v>6885645.6520807445</v>
      </c>
      <c r="N213" s="1">
        <f>$L$213-MAX(0,$M$213)</f>
        <v>-142243.70810014009</v>
      </c>
      <c r="O213" s="763">
        <f>($N$213/$C$2)*-1</f>
        <v>7.1121854050070045E-3</v>
      </c>
      <c r="P213" s="764">
        <v>0.05</v>
      </c>
      <c r="Q213" s="1">
        <v>2394494.0629234184</v>
      </c>
      <c r="R213" s="1">
        <v>-4348907.8810570994</v>
      </c>
      <c r="S213" s="1">
        <v>9923621.1928553637</v>
      </c>
      <c r="T213" s="1">
        <v>3180219.2488748459</v>
      </c>
      <c r="U213" s="763">
        <f>($R$213/$Q$2)*-1</f>
        <v>0.14496359603523665</v>
      </c>
      <c r="V213" s="691"/>
    </row>
    <row r="214" spans="1:22" x14ac:dyDescent="0.25">
      <c r="A214" s="690"/>
      <c r="B214" s="760">
        <v>44874</v>
      </c>
      <c r="C214">
        <v>1620</v>
      </c>
      <c r="D214" s="1">
        <v>275585768.47616112</v>
      </c>
      <c r="E214" s="1">
        <v>0</v>
      </c>
      <c r="F214" s="761">
        <v>195842042.00370178</v>
      </c>
      <c r="G214" s="691">
        <v>870</v>
      </c>
      <c r="H214" s="1">
        <v>-242796222.2708711</v>
      </c>
      <c r="I214" s="1">
        <v>0</v>
      </c>
      <c r="J214" s="761">
        <v>-188923692.09688547</v>
      </c>
      <c r="K214" s="622">
        <v>422552</v>
      </c>
      <c r="L214" s="762">
        <f>$F$214+$J$214</f>
        <v>6918349.9068163037</v>
      </c>
      <c r="M214" s="1">
        <f>MAX($L$3:$L$214)</f>
        <v>6918349.9068163037</v>
      </c>
      <c r="N214" s="1">
        <f>$L$214-MAX(0,$M$214)</f>
        <v>0</v>
      </c>
      <c r="O214" s="763">
        <f>($N$214/$C$2)*-1</f>
        <v>0</v>
      </c>
      <c r="P214" s="764">
        <v>0.05</v>
      </c>
      <c r="Q214" s="1">
        <v>2103463.8023768272</v>
      </c>
      <c r="R214" s="1">
        <v>-4814886.1044394327</v>
      </c>
      <c r="S214" s="1">
        <v>10222171.886272078</v>
      </c>
      <c r="T214" s="1">
        <v>3303821.9794558184</v>
      </c>
      <c r="U214" s="763">
        <f>($R$214/$Q$2)*-1</f>
        <v>0.16049620348131444</v>
      </c>
      <c r="V214" s="691"/>
    </row>
    <row r="215" spans="1:22" x14ac:dyDescent="0.25">
      <c r="A215" s="690"/>
      <c r="B215" s="760">
        <v>44875</v>
      </c>
      <c r="C215">
        <v>1620</v>
      </c>
      <c r="D215" s="1">
        <v>275585768.47616112</v>
      </c>
      <c r="E215" s="1">
        <v>0</v>
      </c>
      <c r="F215" s="761">
        <v>196146985.80298993</v>
      </c>
      <c r="G215" s="691">
        <v>870</v>
      </c>
      <c r="H215" s="1">
        <v>-242796222.2708711</v>
      </c>
      <c r="I215" s="1">
        <v>0</v>
      </c>
      <c r="J215" s="761">
        <v>-188923006.05664548</v>
      </c>
      <c r="K215" s="622">
        <v>422552</v>
      </c>
      <c r="L215" s="762">
        <f>$F$215+$J$215</f>
        <v>7223979.7463444471</v>
      </c>
      <c r="M215" s="1">
        <f>MAX($L$3:$L$215)</f>
        <v>7223979.7463444471</v>
      </c>
      <c r="N215" s="1">
        <f>$L$215-MAX(0,$M$215)</f>
        <v>0</v>
      </c>
      <c r="O215" s="763">
        <f>($N$215/$C$2)*-1</f>
        <v>0</v>
      </c>
      <c r="P215" s="764">
        <v>0.05</v>
      </c>
      <c r="Q215" s="1">
        <v>2436717.4845373556</v>
      </c>
      <c r="R215" s="1">
        <v>-4787262.2618069081</v>
      </c>
      <c r="S215" s="1">
        <v>10486719.789620806</v>
      </c>
      <c r="T215" s="1">
        <v>3262740.0432765419</v>
      </c>
      <c r="U215" s="763">
        <f>($R$215/$Q$2)*-1</f>
        <v>0.15957540872689693</v>
      </c>
      <c r="V215" s="691"/>
    </row>
    <row r="216" spans="1:22" x14ac:dyDescent="0.25">
      <c r="A216" s="690"/>
      <c r="B216" s="760">
        <v>44876</v>
      </c>
      <c r="C216">
        <v>1623</v>
      </c>
      <c r="D216" s="1">
        <v>278102888.47616112</v>
      </c>
      <c r="E216" s="1">
        <v>0</v>
      </c>
      <c r="F216" s="761">
        <v>196031056.00286582</v>
      </c>
      <c r="G216" s="691">
        <v>870</v>
      </c>
      <c r="H216" s="1">
        <v>-242796222.2708711</v>
      </c>
      <c r="I216" s="1">
        <v>0</v>
      </c>
      <c r="J216" s="761">
        <v>-188927545.05664545</v>
      </c>
      <c r="K216" s="622">
        <v>422552</v>
      </c>
      <c r="L216" s="762">
        <f>$F$216+$J$216</f>
        <v>7103510.9462203681</v>
      </c>
      <c r="M216" s="1">
        <f>MAX($L$3:$L$216)</f>
        <v>7223979.7463444471</v>
      </c>
      <c r="N216" s="1">
        <f>$L$216-MAX(0,$M$216)</f>
        <v>-120468.80012407899</v>
      </c>
      <c r="O216" s="763">
        <f>($N$216/$C$2)*-1</f>
        <v>6.0234400062039494E-3</v>
      </c>
      <c r="P216" s="764">
        <v>0.05</v>
      </c>
      <c r="Q216" s="1">
        <v>1604365.4605209054</v>
      </c>
      <c r="R216" s="1">
        <v>-5499145.4856993556</v>
      </c>
      <c r="S216" s="1">
        <v>11144247.750457743</v>
      </c>
      <c r="T216" s="1">
        <v>4040736.8042374821</v>
      </c>
      <c r="U216" s="763">
        <f>($R$216/$Q$2)*-1</f>
        <v>0.18330484952331186</v>
      </c>
      <c r="V216" s="691"/>
    </row>
    <row r="217" spans="1:22" x14ac:dyDescent="0.25">
      <c r="A217" s="690"/>
      <c r="B217" s="760">
        <v>44879</v>
      </c>
      <c r="C217">
        <v>1647</v>
      </c>
      <c r="D217" s="1">
        <v>291015368.47616112</v>
      </c>
      <c r="E217" s="1">
        <v>0</v>
      </c>
      <c r="F217" s="761">
        <v>196476056.60178176</v>
      </c>
      <c r="G217" s="691">
        <v>870</v>
      </c>
      <c r="H217" s="1">
        <v>-242796222.2708711</v>
      </c>
      <c r="I217" s="1">
        <v>0</v>
      </c>
      <c r="J217" s="761">
        <v>-188939488.05640545</v>
      </c>
      <c r="K217" s="622">
        <v>422552</v>
      </c>
      <c r="L217" s="762">
        <f>$F$217+$J$217</f>
        <v>7536568.5453763008</v>
      </c>
      <c r="M217" s="1">
        <f>MAX($L$3:$L$217)</f>
        <v>7536568.5453763008</v>
      </c>
      <c r="N217" s="1">
        <f>$L$217-MAX(0,$M$217)</f>
        <v>0</v>
      </c>
      <c r="O217" s="763">
        <f>($N$217/$C$2)*-1</f>
        <v>0</v>
      </c>
      <c r="P217" s="764">
        <v>0.05</v>
      </c>
      <c r="Q217" s="1">
        <v>1202066.2800485319</v>
      </c>
      <c r="R217" s="1">
        <v>-6334502.265327733</v>
      </c>
      <c r="S217" s="1">
        <v>12500873.31563195</v>
      </c>
      <c r="T217" s="1">
        <v>4964304.7702556858</v>
      </c>
      <c r="U217" s="763">
        <f>($R$217/$Q$2)*-1</f>
        <v>0.21115007551092443</v>
      </c>
      <c r="V217" s="691"/>
    </row>
    <row r="218" spans="1:22" x14ac:dyDescent="0.25">
      <c r="A218" s="690"/>
      <c r="B218" s="760">
        <v>44881</v>
      </c>
      <c r="C218">
        <v>1659</v>
      </c>
      <c r="D218" s="1">
        <v>285277780.3933388</v>
      </c>
      <c r="E218" s="1">
        <v>0</v>
      </c>
      <c r="F218" s="761">
        <v>196008231.43180981</v>
      </c>
      <c r="G218" s="691">
        <v>870</v>
      </c>
      <c r="H218" s="1">
        <v>-242755475.24825087</v>
      </c>
      <c r="I218" s="1">
        <v>0</v>
      </c>
      <c r="J218" s="761">
        <v>-188784681.02022511</v>
      </c>
      <c r="K218" s="622">
        <v>422552</v>
      </c>
      <c r="L218" s="762">
        <f>$F$218+$J$218</f>
        <v>7223550.4115847051</v>
      </c>
      <c r="M218" s="1">
        <f>MAX($L$3:$L$218)</f>
        <v>7536568.5453763008</v>
      </c>
      <c r="N218" s="1">
        <f>$L$218-MAX(0,$M$218)</f>
        <v>-313018.1337915957</v>
      </c>
      <c r="O218" s="763">
        <f>($N$218/$C$2)*-1</f>
        <v>1.5650906689579785E-2</v>
      </c>
      <c r="P218" s="764">
        <v>0.05</v>
      </c>
      <c r="Q218" s="1">
        <v>1298835.5731876884</v>
      </c>
      <c r="R218" s="1">
        <v>-5924714.8383971164</v>
      </c>
      <c r="S218" s="1">
        <v>11799055.018165531</v>
      </c>
      <c r="T218" s="1">
        <v>4575504.6065807259</v>
      </c>
      <c r="U218" s="763">
        <f>($R$218/$Q$2)*-1</f>
        <v>0.1974904946132372</v>
      </c>
      <c r="V218" s="691"/>
    </row>
    <row r="219" spans="1:22" x14ac:dyDescent="0.25">
      <c r="A219" s="690"/>
      <c r="B219" s="760">
        <v>44882</v>
      </c>
      <c r="C219">
        <v>1672</v>
      </c>
      <c r="D219" s="1">
        <v>301803400.3933388</v>
      </c>
      <c r="E219" s="1">
        <v>0</v>
      </c>
      <c r="F219" s="761">
        <v>195965511.96783587</v>
      </c>
      <c r="G219" s="691">
        <v>882</v>
      </c>
      <c r="H219" s="1">
        <v>-259884275.24825087</v>
      </c>
      <c r="I219" s="1">
        <v>0</v>
      </c>
      <c r="J219" s="761">
        <v>-188765010.39654523</v>
      </c>
      <c r="K219" s="622">
        <v>422552</v>
      </c>
      <c r="L219" s="762">
        <f>$F$219+$J$219</f>
        <v>7200501.571290642</v>
      </c>
      <c r="M219" s="1">
        <f>MAX($L$3:$L$219)</f>
        <v>7536568.5453763008</v>
      </c>
      <c r="N219" s="1">
        <f>$L$219-MAX(0,$M$219)</f>
        <v>-336066.97408565879</v>
      </c>
      <c r="O219" s="763">
        <f>($N$219/$C$2)*-1</f>
        <v>1.680334870428294E-2</v>
      </c>
      <c r="P219" s="764">
        <v>0.05</v>
      </c>
      <c r="Q219" s="1">
        <v>1248065.2154406877</v>
      </c>
      <c r="R219" s="1">
        <v>-5952436.3558499534</v>
      </c>
      <c r="S219" s="1">
        <v>11822774.358895637</v>
      </c>
      <c r="T219" s="1">
        <v>4622272.787604996</v>
      </c>
      <c r="U219" s="763">
        <f>($R$219/$Q$2)*-1</f>
        <v>0.19841454519499843</v>
      </c>
      <c r="V219" s="691"/>
    </row>
    <row r="220" spans="1:22" x14ac:dyDescent="0.25">
      <c r="A220" s="690"/>
      <c r="B220" s="760">
        <v>44883</v>
      </c>
      <c r="C220">
        <v>1674</v>
      </c>
      <c r="D220" s="1">
        <v>302218420.3933388</v>
      </c>
      <c r="E220" s="1">
        <v>0</v>
      </c>
      <c r="F220" s="761">
        <v>195623752.81238365</v>
      </c>
      <c r="G220" s="691">
        <v>882</v>
      </c>
      <c r="H220" s="1">
        <v>-259884275.24825087</v>
      </c>
      <c r="I220" s="1">
        <v>0</v>
      </c>
      <c r="J220" s="761">
        <v>-188574183.5297451</v>
      </c>
      <c r="K220" s="622">
        <v>422552</v>
      </c>
      <c r="L220" s="762">
        <f>$F$220+$J$220</f>
        <v>7049569.2826385498</v>
      </c>
      <c r="M220" s="1">
        <f>MAX($L$3:$L$220)</f>
        <v>7536568.5453763008</v>
      </c>
      <c r="N220" s="1">
        <f>$L$220-MAX(0,$M$220)</f>
        <v>-486999.26273775101</v>
      </c>
      <c r="O220" s="763">
        <f>($N$220/$C$2)*-1</f>
        <v>2.4349963136887549E-2</v>
      </c>
      <c r="P220" s="764">
        <v>0.05</v>
      </c>
      <c r="Q220" s="1">
        <v>839772.25625625905</v>
      </c>
      <c r="R220" s="1">
        <v>-6209797.026382139</v>
      </c>
      <c r="S220" s="1">
        <v>11979272.323490482</v>
      </c>
      <c r="T220" s="1">
        <v>4929703.0408520838</v>
      </c>
      <c r="U220" s="763">
        <f>($R$220/$Q$2)*-1</f>
        <v>0.20699323421273796</v>
      </c>
      <c r="V220" s="691"/>
    </row>
    <row r="221" spans="1:22" x14ac:dyDescent="0.25">
      <c r="A221" s="690"/>
      <c r="B221" s="760">
        <v>44886</v>
      </c>
      <c r="C221">
        <v>1675</v>
      </c>
      <c r="D221" s="1">
        <v>301753420.3933388</v>
      </c>
      <c r="E221" s="1">
        <v>0</v>
      </c>
      <c r="F221" s="761">
        <v>196085976.77890775</v>
      </c>
      <c r="G221" s="691">
        <v>882</v>
      </c>
      <c r="H221" s="1">
        <v>-259884275.24825087</v>
      </c>
      <c r="I221" s="1">
        <v>0</v>
      </c>
      <c r="J221" s="761">
        <v>-188868877.68955696</v>
      </c>
      <c r="K221" s="622">
        <v>422552</v>
      </c>
      <c r="L221" s="762">
        <f>$F$221+$J$221</f>
        <v>7217099.0893507898</v>
      </c>
      <c r="M221" s="1">
        <f>MAX($L$3:$L$221)</f>
        <v>7536568.5453763008</v>
      </c>
      <c r="N221" s="1">
        <f>$L$221-MAX(0,$M$221)</f>
        <v>-319469.45602551103</v>
      </c>
      <c r="O221" s="763">
        <f>($N$221/$C$2)*-1</f>
        <v>1.5973472801275552E-2</v>
      </c>
      <c r="P221" s="764">
        <v>0.05</v>
      </c>
      <c r="Q221" s="1">
        <v>1238206.0450460967</v>
      </c>
      <c r="R221" s="1">
        <v>-5978893.0443047853</v>
      </c>
      <c r="S221" s="1">
        <v>11869528.206964646</v>
      </c>
      <c r="T221" s="1">
        <v>4652429.1176137635</v>
      </c>
      <c r="U221" s="763">
        <f>($R$221/$Q$2)*-1</f>
        <v>0.19929643481015952</v>
      </c>
      <c r="V221" s="691"/>
    </row>
    <row r="222" spans="1:22" x14ac:dyDescent="0.25">
      <c r="A222" s="690"/>
      <c r="B222" s="760">
        <v>44887</v>
      </c>
      <c r="C222">
        <v>1675</v>
      </c>
      <c r="D222" s="1">
        <v>301754284.3933388</v>
      </c>
      <c r="E222" s="1">
        <v>0</v>
      </c>
      <c r="F222" s="761">
        <v>196943050.88775754</v>
      </c>
      <c r="G222" s="691">
        <v>882</v>
      </c>
      <c r="H222" s="1">
        <v>-259884275.24825087</v>
      </c>
      <c r="I222" s="1">
        <v>0</v>
      </c>
      <c r="J222" s="761">
        <v>-189308434.59119776</v>
      </c>
      <c r="K222" s="622">
        <v>422552</v>
      </c>
      <c r="L222" s="762">
        <f>$F$222+$J$222</f>
        <v>7634616.2965597808</v>
      </c>
      <c r="M222" s="1">
        <f>MAX($L$3:$L$222)</f>
        <v>7634616.2965597808</v>
      </c>
      <c r="N222" s="1">
        <f>$L$222-MAX(0,$M$222)</f>
        <v>0</v>
      </c>
      <c r="O222" s="763">
        <f>($N$222/$C$2)*-1</f>
        <v>0</v>
      </c>
      <c r="P222" s="764">
        <v>0.05</v>
      </c>
      <c r="Q222" s="1">
        <v>1729956.8595512249</v>
      </c>
      <c r="R222" s="1">
        <v>-5904659.4370083036</v>
      </c>
      <c r="S222" s="1">
        <v>12140302.86776023</v>
      </c>
      <c r="T222" s="1">
        <v>4505686.5712007014</v>
      </c>
      <c r="U222" s="763">
        <f>($R$222/$Q$2)*-1</f>
        <v>0.19682198123361011</v>
      </c>
      <c r="V222" s="691"/>
    </row>
    <row r="223" spans="1:22" x14ac:dyDescent="0.25">
      <c r="A223" s="690"/>
      <c r="B223" s="760">
        <v>44888</v>
      </c>
      <c r="C223">
        <v>1675</v>
      </c>
      <c r="D223" s="1">
        <v>301753420.3933388</v>
      </c>
      <c r="E223" s="1">
        <v>0</v>
      </c>
      <c r="F223" s="761">
        <v>196044788.57482132</v>
      </c>
      <c r="G223" s="691">
        <v>882</v>
      </c>
      <c r="H223" s="1">
        <v>-259884275.24825087</v>
      </c>
      <c r="I223" s="1">
        <v>0</v>
      </c>
      <c r="J223" s="761">
        <v>-188949244.05330512</v>
      </c>
      <c r="K223" s="622">
        <v>422552</v>
      </c>
      <c r="L223" s="762">
        <f>$F$223+$J$223</f>
        <v>7095544.5215162039</v>
      </c>
      <c r="M223" s="1">
        <f>MAX($L$3:$L$223)</f>
        <v>7634616.2965597808</v>
      </c>
      <c r="N223" s="1">
        <f>$L$223-MAX(0,$M$223)</f>
        <v>-539071.77504357696</v>
      </c>
      <c r="O223" s="763">
        <f>($N$223/$C$2)*-1</f>
        <v>2.6953588752178848E-2</v>
      </c>
      <c r="P223" s="764">
        <v>0.05</v>
      </c>
      <c r="Q223" s="1">
        <v>1098272.3951297239</v>
      </c>
      <c r="R223" s="1">
        <v>-5997272.1263864413</v>
      </c>
      <c r="S223" s="1">
        <v>11837375.877325566</v>
      </c>
      <c r="T223" s="1">
        <v>4741831.3558094008</v>
      </c>
      <c r="U223" s="763">
        <f>($R$223/$Q$2)*-1</f>
        <v>0.19990907087954804</v>
      </c>
      <c r="V223" s="691"/>
    </row>
    <row r="224" spans="1:22" x14ac:dyDescent="0.25">
      <c r="A224" s="690"/>
      <c r="B224" s="760">
        <v>44889</v>
      </c>
      <c r="C224">
        <v>1675</v>
      </c>
      <c r="D224" s="1">
        <v>301754284.3933388</v>
      </c>
      <c r="E224" s="1">
        <v>0</v>
      </c>
      <c r="F224" s="761">
        <v>197205267.2670415</v>
      </c>
      <c r="G224" s="691">
        <v>882</v>
      </c>
      <c r="H224" s="1">
        <v>-259884275.24825087</v>
      </c>
      <c r="I224" s="1">
        <v>0</v>
      </c>
      <c r="J224" s="761">
        <v>-189449681.01098895</v>
      </c>
      <c r="K224" s="622">
        <v>422552</v>
      </c>
      <c r="L224" s="762">
        <f>$F$224+$J$224</f>
        <v>7755586.2560525537</v>
      </c>
      <c r="M224" s="1">
        <f>MAX($L$3:$L$224)</f>
        <v>7755586.2560525537</v>
      </c>
      <c r="N224" s="1">
        <f>$L$224-MAX(0,$M$224)</f>
        <v>0</v>
      </c>
      <c r="O224" s="763">
        <f>($N$224/$C$2)*-1</f>
        <v>0</v>
      </c>
      <c r="P224" s="764">
        <v>0.05</v>
      </c>
      <c r="Q224" s="1">
        <v>1857888.6891681924</v>
      </c>
      <c r="R224" s="1">
        <v>-5897697.5668842206</v>
      </c>
      <c r="S224" s="1">
        <v>12284453.321665622</v>
      </c>
      <c r="T224" s="1">
        <v>4528867.0656132093</v>
      </c>
      <c r="U224" s="763">
        <f>($R$224/$Q$2)*-1</f>
        <v>0.19658991889614069</v>
      </c>
      <c r="V224" s="691"/>
    </row>
    <row r="225" spans="1:22" x14ac:dyDescent="0.25">
      <c r="A225" s="690"/>
      <c r="B225" s="760">
        <v>44890</v>
      </c>
      <c r="C225">
        <v>1675</v>
      </c>
      <c r="D225" s="1">
        <v>301753420.3933388</v>
      </c>
      <c r="E225" s="1">
        <v>0</v>
      </c>
      <c r="F225" s="761">
        <v>197134405.17920369</v>
      </c>
      <c r="G225" s="691">
        <v>882</v>
      </c>
      <c r="H225" s="1">
        <v>-259884275.24825087</v>
      </c>
      <c r="I225" s="1">
        <v>0</v>
      </c>
      <c r="J225" s="761">
        <v>-189487656.24918514</v>
      </c>
      <c r="K225" s="622">
        <v>422552</v>
      </c>
      <c r="L225" s="762">
        <f>$F$225+$J$225</f>
        <v>7646748.9300185442</v>
      </c>
      <c r="M225" s="1">
        <f>MAX($L$3:$L$225)</f>
        <v>7755586.2560525537</v>
      </c>
      <c r="N225" s="1">
        <f>$L$225-MAX(0,$M$225)</f>
        <v>-108837.32603400946</v>
      </c>
      <c r="O225" s="763">
        <f>($N$225/$C$2)*-1</f>
        <v>5.4418663017004728E-3</v>
      </c>
      <c r="P225" s="764">
        <v>0.05</v>
      </c>
      <c r="Q225" s="1">
        <v>1718310.1853386648</v>
      </c>
      <c r="R225" s="1">
        <v>-5928438.7446797388</v>
      </c>
      <c r="S225" s="1">
        <v>12239237.501015246</v>
      </c>
      <c r="T225" s="1">
        <v>4592488.5709968423</v>
      </c>
      <c r="U225" s="763">
        <f>($R$225/$Q$2)*-1</f>
        <v>0.19761462482265796</v>
      </c>
      <c r="V225" s="691"/>
    </row>
    <row r="226" spans="1:22" x14ac:dyDescent="0.25">
      <c r="A226" s="690"/>
      <c r="B226" s="760">
        <v>44893</v>
      </c>
      <c r="C226">
        <v>1675</v>
      </c>
      <c r="D226" s="1">
        <v>301753420.3933388</v>
      </c>
      <c r="E226" s="1">
        <v>0</v>
      </c>
      <c r="F226" s="761">
        <v>194953987.30147153</v>
      </c>
      <c r="G226" s="691">
        <v>882</v>
      </c>
      <c r="H226" s="1">
        <v>-259884275.24825087</v>
      </c>
      <c r="I226" s="1">
        <v>0</v>
      </c>
      <c r="J226" s="761">
        <v>-188259099.97182512</v>
      </c>
      <c r="K226" s="622">
        <v>422552</v>
      </c>
      <c r="L226" s="762">
        <f>$F$226+$J$226</f>
        <v>6694887.3296464086</v>
      </c>
      <c r="M226" s="1">
        <f>MAX($L$3:$L$226)</f>
        <v>7755586.2560525537</v>
      </c>
      <c r="N226" s="1">
        <f>$L$226-MAX(0,$M$226)</f>
        <v>-1060698.9264061451</v>
      </c>
      <c r="O226" s="763">
        <f>($N$226/$C$2)*-1</f>
        <v>5.3034946320307252E-2</v>
      </c>
      <c r="P226" s="764">
        <v>0.05</v>
      </c>
      <c r="Q226" s="1">
        <v>605443.80293160491</v>
      </c>
      <c r="R226" s="1">
        <v>-6089443.5267147971</v>
      </c>
      <c r="S226" s="1">
        <v>11614291.296758059</v>
      </c>
      <c r="T226" s="1">
        <v>4919403.9671116574</v>
      </c>
      <c r="U226" s="763">
        <f>($R$226/$Q$2)*-1</f>
        <v>0.20298145089049324</v>
      </c>
      <c r="V226" s="691"/>
    </row>
    <row r="227" spans="1:22" x14ac:dyDescent="0.25">
      <c r="A227" s="690"/>
      <c r="B227" s="760">
        <v>44894</v>
      </c>
      <c r="C227">
        <v>1675</v>
      </c>
      <c r="D227" s="1">
        <v>301754284.3933388</v>
      </c>
      <c r="E227" s="1">
        <v>0</v>
      </c>
      <c r="F227" s="761">
        <v>196485142.68749365</v>
      </c>
      <c r="G227" s="691">
        <v>882</v>
      </c>
      <c r="H227" s="1">
        <v>-259884275.24825087</v>
      </c>
      <c r="I227" s="1">
        <v>0</v>
      </c>
      <c r="J227" s="761">
        <v>-189189790.23138514</v>
      </c>
      <c r="K227" s="622">
        <v>422552</v>
      </c>
      <c r="L227" s="762">
        <f>$F$227+$J$227</f>
        <v>7295352.4561085105</v>
      </c>
      <c r="M227" s="1">
        <f>MAX($L$3:$L$227)</f>
        <v>7755586.2560525537</v>
      </c>
      <c r="N227" s="1">
        <f>$L$227-MAX(0,$M$227)</f>
        <v>-460233.79994404316</v>
      </c>
      <c r="O227" s="763">
        <f>($N$227/$C$2)*-1</f>
        <v>2.3011689997202159E-2</v>
      </c>
      <c r="P227" s="764">
        <v>0.05</v>
      </c>
      <c r="Q227" s="1">
        <v>1281515.4723389302</v>
      </c>
      <c r="R227" s="1">
        <v>-6013836.9837694801</v>
      </c>
      <c r="S227" s="1">
        <v>12102204.543915343</v>
      </c>
      <c r="T227" s="1">
        <v>4806852.0878069317</v>
      </c>
      <c r="U227" s="763">
        <f>($R$227/$Q$2)*-1</f>
        <v>0.20046123279231601</v>
      </c>
      <c r="V227" s="691"/>
    </row>
    <row r="228" spans="1:22" x14ac:dyDescent="0.25">
      <c r="A228" s="690"/>
      <c r="B228" s="760">
        <v>44895</v>
      </c>
      <c r="C228">
        <v>1675</v>
      </c>
      <c r="D228" s="1">
        <v>301754500.3933388</v>
      </c>
      <c r="E228" s="1">
        <v>0</v>
      </c>
      <c r="F228" s="761">
        <v>197112611.12344307</v>
      </c>
      <c r="G228" s="691">
        <v>882</v>
      </c>
      <c r="H228" s="1">
        <v>-259884275.24825087</v>
      </c>
      <c r="I228" s="1">
        <v>0</v>
      </c>
      <c r="J228" s="761">
        <v>-189470040.17748034</v>
      </c>
      <c r="K228" s="622">
        <v>422552</v>
      </c>
      <c r="L228" s="762">
        <f>$F$228+$J$228</f>
        <v>7642570.9459627271</v>
      </c>
      <c r="M228" s="1">
        <f>MAX($L$3:$L$228)</f>
        <v>7755586.2560525537</v>
      </c>
      <c r="N228" s="1">
        <f>$L$228-MAX(0,$M$228)</f>
        <v>-113015.31008982658</v>
      </c>
      <c r="O228" s="763">
        <f>($N$228/$C$2)*-1</f>
        <v>5.6507655044913292E-3</v>
      </c>
      <c r="P228" s="764">
        <v>0.05</v>
      </c>
      <c r="Q228" s="1">
        <v>1698421.5586518897</v>
      </c>
      <c r="R228" s="1">
        <v>-5944149.3873107489</v>
      </c>
      <c r="S228" s="1">
        <v>12267538.632622518</v>
      </c>
      <c r="T228" s="1">
        <v>4624967.6866598791</v>
      </c>
      <c r="U228" s="763">
        <f>($R$228/$Q$2)*-1</f>
        <v>0.1981383129103583</v>
      </c>
      <c r="V228" s="691"/>
    </row>
    <row r="229" spans="1:22" x14ac:dyDescent="0.25">
      <c r="A229" s="690"/>
      <c r="B229" s="760">
        <v>44896</v>
      </c>
      <c r="C229">
        <v>1690</v>
      </c>
      <c r="D229" s="1">
        <v>303244904.78585643</v>
      </c>
      <c r="E229" s="1">
        <v>0</v>
      </c>
      <c r="F229" s="761">
        <v>199767356.05177876</v>
      </c>
      <c r="G229" s="691">
        <v>882</v>
      </c>
      <c r="H229" s="1">
        <v>-259951942.05312759</v>
      </c>
      <c r="I229" s="1">
        <v>0</v>
      </c>
      <c r="J229" s="761">
        <v>-190869249.92474189</v>
      </c>
      <c r="K229" s="622">
        <v>422552</v>
      </c>
      <c r="L229" s="762">
        <f>$F$229+$J$229</f>
        <v>8898106.1270368695</v>
      </c>
      <c r="M229" s="1">
        <f>MAX($L$3:$L$229)</f>
        <v>8898106.1270368695</v>
      </c>
      <c r="N229" s="1">
        <f>$L$229-MAX(0,$M$229)</f>
        <v>0</v>
      </c>
      <c r="O229" s="763">
        <f>($N$229/$C$2)*-1</f>
        <v>0</v>
      </c>
      <c r="P229" s="764">
        <v>0.05</v>
      </c>
      <c r="Q229" s="1">
        <v>2816954.3106718827</v>
      </c>
      <c r="R229" s="1">
        <v>-6081151.8163652178</v>
      </c>
      <c r="S229" s="1">
        <v>13536340.491768472</v>
      </c>
      <c r="T229" s="1">
        <v>4638234.3647313714</v>
      </c>
      <c r="U229" s="763">
        <f>($R$229/$Q$2)*-1</f>
        <v>0.20270506054550727</v>
      </c>
      <c r="V229" s="691"/>
    </row>
    <row r="230" spans="1:22" x14ac:dyDescent="0.25">
      <c r="A230" s="690"/>
      <c r="B230" s="760">
        <v>44897</v>
      </c>
      <c r="C230">
        <v>1693</v>
      </c>
      <c r="D230" s="1">
        <v>303774368.78585643</v>
      </c>
      <c r="E230" s="1">
        <v>0</v>
      </c>
      <c r="F230" s="761">
        <v>199714955.90829867</v>
      </c>
      <c r="G230" s="691">
        <v>883</v>
      </c>
      <c r="H230" s="1">
        <v>-260046982.05312759</v>
      </c>
      <c r="I230" s="1">
        <v>0</v>
      </c>
      <c r="J230" s="761">
        <v>-190813747.2971597</v>
      </c>
      <c r="K230" s="622">
        <v>422552</v>
      </c>
      <c r="L230" s="762">
        <f>$F$230+$J$230</f>
        <v>8901208.6111389697</v>
      </c>
      <c r="M230" s="1">
        <f>MAX($L$3:$L$230)</f>
        <v>8901208.6111389697</v>
      </c>
      <c r="N230" s="1">
        <f>$L$230-MAX(0,$M$230)</f>
        <v>0</v>
      </c>
      <c r="O230" s="763">
        <f>($N$230/$C$2)*-1</f>
        <v>0</v>
      </c>
      <c r="P230" s="764">
        <v>0.05</v>
      </c>
      <c r="Q230" s="1">
        <v>2716898.6625496978</v>
      </c>
      <c r="R230" s="1">
        <v>-6184309.9485894768</v>
      </c>
      <c r="S230" s="1">
        <v>13638519.722636774</v>
      </c>
      <c r="T230" s="1">
        <v>4737311.1114975996</v>
      </c>
      <c r="U230" s="763">
        <f>($R$230/$Q$2)*-1</f>
        <v>0.20614366495298256</v>
      </c>
      <c r="V230" s="691"/>
    </row>
    <row r="231" spans="1:22" x14ac:dyDescent="0.25">
      <c r="A231" s="690"/>
      <c r="B231" s="760">
        <v>44900</v>
      </c>
      <c r="C231">
        <v>1693</v>
      </c>
      <c r="D231" s="1">
        <v>303774368.78585643</v>
      </c>
      <c r="E231" s="1">
        <v>0</v>
      </c>
      <c r="F231" s="761">
        <v>199975773.41058064</v>
      </c>
      <c r="G231" s="691">
        <v>883</v>
      </c>
      <c r="H231" s="1">
        <v>-260046982.05312759</v>
      </c>
      <c r="I231" s="1">
        <v>0</v>
      </c>
      <c r="J231" s="761">
        <v>-190995309.72021395</v>
      </c>
      <c r="K231" s="622">
        <v>422552</v>
      </c>
      <c r="L231" s="762">
        <f>$F$231+$J$231</f>
        <v>8980463.6903666854</v>
      </c>
      <c r="M231" s="1">
        <f>MAX($L$3:$L$231)</f>
        <v>8980463.6903666854</v>
      </c>
      <c r="N231" s="1">
        <f>$L$231-MAX(0,$M$231)</f>
        <v>0</v>
      </c>
      <c r="O231" s="763">
        <f>($N$231/$C$2)*-1</f>
        <v>0</v>
      </c>
      <c r="P231" s="764">
        <v>0.05</v>
      </c>
      <c r="Q231" s="1">
        <v>2799061.533885357</v>
      </c>
      <c r="R231" s="1">
        <v>-6181402.1564817419</v>
      </c>
      <c r="S231" s="1">
        <v>13753131.614512153</v>
      </c>
      <c r="T231" s="1">
        <v>4772667.9241450541</v>
      </c>
      <c r="U231" s="763">
        <f>($R$231/$Q$2)*-1</f>
        <v>0.2060467385493914</v>
      </c>
      <c r="V231" s="691"/>
    </row>
    <row r="232" spans="1:22" x14ac:dyDescent="0.25">
      <c r="A232" s="690"/>
      <c r="B232" s="760">
        <v>44901</v>
      </c>
      <c r="C232">
        <v>1693</v>
      </c>
      <c r="D232" s="1">
        <v>303774368.78585643</v>
      </c>
      <c r="E232" s="1">
        <v>0</v>
      </c>
      <c r="F232" s="761">
        <v>200203481.3104496</v>
      </c>
      <c r="G232" s="691">
        <v>883</v>
      </c>
      <c r="H232" s="1">
        <v>-260046982.05312759</v>
      </c>
      <c r="I232" s="1">
        <v>0</v>
      </c>
      <c r="J232" s="761">
        <v>-191087253.91219473</v>
      </c>
      <c r="K232" s="622">
        <v>422552</v>
      </c>
      <c r="L232" s="762">
        <f>$F$232+$J$232</f>
        <v>9116227.3982548714</v>
      </c>
      <c r="M232" s="1">
        <f>MAX($L$3:$L$232)</f>
        <v>9116227.3982548714</v>
      </c>
      <c r="N232" s="1">
        <f>$L$232-MAX(0,$M$232)</f>
        <v>0</v>
      </c>
      <c r="O232" s="763">
        <f>($N$232/$C$2)*-1</f>
        <v>0</v>
      </c>
      <c r="P232" s="764">
        <v>0.05</v>
      </c>
      <c r="Q232" s="1">
        <v>2945890.4421617873</v>
      </c>
      <c r="R232" s="1">
        <v>-6170336.956093315</v>
      </c>
      <c r="S232" s="1">
        <v>13877073.007250022</v>
      </c>
      <c r="T232" s="1">
        <v>4760845.6089949198</v>
      </c>
      <c r="U232" s="763">
        <f>($R$232/$Q$2)*-1</f>
        <v>0.20567789853644383</v>
      </c>
      <c r="V232" s="691"/>
    </row>
    <row r="233" spans="1:22" x14ac:dyDescent="0.25">
      <c r="A233" s="690"/>
      <c r="B233" s="760">
        <v>44902</v>
      </c>
      <c r="C233">
        <v>1716</v>
      </c>
      <c r="D233" s="1">
        <v>301047348.77223241</v>
      </c>
      <c r="E233" s="1">
        <v>0</v>
      </c>
      <c r="F233" s="761">
        <v>201239896.37395337</v>
      </c>
      <c r="G233" s="691">
        <v>888</v>
      </c>
      <c r="H233" s="1">
        <v>-261308978.03950357</v>
      </c>
      <c r="I233" s="1">
        <v>0</v>
      </c>
      <c r="J233" s="761">
        <v>-191502510.231022</v>
      </c>
      <c r="K233" s="622">
        <v>422552</v>
      </c>
      <c r="L233" s="762">
        <f>$F$233+$J$233</f>
        <v>9737386.1429313719</v>
      </c>
      <c r="M233" s="1">
        <f>MAX($L$3:$L$233)</f>
        <v>9737386.1429313719</v>
      </c>
      <c r="N233" s="1">
        <f>$L$233-MAX(0,$M$233)</f>
        <v>0</v>
      </c>
      <c r="O233" s="763">
        <f>($N$233/$C$2)*-1</f>
        <v>0</v>
      </c>
      <c r="P233" s="764">
        <v>0.05</v>
      </c>
      <c r="Q233" s="1">
        <v>3927996.2655622512</v>
      </c>
      <c r="R233" s="1">
        <v>-5809389.8773690872</v>
      </c>
      <c r="S233" s="1">
        <v>13918860.66485714</v>
      </c>
      <c r="T233" s="1">
        <v>4181474.5219258014</v>
      </c>
      <c r="U233" s="763">
        <f>($R$233/$Q$2)*-1</f>
        <v>0.19364632924563624</v>
      </c>
      <c r="V233" s="691"/>
    </row>
    <row r="234" spans="1:22" x14ac:dyDescent="0.25">
      <c r="A234" s="690"/>
      <c r="B234" s="760">
        <v>44903</v>
      </c>
      <c r="C234">
        <v>1717</v>
      </c>
      <c r="D234" s="1">
        <v>300874059.17223239</v>
      </c>
      <c r="E234" s="1">
        <v>0</v>
      </c>
      <c r="F234" s="761">
        <v>200840709.01045889</v>
      </c>
      <c r="G234" s="691">
        <v>888</v>
      </c>
      <c r="H234" s="1">
        <v>-261308978.03950357</v>
      </c>
      <c r="I234" s="1">
        <v>0</v>
      </c>
      <c r="J234" s="761">
        <v>-191317374.63950196</v>
      </c>
      <c r="K234" s="622">
        <v>422552</v>
      </c>
      <c r="L234" s="762">
        <f>$F$234+$J$234</f>
        <v>9523334.3709569275</v>
      </c>
      <c r="M234" s="1">
        <f>MAX($L$3:$L$234)</f>
        <v>9737386.1429313719</v>
      </c>
      <c r="N234" s="1">
        <f>$L$234-MAX(0,$M$234)</f>
        <v>-214051.77197444439</v>
      </c>
      <c r="O234" s="763">
        <f>($N$234/$C$2)*-1</f>
        <v>1.070258859872222E-2</v>
      </c>
      <c r="P234" s="764">
        <v>0.05</v>
      </c>
      <c r="Q234" s="1">
        <v>3669070.8689279296</v>
      </c>
      <c r="R234" s="1">
        <v>-5854263.5020291694</v>
      </c>
      <c r="S234" s="1">
        <v>13866844.927205617</v>
      </c>
      <c r="T234" s="1">
        <v>4343510.5562485177</v>
      </c>
      <c r="U234" s="763">
        <f>($R$234/$Q$2)*-1</f>
        <v>0.19514211673430565</v>
      </c>
      <c r="V234" s="691"/>
    </row>
    <row r="235" spans="1:22" x14ac:dyDescent="0.25">
      <c r="A235" s="690"/>
      <c r="B235" s="760">
        <v>44904</v>
      </c>
      <c r="C235">
        <v>1729</v>
      </c>
      <c r="D235" s="1">
        <v>340732059.17223239</v>
      </c>
      <c r="E235" s="1">
        <v>0</v>
      </c>
      <c r="F235" s="761">
        <v>199661843.45963481</v>
      </c>
      <c r="G235" s="691">
        <v>900</v>
      </c>
      <c r="H235" s="1">
        <v>-301166978.03950357</v>
      </c>
      <c r="I235" s="1">
        <v>0</v>
      </c>
      <c r="J235" s="761">
        <v>-190132290.81152198</v>
      </c>
      <c r="K235" s="622">
        <v>438804</v>
      </c>
      <c r="L235" s="762">
        <f>$F$235+$J$235</f>
        <v>9529552.6481128335</v>
      </c>
      <c r="M235" s="1">
        <f>MAX($L$3:$L$235)</f>
        <v>9737386.1429313719</v>
      </c>
      <c r="N235" s="1">
        <f>$L$235-MAX(0,$M$235)</f>
        <v>-207833.49481853843</v>
      </c>
      <c r="O235" s="763">
        <f>($N$235/$C$2)*-1</f>
        <v>1.0391674740926921E-2</v>
      </c>
      <c r="P235" s="764">
        <v>0.05</v>
      </c>
      <c r="Q235" s="1">
        <v>4352722.200953464</v>
      </c>
      <c r="R235" s="1">
        <v>-5176830.4471593956</v>
      </c>
      <c r="S235" s="1">
        <v>13971238.771801149</v>
      </c>
      <c r="T235" s="1">
        <v>4441686.1236882899</v>
      </c>
      <c r="U235" s="763">
        <f>($R$235/$Q$2)*-1</f>
        <v>0.1725610149053132</v>
      </c>
      <c r="V235" s="691"/>
    </row>
    <row r="236" spans="1:22" x14ac:dyDescent="0.25">
      <c r="A236" s="690"/>
      <c r="B236" s="760">
        <v>44907</v>
      </c>
      <c r="C236">
        <v>1729</v>
      </c>
      <c r="D236" s="1">
        <v>340732059.17223239</v>
      </c>
      <c r="E236" s="1">
        <v>0</v>
      </c>
      <c r="F236" s="761">
        <v>199953388.81804442</v>
      </c>
      <c r="G236" s="691">
        <v>900</v>
      </c>
      <c r="H236" s="1">
        <v>-301166978.03950357</v>
      </c>
      <c r="I236" s="1">
        <v>0</v>
      </c>
      <c r="J236" s="761">
        <v>-190295678.21569955</v>
      </c>
      <c r="K236" s="622">
        <v>438804</v>
      </c>
      <c r="L236" s="762">
        <f>$F$236+$J$236</f>
        <v>9657710.6023448706</v>
      </c>
      <c r="M236" s="1">
        <f>MAX($L$3:$L$236)</f>
        <v>9737386.1429313719</v>
      </c>
      <c r="N236" s="1">
        <f>$L$236-MAX(0,$M$236)</f>
        <v>-79675.54058650136</v>
      </c>
      <c r="O236" s="763">
        <f>($N$236/$C$2)*-1</f>
        <v>3.9837770293250684E-3</v>
      </c>
      <c r="P236" s="764">
        <v>0.05</v>
      </c>
      <c r="Q236" s="1">
        <v>4481648.2466974026</v>
      </c>
      <c r="R236" s="1">
        <v>-5176062.3556475351</v>
      </c>
      <c r="S236" s="1">
        <v>14215645.419466633</v>
      </c>
      <c r="T236" s="1">
        <v>4557934.8171216957</v>
      </c>
      <c r="U236" s="763">
        <f>($R$236/$Q$2)*-1</f>
        <v>0.17253541185491783</v>
      </c>
      <c r="V236" s="691"/>
    </row>
    <row r="237" spans="1:22" x14ac:dyDescent="0.25">
      <c r="A237" s="690"/>
      <c r="B237" s="760">
        <v>44908</v>
      </c>
      <c r="C237">
        <v>1729</v>
      </c>
      <c r="D237" s="1">
        <v>340732059.17223239</v>
      </c>
      <c r="E237" s="1">
        <v>0</v>
      </c>
      <c r="F237" s="761">
        <v>200183080.5088762</v>
      </c>
      <c r="G237" s="691">
        <v>900</v>
      </c>
      <c r="H237" s="1">
        <v>-301166978.03950357</v>
      </c>
      <c r="I237" s="1">
        <v>0</v>
      </c>
      <c r="J237" s="761">
        <v>-190522034.8173219</v>
      </c>
      <c r="K237" s="622">
        <v>438804</v>
      </c>
      <c r="L237" s="762">
        <f>$F$237+$J$237</f>
        <v>9661045.6915543079</v>
      </c>
      <c r="M237" s="1">
        <f>MAX($L$3:$L$237)</f>
        <v>9737386.1429313719</v>
      </c>
      <c r="N237" s="1">
        <f>$L$237-MAX(0,$M$237)</f>
        <v>-76340.45137706399</v>
      </c>
      <c r="O237" s="763">
        <f>($N$237/$C$2)*-1</f>
        <v>3.8170225688531996E-3</v>
      </c>
      <c r="P237" s="764">
        <v>0.05</v>
      </c>
      <c r="Q237" s="1">
        <v>4472806.6392429108</v>
      </c>
      <c r="R237" s="1">
        <v>-5188239.052311386</v>
      </c>
      <c r="S237" s="1">
        <v>14267678.569121063</v>
      </c>
      <c r="T237" s="1">
        <v>4606632.877566766</v>
      </c>
      <c r="U237" s="763">
        <f>($R$237/$Q$2)*-1</f>
        <v>0.17294130174371286</v>
      </c>
      <c r="V237" s="691"/>
    </row>
    <row r="238" spans="1:22" x14ac:dyDescent="0.25">
      <c r="A238" s="690"/>
      <c r="B238" s="760">
        <v>44909</v>
      </c>
      <c r="C238">
        <v>1729</v>
      </c>
      <c r="D238" s="1">
        <v>340732059.17223239</v>
      </c>
      <c r="E238" s="1">
        <v>0</v>
      </c>
      <c r="F238" s="761">
        <v>200829667.49754003</v>
      </c>
      <c r="G238" s="691">
        <v>900</v>
      </c>
      <c r="H238" s="1">
        <v>-301166978.03950357</v>
      </c>
      <c r="I238" s="1">
        <v>0</v>
      </c>
      <c r="J238" s="761">
        <v>-191094443.53899372</v>
      </c>
      <c r="K238" s="622">
        <v>438804</v>
      </c>
      <c r="L238" s="762">
        <f>$F$238+$J$238</f>
        <v>9735223.9585463107</v>
      </c>
      <c r="M238" s="1">
        <f>MAX($L$3:$L$238)</f>
        <v>9737386.1429313719</v>
      </c>
      <c r="N238" s="1">
        <f>$L$238-MAX(0,$M$238)</f>
        <v>-2162.184385061264</v>
      </c>
      <c r="O238" s="763">
        <f>($N$238/$C$2)*-1</f>
        <v>1.0810921925306321E-4</v>
      </c>
      <c r="P238" s="764">
        <v>0.05</v>
      </c>
      <c r="Q238" s="1">
        <v>4569704.7117603337</v>
      </c>
      <c r="R238" s="1">
        <v>-5165519.2467862861</v>
      </c>
      <c r="S238" s="1">
        <v>14372831.031490626</v>
      </c>
      <c r="T238" s="1">
        <v>4637607.072944006</v>
      </c>
      <c r="U238" s="763">
        <f>($R$238/$Q$2)*-1</f>
        <v>0.17218397489287621</v>
      </c>
      <c r="V238" s="691"/>
    </row>
    <row r="239" spans="1:22" x14ac:dyDescent="0.25">
      <c r="A239" s="690"/>
      <c r="B239" s="760">
        <v>44910</v>
      </c>
      <c r="C239">
        <v>1729</v>
      </c>
      <c r="D239" s="1">
        <v>340732059.17223239</v>
      </c>
      <c r="E239" s="1">
        <v>0</v>
      </c>
      <c r="F239" s="761">
        <v>202415745.45659855</v>
      </c>
      <c r="G239" s="691">
        <v>900</v>
      </c>
      <c r="H239" s="1">
        <v>-301166978.03950357</v>
      </c>
      <c r="I239" s="1">
        <v>0</v>
      </c>
      <c r="J239" s="761">
        <v>-192406288.53015399</v>
      </c>
      <c r="K239" s="622">
        <v>438804</v>
      </c>
      <c r="L239" s="762">
        <f>$F$239+$J$239</f>
        <v>10009456.92644456</v>
      </c>
      <c r="M239" s="1">
        <f>MAX($L$3:$L$239)</f>
        <v>10009456.92644456</v>
      </c>
      <c r="N239" s="1">
        <f>$L$239-MAX(0,$M$239)</f>
        <v>0</v>
      </c>
      <c r="O239" s="763">
        <f>($N$239/$C$2)*-1</f>
        <v>0</v>
      </c>
      <c r="P239" s="764">
        <v>0.05</v>
      </c>
      <c r="Q239" s="1">
        <v>4867638.1254530912</v>
      </c>
      <c r="R239" s="1">
        <v>-5141818.800991849</v>
      </c>
      <c r="S239" s="1">
        <v>14630487.864682274</v>
      </c>
      <c r="T239" s="1">
        <v>4621030.9382373337</v>
      </c>
      <c r="U239" s="763">
        <f>($R$239/$Q$2)*-1</f>
        <v>0.17139396003306165</v>
      </c>
      <c r="V239" s="691"/>
    </row>
    <row r="240" spans="1:22" x14ac:dyDescent="0.25">
      <c r="A240" s="690"/>
      <c r="B240" s="760">
        <v>44911</v>
      </c>
      <c r="C240">
        <v>1738</v>
      </c>
      <c r="D240" s="1">
        <v>341157939.17223239</v>
      </c>
      <c r="E240" s="1">
        <v>0</v>
      </c>
      <c r="F240" s="761">
        <v>203325120.89755303</v>
      </c>
      <c r="G240" s="691">
        <v>900</v>
      </c>
      <c r="H240" s="1">
        <v>-301166978.03950357</v>
      </c>
      <c r="I240" s="1">
        <v>0</v>
      </c>
      <c r="J240" s="761">
        <v>-192976326.46220198</v>
      </c>
      <c r="K240" s="622">
        <v>438804</v>
      </c>
      <c r="L240" s="762">
        <f>$F$240+$J$240</f>
        <v>10348794.435351044</v>
      </c>
      <c r="M240" s="1">
        <f>MAX($L$3:$L$240)</f>
        <v>10348794.435351044</v>
      </c>
      <c r="N240" s="1">
        <f>$L$240-MAX(0,$M$240)</f>
        <v>0</v>
      </c>
      <c r="O240" s="763">
        <f>($N$240/$C$2)*-1</f>
        <v>0</v>
      </c>
      <c r="P240" s="764">
        <v>0.05</v>
      </c>
      <c r="Q240" s="1">
        <v>5171683.6585161723</v>
      </c>
      <c r="R240" s="1">
        <v>-5177110.7768349275</v>
      </c>
      <c r="S240" s="1">
        <v>14919589.964367796</v>
      </c>
      <c r="T240" s="1">
        <v>4570795.5290166959</v>
      </c>
      <c r="U240" s="763">
        <f>($R$240/$Q$2)*-1</f>
        <v>0.17257035922783093</v>
      </c>
      <c r="V240" s="691"/>
    </row>
    <row r="241" spans="1:22" x14ac:dyDescent="0.25">
      <c r="A241" s="690"/>
      <c r="B241" s="760">
        <v>44914</v>
      </c>
      <c r="C241">
        <v>1738</v>
      </c>
      <c r="D241" s="1">
        <v>341157939.17223239</v>
      </c>
      <c r="E241" s="1">
        <v>0</v>
      </c>
      <c r="F241" s="761">
        <v>203162861.76102859</v>
      </c>
      <c r="G241" s="691">
        <v>900</v>
      </c>
      <c r="H241" s="1">
        <v>-301166978.03950357</v>
      </c>
      <c r="I241" s="1">
        <v>0</v>
      </c>
      <c r="J241" s="761">
        <v>-192761966.35820198</v>
      </c>
      <c r="K241" s="622">
        <v>438804</v>
      </c>
      <c r="L241" s="762">
        <f>$F$241+$J$241</f>
        <v>10400895.402826607</v>
      </c>
      <c r="M241" s="1">
        <f>MAX($L$3:$L$241)</f>
        <v>10400895.402826607</v>
      </c>
      <c r="N241" s="1">
        <f>$L$241-MAX(0,$M$241)</f>
        <v>0</v>
      </c>
      <c r="O241" s="763">
        <f>($N$241/$C$2)*-1</f>
        <v>0</v>
      </c>
      <c r="P241" s="764">
        <v>0.05</v>
      </c>
      <c r="Q241" s="1">
        <v>5224033.6787044583</v>
      </c>
      <c r="R241" s="1">
        <v>-5176861.7241220744</v>
      </c>
      <c r="S241" s="1">
        <v>15046542.303605063</v>
      </c>
      <c r="T241" s="1">
        <v>4645646.9007785302</v>
      </c>
      <c r="U241" s="763">
        <f>($R$241/$Q$2)*-1</f>
        <v>0.1725620574707358</v>
      </c>
      <c r="V241" s="691"/>
    </row>
    <row r="242" spans="1:22" x14ac:dyDescent="0.25">
      <c r="A242" s="690"/>
      <c r="B242" s="760">
        <v>44915</v>
      </c>
      <c r="C242">
        <v>1738</v>
      </c>
      <c r="D242" s="1">
        <v>341157939.17223239</v>
      </c>
      <c r="E242" s="1">
        <v>0</v>
      </c>
      <c r="F242" s="761">
        <v>203374979.417371</v>
      </c>
      <c r="G242" s="691">
        <v>900</v>
      </c>
      <c r="H242" s="1">
        <v>-301166978.03950357</v>
      </c>
      <c r="I242" s="1">
        <v>0</v>
      </c>
      <c r="J242" s="761">
        <v>-193123852.56650198</v>
      </c>
      <c r="K242" s="622">
        <v>438804</v>
      </c>
      <c r="L242" s="762">
        <f>$F$242+$J$242</f>
        <v>10251126.85086903</v>
      </c>
      <c r="M242" s="1">
        <f>MAX($L$3:$L$242)</f>
        <v>10400895.402826607</v>
      </c>
      <c r="N242" s="1">
        <f>$L$242-MAX(0,$M$242)</f>
        <v>-149768.55195757747</v>
      </c>
      <c r="O242" s="763">
        <f>($N$242/$C$2)*-1</f>
        <v>7.4884275978788738E-3</v>
      </c>
      <c r="P242" s="764">
        <v>0.05</v>
      </c>
      <c r="Q242" s="1">
        <v>5047357.6072175708</v>
      </c>
      <c r="R242" s="1">
        <v>-5203769.243651526</v>
      </c>
      <c r="S242" s="1">
        <v>14941378.80875523</v>
      </c>
      <c r="T242" s="1">
        <v>4690251.9578861333</v>
      </c>
      <c r="U242" s="763">
        <f>($R$242/$Q$2)*-1</f>
        <v>0.17345897478838421</v>
      </c>
      <c r="V242" s="691"/>
    </row>
    <row r="243" spans="1:22" x14ac:dyDescent="0.25">
      <c r="A243" s="690"/>
      <c r="B243" s="760">
        <v>44916</v>
      </c>
      <c r="C243">
        <v>1750</v>
      </c>
      <c r="D243" s="1">
        <v>343178259.17223239</v>
      </c>
      <c r="E243" s="1">
        <v>0</v>
      </c>
      <c r="F243" s="761">
        <v>203523854.517636</v>
      </c>
      <c r="G243" s="691">
        <v>900</v>
      </c>
      <c r="H243" s="1">
        <v>-301166978.03950357</v>
      </c>
      <c r="I243" s="1">
        <v>0</v>
      </c>
      <c r="J243" s="761">
        <v>-193339837.92686188</v>
      </c>
      <c r="K243" s="622">
        <v>438804</v>
      </c>
      <c r="L243" s="762">
        <f>$F$243+$J$243</f>
        <v>10184016.590774119</v>
      </c>
      <c r="M243" s="1">
        <f>MAX($L$3:$L$243)</f>
        <v>10400895.402826607</v>
      </c>
      <c r="N243" s="1">
        <f>$L$243-MAX(0,$M$243)</f>
        <v>-216878.81205248833</v>
      </c>
      <c r="O243" s="763">
        <f>($N$243/$C$2)*-1</f>
        <v>1.0843940602624417E-2</v>
      </c>
      <c r="P243" s="764">
        <v>0.05</v>
      </c>
      <c r="Q243" s="1">
        <v>4806139.19408854</v>
      </c>
      <c r="R243" s="1">
        <v>-5377877.3966858359</v>
      </c>
      <c r="S243" s="1">
        <v>15105720.6735608</v>
      </c>
      <c r="T243" s="1">
        <v>4921704.0827864241</v>
      </c>
      <c r="U243" s="763">
        <f>($R$243/$Q$2)*-1</f>
        <v>0.17926257988952787</v>
      </c>
      <c r="V243" s="691"/>
    </row>
    <row r="244" spans="1:22" x14ac:dyDescent="0.25">
      <c r="A244" s="690"/>
      <c r="B244" s="760">
        <v>44917</v>
      </c>
      <c r="C244">
        <v>1767</v>
      </c>
      <c r="D244" s="1">
        <v>357612531.17223239</v>
      </c>
      <c r="E244" s="1">
        <v>0</v>
      </c>
      <c r="F244" s="761">
        <v>203162592.21727604</v>
      </c>
      <c r="G244" s="691">
        <v>917</v>
      </c>
      <c r="H244" s="1">
        <v>-315601250.03950357</v>
      </c>
      <c r="I244" s="1">
        <v>0</v>
      </c>
      <c r="J244" s="761">
        <v>-193092385.85474196</v>
      </c>
      <c r="K244" s="622">
        <v>438804</v>
      </c>
      <c r="L244" s="762">
        <f>$F$244+$J$244</f>
        <v>10070206.362534076</v>
      </c>
      <c r="M244" s="1">
        <f>MAX($L$3:$L$244)</f>
        <v>10400895.402826607</v>
      </c>
      <c r="N244" s="1">
        <f>$L$244-MAX(0,$M$244)</f>
        <v>-330689.04029253125</v>
      </c>
      <c r="O244" s="763">
        <f>($N$244/$C$2)*-1</f>
        <v>1.6534452014626562E-2</v>
      </c>
      <c r="P244" s="764">
        <v>0.05</v>
      </c>
      <c r="Q244" s="1">
        <v>4659182.166509496</v>
      </c>
      <c r="R244" s="1">
        <v>-5411024.1960244793</v>
      </c>
      <c r="S244" s="1">
        <v>15083901.241341544</v>
      </c>
      <c r="T244" s="1">
        <v>5013694.8788075689</v>
      </c>
      <c r="U244" s="763">
        <f>($R$244/$Q$2)*-1</f>
        <v>0.18036747320081598</v>
      </c>
      <c r="V244" s="691"/>
    </row>
    <row r="245" spans="1:22" x14ac:dyDescent="0.25">
      <c r="A245" s="690"/>
      <c r="B245" s="760">
        <v>44918</v>
      </c>
      <c r="C245">
        <v>1777</v>
      </c>
      <c r="D245" s="1">
        <v>354940491.17223239</v>
      </c>
      <c r="E245" s="1">
        <v>0</v>
      </c>
      <c r="F245" s="761">
        <v>203843697.93714076</v>
      </c>
      <c r="G245" s="691">
        <v>926</v>
      </c>
      <c r="H245" s="1">
        <v>-314015450.03950357</v>
      </c>
      <c r="I245" s="1">
        <v>0</v>
      </c>
      <c r="J245" s="761">
        <v>-193433681.85062185</v>
      </c>
      <c r="K245" s="622">
        <v>438804</v>
      </c>
      <c r="L245" s="762">
        <f>$F$245+$J$245</f>
        <v>10410016.086518914</v>
      </c>
      <c r="M245" s="1">
        <f>MAX($L$3:$L$245)</f>
        <v>10410016.086518914</v>
      </c>
      <c r="N245" s="1">
        <f>$L$245-MAX(0,$M$245)</f>
        <v>0</v>
      </c>
      <c r="O245" s="763">
        <f>($N$245/$C$2)*-1</f>
        <v>0</v>
      </c>
      <c r="P245" s="764">
        <v>0.05</v>
      </c>
      <c r="Q245" s="1">
        <v>5351182.7929685311</v>
      </c>
      <c r="R245" s="1">
        <v>-5058833.2935505686</v>
      </c>
      <c r="S245" s="1">
        <v>15056964.766869901</v>
      </c>
      <c r="T245" s="1">
        <v>4646948.680350801</v>
      </c>
      <c r="U245" s="763">
        <f>($R$245/$Q$2)*-1</f>
        <v>0.16862777645168561</v>
      </c>
      <c r="V245" s="691"/>
    </row>
    <row r="246" spans="1:22" x14ac:dyDescent="0.25">
      <c r="A246" s="690"/>
      <c r="B246" s="760">
        <v>44921</v>
      </c>
      <c r="C246">
        <v>1786</v>
      </c>
      <c r="D246" s="1">
        <v>353110059.17223239</v>
      </c>
      <c r="E246" s="1">
        <v>0</v>
      </c>
      <c r="F246" s="761">
        <v>203739519.09700635</v>
      </c>
      <c r="G246" s="691">
        <v>935</v>
      </c>
      <c r="H246" s="1">
        <v>-312185018.03950357</v>
      </c>
      <c r="I246" s="1">
        <v>0</v>
      </c>
      <c r="J246" s="761">
        <v>-193539288.45048741</v>
      </c>
      <c r="K246" s="622">
        <v>438804</v>
      </c>
      <c r="L246" s="762">
        <f>$F$246+$J$246</f>
        <v>10200230.646518946</v>
      </c>
      <c r="M246" s="1">
        <f>MAX($L$3:$L$246)</f>
        <v>10410016.086518914</v>
      </c>
      <c r="N246" s="1">
        <f>$L$246-MAX(0,$M$246)</f>
        <v>-209785.43999996781</v>
      </c>
      <c r="O246" s="763">
        <f>($N$246/$C$2)*-1</f>
        <v>1.0489271999998391E-2</v>
      </c>
      <c r="P246" s="764">
        <v>0.05</v>
      </c>
      <c r="Q246" s="1">
        <v>5120066.8579196781</v>
      </c>
      <c r="R246" s="1">
        <v>-5080163.7885994203</v>
      </c>
      <c r="S246" s="1">
        <v>14913286.909415474</v>
      </c>
      <c r="T246" s="1">
        <v>4713056.2628963757</v>
      </c>
      <c r="U246" s="763">
        <f>($R$246/$Q$2)*-1</f>
        <v>0.169338792953314</v>
      </c>
      <c r="V246" s="691"/>
    </row>
    <row r="247" spans="1:22" x14ac:dyDescent="0.25">
      <c r="A247" s="690"/>
      <c r="B247" s="760">
        <v>44923</v>
      </c>
      <c r="C247">
        <v>1792</v>
      </c>
      <c r="D247" s="1">
        <v>353132139.17223239</v>
      </c>
      <c r="E247" s="1">
        <v>0</v>
      </c>
      <c r="F247" s="761">
        <v>204703097.9566026</v>
      </c>
      <c r="G247" s="691">
        <v>941</v>
      </c>
      <c r="H247" s="1">
        <v>-312207098.03950357</v>
      </c>
      <c r="I247" s="1">
        <v>0</v>
      </c>
      <c r="J247" s="761">
        <v>-194037384.37766182</v>
      </c>
      <c r="K247" s="622">
        <v>438804</v>
      </c>
      <c r="L247" s="762">
        <f>$F$247+$J$247</f>
        <v>10665713.578940779</v>
      </c>
      <c r="M247" s="1">
        <f>MAX($L$3:$L$247)</f>
        <v>10665713.578940779</v>
      </c>
      <c r="N247" s="1">
        <f>$L$247-MAX(0,$M$247)</f>
        <v>0</v>
      </c>
      <c r="O247" s="763">
        <f>($N$247/$C$2)*-1</f>
        <v>0</v>
      </c>
      <c r="P247" s="764">
        <v>0.05</v>
      </c>
      <c r="Q247" s="1">
        <v>6362289.4549043225</v>
      </c>
      <c r="R247" s="1">
        <v>-4303424.1240367768</v>
      </c>
      <c r="S247" s="1">
        <v>14794506.701317957</v>
      </c>
      <c r="T247" s="1">
        <v>4128793.1223768573</v>
      </c>
      <c r="U247" s="763">
        <f>($R$247/$Q$2)*-1</f>
        <v>0.14344747080122588</v>
      </c>
      <c r="V247" s="691"/>
    </row>
    <row r="248" spans="1:22" x14ac:dyDescent="0.25">
      <c r="A248" s="690"/>
      <c r="B248" s="760">
        <v>44924</v>
      </c>
      <c r="C248">
        <v>1797</v>
      </c>
      <c r="D248" s="1">
        <v>354372572.86285454</v>
      </c>
      <c r="E248" s="1">
        <v>0</v>
      </c>
      <c r="F248" s="761">
        <v>207217624.74667963</v>
      </c>
      <c r="G248" s="691">
        <v>946</v>
      </c>
      <c r="H248" s="1">
        <v>-313472010.2778554</v>
      </c>
      <c r="I248" s="1">
        <v>0</v>
      </c>
      <c r="J248" s="761">
        <v>-196200039.11529377</v>
      </c>
      <c r="K248" s="622">
        <v>438804</v>
      </c>
      <c r="L248" s="762">
        <f>$F$248+$J$248</f>
        <v>11017585.631385863</v>
      </c>
      <c r="M248" s="1">
        <f>MAX($L$3:$L$248)</f>
        <v>11017585.631385863</v>
      </c>
      <c r="N248" s="1">
        <f>$L$248-MAX(0,$M$248)</f>
        <v>0</v>
      </c>
      <c r="O248" s="763">
        <f>($N$248/$C$2)*-1</f>
        <v>0</v>
      </c>
      <c r="P248" s="764">
        <v>0.05</v>
      </c>
      <c r="Q248" s="1">
        <v>6749758.8318781191</v>
      </c>
      <c r="R248" s="1">
        <v>-4267826.7995075798</v>
      </c>
      <c r="S248" s="1">
        <v>15040788.801645629</v>
      </c>
      <c r="T248" s="1">
        <v>4023203.1702599302</v>
      </c>
      <c r="U248" s="763">
        <f>($R$248/$Q$2)*-1</f>
        <v>0.14226089331691932</v>
      </c>
      <c r="V248" s="691"/>
    </row>
    <row r="249" spans="1:22" x14ac:dyDescent="0.25">
      <c r="A249" s="690"/>
      <c r="B249" s="760">
        <v>44925</v>
      </c>
      <c r="C249">
        <v>1803</v>
      </c>
      <c r="D249" s="1">
        <v>357698972.86285454</v>
      </c>
      <c r="E249" s="1">
        <v>0</v>
      </c>
      <c r="F249" s="761">
        <v>205944142.22680357</v>
      </c>
      <c r="G249" s="691">
        <v>952</v>
      </c>
      <c r="H249" s="1">
        <v>-316798410.2778554</v>
      </c>
      <c r="I249" s="1">
        <v>0</v>
      </c>
      <c r="J249" s="761">
        <v>-195064964.28765389</v>
      </c>
      <c r="K249" s="622">
        <v>438804</v>
      </c>
      <c r="L249" s="762">
        <f>$F$249+$J$249</f>
        <v>10879177.939149678</v>
      </c>
      <c r="M249" s="1">
        <f>MAX($L$3:$L$249)</f>
        <v>11017585.631385863</v>
      </c>
      <c r="N249" s="1">
        <f>$L$249-MAX(0,$M$249)</f>
        <v>-138407.69223618507</v>
      </c>
      <c r="O249" s="763">
        <f>($N$249/$C$2)*-1</f>
        <v>6.9203846118092533E-3</v>
      </c>
      <c r="P249" s="764">
        <v>0.05</v>
      </c>
      <c r="Q249" s="1">
        <v>6633082.0912744217</v>
      </c>
      <c r="R249" s="1">
        <v>-4246095.8478752784</v>
      </c>
      <c r="S249" s="1">
        <v>14929202.136845987</v>
      </c>
      <c r="T249" s="1">
        <v>4050024.1976962872</v>
      </c>
      <c r="U249" s="763">
        <f>($R$249/$Q$2)*-1</f>
        <v>0.14153652826250929</v>
      </c>
      <c r="V249" s="691"/>
    </row>
    <row r="250" spans="1:22" x14ac:dyDescent="0.25">
      <c r="A250" s="690"/>
      <c r="B250" s="760">
        <v>44928</v>
      </c>
      <c r="C250">
        <v>1803</v>
      </c>
      <c r="D250" s="1">
        <v>357193641.1042276</v>
      </c>
      <c r="E250" s="1">
        <v>0</v>
      </c>
      <c r="F250" s="761">
        <v>205193402.0275473</v>
      </c>
      <c r="G250" s="691">
        <v>952</v>
      </c>
      <c r="H250" s="1">
        <v>-316292606.36192048</v>
      </c>
      <c r="I250" s="1">
        <v>0</v>
      </c>
      <c r="J250" s="761">
        <v>-194212334.81132522</v>
      </c>
      <c r="K250" s="622">
        <v>438804</v>
      </c>
      <c r="L250" s="762">
        <f>$F$250+$J$250</f>
        <v>10981067.216222078</v>
      </c>
      <c r="M250" s="1">
        <f>MAX($L$3:$L$250)</f>
        <v>11017585.631385863</v>
      </c>
      <c r="N250" s="1">
        <f>$L$250-MAX(0,$M$250)</f>
        <v>-36518.415163785219</v>
      </c>
      <c r="O250" s="763">
        <f>($N$250/$C$2)*-1</f>
        <v>1.8259207581892609E-3</v>
      </c>
      <c r="P250" s="764">
        <v>0.05</v>
      </c>
      <c r="Q250" s="1">
        <v>6694270.3076536004</v>
      </c>
      <c r="R250" s="1">
        <v>-4286796.9085680209</v>
      </c>
      <c r="S250" s="1">
        <v>15105091.555403091</v>
      </c>
      <c r="T250" s="1">
        <v>4124024.3391814698</v>
      </c>
      <c r="U250" s="763">
        <f>($R$250/$Q$2)*-1</f>
        <v>0.14289323028560069</v>
      </c>
      <c r="V250" s="691"/>
    </row>
    <row r="251" spans="1:22" x14ac:dyDescent="0.25">
      <c r="A251" s="690"/>
      <c r="B251" s="760">
        <v>44929</v>
      </c>
      <c r="C251">
        <v>1804</v>
      </c>
      <c r="D251" s="1">
        <v>357486001.85622758</v>
      </c>
      <c r="E251" s="1">
        <v>0</v>
      </c>
      <c r="F251" s="761">
        <v>208660681.84623921</v>
      </c>
      <c r="G251" s="691">
        <v>953</v>
      </c>
      <c r="H251" s="1">
        <v>-316584967.11392045</v>
      </c>
      <c r="I251" s="1">
        <v>0</v>
      </c>
      <c r="J251" s="761">
        <v>-196623661.41797879</v>
      </c>
      <c r="K251" s="622">
        <v>438804</v>
      </c>
      <c r="L251" s="762">
        <f>$F$251+$J$251</f>
        <v>12037020.428260416</v>
      </c>
      <c r="M251" s="1">
        <f>MAX($L$3:$L$251)</f>
        <v>12037020.428260416</v>
      </c>
      <c r="N251" s="1">
        <f>$L$251-MAX(0,$M$251)</f>
        <v>0</v>
      </c>
      <c r="O251" s="763">
        <f>($N$251/$C$2)*-1</f>
        <v>0</v>
      </c>
      <c r="P251" s="764">
        <v>0.05</v>
      </c>
      <c r="Q251" s="1">
        <v>7928584.5848648604</v>
      </c>
      <c r="R251" s="1">
        <v>-4108435.8433954008</v>
      </c>
      <c r="S251" s="1">
        <v>15936179.345288556</v>
      </c>
      <c r="T251" s="1">
        <v>3899158.9170282949</v>
      </c>
      <c r="U251" s="763">
        <f>($R$251/$Q$2)*-1</f>
        <v>0.13694786144651336</v>
      </c>
      <c r="V251" s="691"/>
    </row>
    <row r="252" spans="1:22" x14ac:dyDescent="0.25">
      <c r="A252" s="690"/>
      <c r="B252" s="760">
        <v>44930</v>
      </c>
      <c r="C252">
        <v>1808</v>
      </c>
      <c r="D252" s="1">
        <v>358313392.72422755</v>
      </c>
      <c r="E252" s="1">
        <v>0</v>
      </c>
      <c r="F252" s="761">
        <v>210273999.16608709</v>
      </c>
      <c r="G252" s="691">
        <v>956</v>
      </c>
      <c r="H252" s="1">
        <v>-317820441.98192042</v>
      </c>
      <c r="I252" s="1">
        <v>0</v>
      </c>
      <c r="J252" s="761">
        <v>-197874337.5854387</v>
      </c>
      <c r="K252" s="622">
        <v>438804</v>
      </c>
      <c r="L252" s="762">
        <f>$F$252+$J$252</f>
        <v>12399661.580648392</v>
      </c>
      <c r="M252" s="1">
        <f>MAX($L$3:$L$252)</f>
        <v>12399661.580648392</v>
      </c>
      <c r="N252" s="1">
        <f>$L$252-MAX(0,$M$252)</f>
        <v>0</v>
      </c>
      <c r="O252" s="763">
        <f>($N$252/$C$2)*-1</f>
        <v>0</v>
      </c>
      <c r="P252" s="764">
        <v>0.05</v>
      </c>
      <c r="Q252" s="1">
        <v>8314988.4165654667</v>
      </c>
      <c r="R252" s="1">
        <v>-4084673.1640826333</v>
      </c>
      <c r="S252" s="1">
        <v>16246685.42653523</v>
      </c>
      <c r="T252" s="1">
        <v>3847023.8458871301</v>
      </c>
      <c r="U252" s="763">
        <f>($R$252/$Q$2)*-1</f>
        <v>0.13615577213608779</v>
      </c>
      <c r="V252" s="691"/>
    </row>
    <row r="253" spans="1:22" x14ac:dyDescent="0.25">
      <c r="A253" s="690"/>
      <c r="B253" s="760">
        <v>44931</v>
      </c>
      <c r="C253">
        <v>1819</v>
      </c>
      <c r="D253" s="1">
        <v>359928851.92422754</v>
      </c>
      <c r="E253" s="1">
        <v>0</v>
      </c>
      <c r="F253" s="761">
        <v>212586864.28976437</v>
      </c>
      <c r="G253" s="691">
        <v>965</v>
      </c>
      <c r="H253" s="1">
        <v>-320898441.98192042</v>
      </c>
      <c r="I253" s="1">
        <v>0</v>
      </c>
      <c r="J253" s="761">
        <v>-199438694.34115061</v>
      </c>
      <c r="K253" s="622">
        <v>438804</v>
      </c>
      <c r="L253" s="762">
        <f>$F$253+$J$253</f>
        <v>13148169.948613763</v>
      </c>
      <c r="M253" s="1">
        <f>MAX($L$3:$L$253)</f>
        <v>13148169.948613763</v>
      </c>
      <c r="N253" s="1">
        <f>$L$253-MAX(0,$M$253)</f>
        <v>0</v>
      </c>
      <c r="O253" s="763">
        <f>($N$253/$C$2)*-1</f>
        <v>0</v>
      </c>
      <c r="P253" s="764">
        <v>0.05</v>
      </c>
      <c r="Q253" s="1">
        <v>9466433.1158967335</v>
      </c>
      <c r="R253" s="1">
        <v>-3681736.8327166457</v>
      </c>
      <c r="S253" s="1">
        <v>16627231.926746294</v>
      </c>
      <c r="T253" s="1">
        <v>3479061.9781329148</v>
      </c>
      <c r="U253" s="763">
        <f>($R$253/$Q$2)*-1</f>
        <v>0.12272456109055485</v>
      </c>
      <c r="V253" s="691"/>
    </row>
    <row r="254" spans="1:22" x14ac:dyDescent="0.25">
      <c r="A254" s="690"/>
      <c r="B254" s="775">
        <v>44932</v>
      </c>
      <c r="C254" s="665">
        <v>1822</v>
      </c>
      <c r="D254" s="666">
        <v>359642002.72422755</v>
      </c>
      <c r="E254" s="666">
        <v>0</v>
      </c>
      <c r="F254" s="684">
        <v>215417906.13429573</v>
      </c>
      <c r="G254" s="705">
        <v>965</v>
      </c>
      <c r="H254" s="666">
        <v>-320898441.98192042</v>
      </c>
      <c r="I254" s="666">
        <v>0</v>
      </c>
      <c r="J254" s="684">
        <v>-202280838.09742668</v>
      </c>
      <c r="K254" s="667">
        <v>438804</v>
      </c>
      <c r="L254" s="776">
        <f>$F$254+$J$254</f>
        <v>13137068.036869049</v>
      </c>
      <c r="M254" s="666">
        <f>MAX($L$3:$L$254)</f>
        <v>13148169.948613763</v>
      </c>
      <c r="N254" s="666">
        <f>$L$254-MAX(0,$M$254)</f>
        <v>-11101.911744713783</v>
      </c>
      <c r="O254" s="685">
        <f>($N$254/$C$2)*-1</f>
        <v>5.5509558723568914E-4</v>
      </c>
      <c r="P254" s="777">
        <v>0.05</v>
      </c>
      <c r="Q254" s="666">
        <v>9482169.555703219</v>
      </c>
      <c r="R254" s="666">
        <v>-3654898.4811654426</v>
      </c>
      <c r="S254" s="666">
        <v>16537403.918472048</v>
      </c>
      <c r="T254" s="666">
        <v>3400335.8816033863</v>
      </c>
      <c r="U254" s="685">
        <f>($R$254/$Q$2)*-1</f>
        <v>0.12182994937218142</v>
      </c>
      <c r="V254" s="691"/>
    </row>
    <row r="255" spans="1:22" x14ac:dyDescent="0.25">
      <c r="B255" s="527"/>
      <c r="C255" s="527"/>
      <c r="D255" s="527"/>
      <c r="E255" s="527"/>
      <c r="F255" s="527"/>
      <c r="G255" s="527"/>
      <c r="H255" s="527"/>
      <c r="I255" s="527"/>
      <c r="J255" s="527"/>
      <c r="K255" s="527"/>
      <c r="L255" s="527"/>
      <c r="M255" s="527"/>
      <c r="N255" s="527"/>
      <c r="O255" s="527"/>
      <c r="P255" s="527"/>
      <c r="Q255" s="527"/>
      <c r="R255" s="527"/>
      <c r="S255" s="527"/>
      <c r="T255" s="527"/>
      <c r="U255" s="527"/>
    </row>
  </sheetData>
  <sheetProtection algorithmName="SHA-512" hashValue="NVCGwISZ3vYsp62w1RD0Fa4YczNK2icaLopjLyVZDhncdQ7NNsdiVmun6ctycmJRazNgjNJxBtJChtsGVN6Zgg==" saltValue="d3HMeYqhqxCo5+MQF4Wekg==" spinCount="100000" sheet="1" objects="1" scenarios="1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>
    <tabColor rgb="FF92D050"/>
  </sheetPr>
  <dimension ref="B1:BK51"/>
  <sheetViews>
    <sheetView showGridLines="0" zoomScale="90" zoomScaleNormal="90" workbookViewId="0">
      <selection activeCell="C4" sqref="C4"/>
    </sheetView>
  </sheetViews>
  <sheetFormatPr defaultColWidth="9.140625" defaultRowHeight="15" x14ac:dyDescent="0.25"/>
  <cols>
    <col min="1" max="1" width="9.140625" customWidth="1"/>
    <col min="2" max="2" width="20.7109375" bestFit="1" customWidth="1"/>
    <col min="3" max="62" width="9.140625" customWidth="1"/>
    <col min="63" max="63" width="9" customWidth="1"/>
    <col min="66" max="66" width="14.7109375" customWidth="1"/>
  </cols>
  <sheetData>
    <row r="1" spans="2:63" x14ac:dyDescent="0.25">
      <c r="B1" s="791" t="s">
        <v>344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2:63" x14ac:dyDescent="0.25">
      <c r="C2" s="52">
        <f>RESULTADO!C2</f>
        <v>744</v>
      </c>
      <c r="D2" s="52">
        <f>RESULTADO!D2</f>
        <v>672</v>
      </c>
      <c r="E2" s="52">
        <f>RESULTADO!E2</f>
        <v>744</v>
      </c>
      <c r="F2" s="52">
        <f>RESULTADO!F2</f>
        <v>720</v>
      </c>
      <c r="G2" s="52">
        <f>RESULTADO!G2</f>
        <v>744</v>
      </c>
      <c r="H2" s="52">
        <f>RESULTADO!H2</f>
        <v>720</v>
      </c>
      <c r="I2" s="52">
        <f>RESULTADO!I2</f>
        <v>744</v>
      </c>
      <c r="J2" s="52">
        <f>RESULTADO!J2</f>
        <v>744</v>
      </c>
      <c r="K2" s="52">
        <f>RESULTADO!K2</f>
        <v>720</v>
      </c>
      <c r="L2" s="52">
        <f>RESULTADO!L2</f>
        <v>744</v>
      </c>
      <c r="M2" s="52">
        <f>RESULTADO!M2</f>
        <v>720</v>
      </c>
      <c r="N2" s="52">
        <f>RESULTADO!N2</f>
        <v>744</v>
      </c>
      <c r="O2" s="52">
        <f>RESULTADO!O2</f>
        <v>744</v>
      </c>
      <c r="P2" s="52">
        <f>RESULTADO!P2</f>
        <v>672</v>
      </c>
      <c r="Q2" s="52">
        <f>RESULTADO!Q2</f>
        <v>744</v>
      </c>
      <c r="R2" s="52">
        <f>RESULTADO!R2</f>
        <v>720</v>
      </c>
      <c r="S2" s="52">
        <f>RESULTADO!S2</f>
        <v>744</v>
      </c>
      <c r="T2" s="52">
        <f>RESULTADO!T2</f>
        <v>720</v>
      </c>
      <c r="U2" s="52">
        <f>RESULTADO!U2</f>
        <v>744</v>
      </c>
      <c r="V2" s="52">
        <f>RESULTADO!V2</f>
        <v>744</v>
      </c>
      <c r="W2" s="52">
        <f>RESULTADO!W2</f>
        <v>720</v>
      </c>
      <c r="X2" s="52">
        <f>RESULTADO!X2</f>
        <v>744</v>
      </c>
      <c r="Y2" s="52">
        <f>RESULTADO!Y2</f>
        <v>720</v>
      </c>
      <c r="Z2" s="62">
        <f>RESULTADO!Z2</f>
        <v>744</v>
      </c>
      <c r="AA2" s="52">
        <f>RESULTADO!AA2</f>
        <v>744</v>
      </c>
      <c r="AB2" s="52">
        <f>RESULTADO!AB2</f>
        <v>696</v>
      </c>
      <c r="AC2" s="52">
        <f>RESULTADO!AC2</f>
        <v>744</v>
      </c>
      <c r="AD2" s="52">
        <f>RESULTADO!AD2</f>
        <v>720</v>
      </c>
      <c r="AE2" s="52">
        <f>RESULTADO!AE2</f>
        <v>744</v>
      </c>
      <c r="AF2" s="52">
        <f>RESULTADO!AF2</f>
        <v>720</v>
      </c>
      <c r="AG2" s="52">
        <f>RESULTADO!AG2</f>
        <v>744</v>
      </c>
      <c r="AH2" s="52">
        <f>RESULTADO!AH2</f>
        <v>744</v>
      </c>
      <c r="AI2" s="52">
        <f>RESULTADO!AI2</f>
        <v>720</v>
      </c>
      <c r="AJ2" s="52">
        <f>RESULTADO!AJ2</f>
        <v>744</v>
      </c>
      <c r="AK2" s="52">
        <f>RESULTADO!AK2</f>
        <v>720</v>
      </c>
      <c r="AL2" s="52">
        <f>RESULTADO!AL2</f>
        <v>744</v>
      </c>
      <c r="AM2" s="52">
        <f>RESULTADO!AM2</f>
        <v>744</v>
      </c>
      <c r="AN2" s="52">
        <f>RESULTADO!AN2</f>
        <v>672</v>
      </c>
      <c r="AO2" s="52">
        <f>RESULTADO!AO2</f>
        <v>744</v>
      </c>
      <c r="AP2" s="52">
        <f>RESULTADO!AP2</f>
        <v>720</v>
      </c>
      <c r="AQ2" s="52">
        <f>RESULTADO!AQ2</f>
        <v>744</v>
      </c>
      <c r="AR2" s="52">
        <f>RESULTADO!AR2</f>
        <v>720</v>
      </c>
      <c r="AS2" s="52">
        <f>RESULTADO!AS2</f>
        <v>744</v>
      </c>
      <c r="AT2" s="52">
        <f>RESULTADO!AT2</f>
        <v>744</v>
      </c>
      <c r="AU2" s="52">
        <f>RESULTADO!AU2</f>
        <v>720</v>
      </c>
      <c r="AV2" s="52">
        <f>RESULTADO!AV2</f>
        <v>744</v>
      </c>
      <c r="AW2" s="52">
        <f>RESULTADO!AW2</f>
        <v>720</v>
      </c>
      <c r="AX2" s="62">
        <f>RESULTADO!AX2</f>
        <v>744</v>
      </c>
      <c r="AY2" s="52">
        <f>RESULTADO!AY2</f>
        <v>744</v>
      </c>
      <c r="AZ2" s="52">
        <f>RESULTADO!AZ2</f>
        <v>672</v>
      </c>
      <c r="BA2" s="52">
        <f>RESULTADO!BA2</f>
        <v>744</v>
      </c>
      <c r="BB2" s="52">
        <f>RESULTADO!BB2</f>
        <v>720</v>
      </c>
      <c r="BC2" s="52">
        <f>RESULTADO!BC2</f>
        <v>744</v>
      </c>
      <c r="BD2" s="52">
        <f>RESULTADO!BD2</f>
        <v>720</v>
      </c>
      <c r="BE2" s="52">
        <f>RESULTADO!BE2</f>
        <v>744</v>
      </c>
      <c r="BF2" s="52">
        <f>RESULTADO!BF2</f>
        <v>744</v>
      </c>
      <c r="BG2" s="52">
        <f>RESULTADO!BG2</f>
        <v>720</v>
      </c>
      <c r="BH2" s="52">
        <f>RESULTADO!BH2</f>
        <v>744</v>
      </c>
      <c r="BI2" s="52">
        <f>RESULTADO!BI2</f>
        <v>720</v>
      </c>
      <c r="BJ2" s="62">
        <f>RESULTADO!BJ2</f>
        <v>744</v>
      </c>
    </row>
    <row r="3" spans="2:63" ht="15.75" thickBot="1" x14ac:dyDescent="0.3">
      <c r="B3" s="59" t="s">
        <v>36</v>
      </c>
      <c r="C3" s="55">
        <f>RESULTADO!C3</f>
        <v>44562</v>
      </c>
      <c r="D3" s="55">
        <f>RESULTADO!D3</f>
        <v>44593</v>
      </c>
      <c r="E3" s="55">
        <f>RESULTADO!E3</f>
        <v>44621</v>
      </c>
      <c r="F3" s="55">
        <f>RESULTADO!F3</f>
        <v>44652</v>
      </c>
      <c r="G3" s="55">
        <f>RESULTADO!G3</f>
        <v>44682</v>
      </c>
      <c r="H3" s="55">
        <f>RESULTADO!H3</f>
        <v>44713</v>
      </c>
      <c r="I3" s="55">
        <f>RESULTADO!I3</f>
        <v>44743</v>
      </c>
      <c r="J3" s="55">
        <f>RESULTADO!J3</f>
        <v>44774</v>
      </c>
      <c r="K3" s="55">
        <f>RESULTADO!K3</f>
        <v>44805</v>
      </c>
      <c r="L3" s="55">
        <f>RESULTADO!L3</f>
        <v>44835</v>
      </c>
      <c r="M3" s="55">
        <f>RESULTADO!M3</f>
        <v>44866</v>
      </c>
      <c r="N3" s="58">
        <f>RESULTADO!N3</f>
        <v>44896</v>
      </c>
      <c r="O3" s="55">
        <f>RESULTADO!O3</f>
        <v>44927</v>
      </c>
      <c r="P3" s="55">
        <f>RESULTADO!P3</f>
        <v>44958</v>
      </c>
      <c r="Q3" s="55">
        <f>RESULTADO!Q3</f>
        <v>44986</v>
      </c>
      <c r="R3" s="55">
        <f>RESULTADO!R3</f>
        <v>45017</v>
      </c>
      <c r="S3" s="55">
        <f>RESULTADO!S3</f>
        <v>45047</v>
      </c>
      <c r="T3" s="55">
        <f>RESULTADO!T3</f>
        <v>45078</v>
      </c>
      <c r="U3" s="55">
        <f>RESULTADO!U3</f>
        <v>45108</v>
      </c>
      <c r="V3" s="55">
        <f>RESULTADO!V3</f>
        <v>45139</v>
      </c>
      <c r="W3" s="55">
        <f>RESULTADO!W3</f>
        <v>45170</v>
      </c>
      <c r="X3" s="55">
        <f>RESULTADO!X3</f>
        <v>45200</v>
      </c>
      <c r="Y3" s="55">
        <f>RESULTADO!Y3</f>
        <v>45231</v>
      </c>
      <c r="Z3" s="58">
        <f>RESULTADO!Z3</f>
        <v>45261</v>
      </c>
      <c r="AA3" s="55">
        <f>RESULTADO!AA3</f>
        <v>45292</v>
      </c>
      <c r="AB3" s="55">
        <f>RESULTADO!AB3</f>
        <v>45323</v>
      </c>
      <c r="AC3" s="55">
        <f>RESULTADO!AC3</f>
        <v>45352</v>
      </c>
      <c r="AD3" s="55">
        <f>RESULTADO!AD3</f>
        <v>45383</v>
      </c>
      <c r="AE3" s="55">
        <f>RESULTADO!AE3</f>
        <v>45413</v>
      </c>
      <c r="AF3" s="55">
        <f>RESULTADO!AF3</f>
        <v>45444</v>
      </c>
      <c r="AG3" s="55">
        <f>RESULTADO!AG3</f>
        <v>45474</v>
      </c>
      <c r="AH3" s="55">
        <f>RESULTADO!AH3</f>
        <v>45505</v>
      </c>
      <c r="AI3" s="55">
        <f>RESULTADO!AI3</f>
        <v>45536</v>
      </c>
      <c r="AJ3" s="55">
        <f>RESULTADO!AJ3</f>
        <v>45566</v>
      </c>
      <c r="AK3" s="55">
        <f>RESULTADO!AK3</f>
        <v>45597</v>
      </c>
      <c r="AL3" s="58">
        <f>RESULTADO!AL3</f>
        <v>45627</v>
      </c>
      <c r="AM3" s="55">
        <f>RESULTADO!AM3</f>
        <v>45658</v>
      </c>
      <c r="AN3" s="55">
        <f>RESULTADO!AN3</f>
        <v>45689</v>
      </c>
      <c r="AO3" s="55">
        <f>RESULTADO!AO3</f>
        <v>45717</v>
      </c>
      <c r="AP3" s="55">
        <f>RESULTADO!AP3</f>
        <v>45748</v>
      </c>
      <c r="AQ3" s="55">
        <f>RESULTADO!AQ3</f>
        <v>45778</v>
      </c>
      <c r="AR3" s="55">
        <f>RESULTADO!AR3</f>
        <v>45809</v>
      </c>
      <c r="AS3" s="55">
        <f>RESULTADO!AS3</f>
        <v>45839</v>
      </c>
      <c r="AT3" s="55">
        <f>RESULTADO!AT3</f>
        <v>45870</v>
      </c>
      <c r="AU3" s="55">
        <f>RESULTADO!AU3</f>
        <v>45901</v>
      </c>
      <c r="AV3" s="55">
        <f>RESULTADO!AV3</f>
        <v>45931</v>
      </c>
      <c r="AW3" s="55">
        <f>RESULTADO!AW3</f>
        <v>45962</v>
      </c>
      <c r="AX3" s="58">
        <f>RESULTADO!AX3</f>
        <v>45992</v>
      </c>
      <c r="AY3" s="55">
        <f>RESULTADO!AY3</f>
        <v>46023</v>
      </c>
      <c r="AZ3" s="55">
        <f>RESULTADO!AZ3</f>
        <v>46054</v>
      </c>
      <c r="BA3" s="55">
        <f>RESULTADO!BA3</f>
        <v>46082</v>
      </c>
      <c r="BB3" s="55">
        <f>RESULTADO!BB3</f>
        <v>46113</v>
      </c>
      <c r="BC3" s="55">
        <f>RESULTADO!BC3</f>
        <v>46143</v>
      </c>
      <c r="BD3" s="55">
        <f>RESULTADO!BD3</f>
        <v>46174</v>
      </c>
      <c r="BE3" s="55">
        <f>RESULTADO!BE3</f>
        <v>46204</v>
      </c>
      <c r="BF3" s="55">
        <f>RESULTADO!BF3</f>
        <v>46235</v>
      </c>
      <c r="BG3" s="55">
        <f>RESULTADO!BG3</f>
        <v>46266</v>
      </c>
      <c r="BH3" s="55">
        <f>RESULTADO!BH3</f>
        <v>46296</v>
      </c>
      <c r="BI3" s="55">
        <f>RESULTADO!BI3</f>
        <v>46327</v>
      </c>
      <c r="BJ3" s="58">
        <f>RESULTADO!BJ3</f>
        <v>46357</v>
      </c>
      <c r="BK3" s="51"/>
    </row>
    <row r="4" spans="2:63" ht="15.75" thickTop="1" x14ac:dyDescent="0.25">
      <c r="B4" s="84" t="s">
        <v>1568</v>
      </c>
      <c r="C4" s="82">
        <f>60*SUM($C$2:$N$2)/1000</f>
        <v>525.6</v>
      </c>
      <c r="D4" s="82">
        <f t="shared" ref="D4:BJ4" si="0">60*SUM($C$2:$N$2)/1000</f>
        <v>525.6</v>
      </c>
      <c r="E4" s="82">
        <f t="shared" si="0"/>
        <v>525.6</v>
      </c>
      <c r="F4" s="82">
        <f t="shared" si="0"/>
        <v>525.6</v>
      </c>
      <c r="G4" s="82">
        <f t="shared" si="0"/>
        <v>525.6</v>
      </c>
      <c r="H4" s="82">
        <f t="shared" si="0"/>
        <v>525.6</v>
      </c>
      <c r="I4" s="82">
        <f t="shared" si="0"/>
        <v>525.6</v>
      </c>
      <c r="J4" s="82">
        <f t="shared" si="0"/>
        <v>525.6</v>
      </c>
      <c r="K4" s="82">
        <f t="shared" si="0"/>
        <v>525.6</v>
      </c>
      <c r="L4" s="82">
        <f t="shared" si="0"/>
        <v>525.6</v>
      </c>
      <c r="M4" s="82">
        <f t="shared" si="0"/>
        <v>525.6</v>
      </c>
      <c r="N4" s="82">
        <f t="shared" si="0"/>
        <v>525.6</v>
      </c>
      <c r="O4" s="82">
        <f t="shared" si="0"/>
        <v>525.6</v>
      </c>
      <c r="P4" s="82">
        <f t="shared" si="0"/>
        <v>525.6</v>
      </c>
      <c r="Q4" s="82">
        <f t="shared" si="0"/>
        <v>525.6</v>
      </c>
      <c r="R4" s="82">
        <f t="shared" si="0"/>
        <v>525.6</v>
      </c>
      <c r="S4" s="82">
        <f t="shared" si="0"/>
        <v>525.6</v>
      </c>
      <c r="T4" s="82">
        <f t="shared" si="0"/>
        <v>525.6</v>
      </c>
      <c r="U4" s="82">
        <f t="shared" si="0"/>
        <v>525.6</v>
      </c>
      <c r="V4" s="82">
        <f t="shared" si="0"/>
        <v>525.6</v>
      </c>
      <c r="W4" s="82">
        <f t="shared" si="0"/>
        <v>525.6</v>
      </c>
      <c r="X4" s="82">
        <f t="shared" si="0"/>
        <v>525.6</v>
      </c>
      <c r="Y4" s="82">
        <f t="shared" si="0"/>
        <v>525.6</v>
      </c>
      <c r="Z4" s="82">
        <f t="shared" si="0"/>
        <v>525.6</v>
      </c>
      <c r="AA4" s="82">
        <f t="shared" si="0"/>
        <v>525.6</v>
      </c>
      <c r="AB4" s="82">
        <f t="shared" si="0"/>
        <v>525.6</v>
      </c>
      <c r="AC4" s="82">
        <f t="shared" si="0"/>
        <v>525.6</v>
      </c>
      <c r="AD4" s="82">
        <f t="shared" si="0"/>
        <v>525.6</v>
      </c>
      <c r="AE4" s="82">
        <f t="shared" si="0"/>
        <v>525.6</v>
      </c>
      <c r="AF4" s="82">
        <f t="shared" si="0"/>
        <v>525.6</v>
      </c>
      <c r="AG4" s="82">
        <f t="shared" si="0"/>
        <v>525.6</v>
      </c>
      <c r="AH4" s="82">
        <f t="shared" si="0"/>
        <v>525.6</v>
      </c>
      <c r="AI4" s="82">
        <f t="shared" si="0"/>
        <v>525.6</v>
      </c>
      <c r="AJ4" s="82">
        <f t="shared" si="0"/>
        <v>525.6</v>
      </c>
      <c r="AK4" s="82">
        <f t="shared" si="0"/>
        <v>525.6</v>
      </c>
      <c r="AL4" s="82">
        <f t="shared" si="0"/>
        <v>525.6</v>
      </c>
      <c r="AM4" s="82">
        <f t="shared" si="0"/>
        <v>525.6</v>
      </c>
      <c r="AN4" s="82">
        <f t="shared" si="0"/>
        <v>525.6</v>
      </c>
      <c r="AO4" s="82">
        <f t="shared" si="0"/>
        <v>525.6</v>
      </c>
      <c r="AP4" s="82">
        <f t="shared" si="0"/>
        <v>525.6</v>
      </c>
      <c r="AQ4" s="82">
        <f t="shared" si="0"/>
        <v>525.6</v>
      </c>
      <c r="AR4" s="82">
        <f t="shared" si="0"/>
        <v>525.6</v>
      </c>
      <c r="AS4" s="82">
        <f t="shared" si="0"/>
        <v>525.6</v>
      </c>
      <c r="AT4" s="82">
        <f t="shared" si="0"/>
        <v>525.6</v>
      </c>
      <c r="AU4" s="82">
        <f t="shared" si="0"/>
        <v>525.6</v>
      </c>
      <c r="AV4" s="82">
        <f t="shared" si="0"/>
        <v>525.6</v>
      </c>
      <c r="AW4" s="82">
        <f t="shared" si="0"/>
        <v>525.6</v>
      </c>
      <c r="AX4" s="82">
        <f t="shared" si="0"/>
        <v>525.6</v>
      </c>
      <c r="AY4" s="82">
        <f t="shared" si="0"/>
        <v>525.6</v>
      </c>
      <c r="AZ4" s="82">
        <f t="shared" si="0"/>
        <v>525.6</v>
      </c>
      <c r="BA4" s="82">
        <f t="shared" si="0"/>
        <v>525.6</v>
      </c>
      <c r="BB4" s="82">
        <f t="shared" si="0"/>
        <v>525.6</v>
      </c>
      <c r="BC4" s="82">
        <f t="shared" si="0"/>
        <v>525.6</v>
      </c>
      <c r="BD4" s="82">
        <f t="shared" si="0"/>
        <v>525.6</v>
      </c>
      <c r="BE4" s="82">
        <f t="shared" si="0"/>
        <v>525.6</v>
      </c>
      <c r="BF4" s="82">
        <f t="shared" si="0"/>
        <v>525.6</v>
      </c>
      <c r="BG4" s="82">
        <f t="shared" si="0"/>
        <v>525.6</v>
      </c>
      <c r="BH4" s="82">
        <f t="shared" si="0"/>
        <v>525.6</v>
      </c>
      <c r="BI4" s="82">
        <f t="shared" si="0"/>
        <v>525.6</v>
      </c>
      <c r="BJ4" s="82">
        <f t="shared" si="0"/>
        <v>525.6</v>
      </c>
      <c r="BK4" s="51"/>
    </row>
    <row r="5" spans="2:63" x14ac:dyDescent="0.25">
      <c r="B5" s="85" t="s">
        <v>1569</v>
      </c>
      <c r="C5" s="82">
        <f>-C4</f>
        <v>-525.6</v>
      </c>
      <c r="D5" s="82">
        <f t="shared" ref="D5:BJ5" si="1">-D4</f>
        <v>-525.6</v>
      </c>
      <c r="E5" s="82">
        <f t="shared" si="1"/>
        <v>-525.6</v>
      </c>
      <c r="F5" s="82">
        <f t="shared" si="1"/>
        <v>-525.6</v>
      </c>
      <c r="G5" s="82">
        <f t="shared" si="1"/>
        <v>-525.6</v>
      </c>
      <c r="H5" s="82">
        <f t="shared" si="1"/>
        <v>-525.6</v>
      </c>
      <c r="I5" s="82">
        <f t="shared" si="1"/>
        <v>-525.6</v>
      </c>
      <c r="J5" s="82">
        <f t="shared" si="1"/>
        <v>-525.6</v>
      </c>
      <c r="K5" s="82">
        <f t="shared" si="1"/>
        <v>-525.6</v>
      </c>
      <c r="L5" s="82">
        <f t="shared" si="1"/>
        <v>-525.6</v>
      </c>
      <c r="M5" s="82">
        <f t="shared" si="1"/>
        <v>-525.6</v>
      </c>
      <c r="N5" s="83">
        <f t="shared" si="1"/>
        <v>-525.6</v>
      </c>
      <c r="O5" s="82">
        <f t="shared" si="1"/>
        <v>-525.6</v>
      </c>
      <c r="P5" s="82">
        <f t="shared" si="1"/>
        <v>-525.6</v>
      </c>
      <c r="Q5" s="82">
        <f t="shared" si="1"/>
        <v>-525.6</v>
      </c>
      <c r="R5" s="82">
        <f t="shared" si="1"/>
        <v>-525.6</v>
      </c>
      <c r="S5" s="82">
        <f t="shared" si="1"/>
        <v>-525.6</v>
      </c>
      <c r="T5" s="82">
        <f t="shared" si="1"/>
        <v>-525.6</v>
      </c>
      <c r="U5" s="82">
        <f t="shared" si="1"/>
        <v>-525.6</v>
      </c>
      <c r="V5" s="82">
        <f t="shared" si="1"/>
        <v>-525.6</v>
      </c>
      <c r="W5" s="82">
        <f t="shared" si="1"/>
        <v>-525.6</v>
      </c>
      <c r="X5" s="82">
        <f t="shared" si="1"/>
        <v>-525.6</v>
      </c>
      <c r="Y5" s="82">
        <f t="shared" si="1"/>
        <v>-525.6</v>
      </c>
      <c r="Z5" s="86">
        <f t="shared" si="1"/>
        <v>-525.6</v>
      </c>
      <c r="AA5" s="82">
        <f t="shared" si="1"/>
        <v>-525.6</v>
      </c>
      <c r="AB5" s="82">
        <f t="shared" si="1"/>
        <v>-525.6</v>
      </c>
      <c r="AC5" s="82">
        <f t="shared" si="1"/>
        <v>-525.6</v>
      </c>
      <c r="AD5" s="82">
        <f t="shared" si="1"/>
        <v>-525.6</v>
      </c>
      <c r="AE5" s="82">
        <f t="shared" si="1"/>
        <v>-525.6</v>
      </c>
      <c r="AF5" s="82">
        <f t="shared" si="1"/>
        <v>-525.6</v>
      </c>
      <c r="AG5" s="82">
        <f t="shared" si="1"/>
        <v>-525.6</v>
      </c>
      <c r="AH5" s="82">
        <f t="shared" si="1"/>
        <v>-525.6</v>
      </c>
      <c r="AI5" s="82">
        <f t="shared" si="1"/>
        <v>-525.6</v>
      </c>
      <c r="AJ5" s="82">
        <f t="shared" si="1"/>
        <v>-525.6</v>
      </c>
      <c r="AK5" s="82">
        <f t="shared" si="1"/>
        <v>-525.6</v>
      </c>
      <c r="AL5" s="83">
        <f t="shared" si="1"/>
        <v>-525.6</v>
      </c>
      <c r="AM5" s="82">
        <f t="shared" si="1"/>
        <v>-525.6</v>
      </c>
      <c r="AN5" s="82">
        <f t="shared" si="1"/>
        <v>-525.6</v>
      </c>
      <c r="AO5" s="82">
        <f t="shared" si="1"/>
        <v>-525.6</v>
      </c>
      <c r="AP5" s="82">
        <f t="shared" si="1"/>
        <v>-525.6</v>
      </c>
      <c r="AQ5" s="82">
        <f t="shared" si="1"/>
        <v>-525.6</v>
      </c>
      <c r="AR5" s="82">
        <f t="shared" si="1"/>
        <v>-525.6</v>
      </c>
      <c r="AS5" s="82">
        <f t="shared" si="1"/>
        <v>-525.6</v>
      </c>
      <c r="AT5" s="82">
        <f t="shared" si="1"/>
        <v>-525.6</v>
      </c>
      <c r="AU5" s="82">
        <f t="shared" si="1"/>
        <v>-525.6</v>
      </c>
      <c r="AV5" s="82">
        <f t="shared" si="1"/>
        <v>-525.6</v>
      </c>
      <c r="AW5" s="82">
        <f t="shared" si="1"/>
        <v>-525.6</v>
      </c>
      <c r="AX5" s="83">
        <f t="shared" si="1"/>
        <v>-525.6</v>
      </c>
      <c r="AY5" s="82">
        <f t="shared" si="1"/>
        <v>-525.6</v>
      </c>
      <c r="AZ5" s="82">
        <f t="shared" si="1"/>
        <v>-525.6</v>
      </c>
      <c r="BA5" s="82">
        <f t="shared" si="1"/>
        <v>-525.6</v>
      </c>
      <c r="BB5" s="82">
        <f t="shared" si="1"/>
        <v>-525.6</v>
      </c>
      <c r="BC5" s="82">
        <f t="shared" si="1"/>
        <v>-525.6</v>
      </c>
      <c r="BD5" s="82">
        <f t="shared" si="1"/>
        <v>-525.6</v>
      </c>
      <c r="BE5" s="82">
        <f t="shared" si="1"/>
        <v>-525.6</v>
      </c>
      <c r="BF5" s="82">
        <f t="shared" si="1"/>
        <v>-525.6</v>
      </c>
      <c r="BG5" s="82">
        <f t="shared" si="1"/>
        <v>-525.6</v>
      </c>
      <c r="BH5" s="82">
        <f t="shared" si="1"/>
        <v>-525.6</v>
      </c>
      <c r="BI5" s="82">
        <f t="shared" si="1"/>
        <v>-525.6</v>
      </c>
      <c r="BJ5" s="83">
        <f t="shared" si="1"/>
        <v>-525.6</v>
      </c>
      <c r="BK5" s="51"/>
    </row>
    <row r="6" spans="2:63" x14ac:dyDescent="0.25">
      <c r="B6" s="84" t="s">
        <v>1570</v>
      </c>
      <c r="C6" s="82">
        <f>20*SUM($C$2:$N$2)/1000</f>
        <v>175.2</v>
      </c>
      <c r="D6" s="82">
        <f t="shared" ref="D6:N6" si="2">20*SUM($C$2:$N$2)/1000</f>
        <v>175.2</v>
      </c>
      <c r="E6" s="82">
        <f t="shared" si="2"/>
        <v>175.2</v>
      </c>
      <c r="F6" s="82">
        <f t="shared" si="2"/>
        <v>175.2</v>
      </c>
      <c r="G6" s="82">
        <f t="shared" si="2"/>
        <v>175.2</v>
      </c>
      <c r="H6" s="82">
        <f t="shared" si="2"/>
        <v>175.2</v>
      </c>
      <c r="I6" s="82">
        <f t="shared" si="2"/>
        <v>175.2</v>
      </c>
      <c r="J6" s="82">
        <f t="shared" si="2"/>
        <v>175.2</v>
      </c>
      <c r="K6" s="82">
        <f t="shared" si="2"/>
        <v>175.2</v>
      </c>
      <c r="L6" s="82">
        <f t="shared" si="2"/>
        <v>175.2</v>
      </c>
      <c r="M6" s="82">
        <f t="shared" si="2"/>
        <v>175.2</v>
      </c>
      <c r="N6" s="83">
        <f t="shared" si="2"/>
        <v>175.2</v>
      </c>
      <c r="O6" s="82">
        <f>20*SUM($O$2:$Z$2)/1000</f>
        <v>175.2</v>
      </c>
      <c r="P6" s="82">
        <f t="shared" ref="P6:Z6" si="3">20*SUM($O$2:$Z$2)/1000</f>
        <v>175.2</v>
      </c>
      <c r="Q6" s="82">
        <f t="shared" si="3"/>
        <v>175.2</v>
      </c>
      <c r="R6" s="82">
        <f t="shared" si="3"/>
        <v>175.2</v>
      </c>
      <c r="S6" s="82">
        <f t="shared" si="3"/>
        <v>175.2</v>
      </c>
      <c r="T6" s="82">
        <f t="shared" si="3"/>
        <v>175.2</v>
      </c>
      <c r="U6" s="82">
        <f t="shared" si="3"/>
        <v>175.2</v>
      </c>
      <c r="V6" s="82">
        <f t="shared" si="3"/>
        <v>175.2</v>
      </c>
      <c r="W6" s="82">
        <f t="shared" si="3"/>
        <v>175.2</v>
      </c>
      <c r="X6" s="82">
        <f t="shared" si="3"/>
        <v>175.2</v>
      </c>
      <c r="Y6" s="82">
        <f t="shared" si="3"/>
        <v>175.2</v>
      </c>
      <c r="Z6" s="83">
        <f t="shared" si="3"/>
        <v>175.2</v>
      </c>
      <c r="AA6" s="82">
        <f>20*SUM($AA$2:$AL$2)/1000</f>
        <v>175.68</v>
      </c>
      <c r="AB6" s="82">
        <f t="shared" ref="AB6:AL6" si="4">20*SUM($AA$2:$AL$2)/1000</f>
        <v>175.68</v>
      </c>
      <c r="AC6" s="82">
        <f t="shared" si="4"/>
        <v>175.68</v>
      </c>
      <c r="AD6" s="82">
        <f t="shared" si="4"/>
        <v>175.68</v>
      </c>
      <c r="AE6" s="82">
        <f t="shared" si="4"/>
        <v>175.68</v>
      </c>
      <c r="AF6" s="82">
        <f t="shared" si="4"/>
        <v>175.68</v>
      </c>
      <c r="AG6" s="82">
        <f t="shared" si="4"/>
        <v>175.68</v>
      </c>
      <c r="AH6" s="82">
        <f t="shared" si="4"/>
        <v>175.68</v>
      </c>
      <c r="AI6" s="82">
        <f t="shared" si="4"/>
        <v>175.68</v>
      </c>
      <c r="AJ6" s="82">
        <f t="shared" si="4"/>
        <v>175.68</v>
      </c>
      <c r="AK6" s="82">
        <f t="shared" si="4"/>
        <v>175.68</v>
      </c>
      <c r="AL6" s="83">
        <f t="shared" si="4"/>
        <v>175.68</v>
      </c>
      <c r="AM6" s="82">
        <f>20*SUM($AM$2:$AX$2)/1000</f>
        <v>175.2</v>
      </c>
      <c r="AN6" s="82">
        <f t="shared" ref="AN6:AX6" si="5">20*SUM($AM$2:$AX$2)/1000</f>
        <v>175.2</v>
      </c>
      <c r="AO6" s="82">
        <f t="shared" si="5"/>
        <v>175.2</v>
      </c>
      <c r="AP6" s="82">
        <f t="shared" si="5"/>
        <v>175.2</v>
      </c>
      <c r="AQ6" s="82">
        <f t="shared" si="5"/>
        <v>175.2</v>
      </c>
      <c r="AR6" s="82">
        <f t="shared" si="5"/>
        <v>175.2</v>
      </c>
      <c r="AS6" s="82">
        <f t="shared" si="5"/>
        <v>175.2</v>
      </c>
      <c r="AT6" s="82">
        <f t="shared" si="5"/>
        <v>175.2</v>
      </c>
      <c r="AU6" s="82">
        <f t="shared" si="5"/>
        <v>175.2</v>
      </c>
      <c r="AV6" s="82">
        <f t="shared" si="5"/>
        <v>175.2</v>
      </c>
      <c r="AW6" s="82">
        <f t="shared" si="5"/>
        <v>175.2</v>
      </c>
      <c r="AX6" s="83">
        <f t="shared" si="5"/>
        <v>175.2</v>
      </c>
      <c r="AY6" s="82">
        <f>20*SUM($AY$2:$BJ$2)/1000</f>
        <v>175.2</v>
      </c>
      <c r="AZ6" s="82">
        <f t="shared" ref="AZ6:BJ6" si="6">20*SUM($AY$2:$BJ$2)/1000</f>
        <v>175.2</v>
      </c>
      <c r="BA6" s="82">
        <f t="shared" si="6"/>
        <v>175.2</v>
      </c>
      <c r="BB6" s="82">
        <f t="shared" si="6"/>
        <v>175.2</v>
      </c>
      <c r="BC6" s="82">
        <f t="shared" si="6"/>
        <v>175.2</v>
      </c>
      <c r="BD6" s="82">
        <f t="shared" si="6"/>
        <v>175.2</v>
      </c>
      <c r="BE6" s="82">
        <f t="shared" si="6"/>
        <v>175.2</v>
      </c>
      <c r="BF6" s="82">
        <f t="shared" si="6"/>
        <v>175.2</v>
      </c>
      <c r="BG6" s="82">
        <f t="shared" si="6"/>
        <v>175.2</v>
      </c>
      <c r="BH6" s="82">
        <f t="shared" si="6"/>
        <v>175.2</v>
      </c>
      <c r="BI6" s="82">
        <f t="shared" si="6"/>
        <v>175.2</v>
      </c>
      <c r="BJ6" s="83">
        <f t="shared" si="6"/>
        <v>175.2</v>
      </c>
      <c r="BK6" s="51"/>
    </row>
    <row r="7" spans="2:63" x14ac:dyDescent="0.25">
      <c r="B7" s="85" t="s">
        <v>1571</v>
      </c>
      <c r="C7" s="82">
        <f>-C6</f>
        <v>-175.2</v>
      </c>
      <c r="D7" s="82">
        <f t="shared" ref="D7:BJ7" si="7">-D6</f>
        <v>-175.2</v>
      </c>
      <c r="E7" s="82">
        <f t="shared" si="7"/>
        <v>-175.2</v>
      </c>
      <c r="F7" s="82">
        <f t="shared" si="7"/>
        <v>-175.2</v>
      </c>
      <c r="G7" s="82">
        <f t="shared" si="7"/>
        <v>-175.2</v>
      </c>
      <c r="H7" s="82">
        <f t="shared" si="7"/>
        <v>-175.2</v>
      </c>
      <c r="I7" s="82">
        <f t="shared" si="7"/>
        <v>-175.2</v>
      </c>
      <c r="J7" s="82">
        <f t="shared" si="7"/>
        <v>-175.2</v>
      </c>
      <c r="K7" s="82">
        <f t="shared" si="7"/>
        <v>-175.2</v>
      </c>
      <c r="L7" s="82">
        <f t="shared" si="7"/>
        <v>-175.2</v>
      </c>
      <c r="M7" s="82">
        <f t="shared" si="7"/>
        <v>-175.2</v>
      </c>
      <c r="N7" s="83">
        <f t="shared" si="7"/>
        <v>-175.2</v>
      </c>
      <c r="O7" s="82">
        <f t="shared" si="7"/>
        <v>-175.2</v>
      </c>
      <c r="P7" s="82">
        <f t="shared" si="7"/>
        <v>-175.2</v>
      </c>
      <c r="Q7" s="82">
        <f t="shared" si="7"/>
        <v>-175.2</v>
      </c>
      <c r="R7" s="82">
        <f t="shared" si="7"/>
        <v>-175.2</v>
      </c>
      <c r="S7" s="82">
        <f t="shared" si="7"/>
        <v>-175.2</v>
      </c>
      <c r="T7" s="82">
        <f t="shared" si="7"/>
        <v>-175.2</v>
      </c>
      <c r="U7" s="82">
        <f t="shared" si="7"/>
        <v>-175.2</v>
      </c>
      <c r="V7" s="82">
        <f t="shared" si="7"/>
        <v>-175.2</v>
      </c>
      <c r="W7" s="82">
        <f t="shared" si="7"/>
        <v>-175.2</v>
      </c>
      <c r="X7" s="82">
        <f t="shared" si="7"/>
        <v>-175.2</v>
      </c>
      <c r="Y7" s="82">
        <f t="shared" si="7"/>
        <v>-175.2</v>
      </c>
      <c r="Z7" s="86">
        <f t="shared" si="7"/>
        <v>-175.2</v>
      </c>
      <c r="AA7" s="82">
        <f t="shared" si="7"/>
        <v>-175.68</v>
      </c>
      <c r="AB7" s="82">
        <f t="shared" si="7"/>
        <v>-175.68</v>
      </c>
      <c r="AC7" s="82">
        <f t="shared" si="7"/>
        <v>-175.68</v>
      </c>
      <c r="AD7" s="82">
        <f t="shared" si="7"/>
        <v>-175.68</v>
      </c>
      <c r="AE7" s="82">
        <f t="shared" si="7"/>
        <v>-175.68</v>
      </c>
      <c r="AF7" s="82">
        <f t="shared" si="7"/>
        <v>-175.68</v>
      </c>
      <c r="AG7" s="82">
        <f t="shared" si="7"/>
        <v>-175.68</v>
      </c>
      <c r="AH7" s="82">
        <f t="shared" si="7"/>
        <v>-175.68</v>
      </c>
      <c r="AI7" s="82">
        <f t="shared" si="7"/>
        <v>-175.68</v>
      </c>
      <c r="AJ7" s="82">
        <f t="shared" si="7"/>
        <v>-175.68</v>
      </c>
      <c r="AK7" s="82">
        <f t="shared" si="7"/>
        <v>-175.68</v>
      </c>
      <c r="AL7" s="83">
        <f t="shared" si="7"/>
        <v>-175.68</v>
      </c>
      <c r="AM7" s="82">
        <f t="shared" si="7"/>
        <v>-175.2</v>
      </c>
      <c r="AN7" s="82">
        <f t="shared" si="7"/>
        <v>-175.2</v>
      </c>
      <c r="AO7" s="82">
        <f t="shared" si="7"/>
        <v>-175.2</v>
      </c>
      <c r="AP7" s="82">
        <f t="shared" si="7"/>
        <v>-175.2</v>
      </c>
      <c r="AQ7" s="82">
        <f t="shared" si="7"/>
        <v>-175.2</v>
      </c>
      <c r="AR7" s="82">
        <f t="shared" si="7"/>
        <v>-175.2</v>
      </c>
      <c r="AS7" s="82">
        <f t="shared" si="7"/>
        <v>-175.2</v>
      </c>
      <c r="AT7" s="82">
        <f t="shared" si="7"/>
        <v>-175.2</v>
      </c>
      <c r="AU7" s="82">
        <f t="shared" si="7"/>
        <v>-175.2</v>
      </c>
      <c r="AV7" s="82">
        <f t="shared" si="7"/>
        <v>-175.2</v>
      </c>
      <c r="AW7" s="82">
        <f t="shared" si="7"/>
        <v>-175.2</v>
      </c>
      <c r="AX7" s="86">
        <f t="shared" si="7"/>
        <v>-175.2</v>
      </c>
      <c r="AY7" s="82">
        <f t="shared" si="7"/>
        <v>-175.2</v>
      </c>
      <c r="AZ7" s="82">
        <f t="shared" si="7"/>
        <v>-175.2</v>
      </c>
      <c r="BA7" s="82">
        <f t="shared" si="7"/>
        <v>-175.2</v>
      </c>
      <c r="BB7" s="82">
        <f t="shared" si="7"/>
        <v>-175.2</v>
      </c>
      <c r="BC7" s="82">
        <f t="shared" si="7"/>
        <v>-175.2</v>
      </c>
      <c r="BD7" s="82">
        <f t="shared" si="7"/>
        <v>-175.2</v>
      </c>
      <c r="BE7" s="82">
        <f t="shared" si="7"/>
        <v>-175.2</v>
      </c>
      <c r="BF7" s="82">
        <f t="shared" si="7"/>
        <v>-175.2</v>
      </c>
      <c r="BG7" s="82">
        <f t="shared" si="7"/>
        <v>-175.2</v>
      </c>
      <c r="BH7" s="82">
        <f t="shared" si="7"/>
        <v>-175.2</v>
      </c>
      <c r="BI7" s="82">
        <f t="shared" si="7"/>
        <v>-175.2</v>
      </c>
      <c r="BJ7" s="86">
        <f t="shared" si="7"/>
        <v>-175.2</v>
      </c>
      <c r="BK7" s="51"/>
    </row>
    <row r="8" spans="2:63" x14ac:dyDescent="0.25">
      <c r="B8" s="85" t="s">
        <v>327</v>
      </c>
      <c r="C8" s="82">
        <f>((RESULTADO!C35)/1000)-((RESULTADO!C37)/1000)</f>
        <v>-63.465720671999989</v>
      </c>
      <c r="D8" s="82">
        <f>((RESULTADO!D35)/1000)-((RESULTADO!D37)/1000)</f>
        <v>-118.688759544096</v>
      </c>
      <c r="E8" s="82">
        <f>((RESULTADO!E35)/1000)-((RESULTADO!E37)/1000)</f>
        <v>-198.61449023999998</v>
      </c>
      <c r="F8" s="82">
        <f>((RESULTADO!F35)/1000)-((RESULTADO!F37)/1000)</f>
        <v>-107.33652000000001</v>
      </c>
      <c r="G8" s="82">
        <f>((RESULTADO!G35)/1000)-((RESULTADO!G37)/1000)</f>
        <v>-78.192168000000024</v>
      </c>
      <c r="H8" s="82">
        <f>((RESULTADO!H35)/1000)-((RESULTADO!H37)/1000)</f>
        <v>69.985999799999988</v>
      </c>
      <c r="I8" s="82">
        <f>((RESULTADO!I35)/1000)-((RESULTADO!I37)/1000)</f>
        <v>142.96480799999998</v>
      </c>
      <c r="J8" s="82">
        <f>((RESULTADO!J35)/1000)-((RESULTADO!J37)/1000)</f>
        <v>16.219200000000004</v>
      </c>
      <c r="K8" s="82">
        <f>((RESULTADO!K35)/1000)-((RESULTADO!K37)/1000)</f>
        <v>-39.459999599999982</v>
      </c>
      <c r="L8" s="82">
        <f>((RESULTADO!L35)/1000)-((RESULTADO!L37)/1000)</f>
        <v>-107.04726163200002</v>
      </c>
      <c r="M8" s="82">
        <f>((RESULTADO!M35)/1000)-((RESULTADO!M37)/1000)</f>
        <v>-135.90910008</v>
      </c>
      <c r="N8" s="83">
        <f>((RESULTADO!N35)/1000)-((RESULTADO!N37)/1000)</f>
        <v>-118.58616000000001</v>
      </c>
      <c r="O8" s="82">
        <f>((RESULTADO!O35)/1000)-((RESULTADO!O37)/1000)</f>
        <v>-90.334000247999995</v>
      </c>
      <c r="P8" s="82">
        <f>((RESULTADO!P35)/1000)-((RESULTADO!P37)/1000)</f>
        <v>-73.864000224000023</v>
      </c>
      <c r="Q8" s="82">
        <f>((RESULTADO!Q35)/1000)-((RESULTADO!Q37)/1000)</f>
        <v>-88.697200248000001</v>
      </c>
      <c r="R8" s="82">
        <f>((RESULTADO!R35)/1000)-((RESULTADO!R37)/1000)</f>
        <v>-66.002399999999994</v>
      </c>
      <c r="S8" s="82">
        <f>((RESULTADO!S35)/1000)-((RESULTADO!S37)/1000)</f>
        <v>-57.206160000000004</v>
      </c>
      <c r="T8" s="82">
        <f>((RESULTADO!T35)/1000)-((RESULTADO!T37)/1000)</f>
        <v>-14.580000000000002</v>
      </c>
      <c r="U8" s="82">
        <f>((RESULTADO!U35)/1000)-((RESULTADO!U37)/1000)</f>
        <v>-45.198</v>
      </c>
      <c r="V8" s="82">
        <f>((RESULTADO!V35)/1000)-((RESULTADO!V37)/1000)</f>
        <v>-32.549999999999997</v>
      </c>
      <c r="W8" s="82">
        <f>((RESULTADO!W35)/1000)-((RESULTADO!W37)/1000)</f>
        <v>-40.14</v>
      </c>
      <c r="X8" s="82">
        <f>((RESULTADO!X35)/1000)-((RESULTADO!X37)/1000)</f>
        <v>-35.898000000000003</v>
      </c>
      <c r="Y8" s="82">
        <f>((RESULTADO!Y35)/1000)-((RESULTADO!Y37)/1000)</f>
        <v>-40.5</v>
      </c>
      <c r="Z8" s="83">
        <f>((RESULTADO!Z35)/1000)-((RESULTADO!Z37)/1000)</f>
        <v>1.1820002400000023</v>
      </c>
      <c r="AA8" s="82">
        <f>((RESULTADO!AA35)/1000)-((RESULTADO!AA37)/1000)</f>
        <v>-21.576000000000001</v>
      </c>
      <c r="AB8" s="82">
        <f>((RESULTADO!AB35)/1000)-((RESULTADO!AB37)/1000)</f>
        <v>-20.184000000000001</v>
      </c>
      <c r="AC8" s="82">
        <f>((RESULTADO!AC35)/1000)-((RESULTADO!AC37)/1000)</f>
        <v>-21.576000000000001</v>
      </c>
      <c r="AD8" s="82">
        <f>((RESULTADO!AD35)/1000)-((RESULTADO!AD37)/1000)</f>
        <v>-20.88</v>
      </c>
      <c r="AE8" s="82">
        <f>((RESULTADO!AE35)/1000)-((RESULTADO!AE37)/1000)</f>
        <v>-21.576000000000001</v>
      </c>
      <c r="AF8" s="82">
        <f>((RESULTADO!AF35)/1000)-((RESULTADO!AF37)/1000)</f>
        <v>-20.88</v>
      </c>
      <c r="AG8" s="82">
        <f>((RESULTADO!AG35)/1000)-((RESULTADO!AG37)/1000)</f>
        <v>-21.576000000000001</v>
      </c>
      <c r="AH8" s="82">
        <f>((RESULTADO!AH35)/1000)-((RESULTADO!AH37)/1000)</f>
        <v>-21.576000000000001</v>
      </c>
      <c r="AI8" s="82">
        <f>((RESULTADO!AI35)/1000)-((RESULTADO!AI37)/1000)</f>
        <v>-20.88</v>
      </c>
      <c r="AJ8" s="82">
        <f>((RESULTADO!AJ35)/1000)-((RESULTADO!AJ37)/1000)</f>
        <v>-21.576000000000001</v>
      </c>
      <c r="AK8" s="82">
        <f>((RESULTADO!AK35)/1000)-((RESULTADO!AK37)/1000)</f>
        <v>-20.88</v>
      </c>
      <c r="AL8" s="83">
        <f>((RESULTADO!AL35)/1000)-((RESULTADO!AL37)/1000)</f>
        <v>-21.576000000000001</v>
      </c>
      <c r="AM8" s="82">
        <f>((RESULTADO!AM35)/1000)-((RESULTADO!AM37)/1000)</f>
        <v>-26.04</v>
      </c>
      <c r="AN8" s="82">
        <f>((RESULTADO!AN35)/1000)-((RESULTADO!AN37)/1000)</f>
        <v>-23.52</v>
      </c>
      <c r="AO8" s="82">
        <f>((RESULTADO!AO35)/1000)-((RESULTADO!AO37)/1000)</f>
        <v>-26.04</v>
      </c>
      <c r="AP8" s="82">
        <f>((RESULTADO!AP35)/1000)-((RESULTADO!AP37)/1000)</f>
        <v>-25.2</v>
      </c>
      <c r="AQ8" s="82">
        <f>((RESULTADO!AQ35)/1000)-((RESULTADO!AQ37)/1000)</f>
        <v>-26.04</v>
      </c>
      <c r="AR8" s="82">
        <f>((RESULTADO!AR35)/1000)-((RESULTADO!AR37)/1000)</f>
        <v>-25.2</v>
      </c>
      <c r="AS8" s="82">
        <f>((RESULTADO!AS35)/1000)-((RESULTADO!AS37)/1000)</f>
        <v>-26.04</v>
      </c>
      <c r="AT8" s="82">
        <f>((RESULTADO!AT35)/1000)-((RESULTADO!AT37)/1000)</f>
        <v>-26.04</v>
      </c>
      <c r="AU8" s="82">
        <f>((RESULTADO!AU35)/1000)-((RESULTADO!AU37)/1000)</f>
        <v>-25.2</v>
      </c>
      <c r="AV8" s="82">
        <f>((RESULTADO!AV35)/1000)-((RESULTADO!AV37)/1000)</f>
        <v>-26.04</v>
      </c>
      <c r="AW8" s="82">
        <f>((RESULTADO!AW35)/1000)-((RESULTADO!AW37)/1000)</f>
        <v>-25.2</v>
      </c>
      <c r="AX8" s="83">
        <f>((RESULTADO!AX35)/1000)-((RESULTADO!AX37)/1000)</f>
        <v>-26.04</v>
      </c>
      <c r="AY8" s="82">
        <f>((RESULTADO!AY35)/1000)-((RESULTADO!AY37)/1000)</f>
        <v>0</v>
      </c>
      <c r="AZ8" s="82">
        <f>((RESULTADO!AZ35)/1000)-((RESULTADO!AZ37)/1000)</f>
        <v>0</v>
      </c>
      <c r="BA8" s="82">
        <f>((RESULTADO!BA35)/1000)-((RESULTADO!BA37)/1000)</f>
        <v>0</v>
      </c>
      <c r="BB8" s="82">
        <f>((RESULTADO!BB35)/1000)-((RESULTADO!BB37)/1000)</f>
        <v>0</v>
      </c>
      <c r="BC8" s="82">
        <f>((RESULTADO!BC35)/1000)-((RESULTADO!BC37)/1000)</f>
        <v>0</v>
      </c>
      <c r="BD8" s="82">
        <f>((RESULTADO!BD35)/1000)-((RESULTADO!BD37)/1000)</f>
        <v>0</v>
      </c>
      <c r="BE8" s="82">
        <f>((RESULTADO!BE35)/1000)-((RESULTADO!BE37)/1000)</f>
        <v>0</v>
      </c>
      <c r="BF8" s="82">
        <f>((RESULTADO!BF35)/1000)-((RESULTADO!BF37)/1000)</f>
        <v>0</v>
      </c>
      <c r="BG8" s="82">
        <f>((RESULTADO!BG35)/1000)-((RESULTADO!BG37)/1000)</f>
        <v>0</v>
      </c>
      <c r="BH8" s="82">
        <f>((RESULTADO!BH35)/1000)-((RESULTADO!BH37)/1000)</f>
        <v>0</v>
      </c>
      <c r="BI8" s="82">
        <f>((RESULTADO!BI35)/1000)-((RESULTADO!BI37)/1000)</f>
        <v>0</v>
      </c>
      <c r="BJ8" s="83">
        <f>((RESULTADO!BJ35)/1000)-((RESULTADO!BJ37)/1000)</f>
        <v>0</v>
      </c>
    </row>
    <row r="9" spans="2:63" x14ac:dyDescent="0.25">
      <c r="B9" s="85" t="s">
        <v>237</v>
      </c>
      <c r="C9" s="82">
        <f>SUM(C8:$BJ$8)</f>
        <v>-1883.2539324480965</v>
      </c>
      <c r="D9" s="82">
        <f>SUM(D8:$BJ$8)</f>
        <v>-1819.7882117760967</v>
      </c>
      <c r="E9" s="82">
        <f>SUM(E8:$BJ$8)</f>
        <v>-1701.0994522320007</v>
      </c>
      <c r="F9" s="82">
        <f>SUM(F8:$BJ$8)</f>
        <v>-1502.4849619920003</v>
      </c>
      <c r="G9" s="82">
        <f>SUM(G8:$BJ$8)</f>
        <v>-1395.1484419920002</v>
      </c>
      <c r="H9" s="82">
        <f>SUM(H8:$BJ$8)</f>
        <v>-1316.9562739920002</v>
      </c>
      <c r="I9" s="82">
        <f>SUM(I8:$BJ$8)</f>
        <v>-1386.9422737920002</v>
      </c>
      <c r="J9" s="82">
        <f>SUM(J8:$BJ$8)</f>
        <v>-1529.9070817920003</v>
      </c>
      <c r="K9" s="82">
        <f>SUM(K8:$BJ$8)</f>
        <v>-1546.1262817920006</v>
      </c>
      <c r="L9" s="82">
        <f>SUM(L8:$BJ$8)</f>
        <v>-1506.6662821920004</v>
      </c>
      <c r="M9" s="82">
        <f>SUM(M8:$BJ$8)</f>
        <v>-1399.6190205600003</v>
      </c>
      <c r="N9" s="83">
        <f>SUM(N8:$BJ$8)</f>
        <v>-1263.7099204800002</v>
      </c>
      <c r="O9" s="82">
        <f>SUM(O8:$BJ$8)</f>
        <v>-1145.1237604800001</v>
      </c>
      <c r="P9" s="82">
        <f>SUM(P8:$BJ$8)</f>
        <v>-1054.7897602319999</v>
      </c>
      <c r="Q9" s="82">
        <f>SUM(Q8:$BJ$8)</f>
        <v>-980.92576000800011</v>
      </c>
      <c r="R9" s="82">
        <f>SUM(R8:$BJ$8)</f>
        <v>-892.22855976000017</v>
      </c>
      <c r="S9" s="82">
        <f>SUM(S8:$BJ$8)</f>
        <v>-826.22615975999997</v>
      </c>
      <c r="T9" s="82">
        <f>SUM(T8:$BJ$8)</f>
        <v>-769.01999976000013</v>
      </c>
      <c r="U9" s="82">
        <f>SUM(U8:$BJ$8)</f>
        <v>-754.43999976000009</v>
      </c>
      <c r="V9" s="82">
        <f>SUM(V8:$BJ$8)</f>
        <v>-709.24199976</v>
      </c>
      <c r="W9" s="82">
        <f>SUM(W8:$BJ$8)</f>
        <v>-676.69199976000004</v>
      </c>
      <c r="X9" s="82">
        <f>SUM(X8:$BJ$8)</f>
        <v>-636.55199976000006</v>
      </c>
      <c r="Y9" s="82">
        <f>SUM(Y8:$BJ$8)</f>
        <v>-600.65399976000003</v>
      </c>
      <c r="Z9" s="83">
        <f>SUM(Z8:$BJ$8)</f>
        <v>-560.15399976000003</v>
      </c>
      <c r="AA9" s="82">
        <f>SUM(AA8:$BJ$8)</f>
        <v>-561.33600000000001</v>
      </c>
      <c r="AB9" s="82">
        <f>SUM(AB8:$BJ$8)</f>
        <v>-539.76</v>
      </c>
      <c r="AC9" s="82">
        <f>SUM(AC8:$BJ$8)</f>
        <v>-519.57600000000002</v>
      </c>
      <c r="AD9" s="82">
        <f>SUM(AD8:$BJ$8)</f>
        <v>-498.00000000000006</v>
      </c>
      <c r="AE9" s="82">
        <f>SUM(AE8:$BJ$8)</f>
        <v>-477.12000000000006</v>
      </c>
      <c r="AF9" s="82">
        <f>SUM(AF8:$BJ$8)</f>
        <v>-455.54400000000004</v>
      </c>
      <c r="AG9" s="82">
        <f>SUM(AG8:$BJ$8)</f>
        <v>-434.66400000000004</v>
      </c>
      <c r="AH9" s="82">
        <f>SUM(AH8:$BJ$8)</f>
        <v>-413.08800000000002</v>
      </c>
      <c r="AI9" s="82">
        <f>SUM(AI8:$BJ$8)</f>
        <v>-391.512</v>
      </c>
      <c r="AJ9" s="82">
        <f>SUM(AJ8:$BJ$8)</f>
        <v>-370.63200000000001</v>
      </c>
      <c r="AK9" s="82">
        <f>SUM(AK8:$BJ$8)</f>
        <v>-349.05599999999998</v>
      </c>
      <c r="AL9" s="83">
        <f>SUM(AL8:$BJ$8)</f>
        <v>-328.17599999999999</v>
      </c>
      <c r="AM9" s="82">
        <f>SUM(AM8:$BJ$8)</f>
        <v>-306.59999999999997</v>
      </c>
      <c r="AN9" s="82">
        <f>SUM(AN8:$BJ$8)</f>
        <v>-280.56</v>
      </c>
      <c r="AO9" s="82">
        <f>SUM(AO8:$BJ$8)</f>
        <v>-257.03999999999996</v>
      </c>
      <c r="AP9" s="82">
        <f>SUM(AP8:$BJ$8)</f>
        <v>-230.99999999999994</v>
      </c>
      <c r="AQ9" s="82">
        <f>SUM(AQ8:$BJ$8)</f>
        <v>-205.79999999999995</v>
      </c>
      <c r="AR9" s="82">
        <f>SUM(AR8:$BJ$8)</f>
        <v>-179.76</v>
      </c>
      <c r="AS9" s="82">
        <f>SUM(AS8:$BJ$8)</f>
        <v>-154.55999999999997</v>
      </c>
      <c r="AT9" s="82">
        <f>SUM(AT8:$BJ$8)</f>
        <v>-128.52000000000001</v>
      </c>
      <c r="AU9" s="82">
        <f>SUM(AU8:$BJ$8)</f>
        <v>-102.47999999999999</v>
      </c>
      <c r="AV9" s="82">
        <f>SUM(AV8:$BJ$8)</f>
        <v>-77.28</v>
      </c>
      <c r="AW9" s="82">
        <f>SUM(AW8:$BJ$8)</f>
        <v>-51.239999999999995</v>
      </c>
      <c r="AX9" s="83">
        <f>SUM(AX8:$BJ$8)</f>
        <v>-26.04</v>
      </c>
      <c r="AY9" s="82">
        <f>SUM(AY8:$BJ$8)</f>
        <v>0</v>
      </c>
      <c r="AZ9" s="82">
        <f>SUM(AZ8:$BJ$8)</f>
        <v>0</v>
      </c>
      <c r="BA9" s="82">
        <f>SUM(BA8:$BJ$8)</f>
        <v>0</v>
      </c>
      <c r="BB9" s="82">
        <f>SUM(BB8:$BJ$8)</f>
        <v>0</v>
      </c>
      <c r="BC9" s="82">
        <f>SUM(BC8:$BJ$8)</f>
        <v>0</v>
      </c>
      <c r="BD9" s="82">
        <f>SUM(BD8:$BJ$8)</f>
        <v>0</v>
      </c>
      <c r="BE9" s="82">
        <f>SUM(BE8:$BJ$8)</f>
        <v>0</v>
      </c>
      <c r="BF9" s="82">
        <f>SUM(BF8:$BJ$8)</f>
        <v>0</v>
      </c>
      <c r="BG9" s="82">
        <f>SUM(BG8:$BJ$8)</f>
        <v>0</v>
      </c>
      <c r="BH9" s="82">
        <f>SUM(BH8:$BJ$8)</f>
        <v>0</v>
      </c>
      <c r="BI9" s="82">
        <f>SUM(BI8:$BJ$8)</f>
        <v>0</v>
      </c>
      <c r="BJ9" s="83">
        <f>SUM(BJ8:$BJ$8)</f>
        <v>0</v>
      </c>
    </row>
    <row r="10" spans="2:63" x14ac:dyDescent="0.25">
      <c r="C10" s="237"/>
      <c r="D10" s="237"/>
      <c r="AA10" s="237"/>
      <c r="AB10" s="237"/>
    </row>
    <row r="11" spans="2:63" ht="15.75" thickBot="1" x14ac:dyDescent="0.3">
      <c r="B11" s="59" t="s">
        <v>36</v>
      </c>
      <c r="C11" s="55">
        <f>C3</f>
        <v>44562</v>
      </c>
      <c r="D11" s="55">
        <f t="shared" ref="D11:BJ11" si="8">D3</f>
        <v>44593</v>
      </c>
      <c r="E11" s="55">
        <f t="shared" si="8"/>
        <v>44621</v>
      </c>
      <c r="F11" s="55">
        <f t="shared" si="8"/>
        <v>44652</v>
      </c>
      <c r="G11" s="55">
        <f t="shared" si="8"/>
        <v>44682</v>
      </c>
      <c r="H11" s="55">
        <f t="shared" si="8"/>
        <v>44713</v>
      </c>
      <c r="I11" s="55">
        <f t="shared" si="8"/>
        <v>44743</v>
      </c>
      <c r="J11" s="55">
        <f t="shared" si="8"/>
        <v>44774</v>
      </c>
      <c r="K11" s="55">
        <f t="shared" si="8"/>
        <v>44805</v>
      </c>
      <c r="L11" s="55">
        <f t="shared" si="8"/>
        <v>44835</v>
      </c>
      <c r="M11" s="55">
        <f t="shared" si="8"/>
        <v>44866</v>
      </c>
      <c r="N11" s="58">
        <f t="shared" si="8"/>
        <v>44896</v>
      </c>
      <c r="O11" s="55">
        <f t="shared" si="8"/>
        <v>44927</v>
      </c>
      <c r="P11" s="55">
        <f t="shared" si="8"/>
        <v>44958</v>
      </c>
      <c r="Q11" s="55">
        <f t="shared" si="8"/>
        <v>44986</v>
      </c>
      <c r="R11" s="55">
        <f t="shared" si="8"/>
        <v>45017</v>
      </c>
      <c r="S11" s="55">
        <f t="shared" si="8"/>
        <v>45047</v>
      </c>
      <c r="T11" s="55">
        <f t="shared" si="8"/>
        <v>45078</v>
      </c>
      <c r="U11" s="55">
        <f t="shared" si="8"/>
        <v>45108</v>
      </c>
      <c r="V11" s="55">
        <f t="shared" si="8"/>
        <v>45139</v>
      </c>
      <c r="W11" s="55">
        <f t="shared" si="8"/>
        <v>45170</v>
      </c>
      <c r="X11" s="55">
        <f t="shared" si="8"/>
        <v>45200</v>
      </c>
      <c r="Y11" s="55">
        <f t="shared" si="8"/>
        <v>45231</v>
      </c>
      <c r="Z11" s="58">
        <f t="shared" si="8"/>
        <v>45261</v>
      </c>
      <c r="AA11" s="55">
        <f t="shared" si="8"/>
        <v>45292</v>
      </c>
      <c r="AB11" s="55">
        <f t="shared" si="8"/>
        <v>45323</v>
      </c>
      <c r="AC11" s="55">
        <f t="shared" si="8"/>
        <v>45352</v>
      </c>
      <c r="AD11" s="55">
        <f t="shared" si="8"/>
        <v>45383</v>
      </c>
      <c r="AE11" s="55">
        <f t="shared" si="8"/>
        <v>45413</v>
      </c>
      <c r="AF11" s="55">
        <f t="shared" si="8"/>
        <v>45444</v>
      </c>
      <c r="AG11" s="55">
        <f t="shared" si="8"/>
        <v>45474</v>
      </c>
      <c r="AH11" s="55">
        <f t="shared" si="8"/>
        <v>45505</v>
      </c>
      <c r="AI11" s="55">
        <f t="shared" si="8"/>
        <v>45536</v>
      </c>
      <c r="AJ11" s="55">
        <f t="shared" si="8"/>
        <v>45566</v>
      </c>
      <c r="AK11" s="55">
        <f t="shared" si="8"/>
        <v>45597</v>
      </c>
      <c r="AL11" s="58">
        <f t="shared" si="8"/>
        <v>45627</v>
      </c>
      <c r="AM11" s="55">
        <f t="shared" si="8"/>
        <v>45658</v>
      </c>
      <c r="AN11" s="55">
        <f t="shared" si="8"/>
        <v>45689</v>
      </c>
      <c r="AO11" s="55">
        <f t="shared" si="8"/>
        <v>45717</v>
      </c>
      <c r="AP11" s="55">
        <f t="shared" si="8"/>
        <v>45748</v>
      </c>
      <c r="AQ11" s="55">
        <f t="shared" si="8"/>
        <v>45778</v>
      </c>
      <c r="AR11" s="55">
        <f t="shared" si="8"/>
        <v>45809</v>
      </c>
      <c r="AS11" s="55">
        <f t="shared" si="8"/>
        <v>45839</v>
      </c>
      <c r="AT11" s="55">
        <f t="shared" si="8"/>
        <v>45870</v>
      </c>
      <c r="AU11" s="55">
        <f t="shared" si="8"/>
        <v>45901</v>
      </c>
      <c r="AV11" s="55">
        <f t="shared" si="8"/>
        <v>45931</v>
      </c>
      <c r="AW11" s="55">
        <f t="shared" si="8"/>
        <v>45962</v>
      </c>
      <c r="AX11" s="58">
        <f t="shared" si="8"/>
        <v>45992</v>
      </c>
      <c r="AY11" s="55">
        <f t="shared" si="8"/>
        <v>46023</v>
      </c>
      <c r="AZ11" s="55">
        <f t="shared" si="8"/>
        <v>46054</v>
      </c>
      <c r="BA11" s="55">
        <f t="shared" si="8"/>
        <v>46082</v>
      </c>
      <c r="BB11" s="55">
        <f t="shared" si="8"/>
        <v>46113</v>
      </c>
      <c r="BC11" s="55">
        <f t="shared" si="8"/>
        <v>46143</v>
      </c>
      <c r="BD11" s="55">
        <f t="shared" si="8"/>
        <v>46174</v>
      </c>
      <c r="BE11" s="55">
        <f t="shared" si="8"/>
        <v>46204</v>
      </c>
      <c r="BF11" s="55">
        <f t="shared" si="8"/>
        <v>46235</v>
      </c>
      <c r="BG11" s="55">
        <f t="shared" si="8"/>
        <v>46266</v>
      </c>
      <c r="BH11" s="55">
        <f t="shared" si="8"/>
        <v>46296</v>
      </c>
      <c r="BI11" s="55">
        <f t="shared" si="8"/>
        <v>46327</v>
      </c>
      <c r="BJ11" s="58">
        <f t="shared" si="8"/>
        <v>46357</v>
      </c>
      <c r="BK11" s="51"/>
    </row>
    <row r="12" spans="2:63" ht="15.75" thickTop="1" x14ac:dyDescent="0.25">
      <c r="B12" s="84" t="s">
        <v>328</v>
      </c>
      <c r="C12" s="82">
        <f>((RESULTADO!BO35)/1000)-((RESULTADO!BO37)/1000)</f>
        <v>63.488040671999997</v>
      </c>
      <c r="D12" s="82">
        <f>((RESULTADO!BP35)/1000)-((RESULTADO!BP37)/1000)</f>
        <v>118.70891954409598</v>
      </c>
      <c r="E12" s="82">
        <f>((RESULTADO!BQ35)/1000)-((RESULTADO!BQ37)/1000)</f>
        <v>183.75681023999999</v>
      </c>
      <c r="F12" s="82">
        <f>((RESULTADO!BR35)/1000)-((RESULTADO!BR37)/1000)</f>
        <v>85.758119999999991</v>
      </c>
      <c r="G12" s="82">
        <f>((RESULTADO!BS35)/1000)-((RESULTADO!BS37)/1000)</f>
        <v>71.518487999999991</v>
      </c>
      <c r="H12" s="82">
        <f>((RESULTADO!BT35)/1000)-((RESULTADO!BT37)/1000)</f>
        <v>-69.964399799999995</v>
      </c>
      <c r="I12" s="82">
        <f>((RESULTADO!BU35)/1000)-((RESULTADO!BU37)/1000)</f>
        <v>-142.94248800000003</v>
      </c>
      <c r="J12" s="82">
        <f>((RESULTADO!BV35)/1000)-((RESULTADO!BV37)/1000)</f>
        <v>-8.7568799999999971</v>
      </c>
      <c r="K12" s="82">
        <f>((RESULTADO!BW35)/1000)-((RESULTADO!BW37)/1000)</f>
        <v>39.285599759999997</v>
      </c>
      <c r="L12" s="82">
        <f>((RESULTADO!BX35)/1000)-((RESULTADO!BX37)/1000)</f>
        <v>107.72471976000001</v>
      </c>
      <c r="M12" s="82">
        <f>((RESULTADO!BY35)/1000)-((RESULTADO!BY37)/1000)</f>
        <v>135.93070007999998</v>
      </c>
      <c r="N12" s="83">
        <f>((RESULTADO!BZ35)/1000)-((RESULTADO!BZ37)/1000)</f>
        <v>121.95648</v>
      </c>
      <c r="O12" s="82">
        <f>((RESULTADO!CA35)/1000)-((RESULTADO!CA37)/1000)</f>
        <v>80.165999999999997</v>
      </c>
      <c r="P12" s="82">
        <f>((RESULTADO!CB35)/1000)-((RESULTADO!CB37)/1000)</f>
        <v>71.937599999999989</v>
      </c>
      <c r="Q12" s="82">
        <f>((RESULTADO!CC35)/1000)-((RESULTADO!CC37)/1000)</f>
        <v>88.5732</v>
      </c>
      <c r="R12" s="82">
        <f>((RESULTADO!CD35)/1000)-((RESULTADO!CD37)/1000)</f>
        <v>54.9</v>
      </c>
      <c r="S12" s="82">
        <f>((RESULTADO!CE35)/1000)-((RESULTADO!CE37)/1000)</f>
        <v>31.434000000000001</v>
      </c>
      <c r="T12" s="82">
        <f>((RESULTADO!CF35)/1000)-((RESULTADO!CF37)/1000)</f>
        <v>-8.4600000000000009</v>
      </c>
      <c r="U12" s="82">
        <f>((RESULTADO!CG35)/1000)-((RESULTADO!CG37)/1000)</f>
        <v>25.481999999999999</v>
      </c>
      <c r="V12" s="82">
        <f>((RESULTADO!CH35)/1000)-((RESULTADO!CH37)/1000)</f>
        <v>16.554000000000002</v>
      </c>
      <c r="W12" s="82">
        <f>((RESULTADO!CI35)/1000)-((RESULTADO!CI37)/1000)</f>
        <v>24.66</v>
      </c>
      <c r="X12" s="82">
        <f>((RESULTADO!CJ35)/1000)-((RESULTADO!CJ37)/1000)</f>
        <v>30.69</v>
      </c>
      <c r="Y12" s="82">
        <f>((RESULTADO!CK35)/1000)-((RESULTADO!CK37)/1000)</f>
        <v>35.46</v>
      </c>
      <c r="Z12" s="83">
        <f>((RESULTADO!CL35)/1000)-((RESULTADO!CL37)/1000)</f>
        <v>-6.3900002399999991</v>
      </c>
      <c r="AA12" s="82">
        <f>((RESULTADO!CM35)/1000)-((RESULTADO!CM37)/1000)</f>
        <v>11.16</v>
      </c>
      <c r="AB12" s="82">
        <f>((RESULTADO!CN35)/1000)-((RESULTADO!CN37)/1000)</f>
        <v>10.44</v>
      </c>
      <c r="AC12" s="82">
        <f>((RESULTADO!CO35)/1000)-((RESULTADO!CO37)/1000)</f>
        <v>11.16</v>
      </c>
      <c r="AD12" s="82">
        <f>((RESULTADO!CP35)/1000)-((RESULTADO!CP37)/1000)</f>
        <v>10.8</v>
      </c>
      <c r="AE12" s="82">
        <f>((RESULTADO!CQ35)/1000)-((RESULTADO!CQ37)/1000)</f>
        <v>11.16</v>
      </c>
      <c r="AF12" s="82">
        <f>((RESULTADO!CR35)/1000)-((RESULTADO!CR37)/1000)</f>
        <v>10.8</v>
      </c>
      <c r="AG12" s="82">
        <f>((RESULTADO!CS35)/1000)-((RESULTADO!CS37)/1000)</f>
        <v>11.16</v>
      </c>
      <c r="AH12" s="82">
        <f>((RESULTADO!CT35)/1000)-((RESULTADO!CT37)/1000)</f>
        <v>11.16</v>
      </c>
      <c r="AI12" s="82">
        <f>((RESULTADO!CU35)/1000)-((RESULTADO!CU37)/1000)</f>
        <v>10.8</v>
      </c>
      <c r="AJ12" s="82">
        <f>((RESULTADO!CV35)/1000)-((RESULTADO!CV37)/1000)</f>
        <v>11.16</v>
      </c>
      <c r="AK12" s="82">
        <f>((RESULTADO!CW35)/1000)-((RESULTADO!CW37)/1000)</f>
        <v>10.8</v>
      </c>
      <c r="AL12" s="83">
        <f>((RESULTADO!CX35)/1000)-((RESULTADO!CX37)/1000)</f>
        <v>11.16</v>
      </c>
      <c r="AM12" s="82">
        <f>((RESULTADO!CY35)/1000)-((RESULTADO!CY37)/1000)</f>
        <v>26.04</v>
      </c>
      <c r="AN12" s="82">
        <f>((RESULTADO!CZ35)/1000)-((RESULTADO!CZ37)/1000)</f>
        <v>23.52</v>
      </c>
      <c r="AO12" s="82">
        <f>((RESULTADO!DA35)/1000)-((RESULTADO!DA37)/1000)</f>
        <v>26.04</v>
      </c>
      <c r="AP12" s="82">
        <f>((RESULTADO!DB35)/1000)-((RESULTADO!DB37)/1000)</f>
        <v>25.2</v>
      </c>
      <c r="AQ12" s="82">
        <f>((RESULTADO!DC35)/1000)-((RESULTADO!DC37)/1000)</f>
        <v>26.04</v>
      </c>
      <c r="AR12" s="82">
        <f>((RESULTADO!DD35)/1000)-((RESULTADO!DD37)/1000)</f>
        <v>25.2</v>
      </c>
      <c r="AS12" s="82">
        <f>((RESULTADO!DE35)/1000)-((RESULTADO!DE37)/1000)</f>
        <v>26.04</v>
      </c>
      <c r="AT12" s="82">
        <f>((RESULTADO!DF35)/1000)-((RESULTADO!DF37)/1000)</f>
        <v>26.04</v>
      </c>
      <c r="AU12" s="82">
        <f>((RESULTADO!DG35)/1000)-((RESULTADO!DG37)/1000)</f>
        <v>25.2</v>
      </c>
      <c r="AV12" s="82">
        <f>((RESULTADO!DH35)/1000)-((RESULTADO!DH37)/1000)</f>
        <v>26.04</v>
      </c>
      <c r="AW12" s="82">
        <f>((RESULTADO!DI35)/1000)-((RESULTADO!DI37)/1000)</f>
        <v>25.2</v>
      </c>
      <c r="AX12" s="83">
        <f>((RESULTADO!DJ35)/1000)-((RESULTADO!DJ37)/1000)</f>
        <v>26.04</v>
      </c>
      <c r="AY12" s="82">
        <f>((RESULTADO!DK35)/1000)-((RESULTADO!DK37)/1000)</f>
        <v>0</v>
      </c>
      <c r="AZ12" s="82">
        <f>((RESULTADO!DL35)/1000)-((RESULTADO!DL37)/1000)</f>
        <v>0</v>
      </c>
      <c r="BA12" s="82">
        <f>((RESULTADO!DM35)/1000)-((RESULTADO!DM37)/1000)</f>
        <v>0</v>
      </c>
      <c r="BB12" s="82">
        <f>((RESULTADO!DN35)/1000)-((RESULTADO!DN37)/1000)</f>
        <v>0</v>
      </c>
      <c r="BC12" s="82">
        <f>((RESULTADO!DO35)/1000)-((RESULTADO!DO37)/1000)</f>
        <v>0</v>
      </c>
      <c r="BD12" s="82">
        <f>((RESULTADO!DP35)/1000)-((RESULTADO!DP37)/1000)</f>
        <v>0</v>
      </c>
      <c r="BE12" s="82">
        <f>((RESULTADO!DQ35)/1000)-((RESULTADO!DQ37)/1000)</f>
        <v>0</v>
      </c>
      <c r="BF12" s="82">
        <f>((RESULTADO!DR35)/1000)-((RESULTADO!DR37)/1000)</f>
        <v>0</v>
      </c>
      <c r="BG12" s="82">
        <f>((RESULTADO!DS35)/1000)-((RESULTADO!DS37)/1000)</f>
        <v>0</v>
      </c>
      <c r="BH12" s="82">
        <f>((RESULTADO!DT35)/1000)-((RESULTADO!DT37)/1000)</f>
        <v>0</v>
      </c>
      <c r="BI12" s="82">
        <f>((RESULTADO!DU35)/1000)-((RESULTADO!DU37)/1000)</f>
        <v>0</v>
      </c>
      <c r="BJ12" s="83">
        <f>((RESULTADO!DV35)/1000)-((RESULTADO!DV37)/1000)</f>
        <v>0</v>
      </c>
      <c r="BK12" s="51"/>
    </row>
    <row r="13" spans="2:63" x14ac:dyDescent="0.25">
      <c r="B13" s="85" t="s">
        <v>237</v>
      </c>
      <c r="C13" s="82">
        <f>SUM(C12:$BJ$12)</f>
        <v>1589.8309100160964</v>
      </c>
      <c r="D13" s="82">
        <f>SUM(D12:$BJ$12)</f>
        <v>1526.3428693440962</v>
      </c>
      <c r="E13" s="82">
        <f>SUM(E12:$BJ$12)</f>
        <v>1407.6339498</v>
      </c>
      <c r="F13" s="82">
        <f>SUM(F12:$BJ$12)</f>
        <v>1223.8771395599995</v>
      </c>
      <c r="G13" s="82">
        <f>SUM(G12:$BJ$12)</f>
        <v>1138.1190195599995</v>
      </c>
      <c r="H13" s="82">
        <f>SUM(H12:$BJ$12)</f>
        <v>1066.6005315599996</v>
      </c>
      <c r="I13" s="82">
        <f>SUM(I12:$BJ$12)</f>
        <v>1136.5649313599995</v>
      </c>
      <c r="J13" s="82">
        <f>SUM(J12:$BJ$12)</f>
        <v>1279.5074193599996</v>
      </c>
      <c r="K13" s="82">
        <f>SUM(K12:$BJ$12)</f>
        <v>1288.2642993599995</v>
      </c>
      <c r="L13" s="82">
        <f>SUM(L12:$BJ$12)</f>
        <v>1248.9786995999996</v>
      </c>
      <c r="M13" s="82">
        <f>SUM(M12:$BJ$12)</f>
        <v>1141.2539798399996</v>
      </c>
      <c r="N13" s="83">
        <f>SUM(N12:$BJ$12)</f>
        <v>1005.3232797599997</v>
      </c>
      <c r="O13" s="82">
        <f>SUM(O12:$BJ$12)</f>
        <v>883.36679975999971</v>
      </c>
      <c r="P13" s="82">
        <f>SUM(P12:$BJ$12)</f>
        <v>803.20079976000011</v>
      </c>
      <c r="Q13" s="82">
        <f>SUM(Q12:$BJ$12)</f>
        <v>731.26319976000013</v>
      </c>
      <c r="R13" s="82">
        <f>SUM(R12:$BJ$12)</f>
        <v>642.68999976000009</v>
      </c>
      <c r="S13" s="82">
        <f>SUM(S12:$BJ$12)</f>
        <v>587.78999976000011</v>
      </c>
      <c r="T13" s="82">
        <f>SUM(T12:$BJ$12)</f>
        <v>556.35599976000003</v>
      </c>
      <c r="U13" s="82">
        <f>SUM(U12:$BJ$12)</f>
        <v>564.81599976000007</v>
      </c>
      <c r="V13" s="82">
        <f>SUM(V12:$BJ$12)</f>
        <v>539.3339997600001</v>
      </c>
      <c r="W13" s="82">
        <f>SUM(W12:$BJ$12)</f>
        <v>522.77999976000001</v>
      </c>
      <c r="X13" s="82">
        <f>SUM(X12:$BJ$12)</f>
        <v>498.1199997600001</v>
      </c>
      <c r="Y13" s="82">
        <f>SUM(Y12:$BJ$12)</f>
        <v>467.42999976000004</v>
      </c>
      <c r="Z13" s="83">
        <f>SUM(Z12:$BJ$12)</f>
        <v>431.96999976000001</v>
      </c>
      <c r="AA13" s="82">
        <f>SUM(AA12:$BJ$12)</f>
        <v>438.36</v>
      </c>
      <c r="AB13" s="82">
        <f>SUM(AB12:$BJ$12)</f>
        <v>427.20000000000005</v>
      </c>
      <c r="AC13" s="82">
        <f>SUM(AC12:$BJ$12)</f>
        <v>416.76000000000005</v>
      </c>
      <c r="AD13" s="82">
        <f>SUM(AD12:$BJ$12)</f>
        <v>405.6</v>
      </c>
      <c r="AE13" s="82">
        <f>SUM(AE12:$BJ$12)</f>
        <v>394.8</v>
      </c>
      <c r="AF13" s="82">
        <f>SUM(AF12:$BJ$12)</f>
        <v>383.64</v>
      </c>
      <c r="AG13" s="82">
        <f>SUM(AG12:$BJ$12)</f>
        <v>372.84</v>
      </c>
      <c r="AH13" s="82">
        <f>SUM(AH12:$BJ$12)</f>
        <v>361.68</v>
      </c>
      <c r="AI13" s="82">
        <f>SUM(AI12:$BJ$12)</f>
        <v>350.52</v>
      </c>
      <c r="AJ13" s="82">
        <f>SUM(AJ12:$BJ$12)</f>
        <v>339.71999999999997</v>
      </c>
      <c r="AK13" s="82">
        <f>SUM(AK12:$BJ$12)</f>
        <v>328.56</v>
      </c>
      <c r="AL13" s="83">
        <f>SUM(AL12:$BJ$12)</f>
        <v>317.76</v>
      </c>
      <c r="AM13" s="82">
        <f>SUM(AM12:$BJ$12)</f>
        <v>306.59999999999997</v>
      </c>
      <c r="AN13" s="82">
        <f>SUM(AN12:$BJ$12)</f>
        <v>280.56</v>
      </c>
      <c r="AO13" s="82">
        <f>SUM(AO12:$BJ$12)</f>
        <v>257.03999999999996</v>
      </c>
      <c r="AP13" s="82">
        <f>SUM(AP12:$BJ$12)</f>
        <v>230.99999999999994</v>
      </c>
      <c r="AQ13" s="82">
        <f>SUM(AQ12:$BJ$12)</f>
        <v>205.79999999999995</v>
      </c>
      <c r="AR13" s="82">
        <f>SUM(AR12:$BJ$12)</f>
        <v>179.76</v>
      </c>
      <c r="AS13" s="82">
        <f>SUM(AS12:$BJ$12)</f>
        <v>154.55999999999997</v>
      </c>
      <c r="AT13" s="82">
        <f>SUM(AT12:$BJ$12)</f>
        <v>128.52000000000001</v>
      </c>
      <c r="AU13" s="82">
        <f>SUM(AU12:$BJ$12)</f>
        <v>102.47999999999999</v>
      </c>
      <c r="AV13" s="82">
        <f>SUM(AV12:$BJ$12)</f>
        <v>77.28</v>
      </c>
      <c r="AW13" s="82">
        <f>SUM(AW12:$BJ$12)</f>
        <v>51.239999999999995</v>
      </c>
      <c r="AX13" s="83">
        <f>SUM(AX12:$BJ$12)</f>
        <v>26.04</v>
      </c>
      <c r="AY13" s="82">
        <f>SUM(AY12:$BJ$12)</f>
        <v>0</v>
      </c>
      <c r="AZ13" s="82">
        <f>SUM(AZ12:$BJ$12)</f>
        <v>0</v>
      </c>
      <c r="BA13" s="82">
        <f>SUM(BA12:$BJ$12)</f>
        <v>0</v>
      </c>
      <c r="BB13" s="82">
        <f>SUM(BB12:$BJ$12)</f>
        <v>0</v>
      </c>
      <c r="BC13" s="82">
        <f>SUM(BC12:$BJ$12)</f>
        <v>0</v>
      </c>
      <c r="BD13" s="82">
        <f>SUM(BD12:$BJ$12)</f>
        <v>0</v>
      </c>
      <c r="BE13" s="82">
        <f>SUM(BE12:$BJ$12)</f>
        <v>0</v>
      </c>
      <c r="BF13" s="82">
        <f>SUM(BF12:$BJ$12)</f>
        <v>0</v>
      </c>
      <c r="BG13" s="82">
        <f>SUM(BG12:$BJ$12)</f>
        <v>0</v>
      </c>
      <c r="BH13" s="82">
        <f>SUM(BH12:$BJ$12)</f>
        <v>0</v>
      </c>
      <c r="BI13" s="82">
        <f>SUM(BI12:$BJ$12)</f>
        <v>0</v>
      </c>
      <c r="BJ13" s="83">
        <f>SUM(BJ12:$BJ$12)</f>
        <v>0</v>
      </c>
      <c r="BK13" s="51"/>
    </row>
    <row r="14" spans="2:63" x14ac:dyDescent="0.25">
      <c r="B14" s="103" t="s">
        <v>48</v>
      </c>
      <c r="D14" s="117"/>
      <c r="G14" s="117"/>
      <c r="H14" s="117"/>
      <c r="AB14" s="117"/>
      <c r="AE14" s="117"/>
      <c r="AF14" s="117"/>
    </row>
    <row r="15" spans="2:63" ht="15.75" thickBot="1" x14ac:dyDescent="0.3">
      <c r="B15" s="59" t="s">
        <v>156</v>
      </c>
      <c r="C15" s="55">
        <f>C3</f>
        <v>44562</v>
      </c>
      <c r="D15" s="55">
        <f t="shared" ref="D15:BJ15" si="9">D3</f>
        <v>44593</v>
      </c>
      <c r="E15" s="55">
        <f t="shared" si="9"/>
        <v>44621</v>
      </c>
      <c r="F15" s="55">
        <f t="shared" si="9"/>
        <v>44652</v>
      </c>
      <c r="G15" s="55">
        <f t="shared" si="9"/>
        <v>44682</v>
      </c>
      <c r="H15" s="55">
        <f t="shared" si="9"/>
        <v>44713</v>
      </c>
      <c r="I15" s="55">
        <f t="shared" si="9"/>
        <v>44743</v>
      </c>
      <c r="J15" s="55">
        <f t="shared" si="9"/>
        <v>44774</v>
      </c>
      <c r="K15" s="55">
        <f t="shared" si="9"/>
        <v>44805</v>
      </c>
      <c r="L15" s="55">
        <f t="shared" si="9"/>
        <v>44835</v>
      </c>
      <c r="M15" s="55">
        <f t="shared" si="9"/>
        <v>44866</v>
      </c>
      <c r="N15" s="58">
        <f t="shared" si="9"/>
        <v>44896</v>
      </c>
      <c r="O15" s="55">
        <f t="shared" si="9"/>
        <v>44927</v>
      </c>
      <c r="P15" s="55">
        <f t="shared" si="9"/>
        <v>44958</v>
      </c>
      <c r="Q15" s="55">
        <f t="shared" si="9"/>
        <v>44986</v>
      </c>
      <c r="R15" s="55">
        <f t="shared" si="9"/>
        <v>45017</v>
      </c>
      <c r="S15" s="55">
        <f t="shared" si="9"/>
        <v>45047</v>
      </c>
      <c r="T15" s="55">
        <f t="shared" si="9"/>
        <v>45078</v>
      </c>
      <c r="U15" s="55">
        <f t="shared" si="9"/>
        <v>45108</v>
      </c>
      <c r="V15" s="55">
        <f t="shared" si="9"/>
        <v>45139</v>
      </c>
      <c r="W15" s="55">
        <f t="shared" si="9"/>
        <v>45170</v>
      </c>
      <c r="X15" s="55">
        <f t="shared" si="9"/>
        <v>45200</v>
      </c>
      <c r="Y15" s="55">
        <f t="shared" si="9"/>
        <v>45231</v>
      </c>
      <c r="Z15" s="58">
        <f t="shared" si="9"/>
        <v>45261</v>
      </c>
      <c r="AA15" s="55">
        <f t="shared" si="9"/>
        <v>45292</v>
      </c>
      <c r="AB15" s="55">
        <f t="shared" si="9"/>
        <v>45323</v>
      </c>
      <c r="AC15" s="55">
        <f t="shared" si="9"/>
        <v>45352</v>
      </c>
      <c r="AD15" s="55">
        <f t="shared" si="9"/>
        <v>45383</v>
      </c>
      <c r="AE15" s="55">
        <f t="shared" si="9"/>
        <v>45413</v>
      </c>
      <c r="AF15" s="55">
        <f t="shared" si="9"/>
        <v>45444</v>
      </c>
      <c r="AG15" s="55">
        <f t="shared" si="9"/>
        <v>45474</v>
      </c>
      <c r="AH15" s="55">
        <f t="shared" si="9"/>
        <v>45505</v>
      </c>
      <c r="AI15" s="55">
        <f t="shared" si="9"/>
        <v>45536</v>
      </c>
      <c r="AJ15" s="55">
        <f t="shared" si="9"/>
        <v>45566</v>
      </c>
      <c r="AK15" s="55">
        <f t="shared" si="9"/>
        <v>45597</v>
      </c>
      <c r="AL15" s="58">
        <f t="shared" si="9"/>
        <v>45627</v>
      </c>
      <c r="AM15" s="55">
        <f t="shared" si="9"/>
        <v>45658</v>
      </c>
      <c r="AN15" s="55">
        <f t="shared" si="9"/>
        <v>45689</v>
      </c>
      <c r="AO15" s="55">
        <f t="shared" si="9"/>
        <v>45717</v>
      </c>
      <c r="AP15" s="55">
        <f t="shared" si="9"/>
        <v>45748</v>
      </c>
      <c r="AQ15" s="55">
        <f t="shared" si="9"/>
        <v>45778</v>
      </c>
      <c r="AR15" s="55">
        <f t="shared" si="9"/>
        <v>45809</v>
      </c>
      <c r="AS15" s="55">
        <f t="shared" si="9"/>
        <v>45839</v>
      </c>
      <c r="AT15" s="55">
        <f t="shared" si="9"/>
        <v>45870</v>
      </c>
      <c r="AU15" s="55">
        <f t="shared" si="9"/>
        <v>45901</v>
      </c>
      <c r="AV15" s="55">
        <f t="shared" si="9"/>
        <v>45931</v>
      </c>
      <c r="AW15" s="55">
        <f t="shared" si="9"/>
        <v>45962</v>
      </c>
      <c r="AX15" s="58">
        <f t="shared" si="9"/>
        <v>45992</v>
      </c>
      <c r="AY15" s="55">
        <f t="shared" si="9"/>
        <v>46023</v>
      </c>
      <c r="AZ15" s="55">
        <f t="shared" si="9"/>
        <v>46054</v>
      </c>
      <c r="BA15" s="55">
        <f t="shared" si="9"/>
        <v>46082</v>
      </c>
      <c r="BB15" s="55">
        <f t="shared" si="9"/>
        <v>46113</v>
      </c>
      <c r="BC15" s="55">
        <f t="shared" si="9"/>
        <v>46143</v>
      </c>
      <c r="BD15" s="55">
        <f t="shared" si="9"/>
        <v>46174</v>
      </c>
      <c r="BE15" s="55">
        <f t="shared" si="9"/>
        <v>46204</v>
      </c>
      <c r="BF15" s="55">
        <f t="shared" si="9"/>
        <v>46235</v>
      </c>
      <c r="BG15" s="55">
        <f t="shared" si="9"/>
        <v>46266</v>
      </c>
      <c r="BH15" s="55">
        <f t="shared" si="9"/>
        <v>46296</v>
      </c>
      <c r="BI15" s="55">
        <f t="shared" si="9"/>
        <v>46327</v>
      </c>
      <c r="BJ15" s="58">
        <f t="shared" si="9"/>
        <v>46357</v>
      </c>
      <c r="BK15" s="51"/>
    </row>
    <row r="16" spans="2:63" ht="15.75" thickTop="1" x14ac:dyDescent="0.25">
      <c r="B16" s="111" t="s">
        <v>238</v>
      </c>
      <c r="C16" s="82">
        <f>C8+C12</f>
        <v>2.2320000000007667E-2</v>
      </c>
      <c r="D16" s="82">
        <f t="shared" ref="D16:BJ16" si="10">D8+D12</f>
        <v>2.0159999999975753E-2</v>
      </c>
      <c r="E16" s="331">
        <f t="shared" si="10"/>
        <v>-14.857679999999988</v>
      </c>
      <c r="F16" s="82">
        <f t="shared" si="10"/>
        <v>-21.578400000000016</v>
      </c>
      <c r="G16" s="82">
        <f t="shared" si="10"/>
        <v>-6.6736800000000329</v>
      </c>
      <c r="H16" s="82">
        <f t="shared" si="10"/>
        <v>2.1599999999992292E-2</v>
      </c>
      <c r="I16" s="82">
        <f t="shared" si="10"/>
        <v>2.2319999999950824E-2</v>
      </c>
      <c r="J16" s="82">
        <f t="shared" si="10"/>
        <v>7.4623200000000072</v>
      </c>
      <c r="K16" s="82">
        <f t="shared" si="10"/>
        <v>-0.17439983999998532</v>
      </c>
      <c r="L16" s="82">
        <f t="shared" si="10"/>
        <v>0.67745812799999783</v>
      </c>
      <c r="M16" s="82">
        <f t="shared" si="10"/>
        <v>2.1599999999978081E-2</v>
      </c>
      <c r="N16" s="83">
        <f t="shared" si="10"/>
        <v>3.3703199999999924</v>
      </c>
      <c r="O16" s="82">
        <f t="shared" si="10"/>
        <v>-10.168000247999998</v>
      </c>
      <c r="P16" s="82">
        <f t="shared" si="10"/>
        <v>-1.9264002240000337</v>
      </c>
      <c r="Q16" s="82">
        <f t="shared" si="10"/>
        <v>-0.12400024800000153</v>
      </c>
      <c r="R16" s="82">
        <f t="shared" si="10"/>
        <v>-11.102399999999996</v>
      </c>
      <c r="S16" s="82">
        <f t="shared" si="10"/>
        <v>-25.772160000000003</v>
      </c>
      <c r="T16" s="82">
        <f t="shared" si="10"/>
        <v>-23.040000000000003</v>
      </c>
      <c r="U16" s="82">
        <f t="shared" si="10"/>
        <v>-19.716000000000001</v>
      </c>
      <c r="V16" s="82">
        <f t="shared" si="10"/>
        <v>-15.995999999999995</v>
      </c>
      <c r="W16" s="82">
        <f t="shared" si="10"/>
        <v>-15.48</v>
      </c>
      <c r="X16" s="82">
        <f t="shared" si="10"/>
        <v>-5.208000000000002</v>
      </c>
      <c r="Y16" s="82">
        <f t="shared" si="10"/>
        <v>-5.0399999999999991</v>
      </c>
      <c r="Z16" s="81">
        <f t="shared" si="10"/>
        <v>-5.2079999999999966</v>
      </c>
      <c r="AA16" s="82">
        <f t="shared" si="10"/>
        <v>-10.416</v>
      </c>
      <c r="AB16" s="82">
        <f t="shared" si="10"/>
        <v>-9.7440000000000015</v>
      </c>
      <c r="AC16" s="331">
        <f t="shared" si="10"/>
        <v>-10.416</v>
      </c>
      <c r="AD16" s="82">
        <f t="shared" si="10"/>
        <v>-10.079999999999998</v>
      </c>
      <c r="AE16" s="82">
        <f t="shared" si="10"/>
        <v>-10.416</v>
      </c>
      <c r="AF16" s="82">
        <f t="shared" si="10"/>
        <v>-10.079999999999998</v>
      </c>
      <c r="AG16" s="82">
        <f t="shared" si="10"/>
        <v>-10.416</v>
      </c>
      <c r="AH16" s="82">
        <f t="shared" si="10"/>
        <v>-10.416</v>
      </c>
      <c r="AI16" s="82">
        <f t="shared" si="10"/>
        <v>-10.079999999999998</v>
      </c>
      <c r="AJ16" s="82">
        <f t="shared" si="10"/>
        <v>-10.416</v>
      </c>
      <c r="AK16" s="82">
        <f t="shared" si="10"/>
        <v>-10.079999999999998</v>
      </c>
      <c r="AL16" s="83">
        <f t="shared" si="10"/>
        <v>-10.416</v>
      </c>
      <c r="AM16" s="82">
        <f t="shared" si="10"/>
        <v>0</v>
      </c>
      <c r="AN16" s="82">
        <f t="shared" si="10"/>
        <v>0</v>
      </c>
      <c r="AO16" s="82">
        <f t="shared" si="10"/>
        <v>0</v>
      </c>
      <c r="AP16" s="82">
        <f t="shared" si="10"/>
        <v>0</v>
      </c>
      <c r="AQ16" s="82">
        <f t="shared" si="10"/>
        <v>0</v>
      </c>
      <c r="AR16" s="82">
        <f t="shared" si="10"/>
        <v>0</v>
      </c>
      <c r="AS16" s="82">
        <f t="shared" si="10"/>
        <v>0</v>
      </c>
      <c r="AT16" s="82">
        <f t="shared" si="10"/>
        <v>0</v>
      </c>
      <c r="AU16" s="82">
        <f t="shared" si="10"/>
        <v>0</v>
      </c>
      <c r="AV16" s="82">
        <f t="shared" si="10"/>
        <v>0</v>
      </c>
      <c r="AW16" s="82">
        <f t="shared" si="10"/>
        <v>0</v>
      </c>
      <c r="AX16" s="81">
        <f t="shared" si="10"/>
        <v>0</v>
      </c>
      <c r="AY16" s="82">
        <f t="shared" si="10"/>
        <v>0</v>
      </c>
      <c r="AZ16" s="82">
        <f t="shared" si="10"/>
        <v>0</v>
      </c>
      <c r="BA16" s="82">
        <f t="shared" si="10"/>
        <v>0</v>
      </c>
      <c r="BB16" s="82">
        <f t="shared" si="10"/>
        <v>0</v>
      </c>
      <c r="BC16" s="82">
        <f t="shared" si="10"/>
        <v>0</v>
      </c>
      <c r="BD16" s="82">
        <f t="shared" si="10"/>
        <v>0</v>
      </c>
      <c r="BE16" s="82">
        <f t="shared" si="10"/>
        <v>0</v>
      </c>
      <c r="BF16" s="82">
        <f t="shared" si="10"/>
        <v>0</v>
      </c>
      <c r="BG16" s="82">
        <f t="shared" si="10"/>
        <v>0</v>
      </c>
      <c r="BH16" s="82">
        <f t="shared" si="10"/>
        <v>0</v>
      </c>
      <c r="BI16" s="82">
        <f t="shared" si="10"/>
        <v>0</v>
      </c>
      <c r="BJ16" s="81">
        <f t="shared" si="10"/>
        <v>0</v>
      </c>
      <c r="BK16" s="51"/>
    </row>
    <row r="17" spans="2:63" x14ac:dyDescent="0.25">
      <c r="B17" s="85" t="s">
        <v>245</v>
      </c>
      <c r="C17" s="82">
        <f>C9+C13</f>
        <v>-293.42302243200015</v>
      </c>
      <c r="D17" s="82">
        <f t="shared" ref="D17:BJ17" si="11">D9+D13</f>
        <v>-293.44534243200042</v>
      </c>
      <c r="E17" s="82">
        <f t="shared" si="11"/>
        <v>-293.46550243200068</v>
      </c>
      <c r="F17" s="82">
        <f t="shared" si="11"/>
        <v>-278.60782243200083</v>
      </c>
      <c r="G17" s="82">
        <f t="shared" si="11"/>
        <v>-257.02942243200073</v>
      </c>
      <c r="H17" s="82">
        <f t="shared" si="11"/>
        <v>-250.35574243200062</v>
      </c>
      <c r="I17" s="82">
        <f t="shared" si="11"/>
        <v>-250.37734243200066</v>
      </c>
      <c r="J17" s="82">
        <f t="shared" si="11"/>
        <v>-250.3996624320007</v>
      </c>
      <c r="K17" s="82">
        <f t="shared" si="11"/>
        <v>-257.86198243200101</v>
      </c>
      <c r="L17" s="82">
        <f t="shared" si="11"/>
        <v>-257.68758259200081</v>
      </c>
      <c r="M17" s="82">
        <f t="shared" si="11"/>
        <v>-258.36504072000071</v>
      </c>
      <c r="N17" s="83">
        <f t="shared" si="11"/>
        <v>-258.38664072000051</v>
      </c>
      <c r="O17" s="82">
        <f t="shared" si="11"/>
        <v>-261.75696072000039</v>
      </c>
      <c r="P17" s="82">
        <f t="shared" si="11"/>
        <v>-251.58896047199983</v>
      </c>
      <c r="Q17" s="82">
        <f t="shared" si="11"/>
        <v>-249.66256024799998</v>
      </c>
      <c r="R17" s="82">
        <f t="shared" si="11"/>
        <v>-249.53856000000007</v>
      </c>
      <c r="S17" s="82">
        <f t="shared" si="11"/>
        <v>-238.43615999999986</v>
      </c>
      <c r="T17" s="82">
        <f t="shared" si="11"/>
        <v>-212.6640000000001</v>
      </c>
      <c r="U17" s="82">
        <f t="shared" si="11"/>
        <v>-189.62400000000002</v>
      </c>
      <c r="V17" s="82">
        <f t="shared" si="11"/>
        <v>-169.9079999999999</v>
      </c>
      <c r="W17" s="82">
        <f t="shared" si="11"/>
        <v>-153.91200000000003</v>
      </c>
      <c r="X17" s="82">
        <f t="shared" si="11"/>
        <v>-138.43199999999996</v>
      </c>
      <c r="Y17" s="82">
        <f t="shared" si="11"/>
        <v>-133.22399999999999</v>
      </c>
      <c r="Z17" s="83">
        <f t="shared" si="11"/>
        <v>-128.18400000000003</v>
      </c>
      <c r="AA17" s="82">
        <f t="shared" si="11"/>
        <v>-122.976</v>
      </c>
      <c r="AB17" s="82">
        <f t="shared" si="11"/>
        <v>-112.55999999999995</v>
      </c>
      <c r="AC17" s="82">
        <f t="shared" si="11"/>
        <v>-102.81599999999997</v>
      </c>
      <c r="AD17" s="82">
        <f t="shared" si="11"/>
        <v>-92.400000000000034</v>
      </c>
      <c r="AE17" s="82">
        <f t="shared" si="11"/>
        <v>-82.32000000000005</v>
      </c>
      <c r="AF17" s="82">
        <f t="shared" si="11"/>
        <v>-71.904000000000053</v>
      </c>
      <c r="AG17" s="82">
        <f t="shared" si="11"/>
        <v>-61.824000000000069</v>
      </c>
      <c r="AH17" s="82">
        <f t="shared" si="11"/>
        <v>-51.408000000000015</v>
      </c>
      <c r="AI17" s="82">
        <f t="shared" si="11"/>
        <v>-40.992000000000019</v>
      </c>
      <c r="AJ17" s="82">
        <f t="shared" si="11"/>
        <v>-30.912000000000035</v>
      </c>
      <c r="AK17" s="82">
        <f t="shared" si="11"/>
        <v>-20.495999999999981</v>
      </c>
      <c r="AL17" s="83">
        <f t="shared" si="11"/>
        <v>-10.415999999999997</v>
      </c>
      <c r="AM17" s="82">
        <f t="shared" si="11"/>
        <v>0</v>
      </c>
      <c r="AN17" s="82">
        <f t="shared" si="11"/>
        <v>0</v>
      </c>
      <c r="AO17" s="82">
        <f t="shared" si="11"/>
        <v>0</v>
      </c>
      <c r="AP17" s="82">
        <f t="shared" si="11"/>
        <v>0</v>
      </c>
      <c r="AQ17" s="82">
        <f t="shared" si="11"/>
        <v>0</v>
      </c>
      <c r="AR17" s="82">
        <f t="shared" si="11"/>
        <v>0</v>
      </c>
      <c r="AS17" s="82">
        <f t="shared" si="11"/>
        <v>0</v>
      </c>
      <c r="AT17" s="82">
        <f t="shared" si="11"/>
        <v>0</v>
      </c>
      <c r="AU17" s="82">
        <f t="shared" si="11"/>
        <v>0</v>
      </c>
      <c r="AV17" s="82">
        <f t="shared" si="11"/>
        <v>0</v>
      </c>
      <c r="AW17" s="82">
        <f t="shared" si="11"/>
        <v>0</v>
      </c>
      <c r="AX17" s="83">
        <f t="shared" si="11"/>
        <v>0</v>
      </c>
      <c r="AY17" s="82">
        <f t="shared" si="11"/>
        <v>0</v>
      </c>
      <c r="AZ17" s="82">
        <f t="shared" si="11"/>
        <v>0</v>
      </c>
      <c r="BA17" s="82">
        <f t="shared" si="11"/>
        <v>0</v>
      </c>
      <c r="BB17" s="82">
        <f t="shared" si="11"/>
        <v>0</v>
      </c>
      <c r="BC17" s="82">
        <f t="shared" si="11"/>
        <v>0</v>
      </c>
      <c r="BD17" s="82">
        <f t="shared" si="11"/>
        <v>0</v>
      </c>
      <c r="BE17" s="82">
        <f t="shared" si="11"/>
        <v>0</v>
      </c>
      <c r="BF17" s="82">
        <f t="shared" si="11"/>
        <v>0</v>
      </c>
      <c r="BG17" s="82">
        <f t="shared" si="11"/>
        <v>0</v>
      </c>
      <c r="BH17" s="82">
        <f t="shared" si="11"/>
        <v>0</v>
      </c>
      <c r="BI17" s="82">
        <f t="shared" si="11"/>
        <v>0</v>
      </c>
      <c r="BJ17" s="83">
        <f t="shared" si="11"/>
        <v>0</v>
      </c>
      <c r="BK17" s="51"/>
    </row>
    <row r="18" spans="2:63" x14ac:dyDescent="0.25">
      <c r="B18" s="85" t="s">
        <v>396</v>
      </c>
      <c r="C18" s="82">
        <f>C16*1000/C2</f>
        <v>3.0000000000010307E-2</v>
      </c>
      <c r="D18" s="82">
        <f t="shared" ref="D18:BJ18" si="12">D16*1000/D2</f>
        <v>2.9999999999963917E-2</v>
      </c>
      <c r="E18" s="82">
        <f t="shared" si="12"/>
        <v>-19.969999999999985</v>
      </c>
      <c r="F18" s="82">
        <f t="shared" si="12"/>
        <v>-29.970000000000024</v>
      </c>
      <c r="G18" s="82">
        <f t="shared" si="12"/>
        <v>-8.970000000000045</v>
      </c>
      <c r="H18" s="82">
        <f t="shared" si="12"/>
        <v>2.9999999999989296E-2</v>
      </c>
      <c r="I18" s="82">
        <f t="shared" si="12"/>
        <v>2.9999999999933902E-2</v>
      </c>
      <c r="J18" s="82">
        <f t="shared" si="12"/>
        <v>10.03000000000001</v>
      </c>
      <c r="K18" s="82">
        <f t="shared" si="12"/>
        <v>-0.24222199999997962</v>
      </c>
      <c r="L18" s="82">
        <f t="shared" si="12"/>
        <v>0.9105619999999971</v>
      </c>
      <c r="M18" s="82">
        <f t="shared" si="12"/>
        <v>2.9999999999969558E-2</v>
      </c>
      <c r="N18" s="83">
        <f t="shared" si="12"/>
        <v>4.5299999999999896</v>
      </c>
      <c r="O18" s="82">
        <f t="shared" si="12"/>
        <v>-13.666666999999999</v>
      </c>
      <c r="P18" s="82">
        <f t="shared" si="12"/>
        <v>-2.8666670000000503</v>
      </c>
      <c r="Q18" s="82">
        <f t="shared" si="12"/>
        <v>-0.16666700000000206</v>
      </c>
      <c r="R18" s="82">
        <f t="shared" si="12"/>
        <v>-15.419999999999995</v>
      </c>
      <c r="S18" s="82">
        <f t="shared" si="12"/>
        <v>-34.640000000000008</v>
      </c>
      <c r="T18" s="82">
        <f t="shared" si="12"/>
        <v>-32.000000000000007</v>
      </c>
      <c r="U18" s="82">
        <f t="shared" si="12"/>
        <v>-26.5</v>
      </c>
      <c r="V18" s="82">
        <f t="shared" si="12"/>
        <v>-21.499999999999993</v>
      </c>
      <c r="W18" s="82">
        <f t="shared" si="12"/>
        <v>-21.5</v>
      </c>
      <c r="X18" s="82">
        <f t="shared" si="12"/>
        <v>-7.0000000000000027</v>
      </c>
      <c r="Y18" s="82">
        <f t="shared" si="12"/>
        <v>-6.9999999999999991</v>
      </c>
      <c r="Z18" s="83">
        <f t="shared" si="12"/>
        <v>-6.9999999999999947</v>
      </c>
      <c r="AA18" s="82">
        <f t="shared" si="12"/>
        <v>-14</v>
      </c>
      <c r="AB18" s="82">
        <f t="shared" si="12"/>
        <v>-14.000000000000002</v>
      </c>
      <c r="AC18" s="82">
        <f t="shared" si="12"/>
        <v>-14</v>
      </c>
      <c r="AD18" s="82">
        <f t="shared" si="12"/>
        <v>-13.999999999999998</v>
      </c>
      <c r="AE18" s="82">
        <f t="shared" si="12"/>
        <v>-14</v>
      </c>
      <c r="AF18" s="82">
        <f t="shared" si="12"/>
        <v>-13.999999999999998</v>
      </c>
      <c r="AG18" s="82">
        <f t="shared" si="12"/>
        <v>-14</v>
      </c>
      <c r="AH18" s="82">
        <f t="shared" si="12"/>
        <v>-14</v>
      </c>
      <c r="AI18" s="82">
        <f t="shared" si="12"/>
        <v>-13.999999999999998</v>
      </c>
      <c r="AJ18" s="82">
        <f t="shared" si="12"/>
        <v>-14</v>
      </c>
      <c r="AK18" s="82">
        <f t="shared" si="12"/>
        <v>-13.999999999999998</v>
      </c>
      <c r="AL18" s="83">
        <f t="shared" si="12"/>
        <v>-14</v>
      </c>
      <c r="AM18" s="82">
        <f t="shared" si="12"/>
        <v>0</v>
      </c>
      <c r="AN18" s="82">
        <f t="shared" si="12"/>
        <v>0</v>
      </c>
      <c r="AO18" s="82">
        <f t="shared" si="12"/>
        <v>0</v>
      </c>
      <c r="AP18" s="82">
        <f t="shared" si="12"/>
        <v>0</v>
      </c>
      <c r="AQ18" s="82">
        <f t="shared" si="12"/>
        <v>0</v>
      </c>
      <c r="AR18" s="82">
        <f t="shared" si="12"/>
        <v>0</v>
      </c>
      <c r="AS18" s="82">
        <f t="shared" si="12"/>
        <v>0</v>
      </c>
      <c r="AT18" s="82">
        <f t="shared" si="12"/>
        <v>0</v>
      </c>
      <c r="AU18" s="82">
        <f t="shared" si="12"/>
        <v>0</v>
      </c>
      <c r="AV18" s="82">
        <f t="shared" si="12"/>
        <v>0</v>
      </c>
      <c r="AW18" s="82">
        <f t="shared" si="12"/>
        <v>0</v>
      </c>
      <c r="AX18" s="83">
        <f t="shared" si="12"/>
        <v>0</v>
      </c>
      <c r="AY18" s="82">
        <f t="shared" si="12"/>
        <v>0</v>
      </c>
      <c r="AZ18" s="82">
        <f t="shared" si="12"/>
        <v>0</v>
      </c>
      <c r="BA18" s="82">
        <f t="shared" si="12"/>
        <v>0</v>
      </c>
      <c r="BB18" s="82">
        <f t="shared" si="12"/>
        <v>0</v>
      </c>
      <c r="BC18" s="82">
        <f t="shared" si="12"/>
        <v>0</v>
      </c>
      <c r="BD18" s="82">
        <f t="shared" si="12"/>
        <v>0</v>
      </c>
      <c r="BE18" s="82">
        <f t="shared" si="12"/>
        <v>0</v>
      </c>
      <c r="BF18" s="82">
        <f t="shared" si="12"/>
        <v>0</v>
      </c>
      <c r="BG18" s="82">
        <f t="shared" si="12"/>
        <v>0</v>
      </c>
      <c r="BH18" s="82">
        <f t="shared" si="12"/>
        <v>0</v>
      </c>
      <c r="BI18" s="82">
        <f t="shared" si="12"/>
        <v>0</v>
      </c>
      <c r="BJ18" s="83">
        <f t="shared" si="12"/>
        <v>0</v>
      </c>
    </row>
    <row r="19" spans="2:63" x14ac:dyDescent="0.25">
      <c r="B19" s="162"/>
      <c r="C19" s="237"/>
      <c r="D19" s="237"/>
      <c r="E19" s="237"/>
      <c r="F19" s="237"/>
      <c r="G19" s="237"/>
      <c r="H19" s="237"/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G19" s="340"/>
    </row>
    <row r="20" spans="2:63" x14ac:dyDescent="0.25">
      <c r="B20" s="85" t="s">
        <v>480</v>
      </c>
      <c r="C20" s="500">
        <f>IF(C$3=RESULTADO!$F$148,1,0)</f>
        <v>0</v>
      </c>
      <c r="D20" s="501">
        <f>IF(SUM($C$20:C20)&gt;=1,IF(SUMIFS($C$16:$BJ$16,$C$15:$BJ$15,"&gt;="&amp;D$3)=0,0,1),IF(D$3=RESULTADO!$F$148,1,0))</f>
        <v>0</v>
      </c>
      <c r="E20" s="501">
        <f>IF(SUM($C$20:D20)&gt;=1,IF(SUMIFS($C$16:$BJ$16,$C$15:$BJ$15,"&gt;="&amp;E$3)=0,0,1),IF(E$3=RESULTADO!$F$148,1,0))</f>
        <v>0</v>
      </c>
      <c r="F20" s="501">
        <f>IF(SUM($C$20:E20)&gt;=1,IF(SUMIFS($C$16:$BJ$16,$C$15:$BJ$15,"&gt;="&amp;F$3)=0,0,1),IF(F$3=RESULTADO!$F$148,1,0))</f>
        <v>0</v>
      </c>
      <c r="G20" s="501">
        <f>IF(SUM($C$20:F20)&gt;=1,IF(SUMIFS($C$16:$BJ$16,$C$15:$BJ$15,"&gt;="&amp;G$3)=0,0,1),IF(G$3=RESULTADO!$F$148,1,0))</f>
        <v>0</v>
      </c>
      <c r="H20" s="501">
        <f>IF(SUM($C$20:G20)&gt;=1,IF(SUMIFS($C$16:$BJ$16,$C$15:$BJ$15,"&gt;="&amp;H$3)=0,0,1),IF(H$3=RESULTADO!$F$148,1,0))</f>
        <v>0</v>
      </c>
      <c r="I20" s="501">
        <f>IF(SUM($C$20:H20)&gt;=1,IF(SUMIFS($C$16:$BJ$16,$C$15:$BJ$15,"&gt;="&amp;I$3)=0,0,1),IF(I$3=RESULTADO!$F$148,1,0))</f>
        <v>0</v>
      </c>
      <c r="J20" s="501">
        <f>IF(SUM($C$20:I20)&gt;=1,IF(SUMIFS($C$16:$BJ$16,$C$15:$BJ$15,"&gt;="&amp;J$3)=0,0,1),IF(J$3=RESULTADO!$F$148,1,0))</f>
        <v>0</v>
      </c>
      <c r="K20" s="501">
        <f>IF(SUM($C$20:J20)&gt;=1,IF(SUMIFS($C$16:$BJ$16,$C$15:$BJ$15,"&gt;="&amp;K$3)=0,0,1),IF(K$3=RESULTADO!$F$148,1,0))</f>
        <v>0</v>
      </c>
      <c r="L20" s="501">
        <f>IF(SUM($C$20:K20)&gt;=1,IF(SUMIFS($C$16:$BJ$16,$C$15:$BJ$15,"&gt;="&amp;L$3)=0,0,1),IF(L$3=RESULTADO!$F$148,1,0))</f>
        <v>0</v>
      </c>
      <c r="M20" s="501">
        <f>IF(SUM($C$20:L20)&gt;=1,IF(SUMIFS($C$16:$BJ$16,$C$15:$BJ$15,"&gt;="&amp;M$3)=0,0,1),IF(M$3=RESULTADO!$F$148,1,0))</f>
        <v>0</v>
      </c>
      <c r="N20" s="502">
        <f>IF(SUM($C$20:M20)&gt;=1,IF(SUMIFS($C$16:$BJ$16,$C$15:$BJ$15,"&gt;="&amp;N$3)=0,0,1),IF(N$3=RESULTADO!$F$148,1,0))</f>
        <v>1</v>
      </c>
      <c r="O20" s="500">
        <f>IF(SUM($C$20:N20)&gt;=1,IF(SUMIFS($C$16:$BJ$16,$C$15:$BJ$15,"&gt;="&amp;O$3)=0,0,1),IF(O$3=RESULTADO!$F$148,1,0))</f>
        <v>1</v>
      </c>
      <c r="P20" s="501">
        <f>IF(SUM($C$20:O20)&gt;=1,IF(SUMIFS($C$16:$BJ$16,$C$15:$BJ$15,"&gt;="&amp;P$3)=0,0,1),IF(P$3=RESULTADO!$F$148,1,0))</f>
        <v>1</v>
      </c>
      <c r="Q20" s="501">
        <f>IF(SUM($C$20:P20)&gt;=1,IF(SUMIFS($C$16:$BJ$16,$C$15:$BJ$15,"&gt;="&amp;Q$3)=0,0,1),IF(Q$3=RESULTADO!$F$148,1,0))</f>
        <v>1</v>
      </c>
      <c r="R20" s="501">
        <f>IF(SUM($C$20:Q20)&gt;=1,IF(SUMIFS($C$16:$BJ$16,$C$15:$BJ$15,"&gt;="&amp;R$3)=0,0,1),IF(R$3=RESULTADO!$F$148,1,0))</f>
        <v>1</v>
      </c>
      <c r="S20" s="501">
        <f>IF(SUM($C$20:R20)&gt;=1,IF(SUMIFS($C$16:$BJ$16,$C$15:$BJ$15,"&gt;="&amp;S$3)=0,0,1),IF(S$3=RESULTADO!$F$148,1,0))</f>
        <v>1</v>
      </c>
      <c r="T20" s="501">
        <f>IF(SUM($C$20:S20)&gt;=1,IF(SUMIFS($C$16:$BJ$16,$C$15:$BJ$15,"&gt;="&amp;T$3)=0,0,1),IF(T$3=RESULTADO!$F$148,1,0))</f>
        <v>1</v>
      </c>
      <c r="U20" s="501">
        <f>IF(SUM($C$20:T20)&gt;=1,IF(SUMIFS($C$16:$BJ$16,$C$15:$BJ$15,"&gt;="&amp;U$3)=0,0,1),IF(U$3=RESULTADO!$F$148,1,0))</f>
        <v>1</v>
      </c>
      <c r="V20" s="501">
        <f>IF(SUM($C$20:U20)&gt;=1,IF(SUMIFS($C$16:$BJ$16,$C$15:$BJ$15,"&gt;="&amp;V$3)=0,0,1),IF(V$3=RESULTADO!$F$148,1,0))</f>
        <v>1</v>
      </c>
      <c r="W20" s="501">
        <f>IF(SUM($C$20:V20)&gt;=1,IF(SUMIFS($C$16:$BJ$16,$C$15:$BJ$15,"&gt;="&amp;W$3)=0,0,1),IF(W$3=RESULTADO!$F$148,1,0))</f>
        <v>1</v>
      </c>
      <c r="X20" s="501">
        <f>IF(SUM($C$20:W20)&gt;=1,IF(SUMIFS($C$16:$BJ$16,$C$15:$BJ$15,"&gt;="&amp;X$3)=0,0,1),IF(X$3=RESULTADO!$F$148,1,0))</f>
        <v>1</v>
      </c>
      <c r="Y20" s="501">
        <f>IF(SUM($C$20:X20)&gt;=1,IF(SUMIFS($C$16:$BJ$16,$C$15:$BJ$15,"&gt;="&amp;Y$3)=0,0,1),IF(Y$3=RESULTADO!$F$148,1,0))</f>
        <v>1</v>
      </c>
      <c r="Z20" s="502">
        <f>IF(SUM($C$20:Y20)&gt;=1,IF(SUMIFS($C$16:$BJ$16,$C$15:$BJ$15,"&gt;="&amp;Z$3)=0,0,1),IF(Z$3=RESULTADO!$F$148,1,0))</f>
        <v>1</v>
      </c>
      <c r="AA20" s="500">
        <f>IF(SUM($C$20:Z20)&gt;=1,IF(SUMIFS($C$16:$BJ$16,$C$15:$BJ$15,"&gt;="&amp;AA$3)=0,0,1),IF(AA$3=RESULTADO!$F$148,1,0))</f>
        <v>1</v>
      </c>
      <c r="AB20" s="501">
        <f>IF(SUM($C$20:AA20)&gt;=1,IF(SUMIFS($C$16:$BJ$16,$C$15:$BJ$15,"&gt;="&amp;AB$3)=0,0,1),IF(AB$3=RESULTADO!$F$148,1,0))</f>
        <v>1</v>
      </c>
      <c r="AC20" s="501">
        <f>IF(SUM($C$20:AB20)&gt;=1,IF(SUMIFS($C$16:$BJ$16,$C$15:$BJ$15,"&gt;="&amp;AC$3)=0,0,1),IF(AC$3=RESULTADO!$F$148,1,0))</f>
        <v>1</v>
      </c>
      <c r="AD20" s="501">
        <f>IF(SUM($C$20:AC20)&gt;=1,IF(SUMIFS($C$16:$BJ$16,$C$15:$BJ$15,"&gt;="&amp;AD$3)=0,0,1),IF(AD$3=RESULTADO!$F$148,1,0))</f>
        <v>1</v>
      </c>
      <c r="AE20" s="501">
        <f>IF(SUM($C$20:AD20)&gt;=1,IF(SUMIFS($C$16:$BJ$16,$C$15:$BJ$15,"&gt;="&amp;AE$3)=0,0,1),IF(AE$3=RESULTADO!$F$148,1,0))</f>
        <v>1</v>
      </c>
      <c r="AF20" s="501">
        <f>IF(SUM($C$20:AE20)&gt;=1,IF(SUMIFS($C$16:$BJ$16,$C$15:$BJ$15,"&gt;="&amp;AF$3)=0,0,1),IF(AF$3=RESULTADO!$F$148,1,0))</f>
        <v>1</v>
      </c>
      <c r="AG20" s="501">
        <f>IF(SUM($C$20:AF20)&gt;=1,IF(SUMIFS($C$16:$BJ$16,$C$15:$BJ$15,"&gt;="&amp;AG$3)=0,0,1),IF(AG$3=RESULTADO!$F$148,1,0))</f>
        <v>1</v>
      </c>
      <c r="AH20" s="501">
        <f>IF(SUM($C$20:AG20)&gt;=1,IF(SUMIFS($C$16:$BJ$16,$C$15:$BJ$15,"&gt;="&amp;AH$3)=0,0,1),IF(AH$3=RESULTADO!$F$148,1,0))</f>
        <v>1</v>
      </c>
      <c r="AI20" s="501">
        <f>IF(SUM($C$20:AH20)&gt;=1,IF(SUMIFS($C$16:$BJ$16,$C$15:$BJ$15,"&gt;="&amp;AI$3)=0,0,1),IF(AI$3=RESULTADO!$F$148,1,0))</f>
        <v>1</v>
      </c>
      <c r="AJ20" s="501">
        <f>IF(SUM($C$20:AI20)&gt;=1,IF(SUMIFS($C$16:$BJ$16,$C$15:$BJ$15,"&gt;="&amp;AJ$3)=0,0,1),IF(AJ$3=RESULTADO!$F$148,1,0))</f>
        <v>1</v>
      </c>
      <c r="AK20" s="501">
        <f>IF(SUM($C$20:AJ20)&gt;=1,IF(SUMIFS($C$16:$BJ$16,$C$15:$BJ$15,"&gt;="&amp;AK$3)=0,0,1),IF(AK$3=RESULTADO!$F$148,1,0))</f>
        <v>1</v>
      </c>
      <c r="AL20" s="502">
        <f>IF(SUM($C$20:AK20)&gt;=1,IF(SUMIFS($C$16:$BJ$16,$C$15:$BJ$15,"&gt;="&amp;AL$3)=0,0,1),IF(AL$3=RESULTADO!$F$148,1,0))</f>
        <v>1</v>
      </c>
      <c r="AM20" s="500">
        <f>IF(SUM($C$20:AL20)&gt;=1,IF(SUMIFS($C$16:$BJ$16,$C$15:$BJ$15,"&gt;="&amp;AM$3)=0,0,1),IF(AM$3=RESULTADO!$F$148,1,0))</f>
        <v>0</v>
      </c>
      <c r="AN20" s="501">
        <f>IF(SUM($C$20:AM20)&gt;=1,IF(SUMIFS($C$16:$BJ$16,$C$15:$BJ$15,"&gt;="&amp;AN$3)=0,0,1),IF(AN$3=RESULTADO!$F$148,1,0))</f>
        <v>0</v>
      </c>
      <c r="AO20" s="501">
        <f>IF(SUM($C$20:AN20)&gt;=1,IF(SUMIFS($C$16:$BJ$16,$C$15:$BJ$15,"&gt;="&amp;AO$3)=0,0,1),IF(AO$3=RESULTADO!$F$148,1,0))</f>
        <v>0</v>
      </c>
      <c r="AP20" s="501">
        <f>IF(SUM($C$20:AO20)&gt;=1,IF(SUMIFS($C$16:$BJ$16,$C$15:$BJ$15,"&gt;="&amp;AP$3)=0,0,1),IF(AP$3=RESULTADO!$F$148,1,0))</f>
        <v>0</v>
      </c>
      <c r="AQ20" s="501">
        <f>IF(SUM($C$20:AP20)&gt;=1,IF(SUMIFS($C$16:$BJ$16,$C$15:$BJ$15,"&gt;="&amp;AQ$3)=0,0,1),IF(AQ$3=RESULTADO!$F$148,1,0))</f>
        <v>0</v>
      </c>
      <c r="AR20" s="501">
        <f>IF(SUM($C$20:AQ20)&gt;=1,IF(SUMIFS($C$16:$BJ$16,$C$15:$BJ$15,"&gt;="&amp;AR$3)=0,0,1),IF(AR$3=RESULTADO!$F$148,1,0))</f>
        <v>0</v>
      </c>
      <c r="AS20" s="501">
        <f>IF(SUM($C$20:AR20)&gt;=1,IF(SUMIFS($C$16:$BJ$16,$C$15:$BJ$15,"&gt;="&amp;AS$3)=0,0,1),IF(AS$3=RESULTADO!$F$148,1,0))</f>
        <v>0</v>
      </c>
      <c r="AT20" s="501">
        <f>IF(SUM($C$20:AS20)&gt;=1,IF(SUMIFS($C$16:$BJ$16,$C$15:$BJ$15,"&gt;="&amp;AT$3)=0,0,1),IF(AT$3=RESULTADO!$F$148,1,0))</f>
        <v>0</v>
      </c>
      <c r="AU20" s="501">
        <f>IF(SUM($C$20:AT20)&gt;=1,IF(SUMIFS($C$16:$BJ$16,$C$15:$BJ$15,"&gt;="&amp;AU$3)=0,0,1),IF(AU$3=RESULTADO!$F$148,1,0))</f>
        <v>0</v>
      </c>
      <c r="AV20" s="501">
        <f>IF(SUM($C$20:AU20)&gt;=1,IF(SUMIFS($C$16:$BJ$16,$C$15:$BJ$15,"&gt;="&amp;AV$3)=0,0,1),IF(AV$3=RESULTADO!$F$148,1,0))</f>
        <v>0</v>
      </c>
      <c r="AW20" s="501">
        <f>IF(SUM($C$20:AV20)&gt;=1,IF(SUMIFS($C$16:$BJ$16,$C$15:$BJ$15,"&gt;="&amp;AW$3)=0,0,1),IF(AW$3=RESULTADO!$F$148,1,0))</f>
        <v>0</v>
      </c>
      <c r="AX20" s="502">
        <f>IF(SUM($C$20:AW20)&gt;=1,IF(SUMIFS($C$16:$BJ$16,$C$15:$BJ$15,"&gt;="&amp;AX$3)=0,0,1),IF(AX$3=RESULTADO!$F$148,1,0))</f>
        <v>0</v>
      </c>
      <c r="AY20" s="500">
        <f>IF(SUM($C$20:AX20)&gt;=1,IF(SUMIFS($C$16:$BJ$16,$C$15:$BJ$15,"&gt;="&amp;AY$3)=0,0,1),IF(AY$3=RESULTADO!$F$148,1,0))</f>
        <v>0</v>
      </c>
      <c r="AZ20" s="501">
        <f>IF(SUM($C$20:AY20)&gt;=1,IF(SUMIFS($C$16:$BJ$16,$C$15:$BJ$15,"&gt;="&amp;AZ$3)=0,0,1),IF(AZ$3=RESULTADO!$F$148,1,0))</f>
        <v>0</v>
      </c>
      <c r="BA20" s="501">
        <f>IF(SUM($C$20:AZ20)&gt;=1,IF(SUMIFS($C$16:$BJ$16,$C$15:$BJ$15,"&gt;="&amp;BA$3)=0,0,1),IF(BA$3=RESULTADO!$F$148,1,0))</f>
        <v>0</v>
      </c>
      <c r="BB20" s="501">
        <f>IF(SUM($C$20:BA20)&gt;=1,IF(SUMIFS($C$16:$BJ$16,$C$15:$BJ$15,"&gt;="&amp;BB$3)=0,0,1),IF(BB$3=RESULTADO!$F$148,1,0))</f>
        <v>0</v>
      </c>
      <c r="BC20" s="501">
        <f>IF(SUM($C$20:BB20)&gt;=1,IF(SUMIFS($C$16:$BJ$16,$C$15:$BJ$15,"&gt;="&amp;BC$3)=0,0,1),IF(BC$3=RESULTADO!$F$148,1,0))</f>
        <v>0</v>
      </c>
      <c r="BD20" s="501">
        <f>IF(SUM($C$20:BC20)&gt;=1,IF(SUMIFS($C$16:$BJ$16,$C$15:$BJ$15,"&gt;="&amp;BD$3)=0,0,1),IF(BD$3=RESULTADO!$F$148,1,0))</f>
        <v>0</v>
      </c>
      <c r="BE20" s="501">
        <f>IF(SUM($C$20:BD20)&gt;=1,IF(SUMIFS($C$16:$BJ$16,$C$15:$BJ$15,"&gt;="&amp;BE$3)=0,0,1),IF(BE$3=RESULTADO!$F$148,1,0))</f>
        <v>0</v>
      </c>
      <c r="BF20" s="501">
        <f>IF(SUM($C$20:BE20)&gt;=1,IF(SUMIFS($C$16:$BJ$16,$C$15:$BJ$15,"&gt;="&amp;BF$3)=0,0,1),IF(BF$3=RESULTADO!$F$148,1,0))</f>
        <v>0</v>
      </c>
      <c r="BG20" s="501">
        <f>IF(SUM($C$20:BF20)&gt;=1,IF(SUMIFS($C$16:$BJ$16,$C$15:$BJ$15,"&gt;="&amp;BG$3)=0,0,1),IF(BG$3=RESULTADO!$F$148,1,0))</f>
        <v>0</v>
      </c>
      <c r="BH20" s="501">
        <f>IF(SUM($C$20:BG20)&gt;=1,IF(SUMIFS($C$16:$BJ$16,$C$15:$BJ$15,"&gt;="&amp;BH$3)=0,0,1),IF(BH$3=RESULTADO!$F$148,1,0))</f>
        <v>0</v>
      </c>
      <c r="BI20" s="501">
        <f>IF(SUM($C$20:BH20)&gt;=1,IF(SUMIFS($C$16:$BJ$16,$C$15:$BJ$15,"&gt;="&amp;BI$3)=0,0,1),IF(BI$3=RESULTADO!$F$148,1,0))</f>
        <v>0</v>
      </c>
      <c r="BJ20" s="502">
        <f>IF(SUM($C$20:BI20)&gt;=1,IF(SUMIFS($C$16:$BJ$16,$C$15:$BJ$15,"&gt;="&amp;BJ$3)=0,0,1),IF(BJ$3=RESULTADO!$F$148,1,0))</f>
        <v>0</v>
      </c>
    </row>
    <row r="21" spans="2:63" ht="15.75" thickBot="1" x14ac:dyDescent="0.3">
      <c r="B21" s="59" t="s">
        <v>479</v>
      </c>
      <c r="C21" s="55" t="e">
        <f>IF(C$20=0,NA(),C$3)</f>
        <v>#N/A</v>
      </c>
      <c r="D21" s="55" t="e">
        <f>IF(D$20=0,NA(),D$3)</f>
        <v>#N/A</v>
      </c>
      <c r="E21" s="55" t="e">
        <f t="shared" ref="E21:BJ21" si="13">IF(E$20=0,NA(),E$3)</f>
        <v>#N/A</v>
      </c>
      <c r="F21" s="55" t="e">
        <f t="shared" si="13"/>
        <v>#N/A</v>
      </c>
      <c r="G21" s="55" t="e">
        <f t="shared" si="13"/>
        <v>#N/A</v>
      </c>
      <c r="H21" s="55" t="e">
        <f t="shared" si="13"/>
        <v>#N/A</v>
      </c>
      <c r="I21" s="55" t="e">
        <f t="shared" si="13"/>
        <v>#N/A</v>
      </c>
      <c r="J21" s="55" t="e">
        <f t="shared" si="13"/>
        <v>#N/A</v>
      </c>
      <c r="K21" s="55" t="e">
        <f t="shared" si="13"/>
        <v>#N/A</v>
      </c>
      <c r="L21" s="55" t="e">
        <f t="shared" si="13"/>
        <v>#N/A</v>
      </c>
      <c r="M21" s="55" t="e">
        <f t="shared" si="13"/>
        <v>#N/A</v>
      </c>
      <c r="N21" s="58">
        <f t="shared" si="13"/>
        <v>44896</v>
      </c>
      <c r="O21" s="55">
        <f t="shared" si="13"/>
        <v>44927</v>
      </c>
      <c r="P21" s="55">
        <f t="shared" si="13"/>
        <v>44958</v>
      </c>
      <c r="Q21" s="55">
        <f t="shared" si="13"/>
        <v>44986</v>
      </c>
      <c r="R21" s="55">
        <f t="shared" si="13"/>
        <v>45017</v>
      </c>
      <c r="S21" s="55">
        <f t="shared" si="13"/>
        <v>45047</v>
      </c>
      <c r="T21" s="55">
        <f t="shared" si="13"/>
        <v>45078</v>
      </c>
      <c r="U21" s="55">
        <f t="shared" si="13"/>
        <v>45108</v>
      </c>
      <c r="V21" s="55">
        <f t="shared" si="13"/>
        <v>45139</v>
      </c>
      <c r="W21" s="55">
        <f t="shared" si="13"/>
        <v>45170</v>
      </c>
      <c r="X21" s="55">
        <f t="shared" si="13"/>
        <v>45200</v>
      </c>
      <c r="Y21" s="55">
        <f t="shared" si="13"/>
        <v>45231</v>
      </c>
      <c r="Z21" s="58">
        <f t="shared" si="13"/>
        <v>45261</v>
      </c>
      <c r="AA21" s="55">
        <f t="shared" si="13"/>
        <v>45292</v>
      </c>
      <c r="AB21" s="55">
        <f t="shared" si="13"/>
        <v>45323</v>
      </c>
      <c r="AC21" s="55">
        <f t="shared" si="13"/>
        <v>45352</v>
      </c>
      <c r="AD21" s="55">
        <f t="shared" si="13"/>
        <v>45383</v>
      </c>
      <c r="AE21" s="55">
        <f t="shared" si="13"/>
        <v>45413</v>
      </c>
      <c r="AF21" s="55">
        <f t="shared" si="13"/>
        <v>45444</v>
      </c>
      <c r="AG21" s="55">
        <f t="shared" si="13"/>
        <v>45474</v>
      </c>
      <c r="AH21" s="55">
        <f t="shared" si="13"/>
        <v>45505</v>
      </c>
      <c r="AI21" s="55">
        <f t="shared" si="13"/>
        <v>45536</v>
      </c>
      <c r="AJ21" s="55">
        <f t="shared" si="13"/>
        <v>45566</v>
      </c>
      <c r="AK21" s="55">
        <f t="shared" si="13"/>
        <v>45597</v>
      </c>
      <c r="AL21" s="58">
        <f t="shared" si="13"/>
        <v>45627</v>
      </c>
      <c r="AM21" s="55" t="e">
        <f t="shared" si="13"/>
        <v>#N/A</v>
      </c>
      <c r="AN21" s="55" t="e">
        <f t="shared" si="13"/>
        <v>#N/A</v>
      </c>
      <c r="AO21" s="55" t="e">
        <f t="shared" si="13"/>
        <v>#N/A</v>
      </c>
      <c r="AP21" s="55" t="e">
        <f t="shared" si="13"/>
        <v>#N/A</v>
      </c>
      <c r="AQ21" s="55" t="e">
        <f t="shared" si="13"/>
        <v>#N/A</v>
      </c>
      <c r="AR21" s="55" t="e">
        <f t="shared" si="13"/>
        <v>#N/A</v>
      </c>
      <c r="AS21" s="55" t="e">
        <f t="shared" si="13"/>
        <v>#N/A</v>
      </c>
      <c r="AT21" s="55" t="e">
        <f t="shared" si="13"/>
        <v>#N/A</v>
      </c>
      <c r="AU21" s="55" t="e">
        <f t="shared" si="13"/>
        <v>#N/A</v>
      </c>
      <c r="AV21" s="55" t="e">
        <f t="shared" si="13"/>
        <v>#N/A</v>
      </c>
      <c r="AW21" s="55" t="e">
        <f t="shared" si="13"/>
        <v>#N/A</v>
      </c>
      <c r="AX21" s="58" t="e">
        <f t="shared" si="13"/>
        <v>#N/A</v>
      </c>
      <c r="AY21" s="55" t="e">
        <f t="shared" si="13"/>
        <v>#N/A</v>
      </c>
      <c r="AZ21" s="55" t="e">
        <f t="shared" si="13"/>
        <v>#N/A</v>
      </c>
      <c r="BA21" s="55" t="e">
        <f t="shared" si="13"/>
        <v>#N/A</v>
      </c>
      <c r="BB21" s="55" t="e">
        <f t="shared" si="13"/>
        <v>#N/A</v>
      </c>
      <c r="BC21" s="55" t="e">
        <f t="shared" si="13"/>
        <v>#N/A</v>
      </c>
      <c r="BD21" s="55" t="e">
        <f t="shared" si="13"/>
        <v>#N/A</v>
      </c>
      <c r="BE21" s="55" t="e">
        <f t="shared" si="13"/>
        <v>#N/A</v>
      </c>
      <c r="BF21" s="55" t="e">
        <f t="shared" si="13"/>
        <v>#N/A</v>
      </c>
      <c r="BG21" s="55" t="e">
        <f t="shared" si="13"/>
        <v>#N/A</v>
      </c>
      <c r="BH21" s="55" t="e">
        <f t="shared" si="13"/>
        <v>#N/A</v>
      </c>
      <c r="BI21" s="55" t="e">
        <f t="shared" si="13"/>
        <v>#N/A</v>
      </c>
      <c r="BJ21" s="58" t="e">
        <f t="shared" si="13"/>
        <v>#N/A</v>
      </c>
    </row>
    <row r="22" spans="2:63" ht="15.75" thickTop="1" x14ac:dyDescent="0.25">
      <c r="B22" s="111" t="e">
        <f>IF(SUMIF(C22:BJ22,"&lt;&gt;#n/a")=0,NA(),$B$33)</f>
        <v>#N/A</v>
      </c>
      <c r="C22" s="629" t="e">
        <f>IF(C$20=0,NA(),IF(C25&gt;=200,C$4,NA()))</f>
        <v>#N/A</v>
      </c>
      <c r="D22" s="629" t="e">
        <f>IF(D$20=0,NA(),IF(ISNA(C$22),IF(D25&gt;=200,D$4,NA()),D$4))</f>
        <v>#N/A</v>
      </c>
      <c r="E22" s="629" t="e">
        <f t="shared" ref="E22:BJ22" si="14">IF(E$20=0,NA(),IF(ISNA(D$22),IF(E25&gt;=200,E$4,NA()),E$4))</f>
        <v>#N/A</v>
      </c>
      <c r="F22" s="629" t="e">
        <f t="shared" si="14"/>
        <v>#N/A</v>
      </c>
      <c r="G22" s="629" t="e">
        <f t="shared" si="14"/>
        <v>#N/A</v>
      </c>
      <c r="H22" s="629" t="e">
        <f t="shared" si="14"/>
        <v>#N/A</v>
      </c>
      <c r="I22" s="629" t="e">
        <f t="shared" si="14"/>
        <v>#N/A</v>
      </c>
      <c r="J22" s="629" t="e">
        <f t="shared" si="14"/>
        <v>#N/A</v>
      </c>
      <c r="K22" s="629" t="e">
        <f t="shared" si="14"/>
        <v>#N/A</v>
      </c>
      <c r="L22" s="629" t="e">
        <f t="shared" si="14"/>
        <v>#N/A</v>
      </c>
      <c r="M22" s="629" t="e">
        <f t="shared" si="14"/>
        <v>#N/A</v>
      </c>
      <c r="N22" s="81" t="e">
        <f t="shared" si="14"/>
        <v>#N/A</v>
      </c>
      <c r="O22" s="629" t="e">
        <f t="shared" si="14"/>
        <v>#N/A</v>
      </c>
      <c r="P22" s="629" t="e">
        <f t="shared" si="14"/>
        <v>#N/A</v>
      </c>
      <c r="Q22" s="629" t="e">
        <f t="shared" si="14"/>
        <v>#N/A</v>
      </c>
      <c r="R22" s="629" t="e">
        <f t="shared" si="14"/>
        <v>#N/A</v>
      </c>
      <c r="S22" s="629" t="e">
        <f t="shared" si="14"/>
        <v>#N/A</v>
      </c>
      <c r="T22" s="629" t="e">
        <f t="shared" si="14"/>
        <v>#N/A</v>
      </c>
      <c r="U22" s="629" t="e">
        <f t="shared" si="14"/>
        <v>#N/A</v>
      </c>
      <c r="V22" s="629" t="e">
        <f t="shared" si="14"/>
        <v>#N/A</v>
      </c>
      <c r="W22" s="629" t="e">
        <f t="shared" si="14"/>
        <v>#N/A</v>
      </c>
      <c r="X22" s="629" t="e">
        <f t="shared" si="14"/>
        <v>#N/A</v>
      </c>
      <c r="Y22" s="629" t="e">
        <f t="shared" si="14"/>
        <v>#N/A</v>
      </c>
      <c r="Z22" s="81" t="e">
        <f t="shared" si="14"/>
        <v>#N/A</v>
      </c>
      <c r="AA22" s="629" t="e">
        <f t="shared" si="14"/>
        <v>#N/A</v>
      </c>
      <c r="AB22" s="629" t="e">
        <f t="shared" si="14"/>
        <v>#N/A</v>
      </c>
      <c r="AC22" s="629" t="e">
        <f t="shared" si="14"/>
        <v>#N/A</v>
      </c>
      <c r="AD22" s="629" t="e">
        <f t="shared" si="14"/>
        <v>#N/A</v>
      </c>
      <c r="AE22" s="629" t="e">
        <f t="shared" si="14"/>
        <v>#N/A</v>
      </c>
      <c r="AF22" s="629" t="e">
        <f t="shared" si="14"/>
        <v>#N/A</v>
      </c>
      <c r="AG22" s="629" t="e">
        <f t="shared" si="14"/>
        <v>#N/A</v>
      </c>
      <c r="AH22" s="629" t="e">
        <f t="shared" si="14"/>
        <v>#N/A</v>
      </c>
      <c r="AI22" s="629" t="e">
        <f t="shared" si="14"/>
        <v>#N/A</v>
      </c>
      <c r="AJ22" s="629" t="e">
        <f t="shared" si="14"/>
        <v>#N/A</v>
      </c>
      <c r="AK22" s="629" t="e">
        <f t="shared" si="14"/>
        <v>#N/A</v>
      </c>
      <c r="AL22" s="81" t="e">
        <f t="shared" si="14"/>
        <v>#N/A</v>
      </c>
      <c r="AM22" s="629" t="e">
        <f t="shared" si="14"/>
        <v>#N/A</v>
      </c>
      <c r="AN22" s="629" t="e">
        <f t="shared" si="14"/>
        <v>#N/A</v>
      </c>
      <c r="AO22" s="629" t="e">
        <f t="shared" si="14"/>
        <v>#N/A</v>
      </c>
      <c r="AP22" s="629" t="e">
        <f t="shared" si="14"/>
        <v>#N/A</v>
      </c>
      <c r="AQ22" s="629" t="e">
        <f t="shared" si="14"/>
        <v>#N/A</v>
      </c>
      <c r="AR22" s="629" t="e">
        <f t="shared" si="14"/>
        <v>#N/A</v>
      </c>
      <c r="AS22" s="629" t="e">
        <f t="shared" si="14"/>
        <v>#N/A</v>
      </c>
      <c r="AT22" s="629" t="e">
        <f t="shared" si="14"/>
        <v>#N/A</v>
      </c>
      <c r="AU22" s="629" t="e">
        <f t="shared" si="14"/>
        <v>#N/A</v>
      </c>
      <c r="AV22" s="629" t="e">
        <f t="shared" si="14"/>
        <v>#N/A</v>
      </c>
      <c r="AW22" s="629" t="e">
        <f t="shared" si="14"/>
        <v>#N/A</v>
      </c>
      <c r="AX22" s="81" t="e">
        <f t="shared" si="14"/>
        <v>#N/A</v>
      </c>
      <c r="AY22" s="629" t="e">
        <f t="shared" si="14"/>
        <v>#N/A</v>
      </c>
      <c r="AZ22" s="629" t="e">
        <f t="shared" si="14"/>
        <v>#N/A</v>
      </c>
      <c r="BA22" s="629" t="e">
        <f t="shared" si="14"/>
        <v>#N/A</v>
      </c>
      <c r="BB22" s="629" t="e">
        <f t="shared" si="14"/>
        <v>#N/A</v>
      </c>
      <c r="BC22" s="629" t="e">
        <f t="shared" si="14"/>
        <v>#N/A</v>
      </c>
      <c r="BD22" s="629" t="e">
        <f t="shared" si="14"/>
        <v>#N/A</v>
      </c>
      <c r="BE22" s="629" t="e">
        <f t="shared" si="14"/>
        <v>#N/A</v>
      </c>
      <c r="BF22" s="629" t="e">
        <f t="shared" si="14"/>
        <v>#N/A</v>
      </c>
      <c r="BG22" s="629" t="e">
        <f t="shared" si="14"/>
        <v>#N/A</v>
      </c>
      <c r="BH22" s="629" t="e">
        <f t="shared" si="14"/>
        <v>#N/A</v>
      </c>
      <c r="BI22" s="629" t="e">
        <f t="shared" si="14"/>
        <v>#N/A</v>
      </c>
      <c r="BJ22" s="81" t="e">
        <f t="shared" si="14"/>
        <v>#N/A</v>
      </c>
    </row>
    <row r="23" spans="2:63" x14ac:dyDescent="0.25">
      <c r="B23" s="85" t="e">
        <f>IF(SUMIF(C23:BJ23,"&lt;&gt;#n/a")=0,NA(),$B$35)</f>
        <v>#N/A</v>
      </c>
      <c r="C23" s="82" t="e">
        <f>IF(1=1,NA(),IF(C$20=0,NA(),IF(C25&gt;=150,C$6,NA())))</f>
        <v>#N/A</v>
      </c>
      <c r="D23" s="82" t="e">
        <f t="shared" ref="D23:BJ23" si="15">IF(1=1,NA(),IF(D$20=0,NA(),IF(D25&gt;=150,D$6,NA())))</f>
        <v>#N/A</v>
      </c>
      <c r="E23" s="82" t="e">
        <f t="shared" si="15"/>
        <v>#N/A</v>
      </c>
      <c r="F23" s="82" t="e">
        <f t="shared" si="15"/>
        <v>#N/A</v>
      </c>
      <c r="G23" s="82" t="e">
        <f t="shared" si="15"/>
        <v>#N/A</v>
      </c>
      <c r="H23" s="82" t="e">
        <f t="shared" si="15"/>
        <v>#N/A</v>
      </c>
      <c r="I23" s="82" t="e">
        <f t="shared" si="15"/>
        <v>#N/A</v>
      </c>
      <c r="J23" s="82" t="e">
        <f t="shared" si="15"/>
        <v>#N/A</v>
      </c>
      <c r="K23" s="82" t="e">
        <f t="shared" si="15"/>
        <v>#N/A</v>
      </c>
      <c r="L23" s="82" t="e">
        <f t="shared" si="15"/>
        <v>#N/A</v>
      </c>
      <c r="M23" s="82" t="e">
        <f t="shared" si="15"/>
        <v>#N/A</v>
      </c>
      <c r="N23" s="82" t="e">
        <f t="shared" si="15"/>
        <v>#N/A</v>
      </c>
      <c r="O23" s="82" t="e">
        <f t="shared" si="15"/>
        <v>#N/A</v>
      </c>
      <c r="P23" s="82" t="e">
        <f t="shared" si="15"/>
        <v>#N/A</v>
      </c>
      <c r="Q23" s="82" t="e">
        <f t="shared" si="15"/>
        <v>#N/A</v>
      </c>
      <c r="R23" s="82" t="e">
        <f t="shared" si="15"/>
        <v>#N/A</v>
      </c>
      <c r="S23" s="82" t="e">
        <f t="shared" si="15"/>
        <v>#N/A</v>
      </c>
      <c r="T23" s="82" t="e">
        <f t="shared" si="15"/>
        <v>#N/A</v>
      </c>
      <c r="U23" s="82" t="e">
        <f t="shared" si="15"/>
        <v>#N/A</v>
      </c>
      <c r="V23" s="82" t="e">
        <f t="shared" si="15"/>
        <v>#N/A</v>
      </c>
      <c r="W23" s="82" t="e">
        <f t="shared" si="15"/>
        <v>#N/A</v>
      </c>
      <c r="X23" s="82" t="e">
        <f t="shared" si="15"/>
        <v>#N/A</v>
      </c>
      <c r="Y23" s="82" t="e">
        <f t="shared" si="15"/>
        <v>#N/A</v>
      </c>
      <c r="Z23" s="82" t="e">
        <f t="shared" si="15"/>
        <v>#N/A</v>
      </c>
      <c r="AA23" s="82" t="e">
        <f t="shared" si="15"/>
        <v>#N/A</v>
      </c>
      <c r="AB23" s="82" t="e">
        <f t="shared" si="15"/>
        <v>#N/A</v>
      </c>
      <c r="AC23" s="82" t="e">
        <f t="shared" si="15"/>
        <v>#N/A</v>
      </c>
      <c r="AD23" s="82" t="e">
        <f t="shared" si="15"/>
        <v>#N/A</v>
      </c>
      <c r="AE23" s="82" t="e">
        <f t="shared" si="15"/>
        <v>#N/A</v>
      </c>
      <c r="AF23" s="82" t="e">
        <f t="shared" si="15"/>
        <v>#N/A</v>
      </c>
      <c r="AG23" s="82" t="e">
        <f t="shared" si="15"/>
        <v>#N/A</v>
      </c>
      <c r="AH23" s="82" t="e">
        <f t="shared" si="15"/>
        <v>#N/A</v>
      </c>
      <c r="AI23" s="82" t="e">
        <f t="shared" si="15"/>
        <v>#N/A</v>
      </c>
      <c r="AJ23" s="82" t="e">
        <f t="shared" si="15"/>
        <v>#N/A</v>
      </c>
      <c r="AK23" s="82" t="e">
        <f t="shared" si="15"/>
        <v>#N/A</v>
      </c>
      <c r="AL23" s="82" t="e">
        <f t="shared" si="15"/>
        <v>#N/A</v>
      </c>
      <c r="AM23" s="82" t="e">
        <f t="shared" si="15"/>
        <v>#N/A</v>
      </c>
      <c r="AN23" s="82" t="e">
        <f t="shared" si="15"/>
        <v>#N/A</v>
      </c>
      <c r="AO23" s="82" t="e">
        <f t="shared" si="15"/>
        <v>#N/A</v>
      </c>
      <c r="AP23" s="82" t="e">
        <f t="shared" si="15"/>
        <v>#N/A</v>
      </c>
      <c r="AQ23" s="82" t="e">
        <f t="shared" si="15"/>
        <v>#N/A</v>
      </c>
      <c r="AR23" s="82" t="e">
        <f t="shared" si="15"/>
        <v>#N/A</v>
      </c>
      <c r="AS23" s="82" t="e">
        <f t="shared" si="15"/>
        <v>#N/A</v>
      </c>
      <c r="AT23" s="82" t="e">
        <f t="shared" si="15"/>
        <v>#N/A</v>
      </c>
      <c r="AU23" s="82" t="e">
        <f t="shared" si="15"/>
        <v>#N/A</v>
      </c>
      <c r="AV23" s="82" t="e">
        <f t="shared" si="15"/>
        <v>#N/A</v>
      </c>
      <c r="AW23" s="82" t="e">
        <f t="shared" si="15"/>
        <v>#N/A</v>
      </c>
      <c r="AX23" s="82" t="e">
        <f t="shared" si="15"/>
        <v>#N/A</v>
      </c>
      <c r="AY23" s="82" t="e">
        <f t="shared" si="15"/>
        <v>#N/A</v>
      </c>
      <c r="AZ23" s="82" t="e">
        <f t="shared" si="15"/>
        <v>#N/A</v>
      </c>
      <c r="BA23" s="82" t="e">
        <f t="shared" si="15"/>
        <v>#N/A</v>
      </c>
      <c r="BB23" s="82" t="e">
        <f t="shared" si="15"/>
        <v>#N/A</v>
      </c>
      <c r="BC23" s="82" t="e">
        <f t="shared" si="15"/>
        <v>#N/A</v>
      </c>
      <c r="BD23" s="82" t="e">
        <f t="shared" si="15"/>
        <v>#N/A</v>
      </c>
      <c r="BE23" s="82" t="e">
        <f t="shared" si="15"/>
        <v>#N/A</v>
      </c>
      <c r="BF23" s="82" t="e">
        <f t="shared" si="15"/>
        <v>#N/A</v>
      </c>
      <c r="BG23" s="82" t="e">
        <f t="shared" si="15"/>
        <v>#N/A</v>
      </c>
      <c r="BH23" s="82" t="e">
        <f t="shared" si="15"/>
        <v>#N/A</v>
      </c>
      <c r="BI23" s="82" t="e">
        <f t="shared" si="15"/>
        <v>#N/A</v>
      </c>
      <c r="BJ23" s="82" t="e">
        <f t="shared" si="15"/>
        <v>#N/A</v>
      </c>
    </row>
    <row r="24" spans="2:63" x14ac:dyDescent="0.25">
      <c r="B24" s="85" t="s">
        <v>238</v>
      </c>
      <c r="C24" s="82" t="e">
        <f>IF(C$20=0,NA(),SUMIFS($C$16:$BJ$16,$C$15:$BJ$15,C21))</f>
        <v>#N/A</v>
      </c>
      <c r="D24" s="82" t="e">
        <f t="shared" ref="D24:BJ24" si="16">IF(D$20=0,NA(),SUMIFS($C$16:$BJ$16,$C$15:$BJ$15,D21))</f>
        <v>#N/A</v>
      </c>
      <c r="E24" s="82" t="e">
        <f t="shared" si="16"/>
        <v>#N/A</v>
      </c>
      <c r="F24" s="82" t="e">
        <f t="shared" si="16"/>
        <v>#N/A</v>
      </c>
      <c r="G24" s="82" t="e">
        <f t="shared" si="16"/>
        <v>#N/A</v>
      </c>
      <c r="H24" s="82" t="e">
        <f t="shared" si="16"/>
        <v>#N/A</v>
      </c>
      <c r="I24" s="82" t="e">
        <f t="shared" si="16"/>
        <v>#N/A</v>
      </c>
      <c r="J24" s="82" t="e">
        <f t="shared" si="16"/>
        <v>#N/A</v>
      </c>
      <c r="K24" s="82" t="e">
        <f t="shared" si="16"/>
        <v>#N/A</v>
      </c>
      <c r="L24" s="82" t="e">
        <f t="shared" si="16"/>
        <v>#N/A</v>
      </c>
      <c r="M24" s="82" t="e">
        <f t="shared" si="16"/>
        <v>#N/A</v>
      </c>
      <c r="N24" s="83">
        <f t="shared" si="16"/>
        <v>3.3703199999999924</v>
      </c>
      <c r="O24" s="82">
        <f t="shared" si="16"/>
        <v>-10.168000247999998</v>
      </c>
      <c r="P24" s="82">
        <f t="shared" si="16"/>
        <v>-1.9264002240000337</v>
      </c>
      <c r="Q24" s="82">
        <f t="shared" si="16"/>
        <v>-0.12400024800000153</v>
      </c>
      <c r="R24" s="82">
        <f t="shared" si="16"/>
        <v>-11.102399999999996</v>
      </c>
      <c r="S24" s="82">
        <f t="shared" si="16"/>
        <v>-25.772160000000003</v>
      </c>
      <c r="T24" s="82">
        <f t="shared" si="16"/>
        <v>-23.040000000000003</v>
      </c>
      <c r="U24" s="82">
        <f t="shared" si="16"/>
        <v>-19.716000000000001</v>
      </c>
      <c r="V24" s="82">
        <f t="shared" si="16"/>
        <v>-15.995999999999995</v>
      </c>
      <c r="W24" s="82">
        <f t="shared" si="16"/>
        <v>-15.48</v>
      </c>
      <c r="X24" s="82">
        <f t="shared" si="16"/>
        <v>-5.208000000000002</v>
      </c>
      <c r="Y24" s="82">
        <f t="shared" si="16"/>
        <v>-5.0399999999999991</v>
      </c>
      <c r="Z24" s="86">
        <f t="shared" si="16"/>
        <v>-5.2079999999999966</v>
      </c>
      <c r="AA24" s="82">
        <f t="shared" si="16"/>
        <v>-10.416</v>
      </c>
      <c r="AB24" s="82">
        <f t="shared" si="16"/>
        <v>-9.7440000000000015</v>
      </c>
      <c r="AC24" s="82">
        <f t="shared" si="16"/>
        <v>-10.416</v>
      </c>
      <c r="AD24" s="82">
        <f t="shared" si="16"/>
        <v>-10.079999999999998</v>
      </c>
      <c r="AE24" s="82">
        <f t="shared" si="16"/>
        <v>-10.416</v>
      </c>
      <c r="AF24" s="82">
        <f t="shared" si="16"/>
        <v>-10.079999999999998</v>
      </c>
      <c r="AG24" s="82">
        <f t="shared" si="16"/>
        <v>-10.416</v>
      </c>
      <c r="AH24" s="82">
        <f t="shared" si="16"/>
        <v>-10.416</v>
      </c>
      <c r="AI24" s="82">
        <f t="shared" si="16"/>
        <v>-10.079999999999998</v>
      </c>
      <c r="AJ24" s="82">
        <f t="shared" si="16"/>
        <v>-10.416</v>
      </c>
      <c r="AK24" s="82">
        <f t="shared" si="16"/>
        <v>-10.079999999999998</v>
      </c>
      <c r="AL24" s="83">
        <f t="shared" si="16"/>
        <v>-10.416</v>
      </c>
      <c r="AM24" s="82" t="e">
        <f t="shared" si="16"/>
        <v>#N/A</v>
      </c>
      <c r="AN24" s="82" t="e">
        <f t="shared" si="16"/>
        <v>#N/A</v>
      </c>
      <c r="AO24" s="82" t="e">
        <f t="shared" si="16"/>
        <v>#N/A</v>
      </c>
      <c r="AP24" s="82" t="e">
        <f t="shared" si="16"/>
        <v>#N/A</v>
      </c>
      <c r="AQ24" s="82" t="e">
        <f t="shared" si="16"/>
        <v>#N/A</v>
      </c>
      <c r="AR24" s="82" t="e">
        <f t="shared" si="16"/>
        <v>#N/A</v>
      </c>
      <c r="AS24" s="82" t="e">
        <f t="shared" si="16"/>
        <v>#N/A</v>
      </c>
      <c r="AT24" s="82" t="e">
        <f t="shared" si="16"/>
        <v>#N/A</v>
      </c>
      <c r="AU24" s="82" t="e">
        <f t="shared" si="16"/>
        <v>#N/A</v>
      </c>
      <c r="AV24" s="82" t="e">
        <f t="shared" si="16"/>
        <v>#N/A</v>
      </c>
      <c r="AW24" s="82" t="e">
        <f t="shared" si="16"/>
        <v>#N/A</v>
      </c>
      <c r="AX24" s="86" t="e">
        <f t="shared" si="16"/>
        <v>#N/A</v>
      </c>
      <c r="AY24" s="82" t="e">
        <f t="shared" si="16"/>
        <v>#N/A</v>
      </c>
      <c r="AZ24" s="82" t="e">
        <f t="shared" si="16"/>
        <v>#N/A</v>
      </c>
      <c r="BA24" s="82" t="e">
        <f t="shared" si="16"/>
        <v>#N/A</v>
      </c>
      <c r="BB24" s="82" t="e">
        <f t="shared" si="16"/>
        <v>#N/A</v>
      </c>
      <c r="BC24" s="82" t="e">
        <f t="shared" si="16"/>
        <v>#N/A</v>
      </c>
      <c r="BD24" s="82" t="e">
        <f t="shared" si="16"/>
        <v>#N/A</v>
      </c>
      <c r="BE24" s="82" t="e">
        <f t="shared" si="16"/>
        <v>#N/A</v>
      </c>
      <c r="BF24" s="82" t="e">
        <f t="shared" si="16"/>
        <v>#N/A</v>
      </c>
      <c r="BG24" s="82" t="e">
        <f t="shared" si="16"/>
        <v>#N/A</v>
      </c>
      <c r="BH24" s="82" t="e">
        <f t="shared" si="16"/>
        <v>#N/A</v>
      </c>
      <c r="BI24" s="82" t="e">
        <f t="shared" si="16"/>
        <v>#N/A</v>
      </c>
      <c r="BJ24" s="86" t="e">
        <f t="shared" si="16"/>
        <v>#N/A</v>
      </c>
    </row>
    <row r="25" spans="2:63" x14ac:dyDescent="0.25">
      <c r="B25" s="85" t="s">
        <v>237</v>
      </c>
      <c r="C25" s="82" t="e">
        <f>IF(C$20=0,NA(),SUMIFS(C24:$BJ$24,C20:$BJ$20,1))</f>
        <v>#N/A</v>
      </c>
      <c r="D25" s="82" t="e">
        <f>IF(D$20=0,NA(),SUMIFS(D24:$BJ$24,D20:$BJ$20,1))</f>
        <v>#N/A</v>
      </c>
      <c r="E25" s="82" t="e">
        <f>IF(E$20=0,NA(),SUMIFS(E24:$BJ$24,E20:$BJ$20,1))</f>
        <v>#N/A</v>
      </c>
      <c r="F25" s="82" t="e">
        <f>IF(F$20=0,NA(),SUMIFS(F24:$BJ$24,F20:$BJ$20,1))</f>
        <v>#N/A</v>
      </c>
      <c r="G25" s="82" t="e">
        <f>IF(G$20=0,NA(),SUMIFS(G24:$BJ$24,G20:$BJ$20,1))</f>
        <v>#N/A</v>
      </c>
      <c r="H25" s="82" t="e">
        <f>IF(H$20=0,NA(),SUMIFS(H24:$BJ$24,H20:$BJ$20,1))</f>
        <v>#N/A</v>
      </c>
      <c r="I25" s="82" t="e">
        <f>IF(I$20=0,NA(),SUMIFS(I24:$BJ$24,I20:$BJ$20,1))</f>
        <v>#N/A</v>
      </c>
      <c r="J25" s="82" t="e">
        <f>IF(J$20=0,NA(),SUMIFS(J24:$BJ$24,J20:$BJ$20,1))</f>
        <v>#N/A</v>
      </c>
      <c r="K25" s="82" t="e">
        <f>IF(K$20=0,NA(),SUMIFS(K24:$BJ$24,K20:$BJ$20,1))</f>
        <v>#N/A</v>
      </c>
      <c r="L25" s="82" t="e">
        <f>IF(L$20=0,NA(),SUMIFS(L24:$BJ$24,L20:$BJ$20,1))</f>
        <v>#N/A</v>
      </c>
      <c r="M25" s="82" t="e">
        <f>IF(M$20=0,NA(),SUMIFS(M24:$BJ$24,M20:$BJ$20,1))</f>
        <v>#N/A</v>
      </c>
      <c r="N25" s="83">
        <f>IF(N$20=0,NA(),SUMIFS(N24:$BJ$24,N20:$BJ$20,1))</f>
        <v>-258.38664071999995</v>
      </c>
      <c r="O25" s="82">
        <f>IF(O$20=0,NA(),SUMIFS(O24:$BJ$24,O20:$BJ$20,1))</f>
        <v>-261.75696071999994</v>
      </c>
      <c r="P25" s="82">
        <f>IF(P$20=0,NA(),SUMIFS(P24:$BJ$24,P20:$BJ$20,1))</f>
        <v>-251.58896047199994</v>
      </c>
      <c r="Q25" s="82">
        <f>IF(Q$20=0,NA(),SUMIFS(Q24:$BJ$24,Q20:$BJ$20,1))</f>
        <v>-249.66256024799992</v>
      </c>
      <c r="R25" s="82">
        <f>IF(R$20=0,NA(),SUMIFS(R24:$BJ$24,R20:$BJ$20,1))</f>
        <v>-249.5385599999999</v>
      </c>
      <c r="S25" s="82">
        <f>IF(S$20=0,NA(),SUMIFS(S24:$BJ$24,S20:$BJ$20,1))</f>
        <v>-238.43615999999992</v>
      </c>
      <c r="T25" s="82">
        <f>IF(T$20=0,NA(),SUMIFS(T24:$BJ$24,T20:$BJ$20,1))</f>
        <v>-212.66399999999993</v>
      </c>
      <c r="U25" s="82">
        <f>IF(U$20=0,NA(),SUMIFS(U24:$BJ$24,U20:$BJ$20,1))</f>
        <v>-189.62399999999997</v>
      </c>
      <c r="V25" s="82">
        <f>IF(V$20=0,NA(),SUMIFS(V24:$BJ$24,V20:$BJ$20,1))</f>
        <v>-169.90799999999996</v>
      </c>
      <c r="W25" s="82">
        <f>IF(W$20=0,NA(),SUMIFS(W24:$BJ$24,W20:$BJ$20,1))</f>
        <v>-153.91199999999998</v>
      </c>
      <c r="X25" s="82">
        <f>IF(X$20=0,NA(),SUMIFS(X24:$BJ$24,X20:$BJ$20,1))</f>
        <v>-138.43199999999996</v>
      </c>
      <c r="Y25" s="82">
        <f>IF(Y$20=0,NA(),SUMIFS(Y24:$BJ$24,Y20:$BJ$20,1))</f>
        <v>-133.22399999999999</v>
      </c>
      <c r="Z25" s="83">
        <f>IF(Z$20=0,NA(),SUMIFS(Z24:$BJ$24,Z20:$BJ$20,1))</f>
        <v>-128.184</v>
      </c>
      <c r="AA25" s="82">
        <f>IF(AA$20=0,NA(),SUMIFS(AA24:$BJ$24,AA20:$BJ$20,1))</f>
        <v>-122.97599999999998</v>
      </c>
      <c r="AB25" s="82">
        <f>IF(AB$20=0,NA(),SUMIFS(AB24:$BJ$24,AB20:$BJ$20,1))</f>
        <v>-112.55999999999999</v>
      </c>
      <c r="AC25" s="82">
        <f>IF(AC$20=0,NA(),SUMIFS(AC24:$BJ$24,AC20:$BJ$20,1))</f>
        <v>-102.81599999999999</v>
      </c>
      <c r="AD25" s="82">
        <f>IF(AD$20=0,NA(),SUMIFS(AD24:$BJ$24,AD20:$BJ$20,1))</f>
        <v>-92.399999999999991</v>
      </c>
      <c r="AE25" s="82">
        <f>IF(AE$20=0,NA(),SUMIFS(AE24:$BJ$24,AE20:$BJ$20,1))</f>
        <v>-82.32</v>
      </c>
      <c r="AF25" s="82">
        <f>IF(AF$20=0,NA(),SUMIFS(AF24:$BJ$24,AF20:$BJ$20,1))</f>
        <v>-71.903999999999996</v>
      </c>
      <c r="AG25" s="82">
        <f>IF(AG$20=0,NA(),SUMIFS(AG24:$BJ$24,AG20:$BJ$20,1))</f>
        <v>-61.823999999999998</v>
      </c>
      <c r="AH25" s="82">
        <f>IF(AH$20=0,NA(),SUMIFS(AH24:$BJ$24,AH20:$BJ$20,1))</f>
        <v>-51.408000000000001</v>
      </c>
      <c r="AI25" s="82">
        <f>IF(AI$20=0,NA(),SUMIFS(AI24:$BJ$24,AI20:$BJ$20,1))</f>
        <v>-40.991999999999997</v>
      </c>
      <c r="AJ25" s="82">
        <f>IF(AJ$20=0,NA(),SUMIFS(AJ24:$BJ$24,AJ20:$BJ$20,1))</f>
        <v>-30.911999999999999</v>
      </c>
      <c r="AK25" s="82">
        <f>IF(AK$20=0,NA(),SUMIFS(AK24:$BJ$24,AK20:$BJ$20,1))</f>
        <v>-20.495999999999999</v>
      </c>
      <c r="AL25" s="83">
        <f>IF(AL$20=0,NA(),SUMIFS(AL24:$BJ$24,AL20:$BJ$20,1))</f>
        <v>-10.416</v>
      </c>
      <c r="AM25" s="82" t="e">
        <f>IF(AM$20=0,NA(),SUMIFS(AM24:$BJ$24,AM20:$BJ$20,1))</f>
        <v>#N/A</v>
      </c>
      <c r="AN25" s="82" t="e">
        <f>IF(AN$20=0,NA(),SUMIFS(AN24:$BJ$24,AN20:$BJ$20,1))</f>
        <v>#N/A</v>
      </c>
      <c r="AO25" s="82" t="e">
        <f>IF(AO$20=0,NA(),SUMIFS(AO24:$BJ$24,AO20:$BJ$20,1))</f>
        <v>#N/A</v>
      </c>
      <c r="AP25" s="82" t="e">
        <f>IF(AP$20=0,NA(),SUMIFS(AP24:$BJ$24,AP20:$BJ$20,1))</f>
        <v>#N/A</v>
      </c>
      <c r="AQ25" s="82" t="e">
        <f>IF(AQ$20=0,NA(),SUMIFS(AQ24:$BJ$24,AQ20:$BJ$20,1))</f>
        <v>#N/A</v>
      </c>
      <c r="AR25" s="82" t="e">
        <f>IF(AR$20=0,NA(),SUMIFS(AR24:$BJ$24,AR20:$BJ$20,1))</f>
        <v>#N/A</v>
      </c>
      <c r="AS25" s="82" t="e">
        <f>IF(AS$20=0,NA(),SUMIFS(AS24:$BJ$24,AS20:$BJ$20,1))</f>
        <v>#N/A</v>
      </c>
      <c r="AT25" s="82" t="e">
        <f>IF(AT$20=0,NA(),SUMIFS(AT24:$BJ$24,AT20:$BJ$20,1))</f>
        <v>#N/A</v>
      </c>
      <c r="AU25" s="82" t="e">
        <f>IF(AU$20=0,NA(),SUMIFS(AU24:$BJ$24,AU20:$BJ$20,1))</f>
        <v>#N/A</v>
      </c>
      <c r="AV25" s="82" t="e">
        <f>IF(AV$20=0,NA(),SUMIFS(AV24:$BJ$24,AV20:$BJ$20,1))</f>
        <v>#N/A</v>
      </c>
      <c r="AW25" s="82" t="e">
        <f>IF(AW$20=0,NA(),SUMIFS(AW24:$BJ$24,AW20:$BJ$20,1))</f>
        <v>#N/A</v>
      </c>
      <c r="AX25" s="83" t="e">
        <f>IF(AX$20=0,NA(),SUMIFS(AX24:$BJ$24,AX20:$BJ$20,1))</f>
        <v>#N/A</v>
      </c>
      <c r="AY25" s="82" t="e">
        <f>IF(AY$20=0,NA(),SUMIFS(AY24:$BJ$24,AY20:$BJ$20,1))</f>
        <v>#N/A</v>
      </c>
      <c r="AZ25" s="82" t="e">
        <f>IF(AZ$20=0,NA(),SUMIFS(AZ24:$BJ$24,AZ20:$BJ$20,1))</f>
        <v>#N/A</v>
      </c>
      <c r="BA25" s="82" t="e">
        <f>IF(BA$20=0,NA(),SUMIFS(BA24:$BJ$24,BA20:$BJ$20,1))</f>
        <v>#N/A</v>
      </c>
      <c r="BB25" s="82" t="e">
        <f>IF(BB$20=0,NA(),SUMIFS(BB24:$BJ$24,BB20:$BJ$20,1))</f>
        <v>#N/A</v>
      </c>
      <c r="BC25" s="82" t="e">
        <f>IF(BC$20=0,NA(),SUMIFS(BC24:$BJ$24,BC20:$BJ$20,1))</f>
        <v>#N/A</v>
      </c>
      <c r="BD25" s="82" t="e">
        <f>IF(BD$20=0,NA(),SUMIFS(BD24:$BJ$24,BD20:$BJ$20,1))</f>
        <v>#N/A</v>
      </c>
      <c r="BE25" s="82" t="e">
        <f>IF(BE$20=0,NA(),SUMIFS(BE24:$BJ$24,BE20:$BJ$20,1))</f>
        <v>#N/A</v>
      </c>
      <c r="BF25" s="82" t="e">
        <f>IF(BF$20=0,NA(),SUMIFS(BF24:$BJ$24,BF20:$BJ$20,1))</f>
        <v>#N/A</v>
      </c>
      <c r="BG25" s="82" t="e">
        <f>IF(BG$20=0,NA(),SUMIFS(BG24:$BJ$24,BG20:$BJ$20,1))</f>
        <v>#N/A</v>
      </c>
      <c r="BH25" s="82" t="e">
        <f>IF(BH$20=0,NA(),SUMIFS(BH24:$BJ$24,BH20:$BJ$20,1))</f>
        <v>#N/A</v>
      </c>
      <c r="BI25" s="82" t="e">
        <f>IF(BI$20=0,NA(),SUMIFS(BI24:$BJ$24,BI20:$BJ$20,1))</f>
        <v>#N/A</v>
      </c>
      <c r="BJ25" s="83" t="e">
        <f>IF(BJ$20=0,NA(),SUMIFS(BJ24:$BJ$24,BJ20:$BJ$20,1))</f>
        <v>#N/A</v>
      </c>
    </row>
    <row r="26" spans="2:63" x14ac:dyDescent="0.25">
      <c r="B26" s="85" t="e">
        <f>IF(SUMIF(C26:BJ26,"&lt;&gt;#n/a")=0,NA(),$B$36)</f>
        <v>#N/A</v>
      </c>
      <c r="C26" s="82" t="e">
        <f>IF(1=1,NA(),IF(C$20=0,NA(),IF(C24&lt;=-150,C$7,NA())))</f>
        <v>#N/A</v>
      </c>
      <c r="D26" s="82" t="e">
        <f t="shared" ref="D26:BJ26" si="17">IF(1=1,NA(),IF(D$20=0,NA(),IF(D24&lt;=-150,D$7,NA())))</f>
        <v>#N/A</v>
      </c>
      <c r="E26" s="82" t="e">
        <f t="shared" si="17"/>
        <v>#N/A</v>
      </c>
      <c r="F26" s="82" t="e">
        <f t="shared" si="17"/>
        <v>#N/A</v>
      </c>
      <c r="G26" s="82" t="e">
        <f t="shared" si="17"/>
        <v>#N/A</v>
      </c>
      <c r="H26" s="82" t="e">
        <f t="shared" si="17"/>
        <v>#N/A</v>
      </c>
      <c r="I26" s="82" t="e">
        <f t="shared" si="17"/>
        <v>#N/A</v>
      </c>
      <c r="J26" s="82" t="e">
        <f t="shared" si="17"/>
        <v>#N/A</v>
      </c>
      <c r="K26" s="82" t="e">
        <f t="shared" si="17"/>
        <v>#N/A</v>
      </c>
      <c r="L26" s="82" t="e">
        <f t="shared" si="17"/>
        <v>#N/A</v>
      </c>
      <c r="M26" s="82" t="e">
        <f t="shared" si="17"/>
        <v>#N/A</v>
      </c>
      <c r="N26" s="83" t="e">
        <f t="shared" si="17"/>
        <v>#N/A</v>
      </c>
      <c r="O26" s="82" t="e">
        <f t="shared" si="17"/>
        <v>#N/A</v>
      </c>
      <c r="P26" s="82" t="e">
        <f t="shared" si="17"/>
        <v>#N/A</v>
      </c>
      <c r="Q26" s="82" t="e">
        <f t="shared" si="17"/>
        <v>#N/A</v>
      </c>
      <c r="R26" s="82" t="e">
        <f t="shared" si="17"/>
        <v>#N/A</v>
      </c>
      <c r="S26" s="82" t="e">
        <f t="shared" si="17"/>
        <v>#N/A</v>
      </c>
      <c r="T26" s="82" t="e">
        <f t="shared" si="17"/>
        <v>#N/A</v>
      </c>
      <c r="U26" s="82" t="e">
        <f t="shared" si="17"/>
        <v>#N/A</v>
      </c>
      <c r="V26" s="82" t="e">
        <f t="shared" si="17"/>
        <v>#N/A</v>
      </c>
      <c r="W26" s="82" t="e">
        <f t="shared" si="17"/>
        <v>#N/A</v>
      </c>
      <c r="X26" s="82" t="e">
        <f t="shared" si="17"/>
        <v>#N/A</v>
      </c>
      <c r="Y26" s="82" t="e">
        <f t="shared" si="17"/>
        <v>#N/A</v>
      </c>
      <c r="Z26" s="83" t="e">
        <f t="shared" si="17"/>
        <v>#N/A</v>
      </c>
      <c r="AA26" s="82" t="e">
        <f t="shared" si="17"/>
        <v>#N/A</v>
      </c>
      <c r="AB26" s="82" t="e">
        <f t="shared" si="17"/>
        <v>#N/A</v>
      </c>
      <c r="AC26" s="82" t="e">
        <f t="shared" si="17"/>
        <v>#N/A</v>
      </c>
      <c r="AD26" s="82" t="e">
        <f t="shared" si="17"/>
        <v>#N/A</v>
      </c>
      <c r="AE26" s="82" t="e">
        <f t="shared" si="17"/>
        <v>#N/A</v>
      </c>
      <c r="AF26" s="82" t="e">
        <f t="shared" si="17"/>
        <v>#N/A</v>
      </c>
      <c r="AG26" s="82" t="e">
        <f t="shared" si="17"/>
        <v>#N/A</v>
      </c>
      <c r="AH26" s="82" t="e">
        <f t="shared" si="17"/>
        <v>#N/A</v>
      </c>
      <c r="AI26" s="82" t="e">
        <f t="shared" si="17"/>
        <v>#N/A</v>
      </c>
      <c r="AJ26" s="82" t="e">
        <f t="shared" si="17"/>
        <v>#N/A</v>
      </c>
      <c r="AK26" s="82" t="e">
        <f t="shared" si="17"/>
        <v>#N/A</v>
      </c>
      <c r="AL26" s="83" t="e">
        <f t="shared" si="17"/>
        <v>#N/A</v>
      </c>
      <c r="AM26" s="82" t="e">
        <f t="shared" si="17"/>
        <v>#N/A</v>
      </c>
      <c r="AN26" s="82" t="e">
        <f t="shared" si="17"/>
        <v>#N/A</v>
      </c>
      <c r="AO26" s="82" t="e">
        <f t="shared" si="17"/>
        <v>#N/A</v>
      </c>
      <c r="AP26" s="82" t="e">
        <f t="shared" si="17"/>
        <v>#N/A</v>
      </c>
      <c r="AQ26" s="82" t="e">
        <f t="shared" si="17"/>
        <v>#N/A</v>
      </c>
      <c r="AR26" s="82" t="e">
        <f t="shared" si="17"/>
        <v>#N/A</v>
      </c>
      <c r="AS26" s="82" t="e">
        <f t="shared" si="17"/>
        <v>#N/A</v>
      </c>
      <c r="AT26" s="82" t="e">
        <f t="shared" si="17"/>
        <v>#N/A</v>
      </c>
      <c r="AU26" s="82" t="e">
        <f t="shared" si="17"/>
        <v>#N/A</v>
      </c>
      <c r="AV26" s="82" t="e">
        <f t="shared" si="17"/>
        <v>#N/A</v>
      </c>
      <c r="AW26" s="82" t="e">
        <f t="shared" si="17"/>
        <v>#N/A</v>
      </c>
      <c r="AX26" s="83" t="e">
        <f t="shared" si="17"/>
        <v>#N/A</v>
      </c>
      <c r="AY26" s="82" t="e">
        <f t="shared" si="17"/>
        <v>#N/A</v>
      </c>
      <c r="AZ26" s="82" t="e">
        <f t="shared" si="17"/>
        <v>#N/A</v>
      </c>
      <c r="BA26" s="82" t="e">
        <f t="shared" si="17"/>
        <v>#N/A</v>
      </c>
      <c r="BB26" s="82" t="e">
        <f t="shared" si="17"/>
        <v>#N/A</v>
      </c>
      <c r="BC26" s="82" t="e">
        <f t="shared" si="17"/>
        <v>#N/A</v>
      </c>
      <c r="BD26" s="82" t="e">
        <f t="shared" si="17"/>
        <v>#N/A</v>
      </c>
      <c r="BE26" s="82" t="e">
        <f t="shared" si="17"/>
        <v>#N/A</v>
      </c>
      <c r="BF26" s="82" t="e">
        <f t="shared" si="17"/>
        <v>#N/A</v>
      </c>
      <c r="BG26" s="82" t="e">
        <f t="shared" si="17"/>
        <v>#N/A</v>
      </c>
      <c r="BH26" s="82" t="e">
        <f t="shared" si="17"/>
        <v>#N/A</v>
      </c>
      <c r="BI26" s="82" t="e">
        <f t="shared" si="17"/>
        <v>#N/A</v>
      </c>
      <c r="BJ26" s="83" t="e">
        <f t="shared" si="17"/>
        <v>#N/A</v>
      </c>
    </row>
    <row r="27" spans="2:63" x14ac:dyDescent="0.25">
      <c r="B27" s="85" t="str">
        <f>IF(SUMIF(C27:BJ27,"&lt;&gt;#n/a")=0,NA(),$B$34)</f>
        <v>Limit FY Short</v>
      </c>
      <c r="C27" s="82" t="e">
        <f>IF(C$20=0,NA(),IF(C25&lt;=-200,C$5,NA()))</f>
        <v>#N/A</v>
      </c>
      <c r="D27" s="82" t="e">
        <f>IF(D$20=0,NA(),IF(ISNA(C$27),IF(D25&lt;=-200,D$5,NA()),D$5))</f>
        <v>#N/A</v>
      </c>
      <c r="E27" s="82" t="e">
        <f t="shared" ref="E27:BJ27" si="18">IF(E$20=0,NA(),IF(ISNA(D$27),IF(E25&lt;=-200,E$5,NA()),E$5))</f>
        <v>#N/A</v>
      </c>
      <c r="F27" s="82" t="e">
        <f t="shared" si="18"/>
        <v>#N/A</v>
      </c>
      <c r="G27" s="82" t="e">
        <f t="shared" si="18"/>
        <v>#N/A</v>
      </c>
      <c r="H27" s="82" t="e">
        <f t="shared" si="18"/>
        <v>#N/A</v>
      </c>
      <c r="I27" s="82" t="e">
        <f t="shared" si="18"/>
        <v>#N/A</v>
      </c>
      <c r="J27" s="82" t="e">
        <f t="shared" si="18"/>
        <v>#N/A</v>
      </c>
      <c r="K27" s="82" t="e">
        <f t="shared" si="18"/>
        <v>#N/A</v>
      </c>
      <c r="L27" s="82" t="e">
        <f t="shared" si="18"/>
        <v>#N/A</v>
      </c>
      <c r="M27" s="82" t="e">
        <f t="shared" si="18"/>
        <v>#N/A</v>
      </c>
      <c r="N27" s="83">
        <f t="shared" si="18"/>
        <v>-525.6</v>
      </c>
      <c r="O27" s="82">
        <f t="shared" si="18"/>
        <v>-525.6</v>
      </c>
      <c r="P27" s="82">
        <f t="shared" si="18"/>
        <v>-525.6</v>
      </c>
      <c r="Q27" s="82">
        <f t="shared" si="18"/>
        <v>-525.6</v>
      </c>
      <c r="R27" s="82">
        <f t="shared" si="18"/>
        <v>-525.6</v>
      </c>
      <c r="S27" s="82">
        <f t="shared" si="18"/>
        <v>-525.6</v>
      </c>
      <c r="T27" s="82">
        <f t="shared" si="18"/>
        <v>-525.6</v>
      </c>
      <c r="U27" s="82">
        <f t="shared" si="18"/>
        <v>-525.6</v>
      </c>
      <c r="V27" s="82">
        <f t="shared" si="18"/>
        <v>-525.6</v>
      </c>
      <c r="W27" s="82">
        <f t="shared" si="18"/>
        <v>-525.6</v>
      </c>
      <c r="X27" s="82">
        <f t="shared" si="18"/>
        <v>-525.6</v>
      </c>
      <c r="Y27" s="82">
        <f t="shared" si="18"/>
        <v>-525.6</v>
      </c>
      <c r="Z27" s="83">
        <f t="shared" si="18"/>
        <v>-525.6</v>
      </c>
      <c r="AA27" s="82">
        <f t="shared" si="18"/>
        <v>-525.6</v>
      </c>
      <c r="AB27" s="82">
        <f t="shared" si="18"/>
        <v>-525.6</v>
      </c>
      <c r="AC27" s="82">
        <f t="shared" si="18"/>
        <v>-525.6</v>
      </c>
      <c r="AD27" s="82">
        <f t="shared" si="18"/>
        <v>-525.6</v>
      </c>
      <c r="AE27" s="82">
        <f t="shared" si="18"/>
        <v>-525.6</v>
      </c>
      <c r="AF27" s="82">
        <f t="shared" si="18"/>
        <v>-525.6</v>
      </c>
      <c r="AG27" s="82">
        <f t="shared" si="18"/>
        <v>-525.6</v>
      </c>
      <c r="AH27" s="82">
        <f t="shared" si="18"/>
        <v>-525.6</v>
      </c>
      <c r="AI27" s="82">
        <f t="shared" si="18"/>
        <v>-525.6</v>
      </c>
      <c r="AJ27" s="82">
        <f t="shared" si="18"/>
        <v>-525.6</v>
      </c>
      <c r="AK27" s="82">
        <f t="shared" si="18"/>
        <v>-525.6</v>
      </c>
      <c r="AL27" s="83">
        <f t="shared" si="18"/>
        <v>-525.6</v>
      </c>
      <c r="AM27" s="82" t="e">
        <f t="shared" si="18"/>
        <v>#N/A</v>
      </c>
      <c r="AN27" s="82" t="e">
        <f t="shared" si="18"/>
        <v>#N/A</v>
      </c>
      <c r="AO27" s="82" t="e">
        <f t="shared" si="18"/>
        <v>#N/A</v>
      </c>
      <c r="AP27" s="82" t="e">
        <f t="shared" si="18"/>
        <v>#N/A</v>
      </c>
      <c r="AQ27" s="82" t="e">
        <f t="shared" si="18"/>
        <v>#N/A</v>
      </c>
      <c r="AR27" s="82" t="e">
        <f t="shared" si="18"/>
        <v>#N/A</v>
      </c>
      <c r="AS27" s="82" t="e">
        <f t="shared" si="18"/>
        <v>#N/A</v>
      </c>
      <c r="AT27" s="82" t="e">
        <f t="shared" si="18"/>
        <v>#N/A</v>
      </c>
      <c r="AU27" s="82" t="e">
        <f t="shared" si="18"/>
        <v>#N/A</v>
      </c>
      <c r="AV27" s="82" t="e">
        <f t="shared" si="18"/>
        <v>#N/A</v>
      </c>
      <c r="AW27" s="82" t="e">
        <f t="shared" si="18"/>
        <v>#N/A</v>
      </c>
      <c r="AX27" s="83" t="e">
        <f t="shared" si="18"/>
        <v>#N/A</v>
      </c>
      <c r="AY27" s="82" t="e">
        <f t="shared" si="18"/>
        <v>#N/A</v>
      </c>
      <c r="AZ27" s="82" t="e">
        <f t="shared" si="18"/>
        <v>#N/A</v>
      </c>
      <c r="BA27" s="82" t="e">
        <f t="shared" si="18"/>
        <v>#N/A</v>
      </c>
      <c r="BB27" s="82" t="e">
        <f t="shared" si="18"/>
        <v>#N/A</v>
      </c>
      <c r="BC27" s="82" t="e">
        <f t="shared" si="18"/>
        <v>#N/A</v>
      </c>
      <c r="BD27" s="82" t="e">
        <f t="shared" si="18"/>
        <v>#N/A</v>
      </c>
      <c r="BE27" s="82" t="e">
        <f t="shared" si="18"/>
        <v>#N/A</v>
      </c>
      <c r="BF27" s="82" t="e">
        <f t="shared" si="18"/>
        <v>#N/A</v>
      </c>
      <c r="BG27" s="82" t="e">
        <f t="shared" si="18"/>
        <v>#N/A</v>
      </c>
      <c r="BH27" s="82" t="e">
        <f t="shared" si="18"/>
        <v>#N/A</v>
      </c>
      <c r="BI27" s="82" t="e">
        <f t="shared" si="18"/>
        <v>#N/A</v>
      </c>
      <c r="BJ27" s="83" t="e">
        <f t="shared" si="18"/>
        <v>#N/A</v>
      </c>
    </row>
    <row r="28" spans="2:63" x14ac:dyDescent="0.25">
      <c r="B28" t="s">
        <v>481</v>
      </c>
    </row>
    <row r="29" spans="2:63" x14ac:dyDescent="0.25">
      <c r="B29" s="336" t="b">
        <f>IF(SUM(C29:BJ29)=0,TRUE,FALSE)</f>
        <v>1</v>
      </c>
      <c r="C29" s="336" t="b">
        <f>IF(C$20=0,TRUE,SUMIFS($C$16:$BJ$16,$C$15:$BJ$15,C21)=C24)</f>
        <v>1</v>
      </c>
      <c r="D29" s="336" t="b">
        <f t="shared" ref="D29:BJ29" si="19">IF(D$20=0,TRUE,SUMIFS($C$16:$BJ$16,$C$15:$BJ$15,D21)=D24)</f>
        <v>1</v>
      </c>
      <c r="E29" s="336" t="b">
        <f t="shared" si="19"/>
        <v>1</v>
      </c>
      <c r="F29" s="336" t="b">
        <f t="shared" si="19"/>
        <v>1</v>
      </c>
      <c r="G29" s="336" t="b">
        <f t="shared" si="19"/>
        <v>1</v>
      </c>
      <c r="H29" s="336" t="b">
        <f t="shared" si="19"/>
        <v>1</v>
      </c>
      <c r="I29" s="336" t="b">
        <f t="shared" si="19"/>
        <v>1</v>
      </c>
      <c r="J29" s="336" t="b">
        <f t="shared" si="19"/>
        <v>1</v>
      </c>
      <c r="K29" s="336" t="b">
        <f t="shared" si="19"/>
        <v>1</v>
      </c>
      <c r="L29" s="336" t="b">
        <f t="shared" si="19"/>
        <v>1</v>
      </c>
      <c r="M29" s="336" t="b">
        <f t="shared" si="19"/>
        <v>1</v>
      </c>
      <c r="N29" s="336" t="b">
        <f t="shared" si="19"/>
        <v>1</v>
      </c>
      <c r="O29" s="336" t="b">
        <f t="shared" si="19"/>
        <v>1</v>
      </c>
      <c r="P29" s="336" t="b">
        <f t="shared" si="19"/>
        <v>1</v>
      </c>
      <c r="Q29" s="336" t="b">
        <f t="shared" si="19"/>
        <v>1</v>
      </c>
      <c r="R29" s="336" t="b">
        <f t="shared" si="19"/>
        <v>1</v>
      </c>
      <c r="S29" s="336" t="b">
        <f t="shared" si="19"/>
        <v>1</v>
      </c>
      <c r="T29" s="336" t="b">
        <f t="shared" si="19"/>
        <v>1</v>
      </c>
      <c r="U29" s="336" t="b">
        <f t="shared" si="19"/>
        <v>1</v>
      </c>
      <c r="V29" s="336" t="b">
        <f t="shared" si="19"/>
        <v>1</v>
      </c>
      <c r="W29" s="336" t="b">
        <f t="shared" si="19"/>
        <v>1</v>
      </c>
      <c r="X29" s="336" t="b">
        <f t="shared" si="19"/>
        <v>1</v>
      </c>
      <c r="Y29" s="336" t="b">
        <f t="shared" si="19"/>
        <v>1</v>
      </c>
      <c r="Z29" s="336" t="b">
        <f t="shared" si="19"/>
        <v>1</v>
      </c>
      <c r="AA29" s="336" t="b">
        <f t="shared" si="19"/>
        <v>1</v>
      </c>
      <c r="AB29" s="336" t="b">
        <f t="shared" si="19"/>
        <v>1</v>
      </c>
      <c r="AC29" s="336" t="b">
        <f t="shared" si="19"/>
        <v>1</v>
      </c>
      <c r="AD29" s="336" t="b">
        <f t="shared" si="19"/>
        <v>1</v>
      </c>
      <c r="AE29" s="336" t="b">
        <f t="shared" si="19"/>
        <v>1</v>
      </c>
      <c r="AF29" s="336" t="b">
        <f t="shared" si="19"/>
        <v>1</v>
      </c>
      <c r="AG29" s="336" t="b">
        <f t="shared" si="19"/>
        <v>1</v>
      </c>
      <c r="AH29" s="336" t="b">
        <f t="shared" si="19"/>
        <v>1</v>
      </c>
      <c r="AI29" s="336" t="b">
        <f t="shared" si="19"/>
        <v>1</v>
      </c>
      <c r="AJ29" s="336" t="b">
        <f t="shared" si="19"/>
        <v>1</v>
      </c>
      <c r="AK29" s="336" t="b">
        <f t="shared" si="19"/>
        <v>1</v>
      </c>
      <c r="AL29" s="336" t="b">
        <f t="shared" si="19"/>
        <v>1</v>
      </c>
      <c r="AM29" s="336" t="b">
        <f t="shared" si="19"/>
        <v>1</v>
      </c>
      <c r="AN29" s="336" t="b">
        <f t="shared" si="19"/>
        <v>1</v>
      </c>
      <c r="AO29" s="336" t="b">
        <f t="shared" si="19"/>
        <v>1</v>
      </c>
      <c r="AP29" s="336" t="b">
        <f t="shared" si="19"/>
        <v>1</v>
      </c>
      <c r="AQ29" s="336" t="b">
        <f t="shared" si="19"/>
        <v>1</v>
      </c>
      <c r="AR29" s="336" t="b">
        <f t="shared" si="19"/>
        <v>1</v>
      </c>
      <c r="AS29" s="336" t="b">
        <f t="shared" si="19"/>
        <v>1</v>
      </c>
      <c r="AT29" s="336" t="b">
        <f t="shared" si="19"/>
        <v>1</v>
      </c>
      <c r="AU29" s="336" t="b">
        <f t="shared" si="19"/>
        <v>1</v>
      </c>
      <c r="AV29" s="336" t="b">
        <f t="shared" si="19"/>
        <v>1</v>
      </c>
      <c r="AW29" s="336" t="b">
        <f t="shared" si="19"/>
        <v>1</v>
      </c>
      <c r="AX29" s="336" t="b">
        <f t="shared" si="19"/>
        <v>1</v>
      </c>
      <c r="AY29" s="336" t="b">
        <f t="shared" si="19"/>
        <v>1</v>
      </c>
      <c r="AZ29" s="336" t="b">
        <f t="shared" si="19"/>
        <v>1</v>
      </c>
      <c r="BA29" s="336" t="b">
        <f t="shared" si="19"/>
        <v>1</v>
      </c>
      <c r="BB29" s="336" t="b">
        <f t="shared" si="19"/>
        <v>1</v>
      </c>
      <c r="BC29" s="336" t="b">
        <f t="shared" si="19"/>
        <v>1</v>
      </c>
      <c r="BD29" s="336" t="b">
        <f t="shared" si="19"/>
        <v>1</v>
      </c>
      <c r="BE29" s="336" t="b">
        <f t="shared" si="19"/>
        <v>1</v>
      </c>
      <c r="BF29" s="336" t="b">
        <f t="shared" si="19"/>
        <v>1</v>
      </c>
      <c r="BG29" s="336" t="b">
        <f t="shared" si="19"/>
        <v>1</v>
      </c>
      <c r="BH29" s="336" t="b">
        <f t="shared" si="19"/>
        <v>1</v>
      </c>
      <c r="BI29" s="336" t="b">
        <f t="shared" si="19"/>
        <v>1</v>
      </c>
      <c r="BJ29" s="336" t="b">
        <f t="shared" si="19"/>
        <v>1</v>
      </c>
      <c r="BK29" s="336"/>
    </row>
    <row r="31" spans="2:63" x14ac:dyDescent="0.25">
      <c r="B31" s="781" t="s">
        <v>233</v>
      </c>
      <c r="C31" s="783"/>
    </row>
    <row r="32" spans="2:63" x14ac:dyDescent="0.25">
      <c r="B32" s="381">
        <f>RESULTADO!$F$148</f>
        <v>44896</v>
      </c>
      <c r="C32" s="380">
        <f>$C$3</f>
        <v>44562</v>
      </c>
    </row>
    <row r="33" spans="2:38" x14ac:dyDescent="0.25">
      <c r="B33" s="367" t="s">
        <v>1572</v>
      </c>
      <c r="C33" s="367">
        <f>IF($B$32&lt;$C$3,HLOOKUP($C$32,$C$3:$Z$7,2,0),HLOOKUP($B$32,$C$3:$Z$7,2,0))</f>
        <v>525.6</v>
      </c>
    </row>
    <row r="34" spans="2:38" x14ac:dyDescent="0.25">
      <c r="B34" s="367" t="s">
        <v>1575</v>
      </c>
      <c r="C34" s="367">
        <f>IF($B$32&lt;$C$3,HLOOKUP($C$32,$C$3:$Z$7,3,0),HLOOKUP($B$32,$C$3:$Z$7,3,0))</f>
        <v>-525.6</v>
      </c>
    </row>
    <row r="35" spans="2:38" x14ac:dyDescent="0.25">
      <c r="B35" s="367" t="s">
        <v>1573</v>
      </c>
      <c r="C35" s="367">
        <f>IF($B$32&lt;$C$3,HLOOKUP($C$32,$C$3:$Z$7,4,0),HLOOKUP($B$32,$C$3:$Z$7,4,0))</f>
        <v>175.2</v>
      </c>
    </row>
    <row r="36" spans="2:38" x14ac:dyDescent="0.25">
      <c r="B36" s="367" t="s">
        <v>1574</v>
      </c>
      <c r="C36" s="367">
        <f>IF($B$32&lt;$C$3,HLOOKUP($C$32,$C$3:$Z$7,5,0),HLOOKUP($B$32,$C$3:$Z$7,5,0))</f>
        <v>-175.2</v>
      </c>
    </row>
    <row r="37" spans="2:38" x14ac:dyDescent="0.25">
      <c r="B37" s="367" t="s">
        <v>201</v>
      </c>
      <c r="C37" s="505">
        <f>INDEX($C$25:$BJ$25,1,MATCH(1,$C$20:$BJ$20,0))</f>
        <v>-258.38664071999995</v>
      </c>
    </row>
    <row r="38" spans="2:38" x14ac:dyDescent="0.25">
      <c r="B38" s="367" t="s">
        <v>56</v>
      </c>
      <c r="C38" s="506">
        <f>IF(C37&gt;0,C37/C33,IF(C37&lt;0,C37/C34,0))</f>
        <v>0.49160319771689487</v>
      </c>
      <c r="N38" s="341"/>
      <c r="AL38" s="341"/>
    </row>
    <row r="39" spans="2:38" x14ac:dyDescent="0.25">
      <c r="B39" s="367" t="s">
        <v>1576</v>
      </c>
      <c r="C39" s="367">
        <f>IF(C37&gt;0,C33,IF(C37&lt;0,C34,0))</f>
        <v>-525.6</v>
      </c>
    </row>
    <row r="40" spans="2:38" x14ac:dyDescent="0.25">
      <c r="B40" s="367" t="s">
        <v>1577</v>
      </c>
      <c r="C40" s="367">
        <f>IF(C37&gt;0,C35,IF(C37&lt;0,C36,0))</f>
        <v>-175.2</v>
      </c>
    </row>
    <row r="42" spans="2:38" x14ac:dyDescent="0.25">
      <c r="B42" s="381"/>
      <c r="C42" s="119">
        <v>2022</v>
      </c>
      <c r="D42" s="634">
        <v>2023</v>
      </c>
      <c r="E42" s="634">
        <v>2024</v>
      </c>
    </row>
    <row r="43" spans="2:38" x14ac:dyDescent="0.25">
      <c r="B43" s="367" t="s">
        <v>1572</v>
      </c>
      <c r="C43" s="367">
        <f>IF($B$32&lt;$C$3,HLOOKUP($C$32,$C$3:$Z$7,2,0),HLOOKUP($B$32,$C$3:$Z$7,2,0))</f>
        <v>525.6</v>
      </c>
      <c r="D43" s="367">
        <f>IF($B$32&lt;$C$3,HLOOKUP($C$32,$C$3:$Z$7,2,0),HLOOKUP($B$32,$C$3:$Z$7,2,0))</f>
        <v>525.6</v>
      </c>
      <c r="E43" s="367">
        <f>IF($B$32&lt;$C$3,HLOOKUP($C$32,$C$3:$Z$7,2,0),HLOOKUP($B$32,$C$3:$Z$7,2,0))</f>
        <v>525.6</v>
      </c>
      <c r="G43" s="158"/>
    </row>
    <row r="44" spans="2:38" x14ac:dyDescent="0.25">
      <c r="B44" s="367" t="s">
        <v>1575</v>
      </c>
      <c r="C44" s="367">
        <f>IF($B$32&lt;$C$3,HLOOKUP($C$32,$C$3:$Z$7,3,0),HLOOKUP($B$32,$C$3:$Z$7,3,0))</f>
        <v>-525.6</v>
      </c>
      <c r="D44" s="367">
        <f>IF($B$32&lt;$C$3,HLOOKUP($C$32,$C$3:$Z$7,3,0),HLOOKUP($B$32,$C$3:$Z$7,3,0))</f>
        <v>-525.6</v>
      </c>
      <c r="E44" s="367">
        <f>IF($B$32&lt;$C$3,HLOOKUP($C$32,$C$3:$Z$7,3,0),HLOOKUP($B$32,$C$3:$Z$7,3,0))</f>
        <v>-525.6</v>
      </c>
    </row>
    <row r="45" spans="2:38" x14ac:dyDescent="0.25">
      <c r="B45" s="367" t="s">
        <v>1573</v>
      </c>
      <c r="C45" s="367">
        <f>IF($B$32&lt;$C$3,HLOOKUP($C$32,$C$3:$Z$7,4,0),HLOOKUP($B$32,$C$3:$Z$7,4,0))</f>
        <v>175.2</v>
      </c>
      <c r="D45" s="367">
        <f>IF($B$32&lt;$C$3,HLOOKUP($C$32,$C$3:$Z$7,4,0),HLOOKUP($B$32,$C$3:$Z$7,4,0))</f>
        <v>175.2</v>
      </c>
      <c r="E45" s="367">
        <f>IF($B$32&lt;$C$3,HLOOKUP($C$32,$C$3:$Z$7,4,0),HLOOKUP($B$32,$C$3:$Z$7,4,0))</f>
        <v>175.2</v>
      </c>
    </row>
    <row r="46" spans="2:38" x14ac:dyDescent="0.25">
      <c r="B46" s="367" t="s">
        <v>1574</v>
      </c>
      <c r="C46" s="367">
        <f>IF($B$32&lt;$C$3,HLOOKUP($C$32,$C$3:$Z$7,5,0),HLOOKUP($B$32,$C$3:$Z$7,5,0))</f>
        <v>-175.2</v>
      </c>
      <c r="D46" s="367">
        <f>IF($B$32&lt;$C$3,HLOOKUP($C$32,$C$3:$Z$7,5,0),HLOOKUP($B$32,$C$3:$Z$7,5,0))</f>
        <v>-175.2</v>
      </c>
      <c r="E46" s="367">
        <f>IF($B$32&lt;$C$3,HLOOKUP($C$32,$C$3:$Z$7,5,0),HLOOKUP($B$32,$C$3:$Z$7,5,0))</f>
        <v>-175.2</v>
      </c>
    </row>
    <row r="47" spans="2:38" x14ac:dyDescent="0.25">
      <c r="B47" s="367" t="s">
        <v>201</v>
      </c>
      <c r="C47" s="505">
        <f>SUMPRODUCT('GPH-VOL'!$C$16:$N$16,'GPH-VOL'!$C$20:$N$20)</f>
        <v>3.3703199999999924</v>
      </c>
      <c r="D47" s="505">
        <f>SUMPRODUCT('GPH-VOL'!$O$16:$Z$16,'GPH-VOL'!$O$20:$Z$20)</f>
        <v>-138.78096072000002</v>
      </c>
      <c r="E47" s="505">
        <f>SUMPRODUCT('GPH-VOL'!$AA$16:$AL$16,'GPH-VOL'!$AA$20:$AL$20)</f>
        <v>-122.97599999999998</v>
      </c>
    </row>
    <row r="48" spans="2:38" x14ac:dyDescent="0.25">
      <c r="B48" s="367" t="s">
        <v>56</v>
      </c>
      <c r="C48" s="506">
        <f>IF(C47&gt;0,C47/C43,IF(C47&lt;0,C47/C44,0))</f>
        <v>6.412328767123273E-3</v>
      </c>
      <c r="D48" s="506">
        <f>IF(D47&gt;0,D47/D43,IF(D47&lt;0,D47/D44,0))</f>
        <v>0.26404292374429228</v>
      </c>
      <c r="E48" s="506">
        <f>IF(E47&gt;0,E47/E43,IF(E47&lt;0,E47/E44,0))</f>
        <v>0.23397260273972598</v>
      </c>
    </row>
    <row r="49" spans="2:5" x14ac:dyDescent="0.25">
      <c r="B49" s="367" t="s">
        <v>1576</v>
      </c>
      <c r="C49" s="367">
        <f>IF(C47&gt;0,C43,IF(C47&lt;0,C44,0))</f>
        <v>525.6</v>
      </c>
      <c r="D49" s="367">
        <f>IF(D47&gt;0,D43,IF(D47&lt;0,D44,0))</f>
        <v>-525.6</v>
      </c>
      <c r="E49" s="367">
        <f>IF(E47&gt;0,E43,IF(E47&lt;0,E44,0))</f>
        <v>-525.6</v>
      </c>
    </row>
    <row r="50" spans="2:5" x14ac:dyDescent="0.25">
      <c r="B50" s="367" t="s">
        <v>1577</v>
      </c>
      <c r="C50" s="367">
        <f>IF(C47&gt;0,C45,IF(C47&lt;0,C46,IF(C47=0,C45,0)))</f>
        <v>175.2</v>
      </c>
      <c r="D50" s="367">
        <f t="shared" ref="D50" si="20">IF(D47&gt;0,D45,IF(D47&lt;0,D46,IF(D47=0,D45,0)))</f>
        <v>-175.2</v>
      </c>
      <c r="E50" s="367">
        <f>IF(E47&gt;0,E45,IF(E47&lt;0,E46,IF(E47=0,E45,0)))</f>
        <v>-175.2</v>
      </c>
    </row>
    <row r="51" spans="2:5" x14ac:dyDescent="0.25">
      <c r="B51" s="367" t="s">
        <v>1588</v>
      </c>
      <c r="C51" s="631">
        <f>1- ABS((C50-C47)/C50)</f>
        <v>1.9236986301369829E-2</v>
      </c>
      <c r="D51" s="631">
        <f>1-ABS((D50-D47)/D50)</f>
        <v>0.79212877123287684</v>
      </c>
      <c r="E51" s="631">
        <f>1-ABS((E50-E47)/E50)</f>
        <v>0.70191780821917804</v>
      </c>
    </row>
  </sheetData>
  <mergeCells count="2">
    <mergeCell ref="B1:Z1"/>
    <mergeCell ref="B31:C31"/>
  </mergeCells>
  <conditionalFormatting sqref="C29:BJ29">
    <cfRule type="cellIs" dxfId="85" priority="3" operator="equal">
      <formula>TRUE</formula>
    </cfRule>
    <cfRule type="cellIs" dxfId="84" priority="7" operator="equal">
      <formula>FALSE</formula>
    </cfRule>
  </conditionalFormatting>
  <conditionalFormatting sqref="BK29">
    <cfRule type="cellIs" dxfId="83" priority="4" operator="equal">
      <formula>FALSE</formula>
    </cfRule>
  </conditionalFormatting>
  <conditionalFormatting sqref="B29">
    <cfRule type="cellIs" dxfId="82" priority="1" operator="equal">
      <formula>TRUE</formula>
    </cfRule>
    <cfRule type="cellIs" dxfId="81" priority="2" operator="equal">
      <formula>FALSE</formula>
    </cfRule>
  </conditionalFormatting>
  <pageMargins left="0.7" right="0.7" top="0.75" bottom="0.75" header="0.3" footer="0.3"/>
  <pageSetup paperSize="9" orientation="portrait" r:id="rId1"/>
  <ignoredErrors>
    <ignoredError sqref="C6:BJ6" formula="1"/>
  </ignoredError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">
    <tabColor rgb="FF92D050"/>
  </sheetPr>
  <dimension ref="A1:T102"/>
  <sheetViews>
    <sheetView showGridLines="0" topLeftCell="A40" zoomScaleNormal="100" workbookViewId="0">
      <selection activeCell="H55" sqref="H55"/>
    </sheetView>
  </sheetViews>
  <sheetFormatPr defaultRowHeight="15" x14ac:dyDescent="0.25"/>
  <cols>
    <col min="1" max="1" width="14.42578125" style="2" bestFit="1" customWidth="1"/>
    <col min="2" max="2" width="12.7109375" style="2" bestFit="1" customWidth="1"/>
    <col min="3" max="3" width="13.5703125" style="2" bestFit="1" customWidth="1"/>
    <col min="4" max="4" width="15.140625" style="2" bestFit="1" customWidth="1"/>
    <col min="5" max="5" width="15.140625" style="2" customWidth="1"/>
    <col min="7" max="7" width="10.28515625" customWidth="1"/>
    <col min="8" max="8" width="13.42578125" bestFit="1" customWidth="1"/>
    <col min="15" max="15" width="12.140625" bestFit="1" customWidth="1"/>
    <col min="16" max="16" width="12.5703125" bestFit="1" customWidth="1"/>
    <col min="17" max="18" width="11.5703125" bestFit="1" customWidth="1"/>
    <col min="19" max="19" width="15.5703125" customWidth="1"/>
    <col min="20" max="20" width="14.85546875" bestFit="1" customWidth="1"/>
    <col min="21" max="27" width="9.140625" customWidth="1"/>
    <col min="30" max="30" width="0" hidden="1" customWidth="1"/>
  </cols>
  <sheetData>
    <row r="1" spans="1:20" x14ac:dyDescent="0.25">
      <c r="A1" s="99" t="s">
        <v>297</v>
      </c>
      <c r="B1" s="99" t="s">
        <v>172</v>
      </c>
      <c r="C1" s="99" t="s">
        <v>301</v>
      </c>
      <c r="D1" s="99" t="s">
        <v>298</v>
      </c>
      <c r="E1" s="281" t="s">
        <v>283</v>
      </c>
      <c r="S1" s="148"/>
    </row>
    <row r="2" spans="1:20" x14ac:dyDescent="0.25">
      <c r="A2" s="149">
        <v>1E-4</v>
      </c>
      <c r="B2" s="148">
        <v>21152991.486505579</v>
      </c>
      <c r="C2" s="148">
        <v>8015923.4496369921</v>
      </c>
      <c r="D2" s="148"/>
      <c r="E2" s="282"/>
      <c r="F2" s="116"/>
      <c r="O2" s="174" t="s">
        <v>167</v>
      </c>
      <c r="P2" s="183">
        <f>+D3</f>
        <v>7226070.4381674267</v>
      </c>
      <c r="Q2" s="117"/>
      <c r="R2" s="177" t="s">
        <v>240</v>
      </c>
      <c r="S2" s="178">
        <f>'PAINEL DE CONTROLE'!O23</f>
        <v>30000000</v>
      </c>
    </row>
    <row r="3" spans="1:20" x14ac:dyDescent="0.25">
      <c r="A3" s="149">
        <v>0.01</v>
      </c>
      <c r="B3" s="148">
        <v>17248397.658715528</v>
      </c>
      <c r="C3" s="148">
        <v>4111329.6218469404</v>
      </c>
      <c r="D3" s="148">
        <f>SMALL($B$3:$B$101,ROW(B1))</f>
        <v>7226070.4381674267</v>
      </c>
      <c r="E3" s="282">
        <f t="shared" ref="E3:E66" si="0">D3-$P$7</f>
        <v>-4461631.2126006931</v>
      </c>
      <c r="F3" s="116"/>
      <c r="O3" s="115" t="s">
        <v>168</v>
      </c>
      <c r="P3" s="184">
        <f>+D101</f>
        <v>17248397.658715528</v>
      </c>
      <c r="R3" s="179" t="s">
        <v>241</v>
      </c>
      <c r="S3" s="180">
        <f ca="1">IF(RESULTADO!D154="LONG",RESULTADO!O149,RESULTADO!O150)</f>
        <v>3400335.8816033863</v>
      </c>
    </row>
    <row r="4" spans="1:20" x14ac:dyDescent="0.25">
      <c r="A4" s="149">
        <v>0.02</v>
      </c>
      <c r="B4" s="148">
        <v>16984852.731601216</v>
      </c>
      <c r="C4" s="148">
        <v>3847784.6947326288</v>
      </c>
      <c r="D4" s="148">
        <f t="shared" ref="D4:D67" si="1">SMALL($B$3:$B$101,ROW(B2))</f>
        <v>8223741.7467958815</v>
      </c>
      <c r="E4" s="282">
        <f t="shared" si="0"/>
        <v>-3463959.9039722383</v>
      </c>
      <c r="F4" s="116"/>
      <c r="O4" s="115" t="s">
        <v>169</v>
      </c>
      <c r="P4" s="184">
        <f>P3-P2</f>
        <v>10022327.220548101</v>
      </c>
      <c r="R4" s="181" t="s">
        <v>242</v>
      </c>
      <c r="S4" s="182">
        <f ca="1">S3/S2</f>
        <v>0.11334452938677954</v>
      </c>
    </row>
    <row r="5" spans="1:20" x14ac:dyDescent="0.25">
      <c r="A5" s="149">
        <v>0.03</v>
      </c>
      <c r="B5" s="148">
        <v>16768290.971016437</v>
      </c>
      <c r="C5" s="148">
        <v>3631222.9341478497</v>
      </c>
      <c r="D5" s="148">
        <f t="shared" si="1"/>
        <v>8786085.9867021758</v>
      </c>
      <c r="E5" s="282">
        <f t="shared" si="0"/>
        <v>-2901615.664065944</v>
      </c>
      <c r="F5" s="116"/>
      <c r="O5" s="115" t="s">
        <v>170</v>
      </c>
      <c r="P5" s="185">
        <v>20</v>
      </c>
    </row>
    <row r="6" spans="1:20" x14ac:dyDescent="0.25">
      <c r="A6" s="149">
        <v>0.04</v>
      </c>
      <c r="B6" s="148">
        <v>16537403.918472048</v>
      </c>
      <c r="C6" s="148">
        <v>3400335.8816034608</v>
      </c>
      <c r="D6" s="148">
        <f t="shared" si="1"/>
        <v>9179110.3898670636</v>
      </c>
      <c r="E6" s="282">
        <f>D6-$P$7</f>
        <v>-2508591.2609010562</v>
      </c>
      <c r="F6" s="116"/>
      <c r="O6" s="115" t="s">
        <v>171</v>
      </c>
      <c r="P6" s="161">
        <f>P4/P5</f>
        <v>501116.36102740502</v>
      </c>
      <c r="S6" s="176" t="s">
        <v>239</v>
      </c>
    </row>
    <row r="7" spans="1:20" x14ac:dyDescent="0.25">
      <c r="A7" s="149">
        <v>0.05</v>
      </c>
      <c r="B7" s="148">
        <v>16355346.763723586</v>
      </c>
      <c r="C7" s="148">
        <v>3218278.7268549986</v>
      </c>
      <c r="D7" s="148">
        <f t="shared" si="1"/>
        <v>9482169.555703219</v>
      </c>
      <c r="E7" s="282">
        <f>D7-$P$7</f>
        <v>-2205532.0950649008</v>
      </c>
      <c r="F7" s="116"/>
      <c r="O7" s="187" t="s">
        <v>231</v>
      </c>
      <c r="P7" s="186">
        <f>AVERAGE(B2:B102)</f>
        <v>11687701.65076812</v>
      </c>
      <c r="S7" s="174">
        <f>MATCH(P7,O10:O30,1)</f>
        <v>9</v>
      </c>
    </row>
    <row r="8" spans="1:20" x14ac:dyDescent="0.25">
      <c r="A8" s="149">
        <v>0.06</v>
      </c>
      <c r="B8" s="148">
        <v>16184243.683576763</v>
      </c>
      <c r="C8" s="148">
        <v>3047175.6467081755</v>
      </c>
      <c r="D8" s="148">
        <f t="shared" si="1"/>
        <v>9729558.2061313074</v>
      </c>
      <c r="E8" s="282">
        <f t="shared" si="0"/>
        <v>-1958143.4446368124</v>
      </c>
      <c r="F8" s="116"/>
      <c r="S8" s="175">
        <f ca="1">OFFSET($O$9,$S$7+1,0)</f>
        <v>11736117.687414069</v>
      </c>
    </row>
    <row r="9" spans="1:20" x14ac:dyDescent="0.25">
      <c r="A9" s="149">
        <v>7.0000000000000007E-2</v>
      </c>
      <c r="B9" s="148">
        <v>16025108.313556634</v>
      </c>
      <c r="C9" s="148">
        <v>2888040.2766880468</v>
      </c>
      <c r="D9" s="148">
        <f t="shared" si="1"/>
        <v>9939177.8289406262</v>
      </c>
      <c r="E9" s="282">
        <f t="shared" si="0"/>
        <v>-1748523.8218274936</v>
      </c>
      <c r="F9" s="116"/>
      <c r="N9" s="159" t="s">
        <v>211</v>
      </c>
      <c r="O9" s="160" t="s">
        <v>236</v>
      </c>
      <c r="P9" s="160" t="s">
        <v>210</v>
      </c>
      <c r="Q9" s="160" t="s">
        <v>306</v>
      </c>
      <c r="R9" s="160" t="s">
        <v>173</v>
      </c>
      <c r="S9" s="173" t="s">
        <v>232</v>
      </c>
      <c r="T9" s="176" t="s">
        <v>302</v>
      </c>
    </row>
    <row r="10" spans="1:20" x14ac:dyDescent="0.25">
      <c r="A10" s="149">
        <v>0.08</v>
      </c>
      <c r="B10" s="148">
        <v>15869552.383159574</v>
      </c>
      <c r="C10" s="148">
        <v>2732484.346290987</v>
      </c>
      <c r="D10" s="148">
        <f t="shared" si="1"/>
        <v>10121536.929480491</v>
      </c>
      <c r="E10" s="282">
        <f t="shared" si="0"/>
        <v>-1566164.7212876286</v>
      </c>
      <c r="F10" s="116"/>
      <c r="N10" s="163">
        <v>0</v>
      </c>
      <c r="O10" s="148">
        <f>P2</f>
        <v>7226070.4381674267</v>
      </c>
      <c r="P10" s="164">
        <f>ROUND(O10*100/100000,0)</f>
        <v>7226</v>
      </c>
      <c r="Q10" s="165">
        <f>INDEX($A$2:$A$102,MATCH(O10,$D$2:$D$102,1),1)</f>
        <v>0.01</v>
      </c>
      <c r="R10" s="2">
        <f>IF(COUNTIF($B$2:$B$101,"&lt;="&amp;O10)&lt;1,0.1,COUNTIF($B$2:$B$101,"&lt;="&amp;O10))</f>
        <v>1</v>
      </c>
      <c r="S10" s="166" t="str">
        <f t="shared" ref="S10:S31" ca="1" si="2">IF(O10=$S$8,O10,"")</f>
        <v/>
      </c>
      <c r="T10" s="115" t="str">
        <f ca="1">IF(ROUND(O10,0)=ROUND($S$8,0),R10,"")</f>
        <v/>
      </c>
    </row>
    <row r="11" spans="1:20" x14ac:dyDescent="0.25">
      <c r="A11" s="149">
        <v>0.09</v>
      </c>
      <c r="B11" s="148">
        <v>15731545.37246583</v>
      </c>
      <c r="C11" s="148">
        <v>2594477.3355972432</v>
      </c>
      <c r="D11" s="148">
        <f t="shared" si="1"/>
        <v>10283323.331799388</v>
      </c>
      <c r="E11" s="282">
        <f t="shared" si="0"/>
        <v>-1404378.3189687319</v>
      </c>
      <c r="F11" s="116"/>
      <c r="N11" s="163">
        <v>1</v>
      </c>
      <c r="O11" s="147">
        <f t="shared" ref="O11:O18" si="3">IF(ROUND(O10+$P$6,2)&gt;ROUND($P$3,2),"",O10+$P$6)</f>
        <v>7727186.7991948314</v>
      </c>
      <c r="P11" s="164">
        <f t="shared" ref="P11:P30" si="4">ROUND(O11*100/100000,0)</f>
        <v>7727</v>
      </c>
      <c r="Q11" s="165">
        <f t="shared" ref="Q11:Q30" si="5">INDEX($A$2:$A$102,MATCH(O11,$D$2:$D$102,1),1)</f>
        <v>0.01</v>
      </c>
      <c r="R11" s="148">
        <f>IF(COUNTIF($B$2:$B$101,"&lt;="&amp;O11)-SUM($R$10:R10)&lt;1,0.1,COUNTIF($B$2:$B$101,"&lt;="&amp;O11)-SUM($R$10:R10))</f>
        <v>0.1</v>
      </c>
      <c r="S11" s="166" t="str">
        <f t="shared" ca="1" si="2"/>
        <v/>
      </c>
      <c r="T11" s="115" t="str">
        <f t="shared" ref="T11:T30" ca="1" si="6">IF(ROUND(O11,0)=ROUND($S$8,0),R11,"")</f>
        <v/>
      </c>
    </row>
    <row r="12" spans="1:20" x14ac:dyDescent="0.25">
      <c r="A12" s="149">
        <v>0.1</v>
      </c>
      <c r="B12" s="148">
        <v>15607234.931868795</v>
      </c>
      <c r="C12" s="148">
        <v>2470166.8950002082</v>
      </c>
      <c r="D12" s="148">
        <f t="shared" si="1"/>
        <v>10429053.167216921</v>
      </c>
      <c r="E12" s="282">
        <f t="shared" si="0"/>
        <v>-1258648.4835511986</v>
      </c>
      <c r="F12" s="116"/>
      <c r="N12" s="163">
        <v>2</v>
      </c>
      <c r="O12" s="147">
        <f t="shared" si="3"/>
        <v>8228303.1602222361</v>
      </c>
      <c r="P12" s="164">
        <f t="shared" si="4"/>
        <v>8228</v>
      </c>
      <c r="Q12" s="165">
        <f t="shared" si="5"/>
        <v>0.02</v>
      </c>
      <c r="R12" s="148">
        <f>IF(COUNTIF($B$2:$B$101,"&lt;="&amp;O12)-SUM($R$10:R11)&lt;1,0.1,COUNTIF($B$2:$B$101,"&lt;="&amp;O12)-SUM($R$10:R11))</f>
        <v>0.1</v>
      </c>
      <c r="S12" s="166" t="str">
        <f t="shared" ca="1" si="2"/>
        <v/>
      </c>
      <c r="T12" s="115" t="str">
        <f t="shared" ca="1" si="6"/>
        <v/>
      </c>
    </row>
    <row r="13" spans="1:20" x14ac:dyDescent="0.25">
      <c r="A13" s="149">
        <v>0.11</v>
      </c>
      <c r="B13" s="148">
        <v>15493898.737820446</v>
      </c>
      <c r="C13" s="148">
        <v>2356830.7009518594</v>
      </c>
      <c r="D13" s="148">
        <f t="shared" si="1"/>
        <v>10561917.831087425</v>
      </c>
      <c r="E13" s="282">
        <f t="shared" si="0"/>
        <v>-1125783.8196806945</v>
      </c>
      <c r="F13" s="116"/>
      <c r="N13" s="163">
        <v>3</v>
      </c>
      <c r="O13" s="147">
        <f>IF(ROUND(O12+$P$6,2)&gt;ROUND($P$3,2),"",O12+$P$6)</f>
        <v>8729419.5212496407</v>
      </c>
      <c r="P13" s="164">
        <f t="shared" si="4"/>
        <v>8729</v>
      </c>
      <c r="Q13" s="165">
        <f t="shared" si="5"/>
        <v>0.02</v>
      </c>
      <c r="R13" s="148">
        <f>IF(COUNTIF($B$2:$B$101,"&lt;="&amp;O13)-SUM($R$10:R12)&lt;1,0.1,COUNTIF($B$2:$B$101,"&lt;="&amp;O13)-SUM($R$10:R12))</f>
        <v>0.1</v>
      </c>
      <c r="S13" s="166" t="str">
        <f ca="1">IF(O13=$S$8,O13,"")</f>
        <v/>
      </c>
      <c r="T13" s="115" t="str">
        <f t="shared" ca="1" si="6"/>
        <v/>
      </c>
    </row>
    <row r="14" spans="1:20" x14ac:dyDescent="0.25">
      <c r="A14" s="149">
        <v>0.12</v>
      </c>
      <c r="B14" s="148">
        <v>15389499.899054609</v>
      </c>
      <c r="C14" s="148">
        <v>2252431.8621860221</v>
      </c>
      <c r="D14" s="148">
        <f t="shared" si="1"/>
        <v>10684255.240777111</v>
      </c>
      <c r="E14" s="282">
        <f t="shared" si="0"/>
        <v>-1003446.4099910092</v>
      </c>
      <c r="F14" s="116"/>
      <c r="N14" s="163">
        <v>4</v>
      </c>
      <c r="O14" s="147">
        <f t="shared" si="3"/>
        <v>9230535.8822770454</v>
      </c>
      <c r="P14" s="164">
        <f t="shared" si="4"/>
        <v>9231</v>
      </c>
      <c r="Q14" s="165">
        <f t="shared" si="5"/>
        <v>0.04</v>
      </c>
      <c r="R14" s="148">
        <f>IF(COUNTIF($B$2:$B$101,"&lt;="&amp;O14)-SUM($R$10:R13)&lt;1,0.1,COUNTIF($B$2:$B$101,"&lt;="&amp;O14)-SUM($R$10:R13))</f>
        <v>2.6999999999999997</v>
      </c>
      <c r="S14" s="166" t="str">
        <f t="shared" ca="1" si="2"/>
        <v/>
      </c>
      <c r="T14" s="115" t="str">
        <f t="shared" ca="1" si="6"/>
        <v/>
      </c>
    </row>
    <row r="15" spans="1:20" x14ac:dyDescent="0.25">
      <c r="A15" s="149">
        <v>0.13</v>
      </c>
      <c r="B15" s="148">
        <v>15292543.165476896</v>
      </c>
      <c r="C15" s="148">
        <v>2155475.1286083087</v>
      </c>
      <c r="D15" s="148">
        <f t="shared" si="1"/>
        <v>10797828.941594057</v>
      </c>
      <c r="E15" s="282">
        <f t="shared" si="0"/>
        <v>-889872.70917406306</v>
      </c>
      <c r="F15" s="116"/>
      <c r="N15" s="163">
        <v>5</v>
      </c>
      <c r="O15" s="147">
        <f t="shared" si="3"/>
        <v>9731652.2433044501</v>
      </c>
      <c r="P15" s="164">
        <f t="shared" si="4"/>
        <v>9732</v>
      </c>
      <c r="Q15" s="165">
        <f t="shared" si="5"/>
        <v>0.06</v>
      </c>
      <c r="R15" s="148">
        <f>IF(COUNTIF($B$2:$B$101,"&lt;="&amp;O15)-SUM($R$10:R14)&lt;1,0.1,COUNTIF($B$2:$B$101,"&lt;="&amp;O15)-SUM($R$10:R14))</f>
        <v>2</v>
      </c>
      <c r="S15" s="166" t="str">
        <f t="shared" ca="1" si="2"/>
        <v/>
      </c>
      <c r="T15" s="115" t="str">
        <f t="shared" ca="1" si="6"/>
        <v/>
      </c>
    </row>
    <row r="16" spans="1:20" x14ac:dyDescent="0.25">
      <c r="A16" s="149">
        <v>0.14000000000000001</v>
      </c>
      <c r="B16" s="148">
        <v>15201904.359218877</v>
      </c>
      <c r="C16" s="148">
        <v>2064836.3223502897</v>
      </c>
      <c r="D16" s="148">
        <f t="shared" si="1"/>
        <v>10904001.914676957</v>
      </c>
      <c r="E16" s="282">
        <f t="shared" si="0"/>
        <v>-783699.73609116301</v>
      </c>
      <c r="F16" s="116"/>
      <c r="N16" s="163">
        <v>6</v>
      </c>
      <c r="O16" s="147">
        <f t="shared" si="3"/>
        <v>10232768.604331855</v>
      </c>
      <c r="P16" s="164">
        <f t="shared" si="4"/>
        <v>10233</v>
      </c>
      <c r="Q16" s="165">
        <f t="shared" si="5"/>
        <v>0.08</v>
      </c>
      <c r="R16" s="148">
        <f>IF(COUNTIF($B$2:$B$101,"&lt;="&amp;O16)-SUM($R$10:R15)&lt;1,0.1,COUNTIF($B$2:$B$101,"&lt;="&amp;O16)-SUM($R$10:R15))</f>
        <v>2</v>
      </c>
      <c r="S16" s="166" t="str">
        <f ca="1">IF(O16=$S$8,O16,"")</f>
        <v/>
      </c>
      <c r="T16" s="115" t="str">
        <f t="shared" ca="1" si="6"/>
        <v/>
      </c>
    </row>
    <row r="17" spans="1:20" x14ac:dyDescent="0.25">
      <c r="A17" s="149">
        <v>0.15</v>
      </c>
      <c r="B17" s="148">
        <v>15116626.325210471</v>
      </c>
      <c r="C17" s="148">
        <v>1979558.2883418836</v>
      </c>
      <c r="D17" s="148">
        <f t="shared" si="1"/>
        <v>11003849.372077499</v>
      </c>
      <c r="E17" s="282">
        <f t="shared" si="0"/>
        <v>-683852.27869062126</v>
      </c>
      <c r="F17" s="116"/>
      <c r="N17" s="163">
        <v>7</v>
      </c>
      <c r="O17" s="147">
        <f>IF(ROUND(O16+$P$6,2)&gt;ROUND($P$3,2),"",O16+$P$6)</f>
        <v>10733884.965359259</v>
      </c>
      <c r="P17" s="164">
        <f t="shared" si="4"/>
        <v>10734</v>
      </c>
      <c r="Q17" s="165">
        <f t="shared" si="5"/>
        <v>0.12</v>
      </c>
      <c r="R17" s="148">
        <f>IF(COUNTIF($B$2:$B$101,"&lt;="&amp;O17)-SUM($R$10:R16)&lt;1,0.1,COUNTIF($B$2:$B$101,"&lt;="&amp;O17)-SUM($R$10:R16))</f>
        <v>4</v>
      </c>
      <c r="S17" s="166"/>
      <c r="T17" s="115"/>
    </row>
    <row r="18" spans="1:20" x14ac:dyDescent="0.25">
      <c r="A18" s="149">
        <v>0.16</v>
      </c>
      <c r="B18" s="148">
        <v>15034897.468879413</v>
      </c>
      <c r="C18" s="148">
        <v>1897829.4320108257</v>
      </c>
      <c r="D18" s="148">
        <f t="shared" si="1"/>
        <v>11098234.531245587</v>
      </c>
      <c r="E18" s="282">
        <f t="shared" si="0"/>
        <v>-589467.11952253245</v>
      </c>
      <c r="F18" s="116"/>
      <c r="N18" s="163">
        <v>8</v>
      </c>
      <c r="O18" s="147">
        <f t="shared" si="3"/>
        <v>11235001.326386664</v>
      </c>
      <c r="P18" s="164">
        <f t="shared" si="4"/>
        <v>11235</v>
      </c>
      <c r="Q18" s="165">
        <f t="shared" si="5"/>
        <v>0.17</v>
      </c>
      <c r="R18" s="148">
        <f>IF(COUNTIF($B$2:$B$101,"&lt;="&amp;O18)-SUM($R$10:R17)&lt;1,0.1,COUNTIF($B$2:$B$101,"&lt;="&amp;O18)-SUM($R$10:R17))</f>
        <v>5</v>
      </c>
      <c r="S18" s="166" t="str">
        <f t="shared" ca="1" si="2"/>
        <v/>
      </c>
      <c r="T18" s="115" t="str">
        <f t="shared" ca="1" si="6"/>
        <v/>
      </c>
    </row>
    <row r="19" spans="1:20" x14ac:dyDescent="0.25">
      <c r="A19" s="149">
        <v>0.17</v>
      </c>
      <c r="B19" s="148">
        <v>14957289.167090988</v>
      </c>
      <c r="C19" s="148">
        <v>1820221.1302224007</v>
      </c>
      <c r="D19" s="148">
        <f t="shared" si="1"/>
        <v>11187861.038282372</v>
      </c>
      <c r="E19" s="282">
        <f t="shared" si="0"/>
        <v>-499840.61248574778</v>
      </c>
      <c r="F19" s="116"/>
      <c r="N19" s="163">
        <v>9</v>
      </c>
      <c r="O19" s="147">
        <f t="shared" ref="O19:O29" si="7">IF(ROUND(O18+$P$6,2)&gt;ROUND($P$3,2),"",O18+$P$6)</f>
        <v>11736117.687414069</v>
      </c>
      <c r="P19" s="164">
        <f t="shared" si="4"/>
        <v>11736</v>
      </c>
      <c r="Q19" s="165">
        <f t="shared" si="5"/>
        <v>0.24</v>
      </c>
      <c r="R19" s="148">
        <f>IF(COUNTIF($B$2:$B$101,"&lt;="&amp;O19)-SUM($R$10:R18)&lt;1,0.1,COUNTIF($B$2:$B$101,"&lt;="&amp;O19)-SUM($R$10:R18))</f>
        <v>7</v>
      </c>
      <c r="S19" s="166">
        <f t="shared" ca="1" si="2"/>
        <v>11736117.687414069</v>
      </c>
      <c r="T19" s="115">
        <f t="shared" ca="1" si="6"/>
        <v>7</v>
      </c>
    </row>
    <row r="20" spans="1:20" x14ac:dyDescent="0.25">
      <c r="A20" s="149">
        <v>0.18</v>
      </c>
      <c r="B20" s="148">
        <v>14883298.090868844</v>
      </c>
      <c r="C20" s="148">
        <v>1746230.0540002566</v>
      </c>
      <c r="D20" s="148">
        <f t="shared" si="1"/>
        <v>11273310.166286288</v>
      </c>
      <c r="E20" s="282">
        <f t="shared" si="0"/>
        <v>-414391.48448183201</v>
      </c>
      <c r="F20" s="116"/>
      <c r="N20" s="163">
        <v>10</v>
      </c>
      <c r="O20" s="147">
        <f t="shared" si="7"/>
        <v>12237234.048441473</v>
      </c>
      <c r="P20" s="164">
        <f t="shared" si="4"/>
        <v>12237</v>
      </c>
      <c r="Q20" s="165">
        <f t="shared" si="5"/>
        <v>0.32</v>
      </c>
      <c r="R20" s="148">
        <f>IF(COUNTIF($B$2:$B$101,"&lt;="&amp;O20)-SUM($R$10:R19)&lt;1,0.1,COUNTIF($B$2:$B$101,"&lt;="&amp;O20)-SUM($R$10:R19))</f>
        <v>8</v>
      </c>
      <c r="S20" s="166" t="str">
        <f t="shared" ca="1" si="2"/>
        <v/>
      </c>
      <c r="T20" s="115" t="str">
        <f t="shared" ca="1" si="6"/>
        <v/>
      </c>
    </row>
    <row r="21" spans="1:20" x14ac:dyDescent="0.25">
      <c r="A21" s="149">
        <v>0.19</v>
      </c>
      <c r="B21" s="148">
        <v>14812503.509597555</v>
      </c>
      <c r="C21" s="148">
        <v>1675435.4727289677</v>
      </c>
      <c r="D21" s="148">
        <f t="shared" si="1"/>
        <v>11355067.799042853</v>
      </c>
      <c r="E21" s="282">
        <f t="shared" si="0"/>
        <v>-332633.85172526725</v>
      </c>
      <c r="F21" s="116"/>
      <c r="N21" s="163">
        <v>11</v>
      </c>
      <c r="O21" s="147">
        <f t="shared" si="7"/>
        <v>12738350.409468878</v>
      </c>
      <c r="P21" s="164">
        <f t="shared" si="4"/>
        <v>12738</v>
      </c>
      <c r="Q21" s="165">
        <f t="shared" si="5"/>
        <v>0.41</v>
      </c>
      <c r="R21" s="148">
        <f>IF(COUNTIF($B$2:$B$101,"&lt;="&amp;O21)-SUM($R$10:R20)&lt;1,0.1,COUNTIF($B$2:$B$101,"&lt;="&amp;O21)-SUM($R$10:R20))</f>
        <v>9</v>
      </c>
      <c r="S21" s="166" t="str">
        <f t="shared" ca="1" si="2"/>
        <v/>
      </c>
      <c r="T21" s="115" t="str">
        <f t="shared" ca="1" si="6"/>
        <v/>
      </c>
    </row>
    <row r="22" spans="1:20" x14ac:dyDescent="0.25">
      <c r="A22" s="149">
        <v>0.2</v>
      </c>
      <c r="B22" s="148">
        <v>14742428.057989458</v>
      </c>
      <c r="C22" s="148">
        <v>1605360.0211208705</v>
      </c>
      <c r="D22" s="148">
        <f t="shared" si="1"/>
        <v>11433544.388197588</v>
      </c>
      <c r="E22" s="282">
        <f t="shared" si="0"/>
        <v>-254157.26257053204</v>
      </c>
      <c r="F22" s="116"/>
      <c r="N22" s="163">
        <v>12</v>
      </c>
      <c r="O22" s="147">
        <f t="shared" si="7"/>
        <v>13239466.770496283</v>
      </c>
      <c r="P22" s="164">
        <f t="shared" si="4"/>
        <v>13239</v>
      </c>
      <c r="Q22" s="165">
        <f t="shared" si="5"/>
        <v>0.52</v>
      </c>
      <c r="R22" s="148">
        <f>IF(COUNTIF($B$2:$B$101,"&lt;="&amp;O22)-SUM($R$10:R21)&lt;1,0.1,COUNTIF($B$2:$B$101,"&lt;="&amp;O22)-SUM($R$10:R21))</f>
        <v>11</v>
      </c>
      <c r="S22" s="166" t="str">
        <f t="shared" ca="1" si="2"/>
        <v/>
      </c>
      <c r="T22" s="115" t="str">
        <f t="shared" ca="1" si="6"/>
        <v/>
      </c>
    </row>
    <row r="23" spans="1:20" x14ac:dyDescent="0.25">
      <c r="A23" s="149">
        <v>0.21</v>
      </c>
      <c r="B23" s="148">
        <v>14671235.705574699</v>
      </c>
      <c r="C23" s="148">
        <v>1534167.6687061116</v>
      </c>
      <c r="D23" s="148">
        <f t="shared" si="1"/>
        <v>11509089.969467511</v>
      </c>
      <c r="E23" s="282">
        <f t="shared" si="0"/>
        <v>-178611.68130060844</v>
      </c>
      <c r="F23" s="116"/>
      <c r="N23" s="163">
        <v>13</v>
      </c>
      <c r="O23" s="147">
        <f>IF(ROUND(O22+$P$6,2)&gt;ROUND($P$3,2),"",O22+$P$6)</f>
        <v>13740583.131523687</v>
      </c>
      <c r="P23" s="164">
        <f t="shared" si="4"/>
        <v>13741</v>
      </c>
      <c r="Q23" s="165">
        <f t="shared" si="5"/>
        <v>0.62</v>
      </c>
      <c r="R23" s="148">
        <f>IF(COUNTIF($B$2:$B$101,"&lt;="&amp;O23)-SUM($R$10:R22)&lt;1,0.1,COUNTIF($B$2:$B$101,"&lt;="&amp;O23)-SUM($R$10:R22))</f>
        <v>10</v>
      </c>
      <c r="S23" s="166" t="str">
        <f t="shared" ca="1" si="2"/>
        <v/>
      </c>
      <c r="T23" s="115" t="str">
        <f t="shared" ca="1" si="6"/>
        <v/>
      </c>
    </row>
    <row r="24" spans="1:20" x14ac:dyDescent="0.25">
      <c r="A24" s="149">
        <v>0.22</v>
      </c>
      <c r="B24" s="148">
        <v>14602521.72211732</v>
      </c>
      <c r="C24" s="148">
        <v>1465453.6852487326</v>
      </c>
      <c r="D24" s="148">
        <f t="shared" si="1"/>
        <v>11582005.635906173</v>
      </c>
      <c r="E24" s="282">
        <f t="shared" si="0"/>
        <v>-105696.01486194693</v>
      </c>
      <c r="F24" s="116"/>
      <c r="N24" s="163">
        <v>14</v>
      </c>
      <c r="O24" s="147">
        <f t="shared" si="7"/>
        <v>14241699.492551092</v>
      </c>
      <c r="P24" s="164">
        <f t="shared" si="4"/>
        <v>14242</v>
      </c>
      <c r="Q24" s="165">
        <f t="shared" si="5"/>
        <v>0.72</v>
      </c>
      <c r="R24" s="148">
        <f>IF(COUNTIF($B$2:$B$101,"&lt;="&amp;O24)-SUM($R$10:R23)&lt;1,0.1,COUNTIF($B$2:$B$101,"&lt;="&amp;O24)-SUM($R$10:R23))</f>
        <v>10</v>
      </c>
      <c r="S24" s="166" t="str">
        <f t="shared" ca="1" si="2"/>
        <v/>
      </c>
      <c r="T24" s="115" t="str">
        <f t="shared" ca="1" si="6"/>
        <v/>
      </c>
    </row>
    <row r="25" spans="1:20" x14ac:dyDescent="0.25">
      <c r="A25" s="149">
        <v>0.23</v>
      </c>
      <c r="B25" s="148">
        <v>14536040.111229172</v>
      </c>
      <c r="C25" s="148">
        <v>1398972.0743605848</v>
      </c>
      <c r="D25" s="148">
        <f t="shared" si="1"/>
        <v>11652552.425946858</v>
      </c>
      <c r="E25" s="282">
        <f t="shared" si="0"/>
        <v>-35149.224821262062</v>
      </c>
      <c r="F25" s="116"/>
      <c r="N25" s="163">
        <v>15</v>
      </c>
      <c r="O25" s="147">
        <f t="shared" si="7"/>
        <v>14742815.853578497</v>
      </c>
      <c r="P25" s="164">
        <f t="shared" si="4"/>
        <v>14743</v>
      </c>
      <c r="Q25" s="165">
        <f t="shared" si="5"/>
        <v>0.8</v>
      </c>
      <c r="R25" s="148">
        <f>IF(COUNTIF($B$2:$B$101,"&lt;="&amp;O25)-SUM($R$10:R24)&lt;1,0.1,COUNTIF($B$2:$B$101,"&lt;="&amp;O25)-SUM($R$10:R24))</f>
        <v>8</v>
      </c>
      <c r="S25" s="166" t="str">
        <f t="shared" ca="1" si="2"/>
        <v/>
      </c>
      <c r="T25" s="115" t="str">
        <f t="shared" ca="1" si="6"/>
        <v/>
      </c>
    </row>
    <row r="26" spans="1:20" x14ac:dyDescent="0.25">
      <c r="A26" s="149">
        <v>0.24</v>
      </c>
      <c r="B26" s="148">
        <v>14471576.052959621</v>
      </c>
      <c r="C26" s="148">
        <v>1334508.0160910338</v>
      </c>
      <c r="D26" s="148">
        <f t="shared" si="1"/>
        <v>11720958.295226457</v>
      </c>
      <c r="E26" s="282">
        <f t="shared" si="0"/>
        <v>33256.644458336756</v>
      </c>
      <c r="F26" s="116"/>
      <c r="N26" s="163">
        <v>16</v>
      </c>
      <c r="O26" s="147">
        <f t="shared" si="7"/>
        <v>15243932.214605901</v>
      </c>
      <c r="P26" s="164">
        <f t="shared" si="4"/>
        <v>15244</v>
      </c>
      <c r="Q26" s="165">
        <f t="shared" si="5"/>
        <v>0.86</v>
      </c>
      <c r="R26" s="148">
        <f>IF(COUNTIF($B$2:$B$101,"&lt;="&amp;O26)-SUM($R$10:R25)&lt;1,0.1,COUNTIF($B$2:$B$101,"&lt;="&amp;O26)-SUM($R$10:R25))</f>
        <v>6</v>
      </c>
      <c r="S26" s="166" t="str">
        <f t="shared" ca="1" si="2"/>
        <v/>
      </c>
      <c r="T26" s="115" t="str">
        <f t="shared" ca="1" si="6"/>
        <v/>
      </c>
    </row>
    <row r="27" spans="1:20" x14ac:dyDescent="0.25">
      <c r="A27" s="149">
        <v>0.25</v>
      </c>
      <c r="B27" s="148">
        <v>14408940.691323388</v>
      </c>
      <c r="C27" s="148">
        <v>1271872.6544548012</v>
      </c>
      <c r="D27" s="148">
        <f t="shared" si="1"/>
        <v>11787423.647786992</v>
      </c>
      <c r="E27" s="282">
        <f t="shared" si="0"/>
        <v>99721.997018871829</v>
      </c>
      <c r="F27" s="116"/>
      <c r="N27" s="163">
        <v>17</v>
      </c>
      <c r="O27" s="147">
        <f t="shared" si="7"/>
        <v>15745048.575633306</v>
      </c>
      <c r="P27" s="164">
        <f t="shared" si="4"/>
        <v>15745</v>
      </c>
      <c r="Q27" s="165">
        <f t="shared" si="5"/>
        <v>0.91</v>
      </c>
      <c r="R27" s="148">
        <f>IF(COUNTIF($B$2:$B$101,"&lt;="&amp;O27)-SUM($R$10:R26)&lt;1,0.1,COUNTIF($B$2:$B$101,"&lt;="&amp;O27)-SUM($R$10:R26))</f>
        <v>5</v>
      </c>
      <c r="S27" s="166" t="str">
        <f t="shared" ca="1" si="2"/>
        <v/>
      </c>
      <c r="T27" s="115" t="str">
        <f t="shared" ca="1" si="6"/>
        <v/>
      </c>
    </row>
    <row r="28" spans="1:20" x14ac:dyDescent="0.25">
      <c r="A28" s="149">
        <v>0.26</v>
      </c>
      <c r="B28" s="148">
        <v>14347966.955704208</v>
      </c>
      <c r="C28" s="148">
        <v>1210898.9188356213</v>
      </c>
      <c r="D28" s="148">
        <f t="shared" si="1"/>
        <v>11852125.770182315</v>
      </c>
      <c r="E28" s="282">
        <f t="shared" si="0"/>
        <v>164424.11941419542</v>
      </c>
      <c r="F28" s="116"/>
      <c r="N28" s="163">
        <v>18</v>
      </c>
      <c r="O28" s="147">
        <f t="shared" si="7"/>
        <v>16246164.936660711</v>
      </c>
      <c r="P28" s="164">
        <f t="shared" si="4"/>
        <v>16246</v>
      </c>
      <c r="Q28" s="165">
        <f t="shared" si="5"/>
        <v>0.94</v>
      </c>
      <c r="R28" s="148">
        <f>IF(COUNTIF($B$2:$B$101,"&lt;="&amp;O28)-SUM($R$10:R27)&lt;1,0.1,COUNTIF($B$2:$B$101,"&lt;="&amp;O28)-SUM($R$10:R27))</f>
        <v>3</v>
      </c>
      <c r="S28" s="166" t="str">
        <f t="shared" ca="1" si="2"/>
        <v/>
      </c>
      <c r="T28" s="115" t="str">
        <f t="shared" ca="1" si="6"/>
        <v/>
      </c>
    </row>
    <row r="29" spans="1:20" x14ac:dyDescent="0.25">
      <c r="A29" s="149">
        <v>0.27</v>
      </c>
      <c r="B29" s="148">
        <v>14288506.178886307</v>
      </c>
      <c r="C29" s="148">
        <v>1151438.1420177203</v>
      </c>
      <c r="D29" s="148">
        <f t="shared" si="1"/>
        <v>11915222.420245213</v>
      </c>
      <c r="E29" s="282">
        <f t="shared" si="0"/>
        <v>227520.76947709359</v>
      </c>
      <c r="F29" s="116"/>
      <c r="N29" s="163">
        <v>19</v>
      </c>
      <c r="O29" s="147">
        <f t="shared" si="7"/>
        <v>16747281.297688115</v>
      </c>
      <c r="P29" s="164">
        <f t="shared" si="4"/>
        <v>16747</v>
      </c>
      <c r="Q29" s="165">
        <f t="shared" si="5"/>
        <v>0.96</v>
      </c>
      <c r="R29" s="148">
        <f>IF(COUNTIF($B$2:$B$101,"&lt;="&amp;O29)-SUM($R$10:R28)&lt;1,0.1,COUNTIF($B$2:$B$101,"&lt;="&amp;O29)-SUM($R$10:R28))</f>
        <v>2</v>
      </c>
      <c r="S29" s="166" t="str">
        <f t="shared" ca="1" si="2"/>
        <v/>
      </c>
      <c r="T29" s="115" t="str">
        <f t="shared" ca="1" si="6"/>
        <v/>
      </c>
    </row>
    <row r="30" spans="1:20" x14ac:dyDescent="0.25">
      <c r="A30" s="149">
        <v>0.28000000000000003</v>
      </c>
      <c r="B30" s="148">
        <v>14230425.335523896</v>
      </c>
      <c r="C30" s="148">
        <v>1093357.2986553088</v>
      </c>
      <c r="D30" s="148">
        <f t="shared" si="1"/>
        <v>11976854.757478548</v>
      </c>
      <c r="E30" s="282">
        <f t="shared" si="0"/>
        <v>289153.10671042837</v>
      </c>
      <c r="F30" s="116"/>
      <c r="N30" s="167">
        <v>20</v>
      </c>
      <c r="O30" s="168">
        <f>+P3</f>
        <v>17248397.658715528</v>
      </c>
      <c r="P30" s="169">
        <f t="shared" si="4"/>
        <v>17248</v>
      </c>
      <c r="Q30" s="170">
        <f t="shared" si="5"/>
        <v>0.99</v>
      </c>
      <c r="R30" s="171">
        <f>IF(COUNTIF($B$2:$B$101,"&lt;="&amp;O30)-SUM($R$10:R29)&lt;1,0.1,COUNTIF($B$2:$B$101,"&lt;="&amp;O30)-SUM($R$10:R29))</f>
        <v>3</v>
      </c>
      <c r="S30" s="172" t="str">
        <f t="shared" ca="1" si="2"/>
        <v/>
      </c>
      <c r="T30" s="187" t="str">
        <f t="shared" ca="1" si="6"/>
        <v/>
      </c>
    </row>
    <row r="31" spans="1:20" x14ac:dyDescent="0.25">
      <c r="A31" s="149">
        <v>0.28999999999999998</v>
      </c>
      <c r="B31" s="148">
        <v>14173604.768597556</v>
      </c>
      <c r="C31" s="148">
        <v>1036536.7317289691</v>
      </c>
      <c r="D31" s="148">
        <f t="shared" si="1"/>
        <v>12037149.755620021</v>
      </c>
      <c r="E31" s="282">
        <f t="shared" si="0"/>
        <v>349448.10485190153</v>
      </c>
      <c r="F31" s="116"/>
      <c r="N31" s="2"/>
      <c r="O31" s="147"/>
      <c r="P31" s="150">
        <f t="shared" ref="P31" si="8">ROUND(O31/1000000,0)*1000</f>
        <v>0</v>
      </c>
      <c r="Q31" s="151" t="e">
        <f>INDEX($A$2:$A$102,MATCH(O31,$D$2:$D$102,1),1)</f>
        <v>#N/A</v>
      </c>
      <c r="R31" s="148"/>
      <c r="S31" s="332" t="str">
        <f t="shared" ca="1" si="2"/>
        <v/>
      </c>
    </row>
    <row r="32" spans="1:20" x14ac:dyDescent="0.25">
      <c r="A32" s="149">
        <v>0.3</v>
      </c>
      <c r="B32" s="148">
        <v>14117936.303161442</v>
      </c>
      <c r="C32" s="148">
        <v>980868.26629285514</v>
      </c>
      <c r="D32" s="148">
        <f t="shared" si="1"/>
        <v>12096222.204234665</v>
      </c>
      <c r="E32" s="282">
        <f t="shared" si="0"/>
        <v>408520.55346654542</v>
      </c>
      <c r="F32" s="116"/>
      <c r="O32" s="2"/>
      <c r="P32" s="149">
        <f ca="1">S4</f>
        <v>0.11334452938677954</v>
      </c>
      <c r="Q32" s="290"/>
      <c r="R32" s="148"/>
    </row>
    <row r="33" spans="1:19" x14ac:dyDescent="0.25">
      <c r="A33" s="149">
        <v>0.31</v>
      </c>
      <c r="B33" s="148">
        <v>14063321.670022774</v>
      </c>
      <c r="C33" s="148">
        <v>926253.63315418735</v>
      </c>
      <c r="D33" s="148">
        <f t="shared" si="1"/>
        <v>12154176.381423049</v>
      </c>
      <c r="E33" s="282">
        <f t="shared" si="0"/>
        <v>466474.73065492883</v>
      </c>
      <c r="F33" s="116"/>
      <c r="N33" s="162" t="s">
        <v>243</v>
      </c>
      <c r="O33" s="3">
        <v>0.1</v>
      </c>
      <c r="P33" s="149">
        <f ca="1">IF($P$32&lt;=O33,$P$32,O33)</f>
        <v>0.1</v>
      </c>
      <c r="Q33" s="151"/>
      <c r="R33" s="148"/>
    </row>
    <row r="34" spans="1:19" x14ac:dyDescent="0.25">
      <c r="A34" s="149">
        <v>0.32</v>
      </c>
      <c r="B34" s="148">
        <v>14009671.179345485</v>
      </c>
      <c r="C34" s="148">
        <v>872603.14247689769</v>
      </c>
      <c r="D34" s="148">
        <f t="shared" si="1"/>
        <v>12211107.461323608</v>
      </c>
      <c r="E34" s="282">
        <f t="shared" si="0"/>
        <v>523405.81055548787</v>
      </c>
      <c r="F34" s="116"/>
      <c r="N34" s="162" t="s">
        <v>243</v>
      </c>
      <c r="O34" s="3">
        <v>0.25</v>
      </c>
      <c r="P34" s="149">
        <f t="shared" ref="P34:P37" ca="1" si="9">IF($P$32&lt;=O34,$P$32,O34)</f>
        <v>0.11334452938677954</v>
      </c>
      <c r="Q34" s="151"/>
      <c r="R34" s="148"/>
    </row>
    <row r="35" spans="1:19" x14ac:dyDescent="0.25">
      <c r="A35" s="149">
        <v>0.33</v>
      </c>
      <c r="B35" s="148">
        <v>13956902.59720253</v>
      </c>
      <c r="C35" s="148">
        <v>819834.56033394299</v>
      </c>
      <c r="D35" s="148">
        <f t="shared" si="1"/>
        <v>12267102.706256023</v>
      </c>
      <c r="E35" s="282">
        <f t="shared" si="0"/>
        <v>579401.05548790284</v>
      </c>
      <c r="F35" s="116"/>
      <c r="N35" s="162" t="s">
        <v>243</v>
      </c>
      <c r="O35" s="3">
        <v>0.5</v>
      </c>
      <c r="P35" s="149">
        <f t="shared" ca="1" si="9"/>
        <v>0.11334452938677954</v>
      </c>
      <c r="Q35" s="151"/>
      <c r="R35" s="148"/>
    </row>
    <row r="36" spans="1:19" x14ac:dyDescent="0.25">
      <c r="A36" s="149">
        <v>0.34</v>
      </c>
      <c r="B36" s="148">
        <v>13904940.187990138</v>
      </c>
      <c r="C36" s="148">
        <v>767872.15112155117</v>
      </c>
      <c r="D36" s="148">
        <f t="shared" si="1"/>
        <v>12322242.482861038</v>
      </c>
      <c r="E36" s="282">
        <f t="shared" si="0"/>
        <v>634540.83209291846</v>
      </c>
      <c r="F36" s="116"/>
      <c r="N36" s="162" t="s">
        <v>243</v>
      </c>
      <c r="O36" s="3">
        <v>0.75</v>
      </c>
      <c r="P36" s="149">
        <f t="shared" ca="1" si="9"/>
        <v>0.11334452938677954</v>
      </c>
      <c r="Q36" s="151"/>
      <c r="R36" s="148"/>
    </row>
    <row r="37" spans="1:19" x14ac:dyDescent="0.25">
      <c r="A37" s="149">
        <v>0.35</v>
      </c>
      <c r="B37" s="148">
        <v>13853713.893185182</v>
      </c>
      <c r="C37" s="148">
        <v>716645.85631659441</v>
      </c>
      <c r="D37" s="148">
        <f t="shared" si="1"/>
        <v>12376601.133559898</v>
      </c>
      <c r="E37" s="282">
        <f t="shared" si="0"/>
        <v>688899.4827917777</v>
      </c>
      <c r="F37" s="116"/>
      <c r="N37" s="162" t="s">
        <v>243</v>
      </c>
      <c r="O37" s="3">
        <v>0.9</v>
      </c>
      <c r="P37" s="149">
        <f t="shared" ca="1" si="9"/>
        <v>0.11334452938677954</v>
      </c>
      <c r="Q37" s="151"/>
      <c r="R37" s="148"/>
    </row>
    <row r="38" spans="1:19" x14ac:dyDescent="0.25">
      <c r="A38" s="149">
        <v>0.36</v>
      </c>
      <c r="B38" s="148">
        <v>13803158.622770594</v>
      </c>
      <c r="C38" s="148">
        <v>666090.5859020073</v>
      </c>
      <c r="D38" s="148">
        <f t="shared" si="1"/>
        <v>12430247.728456475</v>
      </c>
      <c r="E38" s="282">
        <f t="shared" si="0"/>
        <v>742546.077688355</v>
      </c>
      <c r="F38" s="116"/>
      <c r="N38" s="2"/>
      <c r="O38" s="147"/>
      <c r="P38" s="150"/>
      <c r="Q38" s="151"/>
      <c r="R38" s="148"/>
      <c r="S38" s="149"/>
    </row>
    <row r="39" spans="1:19" x14ac:dyDescent="0.25">
      <c r="A39" s="149">
        <v>0.37</v>
      </c>
      <c r="B39" s="148">
        <v>13753213.640199238</v>
      </c>
      <c r="C39" s="148">
        <v>616145.6033306513</v>
      </c>
      <c r="D39" s="148">
        <f t="shared" si="1"/>
        <v>12483246.717981182</v>
      </c>
      <c r="E39" s="282">
        <f t="shared" si="0"/>
        <v>795545.0672130622</v>
      </c>
      <c r="F39" s="116"/>
      <c r="N39" s="2"/>
      <c r="O39" s="147"/>
      <c r="P39" s="150"/>
      <c r="Q39" s="151"/>
      <c r="R39" s="148"/>
      <c r="S39" s="149"/>
    </row>
    <row r="40" spans="1:19" x14ac:dyDescent="0.25">
      <c r="A40" s="149">
        <v>0.38</v>
      </c>
      <c r="B40" s="148">
        <v>13703822.025328688</v>
      </c>
      <c r="C40" s="148">
        <v>566753.98846010119</v>
      </c>
      <c r="D40" s="148">
        <f t="shared" si="1"/>
        <v>12535658.502796471</v>
      </c>
      <c r="E40" s="282">
        <f t="shared" si="0"/>
        <v>847956.85202835128</v>
      </c>
      <c r="F40" s="116"/>
      <c r="N40" s="2"/>
      <c r="O40" s="147"/>
      <c r="P40" s="150"/>
      <c r="Q40" s="151"/>
      <c r="R40" s="148"/>
      <c r="S40" s="149"/>
    </row>
    <row r="41" spans="1:19" x14ac:dyDescent="0.25">
      <c r="A41" s="149">
        <v>0.39</v>
      </c>
      <c r="B41" s="148">
        <v>13654930.202568296</v>
      </c>
      <c r="C41" s="148">
        <v>517862.16569970921</v>
      </c>
      <c r="D41" s="148">
        <f t="shared" si="1"/>
        <v>12587539.934502212</v>
      </c>
      <c r="E41" s="282">
        <f t="shared" si="0"/>
        <v>899838.28373409249</v>
      </c>
      <c r="F41" s="116"/>
      <c r="S41" s="148"/>
    </row>
    <row r="42" spans="1:19" x14ac:dyDescent="0.25">
      <c r="A42" s="149">
        <v>0.4</v>
      </c>
      <c r="B42" s="148">
        <v>13606487.523709219</v>
      </c>
      <c r="C42" s="148">
        <v>469419.48684063181</v>
      </c>
      <c r="D42" s="148">
        <f t="shared" si="1"/>
        <v>12638944.758314788</v>
      </c>
      <c r="E42" s="282">
        <f t="shared" si="0"/>
        <v>951243.1075466685</v>
      </c>
      <c r="F42" s="116"/>
      <c r="S42" s="148"/>
    </row>
    <row r="43" spans="1:19" x14ac:dyDescent="0.25">
      <c r="A43" s="149">
        <v>0.41</v>
      </c>
      <c r="B43" s="148">
        <v>13558445.896684771</v>
      </c>
      <c r="C43" s="148">
        <v>421377.85981618427</v>
      </c>
      <c r="D43" s="148">
        <f t="shared" si="1"/>
        <v>12689924.007006699</v>
      </c>
      <c r="E43" s="282">
        <f t="shared" si="0"/>
        <v>1002222.3562385794</v>
      </c>
      <c r="F43" s="116"/>
      <c r="S43" s="148"/>
    </row>
    <row r="44" spans="1:19" x14ac:dyDescent="0.25">
      <c r="A44" s="149">
        <v>0.42</v>
      </c>
      <c r="B44" s="148">
        <v>13510759.452932928</v>
      </c>
      <c r="C44" s="148">
        <v>373691.41606434062</v>
      </c>
      <c r="D44" s="148">
        <f t="shared" si="1"/>
        <v>12740526.353884369</v>
      </c>
      <c r="E44" s="282">
        <f t="shared" si="0"/>
        <v>1052824.7031162493</v>
      </c>
      <c r="F44" s="116"/>
      <c r="S44" s="148"/>
    </row>
    <row r="45" spans="1:19" x14ac:dyDescent="0.25">
      <c r="A45" s="149">
        <v>0.43</v>
      </c>
      <c r="B45" s="148">
        <v>13463384.247175967</v>
      </c>
      <c r="C45" s="148">
        <v>326316.21030738018</v>
      </c>
      <c r="D45" s="148">
        <f t="shared" si="1"/>
        <v>12790798.431365937</v>
      </c>
      <c r="E45" s="282">
        <f t="shared" si="0"/>
        <v>1103096.7805978172</v>
      </c>
      <c r="F45" s="116"/>
      <c r="S45" s="148"/>
    </row>
    <row r="46" spans="1:19" x14ac:dyDescent="0.25">
      <c r="A46" s="149">
        <v>0.44</v>
      </c>
      <c r="B46" s="148">
        <v>13416277.98435476</v>
      </c>
      <c r="C46" s="148">
        <v>279209.94748617336</v>
      </c>
      <c r="D46" s="148">
        <f t="shared" si="1"/>
        <v>12840785.120744452</v>
      </c>
      <c r="E46" s="282">
        <f t="shared" si="0"/>
        <v>1153083.469976332</v>
      </c>
      <c r="F46" s="116"/>
      <c r="S46" s="148"/>
    </row>
    <row r="47" spans="1:19" x14ac:dyDescent="0.25">
      <c r="A47" s="149">
        <v>0.45</v>
      </c>
      <c r="B47" s="148">
        <v>13369399.769196922</v>
      </c>
      <c r="C47" s="148">
        <v>232331.73232833482</v>
      </c>
      <c r="D47" s="148">
        <f t="shared" si="1"/>
        <v>12890529.81793276</v>
      </c>
      <c r="E47" s="282">
        <f t="shared" si="0"/>
        <v>1202828.1671646405</v>
      </c>
      <c r="F47" s="116"/>
      <c r="S47" s="148"/>
    </row>
    <row r="48" spans="1:19" x14ac:dyDescent="0.25">
      <c r="A48" s="149">
        <v>0.46</v>
      </c>
      <c r="B48" s="148">
        <v>13322709.874496499</v>
      </c>
      <c r="C48" s="148">
        <v>185641.83762791194</v>
      </c>
      <c r="D48" s="148">
        <f t="shared" si="1"/>
        <v>12940074.679353064</v>
      </c>
      <c r="E48" s="282">
        <f t="shared" si="0"/>
        <v>1252373.0285849441</v>
      </c>
      <c r="F48" s="116"/>
      <c r="S48" s="148"/>
    </row>
    <row r="49" spans="1:19" x14ac:dyDescent="0.25">
      <c r="A49" s="149">
        <v>0.47</v>
      </c>
      <c r="B49" s="148">
        <v>13276169.524660533</v>
      </c>
      <c r="C49" s="148">
        <v>139101.48779194616</v>
      </c>
      <c r="D49" s="148">
        <f t="shared" si="1"/>
        <v>12989460.851625886</v>
      </c>
      <c r="E49" s="282">
        <f t="shared" si="0"/>
        <v>1301759.200857766</v>
      </c>
      <c r="F49" s="116"/>
      <c r="G49" s="74" t="s">
        <v>320</v>
      </c>
      <c r="H49" s="630">
        <f>ROUND(SUMIFS(RESULTADO!$C$91:$BJ$91,RESULTADO!$C$81:$BJ$81,"&gt;="&amp;RESULTADO!$F$148),0)/1000</f>
        <v>-271.03500000000003</v>
      </c>
      <c r="I49" s="158">
        <f>H49/$H$52</f>
        <v>1.0488970588235296</v>
      </c>
      <c r="S49" s="148"/>
    </row>
    <row r="50" spans="1:19" x14ac:dyDescent="0.25">
      <c r="A50" s="149">
        <v>0.48</v>
      </c>
      <c r="B50" s="148">
        <v>13229740.69145795</v>
      </c>
      <c r="C50" s="148">
        <v>92672.654589362442</v>
      </c>
      <c r="D50" s="148">
        <f t="shared" si="1"/>
        <v>13038728.688310632</v>
      </c>
      <c r="E50" s="282">
        <f t="shared" si="0"/>
        <v>1351027.0375425126</v>
      </c>
      <c r="F50" s="116"/>
      <c r="G50" s="74" t="s">
        <v>92</v>
      </c>
      <c r="H50" s="318">
        <f>SUMIFS(RESULTADO!$C$90:$Z$90,RESULTADO!$C$81:$Z$81,"&gt;="&amp;RESULTADO!$F$148)/1000</f>
        <v>12.648</v>
      </c>
      <c r="I50" s="158">
        <f>H50/$H$52</f>
        <v>-4.8947368421052635E-2</v>
      </c>
      <c r="S50" s="148"/>
    </row>
    <row r="51" spans="1:19" x14ac:dyDescent="0.25">
      <c r="A51" s="149">
        <v>0.49</v>
      </c>
      <c r="B51" s="148">
        <v>13183385.899202056</v>
      </c>
      <c r="C51" s="148">
        <v>46317.862333469093</v>
      </c>
      <c r="D51" s="148">
        <f t="shared" si="1"/>
        <v>13087917.956635648</v>
      </c>
      <c r="E51" s="282">
        <f t="shared" si="0"/>
        <v>1400216.3058675285</v>
      </c>
      <c r="F51" s="116"/>
      <c r="G51" s="74" t="s">
        <v>321</v>
      </c>
      <c r="H51" s="318">
        <f>SUMIFS(RESULTADO!$C$92:$Z$92,RESULTADO!$C$81:$Z$81,"&gt;="&amp;RESULTADO!$F$148)</f>
        <v>0</v>
      </c>
      <c r="I51" s="158">
        <f>H51/$H$52</f>
        <v>0</v>
      </c>
      <c r="S51" s="148"/>
    </row>
    <row r="52" spans="1:19" x14ac:dyDescent="0.25">
      <c r="A52" s="149">
        <v>0.5</v>
      </c>
      <c r="B52" s="148">
        <v>13137068.036868621</v>
      </c>
      <c r="C52" s="148">
        <v>3.3527612686157227E-8</v>
      </c>
      <c r="D52" s="148">
        <f t="shared" si="1"/>
        <v>13137068.036868621</v>
      </c>
      <c r="E52" s="282">
        <f t="shared" si="0"/>
        <v>1449366.3861005008</v>
      </c>
      <c r="F52" s="116"/>
      <c r="H52" s="341">
        <f>ROUND((SUM(H49:H51)),1)</f>
        <v>-258.39999999999998</v>
      </c>
      <c r="S52" s="148"/>
    </row>
    <row r="53" spans="1:19" x14ac:dyDescent="0.25">
      <c r="A53" s="149">
        <v>0.51</v>
      </c>
      <c r="B53" s="148">
        <v>13087917.956635648</v>
      </c>
      <c r="C53" s="148">
        <v>-49150.080232938752</v>
      </c>
      <c r="D53" s="148">
        <f t="shared" si="1"/>
        <v>13183385.899202056</v>
      </c>
      <c r="E53" s="282">
        <f t="shared" si="0"/>
        <v>1495684.2484339364</v>
      </c>
      <c r="F53" s="116"/>
      <c r="H53" s="341">
        <f>ROUND((RESULTADO!D151+RESULTADO!D152+RESULTADO!D153)/1000,1)</f>
        <v>-258.39999999999998</v>
      </c>
      <c r="S53" s="148"/>
    </row>
    <row r="54" spans="1:19" x14ac:dyDescent="0.25">
      <c r="A54" s="149">
        <v>0.52</v>
      </c>
      <c r="B54" s="148">
        <v>13038728.688310632</v>
      </c>
      <c r="C54" s="148">
        <v>-98339.348557954654</v>
      </c>
      <c r="D54" s="148">
        <f t="shared" si="1"/>
        <v>13229740.69145795</v>
      </c>
      <c r="E54" s="282">
        <f t="shared" si="0"/>
        <v>1542039.0406898297</v>
      </c>
      <c r="F54" s="116"/>
      <c r="H54" t="b">
        <f>ROUND(H53,3)=ROUND(H52,3)</f>
        <v>1</v>
      </c>
      <c r="S54" s="148"/>
    </row>
    <row r="55" spans="1:19" x14ac:dyDescent="0.25">
      <c r="A55" s="149">
        <v>0.53</v>
      </c>
      <c r="B55" s="148">
        <v>12989460.851625886</v>
      </c>
      <c r="C55" s="148">
        <v>-147607.18524270132</v>
      </c>
      <c r="D55" s="148">
        <f t="shared" si="1"/>
        <v>13276169.524660533</v>
      </c>
      <c r="E55" s="282">
        <f t="shared" si="0"/>
        <v>1588467.8738924135</v>
      </c>
      <c r="F55" s="116"/>
      <c r="S55" s="148"/>
    </row>
    <row r="56" spans="1:19" x14ac:dyDescent="0.25">
      <c r="A56" s="149">
        <v>0.54</v>
      </c>
      <c r="B56" s="148">
        <v>12940074.679353064</v>
      </c>
      <c r="C56" s="148">
        <v>-196993.35751552321</v>
      </c>
      <c r="D56" s="148">
        <f t="shared" si="1"/>
        <v>13322709.874496499</v>
      </c>
      <c r="E56" s="282">
        <f t="shared" si="0"/>
        <v>1635008.2237283792</v>
      </c>
      <c r="F56" s="116"/>
      <c r="H56" s="188">
        <f>H53-H52</f>
        <v>0</v>
      </c>
      <c r="S56" s="148"/>
    </row>
    <row r="57" spans="1:19" x14ac:dyDescent="0.25">
      <c r="A57" s="149">
        <v>0.55000000000000004</v>
      </c>
      <c r="B57" s="148">
        <v>12890529.81793276</v>
      </c>
      <c r="C57" s="148">
        <v>-246538.21893582679</v>
      </c>
      <c r="D57" s="148">
        <f t="shared" si="1"/>
        <v>13369399.769196922</v>
      </c>
      <c r="E57" s="282">
        <f t="shared" si="0"/>
        <v>1681698.1184288021</v>
      </c>
      <c r="F57" s="116"/>
      <c r="H57" s="188"/>
      <c r="S57" s="148"/>
    </row>
    <row r="58" spans="1:19" x14ac:dyDescent="0.25">
      <c r="A58" s="149">
        <v>0.56000000000000005</v>
      </c>
      <c r="B58" s="148">
        <v>12840785.120744452</v>
      </c>
      <c r="C58" s="148">
        <v>-296282.91612413526</v>
      </c>
      <c r="D58" s="148">
        <f t="shared" si="1"/>
        <v>13416277.98435476</v>
      </c>
      <c r="E58" s="282">
        <f t="shared" si="0"/>
        <v>1728576.3335866407</v>
      </c>
      <c r="F58" s="116"/>
      <c r="S58" s="148"/>
    </row>
    <row r="59" spans="1:19" x14ac:dyDescent="0.25">
      <c r="A59" s="149">
        <v>0.56999999999999995</v>
      </c>
      <c r="B59" s="148">
        <v>12790798.431365937</v>
      </c>
      <c r="C59" s="148">
        <v>-346269.60550265014</v>
      </c>
      <c r="D59" s="148">
        <f t="shared" si="1"/>
        <v>13463384.247175967</v>
      </c>
      <c r="E59" s="282">
        <f t="shared" si="0"/>
        <v>1775682.5964078475</v>
      </c>
      <c r="F59" s="116"/>
      <c r="S59" s="148"/>
    </row>
    <row r="60" spans="1:19" x14ac:dyDescent="0.25">
      <c r="A60" s="149">
        <v>0.57999999999999996</v>
      </c>
      <c r="B60" s="148">
        <v>12740526.353884369</v>
      </c>
      <c r="C60" s="148">
        <v>-396541.682984218</v>
      </c>
      <c r="D60" s="148">
        <f t="shared" si="1"/>
        <v>13510759.452932928</v>
      </c>
      <c r="E60" s="282">
        <f t="shared" si="0"/>
        <v>1823057.8021648079</v>
      </c>
      <c r="F60" s="116"/>
      <c r="S60" s="148"/>
    </row>
    <row r="61" spans="1:19" x14ac:dyDescent="0.25">
      <c r="A61" s="149">
        <v>0.59</v>
      </c>
      <c r="B61" s="148">
        <v>12689924.007006699</v>
      </c>
      <c r="C61" s="148">
        <v>-447144.02986188792</v>
      </c>
      <c r="D61" s="148">
        <f t="shared" si="1"/>
        <v>13558445.896684771</v>
      </c>
      <c r="E61" s="282">
        <f t="shared" si="0"/>
        <v>1870744.2459166516</v>
      </c>
      <c r="F61" s="116"/>
      <c r="S61" s="148"/>
    </row>
    <row r="62" spans="1:19" x14ac:dyDescent="0.25">
      <c r="A62" s="149">
        <v>0.6</v>
      </c>
      <c r="B62" s="148">
        <v>12638944.758314788</v>
      </c>
      <c r="C62" s="148">
        <v>-498123.27855379879</v>
      </c>
      <c r="D62" s="148">
        <f t="shared" si="1"/>
        <v>13606487.523709219</v>
      </c>
      <c r="E62" s="282">
        <f t="shared" si="0"/>
        <v>1918785.8729410991</v>
      </c>
      <c r="F62" s="116"/>
      <c r="S62" s="148"/>
    </row>
    <row r="63" spans="1:19" x14ac:dyDescent="0.25">
      <c r="A63" s="149">
        <v>0.61</v>
      </c>
      <c r="B63" s="148">
        <v>12587539.934502212</v>
      </c>
      <c r="C63" s="148">
        <v>-549528.10236637481</v>
      </c>
      <c r="D63" s="148">
        <f t="shared" si="1"/>
        <v>13654930.202568296</v>
      </c>
      <c r="E63" s="282">
        <f t="shared" si="0"/>
        <v>1967228.5518001765</v>
      </c>
      <c r="F63" s="116"/>
      <c r="S63" s="148"/>
    </row>
    <row r="64" spans="1:19" x14ac:dyDescent="0.25">
      <c r="A64" s="149">
        <v>0.62</v>
      </c>
      <c r="B64" s="148">
        <v>12535658.502796471</v>
      </c>
      <c r="C64" s="148">
        <v>-601409.53407211602</v>
      </c>
      <c r="D64" s="148">
        <f t="shared" si="1"/>
        <v>13703822.025328688</v>
      </c>
      <c r="E64" s="282">
        <f t="shared" si="0"/>
        <v>2016120.3745605685</v>
      </c>
      <c r="F64" s="116"/>
      <c r="S64" s="148"/>
    </row>
    <row r="65" spans="1:19" x14ac:dyDescent="0.25">
      <c r="A65" s="149">
        <v>0.63</v>
      </c>
      <c r="B65" s="148">
        <v>12483246.717981182</v>
      </c>
      <c r="C65" s="148">
        <v>-653821.3188874051</v>
      </c>
      <c r="D65" s="148">
        <f t="shared" si="1"/>
        <v>13753213.640199238</v>
      </c>
      <c r="E65" s="282">
        <f t="shared" si="0"/>
        <v>2065511.9894311186</v>
      </c>
      <c r="F65" s="116"/>
      <c r="S65" s="148"/>
    </row>
    <row r="66" spans="1:19" x14ac:dyDescent="0.25">
      <c r="A66" s="149">
        <v>0.64</v>
      </c>
      <c r="B66" s="148">
        <v>12430247.728456475</v>
      </c>
      <c r="C66" s="148">
        <v>-706820.3084121123</v>
      </c>
      <c r="D66" s="148">
        <f t="shared" si="1"/>
        <v>13803158.622770594</v>
      </c>
      <c r="E66" s="282">
        <f t="shared" si="0"/>
        <v>2115456.9720024746</v>
      </c>
      <c r="F66" s="116"/>
      <c r="S66" s="148"/>
    </row>
    <row r="67" spans="1:19" x14ac:dyDescent="0.25">
      <c r="A67" s="149">
        <v>0.65</v>
      </c>
      <c r="B67" s="148">
        <v>12376601.133559898</v>
      </c>
      <c r="C67" s="148">
        <v>-760466.90330868959</v>
      </c>
      <c r="D67" s="148">
        <f t="shared" si="1"/>
        <v>13853713.893185182</v>
      </c>
      <c r="E67" s="282">
        <f t="shared" ref="E67:E101" si="10">D67-$P$7</f>
        <v>2166012.2424170617</v>
      </c>
      <c r="F67" s="116"/>
      <c r="S67" s="148"/>
    </row>
    <row r="68" spans="1:19" x14ac:dyDescent="0.25">
      <c r="A68" s="149">
        <v>0.66</v>
      </c>
      <c r="B68" s="148">
        <v>12322242.482861038</v>
      </c>
      <c r="C68" s="148">
        <v>-814825.55400754884</v>
      </c>
      <c r="D68" s="148">
        <f t="shared" ref="D68:D100" si="11">SMALL($B$3:$B$101,ROW(B66))</f>
        <v>13904940.187990138</v>
      </c>
      <c r="E68" s="282">
        <f t="shared" si="10"/>
        <v>2217238.5372220185</v>
      </c>
      <c r="F68" s="116"/>
      <c r="S68" s="148"/>
    </row>
    <row r="69" spans="1:19" x14ac:dyDescent="0.25">
      <c r="A69" s="149">
        <v>0.67</v>
      </c>
      <c r="B69" s="148">
        <v>12267102.706256023</v>
      </c>
      <c r="C69" s="148">
        <v>-869965.33061256446</v>
      </c>
      <c r="D69" s="148">
        <f t="shared" si="11"/>
        <v>13956902.59720253</v>
      </c>
      <c r="E69" s="282">
        <f t="shared" si="10"/>
        <v>2269200.9464344103</v>
      </c>
      <c r="F69" s="116"/>
      <c r="S69" s="148"/>
    </row>
    <row r="70" spans="1:19" x14ac:dyDescent="0.25">
      <c r="A70" s="149">
        <v>0.68</v>
      </c>
      <c r="B70" s="148">
        <v>12211107.461323608</v>
      </c>
      <c r="C70" s="148">
        <v>-925960.57554497942</v>
      </c>
      <c r="D70" s="148">
        <f t="shared" si="11"/>
        <v>14009671.179345485</v>
      </c>
      <c r="E70" s="282">
        <f t="shared" si="10"/>
        <v>2321969.528577365</v>
      </c>
      <c r="F70" s="116"/>
      <c r="S70" s="148"/>
    </row>
    <row r="71" spans="1:19" x14ac:dyDescent="0.25">
      <c r="A71" s="149">
        <v>0.69</v>
      </c>
      <c r="B71" s="148">
        <v>12154176.381423049</v>
      </c>
      <c r="C71" s="148">
        <v>-982891.65544553846</v>
      </c>
      <c r="D71" s="148">
        <f t="shared" si="11"/>
        <v>14063321.670022774</v>
      </c>
      <c r="E71" s="282">
        <f t="shared" si="10"/>
        <v>2375620.0192546546</v>
      </c>
      <c r="F71" s="116"/>
      <c r="S71" s="148"/>
    </row>
    <row r="72" spans="1:19" x14ac:dyDescent="0.25">
      <c r="A72" s="149">
        <v>0.7</v>
      </c>
      <c r="B72" s="148">
        <v>12096222.204234665</v>
      </c>
      <c r="C72" s="148">
        <v>-1040845.8326339219</v>
      </c>
      <c r="D72" s="148">
        <f t="shared" si="11"/>
        <v>14117936.303161442</v>
      </c>
      <c r="E72" s="282">
        <f t="shared" si="10"/>
        <v>2430234.6523933224</v>
      </c>
      <c r="F72" s="116"/>
      <c r="S72" s="148"/>
    </row>
    <row r="73" spans="1:19" x14ac:dyDescent="0.25">
      <c r="A73" s="149">
        <v>0.71</v>
      </c>
      <c r="B73" s="148">
        <v>12037149.755620021</v>
      </c>
      <c r="C73" s="148">
        <v>-1099918.2812485658</v>
      </c>
      <c r="D73" s="148">
        <f t="shared" si="11"/>
        <v>14173604.768597556</v>
      </c>
      <c r="E73" s="282">
        <f t="shared" si="10"/>
        <v>2485903.1178294364</v>
      </c>
      <c r="F73" s="116"/>
      <c r="S73" s="148"/>
    </row>
    <row r="74" spans="1:19" x14ac:dyDescent="0.25">
      <c r="A74" s="149">
        <v>0.72</v>
      </c>
      <c r="B74" s="148">
        <v>11976854.757478548</v>
      </c>
      <c r="C74" s="148">
        <v>-1160213.2793900389</v>
      </c>
      <c r="D74" s="148">
        <f t="shared" si="11"/>
        <v>14230425.335523896</v>
      </c>
      <c r="E74" s="282">
        <f t="shared" si="10"/>
        <v>2542723.6847557761</v>
      </c>
      <c r="F74" s="116"/>
      <c r="S74" s="148"/>
    </row>
    <row r="75" spans="1:19" x14ac:dyDescent="0.25">
      <c r="A75" s="149">
        <v>0.73</v>
      </c>
      <c r="B75" s="148">
        <v>11915222.420245213</v>
      </c>
      <c r="C75" s="148">
        <v>-1221845.6166233737</v>
      </c>
      <c r="D75" s="148">
        <f t="shared" si="11"/>
        <v>14288506.178886307</v>
      </c>
      <c r="E75" s="282">
        <f t="shared" si="10"/>
        <v>2600804.5281181876</v>
      </c>
      <c r="F75" s="116"/>
      <c r="S75" s="148"/>
    </row>
    <row r="76" spans="1:19" x14ac:dyDescent="0.25">
      <c r="A76" s="149">
        <v>0.74</v>
      </c>
      <c r="B76" s="148">
        <v>11852125.770182315</v>
      </c>
      <c r="C76" s="148">
        <v>-1284942.2666862719</v>
      </c>
      <c r="D76" s="148">
        <f t="shared" si="11"/>
        <v>14347966.955704208</v>
      </c>
      <c r="E76" s="282">
        <f t="shared" si="10"/>
        <v>2660265.3049360886</v>
      </c>
      <c r="F76" s="116"/>
      <c r="S76" s="148"/>
    </row>
    <row r="77" spans="1:19" x14ac:dyDescent="0.25">
      <c r="A77" s="149">
        <v>0.75</v>
      </c>
      <c r="B77" s="148">
        <v>11787423.647786992</v>
      </c>
      <c r="C77" s="148">
        <v>-1349644.3890815955</v>
      </c>
      <c r="D77" s="148">
        <f t="shared" si="11"/>
        <v>14408940.691323388</v>
      </c>
      <c r="E77" s="282">
        <f t="shared" si="10"/>
        <v>2721239.0405552685</v>
      </c>
      <c r="F77" s="116"/>
      <c r="S77" s="148"/>
    </row>
    <row r="78" spans="1:19" x14ac:dyDescent="0.25">
      <c r="A78" s="149">
        <v>0.76</v>
      </c>
      <c r="B78" s="148">
        <v>11720958.295226457</v>
      </c>
      <c r="C78" s="148">
        <v>-1416109.7416421305</v>
      </c>
      <c r="D78" s="148">
        <f t="shared" si="11"/>
        <v>14471576.052959621</v>
      </c>
      <c r="E78" s="282">
        <f t="shared" si="10"/>
        <v>2783874.4021915011</v>
      </c>
      <c r="F78" s="116"/>
      <c r="S78" s="148"/>
    </row>
    <row r="79" spans="1:19" x14ac:dyDescent="0.25">
      <c r="A79" s="149">
        <v>0.77</v>
      </c>
      <c r="B79" s="148">
        <v>11652552.425946858</v>
      </c>
      <c r="C79" s="148">
        <v>-1484515.6109217294</v>
      </c>
      <c r="D79" s="148">
        <f t="shared" si="11"/>
        <v>14536040.111229172</v>
      </c>
      <c r="E79" s="282">
        <f t="shared" si="10"/>
        <v>2848338.4604610521</v>
      </c>
      <c r="F79" s="116"/>
      <c r="S79" s="148"/>
    </row>
    <row r="80" spans="1:19" x14ac:dyDescent="0.25">
      <c r="A80" s="149">
        <v>0.78</v>
      </c>
      <c r="B80" s="148">
        <v>11582005.635906173</v>
      </c>
      <c r="C80" s="148">
        <v>-1555062.4009624142</v>
      </c>
      <c r="D80" s="148">
        <f t="shared" si="11"/>
        <v>14602521.72211732</v>
      </c>
      <c r="E80" s="282">
        <f t="shared" si="10"/>
        <v>2914820.0713491999</v>
      </c>
      <c r="F80" s="116"/>
      <c r="S80" s="148"/>
    </row>
    <row r="81" spans="1:19" x14ac:dyDescent="0.25">
      <c r="A81" s="149">
        <v>0.79</v>
      </c>
      <c r="B81" s="148">
        <v>11509089.969467511</v>
      </c>
      <c r="C81" s="148">
        <v>-1627978.0674010757</v>
      </c>
      <c r="D81" s="148">
        <f t="shared" si="11"/>
        <v>14671235.705574699</v>
      </c>
      <c r="E81" s="282">
        <f t="shared" si="10"/>
        <v>2983534.0548065789</v>
      </c>
      <c r="F81" s="116"/>
      <c r="S81" s="148"/>
    </row>
    <row r="82" spans="1:19" x14ac:dyDescent="0.25">
      <c r="A82" s="149">
        <v>0.8</v>
      </c>
      <c r="B82" s="148">
        <v>11433544.388197588</v>
      </c>
      <c r="C82" s="148">
        <v>-1703523.6486709993</v>
      </c>
      <c r="D82" s="148">
        <f t="shared" si="11"/>
        <v>14742428.057989458</v>
      </c>
      <c r="E82" s="282">
        <f t="shared" si="10"/>
        <v>3054726.4072213378</v>
      </c>
      <c r="F82" s="116"/>
      <c r="S82" s="148"/>
    </row>
    <row r="83" spans="1:19" x14ac:dyDescent="0.25">
      <c r="A83" s="149">
        <v>0.81</v>
      </c>
      <c r="B83" s="148">
        <v>11355067.799042853</v>
      </c>
      <c r="C83" s="148">
        <v>-1782000.2378257345</v>
      </c>
      <c r="D83" s="148">
        <f t="shared" si="11"/>
        <v>14812503.509597555</v>
      </c>
      <c r="E83" s="282">
        <f t="shared" si="10"/>
        <v>3124801.858829435</v>
      </c>
      <c r="F83" s="116"/>
      <c r="S83" s="148"/>
    </row>
    <row r="84" spans="1:19" x14ac:dyDescent="0.25">
      <c r="A84" s="149">
        <v>0.82</v>
      </c>
      <c r="B84" s="148">
        <v>11273310.166286288</v>
      </c>
      <c r="C84" s="148">
        <v>-1863757.8705822993</v>
      </c>
      <c r="D84" s="148">
        <f t="shared" si="11"/>
        <v>14883298.090868844</v>
      </c>
      <c r="E84" s="282">
        <f t="shared" si="10"/>
        <v>3195596.4401007239</v>
      </c>
      <c r="F84" s="116"/>
      <c r="S84" s="148"/>
    </row>
    <row r="85" spans="1:19" x14ac:dyDescent="0.25">
      <c r="A85" s="149">
        <v>0.83</v>
      </c>
      <c r="B85" s="148">
        <v>11187861.038282372</v>
      </c>
      <c r="C85" s="148">
        <v>-1949206.9985862151</v>
      </c>
      <c r="D85" s="148">
        <f t="shared" si="11"/>
        <v>14957289.167090988</v>
      </c>
      <c r="E85" s="282">
        <f t="shared" si="10"/>
        <v>3269587.5163228679</v>
      </c>
      <c r="F85" s="116"/>
      <c r="S85" s="148"/>
    </row>
    <row r="86" spans="1:19" x14ac:dyDescent="0.25">
      <c r="A86" s="149">
        <v>0.84</v>
      </c>
      <c r="B86" s="148">
        <v>11098234.531245587</v>
      </c>
      <c r="C86" s="148">
        <v>-2038833.5056229997</v>
      </c>
      <c r="D86" s="148">
        <f t="shared" si="11"/>
        <v>15034897.468879413</v>
      </c>
      <c r="E86" s="282">
        <f t="shared" si="10"/>
        <v>3347195.818111293</v>
      </c>
      <c r="F86" s="116"/>
      <c r="S86" s="148"/>
    </row>
    <row r="87" spans="1:19" x14ac:dyDescent="0.25">
      <c r="A87" s="149">
        <v>0.85</v>
      </c>
      <c r="B87" s="148">
        <v>11003849.372077499</v>
      </c>
      <c r="C87" s="148">
        <v>-2133218.6647910886</v>
      </c>
      <c r="D87" s="148">
        <f t="shared" si="11"/>
        <v>15116626.325210471</v>
      </c>
      <c r="E87" s="282">
        <f t="shared" si="10"/>
        <v>3428924.6744423509</v>
      </c>
      <c r="F87" s="116"/>
      <c r="S87" s="148"/>
    </row>
    <row r="88" spans="1:19" x14ac:dyDescent="0.25">
      <c r="A88" s="149">
        <v>0.86</v>
      </c>
      <c r="B88" s="148">
        <v>10904001.914676957</v>
      </c>
      <c r="C88" s="148">
        <v>-2233066.1221916303</v>
      </c>
      <c r="D88" s="148">
        <f t="shared" si="11"/>
        <v>15201904.359218877</v>
      </c>
      <c r="E88" s="282">
        <f t="shared" si="10"/>
        <v>3514202.708450757</v>
      </c>
      <c r="F88" s="116"/>
      <c r="S88" s="148"/>
    </row>
    <row r="89" spans="1:19" x14ac:dyDescent="0.25">
      <c r="A89" s="149">
        <v>0.87</v>
      </c>
      <c r="B89" s="148">
        <v>10797828.941594057</v>
      </c>
      <c r="C89" s="148">
        <v>-2339239.0952745304</v>
      </c>
      <c r="D89" s="148">
        <f t="shared" si="11"/>
        <v>15292543.165476896</v>
      </c>
      <c r="E89" s="282">
        <f t="shared" si="10"/>
        <v>3604841.514708776</v>
      </c>
      <c r="F89" s="116"/>
      <c r="S89" s="148"/>
    </row>
    <row r="90" spans="1:19" x14ac:dyDescent="0.25">
      <c r="A90" s="149">
        <v>0.88</v>
      </c>
      <c r="B90" s="148">
        <v>10684255.240777111</v>
      </c>
      <c r="C90" s="148">
        <v>-2452812.7960914765</v>
      </c>
      <c r="D90" s="148">
        <f t="shared" si="11"/>
        <v>15389499.899054609</v>
      </c>
      <c r="E90" s="282">
        <f t="shared" si="10"/>
        <v>3701798.2482864894</v>
      </c>
      <c r="F90" s="116"/>
      <c r="S90" s="148"/>
    </row>
    <row r="91" spans="1:19" x14ac:dyDescent="0.25">
      <c r="A91" s="149">
        <v>0.89</v>
      </c>
      <c r="B91" s="148">
        <v>10561917.831087425</v>
      </c>
      <c r="C91" s="148">
        <v>-2575150.2057811618</v>
      </c>
      <c r="D91" s="148">
        <f t="shared" si="11"/>
        <v>15493898.737820446</v>
      </c>
      <c r="E91" s="282">
        <f t="shared" si="10"/>
        <v>3806197.0870523266</v>
      </c>
      <c r="F91" s="116"/>
      <c r="S91" s="148"/>
    </row>
    <row r="92" spans="1:19" x14ac:dyDescent="0.25">
      <c r="A92" s="149">
        <v>0.9</v>
      </c>
      <c r="B92" s="148">
        <v>10429053.167216921</v>
      </c>
      <c r="C92" s="148">
        <v>-2708014.8696516659</v>
      </c>
      <c r="D92" s="148">
        <f t="shared" si="11"/>
        <v>15607234.931868795</v>
      </c>
      <c r="E92" s="282">
        <f t="shared" si="10"/>
        <v>3919533.2811006755</v>
      </c>
      <c r="F92" s="116"/>
      <c r="S92" s="148"/>
    </row>
    <row r="93" spans="1:19" x14ac:dyDescent="0.25">
      <c r="A93" s="149">
        <v>0.91</v>
      </c>
      <c r="B93" s="148">
        <v>10283323.331799388</v>
      </c>
      <c r="C93" s="148">
        <v>-2853744.7050691992</v>
      </c>
      <c r="D93" s="148">
        <f t="shared" si="11"/>
        <v>15731545.37246583</v>
      </c>
      <c r="E93" s="282">
        <f t="shared" si="10"/>
        <v>4043843.7216977105</v>
      </c>
      <c r="F93" s="116"/>
      <c r="S93" s="148"/>
    </row>
    <row r="94" spans="1:19" x14ac:dyDescent="0.25">
      <c r="A94" s="149">
        <v>0.92</v>
      </c>
      <c r="B94" s="148">
        <v>10121536.929480491</v>
      </c>
      <c r="C94" s="148">
        <v>-3015531.1073880959</v>
      </c>
      <c r="D94" s="148">
        <f t="shared" si="11"/>
        <v>15869552.383159574</v>
      </c>
      <c r="E94" s="282">
        <f t="shared" si="10"/>
        <v>4181850.7323914543</v>
      </c>
      <c r="F94" s="116"/>
      <c r="S94" s="148"/>
    </row>
    <row r="95" spans="1:19" x14ac:dyDescent="0.25">
      <c r="A95" s="149">
        <v>0.93</v>
      </c>
      <c r="B95" s="148">
        <v>9939177.8289406262</v>
      </c>
      <c r="C95" s="148">
        <v>-3197890.2079279609</v>
      </c>
      <c r="D95" s="148">
        <f t="shared" si="11"/>
        <v>16025108.313556634</v>
      </c>
      <c r="E95" s="282">
        <f t="shared" si="10"/>
        <v>4337406.662788514</v>
      </c>
      <c r="F95" s="116"/>
      <c r="S95" s="148"/>
    </row>
    <row r="96" spans="1:19" x14ac:dyDescent="0.25">
      <c r="A96" s="149">
        <v>0.94</v>
      </c>
      <c r="B96" s="148">
        <v>9729558.2061313074</v>
      </c>
      <c r="C96" s="148">
        <v>-3407509.8307372797</v>
      </c>
      <c r="D96" s="148">
        <f t="shared" si="11"/>
        <v>16184243.683576763</v>
      </c>
      <c r="E96" s="282">
        <f t="shared" si="10"/>
        <v>4496542.0328086428</v>
      </c>
      <c r="F96" s="116"/>
      <c r="S96" s="148"/>
    </row>
    <row r="97" spans="1:19" x14ac:dyDescent="0.25">
      <c r="A97" s="149">
        <v>0.95</v>
      </c>
      <c r="B97" s="148">
        <v>9482169.555703219</v>
      </c>
      <c r="C97" s="148">
        <v>-3654898.4811653681</v>
      </c>
      <c r="D97" s="148">
        <f t="shared" si="11"/>
        <v>16355346.763723586</v>
      </c>
      <c r="E97" s="282">
        <f t="shared" si="10"/>
        <v>4667645.1129554659</v>
      </c>
      <c r="F97" s="116"/>
      <c r="S97" s="148"/>
    </row>
    <row r="98" spans="1:19" x14ac:dyDescent="0.25">
      <c r="A98" s="149">
        <v>0.96</v>
      </c>
      <c r="B98" s="148">
        <v>9179110.3898670636</v>
      </c>
      <c r="C98" s="148">
        <v>-3957957.6470015235</v>
      </c>
      <c r="D98" s="148">
        <f t="shared" si="11"/>
        <v>16537403.918472048</v>
      </c>
      <c r="E98" s="282">
        <f t="shared" si="10"/>
        <v>4849702.2677039281</v>
      </c>
      <c r="F98" s="116"/>
      <c r="S98" s="148"/>
    </row>
    <row r="99" spans="1:19" x14ac:dyDescent="0.25">
      <c r="A99" s="149">
        <v>0.97</v>
      </c>
      <c r="B99" s="148">
        <v>8786085.9867021758</v>
      </c>
      <c r="C99" s="148">
        <v>-4350982.0501664113</v>
      </c>
      <c r="D99" s="148">
        <f t="shared" si="11"/>
        <v>16768290.971016437</v>
      </c>
      <c r="E99" s="282">
        <f t="shared" si="10"/>
        <v>5080589.320248317</v>
      </c>
      <c r="F99" s="116"/>
      <c r="S99" s="148"/>
    </row>
    <row r="100" spans="1:19" x14ac:dyDescent="0.25">
      <c r="A100" s="149">
        <v>0.98</v>
      </c>
      <c r="B100" s="148">
        <v>8223741.7467958815</v>
      </c>
      <c r="C100" s="148">
        <v>-4913326.2900727056</v>
      </c>
      <c r="D100" s="148">
        <f t="shared" si="11"/>
        <v>16984852.731601216</v>
      </c>
      <c r="E100" s="282">
        <f t="shared" si="10"/>
        <v>5297151.0808330961</v>
      </c>
      <c r="F100" s="116"/>
    </row>
    <row r="101" spans="1:19" x14ac:dyDescent="0.25">
      <c r="A101" s="149">
        <v>0.99</v>
      </c>
      <c r="B101" s="148">
        <v>7226070.4381674267</v>
      </c>
      <c r="C101" s="148">
        <v>-5910997.5987011604</v>
      </c>
      <c r="D101" s="148">
        <f>SMALL($B$3:$B$101,ROW(B99))</f>
        <v>17248397.658715528</v>
      </c>
      <c r="E101" s="282">
        <f t="shared" si="10"/>
        <v>5560696.0079474077</v>
      </c>
    </row>
    <row r="102" spans="1:19" x14ac:dyDescent="0.25">
      <c r="A102" s="149">
        <v>0.99990000000000001</v>
      </c>
      <c r="B102" s="148">
        <v>-132403164.41322142</v>
      </c>
      <c r="C102" s="148">
        <v>-145540232.45008999</v>
      </c>
      <c r="D102" s="148"/>
      <c r="E102" s="282"/>
    </row>
  </sheetData>
  <sheetProtection algorithmName="SHA-512" hashValue="TT6i0V3/JiYKCg7OzRhxU3XN75ecqmKBES5E3HB3EZkmNYh4mXEmKIWh5S7K8ehYvbDlPAYPHqlBtKLL+EHcvg==" saltValue="sh299VFjDiWQZyyQjYN/oA==" spinCount="100000" sheet="1" objects="1" scenarios="1"/>
  <pageMargins left="0.7" right="0.7" top="0.75" bottom="0.75" header="0.3" footer="0.3"/>
  <pageSetup paperSize="9" orientation="portrait" horizontalDpi="200" verticalDpi="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5">
    <tabColor rgb="FF92D050"/>
  </sheetPr>
  <dimension ref="B2:C17"/>
  <sheetViews>
    <sheetView zoomScale="115" zoomScaleNormal="115" workbookViewId="0"/>
  </sheetViews>
  <sheetFormatPr defaultRowHeight="15" x14ac:dyDescent="0.25"/>
  <cols>
    <col min="1" max="1" width="4.28515625" customWidth="1"/>
    <col min="2" max="2" width="15" customWidth="1"/>
    <col min="3" max="3" width="14.28515625" bestFit="1" customWidth="1"/>
    <col min="15" max="15" width="10" customWidth="1"/>
  </cols>
  <sheetData>
    <row r="2" spans="2:3" x14ac:dyDescent="0.25">
      <c r="B2" s="134" t="s">
        <v>175</v>
      </c>
      <c r="C2" s="135">
        <f>HWM!C2</f>
        <v>20000000</v>
      </c>
    </row>
    <row r="3" spans="2:3" x14ac:dyDescent="0.25">
      <c r="B3" s="93" t="s">
        <v>176</v>
      </c>
      <c r="C3" s="136">
        <f ca="1">C2*C4</f>
        <v>11101.911744713783</v>
      </c>
    </row>
    <row r="4" spans="2:3" x14ac:dyDescent="0.25">
      <c r="B4" s="128" t="s">
        <v>174</v>
      </c>
      <c r="C4" s="137">
        <f ca="1">HWM!E2</f>
        <v>5.5509558723568914E-4</v>
      </c>
    </row>
    <row r="5" spans="2:3" x14ac:dyDescent="0.25">
      <c r="B5" s="127" t="s">
        <v>183</v>
      </c>
      <c r="C5" s="131">
        <f ca="1">MIN($C$4,100%)</f>
        <v>5.5509558723568914E-4</v>
      </c>
    </row>
    <row r="6" spans="2:3" x14ac:dyDescent="0.25">
      <c r="B6" s="93"/>
      <c r="C6" s="132">
        <v>1.4999999999999999E-2</v>
      </c>
    </row>
    <row r="7" spans="2:3" x14ac:dyDescent="0.25">
      <c r="B7" s="128"/>
      <c r="C7" s="133">
        <f ca="1">200%-C5-C6</f>
        <v>1.9844449044127643</v>
      </c>
    </row>
    <row r="10" spans="2:3" x14ac:dyDescent="0.25">
      <c r="B10" t="s">
        <v>184</v>
      </c>
    </row>
    <row r="11" spans="2:3" x14ac:dyDescent="0.25">
      <c r="B11" t="s">
        <v>177</v>
      </c>
    </row>
    <row r="12" spans="2:3" x14ac:dyDescent="0.25">
      <c r="B12" t="s">
        <v>213</v>
      </c>
      <c r="C12" s="152">
        <f>RESULTADO!$D$159</f>
        <v>13137068.036868662</v>
      </c>
    </row>
    <row r="13" spans="2:3" x14ac:dyDescent="0.25">
      <c r="B13" t="s">
        <v>178</v>
      </c>
      <c r="C13" s="152">
        <f>HWM!$N$2</f>
        <v>13148169.948613763</v>
      </c>
    </row>
    <row r="14" spans="2:3" x14ac:dyDescent="0.25">
      <c r="B14" t="s">
        <v>179</v>
      </c>
      <c r="C14" s="1">
        <f>C12-C13</f>
        <v>-11101.911745101213</v>
      </c>
    </row>
    <row r="15" spans="2:3" x14ac:dyDescent="0.25">
      <c r="B15" t="s">
        <v>180</v>
      </c>
      <c r="C15" s="152">
        <f>-HWM!$N$3</f>
        <v>8966707.539900586</v>
      </c>
    </row>
    <row r="16" spans="2:3" x14ac:dyDescent="0.25">
      <c r="B16" t="s">
        <v>181</v>
      </c>
      <c r="C16" s="153">
        <f>C15/C2</f>
        <v>0.44833537699502929</v>
      </c>
    </row>
    <row r="17" spans="2:2" x14ac:dyDescent="0.25">
      <c r="B17" t="s">
        <v>182</v>
      </c>
    </row>
  </sheetData>
  <pageMargins left="0.7" right="0.7" top="0.75" bottom="0.75" header="0.3" footer="0.3"/>
  <pageSetup paperSize="9" orientation="portrait" horizontalDpi="200" verticalDpi="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">
    <tabColor theme="0" tint="-0.499984740745262"/>
  </sheetPr>
  <dimension ref="A1:BX119"/>
  <sheetViews>
    <sheetView showGridLines="0" tabSelected="1" zoomScale="80" zoomScaleNormal="80" workbookViewId="0">
      <pane xSplit="2" ySplit="5" topLeftCell="C30" activePane="bottomRight" state="frozen"/>
      <selection activeCell="K23" sqref="K23"/>
      <selection pane="topRight" activeCell="K23" sqref="K23"/>
      <selection pane="bottomLeft" activeCell="K23" sqref="K23"/>
      <selection pane="bottomRight" activeCell="C7" sqref="C7"/>
    </sheetView>
  </sheetViews>
  <sheetFormatPr defaultRowHeight="15" x14ac:dyDescent="0.25"/>
  <cols>
    <col min="1" max="1" width="1.7109375" customWidth="1"/>
    <col min="2" max="2" width="19.28515625" bestFit="1" customWidth="1"/>
    <col min="12" max="15" width="9.140625" customWidth="1"/>
    <col min="16" max="20" width="9.5703125" bestFit="1" customWidth="1"/>
    <col min="21" max="26" width="9.140625" customWidth="1"/>
    <col min="36" max="39" width="9.140625" customWidth="1"/>
    <col min="40" max="44" width="9.5703125" bestFit="1" customWidth="1"/>
    <col min="45" max="51" width="9.140625" customWidth="1"/>
    <col min="52" max="56" width="9.5703125" bestFit="1" customWidth="1"/>
    <col min="57" max="62" width="9.140625" customWidth="1"/>
    <col min="63" max="63" width="12.28515625" bestFit="1" customWidth="1"/>
    <col min="64" max="64" width="13.85546875" style="343" bestFit="1" customWidth="1"/>
    <col min="65" max="65" width="15.140625" style="343" bestFit="1" customWidth="1"/>
    <col min="66" max="67" width="13.85546875" style="343" bestFit="1" customWidth="1"/>
    <col min="68" max="68" width="9.140625" style="343"/>
    <col min="69" max="69" width="12.28515625" style="343" bestFit="1" customWidth="1"/>
    <col min="70" max="75" width="9.140625" style="343"/>
  </cols>
  <sheetData>
    <row r="1" spans="1:76" x14ac:dyDescent="0.25">
      <c r="B1" s="791" t="s">
        <v>121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</row>
    <row r="2" spans="1:76" ht="15.75" thickBot="1" x14ac:dyDescent="0.3">
      <c r="L2" s="4"/>
      <c r="M2" s="351"/>
      <c r="N2" s="351"/>
      <c r="O2" s="351"/>
      <c r="P2" s="351"/>
      <c r="Q2" s="351"/>
      <c r="R2" s="351"/>
      <c r="S2" s="351"/>
      <c r="T2" s="351"/>
      <c r="U2" s="351"/>
      <c r="V2" s="351"/>
      <c r="W2" s="351"/>
      <c r="X2" s="351"/>
      <c r="Y2" s="351"/>
      <c r="Z2" s="351"/>
      <c r="AJ2" s="4"/>
      <c r="AK2" s="351"/>
      <c r="AL2" s="351"/>
      <c r="AM2" s="351"/>
      <c r="AN2" s="351"/>
      <c r="AO2" s="351"/>
      <c r="AP2" s="351"/>
      <c r="AQ2" s="351"/>
      <c r="AR2" s="351"/>
      <c r="AS2" s="351"/>
      <c r="AT2" s="351"/>
      <c r="AU2" s="351"/>
      <c r="AV2" s="351"/>
      <c r="AW2" s="351"/>
      <c r="AX2" s="351"/>
      <c r="AY2" s="351"/>
      <c r="AZ2" s="351"/>
      <c r="BA2" s="351"/>
      <c r="BB2" s="351"/>
      <c r="BC2" s="351"/>
      <c r="BD2" s="351"/>
      <c r="BE2" s="351"/>
      <c r="BF2" s="351"/>
      <c r="BG2" s="351"/>
      <c r="BH2" s="351"/>
      <c r="BI2" s="351"/>
      <c r="BJ2" s="351"/>
      <c r="BK2" s="352"/>
    </row>
    <row r="3" spans="1:76" ht="15.75" thickBot="1" x14ac:dyDescent="0.3">
      <c r="B3" s="2"/>
      <c r="C3" s="32" t="s">
        <v>118</v>
      </c>
      <c r="D3" s="33" t="s">
        <v>117</v>
      </c>
      <c r="E3" s="641" t="s">
        <v>1654</v>
      </c>
      <c r="L3" s="350"/>
      <c r="M3" s="350"/>
      <c r="N3" s="350"/>
      <c r="O3" s="643"/>
      <c r="P3" s="643"/>
      <c r="Q3" s="343"/>
      <c r="R3" s="343"/>
      <c r="S3" s="343"/>
      <c r="T3" s="343"/>
      <c r="U3" s="343"/>
      <c r="V3" s="343"/>
      <c r="W3" s="343"/>
      <c r="X3" s="343"/>
      <c r="Y3" s="343"/>
      <c r="Z3" s="343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/>
      <c r="BB3" s="350"/>
      <c r="BC3" s="350"/>
      <c r="BD3" s="350"/>
      <c r="BE3" s="350"/>
      <c r="BF3" s="350"/>
      <c r="BG3" s="350"/>
      <c r="BH3" s="350"/>
      <c r="BI3" s="350"/>
      <c r="BJ3" s="350"/>
      <c r="BK3" s="351"/>
    </row>
    <row r="4" spans="1:76" x14ac:dyDescent="0.25">
      <c r="K4" s="44"/>
      <c r="L4" s="348"/>
      <c r="M4" s="348"/>
      <c r="N4" s="348"/>
      <c r="O4" s="642"/>
      <c r="P4" s="642"/>
      <c r="Q4" s="642"/>
      <c r="R4" s="642"/>
      <c r="S4" s="642"/>
      <c r="T4" s="642"/>
      <c r="U4" s="642"/>
      <c r="V4" s="642"/>
      <c r="W4" s="642"/>
      <c r="X4" s="642"/>
      <c r="Y4" s="642"/>
      <c r="Z4" s="642"/>
      <c r="AI4" s="44"/>
      <c r="AJ4" s="348"/>
      <c r="AK4" s="343"/>
      <c r="AL4" s="343"/>
      <c r="AM4" s="343"/>
      <c r="AN4" s="343"/>
      <c r="AO4" s="343"/>
      <c r="AP4" s="343"/>
      <c r="AQ4" s="343"/>
      <c r="AR4" s="343"/>
      <c r="AS4" s="343"/>
      <c r="AT4" s="343"/>
      <c r="AU4" s="343"/>
      <c r="AV4" s="343"/>
      <c r="AW4" s="343"/>
      <c r="AX4" s="343"/>
      <c r="AY4" s="343"/>
      <c r="AZ4" s="343"/>
      <c r="BA4" s="343"/>
      <c r="BB4" s="343"/>
      <c r="BC4" s="343"/>
      <c r="BD4" s="343"/>
      <c r="BE4" s="343"/>
      <c r="BF4" s="343"/>
      <c r="BG4" s="343"/>
      <c r="BH4" s="343"/>
      <c r="BI4" s="343"/>
      <c r="BJ4" s="343"/>
      <c r="BK4" s="352"/>
    </row>
    <row r="5" spans="1:76" ht="15.75" thickBot="1" x14ac:dyDescent="0.3">
      <c r="B5" s="35" t="s">
        <v>135</v>
      </c>
      <c r="C5" s="15">
        <f>RESULTADO!C3</f>
        <v>44562</v>
      </c>
      <c r="D5" s="15">
        <f>RESULTADO!D3</f>
        <v>44593</v>
      </c>
      <c r="E5" s="15">
        <f>RESULTADO!E3</f>
        <v>44621</v>
      </c>
      <c r="F5" s="15">
        <f>RESULTADO!F3</f>
        <v>44652</v>
      </c>
      <c r="G5" s="15">
        <f>RESULTADO!G3</f>
        <v>44682</v>
      </c>
      <c r="H5" s="15">
        <f>RESULTADO!H3</f>
        <v>44713</v>
      </c>
      <c r="I5" s="15">
        <f>RESULTADO!I3</f>
        <v>44743</v>
      </c>
      <c r="J5" s="15">
        <f>RESULTADO!J3</f>
        <v>44774</v>
      </c>
      <c r="K5" s="15">
        <f>RESULTADO!K3</f>
        <v>44805</v>
      </c>
      <c r="L5" s="15">
        <f>RESULTADO!L3</f>
        <v>44835</v>
      </c>
      <c r="M5" s="15">
        <f>RESULTADO!M3</f>
        <v>44866</v>
      </c>
      <c r="N5" s="394">
        <f>RESULTADO!N3</f>
        <v>44896</v>
      </c>
      <c r="O5" s="395">
        <f>RESULTADO!O3</f>
        <v>44927</v>
      </c>
      <c r="P5" s="15">
        <f>RESULTADO!P3</f>
        <v>44958</v>
      </c>
      <c r="Q5" s="15">
        <f>RESULTADO!Q3</f>
        <v>44986</v>
      </c>
      <c r="R5" s="15">
        <f>RESULTADO!R3</f>
        <v>45017</v>
      </c>
      <c r="S5" s="15">
        <f>RESULTADO!S3</f>
        <v>45047</v>
      </c>
      <c r="T5" s="15">
        <f>RESULTADO!T3</f>
        <v>45078</v>
      </c>
      <c r="U5" s="15">
        <f>RESULTADO!U3</f>
        <v>45108</v>
      </c>
      <c r="V5" s="15">
        <f>RESULTADO!V3</f>
        <v>45139</v>
      </c>
      <c r="W5" s="15">
        <f>RESULTADO!W3</f>
        <v>45170</v>
      </c>
      <c r="X5" s="15">
        <f>RESULTADO!X3</f>
        <v>45200</v>
      </c>
      <c r="Y5" s="15">
        <f>RESULTADO!Y3</f>
        <v>45231</v>
      </c>
      <c r="Z5" s="394">
        <f>RESULTADO!Z3</f>
        <v>45261</v>
      </c>
      <c r="AA5" s="395">
        <f>RESULTADO!AA3</f>
        <v>45292</v>
      </c>
      <c r="AB5" s="15">
        <f>RESULTADO!AB3</f>
        <v>45323</v>
      </c>
      <c r="AC5" s="15">
        <f>RESULTADO!AC3</f>
        <v>45352</v>
      </c>
      <c r="AD5" s="15">
        <f>RESULTADO!AD3</f>
        <v>45383</v>
      </c>
      <c r="AE5" s="15">
        <f>RESULTADO!AE3</f>
        <v>45413</v>
      </c>
      <c r="AF5" s="15">
        <f>RESULTADO!AF3</f>
        <v>45444</v>
      </c>
      <c r="AG5" s="15">
        <f>RESULTADO!AG3</f>
        <v>45474</v>
      </c>
      <c r="AH5" s="15">
        <f>RESULTADO!AH3</f>
        <v>45505</v>
      </c>
      <c r="AI5" s="15">
        <f>RESULTADO!AI3</f>
        <v>45536</v>
      </c>
      <c r="AJ5" s="15">
        <f>RESULTADO!AJ3</f>
        <v>45566</v>
      </c>
      <c r="AK5" s="15">
        <f>RESULTADO!AK3</f>
        <v>45597</v>
      </c>
      <c r="AL5" s="394">
        <f>RESULTADO!AL3</f>
        <v>45627</v>
      </c>
      <c r="AM5" s="395">
        <f>RESULTADO!AM3</f>
        <v>45658</v>
      </c>
      <c r="AN5" s="15">
        <f>RESULTADO!AN3</f>
        <v>45689</v>
      </c>
      <c r="AO5" s="15">
        <f>RESULTADO!AO3</f>
        <v>45717</v>
      </c>
      <c r="AP5" s="15">
        <f>RESULTADO!AP3</f>
        <v>45748</v>
      </c>
      <c r="AQ5" s="15">
        <f>RESULTADO!AQ3</f>
        <v>45778</v>
      </c>
      <c r="AR5" s="15">
        <f>RESULTADO!AR3</f>
        <v>45809</v>
      </c>
      <c r="AS5" s="15">
        <f>RESULTADO!AS3</f>
        <v>45839</v>
      </c>
      <c r="AT5" s="15">
        <f>RESULTADO!AT3</f>
        <v>45870</v>
      </c>
      <c r="AU5" s="15">
        <f>RESULTADO!AU3</f>
        <v>45901</v>
      </c>
      <c r="AV5" s="15">
        <f>RESULTADO!AV3</f>
        <v>45931</v>
      </c>
      <c r="AW5" s="15">
        <f>RESULTADO!AW3</f>
        <v>45962</v>
      </c>
      <c r="AX5" s="394">
        <f>RESULTADO!AX3</f>
        <v>45992</v>
      </c>
      <c r="AY5" s="395">
        <f>RESULTADO!AY3</f>
        <v>46023</v>
      </c>
      <c r="AZ5" s="15">
        <f>RESULTADO!AZ3</f>
        <v>46054</v>
      </c>
      <c r="BA5" s="15">
        <f>RESULTADO!BA3</f>
        <v>46082</v>
      </c>
      <c r="BB5" s="15">
        <f>RESULTADO!BB3</f>
        <v>46113</v>
      </c>
      <c r="BC5" s="15">
        <f>RESULTADO!BC3</f>
        <v>46143</v>
      </c>
      <c r="BD5" s="15">
        <f>RESULTADO!BD3</f>
        <v>46174</v>
      </c>
      <c r="BE5" s="15">
        <f>RESULTADO!BE3</f>
        <v>46204</v>
      </c>
      <c r="BF5" s="15">
        <f>RESULTADO!BF3</f>
        <v>46235</v>
      </c>
      <c r="BG5" s="15">
        <f>RESULTADO!BG3</f>
        <v>46266</v>
      </c>
      <c r="BH5" s="15">
        <f>RESULTADO!BH3</f>
        <v>46296</v>
      </c>
      <c r="BI5" s="15">
        <f>RESULTADO!BI3</f>
        <v>46327</v>
      </c>
      <c r="BJ5" s="460">
        <f>RESULTADO!BJ3</f>
        <v>46357</v>
      </c>
      <c r="BK5" s="461"/>
      <c r="BO5" s="348"/>
      <c r="BX5" s="343"/>
    </row>
    <row r="6" spans="1:76" x14ac:dyDescent="0.25">
      <c r="B6" s="144" t="s">
        <v>209</v>
      </c>
      <c r="C6" s="625">
        <v>62.91</v>
      </c>
      <c r="D6" s="625">
        <v>55.7</v>
      </c>
      <c r="E6" s="625">
        <v>55.7</v>
      </c>
      <c r="F6" s="625">
        <v>55.7</v>
      </c>
      <c r="G6" s="625">
        <v>55.7</v>
      </c>
      <c r="H6" s="625">
        <v>55.71</v>
      </c>
      <c r="I6" s="625">
        <v>66.319999999999993</v>
      </c>
      <c r="J6" s="625">
        <v>76.900000000000006</v>
      </c>
      <c r="K6" s="625">
        <v>56.08</v>
      </c>
      <c r="L6" s="625">
        <v>55.7</v>
      </c>
      <c r="M6" s="625">
        <v>55.7</v>
      </c>
      <c r="N6" s="396">
        <v>88.695015628195648</v>
      </c>
      <c r="O6" s="397">
        <v>166</v>
      </c>
      <c r="P6" s="145">
        <v>166</v>
      </c>
      <c r="Q6" s="145">
        <v>166</v>
      </c>
      <c r="R6" s="145">
        <v>166</v>
      </c>
      <c r="S6" s="145">
        <v>166</v>
      </c>
      <c r="T6" s="145">
        <v>166</v>
      </c>
      <c r="U6" s="145">
        <v>166</v>
      </c>
      <c r="V6" s="145">
        <v>166</v>
      </c>
      <c r="W6" s="145">
        <v>166</v>
      </c>
      <c r="X6" s="145">
        <v>166</v>
      </c>
      <c r="Y6" s="145">
        <v>166</v>
      </c>
      <c r="Z6" s="396">
        <v>166</v>
      </c>
      <c r="AA6" s="397">
        <v>153</v>
      </c>
      <c r="AB6" s="145">
        <v>153</v>
      </c>
      <c r="AC6" s="145">
        <v>153</v>
      </c>
      <c r="AD6" s="145">
        <v>153</v>
      </c>
      <c r="AE6" s="145">
        <v>153</v>
      </c>
      <c r="AF6" s="145">
        <v>153</v>
      </c>
      <c r="AG6" s="145">
        <v>153</v>
      </c>
      <c r="AH6" s="145">
        <v>153</v>
      </c>
      <c r="AI6" s="145">
        <v>153</v>
      </c>
      <c r="AJ6" s="145">
        <v>153</v>
      </c>
      <c r="AK6" s="145">
        <v>153</v>
      </c>
      <c r="AL6" s="396">
        <v>153</v>
      </c>
      <c r="AM6" s="397">
        <v>146</v>
      </c>
      <c r="AN6" s="145">
        <v>146</v>
      </c>
      <c r="AO6" s="145">
        <v>146</v>
      </c>
      <c r="AP6" s="145">
        <v>146</v>
      </c>
      <c r="AQ6" s="145">
        <v>146</v>
      </c>
      <c r="AR6" s="145">
        <v>146</v>
      </c>
      <c r="AS6" s="145">
        <v>146</v>
      </c>
      <c r="AT6" s="145">
        <v>146</v>
      </c>
      <c r="AU6" s="145">
        <v>146</v>
      </c>
      <c r="AV6" s="145">
        <v>146</v>
      </c>
      <c r="AW6" s="145">
        <v>146</v>
      </c>
      <c r="AX6" s="396">
        <v>146</v>
      </c>
      <c r="AY6" s="397">
        <v>146</v>
      </c>
      <c r="AZ6" s="145">
        <v>146</v>
      </c>
      <c r="BA6" s="145">
        <v>146</v>
      </c>
      <c r="BB6" s="145">
        <v>146</v>
      </c>
      <c r="BC6" s="145">
        <v>146</v>
      </c>
      <c r="BD6" s="145">
        <v>146</v>
      </c>
      <c r="BE6" s="145">
        <v>146</v>
      </c>
      <c r="BF6" s="145">
        <v>146</v>
      </c>
      <c r="BG6" s="145">
        <v>146</v>
      </c>
      <c r="BH6" s="145">
        <v>146</v>
      </c>
      <c r="BI6" s="145">
        <v>146</v>
      </c>
      <c r="BJ6" s="146">
        <v>146</v>
      </c>
      <c r="BK6" s="462"/>
      <c r="BL6" s="353"/>
      <c r="BM6" s="348"/>
      <c r="BO6" s="348"/>
      <c r="BQ6" s="348"/>
      <c r="BX6" s="343"/>
    </row>
    <row r="7" spans="1:76" ht="15.75" thickBot="1" x14ac:dyDescent="0.3">
      <c r="B7" s="22" t="s">
        <v>206</v>
      </c>
      <c r="C7" s="23">
        <v>62.91</v>
      </c>
      <c r="D7" s="23">
        <v>55.7</v>
      </c>
      <c r="E7" s="23">
        <v>55.7</v>
      </c>
      <c r="F7" s="23">
        <v>55.7</v>
      </c>
      <c r="G7" s="23">
        <v>55.7</v>
      </c>
      <c r="H7" s="23">
        <v>55.71</v>
      </c>
      <c r="I7" s="23">
        <v>66.319999999999993</v>
      </c>
      <c r="J7" s="23">
        <v>76.900000000000006</v>
      </c>
      <c r="K7" s="23">
        <v>56.08</v>
      </c>
      <c r="L7" s="23">
        <v>55.7</v>
      </c>
      <c r="M7" s="23">
        <v>55.7</v>
      </c>
      <c r="N7" s="392">
        <v>55.7</v>
      </c>
      <c r="O7" s="393">
        <v>68.72</v>
      </c>
      <c r="P7" s="30">
        <v>69.25</v>
      </c>
      <c r="Q7" s="30">
        <v>69.3</v>
      </c>
      <c r="R7" s="30">
        <v>69.8</v>
      </c>
      <c r="S7" s="30">
        <v>70.2</v>
      </c>
      <c r="T7" s="30">
        <v>72.400000000000006</v>
      </c>
      <c r="U7" s="30">
        <v>77.150000000000006</v>
      </c>
      <c r="V7" s="30">
        <v>77.150000000000006</v>
      </c>
      <c r="W7" s="30">
        <v>77.150000000000006</v>
      </c>
      <c r="X7" s="30">
        <v>80.45</v>
      </c>
      <c r="Y7" s="30">
        <v>80.45</v>
      </c>
      <c r="Z7" s="392">
        <v>80.45</v>
      </c>
      <c r="AA7" s="393">
        <v>100.1</v>
      </c>
      <c r="AB7" s="30">
        <v>100.1</v>
      </c>
      <c r="AC7" s="30">
        <v>100.1</v>
      </c>
      <c r="AD7" s="30">
        <v>100.1</v>
      </c>
      <c r="AE7" s="30">
        <v>100.1</v>
      </c>
      <c r="AF7" s="30">
        <v>100.1</v>
      </c>
      <c r="AG7" s="30">
        <v>100.1</v>
      </c>
      <c r="AH7" s="30">
        <v>100.1</v>
      </c>
      <c r="AI7" s="30">
        <v>100.1</v>
      </c>
      <c r="AJ7" s="30">
        <v>100.1</v>
      </c>
      <c r="AK7" s="30">
        <v>100.1</v>
      </c>
      <c r="AL7" s="392">
        <v>100.1</v>
      </c>
      <c r="AM7" s="393">
        <v>112</v>
      </c>
      <c r="AN7" s="30">
        <v>112</v>
      </c>
      <c r="AO7" s="30">
        <v>112</v>
      </c>
      <c r="AP7" s="30">
        <v>112</v>
      </c>
      <c r="AQ7" s="30">
        <v>112</v>
      </c>
      <c r="AR7" s="30">
        <v>112</v>
      </c>
      <c r="AS7" s="30">
        <v>112</v>
      </c>
      <c r="AT7" s="30">
        <v>112</v>
      </c>
      <c r="AU7" s="30">
        <v>112</v>
      </c>
      <c r="AV7" s="30">
        <v>112</v>
      </c>
      <c r="AW7" s="30">
        <v>112</v>
      </c>
      <c r="AX7" s="392">
        <v>112</v>
      </c>
      <c r="AY7" s="393">
        <v>140.5</v>
      </c>
      <c r="AZ7" s="30">
        <v>140.5</v>
      </c>
      <c r="BA7" s="30">
        <v>140.5</v>
      </c>
      <c r="BB7" s="30">
        <v>140.5</v>
      </c>
      <c r="BC7" s="30">
        <v>140.5</v>
      </c>
      <c r="BD7" s="30">
        <v>140.5</v>
      </c>
      <c r="BE7" s="30">
        <v>140.5</v>
      </c>
      <c r="BF7" s="30">
        <v>140.5</v>
      </c>
      <c r="BG7" s="30">
        <v>140.5</v>
      </c>
      <c r="BH7" s="30">
        <v>140.5</v>
      </c>
      <c r="BI7" s="30">
        <v>140.5</v>
      </c>
      <c r="BJ7" s="31">
        <v>140.5</v>
      </c>
      <c r="BK7" s="462"/>
      <c r="BL7" s="356"/>
      <c r="BM7" s="354"/>
      <c r="BN7" s="346"/>
      <c r="BO7" s="347"/>
      <c r="BP7" s="347"/>
      <c r="BQ7" s="346"/>
      <c r="BR7" s="346"/>
      <c r="BS7" s="346"/>
      <c r="BT7" s="346"/>
      <c r="BU7" s="346"/>
      <c r="BV7" s="346"/>
      <c r="BW7" s="346"/>
    </row>
    <row r="8" spans="1:76" x14ac:dyDescent="0.25">
      <c r="B8" s="10" t="s">
        <v>335</v>
      </c>
      <c r="C8" s="44">
        <v>62.91</v>
      </c>
      <c r="D8" s="44">
        <v>55.7</v>
      </c>
      <c r="E8" s="44">
        <v>55.7</v>
      </c>
      <c r="F8" s="44">
        <v>55.7</v>
      </c>
      <c r="G8" s="44">
        <v>55.7</v>
      </c>
      <c r="H8" s="44">
        <v>55.71</v>
      </c>
      <c r="I8" s="44">
        <v>66.319999999999993</v>
      </c>
      <c r="J8" s="44">
        <v>76.900000000000006</v>
      </c>
      <c r="K8" s="44">
        <v>56.08</v>
      </c>
      <c r="L8" s="44">
        <v>55.7</v>
      </c>
      <c r="M8" s="44">
        <v>55.7</v>
      </c>
      <c r="N8" s="398">
        <v>55.7</v>
      </c>
      <c r="O8" s="399">
        <v>69</v>
      </c>
      <c r="P8" s="44">
        <v>69.67</v>
      </c>
      <c r="Q8" s="44">
        <v>69.67</v>
      </c>
      <c r="R8" s="44">
        <v>70.33</v>
      </c>
      <c r="S8" s="44">
        <v>71</v>
      </c>
      <c r="T8" s="44">
        <v>75</v>
      </c>
      <c r="U8" s="44">
        <v>79.3</v>
      </c>
      <c r="V8" s="44">
        <v>79.3</v>
      </c>
      <c r="W8" s="44">
        <v>79.3</v>
      </c>
      <c r="X8" s="44">
        <v>79.3</v>
      </c>
      <c r="Y8" s="44">
        <v>79.3</v>
      </c>
      <c r="Z8" s="398">
        <v>79.3</v>
      </c>
      <c r="AA8" s="399">
        <v>92.94</v>
      </c>
      <c r="AB8" s="44">
        <v>92.94</v>
      </c>
      <c r="AC8" s="44">
        <v>92.94</v>
      </c>
      <c r="AD8" s="44">
        <v>92.94</v>
      </c>
      <c r="AE8" s="44">
        <v>92.94</v>
      </c>
      <c r="AF8" s="44">
        <v>92.94</v>
      </c>
      <c r="AG8" s="44">
        <v>104</v>
      </c>
      <c r="AH8" s="44">
        <v>104</v>
      </c>
      <c r="AI8" s="44">
        <v>104</v>
      </c>
      <c r="AJ8" s="44">
        <v>104</v>
      </c>
      <c r="AK8" s="44">
        <v>104</v>
      </c>
      <c r="AL8" s="398">
        <v>104</v>
      </c>
      <c r="AM8" s="399">
        <v>121.33</v>
      </c>
      <c r="AN8" s="44">
        <v>121.33</v>
      </c>
      <c r="AO8" s="44">
        <v>121.33</v>
      </c>
      <c r="AP8" s="44">
        <v>121.33</v>
      </c>
      <c r="AQ8" s="44">
        <v>121.33</v>
      </c>
      <c r="AR8" s="44">
        <v>121.33</v>
      </c>
      <c r="AS8" s="44">
        <v>121.33</v>
      </c>
      <c r="AT8" s="44">
        <v>121.33</v>
      </c>
      <c r="AU8" s="44">
        <v>121.33</v>
      </c>
      <c r="AV8" s="44">
        <v>121.33</v>
      </c>
      <c r="AW8" s="44">
        <v>121.33</v>
      </c>
      <c r="AX8" s="398">
        <v>121.33</v>
      </c>
      <c r="AY8" s="399">
        <v>140.5</v>
      </c>
      <c r="AZ8" s="44">
        <v>140.5</v>
      </c>
      <c r="BA8" s="44">
        <v>140.5</v>
      </c>
      <c r="BB8" s="44">
        <v>140.5</v>
      </c>
      <c r="BC8" s="44">
        <v>140.5</v>
      </c>
      <c r="BD8" s="44">
        <v>140.5</v>
      </c>
      <c r="BE8" s="44">
        <v>140.5</v>
      </c>
      <c r="BF8" s="44">
        <v>140.5</v>
      </c>
      <c r="BG8" s="44">
        <v>140.5</v>
      </c>
      <c r="BH8" s="44">
        <v>140.5</v>
      </c>
      <c r="BI8" s="44">
        <v>140.5</v>
      </c>
      <c r="BJ8" s="595">
        <v>140.5</v>
      </c>
      <c r="BK8" s="461"/>
      <c r="BL8" s="354"/>
      <c r="BM8" s="348"/>
      <c r="BO8" s="348"/>
      <c r="BQ8" s="348"/>
    </row>
    <row r="9" spans="1:76" x14ac:dyDescent="0.25">
      <c r="B9" s="10" t="s">
        <v>338</v>
      </c>
      <c r="C9" s="44">
        <v>62.91</v>
      </c>
      <c r="D9" s="44">
        <v>55.7</v>
      </c>
      <c r="E9" s="44">
        <v>55.7</v>
      </c>
      <c r="F9" s="44">
        <v>55.7</v>
      </c>
      <c r="G9" s="44">
        <v>55.7</v>
      </c>
      <c r="H9" s="44">
        <v>55.71</v>
      </c>
      <c r="I9" s="44">
        <v>66.319999999999993</v>
      </c>
      <c r="J9" s="44">
        <v>76.900000000000006</v>
      </c>
      <c r="K9" s="44">
        <v>56.08</v>
      </c>
      <c r="L9" s="44">
        <v>55.7</v>
      </c>
      <c r="M9" s="44">
        <v>55.7</v>
      </c>
      <c r="N9" s="398">
        <v>55.85</v>
      </c>
      <c r="O9" s="399">
        <v>68.5</v>
      </c>
      <c r="P9" s="44">
        <v>70.5</v>
      </c>
      <c r="Q9" s="44">
        <v>71</v>
      </c>
      <c r="R9" s="44">
        <v>71.5</v>
      </c>
      <c r="S9" s="44">
        <v>72</v>
      </c>
      <c r="T9" s="44">
        <v>75.53</v>
      </c>
      <c r="U9" s="44">
        <v>88.36</v>
      </c>
      <c r="V9" s="44">
        <v>88.36</v>
      </c>
      <c r="W9" s="44">
        <v>88.36</v>
      </c>
      <c r="X9" s="44">
        <v>88.36</v>
      </c>
      <c r="Y9" s="44">
        <v>88.36</v>
      </c>
      <c r="Z9" s="398">
        <v>88.36</v>
      </c>
      <c r="AA9" s="399">
        <v>110.5</v>
      </c>
      <c r="AB9" s="44">
        <v>110.5</v>
      </c>
      <c r="AC9" s="44">
        <v>110.5</v>
      </c>
      <c r="AD9" s="44">
        <v>110.5</v>
      </c>
      <c r="AE9" s="44">
        <v>110.5</v>
      </c>
      <c r="AF9" s="44">
        <v>110.5</v>
      </c>
      <c r="AG9" s="44">
        <v>110.5</v>
      </c>
      <c r="AH9" s="44">
        <v>110.5</v>
      </c>
      <c r="AI9" s="44">
        <v>110.5</v>
      </c>
      <c r="AJ9" s="44">
        <v>110.5</v>
      </c>
      <c r="AK9" s="44">
        <v>110.5</v>
      </c>
      <c r="AL9" s="398">
        <v>110.5</v>
      </c>
      <c r="AM9" s="399">
        <v>129</v>
      </c>
      <c r="AN9" s="44">
        <v>129</v>
      </c>
      <c r="AO9" s="44">
        <v>129</v>
      </c>
      <c r="AP9" s="44">
        <v>129</v>
      </c>
      <c r="AQ9" s="44">
        <v>129</v>
      </c>
      <c r="AR9" s="44">
        <v>129</v>
      </c>
      <c r="AS9" s="44">
        <v>129</v>
      </c>
      <c r="AT9" s="44">
        <v>129</v>
      </c>
      <c r="AU9" s="44">
        <v>129</v>
      </c>
      <c r="AV9" s="44">
        <v>129</v>
      </c>
      <c r="AW9" s="44">
        <v>129</v>
      </c>
      <c r="AX9" s="398">
        <v>129</v>
      </c>
      <c r="AY9" s="399">
        <v>140.5</v>
      </c>
      <c r="AZ9" s="44">
        <v>140.5</v>
      </c>
      <c r="BA9" s="44">
        <v>140.5</v>
      </c>
      <c r="BB9" s="44">
        <v>140.5</v>
      </c>
      <c r="BC9" s="44">
        <v>140.5</v>
      </c>
      <c r="BD9" s="44">
        <v>140.5</v>
      </c>
      <c r="BE9" s="44">
        <v>140.5</v>
      </c>
      <c r="BF9" s="44">
        <v>140.5</v>
      </c>
      <c r="BG9" s="44">
        <v>140.5</v>
      </c>
      <c r="BH9" s="44">
        <v>140.5</v>
      </c>
      <c r="BI9" s="44">
        <v>140.5</v>
      </c>
      <c r="BJ9" s="595">
        <v>140.5</v>
      </c>
      <c r="BK9" s="461"/>
      <c r="BL9" s="354"/>
      <c r="BM9" s="355"/>
      <c r="BN9" s="349"/>
      <c r="BO9" s="349"/>
      <c r="BP9" s="344"/>
      <c r="BQ9" s="344"/>
      <c r="BR9" s="344"/>
      <c r="BS9" s="344"/>
      <c r="BT9" s="344"/>
      <c r="BU9" s="344"/>
      <c r="BV9" s="344"/>
      <c r="BW9" s="344"/>
    </row>
    <row r="10" spans="1:76" x14ac:dyDescent="0.25"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Z10" s="5"/>
      <c r="AA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X10" s="5"/>
      <c r="AY10" s="5"/>
      <c r="AZ10" s="5"/>
      <c r="BA10" s="5"/>
      <c r="BB10" s="5"/>
      <c r="BC10" s="5"/>
      <c r="BD10" s="5"/>
      <c r="BL10" s="354"/>
      <c r="BM10" s="348"/>
      <c r="BN10" s="348"/>
      <c r="BO10" s="348"/>
      <c r="BP10" s="344"/>
    </row>
    <row r="11" spans="1:76" ht="15.75" thickBot="1" x14ac:dyDescent="0.3">
      <c r="B11" s="35" t="s">
        <v>113</v>
      </c>
      <c r="C11" s="26">
        <f>C5</f>
        <v>44562</v>
      </c>
      <c r="D11" s="26">
        <f t="shared" ref="D11:Z11" si="0">D5</f>
        <v>44593</v>
      </c>
      <c r="E11" s="26">
        <f t="shared" si="0"/>
        <v>44621</v>
      </c>
      <c r="F11" s="26">
        <f t="shared" si="0"/>
        <v>44652</v>
      </c>
      <c r="G11" s="26">
        <f t="shared" si="0"/>
        <v>44682</v>
      </c>
      <c r="H11" s="26">
        <f t="shared" si="0"/>
        <v>44713</v>
      </c>
      <c r="I11" s="26">
        <f t="shared" si="0"/>
        <v>44743</v>
      </c>
      <c r="J11" s="26">
        <f t="shared" si="0"/>
        <v>44774</v>
      </c>
      <c r="K11" s="26">
        <f t="shared" si="0"/>
        <v>44805</v>
      </c>
      <c r="L11" s="26">
        <f t="shared" si="0"/>
        <v>44835</v>
      </c>
      <c r="M11" s="26">
        <f t="shared" si="0"/>
        <v>44866</v>
      </c>
      <c r="N11" s="382">
        <f t="shared" si="0"/>
        <v>44896</v>
      </c>
      <c r="O11" s="383">
        <f t="shared" si="0"/>
        <v>44927</v>
      </c>
      <c r="P11" s="26">
        <f t="shared" si="0"/>
        <v>44958</v>
      </c>
      <c r="Q11" s="26">
        <f t="shared" si="0"/>
        <v>44986</v>
      </c>
      <c r="R11" s="26">
        <f t="shared" si="0"/>
        <v>45017</v>
      </c>
      <c r="S11" s="26">
        <f t="shared" si="0"/>
        <v>45047</v>
      </c>
      <c r="T11" s="26">
        <f t="shared" si="0"/>
        <v>45078</v>
      </c>
      <c r="U11" s="26">
        <f t="shared" si="0"/>
        <v>45108</v>
      </c>
      <c r="V11" s="26">
        <f t="shared" si="0"/>
        <v>45139</v>
      </c>
      <c r="W11" s="26">
        <f t="shared" si="0"/>
        <v>45170</v>
      </c>
      <c r="X11" s="26">
        <f t="shared" si="0"/>
        <v>45200</v>
      </c>
      <c r="Y11" s="26">
        <f t="shared" si="0"/>
        <v>45231</v>
      </c>
      <c r="Z11" s="382">
        <f t="shared" si="0"/>
        <v>45261</v>
      </c>
      <c r="AA11" s="383">
        <f>AA5</f>
        <v>45292</v>
      </c>
      <c r="AB11" s="26">
        <f t="shared" ref="AB11:AX11" si="1">AB5</f>
        <v>45323</v>
      </c>
      <c r="AC11" s="26">
        <f t="shared" si="1"/>
        <v>45352</v>
      </c>
      <c r="AD11" s="26">
        <f t="shared" si="1"/>
        <v>45383</v>
      </c>
      <c r="AE11" s="26">
        <f t="shared" si="1"/>
        <v>45413</v>
      </c>
      <c r="AF11" s="26">
        <f t="shared" si="1"/>
        <v>45444</v>
      </c>
      <c r="AG11" s="26">
        <f t="shared" si="1"/>
        <v>45474</v>
      </c>
      <c r="AH11" s="26">
        <f t="shared" si="1"/>
        <v>45505</v>
      </c>
      <c r="AI11" s="26">
        <f t="shared" si="1"/>
        <v>45536</v>
      </c>
      <c r="AJ11" s="26">
        <f t="shared" si="1"/>
        <v>45566</v>
      </c>
      <c r="AK11" s="26">
        <f t="shared" si="1"/>
        <v>45597</v>
      </c>
      <c r="AL11" s="382">
        <f t="shared" si="1"/>
        <v>45627</v>
      </c>
      <c r="AM11" s="383">
        <f t="shared" si="1"/>
        <v>45658</v>
      </c>
      <c r="AN11" s="26">
        <f t="shared" si="1"/>
        <v>45689</v>
      </c>
      <c r="AO11" s="26">
        <f t="shared" si="1"/>
        <v>45717</v>
      </c>
      <c r="AP11" s="26">
        <f t="shared" si="1"/>
        <v>45748</v>
      </c>
      <c r="AQ11" s="26">
        <f t="shared" si="1"/>
        <v>45778</v>
      </c>
      <c r="AR11" s="26">
        <f t="shared" si="1"/>
        <v>45809</v>
      </c>
      <c r="AS11" s="26">
        <f t="shared" si="1"/>
        <v>45839</v>
      </c>
      <c r="AT11" s="26">
        <f t="shared" si="1"/>
        <v>45870</v>
      </c>
      <c r="AU11" s="26">
        <f t="shared" si="1"/>
        <v>45901</v>
      </c>
      <c r="AV11" s="26">
        <f t="shared" si="1"/>
        <v>45931</v>
      </c>
      <c r="AW11" s="26">
        <f t="shared" si="1"/>
        <v>45962</v>
      </c>
      <c r="AX11" s="382">
        <f t="shared" si="1"/>
        <v>45992</v>
      </c>
      <c r="AY11" s="383">
        <f t="shared" ref="AY11:BJ11" si="2">AY5</f>
        <v>46023</v>
      </c>
      <c r="AZ11" s="26">
        <f t="shared" si="2"/>
        <v>46054</v>
      </c>
      <c r="BA11" s="26">
        <f t="shared" si="2"/>
        <v>46082</v>
      </c>
      <c r="BB11" s="26">
        <f t="shared" si="2"/>
        <v>46113</v>
      </c>
      <c r="BC11" s="26">
        <f t="shared" si="2"/>
        <v>46143</v>
      </c>
      <c r="BD11" s="26">
        <f t="shared" si="2"/>
        <v>46174</v>
      </c>
      <c r="BE11" s="26">
        <f t="shared" si="2"/>
        <v>46204</v>
      </c>
      <c r="BF11" s="26">
        <f t="shared" si="2"/>
        <v>46235</v>
      </c>
      <c r="BG11" s="26">
        <f t="shared" si="2"/>
        <v>46266</v>
      </c>
      <c r="BH11" s="26">
        <f t="shared" si="2"/>
        <v>46296</v>
      </c>
      <c r="BI11" s="26">
        <f t="shared" si="2"/>
        <v>46327</v>
      </c>
      <c r="BJ11" s="464">
        <f t="shared" si="2"/>
        <v>46357</v>
      </c>
      <c r="BK11" s="461"/>
      <c r="BL11" s="354"/>
      <c r="BM11" s="348"/>
      <c r="BN11" s="348"/>
      <c r="BO11" s="348"/>
      <c r="BP11" s="344"/>
    </row>
    <row r="12" spans="1:76" x14ac:dyDescent="0.25">
      <c r="A12" s="7"/>
      <c r="B12" s="16" t="s">
        <v>114</v>
      </c>
      <c r="C12" s="28">
        <v>1.0000000000005116E-2</v>
      </c>
      <c r="D12" s="28">
        <v>0</v>
      </c>
      <c r="E12" s="28">
        <v>0</v>
      </c>
      <c r="F12" s="28">
        <v>0</v>
      </c>
      <c r="G12" s="28">
        <v>0</v>
      </c>
      <c r="H12" s="28">
        <v>0</v>
      </c>
      <c r="I12" s="28">
        <v>0</v>
      </c>
      <c r="J12" s="28">
        <v>0</v>
      </c>
      <c r="K12" s="28">
        <v>0</v>
      </c>
      <c r="L12" s="28">
        <v>0</v>
      </c>
      <c r="M12" s="28">
        <v>0</v>
      </c>
      <c r="N12" s="390">
        <v>0</v>
      </c>
      <c r="O12" s="391">
        <v>0</v>
      </c>
      <c r="P12" s="28">
        <v>0</v>
      </c>
      <c r="Q12" s="28">
        <v>0</v>
      </c>
      <c r="R12" s="28">
        <v>0</v>
      </c>
      <c r="S12" s="28">
        <v>0</v>
      </c>
      <c r="T12" s="28">
        <v>0</v>
      </c>
      <c r="U12" s="28">
        <v>0</v>
      </c>
      <c r="V12" s="28">
        <v>0</v>
      </c>
      <c r="W12" s="28">
        <v>0</v>
      </c>
      <c r="X12" s="28">
        <v>0</v>
      </c>
      <c r="Y12" s="28">
        <v>0</v>
      </c>
      <c r="Z12" s="390">
        <v>0</v>
      </c>
      <c r="AA12" s="391">
        <v>0</v>
      </c>
      <c r="AB12" s="28">
        <v>0</v>
      </c>
      <c r="AC12" s="28">
        <v>0</v>
      </c>
      <c r="AD12" s="28">
        <v>0</v>
      </c>
      <c r="AE12" s="28">
        <v>0</v>
      </c>
      <c r="AF12" s="28">
        <v>0</v>
      </c>
      <c r="AG12" s="28">
        <v>0</v>
      </c>
      <c r="AH12" s="28">
        <v>0</v>
      </c>
      <c r="AI12" s="28">
        <v>0</v>
      </c>
      <c r="AJ12" s="28">
        <v>0</v>
      </c>
      <c r="AK12" s="28">
        <v>0</v>
      </c>
      <c r="AL12" s="390">
        <v>0</v>
      </c>
      <c r="AM12" s="391">
        <v>0</v>
      </c>
      <c r="AN12" s="28">
        <v>0</v>
      </c>
      <c r="AO12" s="28">
        <v>0</v>
      </c>
      <c r="AP12" s="28">
        <v>0</v>
      </c>
      <c r="AQ12" s="28">
        <v>0</v>
      </c>
      <c r="AR12" s="28">
        <v>0</v>
      </c>
      <c r="AS12" s="28">
        <v>0</v>
      </c>
      <c r="AT12" s="28">
        <v>0</v>
      </c>
      <c r="AU12" s="28">
        <v>0</v>
      </c>
      <c r="AV12" s="28">
        <v>0</v>
      </c>
      <c r="AW12" s="28">
        <v>0</v>
      </c>
      <c r="AX12" s="390">
        <v>0</v>
      </c>
      <c r="AY12" s="391">
        <v>0</v>
      </c>
      <c r="AZ12" s="28">
        <v>0</v>
      </c>
      <c r="BA12" s="28">
        <v>0</v>
      </c>
      <c r="BB12" s="28">
        <v>0</v>
      </c>
      <c r="BC12" s="28">
        <v>0</v>
      </c>
      <c r="BD12" s="28">
        <v>0</v>
      </c>
      <c r="BE12" s="28">
        <v>0</v>
      </c>
      <c r="BF12" s="28">
        <v>0</v>
      </c>
      <c r="BG12" s="28">
        <v>0</v>
      </c>
      <c r="BH12" s="28">
        <v>0</v>
      </c>
      <c r="BI12" s="28">
        <v>0</v>
      </c>
      <c r="BJ12" s="29">
        <v>0</v>
      </c>
      <c r="BK12" s="461"/>
      <c r="BL12" s="354"/>
      <c r="BM12" s="348"/>
      <c r="BN12" s="348"/>
      <c r="BO12" s="348"/>
      <c r="BP12" s="344"/>
    </row>
    <row r="13" spans="1:76" x14ac:dyDescent="0.25">
      <c r="A13" s="7"/>
      <c r="B13" s="17" t="s">
        <v>115</v>
      </c>
      <c r="C13" s="28">
        <v>-5.6899999999999977</v>
      </c>
      <c r="D13" s="28">
        <v>0</v>
      </c>
      <c r="E13" s="28">
        <v>0</v>
      </c>
      <c r="F13" s="28">
        <v>0</v>
      </c>
      <c r="G13" s="28">
        <v>0</v>
      </c>
      <c r="H13" s="28">
        <v>0</v>
      </c>
      <c r="I13" s="28">
        <v>-1.9999999999996021E-2</v>
      </c>
      <c r="J13" s="28">
        <v>0</v>
      </c>
      <c r="K13" s="28">
        <v>0</v>
      </c>
      <c r="L13" s="28">
        <v>0</v>
      </c>
      <c r="M13" s="28">
        <v>0</v>
      </c>
      <c r="N13" s="390">
        <v>0</v>
      </c>
      <c r="O13" s="391">
        <v>0</v>
      </c>
      <c r="P13" s="28">
        <v>0</v>
      </c>
      <c r="Q13" s="28">
        <v>0</v>
      </c>
      <c r="R13" s="28">
        <v>0</v>
      </c>
      <c r="S13" s="28">
        <v>0</v>
      </c>
      <c r="T13" s="28">
        <v>0</v>
      </c>
      <c r="U13" s="28">
        <v>0</v>
      </c>
      <c r="V13" s="28">
        <v>0</v>
      </c>
      <c r="W13" s="28">
        <v>0</v>
      </c>
      <c r="X13" s="28">
        <v>0</v>
      </c>
      <c r="Y13" s="28">
        <v>0</v>
      </c>
      <c r="Z13" s="390">
        <v>0</v>
      </c>
      <c r="AA13" s="391">
        <v>0</v>
      </c>
      <c r="AB13" s="28">
        <v>0</v>
      </c>
      <c r="AC13" s="28">
        <v>0</v>
      </c>
      <c r="AD13" s="28">
        <v>0</v>
      </c>
      <c r="AE13" s="28">
        <v>0</v>
      </c>
      <c r="AF13" s="28">
        <v>0</v>
      </c>
      <c r="AG13" s="28">
        <v>0</v>
      </c>
      <c r="AH13" s="28">
        <v>0</v>
      </c>
      <c r="AI13" s="28">
        <v>0</v>
      </c>
      <c r="AJ13" s="28">
        <v>0</v>
      </c>
      <c r="AK13" s="28">
        <v>0</v>
      </c>
      <c r="AL13" s="390">
        <v>0</v>
      </c>
      <c r="AM13" s="391">
        <v>0</v>
      </c>
      <c r="AN13" s="28">
        <v>0</v>
      </c>
      <c r="AO13" s="28">
        <v>0</v>
      </c>
      <c r="AP13" s="28">
        <v>0</v>
      </c>
      <c r="AQ13" s="28">
        <v>0</v>
      </c>
      <c r="AR13" s="28">
        <v>0</v>
      </c>
      <c r="AS13" s="28">
        <v>0</v>
      </c>
      <c r="AT13" s="28">
        <v>0</v>
      </c>
      <c r="AU13" s="28">
        <v>0</v>
      </c>
      <c r="AV13" s="28">
        <v>0</v>
      </c>
      <c r="AW13" s="28">
        <v>0</v>
      </c>
      <c r="AX13" s="390">
        <v>0</v>
      </c>
      <c r="AY13" s="391">
        <v>0</v>
      </c>
      <c r="AZ13" s="28">
        <v>0</v>
      </c>
      <c r="BA13" s="28">
        <v>0</v>
      </c>
      <c r="BB13" s="28">
        <v>0</v>
      </c>
      <c r="BC13" s="28">
        <v>0</v>
      </c>
      <c r="BD13" s="28">
        <v>0</v>
      </c>
      <c r="BE13" s="28">
        <v>0</v>
      </c>
      <c r="BF13" s="28">
        <v>0</v>
      </c>
      <c r="BG13" s="28">
        <v>0</v>
      </c>
      <c r="BH13" s="28">
        <v>0</v>
      </c>
      <c r="BI13" s="28">
        <v>0</v>
      </c>
      <c r="BJ13" s="29">
        <v>0</v>
      </c>
      <c r="BK13" s="461"/>
      <c r="BL13" s="354"/>
      <c r="BM13" s="354"/>
      <c r="BN13" s="348"/>
      <c r="BO13" s="348"/>
    </row>
    <row r="14" spans="1:76" ht="15.75" thickBot="1" x14ac:dyDescent="0.3">
      <c r="A14" s="7"/>
      <c r="B14" s="22" t="s">
        <v>116</v>
      </c>
      <c r="C14" s="30">
        <v>-7.1999999999999957</v>
      </c>
      <c r="D14" s="30">
        <v>0</v>
      </c>
      <c r="E14" s="30">
        <v>0</v>
      </c>
      <c r="F14" s="30">
        <v>0</v>
      </c>
      <c r="G14" s="30">
        <v>0</v>
      </c>
      <c r="H14" s="30">
        <v>0</v>
      </c>
      <c r="I14" s="30">
        <v>0</v>
      </c>
      <c r="J14" s="30">
        <v>0</v>
      </c>
      <c r="K14" s="30">
        <v>0</v>
      </c>
      <c r="L14" s="30">
        <v>0</v>
      </c>
      <c r="M14" s="30">
        <v>0</v>
      </c>
      <c r="N14" s="392">
        <v>0</v>
      </c>
      <c r="O14" s="393">
        <v>0</v>
      </c>
      <c r="P14" s="30">
        <v>0</v>
      </c>
      <c r="Q14" s="30">
        <v>0</v>
      </c>
      <c r="R14" s="30">
        <v>0</v>
      </c>
      <c r="S14" s="30">
        <v>0</v>
      </c>
      <c r="T14" s="30">
        <v>0</v>
      </c>
      <c r="U14" s="30">
        <v>0</v>
      </c>
      <c r="V14" s="30">
        <v>0</v>
      </c>
      <c r="W14" s="30">
        <v>0</v>
      </c>
      <c r="X14" s="30">
        <v>0</v>
      </c>
      <c r="Y14" s="30">
        <v>0</v>
      </c>
      <c r="Z14" s="392">
        <v>0</v>
      </c>
      <c r="AA14" s="393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v>0</v>
      </c>
      <c r="AJ14" s="30">
        <v>0</v>
      </c>
      <c r="AK14" s="30">
        <v>0</v>
      </c>
      <c r="AL14" s="392">
        <v>0</v>
      </c>
      <c r="AM14" s="393">
        <v>0</v>
      </c>
      <c r="AN14" s="30">
        <v>0</v>
      </c>
      <c r="AO14" s="30">
        <v>0</v>
      </c>
      <c r="AP14" s="30">
        <v>0</v>
      </c>
      <c r="AQ14" s="30">
        <v>0</v>
      </c>
      <c r="AR14" s="30">
        <v>0</v>
      </c>
      <c r="AS14" s="30">
        <v>0</v>
      </c>
      <c r="AT14" s="30">
        <v>0</v>
      </c>
      <c r="AU14" s="30">
        <v>0</v>
      </c>
      <c r="AV14" s="30">
        <v>0</v>
      </c>
      <c r="AW14" s="30">
        <v>0</v>
      </c>
      <c r="AX14" s="392">
        <v>0</v>
      </c>
      <c r="AY14" s="393">
        <v>0</v>
      </c>
      <c r="AZ14" s="30">
        <v>0</v>
      </c>
      <c r="BA14" s="30">
        <v>0</v>
      </c>
      <c r="BB14" s="30">
        <v>0</v>
      </c>
      <c r="BC14" s="30">
        <v>0</v>
      </c>
      <c r="BD14" s="30">
        <v>0</v>
      </c>
      <c r="BE14" s="30">
        <v>0</v>
      </c>
      <c r="BF14" s="30">
        <v>0</v>
      </c>
      <c r="BG14" s="30">
        <v>0</v>
      </c>
      <c r="BH14" s="30">
        <v>0</v>
      </c>
      <c r="BI14" s="30">
        <v>0</v>
      </c>
      <c r="BJ14" s="31">
        <v>0</v>
      </c>
      <c r="BK14" s="461"/>
      <c r="BL14" s="354"/>
      <c r="BM14" s="354"/>
      <c r="BN14" s="348"/>
      <c r="BO14" s="348"/>
    </row>
    <row r="15" spans="1:76" x14ac:dyDescent="0.25">
      <c r="B15" s="6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L15" s="354"/>
      <c r="BM15" s="348"/>
      <c r="BN15" s="348"/>
      <c r="BO15" s="348"/>
    </row>
    <row r="16" spans="1:76" ht="15.75" thickBot="1" x14ac:dyDescent="0.3">
      <c r="B16" s="35" t="s">
        <v>202</v>
      </c>
      <c r="C16" s="26">
        <f>C11</f>
        <v>44562</v>
      </c>
      <c r="D16" s="26">
        <f t="shared" ref="D16:Z16" si="3">D11</f>
        <v>44593</v>
      </c>
      <c r="E16" s="26">
        <f t="shared" si="3"/>
        <v>44621</v>
      </c>
      <c r="F16" s="26">
        <f t="shared" si="3"/>
        <v>44652</v>
      </c>
      <c r="G16" s="26">
        <f t="shared" si="3"/>
        <v>44682</v>
      </c>
      <c r="H16" s="26">
        <f t="shared" si="3"/>
        <v>44713</v>
      </c>
      <c r="I16" s="26">
        <f t="shared" si="3"/>
        <v>44743</v>
      </c>
      <c r="J16" s="26">
        <f t="shared" si="3"/>
        <v>44774</v>
      </c>
      <c r="K16" s="26">
        <f t="shared" si="3"/>
        <v>44805</v>
      </c>
      <c r="L16" s="26">
        <f t="shared" si="3"/>
        <v>44835</v>
      </c>
      <c r="M16" s="26">
        <f t="shared" si="3"/>
        <v>44866</v>
      </c>
      <c r="N16" s="382">
        <f t="shared" si="3"/>
        <v>44896</v>
      </c>
      <c r="O16" s="383">
        <f t="shared" si="3"/>
        <v>44927</v>
      </c>
      <c r="P16" s="26">
        <f t="shared" si="3"/>
        <v>44958</v>
      </c>
      <c r="Q16" s="26">
        <f t="shared" si="3"/>
        <v>44986</v>
      </c>
      <c r="R16" s="26">
        <f t="shared" si="3"/>
        <v>45017</v>
      </c>
      <c r="S16" s="26">
        <f t="shared" si="3"/>
        <v>45047</v>
      </c>
      <c r="T16" s="26">
        <f t="shared" si="3"/>
        <v>45078</v>
      </c>
      <c r="U16" s="26">
        <f t="shared" si="3"/>
        <v>45108</v>
      </c>
      <c r="V16" s="26">
        <f t="shared" si="3"/>
        <v>45139</v>
      </c>
      <c r="W16" s="26">
        <f t="shared" si="3"/>
        <v>45170</v>
      </c>
      <c r="X16" s="26">
        <f t="shared" si="3"/>
        <v>45200</v>
      </c>
      <c r="Y16" s="26">
        <f t="shared" si="3"/>
        <v>45231</v>
      </c>
      <c r="Z16" s="382">
        <f t="shared" si="3"/>
        <v>45261</v>
      </c>
      <c r="AA16" s="383">
        <f>AA11</f>
        <v>45292</v>
      </c>
      <c r="AB16" s="26">
        <f t="shared" ref="AB16:AX16" si="4">AB11</f>
        <v>45323</v>
      </c>
      <c r="AC16" s="26">
        <f t="shared" si="4"/>
        <v>45352</v>
      </c>
      <c r="AD16" s="26">
        <f t="shared" si="4"/>
        <v>45383</v>
      </c>
      <c r="AE16" s="26">
        <f t="shared" si="4"/>
        <v>45413</v>
      </c>
      <c r="AF16" s="26">
        <f t="shared" si="4"/>
        <v>45444</v>
      </c>
      <c r="AG16" s="26">
        <f t="shared" si="4"/>
        <v>45474</v>
      </c>
      <c r="AH16" s="26">
        <f t="shared" si="4"/>
        <v>45505</v>
      </c>
      <c r="AI16" s="26">
        <f t="shared" si="4"/>
        <v>45536</v>
      </c>
      <c r="AJ16" s="26">
        <f t="shared" si="4"/>
        <v>45566</v>
      </c>
      <c r="AK16" s="26">
        <f t="shared" si="4"/>
        <v>45597</v>
      </c>
      <c r="AL16" s="382">
        <f t="shared" si="4"/>
        <v>45627</v>
      </c>
      <c r="AM16" s="383">
        <f t="shared" si="4"/>
        <v>45658</v>
      </c>
      <c r="AN16" s="26">
        <f t="shared" si="4"/>
        <v>45689</v>
      </c>
      <c r="AO16" s="26">
        <f t="shared" si="4"/>
        <v>45717</v>
      </c>
      <c r="AP16" s="26">
        <f t="shared" si="4"/>
        <v>45748</v>
      </c>
      <c r="AQ16" s="26">
        <f t="shared" si="4"/>
        <v>45778</v>
      </c>
      <c r="AR16" s="26">
        <f t="shared" si="4"/>
        <v>45809</v>
      </c>
      <c r="AS16" s="26">
        <f t="shared" si="4"/>
        <v>45839</v>
      </c>
      <c r="AT16" s="26">
        <f t="shared" si="4"/>
        <v>45870</v>
      </c>
      <c r="AU16" s="26">
        <f t="shared" si="4"/>
        <v>45901</v>
      </c>
      <c r="AV16" s="26">
        <f t="shared" si="4"/>
        <v>45931</v>
      </c>
      <c r="AW16" s="26">
        <f t="shared" si="4"/>
        <v>45962</v>
      </c>
      <c r="AX16" s="382">
        <f t="shared" si="4"/>
        <v>45992</v>
      </c>
      <c r="AY16" s="383">
        <f t="shared" ref="AY16:BJ16" si="5">AY11</f>
        <v>46023</v>
      </c>
      <c r="AZ16" s="26">
        <f t="shared" si="5"/>
        <v>46054</v>
      </c>
      <c r="BA16" s="26">
        <f t="shared" si="5"/>
        <v>46082</v>
      </c>
      <c r="BB16" s="26">
        <f t="shared" si="5"/>
        <v>46113</v>
      </c>
      <c r="BC16" s="26">
        <f t="shared" si="5"/>
        <v>46143</v>
      </c>
      <c r="BD16" s="26">
        <f t="shared" si="5"/>
        <v>46174</v>
      </c>
      <c r="BE16" s="26">
        <f t="shared" si="5"/>
        <v>46204</v>
      </c>
      <c r="BF16" s="26">
        <f t="shared" si="5"/>
        <v>46235</v>
      </c>
      <c r="BG16" s="26">
        <f t="shared" si="5"/>
        <v>46266</v>
      </c>
      <c r="BH16" s="26">
        <f t="shared" si="5"/>
        <v>46296</v>
      </c>
      <c r="BI16" s="26">
        <f t="shared" si="5"/>
        <v>46327</v>
      </c>
      <c r="BJ16" s="464">
        <f t="shared" si="5"/>
        <v>46357</v>
      </c>
      <c r="BK16" s="461"/>
      <c r="BL16" s="354"/>
      <c r="BM16" s="348"/>
      <c r="BN16" s="348"/>
      <c r="BO16" s="348"/>
    </row>
    <row r="17" spans="1:70" x14ac:dyDescent="0.25">
      <c r="A17" s="7"/>
      <c r="B17" s="16" t="s">
        <v>397</v>
      </c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384"/>
      <c r="O17" s="385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384"/>
      <c r="AA17" s="385"/>
      <c r="AB17" s="27"/>
      <c r="AC17" s="27"/>
      <c r="AD17" s="27"/>
      <c r="AE17" s="27"/>
      <c r="AF17" s="27"/>
      <c r="AG17" s="27"/>
      <c r="AH17" s="27"/>
      <c r="AI17" s="27"/>
      <c r="AJ17" s="27"/>
      <c r="AK17" s="27"/>
      <c r="AL17" s="384"/>
      <c r="AM17" s="385"/>
      <c r="AN17" s="27"/>
      <c r="AO17" s="27"/>
      <c r="AP17" s="27"/>
      <c r="AQ17" s="27"/>
      <c r="AR17" s="27"/>
      <c r="AS17" s="27"/>
      <c r="AT17" s="27"/>
      <c r="AU17" s="27"/>
      <c r="AV17" s="27"/>
      <c r="AW17" s="27"/>
      <c r="AX17" s="384"/>
      <c r="AY17" s="385"/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465"/>
      <c r="BK17" s="461"/>
      <c r="BL17" s="354"/>
      <c r="BM17" s="354"/>
      <c r="BN17" s="348"/>
      <c r="BO17" s="348"/>
    </row>
    <row r="18" spans="1:70" x14ac:dyDescent="0.25">
      <c r="A18" s="7"/>
      <c r="B18" s="139" t="s">
        <v>203</v>
      </c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384"/>
      <c r="O18" s="385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384"/>
      <c r="AA18" s="385"/>
      <c r="AB18" s="27"/>
      <c r="AC18" s="27"/>
      <c r="AD18" s="27"/>
      <c r="AE18" s="27"/>
      <c r="AF18" s="27"/>
      <c r="AG18" s="27"/>
      <c r="AH18" s="27"/>
      <c r="AI18" s="27"/>
      <c r="AJ18" s="27"/>
      <c r="AK18" s="27"/>
      <c r="AL18" s="384"/>
      <c r="AM18" s="385"/>
      <c r="AN18" s="27"/>
      <c r="AO18" s="27"/>
      <c r="AP18" s="27"/>
      <c r="AQ18" s="27"/>
      <c r="AR18" s="27"/>
      <c r="AS18" s="27"/>
      <c r="AT18" s="27"/>
      <c r="AU18" s="27"/>
      <c r="AV18" s="27"/>
      <c r="AW18" s="27"/>
      <c r="AX18" s="384"/>
      <c r="AY18" s="385"/>
      <c r="AZ18" s="27"/>
      <c r="BA18" s="27"/>
      <c r="BB18" s="27"/>
      <c r="BC18" s="27"/>
      <c r="BD18" s="27"/>
      <c r="BE18" s="27"/>
      <c r="BF18" s="27"/>
      <c r="BG18" s="27"/>
      <c r="BH18" s="27"/>
      <c r="BI18" s="27"/>
      <c r="BJ18" s="465"/>
      <c r="BK18" s="461"/>
      <c r="BO18" s="348"/>
    </row>
    <row r="19" spans="1:70" x14ac:dyDescent="0.25">
      <c r="A19" s="7"/>
      <c r="B19" s="139" t="s">
        <v>204</v>
      </c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384"/>
      <c r="O19" s="385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384"/>
      <c r="AA19" s="385"/>
      <c r="AB19" s="27"/>
      <c r="AC19" s="27"/>
      <c r="AD19" s="27"/>
      <c r="AE19" s="27"/>
      <c r="AF19" s="27"/>
      <c r="AG19" s="27"/>
      <c r="AH19" s="27"/>
      <c r="AI19" s="27"/>
      <c r="AJ19" s="27"/>
      <c r="AK19" s="27"/>
      <c r="AL19" s="384"/>
      <c r="AM19" s="385"/>
      <c r="AN19" s="27"/>
      <c r="AO19" s="27"/>
      <c r="AP19" s="27"/>
      <c r="AQ19" s="27"/>
      <c r="AR19" s="27"/>
      <c r="AS19" s="27"/>
      <c r="AT19" s="27"/>
      <c r="AU19" s="27"/>
      <c r="AV19" s="27"/>
      <c r="AW19" s="27"/>
      <c r="AX19" s="384"/>
      <c r="AY19" s="385"/>
      <c r="AZ19" s="27"/>
      <c r="BA19" s="27"/>
      <c r="BB19" s="27"/>
      <c r="BC19" s="27"/>
      <c r="BD19" s="27"/>
      <c r="BE19" s="27"/>
      <c r="BF19" s="27"/>
      <c r="BG19" s="27"/>
      <c r="BH19" s="27"/>
      <c r="BI19" s="27"/>
      <c r="BJ19" s="465"/>
      <c r="BK19" s="461"/>
      <c r="BM19" s="348"/>
      <c r="BO19" s="348"/>
      <c r="BR19" s="378"/>
    </row>
    <row r="20" spans="1:70" x14ac:dyDescent="0.25">
      <c r="A20" s="7"/>
      <c r="B20" s="139" t="s">
        <v>205</v>
      </c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384"/>
      <c r="O20" s="385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384"/>
      <c r="AA20" s="385"/>
      <c r="AB20" s="27"/>
      <c r="AC20" s="27"/>
      <c r="AD20" s="27"/>
      <c r="AE20" s="27"/>
      <c r="AF20" s="27"/>
      <c r="AG20" s="27"/>
      <c r="AH20" s="27"/>
      <c r="AI20" s="27"/>
      <c r="AJ20" s="27"/>
      <c r="AK20" s="27"/>
      <c r="AL20" s="384"/>
      <c r="AM20" s="385"/>
      <c r="AN20" s="27"/>
      <c r="AO20" s="27"/>
      <c r="AP20" s="27"/>
      <c r="AQ20" s="27"/>
      <c r="AR20" s="27"/>
      <c r="AS20" s="27"/>
      <c r="AT20" s="27"/>
      <c r="AU20" s="27"/>
      <c r="AV20" s="27"/>
      <c r="AW20" s="27"/>
      <c r="AX20" s="384"/>
      <c r="AY20" s="385"/>
      <c r="AZ20" s="27"/>
      <c r="BA20" s="27"/>
      <c r="BB20" s="27"/>
      <c r="BC20" s="27"/>
      <c r="BD20" s="27"/>
      <c r="BE20" s="27"/>
      <c r="BF20" s="27"/>
      <c r="BG20" s="27"/>
      <c r="BH20" s="27"/>
      <c r="BI20" s="27"/>
      <c r="BJ20" s="465"/>
      <c r="BK20" s="461"/>
      <c r="BO20" s="348"/>
    </row>
    <row r="21" spans="1:70" x14ac:dyDescent="0.25">
      <c r="A21" s="7"/>
      <c r="B21" s="25" t="s">
        <v>142</v>
      </c>
      <c r="C21" s="317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86"/>
      <c r="O21" s="387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86"/>
      <c r="AA21" s="387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86"/>
      <c r="AM21" s="387"/>
      <c r="AN21" s="39"/>
      <c r="AO21" s="39"/>
      <c r="AP21" s="39"/>
      <c r="AQ21" s="39"/>
      <c r="AR21" s="39"/>
      <c r="AS21" s="39"/>
      <c r="AT21" s="39"/>
      <c r="AU21" s="39"/>
      <c r="AV21" s="39"/>
      <c r="AW21" s="39"/>
      <c r="AX21" s="386"/>
      <c r="AY21" s="387"/>
      <c r="AZ21" s="39"/>
      <c r="BA21" s="39"/>
      <c r="BB21" s="39"/>
      <c r="BC21" s="39"/>
      <c r="BD21" s="39"/>
      <c r="BE21" s="39"/>
      <c r="BF21" s="39"/>
      <c r="BG21" s="39"/>
      <c r="BH21" s="39"/>
      <c r="BI21" s="39"/>
      <c r="BJ21" s="466"/>
      <c r="BK21" s="461"/>
      <c r="BN21" s="348"/>
      <c r="BO21" s="348"/>
    </row>
    <row r="22" spans="1:70" x14ac:dyDescent="0.25">
      <c r="A22" s="7"/>
      <c r="B22" s="17" t="s">
        <v>147</v>
      </c>
      <c r="C22" s="623">
        <v>0</v>
      </c>
      <c r="D22" s="623">
        <v>0</v>
      </c>
      <c r="E22" s="623">
        <v>0</v>
      </c>
      <c r="F22" s="623">
        <v>0</v>
      </c>
      <c r="G22" s="623">
        <v>0</v>
      </c>
      <c r="H22" s="623">
        <v>0</v>
      </c>
      <c r="I22" s="623">
        <v>0</v>
      </c>
      <c r="J22" s="623">
        <v>0</v>
      </c>
      <c r="K22" s="623">
        <v>0</v>
      </c>
      <c r="L22" s="623">
        <v>0</v>
      </c>
      <c r="M22" s="623">
        <v>0</v>
      </c>
      <c r="N22" s="388">
        <v>0</v>
      </c>
      <c r="O22" s="389">
        <v>0</v>
      </c>
      <c r="P22" s="571">
        <v>0</v>
      </c>
      <c r="Q22" s="571">
        <v>0</v>
      </c>
      <c r="R22" s="571">
        <v>0</v>
      </c>
      <c r="S22" s="571">
        <v>0</v>
      </c>
      <c r="T22" s="571">
        <v>0</v>
      </c>
      <c r="U22" s="571">
        <v>0</v>
      </c>
      <c r="V22" s="571">
        <v>0</v>
      </c>
      <c r="W22" s="571">
        <v>0</v>
      </c>
      <c r="X22" s="571">
        <v>0</v>
      </c>
      <c r="Y22" s="571">
        <v>0</v>
      </c>
      <c r="Z22" s="388">
        <v>0</v>
      </c>
      <c r="AA22" s="389">
        <v>0</v>
      </c>
      <c r="AB22" s="571">
        <v>0</v>
      </c>
      <c r="AC22" s="571">
        <v>0</v>
      </c>
      <c r="AD22" s="571">
        <v>0</v>
      </c>
      <c r="AE22" s="571">
        <v>0</v>
      </c>
      <c r="AF22" s="571">
        <v>0</v>
      </c>
      <c r="AG22" s="571">
        <v>0</v>
      </c>
      <c r="AH22" s="571">
        <v>0</v>
      </c>
      <c r="AI22" s="571">
        <v>0</v>
      </c>
      <c r="AJ22" s="571">
        <v>0</v>
      </c>
      <c r="AK22" s="571">
        <v>0</v>
      </c>
      <c r="AL22" s="388">
        <v>0</v>
      </c>
      <c r="AM22" s="389">
        <v>0</v>
      </c>
      <c r="AN22" s="571">
        <v>0</v>
      </c>
      <c r="AO22" s="571">
        <v>0</v>
      </c>
      <c r="AP22" s="571">
        <v>0</v>
      </c>
      <c r="AQ22" s="571">
        <v>0</v>
      </c>
      <c r="AR22" s="571">
        <v>0</v>
      </c>
      <c r="AS22" s="571">
        <v>0</v>
      </c>
      <c r="AT22" s="571">
        <v>0</v>
      </c>
      <c r="AU22" s="571">
        <v>0</v>
      </c>
      <c r="AV22" s="571">
        <v>0</v>
      </c>
      <c r="AW22" s="571">
        <v>0</v>
      </c>
      <c r="AX22" s="388">
        <v>0</v>
      </c>
      <c r="AY22" s="389">
        <v>0</v>
      </c>
      <c r="AZ22" s="571">
        <v>0</v>
      </c>
      <c r="BA22" s="571">
        <v>0</v>
      </c>
      <c r="BB22" s="571">
        <v>0</v>
      </c>
      <c r="BC22" s="571">
        <v>0</v>
      </c>
      <c r="BD22" s="571">
        <v>0</v>
      </c>
      <c r="BE22" s="571">
        <v>0</v>
      </c>
      <c r="BF22" s="571">
        <v>0</v>
      </c>
      <c r="BG22" s="571">
        <v>0</v>
      </c>
      <c r="BH22" s="571">
        <v>0</v>
      </c>
      <c r="BI22" s="571">
        <v>0</v>
      </c>
      <c r="BJ22" s="585">
        <v>0</v>
      </c>
      <c r="BK22" s="461"/>
      <c r="BO22" s="348"/>
    </row>
    <row r="23" spans="1:70" x14ac:dyDescent="0.25">
      <c r="A23" s="7"/>
      <c r="B23" s="17" t="s">
        <v>148</v>
      </c>
      <c r="C23" s="624">
        <v>45</v>
      </c>
      <c r="D23" s="624">
        <v>42</v>
      </c>
      <c r="E23" s="624">
        <v>40</v>
      </c>
      <c r="F23" s="624">
        <v>40</v>
      </c>
      <c r="G23" s="624">
        <v>36</v>
      </c>
      <c r="H23" s="624">
        <v>36</v>
      </c>
      <c r="I23" s="624">
        <v>30</v>
      </c>
      <c r="J23" s="624">
        <v>29</v>
      </c>
      <c r="K23" s="624">
        <v>23</v>
      </c>
      <c r="L23" s="624">
        <v>23</v>
      </c>
      <c r="M23" s="624">
        <v>23</v>
      </c>
      <c r="N23" s="390">
        <v>27</v>
      </c>
      <c r="O23" s="391">
        <v>30</v>
      </c>
      <c r="P23" s="572">
        <v>30</v>
      </c>
      <c r="Q23" s="572">
        <v>30</v>
      </c>
      <c r="R23" s="572">
        <v>30</v>
      </c>
      <c r="S23" s="572">
        <v>30</v>
      </c>
      <c r="T23" s="572">
        <v>30</v>
      </c>
      <c r="U23" s="572">
        <v>30</v>
      </c>
      <c r="V23" s="572">
        <v>30</v>
      </c>
      <c r="W23" s="572">
        <v>30</v>
      </c>
      <c r="X23" s="572">
        <v>30</v>
      </c>
      <c r="Y23" s="572">
        <v>30</v>
      </c>
      <c r="Z23" s="390">
        <v>30</v>
      </c>
      <c r="AA23" s="391">
        <v>32</v>
      </c>
      <c r="AB23" s="572">
        <v>32</v>
      </c>
      <c r="AC23" s="572">
        <v>32</v>
      </c>
      <c r="AD23" s="572">
        <v>32</v>
      </c>
      <c r="AE23" s="572">
        <v>32</v>
      </c>
      <c r="AF23" s="572">
        <v>32</v>
      </c>
      <c r="AG23" s="572">
        <v>32</v>
      </c>
      <c r="AH23" s="572">
        <v>32</v>
      </c>
      <c r="AI23" s="572">
        <v>32</v>
      </c>
      <c r="AJ23" s="572">
        <v>32</v>
      </c>
      <c r="AK23" s="572">
        <v>32</v>
      </c>
      <c r="AL23" s="390">
        <v>32</v>
      </c>
      <c r="AM23" s="391">
        <v>37</v>
      </c>
      <c r="AN23" s="572">
        <v>37</v>
      </c>
      <c r="AO23" s="572">
        <v>37</v>
      </c>
      <c r="AP23" s="572">
        <v>37</v>
      </c>
      <c r="AQ23" s="572">
        <v>37</v>
      </c>
      <c r="AR23" s="572">
        <v>37</v>
      </c>
      <c r="AS23" s="572">
        <v>37</v>
      </c>
      <c r="AT23" s="572">
        <v>37</v>
      </c>
      <c r="AU23" s="572">
        <v>37</v>
      </c>
      <c r="AV23" s="572">
        <v>37</v>
      </c>
      <c r="AW23" s="572">
        <v>37</v>
      </c>
      <c r="AX23" s="390">
        <v>37</v>
      </c>
      <c r="AY23" s="391">
        <v>35</v>
      </c>
      <c r="AZ23" s="572">
        <v>35</v>
      </c>
      <c r="BA23" s="572">
        <v>35</v>
      </c>
      <c r="BB23" s="572">
        <v>35</v>
      </c>
      <c r="BC23" s="572">
        <v>35</v>
      </c>
      <c r="BD23" s="572">
        <v>35</v>
      </c>
      <c r="BE23" s="572">
        <v>35</v>
      </c>
      <c r="BF23" s="572">
        <v>35</v>
      </c>
      <c r="BG23" s="572">
        <v>35</v>
      </c>
      <c r="BH23" s="572">
        <v>35</v>
      </c>
      <c r="BI23" s="572">
        <v>35</v>
      </c>
      <c r="BJ23" s="586">
        <v>35</v>
      </c>
      <c r="BK23" s="461"/>
      <c r="BO23" s="348"/>
    </row>
    <row r="24" spans="1:70" ht="15.75" thickBot="1" x14ac:dyDescent="0.3">
      <c r="A24" s="7"/>
      <c r="B24" s="22" t="s">
        <v>149</v>
      </c>
      <c r="C24" s="23">
        <v>175</v>
      </c>
      <c r="D24" s="23">
        <v>200</v>
      </c>
      <c r="E24" s="23">
        <v>190</v>
      </c>
      <c r="F24" s="23">
        <v>179</v>
      </c>
      <c r="G24" s="23">
        <v>180</v>
      </c>
      <c r="H24" s="23">
        <v>180</v>
      </c>
      <c r="I24" s="23">
        <v>175</v>
      </c>
      <c r="J24" s="23">
        <v>175</v>
      </c>
      <c r="K24" s="23">
        <v>156</v>
      </c>
      <c r="L24" s="23">
        <v>155</v>
      </c>
      <c r="M24" s="23">
        <v>155</v>
      </c>
      <c r="N24" s="392">
        <v>160</v>
      </c>
      <c r="O24" s="393">
        <v>160</v>
      </c>
      <c r="P24" s="30">
        <v>160</v>
      </c>
      <c r="Q24" s="30">
        <v>160</v>
      </c>
      <c r="R24" s="30">
        <v>160</v>
      </c>
      <c r="S24" s="30">
        <v>160</v>
      </c>
      <c r="T24" s="30">
        <v>160</v>
      </c>
      <c r="U24" s="30">
        <v>160</v>
      </c>
      <c r="V24" s="30">
        <v>160</v>
      </c>
      <c r="W24" s="30">
        <v>160</v>
      </c>
      <c r="X24" s="30">
        <v>160</v>
      </c>
      <c r="Y24" s="30">
        <v>160</v>
      </c>
      <c r="Z24" s="392">
        <v>160</v>
      </c>
      <c r="AA24" s="393">
        <v>165</v>
      </c>
      <c r="AB24" s="30">
        <v>165</v>
      </c>
      <c r="AC24" s="30">
        <v>165</v>
      </c>
      <c r="AD24" s="30">
        <v>165</v>
      </c>
      <c r="AE24" s="30">
        <v>165</v>
      </c>
      <c r="AF24" s="30">
        <v>165</v>
      </c>
      <c r="AG24" s="30">
        <v>165</v>
      </c>
      <c r="AH24" s="30">
        <v>165</v>
      </c>
      <c r="AI24" s="30">
        <v>165</v>
      </c>
      <c r="AJ24" s="30">
        <v>165</v>
      </c>
      <c r="AK24" s="30">
        <v>165</v>
      </c>
      <c r="AL24" s="392">
        <v>165</v>
      </c>
      <c r="AM24" s="393">
        <v>120</v>
      </c>
      <c r="AN24" s="30">
        <v>120</v>
      </c>
      <c r="AO24" s="30">
        <v>120</v>
      </c>
      <c r="AP24" s="30">
        <v>120</v>
      </c>
      <c r="AQ24" s="30">
        <v>120</v>
      </c>
      <c r="AR24" s="30">
        <v>120</v>
      </c>
      <c r="AS24" s="30">
        <v>120</v>
      </c>
      <c r="AT24" s="30">
        <v>120</v>
      </c>
      <c r="AU24" s="30">
        <v>120</v>
      </c>
      <c r="AV24" s="30">
        <v>120</v>
      </c>
      <c r="AW24" s="30">
        <v>120</v>
      </c>
      <c r="AX24" s="392">
        <v>120</v>
      </c>
      <c r="AY24" s="393">
        <v>115</v>
      </c>
      <c r="AZ24" s="30">
        <v>115</v>
      </c>
      <c r="BA24" s="30">
        <v>115</v>
      </c>
      <c r="BB24" s="30">
        <v>115</v>
      </c>
      <c r="BC24" s="30">
        <v>115</v>
      </c>
      <c r="BD24" s="30">
        <v>115</v>
      </c>
      <c r="BE24" s="30">
        <v>115</v>
      </c>
      <c r="BF24" s="30">
        <v>115</v>
      </c>
      <c r="BG24" s="30">
        <v>115</v>
      </c>
      <c r="BH24" s="30">
        <v>115</v>
      </c>
      <c r="BI24" s="30">
        <v>115</v>
      </c>
      <c r="BJ24" s="31">
        <v>115</v>
      </c>
      <c r="BK24" s="461"/>
      <c r="BO24" s="348"/>
    </row>
    <row r="25" spans="1:70" x14ac:dyDescent="0.25">
      <c r="B25" s="6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O25" s="348"/>
    </row>
    <row r="26" spans="1:70" ht="15.75" thickBot="1" x14ac:dyDescent="0.3">
      <c r="A26" s="8"/>
      <c r="B26" s="35" t="s">
        <v>9</v>
      </c>
      <c r="C26" s="26">
        <f>C16</f>
        <v>44562</v>
      </c>
      <c r="D26" s="26">
        <f t="shared" ref="D26:Z26" si="6">D16</f>
        <v>44593</v>
      </c>
      <c r="E26" s="26">
        <f t="shared" si="6"/>
        <v>44621</v>
      </c>
      <c r="F26" s="26">
        <f t="shared" si="6"/>
        <v>44652</v>
      </c>
      <c r="G26" s="26">
        <f t="shared" si="6"/>
        <v>44682</v>
      </c>
      <c r="H26" s="26">
        <f t="shared" si="6"/>
        <v>44713</v>
      </c>
      <c r="I26" s="26">
        <f t="shared" si="6"/>
        <v>44743</v>
      </c>
      <c r="J26" s="26">
        <f t="shared" si="6"/>
        <v>44774</v>
      </c>
      <c r="K26" s="26">
        <f t="shared" si="6"/>
        <v>44805</v>
      </c>
      <c r="L26" s="26">
        <f t="shared" si="6"/>
        <v>44835</v>
      </c>
      <c r="M26" s="26">
        <f t="shared" si="6"/>
        <v>44866</v>
      </c>
      <c r="N26" s="382">
        <f t="shared" si="6"/>
        <v>44896</v>
      </c>
      <c r="O26" s="383">
        <f t="shared" si="6"/>
        <v>44927</v>
      </c>
      <c r="P26" s="26">
        <f t="shared" si="6"/>
        <v>44958</v>
      </c>
      <c r="Q26" s="26">
        <f t="shared" si="6"/>
        <v>44986</v>
      </c>
      <c r="R26" s="26">
        <f t="shared" si="6"/>
        <v>45017</v>
      </c>
      <c r="S26" s="26">
        <f t="shared" si="6"/>
        <v>45047</v>
      </c>
      <c r="T26" s="26">
        <f t="shared" si="6"/>
        <v>45078</v>
      </c>
      <c r="U26" s="26">
        <f t="shared" si="6"/>
        <v>45108</v>
      </c>
      <c r="V26" s="26">
        <f t="shared" si="6"/>
        <v>45139</v>
      </c>
      <c r="W26" s="26">
        <f t="shared" si="6"/>
        <v>45170</v>
      </c>
      <c r="X26" s="26">
        <f t="shared" si="6"/>
        <v>45200</v>
      </c>
      <c r="Y26" s="26">
        <f t="shared" si="6"/>
        <v>45231</v>
      </c>
      <c r="Z26" s="382">
        <f t="shared" si="6"/>
        <v>45261</v>
      </c>
      <c r="AA26" s="383">
        <f>AA16</f>
        <v>45292</v>
      </c>
      <c r="AB26" s="26">
        <f t="shared" ref="AB26:AX26" si="7">AB16</f>
        <v>45323</v>
      </c>
      <c r="AC26" s="26">
        <f t="shared" si="7"/>
        <v>45352</v>
      </c>
      <c r="AD26" s="26">
        <f t="shared" si="7"/>
        <v>45383</v>
      </c>
      <c r="AE26" s="26">
        <f t="shared" si="7"/>
        <v>45413</v>
      </c>
      <c r="AF26" s="26">
        <f t="shared" si="7"/>
        <v>45444</v>
      </c>
      <c r="AG26" s="26">
        <f t="shared" si="7"/>
        <v>45474</v>
      </c>
      <c r="AH26" s="26">
        <f t="shared" si="7"/>
        <v>45505</v>
      </c>
      <c r="AI26" s="26">
        <f t="shared" si="7"/>
        <v>45536</v>
      </c>
      <c r="AJ26" s="26">
        <f t="shared" si="7"/>
        <v>45566</v>
      </c>
      <c r="AK26" s="26">
        <f t="shared" si="7"/>
        <v>45597</v>
      </c>
      <c r="AL26" s="382">
        <f t="shared" si="7"/>
        <v>45627</v>
      </c>
      <c r="AM26" s="383">
        <f t="shared" si="7"/>
        <v>45658</v>
      </c>
      <c r="AN26" s="26">
        <f t="shared" si="7"/>
        <v>45689</v>
      </c>
      <c r="AO26" s="26">
        <f t="shared" si="7"/>
        <v>45717</v>
      </c>
      <c r="AP26" s="26">
        <f t="shared" si="7"/>
        <v>45748</v>
      </c>
      <c r="AQ26" s="26">
        <f t="shared" si="7"/>
        <v>45778</v>
      </c>
      <c r="AR26" s="26">
        <f t="shared" si="7"/>
        <v>45809</v>
      </c>
      <c r="AS26" s="26">
        <f t="shared" si="7"/>
        <v>45839</v>
      </c>
      <c r="AT26" s="26">
        <f t="shared" si="7"/>
        <v>45870</v>
      </c>
      <c r="AU26" s="26">
        <f t="shared" si="7"/>
        <v>45901</v>
      </c>
      <c r="AV26" s="26">
        <f t="shared" si="7"/>
        <v>45931</v>
      </c>
      <c r="AW26" s="26">
        <f t="shared" si="7"/>
        <v>45962</v>
      </c>
      <c r="AX26" s="382">
        <f t="shared" si="7"/>
        <v>45992</v>
      </c>
      <c r="AY26" s="383">
        <f t="shared" ref="AY26:BJ26" si="8">AY16</f>
        <v>46023</v>
      </c>
      <c r="AZ26" s="26">
        <f t="shared" si="8"/>
        <v>46054</v>
      </c>
      <c r="BA26" s="26">
        <f t="shared" si="8"/>
        <v>46082</v>
      </c>
      <c r="BB26" s="26">
        <f t="shared" si="8"/>
        <v>46113</v>
      </c>
      <c r="BC26" s="26">
        <f t="shared" si="8"/>
        <v>46143</v>
      </c>
      <c r="BD26" s="26">
        <f t="shared" si="8"/>
        <v>46174</v>
      </c>
      <c r="BE26" s="26">
        <f t="shared" si="8"/>
        <v>46204</v>
      </c>
      <c r="BF26" s="26">
        <f t="shared" si="8"/>
        <v>46235</v>
      </c>
      <c r="BG26" s="26">
        <f t="shared" si="8"/>
        <v>46266</v>
      </c>
      <c r="BH26" s="26">
        <f t="shared" si="8"/>
        <v>46296</v>
      </c>
      <c r="BI26" s="26">
        <f t="shared" si="8"/>
        <v>46327</v>
      </c>
      <c r="BJ26" s="464">
        <f t="shared" si="8"/>
        <v>46357</v>
      </c>
      <c r="BK26" s="461"/>
      <c r="BO26" s="348"/>
    </row>
    <row r="27" spans="1:70" ht="15" customHeight="1" x14ac:dyDescent="0.25">
      <c r="A27" s="7"/>
      <c r="B27" s="16" t="s">
        <v>44</v>
      </c>
      <c r="C27" s="626">
        <v>62.91</v>
      </c>
      <c r="D27" s="626">
        <v>55.7</v>
      </c>
      <c r="E27" s="626">
        <v>55.7</v>
      </c>
      <c r="F27" s="626">
        <v>55.7</v>
      </c>
      <c r="G27" s="626">
        <v>55.7</v>
      </c>
      <c r="H27" s="626">
        <v>55.71</v>
      </c>
      <c r="I27" s="626">
        <v>66.319999999999993</v>
      </c>
      <c r="J27" s="626">
        <v>76.900000000000006</v>
      </c>
      <c r="K27" s="626">
        <v>56.08</v>
      </c>
      <c r="L27" s="626">
        <v>55.7</v>
      </c>
      <c r="M27" s="626">
        <v>55.7</v>
      </c>
      <c r="N27" s="384">
        <v>0</v>
      </c>
      <c r="O27" s="385">
        <v>0</v>
      </c>
      <c r="P27" s="587">
        <v>0</v>
      </c>
      <c r="Q27" s="587">
        <v>0</v>
      </c>
      <c r="R27" s="587">
        <v>0</v>
      </c>
      <c r="S27" s="587">
        <v>0</v>
      </c>
      <c r="T27" s="587">
        <v>0</v>
      </c>
      <c r="U27" s="587">
        <v>0</v>
      </c>
      <c r="V27" s="587">
        <v>0</v>
      </c>
      <c r="W27" s="587">
        <v>0</v>
      </c>
      <c r="X27" s="587">
        <v>0</v>
      </c>
      <c r="Y27" s="587">
        <v>0</v>
      </c>
      <c r="Z27" s="384">
        <v>0</v>
      </c>
      <c r="AA27" s="385">
        <v>0</v>
      </c>
      <c r="AB27" s="587">
        <v>0</v>
      </c>
      <c r="AC27" s="587">
        <v>0</v>
      </c>
      <c r="AD27" s="587">
        <v>0</v>
      </c>
      <c r="AE27" s="587">
        <v>0</v>
      </c>
      <c r="AF27" s="587">
        <v>0</v>
      </c>
      <c r="AG27" s="587">
        <v>0</v>
      </c>
      <c r="AH27" s="587">
        <v>0</v>
      </c>
      <c r="AI27" s="587">
        <v>0</v>
      </c>
      <c r="AJ27" s="587">
        <v>0</v>
      </c>
      <c r="AK27" s="587">
        <v>0</v>
      </c>
      <c r="AL27" s="384">
        <v>0</v>
      </c>
      <c r="AM27" s="385">
        <v>0</v>
      </c>
      <c r="AN27" s="587">
        <v>0</v>
      </c>
      <c r="AO27" s="587">
        <v>0</v>
      </c>
      <c r="AP27" s="587">
        <v>0</v>
      </c>
      <c r="AQ27" s="587">
        <v>0</v>
      </c>
      <c r="AR27" s="587">
        <v>0</v>
      </c>
      <c r="AS27" s="587">
        <v>0</v>
      </c>
      <c r="AT27" s="587">
        <v>0</v>
      </c>
      <c r="AU27" s="587">
        <v>0</v>
      </c>
      <c r="AV27" s="587">
        <v>0</v>
      </c>
      <c r="AW27" s="587">
        <v>0</v>
      </c>
      <c r="AX27" s="384">
        <v>0</v>
      </c>
      <c r="AY27" s="385">
        <v>0</v>
      </c>
      <c r="AZ27" s="587">
        <v>0</v>
      </c>
      <c r="BA27" s="587">
        <v>0</v>
      </c>
      <c r="BB27" s="587">
        <v>0</v>
      </c>
      <c r="BC27" s="587">
        <v>0</v>
      </c>
      <c r="BD27" s="587">
        <v>0</v>
      </c>
      <c r="BE27" s="587">
        <v>0</v>
      </c>
      <c r="BF27" s="587">
        <v>0</v>
      </c>
      <c r="BG27" s="587">
        <v>0</v>
      </c>
      <c r="BH27" s="587">
        <v>0</v>
      </c>
      <c r="BI27" s="587">
        <v>0</v>
      </c>
      <c r="BJ27" s="588">
        <v>0</v>
      </c>
      <c r="BK27" s="461"/>
      <c r="BL27" s="345"/>
      <c r="BM27" s="345"/>
      <c r="BN27" s="348"/>
      <c r="BO27" s="348"/>
    </row>
    <row r="28" spans="1:70" x14ac:dyDescent="0.25">
      <c r="A28" s="7"/>
      <c r="B28" s="17" t="s">
        <v>12</v>
      </c>
      <c r="C28" s="624">
        <v>62.92</v>
      </c>
      <c r="D28" s="624">
        <v>55.7</v>
      </c>
      <c r="E28" s="624">
        <v>55.7</v>
      </c>
      <c r="F28" s="624">
        <v>55.7</v>
      </c>
      <c r="G28" s="624">
        <v>55.7</v>
      </c>
      <c r="H28" s="624">
        <v>55.71</v>
      </c>
      <c r="I28" s="624">
        <v>66.319999999999993</v>
      </c>
      <c r="J28" s="624">
        <v>76.900000000000006</v>
      </c>
      <c r="K28" s="624">
        <v>56.08</v>
      </c>
      <c r="L28" s="626">
        <v>55.7</v>
      </c>
      <c r="M28" s="626">
        <v>55.7</v>
      </c>
      <c r="N28" s="390">
        <v>0</v>
      </c>
      <c r="O28" s="391">
        <v>0</v>
      </c>
      <c r="P28" s="572">
        <v>0</v>
      </c>
      <c r="Q28" s="572">
        <v>0</v>
      </c>
      <c r="R28" s="572">
        <v>0</v>
      </c>
      <c r="S28" s="572">
        <v>0</v>
      </c>
      <c r="T28" s="572">
        <v>0</v>
      </c>
      <c r="U28" s="572">
        <v>0</v>
      </c>
      <c r="V28" s="572">
        <v>0</v>
      </c>
      <c r="W28" s="572">
        <v>0</v>
      </c>
      <c r="X28" s="572">
        <v>0</v>
      </c>
      <c r="Y28" s="572">
        <v>0</v>
      </c>
      <c r="Z28" s="390">
        <v>0</v>
      </c>
      <c r="AA28" s="391">
        <v>0</v>
      </c>
      <c r="AB28" s="572">
        <v>0</v>
      </c>
      <c r="AC28" s="572">
        <v>0</v>
      </c>
      <c r="AD28" s="572">
        <v>0</v>
      </c>
      <c r="AE28" s="572">
        <v>0</v>
      </c>
      <c r="AF28" s="572">
        <v>0</v>
      </c>
      <c r="AG28" s="572">
        <v>0</v>
      </c>
      <c r="AH28" s="572">
        <v>0</v>
      </c>
      <c r="AI28" s="572">
        <v>0</v>
      </c>
      <c r="AJ28" s="572">
        <v>0</v>
      </c>
      <c r="AK28" s="572">
        <v>0</v>
      </c>
      <c r="AL28" s="390">
        <v>0</v>
      </c>
      <c r="AM28" s="391">
        <v>0</v>
      </c>
      <c r="AN28" s="572">
        <v>0</v>
      </c>
      <c r="AO28" s="572">
        <v>0</v>
      </c>
      <c r="AP28" s="572">
        <v>0</v>
      </c>
      <c r="AQ28" s="572">
        <v>0</v>
      </c>
      <c r="AR28" s="572">
        <v>0</v>
      </c>
      <c r="AS28" s="572">
        <v>0</v>
      </c>
      <c r="AT28" s="572">
        <v>0</v>
      </c>
      <c r="AU28" s="572">
        <v>0</v>
      </c>
      <c r="AV28" s="572">
        <v>0</v>
      </c>
      <c r="AW28" s="572">
        <v>0</v>
      </c>
      <c r="AX28" s="390">
        <v>0</v>
      </c>
      <c r="AY28" s="391">
        <v>0</v>
      </c>
      <c r="AZ28" s="572">
        <v>0</v>
      </c>
      <c r="BA28" s="572">
        <v>0</v>
      </c>
      <c r="BB28" s="572">
        <v>0</v>
      </c>
      <c r="BC28" s="572">
        <v>0</v>
      </c>
      <c r="BD28" s="572">
        <v>0</v>
      </c>
      <c r="BE28" s="572">
        <v>0</v>
      </c>
      <c r="BF28" s="572">
        <v>0</v>
      </c>
      <c r="BG28" s="572">
        <v>0</v>
      </c>
      <c r="BH28" s="572">
        <v>0</v>
      </c>
      <c r="BI28" s="572">
        <v>0</v>
      </c>
      <c r="BJ28" s="586">
        <v>0</v>
      </c>
      <c r="BK28" s="461"/>
      <c r="BO28" s="348"/>
    </row>
    <row r="29" spans="1:70" x14ac:dyDescent="0.25">
      <c r="A29" s="7"/>
      <c r="B29" s="17" t="s">
        <v>13</v>
      </c>
      <c r="C29" s="624">
        <v>57.22</v>
      </c>
      <c r="D29" s="624">
        <v>55.7</v>
      </c>
      <c r="E29" s="624">
        <v>55.7</v>
      </c>
      <c r="F29" s="624">
        <v>55.7</v>
      </c>
      <c r="G29" s="624">
        <v>55.7</v>
      </c>
      <c r="H29" s="624">
        <v>55.71</v>
      </c>
      <c r="I29" s="624">
        <v>66.319999999999993</v>
      </c>
      <c r="J29" s="624">
        <v>76.900000000000006</v>
      </c>
      <c r="K29" s="624">
        <v>56.08</v>
      </c>
      <c r="L29" s="624">
        <v>55.7</v>
      </c>
      <c r="M29" s="624">
        <v>55.7</v>
      </c>
      <c r="N29" s="390">
        <v>0</v>
      </c>
      <c r="O29" s="391">
        <v>0</v>
      </c>
      <c r="P29" s="572">
        <v>0</v>
      </c>
      <c r="Q29" s="572">
        <v>0</v>
      </c>
      <c r="R29" s="572">
        <v>0</v>
      </c>
      <c r="S29" s="572">
        <v>0</v>
      </c>
      <c r="T29" s="572">
        <v>0</v>
      </c>
      <c r="U29" s="572">
        <v>0</v>
      </c>
      <c r="V29" s="572">
        <v>0</v>
      </c>
      <c r="W29" s="572">
        <v>0</v>
      </c>
      <c r="X29" s="572">
        <v>0</v>
      </c>
      <c r="Y29" s="572">
        <v>0</v>
      </c>
      <c r="Z29" s="390">
        <v>0</v>
      </c>
      <c r="AA29" s="391">
        <v>0</v>
      </c>
      <c r="AB29" s="572">
        <v>0</v>
      </c>
      <c r="AC29" s="572">
        <v>0</v>
      </c>
      <c r="AD29" s="572">
        <v>0</v>
      </c>
      <c r="AE29" s="572">
        <v>0</v>
      </c>
      <c r="AF29" s="572">
        <v>0</v>
      </c>
      <c r="AG29" s="572">
        <v>0</v>
      </c>
      <c r="AH29" s="572">
        <v>0</v>
      </c>
      <c r="AI29" s="572">
        <v>0</v>
      </c>
      <c r="AJ29" s="572">
        <v>0</v>
      </c>
      <c r="AK29" s="572">
        <v>0</v>
      </c>
      <c r="AL29" s="390">
        <v>0</v>
      </c>
      <c r="AM29" s="391">
        <v>0</v>
      </c>
      <c r="AN29" s="572">
        <v>0</v>
      </c>
      <c r="AO29" s="572">
        <v>0</v>
      </c>
      <c r="AP29" s="572">
        <v>0</v>
      </c>
      <c r="AQ29" s="572">
        <v>0</v>
      </c>
      <c r="AR29" s="572">
        <v>0</v>
      </c>
      <c r="AS29" s="572">
        <v>0</v>
      </c>
      <c r="AT29" s="572">
        <v>0</v>
      </c>
      <c r="AU29" s="572">
        <v>0</v>
      </c>
      <c r="AV29" s="572">
        <v>0</v>
      </c>
      <c r="AW29" s="572">
        <v>0</v>
      </c>
      <c r="AX29" s="390">
        <v>0</v>
      </c>
      <c r="AY29" s="391">
        <v>0</v>
      </c>
      <c r="AZ29" s="572">
        <v>0</v>
      </c>
      <c r="BA29" s="572">
        <v>0</v>
      </c>
      <c r="BB29" s="572">
        <v>0</v>
      </c>
      <c r="BC29" s="572">
        <v>0</v>
      </c>
      <c r="BD29" s="572">
        <v>0</v>
      </c>
      <c r="BE29" s="572">
        <v>0</v>
      </c>
      <c r="BF29" s="572">
        <v>0</v>
      </c>
      <c r="BG29" s="572">
        <v>0</v>
      </c>
      <c r="BH29" s="572">
        <v>0</v>
      </c>
      <c r="BI29" s="572">
        <v>0</v>
      </c>
      <c r="BJ29" s="586">
        <v>0</v>
      </c>
      <c r="BK29" s="461"/>
      <c r="BO29" s="348"/>
    </row>
    <row r="30" spans="1:70" ht="15.75" thickBot="1" x14ac:dyDescent="0.3">
      <c r="A30" s="7"/>
      <c r="B30" s="22" t="s">
        <v>11</v>
      </c>
      <c r="C30" s="23">
        <v>55.71</v>
      </c>
      <c r="D30" s="23">
        <v>55.7</v>
      </c>
      <c r="E30" s="23">
        <v>55.7</v>
      </c>
      <c r="F30" s="23">
        <v>55.7</v>
      </c>
      <c r="G30" s="23">
        <v>55.7</v>
      </c>
      <c r="H30" s="23">
        <v>55.71</v>
      </c>
      <c r="I30" s="23">
        <v>66.319999999999993</v>
      </c>
      <c r="J30" s="23">
        <v>76.900000000000006</v>
      </c>
      <c r="K30" s="23">
        <v>56.08</v>
      </c>
      <c r="L30" s="23">
        <v>55.7</v>
      </c>
      <c r="M30" s="23">
        <v>55.7</v>
      </c>
      <c r="N30" s="392">
        <v>0</v>
      </c>
      <c r="O30" s="393">
        <v>0</v>
      </c>
      <c r="P30" s="30">
        <v>0</v>
      </c>
      <c r="Q30" s="30">
        <v>0</v>
      </c>
      <c r="R30" s="30">
        <v>0</v>
      </c>
      <c r="S30" s="30">
        <v>0</v>
      </c>
      <c r="T30" s="30">
        <v>0</v>
      </c>
      <c r="U30" s="30">
        <v>0</v>
      </c>
      <c r="V30" s="30">
        <v>0</v>
      </c>
      <c r="W30" s="30">
        <v>0</v>
      </c>
      <c r="X30" s="30">
        <v>0</v>
      </c>
      <c r="Y30" s="30">
        <v>0</v>
      </c>
      <c r="Z30" s="392">
        <v>0</v>
      </c>
      <c r="AA30" s="393">
        <v>0</v>
      </c>
      <c r="AB30" s="30">
        <v>0</v>
      </c>
      <c r="AC30" s="30">
        <v>0</v>
      </c>
      <c r="AD30" s="30">
        <v>0</v>
      </c>
      <c r="AE30" s="30">
        <v>0</v>
      </c>
      <c r="AF30" s="30">
        <v>0</v>
      </c>
      <c r="AG30" s="30">
        <v>0</v>
      </c>
      <c r="AH30" s="30">
        <v>0</v>
      </c>
      <c r="AI30" s="30">
        <v>0</v>
      </c>
      <c r="AJ30" s="30">
        <v>0</v>
      </c>
      <c r="AK30" s="30">
        <v>0</v>
      </c>
      <c r="AL30" s="392">
        <v>0</v>
      </c>
      <c r="AM30" s="393">
        <v>0</v>
      </c>
      <c r="AN30" s="30">
        <v>0</v>
      </c>
      <c r="AO30" s="30">
        <v>0</v>
      </c>
      <c r="AP30" s="30">
        <v>0</v>
      </c>
      <c r="AQ30" s="30">
        <v>0</v>
      </c>
      <c r="AR30" s="30">
        <v>0</v>
      </c>
      <c r="AS30" s="30">
        <v>0</v>
      </c>
      <c r="AT30" s="30">
        <v>0</v>
      </c>
      <c r="AU30" s="30">
        <v>0</v>
      </c>
      <c r="AV30" s="30">
        <v>0</v>
      </c>
      <c r="AW30" s="30">
        <v>0</v>
      </c>
      <c r="AX30" s="392">
        <v>0</v>
      </c>
      <c r="AY30" s="393">
        <v>0</v>
      </c>
      <c r="AZ30" s="30">
        <v>0</v>
      </c>
      <c r="BA30" s="30">
        <v>0</v>
      </c>
      <c r="BB30" s="30">
        <v>0</v>
      </c>
      <c r="BC30" s="30">
        <v>0</v>
      </c>
      <c r="BD30" s="30">
        <v>0</v>
      </c>
      <c r="BE30" s="30">
        <v>0</v>
      </c>
      <c r="BF30" s="30">
        <v>0</v>
      </c>
      <c r="BG30" s="30">
        <v>0</v>
      </c>
      <c r="BH30" s="30">
        <v>0</v>
      </c>
      <c r="BI30" s="30">
        <v>0</v>
      </c>
      <c r="BJ30" s="31">
        <v>0</v>
      </c>
      <c r="BK30" s="461"/>
      <c r="BO30" s="348"/>
    </row>
    <row r="31" spans="1:70" x14ac:dyDescent="0.25">
      <c r="A31" s="7"/>
      <c r="B31" s="10"/>
      <c r="C31" s="14"/>
      <c r="D31" s="14"/>
      <c r="E31" s="14"/>
      <c r="F31" s="14"/>
      <c r="G31" s="14"/>
      <c r="H31" s="14"/>
      <c r="I31" s="88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88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/>
      <c r="AZ31" s="14"/>
      <c r="BA31" s="14"/>
      <c r="BB31" s="14"/>
      <c r="BC31" s="14"/>
      <c r="BD31" s="14"/>
      <c r="BE31" s="14"/>
      <c r="BF31" s="14"/>
      <c r="BG31" s="14"/>
      <c r="BH31" s="14"/>
      <c r="BI31" s="14"/>
      <c r="BJ31" s="14"/>
      <c r="BO31" s="348"/>
    </row>
    <row r="32" spans="1:70" x14ac:dyDescent="0.25">
      <c r="A32" s="7"/>
      <c r="B32" s="10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/>
      <c r="AZ32" s="14"/>
      <c r="BA32" s="14"/>
      <c r="BB32" s="14"/>
      <c r="BC32" s="14"/>
      <c r="BD32" s="14"/>
      <c r="BE32" s="14"/>
      <c r="BF32" s="14"/>
      <c r="BG32" s="14"/>
      <c r="BH32" s="14"/>
      <c r="BI32" s="14"/>
      <c r="BJ32" s="14"/>
      <c r="BO32" s="348"/>
    </row>
    <row r="33" spans="1:67" ht="15.75" thickBot="1" x14ac:dyDescent="0.3">
      <c r="B33" s="35" t="s">
        <v>111</v>
      </c>
      <c r="C33" s="26">
        <f>C26</f>
        <v>44562</v>
      </c>
      <c r="D33" s="26">
        <f t="shared" ref="D33:Z33" si="9">D26</f>
        <v>44593</v>
      </c>
      <c r="E33" s="26">
        <f t="shared" si="9"/>
        <v>44621</v>
      </c>
      <c r="F33" s="26">
        <f t="shared" si="9"/>
        <v>44652</v>
      </c>
      <c r="G33" s="26">
        <f t="shared" si="9"/>
        <v>44682</v>
      </c>
      <c r="H33" s="26">
        <f t="shared" si="9"/>
        <v>44713</v>
      </c>
      <c r="I33" s="26">
        <f t="shared" si="9"/>
        <v>44743</v>
      </c>
      <c r="J33" s="26">
        <f t="shared" si="9"/>
        <v>44774</v>
      </c>
      <c r="K33" s="26">
        <f t="shared" si="9"/>
        <v>44805</v>
      </c>
      <c r="L33" s="26">
        <f t="shared" si="9"/>
        <v>44835</v>
      </c>
      <c r="M33" s="26">
        <f t="shared" si="9"/>
        <v>44866</v>
      </c>
      <c r="N33" s="382">
        <f t="shared" si="9"/>
        <v>44896</v>
      </c>
      <c r="O33" s="383">
        <f t="shared" si="9"/>
        <v>44927</v>
      </c>
      <c r="P33" s="26">
        <f t="shared" si="9"/>
        <v>44958</v>
      </c>
      <c r="Q33" s="26">
        <f t="shared" si="9"/>
        <v>44986</v>
      </c>
      <c r="R33" s="26">
        <f t="shared" si="9"/>
        <v>45017</v>
      </c>
      <c r="S33" s="26">
        <f t="shared" si="9"/>
        <v>45047</v>
      </c>
      <c r="T33" s="26">
        <f t="shared" si="9"/>
        <v>45078</v>
      </c>
      <c r="U33" s="26">
        <f t="shared" si="9"/>
        <v>45108</v>
      </c>
      <c r="V33" s="26">
        <f t="shared" si="9"/>
        <v>45139</v>
      </c>
      <c r="W33" s="26">
        <f t="shared" si="9"/>
        <v>45170</v>
      </c>
      <c r="X33" s="26">
        <f t="shared" si="9"/>
        <v>45200</v>
      </c>
      <c r="Y33" s="26">
        <f t="shared" si="9"/>
        <v>45231</v>
      </c>
      <c r="Z33" s="382">
        <f t="shared" si="9"/>
        <v>45261</v>
      </c>
      <c r="AA33" s="383">
        <f>AA26</f>
        <v>45292</v>
      </c>
      <c r="AB33" s="26">
        <f t="shared" ref="AB33:AX33" si="10">AB26</f>
        <v>45323</v>
      </c>
      <c r="AC33" s="26">
        <f t="shared" si="10"/>
        <v>45352</v>
      </c>
      <c r="AD33" s="26">
        <f t="shared" si="10"/>
        <v>45383</v>
      </c>
      <c r="AE33" s="26">
        <f t="shared" si="10"/>
        <v>45413</v>
      </c>
      <c r="AF33" s="26">
        <f t="shared" si="10"/>
        <v>45444</v>
      </c>
      <c r="AG33" s="26">
        <f t="shared" si="10"/>
        <v>45474</v>
      </c>
      <c r="AH33" s="26">
        <f t="shared" si="10"/>
        <v>45505</v>
      </c>
      <c r="AI33" s="26">
        <f t="shared" si="10"/>
        <v>45536</v>
      </c>
      <c r="AJ33" s="26">
        <f t="shared" si="10"/>
        <v>45566</v>
      </c>
      <c r="AK33" s="26">
        <f t="shared" si="10"/>
        <v>45597</v>
      </c>
      <c r="AL33" s="382">
        <f t="shared" si="10"/>
        <v>45627</v>
      </c>
      <c r="AM33" s="383">
        <f t="shared" si="10"/>
        <v>45658</v>
      </c>
      <c r="AN33" s="26">
        <f t="shared" si="10"/>
        <v>45689</v>
      </c>
      <c r="AO33" s="26">
        <f t="shared" si="10"/>
        <v>45717</v>
      </c>
      <c r="AP33" s="26">
        <f t="shared" si="10"/>
        <v>45748</v>
      </c>
      <c r="AQ33" s="26">
        <f t="shared" si="10"/>
        <v>45778</v>
      </c>
      <c r="AR33" s="26">
        <f t="shared" si="10"/>
        <v>45809</v>
      </c>
      <c r="AS33" s="26">
        <f t="shared" si="10"/>
        <v>45839</v>
      </c>
      <c r="AT33" s="26">
        <f t="shared" si="10"/>
        <v>45870</v>
      </c>
      <c r="AU33" s="26">
        <f t="shared" si="10"/>
        <v>45901</v>
      </c>
      <c r="AV33" s="26">
        <f t="shared" si="10"/>
        <v>45931</v>
      </c>
      <c r="AW33" s="26">
        <f t="shared" si="10"/>
        <v>45962</v>
      </c>
      <c r="AX33" s="382">
        <f t="shared" si="10"/>
        <v>45992</v>
      </c>
      <c r="AY33" s="383">
        <f t="shared" ref="AY33:BJ33" si="11">AY26</f>
        <v>46023</v>
      </c>
      <c r="AZ33" s="26">
        <f t="shared" si="11"/>
        <v>46054</v>
      </c>
      <c r="BA33" s="26">
        <f t="shared" si="11"/>
        <v>46082</v>
      </c>
      <c r="BB33" s="26">
        <f t="shared" si="11"/>
        <v>46113</v>
      </c>
      <c r="BC33" s="26">
        <f t="shared" si="11"/>
        <v>46143</v>
      </c>
      <c r="BD33" s="26">
        <f t="shared" si="11"/>
        <v>46174</v>
      </c>
      <c r="BE33" s="26">
        <f t="shared" si="11"/>
        <v>46204</v>
      </c>
      <c r="BF33" s="26">
        <f t="shared" si="11"/>
        <v>46235</v>
      </c>
      <c r="BG33" s="26">
        <f t="shared" si="11"/>
        <v>46266</v>
      </c>
      <c r="BH33" s="26">
        <f t="shared" si="11"/>
        <v>46296</v>
      </c>
      <c r="BI33" s="26">
        <f t="shared" si="11"/>
        <v>46327</v>
      </c>
      <c r="BJ33" s="464">
        <f t="shared" si="11"/>
        <v>46357</v>
      </c>
      <c r="BK33" s="461"/>
      <c r="BO33" s="348"/>
    </row>
    <row r="34" spans="1:67" x14ac:dyDescent="0.25">
      <c r="A34" s="7"/>
      <c r="B34" s="89" t="str">
        <f>IF(B27="",B7,B27)</f>
        <v>SE</v>
      </c>
      <c r="C34" s="20">
        <f>IF(RESULTADO!$F$148&lt;=C$33,C7,C27)</f>
        <v>62.91</v>
      </c>
      <c r="D34" s="20">
        <f>IF(RESULTADO!$F$148&lt;=D$33,D7,D27)</f>
        <v>55.7</v>
      </c>
      <c r="E34" s="20">
        <f>IF(RESULTADO!$F$148&lt;=E$33,E7,E27)</f>
        <v>55.7</v>
      </c>
      <c r="F34" s="20">
        <f>IF(RESULTADO!$F$148&lt;=F$33,F7,F27)</f>
        <v>55.7</v>
      </c>
      <c r="G34" s="20">
        <f>IF(RESULTADO!$F$148&lt;=G$33,G7,G27)</f>
        <v>55.7</v>
      </c>
      <c r="H34" s="20">
        <f>IF(RESULTADO!$F$148&lt;=H$33,H7,H27)</f>
        <v>55.71</v>
      </c>
      <c r="I34" s="20">
        <f>IF(RESULTADO!$F$148&lt;=I$33,I7,I27)</f>
        <v>66.319999999999993</v>
      </c>
      <c r="J34" s="20">
        <f>IF(RESULTADO!$F$148&lt;=J$33,J7,J27)</f>
        <v>76.900000000000006</v>
      </c>
      <c r="K34" s="20">
        <f>IF(RESULTADO!$F$148&lt;=K$33,K7,K27)</f>
        <v>56.08</v>
      </c>
      <c r="L34" s="20">
        <f>IF(RESULTADO!$F$148&lt;=L$33,L7,L27)</f>
        <v>55.7</v>
      </c>
      <c r="M34" s="20">
        <f>IF(RESULTADO!$F$148&lt;=M$33,M7,M27)</f>
        <v>55.7</v>
      </c>
      <c r="N34" s="400">
        <f>IF(RESULTADO!$F$148&lt;=N$33,N7,N27)</f>
        <v>55.7</v>
      </c>
      <c r="O34" s="401">
        <f>IF(RESULTADO!$F$148&lt;=O$33,O7,O27)</f>
        <v>68.72</v>
      </c>
      <c r="P34" s="20">
        <f>IF(RESULTADO!$F$148&lt;=P$33,P7,P27)</f>
        <v>69.25</v>
      </c>
      <c r="Q34" s="20">
        <f>IF(RESULTADO!$F$148&lt;=Q$33,Q7,Q27)</f>
        <v>69.3</v>
      </c>
      <c r="R34" s="20">
        <f>IF(RESULTADO!$F$148&lt;=R$33,R7,R27)</f>
        <v>69.8</v>
      </c>
      <c r="S34" s="20">
        <f>IF(RESULTADO!$F$148&lt;=S$33,S7,S27)</f>
        <v>70.2</v>
      </c>
      <c r="T34" s="20">
        <f>IF(RESULTADO!$F$148&lt;=T$33,T7,T27)</f>
        <v>72.400000000000006</v>
      </c>
      <c r="U34" s="20">
        <f>IF(RESULTADO!$F$148&lt;=U$33,U7,U27)</f>
        <v>77.150000000000006</v>
      </c>
      <c r="V34" s="20">
        <f>IF(RESULTADO!$F$148&lt;=V$33,V7,V27)</f>
        <v>77.150000000000006</v>
      </c>
      <c r="W34" s="20">
        <f>IF(RESULTADO!$F$148&lt;=W$33,W7,W27)</f>
        <v>77.150000000000006</v>
      </c>
      <c r="X34" s="20">
        <f>IF(RESULTADO!$F$148&lt;=X$33,X7,X27)</f>
        <v>80.45</v>
      </c>
      <c r="Y34" s="20">
        <f>IF(RESULTADO!$F$148&lt;=Y$33,Y7,Y27)</f>
        <v>80.45</v>
      </c>
      <c r="Z34" s="400">
        <f>IF(RESULTADO!$F$148&lt;=Z$33,Z7,Z27)</f>
        <v>80.45</v>
      </c>
      <c r="AA34" s="401">
        <f>IF(RESULTADO!$F$148&lt;=AA$33,AA7,AA27)</f>
        <v>100.1</v>
      </c>
      <c r="AB34" s="20">
        <f>IF(RESULTADO!$F$148&lt;=AB$33,AB7,AB27)</f>
        <v>100.1</v>
      </c>
      <c r="AC34" s="20">
        <f>IF(RESULTADO!$F$148&lt;=AC$33,AC7,AC27)</f>
        <v>100.1</v>
      </c>
      <c r="AD34" s="20">
        <f>IF(RESULTADO!$F$148&lt;=AD$33,AD7,AD27)</f>
        <v>100.1</v>
      </c>
      <c r="AE34" s="20">
        <f>IF(RESULTADO!$F$148&lt;=AE$33,AE7,AE27)</f>
        <v>100.1</v>
      </c>
      <c r="AF34" s="20">
        <f>IF(RESULTADO!$F$148&lt;=AF$33,AF7,AF27)</f>
        <v>100.1</v>
      </c>
      <c r="AG34" s="20">
        <f>IF(RESULTADO!$F$148&lt;=AG$33,AG7,AG27)</f>
        <v>100.1</v>
      </c>
      <c r="AH34" s="20">
        <f>IF(RESULTADO!$F$148&lt;=AH$33,AH7,AH27)</f>
        <v>100.1</v>
      </c>
      <c r="AI34" s="20">
        <f>IF(RESULTADO!$F$148&lt;=AI$33,AI7,AI27)</f>
        <v>100.1</v>
      </c>
      <c r="AJ34" s="20">
        <f>IF(RESULTADO!$F$148&lt;=AJ$33,AJ7,AJ27)</f>
        <v>100.1</v>
      </c>
      <c r="AK34" s="20">
        <f>IF(RESULTADO!$F$148&lt;=AK$33,AK7,AK27)</f>
        <v>100.1</v>
      </c>
      <c r="AL34" s="400">
        <f>IF(RESULTADO!$F$148&lt;=AL$33,AL7,AL27)</f>
        <v>100.1</v>
      </c>
      <c r="AM34" s="401">
        <f>IF(RESULTADO!$F$148&lt;=AM$33,AM7,AM27)</f>
        <v>112</v>
      </c>
      <c r="AN34" s="20">
        <f>IF(RESULTADO!$F$148&lt;=AN$33,AN7,AN27)</f>
        <v>112</v>
      </c>
      <c r="AO34" s="20">
        <f>IF(RESULTADO!$F$148&lt;=AO$33,AO7,AO27)</f>
        <v>112</v>
      </c>
      <c r="AP34" s="20">
        <f>IF(RESULTADO!$F$148&lt;=AP$33,AP7,AP27)</f>
        <v>112</v>
      </c>
      <c r="AQ34" s="20">
        <f>IF(RESULTADO!$F$148&lt;=AQ$33,AQ7,AQ27)</f>
        <v>112</v>
      </c>
      <c r="AR34" s="20">
        <f>IF(RESULTADO!$F$148&lt;=AR$33,AR7,AR27)</f>
        <v>112</v>
      </c>
      <c r="AS34" s="20">
        <f>IF(RESULTADO!$F$148&lt;=AS$33,AS7,AS27)</f>
        <v>112</v>
      </c>
      <c r="AT34" s="20">
        <f>IF(RESULTADO!$F$148&lt;=AT$33,AT7,AT27)</f>
        <v>112</v>
      </c>
      <c r="AU34" s="20">
        <f>IF(RESULTADO!$F$148&lt;=AU$33,AU7,AU27)</f>
        <v>112</v>
      </c>
      <c r="AV34" s="20">
        <f>IF(RESULTADO!$F$148&lt;=AV$33,AV7,AV27)</f>
        <v>112</v>
      </c>
      <c r="AW34" s="20">
        <f>IF(RESULTADO!$F$148&lt;=AW$33,AW7,AW27)</f>
        <v>112</v>
      </c>
      <c r="AX34" s="400">
        <f>IF(RESULTADO!$F$148&lt;=AX$33,AX7,AX27)</f>
        <v>112</v>
      </c>
      <c r="AY34" s="401">
        <f>IF(RESULTADO!$F$148&lt;=AY$33,AY7,AY27)</f>
        <v>140.5</v>
      </c>
      <c r="AZ34" s="20">
        <f>IF(RESULTADO!$F$148&lt;=AZ$33,AZ7,AZ27)</f>
        <v>140.5</v>
      </c>
      <c r="BA34" s="20">
        <f>IF(RESULTADO!$F$148&lt;=BA$33,BA7,BA27)</f>
        <v>140.5</v>
      </c>
      <c r="BB34" s="20">
        <f>IF(RESULTADO!$F$148&lt;=BB$33,BB7,BB27)</f>
        <v>140.5</v>
      </c>
      <c r="BC34" s="20">
        <f>IF(RESULTADO!$F$148&lt;=BC$33,BC7,BC27)</f>
        <v>140.5</v>
      </c>
      <c r="BD34" s="20">
        <f>IF(RESULTADO!$F$148&lt;=BD$33,BD7,BD27)</f>
        <v>140.5</v>
      </c>
      <c r="BE34" s="20">
        <f>IF(RESULTADO!$F$148&lt;=BE$33,BE7,BE27)</f>
        <v>140.5</v>
      </c>
      <c r="BF34" s="20">
        <f>IF(RESULTADO!$F$148&lt;=BF$33,BF7,BF27)</f>
        <v>140.5</v>
      </c>
      <c r="BG34" s="20">
        <f>IF(RESULTADO!$F$148&lt;=BG$33,BG7,BG27)</f>
        <v>140.5</v>
      </c>
      <c r="BH34" s="20">
        <f>IF(RESULTADO!$F$148&lt;=BH$33,BH7,BH27)</f>
        <v>140.5</v>
      </c>
      <c r="BI34" s="20">
        <f>IF(RESULTADO!$F$148&lt;=BI$33,BI7,BI27)</f>
        <v>140.5</v>
      </c>
      <c r="BJ34" s="467">
        <f>IF(RESULTADO!$F$148&lt;=BJ$33,BJ7,BJ27)</f>
        <v>140.5</v>
      </c>
      <c r="BK34" s="461"/>
      <c r="BO34" s="348"/>
    </row>
    <row r="35" spans="1:67" x14ac:dyDescent="0.25">
      <c r="A35" s="7"/>
      <c r="B35" s="37" t="str">
        <f>IF(B28="",(B7+B12),B28)</f>
        <v>S</v>
      </c>
      <c r="C35" s="18">
        <f>IF(RESULTADO!$F$148&lt;=C$33,C$7+C12,C28)</f>
        <v>62.92</v>
      </c>
      <c r="D35" s="18">
        <f>IF(RESULTADO!$F$148&lt;=D$33,D$7+D12,D28)</f>
        <v>55.7</v>
      </c>
      <c r="E35" s="18">
        <f>IF(RESULTADO!$F$148&lt;=E$33,E$7+E12,E28)</f>
        <v>55.7</v>
      </c>
      <c r="F35" s="18">
        <f>IF(RESULTADO!$F$148&lt;=F$33,F$7+F12,F28)</f>
        <v>55.7</v>
      </c>
      <c r="G35" s="18">
        <f>IF(RESULTADO!$F$148&lt;=G$33,G$7+G12,G28)</f>
        <v>55.7</v>
      </c>
      <c r="H35" s="18">
        <f>IF(RESULTADO!$F$148&lt;=H$33,H$7+H12,H28)</f>
        <v>55.71</v>
      </c>
      <c r="I35" s="18">
        <f>IF(RESULTADO!$F$148&lt;=I$33,I$7+I12,I28)</f>
        <v>66.319999999999993</v>
      </c>
      <c r="J35" s="18">
        <f>IF(RESULTADO!$F$148&lt;=J$33,J$7+J12,J28)</f>
        <v>76.900000000000006</v>
      </c>
      <c r="K35" s="18">
        <f>IF(RESULTADO!$F$148&lt;=K$33,K$7+K12,K28)</f>
        <v>56.08</v>
      </c>
      <c r="L35" s="18">
        <f>IF(RESULTADO!$F$148&lt;=L$33,L$7+L12,L28)</f>
        <v>55.7</v>
      </c>
      <c r="M35" s="18">
        <f>IF(RESULTADO!$F$148&lt;=M$33,M$7+M12,M28)</f>
        <v>55.7</v>
      </c>
      <c r="N35" s="402">
        <f>IF(RESULTADO!$F$148&lt;=N$33,N$7+N12,N28)</f>
        <v>55.7</v>
      </c>
      <c r="O35" s="403">
        <f>IF(RESULTADO!$F$148&lt;=O$33,O$7+O12,O28)</f>
        <v>68.72</v>
      </c>
      <c r="P35" s="18">
        <f>IF(RESULTADO!$F$148&lt;=P$33,P$7+P12,P28)</f>
        <v>69.25</v>
      </c>
      <c r="Q35" s="18">
        <f>IF(RESULTADO!$F$148&lt;=Q$33,Q$7+Q12,Q28)</f>
        <v>69.3</v>
      </c>
      <c r="R35" s="18">
        <f>IF(RESULTADO!$F$148&lt;=R$33,R$7+R12,R28)</f>
        <v>69.8</v>
      </c>
      <c r="S35" s="18">
        <f>IF(RESULTADO!$F$148&lt;=S$33,S$7+S12,S28)</f>
        <v>70.2</v>
      </c>
      <c r="T35" s="18">
        <f>IF(RESULTADO!$F$148&lt;=T$33,T$7+T12,T28)</f>
        <v>72.400000000000006</v>
      </c>
      <c r="U35" s="18">
        <f>IF(RESULTADO!$F$148&lt;=U$33,U$7+U12,U28)</f>
        <v>77.150000000000006</v>
      </c>
      <c r="V35" s="18">
        <f>IF(RESULTADO!$F$148&lt;=V$33,V$7+V12,V28)</f>
        <v>77.150000000000006</v>
      </c>
      <c r="W35" s="18">
        <f>IF(RESULTADO!$F$148&lt;=W$33,W$7+W12,W28)</f>
        <v>77.150000000000006</v>
      </c>
      <c r="X35" s="18">
        <f>IF(RESULTADO!$F$148&lt;=X$33,X$7+X12,X28)</f>
        <v>80.45</v>
      </c>
      <c r="Y35" s="18">
        <f>IF(RESULTADO!$F$148&lt;=Y$33,Y$7+Y12,Y28)</f>
        <v>80.45</v>
      </c>
      <c r="Z35" s="402">
        <f>IF(RESULTADO!$F$148&lt;=Z$33,Z$7+Z12,Z28)</f>
        <v>80.45</v>
      </c>
      <c r="AA35" s="403">
        <f>IF(RESULTADO!$F$148&lt;=AA$33,AA$7+AA12,AA28)</f>
        <v>100.1</v>
      </c>
      <c r="AB35" s="18">
        <f>IF(RESULTADO!$F$148&lt;=AB$33,AB$7+AB12,AB28)</f>
        <v>100.1</v>
      </c>
      <c r="AC35" s="18">
        <f>IF(RESULTADO!$F$148&lt;=AC$33,AC$7+AC12,AC28)</f>
        <v>100.1</v>
      </c>
      <c r="AD35" s="18">
        <f>IF(RESULTADO!$F$148&lt;=AD$33,AD$7+AD12,AD28)</f>
        <v>100.1</v>
      </c>
      <c r="AE35" s="18">
        <f>IF(RESULTADO!$F$148&lt;=AE$33,AE$7+AE12,AE28)</f>
        <v>100.1</v>
      </c>
      <c r="AF35" s="18">
        <f>IF(RESULTADO!$F$148&lt;=AF$33,AF$7+AF12,AF28)</f>
        <v>100.1</v>
      </c>
      <c r="AG35" s="18">
        <f>IF(RESULTADO!$F$148&lt;=AG$33,AG$7+AG12,AG28)</f>
        <v>100.1</v>
      </c>
      <c r="AH35" s="18">
        <f>IF(RESULTADO!$F$148&lt;=AH$33,AH$7+AH12,AH28)</f>
        <v>100.1</v>
      </c>
      <c r="AI35" s="18">
        <f>IF(RESULTADO!$F$148&lt;=AI$33,AI$7+AI12,AI28)</f>
        <v>100.1</v>
      </c>
      <c r="AJ35" s="18">
        <f>IF(RESULTADO!$F$148&lt;=AJ$33,AJ$7+AJ12,AJ28)</f>
        <v>100.1</v>
      </c>
      <c r="AK35" s="18">
        <f>IF(RESULTADO!$F$148&lt;=AK$33,AK$7+AK12,AK28)</f>
        <v>100.1</v>
      </c>
      <c r="AL35" s="402">
        <f>IF(RESULTADO!$F$148&lt;=AL$33,AL$7+AL12,AL28)</f>
        <v>100.1</v>
      </c>
      <c r="AM35" s="403">
        <f>IF(RESULTADO!$F$148&lt;=AM$33,AM$7+AM12,AM28)</f>
        <v>112</v>
      </c>
      <c r="AN35" s="18">
        <f>IF(RESULTADO!$F$148&lt;=AN$33,AN$7+AN12,AN28)</f>
        <v>112</v>
      </c>
      <c r="AO35" s="18">
        <f>IF(RESULTADO!$F$148&lt;=AO$33,AO$7+AO12,AO28)</f>
        <v>112</v>
      </c>
      <c r="AP35" s="18">
        <f>IF(RESULTADO!$F$148&lt;=AP$33,AP$7+AP12,AP28)</f>
        <v>112</v>
      </c>
      <c r="AQ35" s="18">
        <f>IF(RESULTADO!$F$148&lt;=AQ$33,AQ$7+AQ12,AQ28)</f>
        <v>112</v>
      </c>
      <c r="AR35" s="18">
        <f>IF(RESULTADO!$F$148&lt;=AR$33,AR$7+AR12,AR28)</f>
        <v>112</v>
      </c>
      <c r="AS35" s="18">
        <f>IF(RESULTADO!$F$148&lt;=AS$33,AS$7+AS12,AS28)</f>
        <v>112</v>
      </c>
      <c r="AT35" s="18">
        <f>IF(RESULTADO!$F$148&lt;=AT$33,AT$7+AT12,AT28)</f>
        <v>112</v>
      </c>
      <c r="AU35" s="18">
        <f>IF(RESULTADO!$F$148&lt;=AU$33,AU$7+AU12,AU28)</f>
        <v>112</v>
      </c>
      <c r="AV35" s="18">
        <f>IF(RESULTADO!$F$148&lt;=AV$33,AV$7+AV12,AV28)</f>
        <v>112</v>
      </c>
      <c r="AW35" s="18">
        <f>IF(RESULTADO!$F$148&lt;=AW$33,AW$7+AW12,AW28)</f>
        <v>112</v>
      </c>
      <c r="AX35" s="402">
        <f>IF(RESULTADO!$F$148&lt;=AX$33,AX$7+AX12,AX28)</f>
        <v>112</v>
      </c>
      <c r="AY35" s="403">
        <f>IF(RESULTADO!$F$148&lt;=AY$33,AY$7+AY12,AY28)</f>
        <v>140.5</v>
      </c>
      <c r="AZ35" s="18">
        <f>IF(RESULTADO!$F$148&lt;=AZ$33,AZ$7+AZ12,AZ28)</f>
        <v>140.5</v>
      </c>
      <c r="BA35" s="18">
        <f>IF(RESULTADO!$F$148&lt;=BA$33,BA$7+BA12,BA28)</f>
        <v>140.5</v>
      </c>
      <c r="BB35" s="18">
        <f>IF(RESULTADO!$F$148&lt;=BB$33,BB$7+BB12,BB28)</f>
        <v>140.5</v>
      </c>
      <c r="BC35" s="18">
        <f>IF(RESULTADO!$F$148&lt;=BC$33,BC$7+BC12,BC28)</f>
        <v>140.5</v>
      </c>
      <c r="BD35" s="18">
        <f>IF(RESULTADO!$F$148&lt;=BD$33,BD$7+BD12,BD28)</f>
        <v>140.5</v>
      </c>
      <c r="BE35" s="18">
        <f>IF(RESULTADO!$F$148&lt;=BE$33,BE$7+BE12,BE28)</f>
        <v>140.5</v>
      </c>
      <c r="BF35" s="18">
        <f>IF(RESULTADO!$F$148&lt;=BF$33,BF$7+BF12,BF28)</f>
        <v>140.5</v>
      </c>
      <c r="BG35" s="18">
        <f>IF(RESULTADO!$F$148&lt;=BG$33,BG$7+BG12,BG28)</f>
        <v>140.5</v>
      </c>
      <c r="BH35" s="18">
        <f>IF(RESULTADO!$F$148&lt;=BH$33,BH$7+BH12,BH28)</f>
        <v>140.5</v>
      </c>
      <c r="BI35" s="18">
        <f>IF(RESULTADO!$F$148&lt;=BI$33,BI$7+BI12,BI28)</f>
        <v>140.5</v>
      </c>
      <c r="BJ35" s="19">
        <f>IF(RESULTADO!$F$148&lt;=BJ$33,BJ$7+BJ12,BJ28)</f>
        <v>140.5</v>
      </c>
      <c r="BK35" s="461"/>
      <c r="BO35" s="348"/>
    </row>
    <row r="36" spans="1:67" x14ac:dyDescent="0.25">
      <c r="A36" s="7"/>
      <c r="B36" s="37" t="str">
        <f>IF(B29="",(B7+B13),B29)</f>
        <v>NE</v>
      </c>
      <c r="C36" s="18">
        <f>IF(RESULTADO!$F$148&lt;=C$33,C$7+C13,C29)</f>
        <v>57.22</v>
      </c>
      <c r="D36" s="18">
        <f>IF(RESULTADO!$F$148&lt;=D$33,D$7+D13,D29)</f>
        <v>55.7</v>
      </c>
      <c r="E36" s="18">
        <f>IF(RESULTADO!$F$148&lt;=E$33,E$7+E13,E29)</f>
        <v>55.7</v>
      </c>
      <c r="F36" s="18">
        <f>IF(RESULTADO!$F$148&lt;=F$33,F$7+F13,F29)</f>
        <v>55.7</v>
      </c>
      <c r="G36" s="18">
        <f>IF(RESULTADO!$F$148&lt;=G$33,G$7+G13,G29)</f>
        <v>55.7</v>
      </c>
      <c r="H36" s="18">
        <f>IF(RESULTADO!$F$148&lt;=H$33,H$7+H13,H29)</f>
        <v>55.71</v>
      </c>
      <c r="I36" s="18">
        <f>IF(RESULTADO!$F$148&lt;=I$33,I$7+I13,I29)</f>
        <v>66.319999999999993</v>
      </c>
      <c r="J36" s="18">
        <f>IF(RESULTADO!$F$148&lt;=J$33,J$7+J13,J29)</f>
        <v>76.900000000000006</v>
      </c>
      <c r="K36" s="18">
        <f>IF(RESULTADO!$F$148&lt;=K$33,K$7+K13,K29)</f>
        <v>56.08</v>
      </c>
      <c r="L36" s="18">
        <f>IF(RESULTADO!$F$148&lt;=L$33,L$7+L13,L29)</f>
        <v>55.7</v>
      </c>
      <c r="M36" s="18">
        <f>IF(RESULTADO!$F$148&lt;=M$33,M$7+M13,M29)</f>
        <v>55.7</v>
      </c>
      <c r="N36" s="402">
        <f>IF(RESULTADO!$F$148&lt;=N$33,N$7+N13,N29)</f>
        <v>55.7</v>
      </c>
      <c r="O36" s="403">
        <f>IF(RESULTADO!$F$148&lt;=O$33,O$7+O13,O29)</f>
        <v>68.72</v>
      </c>
      <c r="P36" s="18">
        <f>IF(RESULTADO!$F$148&lt;=P$33,P$7+P13,P29)</f>
        <v>69.25</v>
      </c>
      <c r="Q36" s="18">
        <f>IF(RESULTADO!$F$148&lt;=Q$33,Q$7+Q13,Q29)</f>
        <v>69.3</v>
      </c>
      <c r="R36" s="18">
        <f>IF(RESULTADO!$F$148&lt;=R$33,R$7+R13,R29)</f>
        <v>69.8</v>
      </c>
      <c r="S36" s="18">
        <f>IF(RESULTADO!$F$148&lt;=S$33,S$7+S13,S29)</f>
        <v>70.2</v>
      </c>
      <c r="T36" s="18">
        <f>IF(RESULTADO!$F$148&lt;=T$33,T$7+T13,T29)</f>
        <v>72.400000000000006</v>
      </c>
      <c r="U36" s="18">
        <f>IF(RESULTADO!$F$148&lt;=U$33,U$7+U13,U29)</f>
        <v>77.150000000000006</v>
      </c>
      <c r="V36" s="18">
        <f>IF(RESULTADO!$F$148&lt;=V$33,V$7+V13,V29)</f>
        <v>77.150000000000006</v>
      </c>
      <c r="W36" s="18">
        <f>IF(RESULTADO!$F$148&lt;=W$33,W$7+W13,W29)</f>
        <v>77.150000000000006</v>
      </c>
      <c r="X36" s="18">
        <f>IF(RESULTADO!$F$148&lt;=X$33,X$7+X13,X29)</f>
        <v>80.45</v>
      </c>
      <c r="Y36" s="18">
        <f>IF(RESULTADO!$F$148&lt;=Y$33,Y$7+Y13,Y29)</f>
        <v>80.45</v>
      </c>
      <c r="Z36" s="402">
        <f>IF(RESULTADO!$F$148&lt;=Z$33,Z$7+Z13,Z29)</f>
        <v>80.45</v>
      </c>
      <c r="AA36" s="403">
        <f>IF(RESULTADO!$F$148&lt;=AA$33,AA$7+AA13,AA29)</f>
        <v>100.1</v>
      </c>
      <c r="AB36" s="18">
        <f>IF(RESULTADO!$F$148&lt;=AB$33,AB$7+AB13,AB29)</f>
        <v>100.1</v>
      </c>
      <c r="AC36" s="18">
        <f>IF(RESULTADO!$F$148&lt;=AC$33,AC$7+AC13,AC29)</f>
        <v>100.1</v>
      </c>
      <c r="AD36" s="18">
        <f>IF(RESULTADO!$F$148&lt;=AD$33,AD$7+AD13,AD29)</f>
        <v>100.1</v>
      </c>
      <c r="AE36" s="18">
        <f>IF(RESULTADO!$F$148&lt;=AE$33,AE$7+AE13,AE29)</f>
        <v>100.1</v>
      </c>
      <c r="AF36" s="18">
        <f>IF(RESULTADO!$F$148&lt;=AF$33,AF$7+AF13,AF29)</f>
        <v>100.1</v>
      </c>
      <c r="AG36" s="18">
        <f>IF(RESULTADO!$F$148&lt;=AG$33,AG$7+AG13,AG29)</f>
        <v>100.1</v>
      </c>
      <c r="AH36" s="18">
        <f>IF(RESULTADO!$F$148&lt;=AH$33,AH$7+AH13,AH29)</f>
        <v>100.1</v>
      </c>
      <c r="AI36" s="18">
        <f>IF(RESULTADO!$F$148&lt;=AI$33,AI$7+AI13,AI29)</f>
        <v>100.1</v>
      </c>
      <c r="AJ36" s="18">
        <f>IF(RESULTADO!$F$148&lt;=AJ$33,AJ$7+AJ13,AJ29)</f>
        <v>100.1</v>
      </c>
      <c r="AK36" s="18">
        <f>IF(RESULTADO!$F$148&lt;=AK$33,AK$7+AK13,AK29)</f>
        <v>100.1</v>
      </c>
      <c r="AL36" s="402">
        <f>IF(RESULTADO!$F$148&lt;=AL$33,AL$7+AL13,AL29)</f>
        <v>100.1</v>
      </c>
      <c r="AM36" s="403">
        <f>IF(RESULTADO!$F$148&lt;=AM$33,AM$7+AM13,AM29)</f>
        <v>112</v>
      </c>
      <c r="AN36" s="18">
        <f>IF(RESULTADO!$F$148&lt;=AN$33,AN$7+AN13,AN29)</f>
        <v>112</v>
      </c>
      <c r="AO36" s="18">
        <f>IF(RESULTADO!$F$148&lt;=AO$33,AO$7+AO13,AO29)</f>
        <v>112</v>
      </c>
      <c r="AP36" s="18">
        <f>IF(RESULTADO!$F$148&lt;=AP$33,AP$7+AP13,AP29)</f>
        <v>112</v>
      </c>
      <c r="AQ36" s="18">
        <f>IF(RESULTADO!$F$148&lt;=AQ$33,AQ$7+AQ13,AQ29)</f>
        <v>112</v>
      </c>
      <c r="AR36" s="18">
        <f>IF(RESULTADO!$F$148&lt;=AR$33,AR$7+AR13,AR29)</f>
        <v>112</v>
      </c>
      <c r="AS36" s="18">
        <f>IF(RESULTADO!$F$148&lt;=AS$33,AS$7+AS13,AS29)</f>
        <v>112</v>
      </c>
      <c r="AT36" s="18">
        <f>IF(RESULTADO!$F$148&lt;=AT$33,AT$7+AT13,AT29)</f>
        <v>112</v>
      </c>
      <c r="AU36" s="18">
        <f>IF(RESULTADO!$F$148&lt;=AU$33,AU$7+AU13,AU29)</f>
        <v>112</v>
      </c>
      <c r="AV36" s="18">
        <f>IF(RESULTADO!$F$148&lt;=AV$33,AV$7+AV13,AV29)</f>
        <v>112</v>
      </c>
      <c r="AW36" s="18">
        <f>IF(RESULTADO!$F$148&lt;=AW$33,AW$7+AW13,AW29)</f>
        <v>112</v>
      </c>
      <c r="AX36" s="402">
        <f>IF(RESULTADO!$F$148&lt;=AX$33,AX$7+AX13,AX29)</f>
        <v>112</v>
      </c>
      <c r="AY36" s="403">
        <f>IF(RESULTADO!$F$148&lt;=AY$33,AY$7+AY13,AY29)</f>
        <v>140.5</v>
      </c>
      <c r="AZ36" s="18">
        <f>IF(RESULTADO!$F$148&lt;=AZ$33,AZ$7+AZ13,AZ29)</f>
        <v>140.5</v>
      </c>
      <c r="BA36" s="18">
        <f>IF(RESULTADO!$F$148&lt;=BA$33,BA$7+BA13,BA29)</f>
        <v>140.5</v>
      </c>
      <c r="BB36" s="18">
        <f>IF(RESULTADO!$F$148&lt;=BB$33,BB$7+BB13,BB29)</f>
        <v>140.5</v>
      </c>
      <c r="BC36" s="18">
        <f>IF(RESULTADO!$F$148&lt;=BC$33,BC$7+BC13,BC29)</f>
        <v>140.5</v>
      </c>
      <c r="BD36" s="18">
        <f>IF(RESULTADO!$F$148&lt;=BD$33,BD$7+BD13,BD29)</f>
        <v>140.5</v>
      </c>
      <c r="BE36" s="18">
        <f>IF(RESULTADO!$F$148&lt;=BE$33,BE$7+BE13,BE29)</f>
        <v>140.5</v>
      </c>
      <c r="BF36" s="18">
        <f>IF(RESULTADO!$F$148&lt;=BF$33,BF$7+BF13,BF29)</f>
        <v>140.5</v>
      </c>
      <c r="BG36" s="18">
        <f>IF(RESULTADO!$F$148&lt;=BG$33,BG$7+BG13,BG29)</f>
        <v>140.5</v>
      </c>
      <c r="BH36" s="18">
        <f>IF(RESULTADO!$F$148&lt;=BH$33,BH$7+BH13,BH29)</f>
        <v>140.5</v>
      </c>
      <c r="BI36" s="18">
        <f>IF(RESULTADO!$F$148&lt;=BI$33,BI$7+BI13,BI29)</f>
        <v>140.5</v>
      </c>
      <c r="BJ36" s="19">
        <f>IF(RESULTADO!$F$148&lt;=BJ$33,BJ$7+BJ13,BJ29)</f>
        <v>140.5</v>
      </c>
      <c r="BK36" s="461"/>
      <c r="BO36" s="348"/>
    </row>
    <row r="37" spans="1:67" ht="15.75" thickBot="1" x14ac:dyDescent="0.3">
      <c r="A37" s="7"/>
      <c r="B37" s="38" t="str">
        <f>IF(B30="",(B7+B14),B30)</f>
        <v>N</v>
      </c>
      <c r="C37" s="23">
        <f>IF(RESULTADO!$F$148&lt;=C$33,C$7+C14,C30)</f>
        <v>55.71</v>
      </c>
      <c r="D37" s="23">
        <f>IF(RESULTADO!$F$148&lt;=D$33,D$7+D14,D30)</f>
        <v>55.7</v>
      </c>
      <c r="E37" s="23">
        <f>IF(RESULTADO!$F$148&lt;=E$33,E$7+E14,E30)</f>
        <v>55.7</v>
      </c>
      <c r="F37" s="23">
        <f>IF(RESULTADO!$F$148&lt;=F$33,F$7+F14,F30)</f>
        <v>55.7</v>
      </c>
      <c r="G37" s="23">
        <f>IF(RESULTADO!$F$148&lt;=G$33,G$7+G14,G30)</f>
        <v>55.7</v>
      </c>
      <c r="H37" s="23">
        <f>IF(RESULTADO!$F$148&lt;=H$33,H$7+H14,H30)</f>
        <v>55.71</v>
      </c>
      <c r="I37" s="23">
        <f>IF(RESULTADO!$F$148&lt;=I$33,I$7+I14,I30)</f>
        <v>66.319999999999993</v>
      </c>
      <c r="J37" s="23">
        <f>IF(RESULTADO!$F$148&lt;=J$33,J$7+J14,J30)</f>
        <v>76.900000000000006</v>
      </c>
      <c r="K37" s="23">
        <f>IF(RESULTADO!$F$148&lt;=K$33,K$7+K14,K30)</f>
        <v>56.08</v>
      </c>
      <c r="L37" s="23">
        <f>IF(RESULTADO!$F$148&lt;=L$33,L$7+L14,L30)</f>
        <v>55.7</v>
      </c>
      <c r="M37" s="23">
        <f>IF(RESULTADO!$F$148&lt;=M$33,M$7+M14,M30)</f>
        <v>55.7</v>
      </c>
      <c r="N37" s="404">
        <f>IF(RESULTADO!$F$148&lt;=N$33,N$7+N14,N30)</f>
        <v>55.7</v>
      </c>
      <c r="O37" s="405">
        <f>IF(RESULTADO!$F$148&lt;=O$33,O$7+O14,O30)</f>
        <v>68.72</v>
      </c>
      <c r="P37" s="23">
        <f>IF(RESULTADO!$F$148&lt;=P$33,P$7+P14,P30)</f>
        <v>69.25</v>
      </c>
      <c r="Q37" s="23">
        <f>IF(RESULTADO!$F$148&lt;=Q$33,Q$7+Q14,Q30)</f>
        <v>69.3</v>
      </c>
      <c r="R37" s="23">
        <f>IF(RESULTADO!$F$148&lt;=R$33,R$7+R14,R30)</f>
        <v>69.8</v>
      </c>
      <c r="S37" s="23">
        <f>IF(RESULTADO!$F$148&lt;=S$33,S$7+S14,S30)</f>
        <v>70.2</v>
      </c>
      <c r="T37" s="23">
        <f>IF(RESULTADO!$F$148&lt;=T$33,T$7+T14,T30)</f>
        <v>72.400000000000006</v>
      </c>
      <c r="U37" s="23">
        <f>IF(RESULTADO!$F$148&lt;=U$33,U$7+U14,U30)</f>
        <v>77.150000000000006</v>
      </c>
      <c r="V37" s="23">
        <f>IF(RESULTADO!$F$148&lt;=V$33,V$7+V14,V30)</f>
        <v>77.150000000000006</v>
      </c>
      <c r="W37" s="23">
        <f>IF(RESULTADO!$F$148&lt;=W$33,W$7+W14,W30)</f>
        <v>77.150000000000006</v>
      </c>
      <c r="X37" s="23">
        <f>IF(RESULTADO!$F$148&lt;=X$33,X$7+X14,X30)</f>
        <v>80.45</v>
      </c>
      <c r="Y37" s="23">
        <f>IF(RESULTADO!$F$148&lt;=Y$33,Y$7+Y14,Y30)</f>
        <v>80.45</v>
      </c>
      <c r="Z37" s="404">
        <f>IF(RESULTADO!$F$148&lt;=Z$33,Z$7+Z14,Z30)</f>
        <v>80.45</v>
      </c>
      <c r="AA37" s="405">
        <f>IF(RESULTADO!$F$148&lt;=AA$33,AA$7+AA14,AA30)</f>
        <v>100.1</v>
      </c>
      <c r="AB37" s="23">
        <f>IF(RESULTADO!$F$148&lt;=AB$33,AB$7+AB14,AB30)</f>
        <v>100.1</v>
      </c>
      <c r="AC37" s="23">
        <f>IF(RESULTADO!$F$148&lt;=AC$33,AC$7+AC14,AC30)</f>
        <v>100.1</v>
      </c>
      <c r="AD37" s="23">
        <f>IF(RESULTADO!$F$148&lt;=AD$33,AD$7+AD14,AD30)</f>
        <v>100.1</v>
      </c>
      <c r="AE37" s="23">
        <f>IF(RESULTADO!$F$148&lt;=AE$33,AE$7+AE14,AE30)</f>
        <v>100.1</v>
      </c>
      <c r="AF37" s="23">
        <f>IF(RESULTADO!$F$148&lt;=AF$33,AF$7+AF14,AF30)</f>
        <v>100.1</v>
      </c>
      <c r="AG37" s="23">
        <f>IF(RESULTADO!$F$148&lt;=AG$33,AG$7+AG14,AG30)</f>
        <v>100.1</v>
      </c>
      <c r="AH37" s="23">
        <f>IF(RESULTADO!$F$148&lt;=AH$33,AH$7+AH14,AH30)</f>
        <v>100.1</v>
      </c>
      <c r="AI37" s="23">
        <f>IF(RESULTADO!$F$148&lt;=AI$33,AI$7+AI14,AI30)</f>
        <v>100.1</v>
      </c>
      <c r="AJ37" s="23">
        <f>IF(RESULTADO!$F$148&lt;=AJ$33,AJ$7+AJ14,AJ30)</f>
        <v>100.1</v>
      </c>
      <c r="AK37" s="23">
        <f>IF(RESULTADO!$F$148&lt;=AK$33,AK$7+AK14,AK30)</f>
        <v>100.1</v>
      </c>
      <c r="AL37" s="404">
        <f>IF(RESULTADO!$F$148&lt;=AL$33,AL$7+AL14,AL30)</f>
        <v>100.1</v>
      </c>
      <c r="AM37" s="405">
        <f>IF(RESULTADO!$F$148&lt;=AM$33,AM$7+AM14,AM30)</f>
        <v>112</v>
      </c>
      <c r="AN37" s="23">
        <f>IF(RESULTADO!$F$148&lt;=AN$33,AN$7+AN14,AN30)</f>
        <v>112</v>
      </c>
      <c r="AO37" s="23">
        <f>IF(RESULTADO!$F$148&lt;=AO$33,AO$7+AO14,AO30)</f>
        <v>112</v>
      </c>
      <c r="AP37" s="23">
        <f>IF(RESULTADO!$F$148&lt;=AP$33,AP$7+AP14,AP30)</f>
        <v>112</v>
      </c>
      <c r="AQ37" s="23">
        <f>IF(RESULTADO!$F$148&lt;=AQ$33,AQ$7+AQ14,AQ30)</f>
        <v>112</v>
      </c>
      <c r="AR37" s="23">
        <f>IF(RESULTADO!$F$148&lt;=AR$33,AR$7+AR14,AR30)</f>
        <v>112</v>
      </c>
      <c r="AS37" s="23">
        <f>IF(RESULTADO!$F$148&lt;=AS$33,AS$7+AS14,AS30)</f>
        <v>112</v>
      </c>
      <c r="AT37" s="23">
        <f>IF(RESULTADO!$F$148&lt;=AT$33,AT$7+AT14,AT30)</f>
        <v>112</v>
      </c>
      <c r="AU37" s="23">
        <f>IF(RESULTADO!$F$148&lt;=AU$33,AU$7+AU14,AU30)</f>
        <v>112</v>
      </c>
      <c r="AV37" s="23">
        <f>IF(RESULTADO!$F$148&lt;=AV$33,AV$7+AV14,AV30)</f>
        <v>112</v>
      </c>
      <c r="AW37" s="23">
        <f>IF(RESULTADO!$F$148&lt;=AW$33,AW$7+AW14,AW30)</f>
        <v>112</v>
      </c>
      <c r="AX37" s="404">
        <f>IF(RESULTADO!$F$148&lt;=AX$33,AX$7+AX14,AX30)</f>
        <v>112</v>
      </c>
      <c r="AY37" s="405">
        <f>IF(RESULTADO!$F$148&lt;=AY$33,AY$7+AY14,AY30)</f>
        <v>140.5</v>
      </c>
      <c r="AZ37" s="23">
        <f>IF(RESULTADO!$F$148&lt;=AZ$33,AZ$7+AZ14,AZ30)</f>
        <v>140.5</v>
      </c>
      <c r="BA37" s="23">
        <f>IF(RESULTADO!$F$148&lt;=BA$33,BA$7+BA14,BA30)</f>
        <v>140.5</v>
      </c>
      <c r="BB37" s="23">
        <f>IF(RESULTADO!$F$148&lt;=BB$33,BB$7+BB14,BB30)</f>
        <v>140.5</v>
      </c>
      <c r="BC37" s="23">
        <f>IF(RESULTADO!$F$148&lt;=BC$33,BC$7+BC14,BC30)</f>
        <v>140.5</v>
      </c>
      <c r="BD37" s="23">
        <f>IF(RESULTADO!$F$148&lt;=BD$33,BD$7+BD14,BD30)</f>
        <v>140.5</v>
      </c>
      <c r="BE37" s="23">
        <f>IF(RESULTADO!$F$148&lt;=BE$33,BE$7+BE14,BE30)</f>
        <v>140.5</v>
      </c>
      <c r="BF37" s="23">
        <f>IF(RESULTADO!$F$148&lt;=BF$33,BF$7+BF14,BF30)</f>
        <v>140.5</v>
      </c>
      <c r="BG37" s="23">
        <f>IF(RESULTADO!$F$148&lt;=BG$33,BG$7+BG14,BG30)</f>
        <v>140.5</v>
      </c>
      <c r="BH37" s="23">
        <f>IF(RESULTADO!$F$148&lt;=BH$33,BH$7+BH14,BH30)</f>
        <v>140.5</v>
      </c>
      <c r="BI37" s="23">
        <f>IF(RESULTADO!$F$148&lt;=BI$33,BI$7+BI14,BI30)</f>
        <v>140.5</v>
      </c>
      <c r="BJ37" s="24">
        <f>IF(RESULTADO!$F$148&lt;=BJ$33,BJ$7+BJ14,BJ30)</f>
        <v>140.5</v>
      </c>
      <c r="BK37" s="461"/>
      <c r="BO37" s="348"/>
    </row>
    <row r="38" spans="1:67" x14ac:dyDescent="0.25">
      <c r="A38" s="7"/>
      <c r="B38" s="36" t="s">
        <v>99</v>
      </c>
      <c r="C38" s="20">
        <f>IF(RESULTADO!$F$148&lt;=C$33,(C$7+C$22),C34)</f>
        <v>62.91</v>
      </c>
      <c r="D38" s="20">
        <f>IF(RESULTADO!$F$148&lt;=D$33,(D$7+D$22),D34)</f>
        <v>55.7</v>
      </c>
      <c r="E38" s="20">
        <f>IF(RESULTADO!$F$148&lt;=E$33,(E$7+E$22),E34)</f>
        <v>55.7</v>
      </c>
      <c r="F38" s="20">
        <f>IF(RESULTADO!$F$148&lt;=F$33,(F$7+F$22),F34)</f>
        <v>55.7</v>
      </c>
      <c r="G38" s="20">
        <f>IF(RESULTADO!$F$148&lt;=G$33,(G$7+G$22),G34)</f>
        <v>55.7</v>
      </c>
      <c r="H38" s="20">
        <f>IF(RESULTADO!$F$148&lt;=H$33,(H$7+H$22),H34)</f>
        <v>55.71</v>
      </c>
      <c r="I38" s="20">
        <f>IF(RESULTADO!$F$148&lt;=I$33,(I$7+I$22),I34)</f>
        <v>66.319999999999993</v>
      </c>
      <c r="J38" s="20">
        <f>IF(RESULTADO!$F$148&lt;=J$33,(J$7+J$22),J34)</f>
        <v>76.900000000000006</v>
      </c>
      <c r="K38" s="20">
        <f>IF(RESULTADO!$F$148&lt;=K$33,(K$7+K$22),K34)</f>
        <v>56.08</v>
      </c>
      <c r="L38" s="20">
        <f>IF(RESULTADO!$F$148&lt;=L$33,(L$7+L$22),L34)</f>
        <v>55.7</v>
      </c>
      <c r="M38" s="20">
        <f>IF(RESULTADO!$F$148&lt;=M$33,(M$7+M$22),M34)</f>
        <v>55.7</v>
      </c>
      <c r="N38" s="400">
        <f>IF(RESULTADO!$F$148&lt;=N$33,(N$7+N$22),N34)</f>
        <v>55.7</v>
      </c>
      <c r="O38" s="401">
        <f>IF(RESULTADO!$F$148&lt;=O$33,(O$7+O$22),O34)</f>
        <v>68.72</v>
      </c>
      <c r="P38" s="20">
        <f>IF(RESULTADO!$F$148&lt;=P$33,(P$7+P$22),P34)</f>
        <v>69.25</v>
      </c>
      <c r="Q38" s="20">
        <f>IF(RESULTADO!$F$148&lt;=Q$33,(Q$7+Q$22),Q34)</f>
        <v>69.3</v>
      </c>
      <c r="R38" s="20">
        <f>IF(RESULTADO!$F$148&lt;=R$33,(R$7+R$22),R34)</f>
        <v>69.8</v>
      </c>
      <c r="S38" s="20">
        <f>IF(RESULTADO!$F$148&lt;=S$33,(S$7+S$22),S34)</f>
        <v>70.2</v>
      </c>
      <c r="T38" s="20">
        <f>IF(RESULTADO!$F$148&lt;=T$33,(T$7+T$22),T34)</f>
        <v>72.400000000000006</v>
      </c>
      <c r="U38" s="20">
        <f>IF(RESULTADO!$F$148&lt;=U$33,(U$7+U$22),U34)</f>
        <v>77.150000000000006</v>
      </c>
      <c r="V38" s="20">
        <f>IF(RESULTADO!$F$148&lt;=V$33,(V$7+V$22),V34)</f>
        <v>77.150000000000006</v>
      </c>
      <c r="W38" s="20">
        <f>IF(RESULTADO!$F$148&lt;=W$33,(W$7+W$22),W34)</f>
        <v>77.150000000000006</v>
      </c>
      <c r="X38" s="20">
        <f>IF(RESULTADO!$F$148&lt;=X$33,(X$7+X$22),X34)</f>
        <v>80.45</v>
      </c>
      <c r="Y38" s="20">
        <f>IF(RESULTADO!$F$148&lt;=Y$33,(Y$7+Y$22),Y34)</f>
        <v>80.45</v>
      </c>
      <c r="Z38" s="400">
        <f>IF(RESULTADO!$F$148&lt;=Z$33,(Z$7+Z$22),Z34)</f>
        <v>80.45</v>
      </c>
      <c r="AA38" s="401">
        <f>IF(RESULTADO!$F$148&lt;=AA$33,(AA$7+AA$22),AA34)</f>
        <v>100.1</v>
      </c>
      <c r="AB38" s="20">
        <f>IF(RESULTADO!$F$148&lt;=AB$33,(AB$7+AB$22),AB34)</f>
        <v>100.1</v>
      </c>
      <c r="AC38" s="20">
        <f>IF(RESULTADO!$F$148&lt;=AC$33,(AC$7+AC$22),AC34)</f>
        <v>100.1</v>
      </c>
      <c r="AD38" s="20">
        <f>IF(RESULTADO!$F$148&lt;=AD$33,(AD$7+AD$22),AD34)</f>
        <v>100.1</v>
      </c>
      <c r="AE38" s="20">
        <f>IF(RESULTADO!$F$148&lt;=AE$33,(AE$7+AE$22),AE34)</f>
        <v>100.1</v>
      </c>
      <c r="AF38" s="20">
        <f>IF(RESULTADO!$F$148&lt;=AF$33,(AF$7+AF$22),AF34)</f>
        <v>100.1</v>
      </c>
      <c r="AG38" s="20">
        <f>IF(RESULTADO!$F$148&lt;=AG$33,(AG$7+AG$22),AG34)</f>
        <v>100.1</v>
      </c>
      <c r="AH38" s="20">
        <f>IF(RESULTADO!$F$148&lt;=AH$33,(AH$7+AH$22),AH34)</f>
        <v>100.1</v>
      </c>
      <c r="AI38" s="20">
        <f>IF(RESULTADO!$F$148&lt;=AI$33,(AI$7+AI$22),AI34)</f>
        <v>100.1</v>
      </c>
      <c r="AJ38" s="20">
        <f>IF(RESULTADO!$F$148&lt;=AJ$33,(AJ$7+AJ$22),AJ34)</f>
        <v>100.1</v>
      </c>
      <c r="AK38" s="20">
        <f>IF(RESULTADO!$F$148&lt;=AK$33,(AK$7+AK$22),AK34)</f>
        <v>100.1</v>
      </c>
      <c r="AL38" s="400">
        <f>IF(RESULTADO!$F$148&lt;=AL$33,(AL$7+AL$22),AL34)</f>
        <v>100.1</v>
      </c>
      <c r="AM38" s="401">
        <f>IF(RESULTADO!$F$148&lt;=AM$33,(AM$7+AM$22),AM34)</f>
        <v>112</v>
      </c>
      <c r="AN38" s="20">
        <f>IF(RESULTADO!$F$148&lt;=AN$33,(AN$7+AN$22),AN34)</f>
        <v>112</v>
      </c>
      <c r="AO38" s="20">
        <f>IF(RESULTADO!$F$148&lt;=AO$33,(AO$7+AO$22),AO34)</f>
        <v>112</v>
      </c>
      <c r="AP38" s="20">
        <f>IF(RESULTADO!$F$148&lt;=AP$33,(AP$7+AP$22),AP34)</f>
        <v>112</v>
      </c>
      <c r="AQ38" s="20">
        <f>IF(RESULTADO!$F$148&lt;=AQ$33,(AQ$7+AQ$22),AQ34)</f>
        <v>112</v>
      </c>
      <c r="AR38" s="20">
        <f>IF(RESULTADO!$F$148&lt;=AR$33,(AR$7+AR$22),AR34)</f>
        <v>112</v>
      </c>
      <c r="AS38" s="20">
        <f>IF(RESULTADO!$F$148&lt;=AS$33,(AS$7+AS$22),AS34)</f>
        <v>112</v>
      </c>
      <c r="AT38" s="20">
        <f>IF(RESULTADO!$F$148&lt;=AT$33,(AT$7+AT$22),AT34)</f>
        <v>112</v>
      </c>
      <c r="AU38" s="20">
        <f>IF(RESULTADO!$F$148&lt;=AU$33,(AU$7+AU$22),AU34)</f>
        <v>112</v>
      </c>
      <c r="AV38" s="20">
        <f>IF(RESULTADO!$F$148&lt;=AV$33,(AV$7+AV$22),AV34)</f>
        <v>112</v>
      </c>
      <c r="AW38" s="20">
        <f>IF(RESULTADO!$F$148&lt;=AW$33,(AW$7+AW$22),AW34)</f>
        <v>112</v>
      </c>
      <c r="AX38" s="400">
        <f>IF(RESULTADO!$F$148&lt;=AX$33,(AX$7+AX$22),AX34)</f>
        <v>112</v>
      </c>
      <c r="AY38" s="401">
        <f>IF(RESULTADO!$F$148&lt;=AY$33,(AY$7+AY$22),AY34)</f>
        <v>140.5</v>
      </c>
      <c r="AZ38" s="20">
        <f>IF(RESULTADO!$F$148&lt;=AZ$33,(AZ$7+AZ$22),AZ34)</f>
        <v>140.5</v>
      </c>
      <c r="BA38" s="20">
        <f>IF(RESULTADO!$F$148&lt;=BA$33,(BA$7+BA$22),BA34)</f>
        <v>140.5</v>
      </c>
      <c r="BB38" s="20">
        <f>IF(RESULTADO!$F$148&lt;=BB$33,(BB$7+BB$22),BB34)</f>
        <v>140.5</v>
      </c>
      <c r="BC38" s="20">
        <f>IF(RESULTADO!$F$148&lt;=BC$33,(BC$7+BC$22),BC34)</f>
        <v>140.5</v>
      </c>
      <c r="BD38" s="20">
        <f>IF(RESULTADO!$F$148&lt;=BD$33,(BD$7+BD$22),BD34)</f>
        <v>140.5</v>
      </c>
      <c r="BE38" s="20">
        <f>IF(RESULTADO!$F$148&lt;=BE$33,(BE$7+BE$22),BE34)</f>
        <v>140.5</v>
      </c>
      <c r="BF38" s="20">
        <f>IF(RESULTADO!$F$148&lt;=BF$33,(BF$7+BF$22),BF34)</f>
        <v>140.5</v>
      </c>
      <c r="BG38" s="20">
        <f>IF(RESULTADO!$F$148&lt;=BG$33,(BG$7+BG$22),BG34)</f>
        <v>140.5</v>
      </c>
      <c r="BH38" s="20">
        <f>IF(RESULTADO!$F$148&lt;=BH$33,(BH$7+BH$22),BH34)</f>
        <v>140.5</v>
      </c>
      <c r="BI38" s="20">
        <f>IF(RESULTADO!$F$148&lt;=BI$33,(BI$7+BI$22),BI34)</f>
        <v>140.5</v>
      </c>
      <c r="BJ38" s="467">
        <f>IF(RESULTADO!$F$148&lt;=BJ$33,(BJ$7+BJ$22),BJ34)</f>
        <v>140.5</v>
      </c>
      <c r="BK38" s="461"/>
      <c r="BO38" s="348"/>
    </row>
    <row r="39" spans="1:67" x14ac:dyDescent="0.25">
      <c r="A39" s="7"/>
      <c r="B39" s="37" t="s">
        <v>100</v>
      </c>
      <c r="C39" s="20">
        <f>IF(RESULTADO!$F$148&lt;=C$33,(C$7+C$22+C12),pREFs!C35)</f>
        <v>62.92</v>
      </c>
      <c r="D39" s="18">
        <f>IF(RESULTADO!$F$148&lt;=D$33,(D$7+D$22+D12),pREFs!D35)</f>
        <v>55.7</v>
      </c>
      <c r="E39" s="18">
        <f>IF(RESULTADO!$F$148&lt;=E$33,(E$7+E$22+E12),pREFs!E35)</f>
        <v>55.7</v>
      </c>
      <c r="F39" s="18">
        <f>IF(RESULTADO!$F$148&lt;=F$33,(F$7+F$22+F12),pREFs!F35)</f>
        <v>55.7</v>
      </c>
      <c r="G39" s="18">
        <f>IF(RESULTADO!$F$148&lt;=G$33,(G$7+G$22+G12),pREFs!G35)</f>
        <v>55.7</v>
      </c>
      <c r="H39" s="18">
        <f>IF(RESULTADO!$F$148&lt;=H$33,(H$7+H$22+H12),pREFs!H35)</f>
        <v>55.71</v>
      </c>
      <c r="I39" s="18">
        <f>IF(RESULTADO!$F$148&lt;=I$33,(I$7+I$22+I12),pREFs!I35)</f>
        <v>66.319999999999993</v>
      </c>
      <c r="J39" s="18">
        <f>IF(RESULTADO!$F$148&lt;=J$33,(J$7+J$22+J12),pREFs!J35)</f>
        <v>76.900000000000006</v>
      </c>
      <c r="K39" s="18">
        <f>IF(RESULTADO!$F$148&lt;=K$33,(K$7+K$22+K12),pREFs!K35)</f>
        <v>56.08</v>
      </c>
      <c r="L39" s="18">
        <f>IF(RESULTADO!$F$148&lt;=L$33,(L$7+L$22+L12),pREFs!L35)</f>
        <v>55.7</v>
      </c>
      <c r="M39" s="18">
        <f>IF(RESULTADO!$F$148&lt;=M$33,(M$7+M$22+M12),pREFs!M35)</f>
        <v>55.7</v>
      </c>
      <c r="N39" s="402">
        <f>IF(RESULTADO!$F$148&lt;=N$33,(N$7+N$22+N12),pREFs!N35)</f>
        <v>55.7</v>
      </c>
      <c r="O39" s="403">
        <f>IF(RESULTADO!$F$148&lt;=O$33,(O$7+O$22+O12),pREFs!O35)</f>
        <v>68.72</v>
      </c>
      <c r="P39" s="18">
        <f>IF(RESULTADO!$F$148&lt;=P$33,(P$7+P$22+P12),pREFs!P35)</f>
        <v>69.25</v>
      </c>
      <c r="Q39" s="18">
        <f>IF(RESULTADO!$F$148&lt;=Q$33,(Q$7+Q$22+Q12),pREFs!Q35)</f>
        <v>69.3</v>
      </c>
      <c r="R39" s="18">
        <f>IF(RESULTADO!$F$148&lt;=R$33,(R$7+R$22+R12),pREFs!R35)</f>
        <v>69.8</v>
      </c>
      <c r="S39" s="18">
        <f>IF(RESULTADO!$F$148&lt;=S$33,(S$7+S$22+S12),pREFs!S35)</f>
        <v>70.2</v>
      </c>
      <c r="T39" s="18">
        <f>IF(RESULTADO!$F$148&lt;=T$33,(T$7+T$22+T12),pREFs!T35)</f>
        <v>72.400000000000006</v>
      </c>
      <c r="U39" s="18">
        <f>IF(RESULTADO!$F$148&lt;=U$33,(U$7+U$22+U12),pREFs!U35)</f>
        <v>77.150000000000006</v>
      </c>
      <c r="V39" s="18">
        <f>IF(RESULTADO!$F$148&lt;=V$33,(V$7+V$22+V12),pREFs!V35)</f>
        <v>77.150000000000006</v>
      </c>
      <c r="W39" s="18">
        <f>IF(RESULTADO!$F$148&lt;=W$33,(W$7+W$22+W12),pREFs!W35)</f>
        <v>77.150000000000006</v>
      </c>
      <c r="X39" s="18">
        <f>IF(RESULTADO!$F$148&lt;=X$33,(X$7+X$22+X12),pREFs!X35)</f>
        <v>80.45</v>
      </c>
      <c r="Y39" s="18">
        <f>IF(RESULTADO!$F$148&lt;=Y$33,(Y$7+Y$22+Y12),pREFs!Y35)</f>
        <v>80.45</v>
      </c>
      <c r="Z39" s="402">
        <f>IF(RESULTADO!$F$148&lt;=Z$33,(Z$7+Z$22+Z12),pREFs!Z35)</f>
        <v>80.45</v>
      </c>
      <c r="AA39" s="403">
        <f>IF(RESULTADO!$F$148&lt;=AA$33,(AA$7+AA$22+AA12),pREFs!AA35)</f>
        <v>100.1</v>
      </c>
      <c r="AB39" s="18">
        <f>IF(RESULTADO!$F$148&lt;=AB$33,(AB$7+AB$22+AB12),pREFs!AB35)</f>
        <v>100.1</v>
      </c>
      <c r="AC39" s="18">
        <f>IF(RESULTADO!$F$148&lt;=AC$33,(AC$7+AC$22+AC12),pREFs!AC35)</f>
        <v>100.1</v>
      </c>
      <c r="AD39" s="18">
        <f>IF(RESULTADO!$F$148&lt;=AD$33,(AD$7+AD$22+AD12),pREFs!AD35)</f>
        <v>100.1</v>
      </c>
      <c r="AE39" s="18">
        <f>IF(RESULTADO!$F$148&lt;=AE$33,(AE$7+AE$22+AE12),pREFs!AE35)</f>
        <v>100.1</v>
      </c>
      <c r="AF39" s="18">
        <f>IF(RESULTADO!$F$148&lt;=AF$33,(AF$7+AF$22+AF12),pREFs!AF35)</f>
        <v>100.1</v>
      </c>
      <c r="AG39" s="18">
        <f>IF(RESULTADO!$F$148&lt;=AG$33,(AG$7+AG$22+AG12),pREFs!AG35)</f>
        <v>100.1</v>
      </c>
      <c r="AH39" s="18">
        <f>IF(RESULTADO!$F$148&lt;=AH$33,(AH$7+AH$22+AH12),pREFs!AH35)</f>
        <v>100.1</v>
      </c>
      <c r="AI39" s="18">
        <f>IF(RESULTADO!$F$148&lt;=AI$33,(AI$7+AI$22+AI12),pREFs!AI35)</f>
        <v>100.1</v>
      </c>
      <c r="AJ39" s="18">
        <f>IF(RESULTADO!$F$148&lt;=AJ$33,(AJ$7+AJ$22+AJ12),pREFs!AJ35)</f>
        <v>100.1</v>
      </c>
      <c r="AK39" s="18">
        <f>IF(RESULTADO!$F$148&lt;=AK$33,(AK$7+AK$22+AK12),pREFs!AK35)</f>
        <v>100.1</v>
      </c>
      <c r="AL39" s="402">
        <f>IF(RESULTADO!$F$148&lt;=AL$33,(AL$7+AL$22+AL12),pREFs!AL35)</f>
        <v>100.1</v>
      </c>
      <c r="AM39" s="403">
        <f>IF(RESULTADO!$F$148&lt;=AM$33,(AM$7+AM$22+AM12),pREFs!AM35)</f>
        <v>112</v>
      </c>
      <c r="AN39" s="18">
        <f>IF(RESULTADO!$F$148&lt;=AN$33,(AN$7+AN$22+AN12),pREFs!AN35)</f>
        <v>112</v>
      </c>
      <c r="AO39" s="18">
        <f>IF(RESULTADO!$F$148&lt;=AO$33,(AO$7+AO$22+AO12),pREFs!AO35)</f>
        <v>112</v>
      </c>
      <c r="AP39" s="18">
        <f>IF(RESULTADO!$F$148&lt;=AP$33,(AP$7+AP$22+AP12),pREFs!AP35)</f>
        <v>112</v>
      </c>
      <c r="AQ39" s="18">
        <f>IF(RESULTADO!$F$148&lt;=AQ$33,(AQ$7+AQ$22+AQ12),pREFs!AQ35)</f>
        <v>112</v>
      </c>
      <c r="AR39" s="18">
        <f>IF(RESULTADO!$F$148&lt;=AR$33,(AR$7+AR$22+AR12),pREFs!AR35)</f>
        <v>112</v>
      </c>
      <c r="AS39" s="18">
        <f>IF(RESULTADO!$F$148&lt;=AS$33,(AS$7+AS$22+AS12),pREFs!AS35)</f>
        <v>112</v>
      </c>
      <c r="AT39" s="18">
        <f>IF(RESULTADO!$F$148&lt;=AT$33,(AT$7+AT$22+AT12),pREFs!AT35)</f>
        <v>112</v>
      </c>
      <c r="AU39" s="18">
        <f>IF(RESULTADO!$F$148&lt;=AU$33,(AU$7+AU$22+AU12),pREFs!AU35)</f>
        <v>112</v>
      </c>
      <c r="AV39" s="18">
        <f>IF(RESULTADO!$F$148&lt;=AV$33,(AV$7+AV$22+AV12),pREFs!AV35)</f>
        <v>112</v>
      </c>
      <c r="AW39" s="18">
        <f>IF(RESULTADO!$F$148&lt;=AW$33,(AW$7+AW$22+AW12),pREFs!AW35)</f>
        <v>112</v>
      </c>
      <c r="AX39" s="402">
        <f>IF(RESULTADO!$F$148&lt;=AX$33,(AX$7+AX$22+AX12),pREFs!AX35)</f>
        <v>112</v>
      </c>
      <c r="AY39" s="403">
        <f>IF(RESULTADO!$F$148&lt;=AY$33,(AY$7+AY$22+AY12),pREFs!AY35)</f>
        <v>140.5</v>
      </c>
      <c r="AZ39" s="18">
        <f>IF(RESULTADO!$F$148&lt;=AZ$33,(AZ$7+AZ$22+AZ12),pREFs!AZ35)</f>
        <v>140.5</v>
      </c>
      <c r="BA39" s="18">
        <f>IF(RESULTADO!$F$148&lt;=BA$33,(BA$7+BA$22+BA12),pREFs!BA35)</f>
        <v>140.5</v>
      </c>
      <c r="BB39" s="18">
        <f>IF(RESULTADO!$F$148&lt;=BB$33,(BB$7+BB$22+BB12),pREFs!BB35)</f>
        <v>140.5</v>
      </c>
      <c r="BC39" s="18">
        <f>IF(RESULTADO!$F$148&lt;=BC$33,(BC$7+BC$22+BC12),pREFs!BC35)</f>
        <v>140.5</v>
      </c>
      <c r="BD39" s="18">
        <f>IF(RESULTADO!$F$148&lt;=BD$33,(BD$7+BD$22+BD12),pREFs!BD35)</f>
        <v>140.5</v>
      </c>
      <c r="BE39" s="18">
        <f>IF(RESULTADO!$F$148&lt;=BE$33,(BE$7+BE$22+BE12),pREFs!BE35)</f>
        <v>140.5</v>
      </c>
      <c r="BF39" s="18">
        <f>IF(RESULTADO!$F$148&lt;=BF$33,(BF$7+BF$22+BF12),pREFs!BF35)</f>
        <v>140.5</v>
      </c>
      <c r="BG39" s="18">
        <f>IF(RESULTADO!$F$148&lt;=BG$33,(BG$7+BG$22+BG12),pREFs!BG35)</f>
        <v>140.5</v>
      </c>
      <c r="BH39" s="18">
        <f>IF(RESULTADO!$F$148&lt;=BH$33,(BH$7+BH$22+BH12),pREFs!BH35)</f>
        <v>140.5</v>
      </c>
      <c r="BI39" s="18">
        <f>IF(RESULTADO!$F$148&lt;=BI$33,(BI$7+BI$22+BI12),pREFs!BI35)</f>
        <v>140.5</v>
      </c>
      <c r="BJ39" s="19">
        <f>IF(RESULTADO!$F$148&lt;=BJ$33,(BJ$7+BJ$22+BJ12),pREFs!BJ35)</f>
        <v>140.5</v>
      </c>
      <c r="BK39" s="461"/>
      <c r="BO39" s="348"/>
    </row>
    <row r="40" spans="1:67" x14ac:dyDescent="0.25">
      <c r="A40" s="7"/>
      <c r="B40" s="37" t="s">
        <v>101</v>
      </c>
      <c r="C40" s="20">
        <f>IF(RESULTADO!$F$148&lt;=C$33,(C$7+C$22+C13),pREFs!C36)</f>
        <v>57.22</v>
      </c>
      <c r="D40" s="18">
        <f>IF(RESULTADO!$F$148&lt;=D$33,(D$7+D$22+D13),pREFs!D36)</f>
        <v>55.7</v>
      </c>
      <c r="E40" s="18">
        <f>IF(RESULTADO!$F$148&lt;=E$33,(E$7+E$22+E13),pREFs!E36)</f>
        <v>55.7</v>
      </c>
      <c r="F40" s="18">
        <f>IF(RESULTADO!$F$148&lt;=F$33,(F$7+F$22+F13),pREFs!F36)</f>
        <v>55.7</v>
      </c>
      <c r="G40" s="18">
        <f>IF(RESULTADO!$F$148&lt;=G$33,(G$7+G$22+G13),pREFs!G36)</f>
        <v>55.7</v>
      </c>
      <c r="H40" s="18">
        <f>IF(RESULTADO!$F$148&lt;=H$33,(H$7+H$22+H13),pREFs!H36)</f>
        <v>55.71</v>
      </c>
      <c r="I40" s="18">
        <f>IF(RESULTADO!$F$148&lt;=I$33,(I$7+I$22+I13),pREFs!I36)</f>
        <v>66.319999999999993</v>
      </c>
      <c r="J40" s="18">
        <f>IF(RESULTADO!$F$148&lt;=J$33,(J$7+J$22+J13),pREFs!J36)</f>
        <v>76.900000000000006</v>
      </c>
      <c r="K40" s="18">
        <f>IF(RESULTADO!$F$148&lt;=K$33,(K$7+K$22+K13),pREFs!K36)</f>
        <v>56.08</v>
      </c>
      <c r="L40" s="18">
        <f>IF(RESULTADO!$F$148&lt;=L$33,(L$7+L$22+L13),pREFs!L36)</f>
        <v>55.7</v>
      </c>
      <c r="M40" s="18">
        <f>IF(RESULTADO!$F$148&lt;=M$33,(M$7+M$22+M13),pREFs!M36)</f>
        <v>55.7</v>
      </c>
      <c r="N40" s="402">
        <f>IF(RESULTADO!$F$148&lt;=N$33,(N$7+N$22+N13),pREFs!N36)</f>
        <v>55.7</v>
      </c>
      <c r="O40" s="403">
        <f>IF(RESULTADO!$F$148&lt;=O$33,(O$7+O$22+O13),pREFs!O36)</f>
        <v>68.72</v>
      </c>
      <c r="P40" s="18">
        <f>IF(RESULTADO!$F$148&lt;=P$33,(P$7+P$22+P13),pREFs!P36)</f>
        <v>69.25</v>
      </c>
      <c r="Q40" s="18">
        <f>IF(RESULTADO!$F$148&lt;=Q$33,(Q$7+Q$22+Q13),pREFs!Q36)</f>
        <v>69.3</v>
      </c>
      <c r="R40" s="18">
        <f>IF(RESULTADO!$F$148&lt;=R$33,(R$7+R$22+R13),pREFs!R36)</f>
        <v>69.8</v>
      </c>
      <c r="S40" s="18">
        <f>IF(RESULTADO!$F$148&lt;=S$33,(S$7+S$22+S13),pREFs!S36)</f>
        <v>70.2</v>
      </c>
      <c r="T40" s="18">
        <f>IF(RESULTADO!$F$148&lt;=T$33,(T$7+T$22+T13),pREFs!T36)</f>
        <v>72.400000000000006</v>
      </c>
      <c r="U40" s="18">
        <f>IF(RESULTADO!$F$148&lt;=U$33,(U$7+U$22+U13),pREFs!U36)</f>
        <v>77.150000000000006</v>
      </c>
      <c r="V40" s="18">
        <f>IF(RESULTADO!$F$148&lt;=V$33,(V$7+V$22+V13),pREFs!V36)</f>
        <v>77.150000000000006</v>
      </c>
      <c r="W40" s="18">
        <f>IF(RESULTADO!$F$148&lt;=W$33,(W$7+W$22+W13),pREFs!W36)</f>
        <v>77.150000000000006</v>
      </c>
      <c r="X40" s="18">
        <f>IF(RESULTADO!$F$148&lt;=X$33,(X$7+X$22+X13),pREFs!X36)</f>
        <v>80.45</v>
      </c>
      <c r="Y40" s="18">
        <f>IF(RESULTADO!$F$148&lt;=Y$33,(Y$7+Y$22+Y13),pREFs!Y36)</f>
        <v>80.45</v>
      </c>
      <c r="Z40" s="402">
        <f>IF(RESULTADO!$F$148&lt;=Z$33,(Z$7+Z$22+Z13),pREFs!Z36)</f>
        <v>80.45</v>
      </c>
      <c r="AA40" s="403">
        <f>IF(RESULTADO!$F$148&lt;=AA$33,(AA$7+AA$22+AA13),pREFs!AA36)</f>
        <v>100.1</v>
      </c>
      <c r="AB40" s="18">
        <f>IF(RESULTADO!$F$148&lt;=AB$33,(AB$7+AB$22+AB13),pREFs!AB36)</f>
        <v>100.1</v>
      </c>
      <c r="AC40" s="18">
        <f>IF(RESULTADO!$F$148&lt;=AC$33,(AC$7+AC$22+AC13),pREFs!AC36)</f>
        <v>100.1</v>
      </c>
      <c r="AD40" s="18">
        <f>IF(RESULTADO!$F$148&lt;=AD$33,(AD$7+AD$22+AD13),pREFs!AD36)</f>
        <v>100.1</v>
      </c>
      <c r="AE40" s="18">
        <f>IF(RESULTADO!$F$148&lt;=AE$33,(AE$7+AE$22+AE13),pREFs!AE36)</f>
        <v>100.1</v>
      </c>
      <c r="AF40" s="18">
        <f>IF(RESULTADO!$F$148&lt;=AF$33,(AF$7+AF$22+AF13),pREFs!AF36)</f>
        <v>100.1</v>
      </c>
      <c r="AG40" s="18">
        <f>IF(RESULTADO!$F$148&lt;=AG$33,(AG$7+AG$22+AG13),pREFs!AG36)</f>
        <v>100.1</v>
      </c>
      <c r="AH40" s="18">
        <f>IF(RESULTADO!$F$148&lt;=AH$33,(AH$7+AH$22+AH13),pREFs!AH36)</f>
        <v>100.1</v>
      </c>
      <c r="AI40" s="18">
        <f>IF(RESULTADO!$F$148&lt;=AI$33,(AI$7+AI$22+AI13),pREFs!AI36)</f>
        <v>100.1</v>
      </c>
      <c r="AJ40" s="18">
        <f>IF(RESULTADO!$F$148&lt;=AJ$33,(AJ$7+AJ$22+AJ13),pREFs!AJ36)</f>
        <v>100.1</v>
      </c>
      <c r="AK40" s="18">
        <f>IF(RESULTADO!$F$148&lt;=AK$33,(AK$7+AK$22+AK13),pREFs!AK36)</f>
        <v>100.1</v>
      </c>
      <c r="AL40" s="402">
        <f>IF(RESULTADO!$F$148&lt;=AL$33,(AL$7+AL$22+AL13),pREFs!AL36)</f>
        <v>100.1</v>
      </c>
      <c r="AM40" s="403">
        <f>IF(RESULTADO!$F$148&lt;=AM$33,(AM$7+AM$22+AM13),pREFs!AM36)</f>
        <v>112</v>
      </c>
      <c r="AN40" s="18">
        <f>IF(RESULTADO!$F$148&lt;=AN$33,(AN$7+AN$22+AN13),pREFs!AN36)</f>
        <v>112</v>
      </c>
      <c r="AO40" s="18">
        <f>IF(RESULTADO!$F$148&lt;=AO$33,(AO$7+AO$22+AO13),pREFs!AO36)</f>
        <v>112</v>
      </c>
      <c r="AP40" s="18">
        <f>IF(RESULTADO!$F$148&lt;=AP$33,(AP$7+AP$22+AP13),pREFs!AP36)</f>
        <v>112</v>
      </c>
      <c r="AQ40" s="18">
        <f>IF(RESULTADO!$F$148&lt;=AQ$33,(AQ$7+AQ$22+AQ13),pREFs!AQ36)</f>
        <v>112</v>
      </c>
      <c r="AR40" s="18">
        <f>IF(RESULTADO!$F$148&lt;=AR$33,(AR$7+AR$22+AR13),pREFs!AR36)</f>
        <v>112</v>
      </c>
      <c r="AS40" s="18">
        <f>IF(RESULTADO!$F$148&lt;=AS$33,(AS$7+AS$22+AS13),pREFs!AS36)</f>
        <v>112</v>
      </c>
      <c r="AT40" s="18">
        <f>IF(RESULTADO!$F$148&lt;=AT$33,(AT$7+AT$22+AT13),pREFs!AT36)</f>
        <v>112</v>
      </c>
      <c r="AU40" s="18">
        <f>IF(RESULTADO!$F$148&lt;=AU$33,(AU$7+AU$22+AU13),pREFs!AU36)</f>
        <v>112</v>
      </c>
      <c r="AV40" s="18">
        <f>IF(RESULTADO!$F$148&lt;=AV$33,(AV$7+AV$22+AV13),pREFs!AV36)</f>
        <v>112</v>
      </c>
      <c r="AW40" s="18">
        <f>IF(RESULTADO!$F$148&lt;=AW$33,(AW$7+AW$22+AW13),pREFs!AW36)</f>
        <v>112</v>
      </c>
      <c r="AX40" s="402">
        <f>IF(RESULTADO!$F$148&lt;=AX$33,(AX$7+AX$22+AX13),pREFs!AX36)</f>
        <v>112</v>
      </c>
      <c r="AY40" s="403">
        <f>IF(RESULTADO!$F$148&lt;=AY$33,(AY$7+AY$22+AY13),pREFs!AY36)</f>
        <v>140.5</v>
      </c>
      <c r="AZ40" s="18">
        <f>IF(RESULTADO!$F$148&lt;=AZ$33,(AZ$7+AZ$22+AZ13),pREFs!AZ36)</f>
        <v>140.5</v>
      </c>
      <c r="BA40" s="18">
        <f>IF(RESULTADO!$F$148&lt;=BA$33,(BA$7+BA$22+BA13),pREFs!BA36)</f>
        <v>140.5</v>
      </c>
      <c r="BB40" s="18">
        <f>IF(RESULTADO!$F$148&lt;=BB$33,(BB$7+BB$22+BB13),pREFs!BB36)</f>
        <v>140.5</v>
      </c>
      <c r="BC40" s="18">
        <f>IF(RESULTADO!$F$148&lt;=BC$33,(BC$7+BC$22+BC13),pREFs!BC36)</f>
        <v>140.5</v>
      </c>
      <c r="BD40" s="18">
        <f>IF(RESULTADO!$F$148&lt;=BD$33,(BD$7+BD$22+BD13),pREFs!BD36)</f>
        <v>140.5</v>
      </c>
      <c r="BE40" s="18">
        <f>IF(RESULTADO!$F$148&lt;=BE$33,(BE$7+BE$22+BE13),pREFs!BE36)</f>
        <v>140.5</v>
      </c>
      <c r="BF40" s="18">
        <f>IF(RESULTADO!$F$148&lt;=BF$33,(BF$7+BF$22+BF13),pREFs!BF36)</f>
        <v>140.5</v>
      </c>
      <c r="BG40" s="18">
        <f>IF(RESULTADO!$F$148&lt;=BG$33,(BG$7+BG$22+BG13),pREFs!BG36)</f>
        <v>140.5</v>
      </c>
      <c r="BH40" s="18">
        <f>IF(RESULTADO!$F$148&lt;=BH$33,(BH$7+BH$22+BH13),pREFs!BH36)</f>
        <v>140.5</v>
      </c>
      <c r="BI40" s="18">
        <f>IF(RESULTADO!$F$148&lt;=BI$33,(BI$7+BI$22+BI13),pREFs!BI36)</f>
        <v>140.5</v>
      </c>
      <c r="BJ40" s="19">
        <f>IF(RESULTADO!$F$148&lt;=BJ$33,(BJ$7+BJ$22+BJ13),pREFs!BJ36)</f>
        <v>140.5</v>
      </c>
      <c r="BK40" s="461"/>
      <c r="BO40" s="348"/>
    </row>
    <row r="41" spans="1:67" ht="15.75" thickBot="1" x14ac:dyDescent="0.3">
      <c r="A41" s="7"/>
      <c r="B41" s="38" t="s">
        <v>102</v>
      </c>
      <c r="C41" s="23">
        <f>IF(RESULTADO!$F$148&lt;=C$33,(C$7+C$22+C14),pREFs!C37)</f>
        <v>55.71</v>
      </c>
      <c r="D41" s="23">
        <f>IF(RESULTADO!$F$148&lt;=D$33,(D$7+D$22+D14),pREFs!D37)</f>
        <v>55.7</v>
      </c>
      <c r="E41" s="23">
        <f>IF(RESULTADO!$F$148&lt;=E$33,(E$7+E$22+E14),pREFs!E37)</f>
        <v>55.7</v>
      </c>
      <c r="F41" s="23">
        <f>IF(RESULTADO!$F$148&lt;=F$33,(F$7+F$22+F14),pREFs!F37)</f>
        <v>55.7</v>
      </c>
      <c r="G41" s="23">
        <f>IF(RESULTADO!$F$148&lt;=G$33,(G$7+G$22+G14),pREFs!G37)</f>
        <v>55.7</v>
      </c>
      <c r="H41" s="23">
        <f>IF(RESULTADO!$F$148&lt;=H$33,(H$7+H$22+H14),pREFs!H37)</f>
        <v>55.71</v>
      </c>
      <c r="I41" s="23">
        <f>IF(RESULTADO!$F$148&lt;=I$33,(I$7+I$22+I14),pREFs!I37)</f>
        <v>66.319999999999993</v>
      </c>
      <c r="J41" s="23">
        <f>IF(RESULTADO!$F$148&lt;=J$33,(J$7+J$22+J14),pREFs!J37)</f>
        <v>76.900000000000006</v>
      </c>
      <c r="K41" s="23">
        <f>IF(RESULTADO!$F$148&lt;=K$33,(K$7+K$22+K14),pREFs!K37)</f>
        <v>56.08</v>
      </c>
      <c r="L41" s="23">
        <f>IF(RESULTADO!$F$148&lt;=L$33,(L$7+L$22+L14),pREFs!L37)</f>
        <v>55.7</v>
      </c>
      <c r="M41" s="23">
        <f>IF(RESULTADO!$F$148&lt;=M$33,(M$7+M$22+M14),pREFs!M37)</f>
        <v>55.7</v>
      </c>
      <c r="N41" s="404">
        <f>IF(RESULTADO!$F$148&lt;=N$33,(N$7+N$22+N14),pREFs!N37)</f>
        <v>55.7</v>
      </c>
      <c r="O41" s="405">
        <f>IF(RESULTADO!$F$148&lt;=O$33,(O$7+O$22+O14),pREFs!O37)</f>
        <v>68.72</v>
      </c>
      <c r="P41" s="23">
        <f>IF(RESULTADO!$F$148&lt;=P$33,(P$7+P$22+P14),pREFs!P37)</f>
        <v>69.25</v>
      </c>
      <c r="Q41" s="23">
        <f>IF(RESULTADO!$F$148&lt;=Q$33,(Q$7+Q$22+Q14),pREFs!Q37)</f>
        <v>69.3</v>
      </c>
      <c r="R41" s="23">
        <f>IF(RESULTADO!$F$148&lt;=R$33,(R$7+R$22+R14),pREFs!R37)</f>
        <v>69.8</v>
      </c>
      <c r="S41" s="23">
        <f>IF(RESULTADO!$F$148&lt;=S$33,(S$7+S$22+S14),pREFs!S37)</f>
        <v>70.2</v>
      </c>
      <c r="T41" s="23">
        <f>IF(RESULTADO!$F$148&lt;=T$33,(T$7+T$22+T14),pREFs!T37)</f>
        <v>72.400000000000006</v>
      </c>
      <c r="U41" s="23">
        <f>IF(RESULTADO!$F$148&lt;=U$33,(U$7+U$22+U14),pREFs!U37)</f>
        <v>77.150000000000006</v>
      </c>
      <c r="V41" s="23">
        <f>IF(RESULTADO!$F$148&lt;=V$33,(V$7+V$22+V14),pREFs!V37)</f>
        <v>77.150000000000006</v>
      </c>
      <c r="W41" s="23">
        <f>IF(RESULTADO!$F$148&lt;=W$33,(W$7+W$22+W14),pREFs!W37)</f>
        <v>77.150000000000006</v>
      </c>
      <c r="X41" s="23">
        <f>IF(RESULTADO!$F$148&lt;=X$33,(X$7+X$22+X14),pREFs!X37)</f>
        <v>80.45</v>
      </c>
      <c r="Y41" s="23">
        <f>IF(RESULTADO!$F$148&lt;=Y$33,(Y$7+Y$22+Y14),pREFs!Y37)</f>
        <v>80.45</v>
      </c>
      <c r="Z41" s="404">
        <f>IF(RESULTADO!$F$148&lt;=Z$33,(Z$7+Z$22+Z14),pREFs!Z37)</f>
        <v>80.45</v>
      </c>
      <c r="AA41" s="405">
        <f>IF(RESULTADO!$F$148&lt;=AA$33,(AA$7+AA$22+AA14),pREFs!AA37)</f>
        <v>100.1</v>
      </c>
      <c r="AB41" s="23">
        <f>IF(RESULTADO!$F$148&lt;=AB$33,(AB$7+AB$22+AB14),pREFs!AB37)</f>
        <v>100.1</v>
      </c>
      <c r="AC41" s="23">
        <f>IF(RESULTADO!$F$148&lt;=AC$33,(AC$7+AC$22+AC14),pREFs!AC37)</f>
        <v>100.1</v>
      </c>
      <c r="AD41" s="23">
        <f>IF(RESULTADO!$F$148&lt;=AD$33,(AD$7+AD$22+AD14),pREFs!AD37)</f>
        <v>100.1</v>
      </c>
      <c r="AE41" s="23">
        <f>IF(RESULTADO!$F$148&lt;=AE$33,(AE$7+AE$22+AE14),pREFs!AE37)</f>
        <v>100.1</v>
      </c>
      <c r="AF41" s="23">
        <f>IF(RESULTADO!$F$148&lt;=AF$33,(AF$7+AF$22+AF14),pREFs!AF37)</f>
        <v>100.1</v>
      </c>
      <c r="AG41" s="23">
        <f>IF(RESULTADO!$F$148&lt;=AG$33,(AG$7+AG$22+AG14),pREFs!AG37)</f>
        <v>100.1</v>
      </c>
      <c r="AH41" s="23">
        <f>IF(RESULTADO!$F$148&lt;=AH$33,(AH$7+AH$22+AH14),pREFs!AH37)</f>
        <v>100.1</v>
      </c>
      <c r="AI41" s="23">
        <f>IF(RESULTADO!$F$148&lt;=AI$33,(AI$7+AI$22+AI14),pREFs!AI37)</f>
        <v>100.1</v>
      </c>
      <c r="AJ41" s="23">
        <f>IF(RESULTADO!$F$148&lt;=AJ$33,(AJ$7+AJ$22+AJ14),pREFs!AJ37)</f>
        <v>100.1</v>
      </c>
      <c r="AK41" s="23">
        <f>IF(RESULTADO!$F$148&lt;=AK$33,(AK$7+AK$22+AK14),pREFs!AK37)</f>
        <v>100.1</v>
      </c>
      <c r="AL41" s="404">
        <f>IF(RESULTADO!$F$148&lt;=AL$33,(AL$7+AL$22+AL14),pREFs!AL37)</f>
        <v>100.1</v>
      </c>
      <c r="AM41" s="405">
        <f>IF(RESULTADO!$F$148&lt;=AM$33,(AM$7+AM$22+AM14),pREFs!AM37)</f>
        <v>112</v>
      </c>
      <c r="AN41" s="23">
        <f>IF(RESULTADO!$F$148&lt;=AN$33,(AN$7+AN$22+AN14),pREFs!AN37)</f>
        <v>112</v>
      </c>
      <c r="AO41" s="23">
        <f>IF(RESULTADO!$F$148&lt;=AO$33,(AO$7+AO$22+AO14),pREFs!AO37)</f>
        <v>112</v>
      </c>
      <c r="AP41" s="23">
        <f>IF(RESULTADO!$F$148&lt;=AP$33,(AP$7+AP$22+AP14),pREFs!AP37)</f>
        <v>112</v>
      </c>
      <c r="AQ41" s="23">
        <f>IF(RESULTADO!$F$148&lt;=AQ$33,(AQ$7+AQ$22+AQ14),pREFs!AQ37)</f>
        <v>112</v>
      </c>
      <c r="AR41" s="23">
        <f>IF(RESULTADO!$F$148&lt;=AR$33,(AR$7+AR$22+AR14),pREFs!AR37)</f>
        <v>112</v>
      </c>
      <c r="AS41" s="23">
        <f>IF(RESULTADO!$F$148&lt;=AS$33,(AS$7+AS$22+AS14),pREFs!AS37)</f>
        <v>112</v>
      </c>
      <c r="AT41" s="23">
        <f>IF(RESULTADO!$F$148&lt;=AT$33,(AT$7+AT$22+AT14),pREFs!AT37)</f>
        <v>112</v>
      </c>
      <c r="AU41" s="23">
        <f>IF(RESULTADO!$F$148&lt;=AU$33,(AU$7+AU$22+AU14),pREFs!AU37)</f>
        <v>112</v>
      </c>
      <c r="AV41" s="23">
        <f>IF(RESULTADO!$F$148&lt;=AV$33,(AV$7+AV$22+AV14),pREFs!AV37)</f>
        <v>112</v>
      </c>
      <c r="AW41" s="23">
        <f>IF(RESULTADO!$F$148&lt;=AW$33,(AW$7+AW$22+AW14),pREFs!AW37)</f>
        <v>112</v>
      </c>
      <c r="AX41" s="404">
        <f>IF(RESULTADO!$F$148&lt;=AX$33,(AX$7+AX$22+AX14),pREFs!AX37)</f>
        <v>112</v>
      </c>
      <c r="AY41" s="405">
        <f>IF(RESULTADO!$F$148&lt;=AY$33,(AY$7+AY$22+AY14),pREFs!AY37)</f>
        <v>140.5</v>
      </c>
      <c r="AZ41" s="23">
        <f>IF(RESULTADO!$F$148&lt;=AZ$33,(AZ$7+AZ$22+AZ14),pREFs!AZ37)</f>
        <v>140.5</v>
      </c>
      <c r="BA41" s="23">
        <f>IF(RESULTADO!$F$148&lt;=BA$33,(BA$7+BA$22+BA14),pREFs!BA37)</f>
        <v>140.5</v>
      </c>
      <c r="BB41" s="23">
        <f>IF(RESULTADO!$F$148&lt;=BB$33,(BB$7+BB$22+BB14),pREFs!BB37)</f>
        <v>140.5</v>
      </c>
      <c r="BC41" s="23">
        <f>IF(RESULTADO!$F$148&lt;=BC$33,(BC$7+BC$22+BC14),pREFs!BC37)</f>
        <v>140.5</v>
      </c>
      <c r="BD41" s="23">
        <f>IF(RESULTADO!$F$148&lt;=BD$33,(BD$7+BD$22+BD14),pREFs!BD37)</f>
        <v>140.5</v>
      </c>
      <c r="BE41" s="23">
        <f>IF(RESULTADO!$F$148&lt;=BE$33,(BE$7+BE$22+BE14),pREFs!BE37)</f>
        <v>140.5</v>
      </c>
      <c r="BF41" s="23">
        <f>IF(RESULTADO!$F$148&lt;=BF$33,(BF$7+BF$22+BF14),pREFs!BF37)</f>
        <v>140.5</v>
      </c>
      <c r="BG41" s="23">
        <f>IF(RESULTADO!$F$148&lt;=BG$33,(BG$7+BG$22+BG14),pREFs!BG37)</f>
        <v>140.5</v>
      </c>
      <c r="BH41" s="23">
        <f>IF(RESULTADO!$F$148&lt;=BH$33,(BH$7+BH$22+BH14),pREFs!BH37)</f>
        <v>140.5</v>
      </c>
      <c r="BI41" s="23">
        <f>IF(RESULTADO!$F$148&lt;=BI$33,(BI$7+BI$22+BI14),pREFs!BI37)</f>
        <v>140.5</v>
      </c>
      <c r="BJ41" s="24">
        <f>IF(RESULTADO!$F$148&lt;=BJ$33,(BJ$7+BJ$22+BJ14),pREFs!BJ37)</f>
        <v>140.5</v>
      </c>
      <c r="BK41" s="461"/>
      <c r="BO41" s="348"/>
    </row>
    <row r="42" spans="1:67" x14ac:dyDescent="0.25">
      <c r="A42" s="7"/>
      <c r="B42" s="36" t="s">
        <v>103</v>
      </c>
      <c r="C42" s="20">
        <f>IF(RESULTADO!$F$148&lt;=C$33,(C$7+C$23),C34)</f>
        <v>62.91</v>
      </c>
      <c r="D42" s="20">
        <f>IF(RESULTADO!$F$148&lt;=D$33,(D$7+D$23),D34)</f>
        <v>55.7</v>
      </c>
      <c r="E42" s="20">
        <f>IF(RESULTADO!$F$148&lt;=E$33,(E$7+E$23),E34)</f>
        <v>55.7</v>
      </c>
      <c r="F42" s="20">
        <f>IF(RESULTADO!$F$148&lt;=F$33,(F$7+F$23),F34)</f>
        <v>55.7</v>
      </c>
      <c r="G42" s="20">
        <f>IF(RESULTADO!$F$148&lt;=G$33,(G$7+G$23),G34)</f>
        <v>55.7</v>
      </c>
      <c r="H42" s="20">
        <f>IF(RESULTADO!$F$148&lt;=H$33,(H$7+H$23),H34)</f>
        <v>55.71</v>
      </c>
      <c r="I42" s="20">
        <f>IF(RESULTADO!$F$148&lt;=I$33,(I$7+I$23),I34)</f>
        <v>66.319999999999993</v>
      </c>
      <c r="J42" s="20">
        <f>IF(RESULTADO!$F$148&lt;=J$33,(J$7+J$23),J34)</f>
        <v>76.900000000000006</v>
      </c>
      <c r="K42" s="20">
        <f>IF(RESULTADO!$F$148&lt;=K$33,(K$7+K$23),K34)</f>
        <v>56.08</v>
      </c>
      <c r="L42" s="20">
        <f>IF(RESULTADO!$F$148&lt;=L$33,(L$7+L$23),L34)</f>
        <v>55.7</v>
      </c>
      <c r="M42" s="20">
        <f>IF(RESULTADO!$F$148&lt;=M$33,(M$7+M$23),M34)</f>
        <v>55.7</v>
      </c>
      <c r="N42" s="400">
        <f>IF(RESULTADO!$F$148&lt;=N$33,(N$7+N$23),N34)</f>
        <v>82.7</v>
      </c>
      <c r="O42" s="401">
        <f>IF(RESULTADO!$F$148&lt;=O$33,(O$7+O$23),O34)</f>
        <v>98.72</v>
      </c>
      <c r="P42" s="20">
        <f>IF(RESULTADO!$F$148&lt;=P$33,(P$7+P$23),P34)</f>
        <v>99.25</v>
      </c>
      <c r="Q42" s="20">
        <f>IF(RESULTADO!$F$148&lt;=Q$33,(Q$7+Q$23),Q34)</f>
        <v>99.3</v>
      </c>
      <c r="R42" s="20">
        <f>IF(RESULTADO!$F$148&lt;=R$33,(R$7+R$23),R34)</f>
        <v>99.8</v>
      </c>
      <c r="S42" s="20">
        <f>IF(RESULTADO!$F$148&lt;=S$33,(S$7+S$23),S34)</f>
        <v>100.2</v>
      </c>
      <c r="T42" s="20">
        <f>IF(RESULTADO!$F$148&lt;=T$33,(T$7+T$23),T34)</f>
        <v>102.4</v>
      </c>
      <c r="U42" s="20">
        <f>IF(RESULTADO!$F$148&lt;=U$33,(U$7+U$23),U34)</f>
        <v>107.15</v>
      </c>
      <c r="V42" s="20">
        <f>IF(RESULTADO!$F$148&lt;=V$33,(V$7+V$23),V34)</f>
        <v>107.15</v>
      </c>
      <c r="W42" s="20">
        <f>IF(RESULTADO!$F$148&lt;=W$33,(W$7+W$23),W34)</f>
        <v>107.15</v>
      </c>
      <c r="X42" s="20">
        <f>IF(RESULTADO!$F$148&lt;=X$33,(X$7+X$23),X34)</f>
        <v>110.45</v>
      </c>
      <c r="Y42" s="20">
        <f>IF(RESULTADO!$F$148&lt;=Y$33,(Y$7+Y$23),Y34)</f>
        <v>110.45</v>
      </c>
      <c r="Z42" s="400">
        <f>IF(RESULTADO!$F$148&lt;=Z$33,(Z$7+Z$23),Z34)</f>
        <v>110.45</v>
      </c>
      <c r="AA42" s="401">
        <f>IF(RESULTADO!$F$148&lt;=AA$33,(AA$7+AA$23),AA34)</f>
        <v>132.1</v>
      </c>
      <c r="AB42" s="20">
        <f>IF(RESULTADO!$F$148&lt;=AB$33,(AB$7+AB$23),AB34)</f>
        <v>132.1</v>
      </c>
      <c r="AC42" s="20">
        <f>IF(RESULTADO!$F$148&lt;=AC$33,(AC$7+AC$23),AC34)</f>
        <v>132.1</v>
      </c>
      <c r="AD42" s="20">
        <f>IF(RESULTADO!$F$148&lt;=AD$33,(AD$7+AD$23),AD34)</f>
        <v>132.1</v>
      </c>
      <c r="AE42" s="20">
        <f>IF(RESULTADO!$F$148&lt;=AE$33,(AE$7+AE$23),AE34)</f>
        <v>132.1</v>
      </c>
      <c r="AF42" s="20">
        <f>IF(RESULTADO!$F$148&lt;=AF$33,(AF$7+AF$23),AF34)</f>
        <v>132.1</v>
      </c>
      <c r="AG42" s="20">
        <f>IF(RESULTADO!$F$148&lt;=AG$33,(AG$7+AG$23),AG34)</f>
        <v>132.1</v>
      </c>
      <c r="AH42" s="20">
        <f>IF(RESULTADO!$F$148&lt;=AH$33,(AH$7+AH$23),AH34)</f>
        <v>132.1</v>
      </c>
      <c r="AI42" s="20">
        <f>IF(RESULTADO!$F$148&lt;=AI$33,(AI$7+AI$23),AI34)</f>
        <v>132.1</v>
      </c>
      <c r="AJ42" s="20">
        <f>IF(RESULTADO!$F$148&lt;=AJ$33,(AJ$7+AJ$23),AJ34)</f>
        <v>132.1</v>
      </c>
      <c r="AK42" s="20">
        <f>IF(RESULTADO!$F$148&lt;=AK$33,(AK$7+AK$23),AK34)</f>
        <v>132.1</v>
      </c>
      <c r="AL42" s="400">
        <f>IF(RESULTADO!$F$148&lt;=AL$33,(AL$7+AL$23),AL34)</f>
        <v>132.1</v>
      </c>
      <c r="AM42" s="401">
        <f>IF(RESULTADO!$F$148&lt;=AM$33,(AM$7+AM$23),AM34)</f>
        <v>149</v>
      </c>
      <c r="AN42" s="20">
        <f>IF(RESULTADO!$F$148&lt;=AN$33,(AN$7+AN$23),AN34)</f>
        <v>149</v>
      </c>
      <c r="AO42" s="20">
        <f>IF(RESULTADO!$F$148&lt;=AO$33,(AO$7+AO$23),AO34)</f>
        <v>149</v>
      </c>
      <c r="AP42" s="20">
        <f>IF(RESULTADO!$F$148&lt;=AP$33,(AP$7+AP$23),AP34)</f>
        <v>149</v>
      </c>
      <c r="AQ42" s="20">
        <f>IF(RESULTADO!$F$148&lt;=AQ$33,(AQ$7+AQ$23),AQ34)</f>
        <v>149</v>
      </c>
      <c r="AR42" s="20">
        <f>IF(RESULTADO!$F$148&lt;=AR$33,(AR$7+AR$23),AR34)</f>
        <v>149</v>
      </c>
      <c r="AS42" s="20">
        <f>IF(RESULTADO!$F$148&lt;=AS$33,(AS$7+AS$23),AS34)</f>
        <v>149</v>
      </c>
      <c r="AT42" s="20">
        <f>IF(RESULTADO!$F$148&lt;=AT$33,(AT$7+AT$23),AT34)</f>
        <v>149</v>
      </c>
      <c r="AU42" s="20">
        <f>IF(RESULTADO!$F$148&lt;=AU$33,(AU$7+AU$23),AU34)</f>
        <v>149</v>
      </c>
      <c r="AV42" s="20">
        <f>IF(RESULTADO!$F$148&lt;=AV$33,(AV$7+AV$23),AV34)</f>
        <v>149</v>
      </c>
      <c r="AW42" s="20">
        <f>IF(RESULTADO!$F$148&lt;=AW$33,(AW$7+AW$23),AW34)</f>
        <v>149</v>
      </c>
      <c r="AX42" s="400">
        <f>IF(RESULTADO!$F$148&lt;=AX$33,(AX$7+AX$23),AX34)</f>
        <v>149</v>
      </c>
      <c r="AY42" s="401">
        <f>IF(RESULTADO!$F$148&lt;=AY$33,(AY$7+AY$23),AY34)</f>
        <v>175.5</v>
      </c>
      <c r="AZ42" s="20">
        <f>IF(RESULTADO!$F$148&lt;=AZ$33,(AZ$7+AZ$23),AZ34)</f>
        <v>175.5</v>
      </c>
      <c r="BA42" s="20">
        <f>IF(RESULTADO!$F$148&lt;=BA$33,(BA$7+BA$23),BA34)</f>
        <v>175.5</v>
      </c>
      <c r="BB42" s="20">
        <f>IF(RESULTADO!$F$148&lt;=BB$33,(BB$7+BB$23),BB34)</f>
        <v>175.5</v>
      </c>
      <c r="BC42" s="20">
        <f>IF(RESULTADO!$F$148&lt;=BC$33,(BC$7+BC$23),BC34)</f>
        <v>175.5</v>
      </c>
      <c r="BD42" s="20">
        <f>IF(RESULTADO!$F$148&lt;=BD$33,(BD$7+BD$23),BD34)</f>
        <v>175.5</v>
      </c>
      <c r="BE42" s="20">
        <f>IF(RESULTADO!$F$148&lt;=BE$33,(BE$7+BE$23),BE34)</f>
        <v>175.5</v>
      </c>
      <c r="BF42" s="20">
        <f>IF(RESULTADO!$F$148&lt;=BF$33,(BF$7+BF$23),BF34)</f>
        <v>175.5</v>
      </c>
      <c r="BG42" s="20">
        <f>IF(RESULTADO!$F$148&lt;=BG$33,(BG$7+BG$23),BG34)</f>
        <v>175.5</v>
      </c>
      <c r="BH42" s="20">
        <f>IF(RESULTADO!$F$148&lt;=BH$33,(BH$7+BH$23),BH34)</f>
        <v>175.5</v>
      </c>
      <c r="BI42" s="20">
        <f>IF(RESULTADO!$F$148&lt;=BI$33,(BI$7+BI$23),BI34)</f>
        <v>175.5</v>
      </c>
      <c r="BJ42" s="467">
        <f>IF(RESULTADO!$F$148&lt;=BJ$33,(BJ$7+BJ$23),BJ34)</f>
        <v>175.5</v>
      </c>
      <c r="BK42" s="461"/>
      <c r="BO42" s="348"/>
    </row>
    <row r="43" spans="1:67" x14ac:dyDescent="0.25">
      <c r="A43" s="7"/>
      <c r="B43" s="37" t="s">
        <v>104</v>
      </c>
      <c r="C43" s="18">
        <f>IF(RESULTADO!$F$148&lt;=C$33,(C$7+C$23+C12),C35)</f>
        <v>62.92</v>
      </c>
      <c r="D43" s="18">
        <f>IF(RESULTADO!$F$148&lt;=D$33,(D$7+D$23+D12),D35)</f>
        <v>55.7</v>
      </c>
      <c r="E43" s="18">
        <f>IF(RESULTADO!$F$148&lt;=E$33,(E$7+E$23+E12),E35)</f>
        <v>55.7</v>
      </c>
      <c r="F43" s="18">
        <f>IF(RESULTADO!$F$148&lt;=F$33,(F$7+F$23+F12),F35)</f>
        <v>55.7</v>
      </c>
      <c r="G43" s="18">
        <f>IF(RESULTADO!$F$148&lt;=G$33,(G$7+G$23+G12),G35)</f>
        <v>55.7</v>
      </c>
      <c r="H43" s="18">
        <f>IF(RESULTADO!$F$148&lt;=H$33,(H$7+H$23+H12),H35)</f>
        <v>55.71</v>
      </c>
      <c r="I43" s="18">
        <f>IF(RESULTADO!$F$148&lt;=I$33,(I$7+I$23+I12),I35)</f>
        <v>66.319999999999993</v>
      </c>
      <c r="J43" s="18">
        <f>IF(RESULTADO!$F$148&lt;=J$33,(J$7+J$23+J12),J35)</f>
        <v>76.900000000000006</v>
      </c>
      <c r="K43" s="18">
        <f>IF(RESULTADO!$F$148&lt;=K$33,(K$7+K$23+K12),K35)</f>
        <v>56.08</v>
      </c>
      <c r="L43" s="18">
        <f>IF(RESULTADO!$F$148&lt;=L$33,(L$7+L$23+L12),L35)</f>
        <v>55.7</v>
      </c>
      <c r="M43" s="18">
        <f>IF(RESULTADO!$F$148&lt;=M$33,(M$7+M$23+M12),M35)</f>
        <v>55.7</v>
      </c>
      <c r="N43" s="402">
        <f>IF(RESULTADO!$F$148&lt;=N$33,(N$7+N$23+N12),N35)</f>
        <v>82.7</v>
      </c>
      <c r="O43" s="403">
        <f>IF(RESULTADO!$F$148&lt;=O$33,(O$7+O$23+O12),O35)</f>
        <v>98.72</v>
      </c>
      <c r="P43" s="18">
        <f>IF(RESULTADO!$F$148&lt;=P$33,(P$7+P$23+P12),P35)</f>
        <v>99.25</v>
      </c>
      <c r="Q43" s="18">
        <f>IF(RESULTADO!$F$148&lt;=Q$33,(Q$7+Q$23+Q12),Q35)</f>
        <v>99.3</v>
      </c>
      <c r="R43" s="18">
        <f>IF(RESULTADO!$F$148&lt;=R$33,(R$7+R$23+R12),R35)</f>
        <v>99.8</v>
      </c>
      <c r="S43" s="18">
        <f>IF(RESULTADO!$F$148&lt;=S$33,(S$7+S$23+S12),S35)</f>
        <v>100.2</v>
      </c>
      <c r="T43" s="18">
        <f>IF(RESULTADO!$F$148&lt;=T$33,(T$7+T$23+T12),T35)</f>
        <v>102.4</v>
      </c>
      <c r="U43" s="18">
        <f>IF(RESULTADO!$F$148&lt;=U$33,(U$7+U$23+U12),U35)</f>
        <v>107.15</v>
      </c>
      <c r="V43" s="18">
        <f>IF(RESULTADO!$F$148&lt;=V$33,(V$7+V$23+V12),V35)</f>
        <v>107.15</v>
      </c>
      <c r="W43" s="18">
        <f>IF(RESULTADO!$F$148&lt;=W$33,(W$7+W$23+W12),W35)</f>
        <v>107.15</v>
      </c>
      <c r="X43" s="18">
        <f>IF(RESULTADO!$F$148&lt;=X$33,(X$7+X$23+X12),X35)</f>
        <v>110.45</v>
      </c>
      <c r="Y43" s="18">
        <f>IF(RESULTADO!$F$148&lt;=Y$33,(Y$7+Y$23+Y12),Y35)</f>
        <v>110.45</v>
      </c>
      <c r="Z43" s="402">
        <f>IF(RESULTADO!$F$148&lt;=Z$33,(Z$7+Z$23+Z12),Z35)</f>
        <v>110.45</v>
      </c>
      <c r="AA43" s="403">
        <f>IF(RESULTADO!$F$148&lt;=AA$33,(AA$7+AA$23+AA12),AA35)</f>
        <v>132.1</v>
      </c>
      <c r="AB43" s="18">
        <f>IF(RESULTADO!$F$148&lt;=AB$33,(AB$7+AB$23+AB12),AB35)</f>
        <v>132.1</v>
      </c>
      <c r="AC43" s="18">
        <f>IF(RESULTADO!$F$148&lt;=AC$33,(AC$7+AC$23+AC12),AC35)</f>
        <v>132.1</v>
      </c>
      <c r="AD43" s="18">
        <f>IF(RESULTADO!$F$148&lt;=AD$33,(AD$7+AD$23+AD12),AD35)</f>
        <v>132.1</v>
      </c>
      <c r="AE43" s="18">
        <f>IF(RESULTADO!$F$148&lt;=AE$33,(AE$7+AE$23+AE12),AE35)</f>
        <v>132.1</v>
      </c>
      <c r="AF43" s="18">
        <f>IF(RESULTADO!$F$148&lt;=AF$33,(AF$7+AF$23+AF12),AF35)</f>
        <v>132.1</v>
      </c>
      <c r="AG43" s="18">
        <f>IF(RESULTADO!$F$148&lt;=AG$33,(AG$7+AG$23+AG12),AG35)</f>
        <v>132.1</v>
      </c>
      <c r="AH43" s="18">
        <f>IF(RESULTADO!$F$148&lt;=AH$33,(AH$7+AH$23+AH12),AH35)</f>
        <v>132.1</v>
      </c>
      <c r="AI43" s="18">
        <f>IF(RESULTADO!$F$148&lt;=AI$33,(AI$7+AI$23+AI12),AI35)</f>
        <v>132.1</v>
      </c>
      <c r="AJ43" s="18">
        <f>IF(RESULTADO!$F$148&lt;=AJ$33,(AJ$7+AJ$23+AJ12),AJ35)</f>
        <v>132.1</v>
      </c>
      <c r="AK43" s="18">
        <f>IF(RESULTADO!$F$148&lt;=AK$33,(AK$7+AK$23+AK12),AK35)</f>
        <v>132.1</v>
      </c>
      <c r="AL43" s="402">
        <f>IF(RESULTADO!$F$148&lt;=AL$33,(AL$7+AL$23+AL12),AL35)</f>
        <v>132.1</v>
      </c>
      <c r="AM43" s="403">
        <f>IF(RESULTADO!$F$148&lt;=AM$33,(AM$7+AM$23+AM12),AM35)</f>
        <v>149</v>
      </c>
      <c r="AN43" s="18">
        <f>IF(RESULTADO!$F$148&lt;=AN$33,(AN$7+AN$23+AN12),AN35)</f>
        <v>149</v>
      </c>
      <c r="AO43" s="18">
        <f>IF(RESULTADO!$F$148&lt;=AO$33,(AO$7+AO$23+AO12),AO35)</f>
        <v>149</v>
      </c>
      <c r="AP43" s="18">
        <f>IF(RESULTADO!$F$148&lt;=AP$33,(AP$7+AP$23+AP12),AP35)</f>
        <v>149</v>
      </c>
      <c r="AQ43" s="18">
        <f>IF(RESULTADO!$F$148&lt;=AQ$33,(AQ$7+AQ$23+AQ12),AQ35)</f>
        <v>149</v>
      </c>
      <c r="AR43" s="18">
        <f>IF(RESULTADO!$F$148&lt;=AR$33,(AR$7+AR$23+AR12),AR35)</f>
        <v>149</v>
      </c>
      <c r="AS43" s="18">
        <f>IF(RESULTADO!$F$148&lt;=AS$33,(AS$7+AS$23+AS12),AS35)</f>
        <v>149</v>
      </c>
      <c r="AT43" s="18">
        <f>IF(RESULTADO!$F$148&lt;=AT$33,(AT$7+AT$23+AT12),AT35)</f>
        <v>149</v>
      </c>
      <c r="AU43" s="18">
        <f>IF(RESULTADO!$F$148&lt;=AU$33,(AU$7+AU$23+AU12),AU35)</f>
        <v>149</v>
      </c>
      <c r="AV43" s="18">
        <f>IF(RESULTADO!$F$148&lt;=AV$33,(AV$7+AV$23+AV12),AV35)</f>
        <v>149</v>
      </c>
      <c r="AW43" s="18">
        <f>IF(RESULTADO!$F$148&lt;=AW$33,(AW$7+AW$23+AW12),AW35)</f>
        <v>149</v>
      </c>
      <c r="AX43" s="402">
        <f>IF(RESULTADO!$F$148&lt;=AX$33,(AX$7+AX$23+AX12),AX35)</f>
        <v>149</v>
      </c>
      <c r="AY43" s="403">
        <f>IF(RESULTADO!$F$148&lt;=AY$33,(AY$7+AY$23+AY12),AY35)</f>
        <v>175.5</v>
      </c>
      <c r="AZ43" s="18">
        <f>IF(RESULTADO!$F$148&lt;=AZ$33,(AZ$7+AZ$23+AZ12),AZ35)</f>
        <v>175.5</v>
      </c>
      <c r="BA43" s="18">
        <f>IF(RESULTADO!$F$148&lt;=BA$33,(BA$7+BA$23+BA12),BA35)</f>
        <v>175.5</v>
      </c>
      <c r="BB43" s="18">
        <f>IF(RESULTADO!$F$148&lt;=BB$33,(BB$7+BB$23+BB12),BB35)</f>
        <v>175.5</v>
      </c>
      <c r="BC43" s="18">
        <f>IF(RESULTADO!$F$148&lt;=BC$33,(BC$7+BC$23+BC12),BC35)</f>
        <v>175.5</v>
      </c>
      <c r="BD43" s="18">
        <f>IF(RESULTADO!$F$148&lt;=BD$33,(BD$7+BD$23+BD12),BD35)</f>
        <v>175.5</v>
      </c>
      <c r="BE43" s="18">
        <f>IF(RESULTADO!$F$148&lt;=BE$33,(BE$7+BE$23+BE12),BE35)</f>
        <v>175.5</v>
      </c>
      <c r="BF43" s="18">
        <f>IF(RESULTADO!$F$148&lt;=BF$33,(BF$7+BF$23+BF12),BF35)</f>
        <v>175.5</v>
      </c>
      <c r="BG43" s="18">
        <f>IF(RESULTADO!$F$148&lt;=BG$33,(BG$7+BG$23+BG12),BG35)</f>
        <v>175.5</v>
      </c>
      <c r="BH43" s="18">
        <f>IF(RESULTADO!$F$148&lt;=BH$33,(BH$7+BH$23+BH12),BH35)</f>
        <v>175.5</v>
      </c>
      <c r="BI43" s="18">
        <f>IF(RESULTADO!$F$148&lt;=BI$33,(BI$7+BI$23+BI12),BI35)</f>
        <v>175.5</v>
      </c>
      <c r="BJ43" s="19">
        <f>IF(RESULTADO!$F$148&lt;=BJ$33,(BJ$7+BJ$23+BJ12),BJ35)</f>
        <v>175.5</v>
      </c>
      <c r="BK43" s="461"/>
      <c r="BO43" s="348"/>
    </row>
    <row r="44" spans="1:67" x14ac:dyDescent="0.25">
      <c r="A44" s="7"/>
      <c r="B44" s="37" t="s">
        <v>105</v>
      </c>
      <c r="C44" s="18">
        <f>IF(RESULTADO!$F$148&lt;=C$33,(C$7+C$23+C13),C36)</f>
        <v>57.22</v>
      </c>
      <c r="D44" s="18">
        <f>IF(RESULTADO!$F$148&lt;=D$33,(D$7+D$23+D13),D36)</f>
        <v>55.7</v>
      </c>
      <c r="E44" s="18">
        <f>IF(RESULTADO!$F$148&lt;=E$33,(E$7+E$23+E13),E36)</f>
        <v>55.7</v>
      </c>
      <c r="F44" s="18">
        <f>IF(RESULTADO!$F$148&lt;=F$33,(F$7+F$23+F13),F36)</f>
        <v>55.7</v>
      </c>
      <c r="G44" s="18">
        <f>IF(RESULTADO!$F$148&lt;=G$33,(G$7+G$23+G13),G36)</f>
        <v>55.7</v>
      </c>
      <c r="H44" s="18">
        <f>IF(RESULTADO!$F$148&lt;=H$33,(H$7+H$23+H13),H36)</f>
        <v>55.71</v>
      </c>
      <c r="I44" s="18">
        <f>IF(RESULTADO!$F$148&lt;=I$33,(I$7+I$23+I13),I36)</f>
        <v>66.319999999999993</v>
      </c>
      <c r="J44" s="18">
        <f>IF(RESULTADO!$F$148&lt;=J$33,(J$7+J$23+J13),J36)</f>
        <v>76.900000000000006</v>
      </c>
      <c r="K44" s="18">
        <f>IF(RESULTADO!$F$148&lt;=K$33,(K$7+K$23+K13),K36)</f>
        <v>56.08</v>
      </c>
      <c r="L44" s="18">
        <f>IF(RESULTADO!$F$148&lt;=L$33,(L$7+L$23+L13),L36)</f>
        <v>55.7</v>
      </c>
      <c r="M44" s="18">
        <f>IF(RESULTADO!$F$148&lt;=M$33,(M$7+M$23+M13),M36)</f>
        <v>55.7</v>
      </c>
      <c r="N44" s="402">
        <f>IF(RESULTADO!$F$148&lt;=N$33,(N$7+N$23+N13),N36)</f>
        <v>82.7</v>
      </c>
      <c r="O44" s="403">
        <f>IF(RESULTADO!$F$148&lt;=O$33,(O$7+O$23+O13),O36)</f>
        <v>98.72</v>
      </c>
      <c r="P44" s="18">
        <f>IF(RESULTADO!$F$148&lt;=P$33,(P$7+P$23+P13),P36)</f>
        <v>99.25</v>
      </c>
      <c r="Q44" s="18">
        <f>IF(RESULTADO!$F$148&lt;=Q$33,(Q$7+Q$23+Q13),Q36)</f>
        <v>99.3</v>
      </c>
      <c r="R44" s="18">
        <f>IF(RESULTADO!$F$148&lt;=R$33,(R$7+R$23+R13),R36)</f>
        <v>99.8</v>
      </c>
      <c r="S44" s="18">
        <f>IF(RESULTADO!$F$148&lt;=S$33,(S$7+S$23+S13),S36)</f>
        <v>100.2</v>
      </c>
      <c r="T44" s="18">
        <f>IF(RESULTADO!$F$148&lt;=T$33,(T$7+T$23+T13),T36)</f>
        <v>102.4</v>
      </c>
      <c r="U44" s="18">
        <f>IF(RESULTADO!$F$148&lt;=U$33,(U$7+U$23+U13),U36)</f>
        <v>107.15</v>
      </c>
      <c r="V44" s="18">
        <f>IF(RESULTADO!$F$148&lt;=V$33,(V$7+V$23+V13),V36)</f>
        <v>107.15</v>
      </c>
      <c r="W44" s="18">
        <f>IF(RESULTADO!$F$148&lt;=W$33,(W$7+W$23+W13),W36)</f>
        <v>107.15</v>
      </c>
      <c r="X44" s="18">
        <f>IF(RESULTADO!$F$148&lt;=X$33,(X$7+X$23+X13),X36)</f>
        <v>110.45</v>
      </c>
      <c r="Y44" s="18">
        <f>IF(RESULTADO!$F$148&lt;=Y$33,(Y$7+Y$23+Y13),Y36)</f>
        <v>110.45</v>
      </c>
      <c r="Z44" s="402">
        <f>IF(RESULTADO!$F$148&lt;=Z$33,(Z$7+Z$23+Z13),Z36)</f>
        <v>110.45</v>
      </c>
      <c r="AA44" s="403">
        <f>IF(RESULTADO!$F$148&lt;=AA$33,(AA$7+AA$23+AA13),AA36)</f>
        <v>132.1</v>
      </c>
      <c r="AB44" s="18">
        <f>IF(RESULTADO!$F$148&lt;=AB$33,(AB$7+AB$23+AB13),AB36)</f>
        <v>132.1</v>
      </c>
      <c r="AC44" s="18">
        <f>IF(RESULTADO!$F$148&lt;=AC$33,(AC$7+AC$23+AC13),AC36)</f>
        <v>132.1</v>
      </c>
      <c r="AD44" s="18">
        <f>IF(RESULTADO!$F$148&lt;=AD$33,(AD$7+AD$23+AD13),AD36)</f>
        <v>132.1</v>
      </c>
      <c r="AE44" s="18">
        <f>IF(RESULTADO!$F$148&lt;=AE$33,(AE$7+AE$23+AE13),AE36)</f>
        <v>132.1</v>
      </c>
      <c r="AF44" s="18">
        <f>IF(RESULTADO!$F$148&lt;=AF$33,(AF$7+AF$23+AF13),AF36)</f>
        <v>132.1</v>
      </c>
      <c r="AG44" s="18">
        <f>IF(RESULTADO!$F$148&lt;=AG$33,(AG$7+AG$23+AG13),AG36)</f>
        <v>132.1</v>
      </c>
      <c r="AH44" s="18">
        <f>IF(RESULTADO!$F$148&lt;=AH$33,(AH$7+AH$23+AH13),AH36)</f>
        <v>132.1</v>
      </c>
      <c r="AI44" s="18">
        <f>IF(RESULTADO!$F$148&lt;=AI$33,(AI$7+AI$23+AI13),AI36)</f>
        <v>132.1</v>
      </c>
      <c r="AJ44" s="18">
        <f>IF(RESULTADO!$F$148&lt;=AJ$33,(AJ$7+AJ$23+AJ13),AJ36)</f>
        <v>132.1</v>
      </c>
      <c r="AK44" s="18">
        <f>IF(RESULTADO!$F$148&lt;=AK$33,(AK$7+AK$23+AK13),AK36)</f>
        <v>132.1</v>
      </c>
      <c r="AL44" s="402">
        <f>IF(RESULTADO!$F$148&lt;=AL$33,(AL$7+AL$23+AL13),AL36)</f>
        <v>132.1</v>
      </c>
      <c r="AM44" s="403">
        <f>IF(RESULTADO!$F$148&lt;=AM$33,(AM$7+AM$23+AM13),AM36)</f>
        <v>149</v>
      </c>
      <c r="AN44" s="18">
        <f>IF(RESULTADO!$F$148&lt;=AN$33,(AN$7+AN$23+AN13),AN36)</f>
        <v>149</v>
      </c>
      <c r="AO44" s="18">
        <f>IF(RESULTADO!$F$148&lt;=AO$33,(AO$7+AO$23+AO13),AO36)</f>
        <v>149</v>
      </c>
      <c r="AP44" s="18">
        <f>IF(RESULTADO!$F$148&lt;=AP$33,(AP$7+AP$23+AP13),AP36)</f>
        <v>149</v>
      </c>
      <c r="AQ44" s="18">
        <f>IF(RESULTADO!$F$148&lt;=AQ$33,(AQ$7+AQ$23+AQ13),AQ36)</f>
        <v>149</v>
      </c>
      <c r="AR44" s="18">
        <f>IF(RESULTADO!$F$148&lt;=AR$33,(AR$7+AR$23+AR13),AR36)</f>
        <v>149</v>
      </c>
      <c r="AS44" s="18">
        <f>IF(RESULTADO!$F$148&lt;=AS$33,(AS$7+AS$23+AS13),AS36)</f>
        <v>149</v>
      </c>
      <c r="AT44" s="18">
        <f>IF(RESULTADO!$F$148&lt;=AT$33,(AT$7+AT$23+AT13),AT36)</f>
        <v>149</v>
      </c>
      <c r="AU44" s="18">
        <f>IF(RESULTADO!$F$148&lt;=AU$33,(AU$7+AU$23+AU13),AU36)</f>
        <v>149</v>
      </c>
      <c r="AV44" s="18">
        <f>IF(RESULTADO!$F$148&lt;=AV$33,(AV$7+AV$23+AV13),AV36)</f>
        <v>149</v>
      </c>
      <c r="AW44" s="18">
        <f>IF(RESULTADO!$F$148&lt;=AW$33,(AW$7+AW$23+AW13),AW36)</f>
        <v>149</v>
      </c>
      <c r="AX44" s="402">
        <f>IF(RESULTADO!$F$148&lt;=AX$33,(AX$7+AX$23+AX13),AX36)</f>
        <v>149</v>
      </c>
      <c r="AY44" s="403">
        <f>IF(RESULTADO!$F$148&lt;=AY$33,(AY$7+AY$23+AY13),AY36)</f>
        <v>175.5</v>
      </c>
      <c r="AZ44" s="18">
        <f>IF(RESULTADO!$F$148&lt;=AZ$33,(AZ$7+AZ$23+AZ13),AZ36)</f>
        <v>175.5</v>
      </c>
      <c r="BA44" s="18">
        <f>IF(RESULTADO!$F$148&lt;=BA$33,(BA$7+BA$23+BA13),BA36)</f>
        <v>175.5</v>
      </c>
      <c r="BB44" s="18">
        <f>IF(RESULTADO!$F$148&lt;=BB$33,(BB$7+BB$23+BB13),BB36)</f>
        <v>175.5</v>
      </c>
      <c r="BC44" s="18">
        <f>IF(RESULTADO!$F$148&lt;=BC$33,(BC$7+BC$23+BC13),BC36)</f>
        <v>175.5</v>
      </c>
      <c r="BD44" s="18">
        <f>IF(RESULTADO!$F$148&lt;=BD$33,(BD$7+BD$23+BD13),BD36)</f>
        <v>175.5</v>
      </c>
      <c r="BE44" s="18">
        <f>IF(RESULTADO!$F$148&lt;=BE$33,(BE$7+BE$23+BE13),BE36)</f>
        <v>175.5</v>
      </c>
      <c r="BF44" s="18">
        <f>IF(RESULTADO!$F$148&lt;=BF$33,(BF$7+BF$23+BF13),BF36)</f>
        <v>175.5</v>
      </c>
      <c r="BG44" s="18">
        <f>IF(RESULTADO!$F$148&lt;=BG$33,(BG$7+BG$23+BG13),BG36)</f>
        <v>175.5</v>
      </c>
      <c r="BH44" s="18">
        <f>IF(RESULTADO!$F$148&lt;=BH$33,(BH$7+BH$23+BH13),BH36)</f>
        <v>175.5</v>
      </c>
      <c r="BI44" s="18">
        <f>IF(RESULTADO!$F$148&lt;=BI$33,(BI$7+BI$23+BI13),BI36)</f>
        <v>175.5</v>
      </c>
      <c r="BJ44" s="19">
        <f>IF(RESULTADO!$F$148&lt;=BJ$33,(BJ$7+BJ$23+BJ13),BJ36)</f>
        <v>175.5</v>
      </c>
      <c r="BK44" s="461"/>
      <c r="BO44" s="348"/>
    </row>
    <row r="45" spans="1:67" ht="15.75" thickBot="1" x14ac:dyDescent="0.3">
      <c r="A45" s="7"/>
      <c r="B45" s="38" t="s">
        <v>106</v>
      </c>
      <c r="C45" s="23">
        <f>IF(RESULTADO!$F$148&lt;=C$33,(C$7+C$23+C14),C37)</f>
        <v>55.71</v>
      </c>
      <c r="D45" s="23">
        <f>IF(RESULTADO!$F$148&lt;=D$33,(D$7+D$23+D14),D37)</f>
        <v>55.7</v>
      </c>
      <c r="E45" s="23">
        <f>IF(RESULTADO!$F$148&lt;=E$33,(E$7+E$23+E14),E37)</f>
        <v>55.7</v>
      </c>
      <c r="F45" s="23">
        <f>IF(RESULTADO!$F$148&lt;=F$33,(F$7+F$23+F14),F37)</f>
        <v>55.7</v>
      </c>
      <c r="G45" s="23">
        <f>IF(RESULTADO!$F$148&lt;=G$33,(G$7+G$23+G14),G37)</f>
        <v>55.7</v>
      </c>
      <c r="H45" s="23">
        <f>IF(RESULTADO!$F$148&lt;=H$33,(H$7+H$23+H14),H37)</f>
        <v>55.71</v>
      </c>
      <c r="I45" s="23">
        <f>IF(RESULTADO!$F$148&lt;=I$33,(I$7+I$23+I14),I37)</f>
        <v>66.319999999999993</v>
      </c>
      <c r="J45" s="23">
        <f>IF(RESULTADO!$F$148&lt;=J$33,(J$7+J$23+J14),J37)</f>
        <v>76.900000000000006</v>
      </c>
      <c r="K45" s="23">
        <f>IF(RESULTADO!$F$148&lt;=K$33,(K$7+K$23+K14),K37)</f>
        <v>56.08</v>
      </c>
      <c r="L45" s="23">
        <f>IF(RESULTADO!$F$148&lt;=L$33,(L$7+L$23+L14),L37)</f>
        <v>55.7</v>
      </c>
      <c r="M45" s="23">
        <f>IF(RESULTADO!$F$148&lt;=M$33,(M$7+M$23+M14),M37)</f>
        <v>55.7</v>
      </c>
      <c r="N45" s="404">
        <f>IF(RESULTADO!$F$148&lt;=N$33,(N$7+N$23+N14),N37)</f>
        <v>82.7</v>
      </c>
      <c r="O45" s="405">
        <f>IF(RESULTADO!$F$148&lt;=O$33,(O$7+O$23+O14),O37)</f>
        <v>98.72</v>
      </c>
      <c r="P45" s="23">
        <f>IF(RESULTADO!$F$148&lt;=P$33,(P$7+P$23+P14),P37)</f>
        <v>99.25</v>
      </c>
      <c r="Q45" s="23">
        <f>IF(RESULTADO!$F$148&lt;=Q$33,(Q$7+Q$23+Q14),Q37)</f>
        <v>99.3</v>
      </c>
      <c r="R45" s="23">
        <f>IF(RESULTADO!$F$148&lt;=R$33,(R$7+R$23+R14),R37)</f>
        <v>99.8</v>
      </c>
      <c r="S45" s="23">
        <f>IF(RESULTADO!$F$148&lt;=S$33,(S$7+S$23+S14),S37)</f>
        <v>100.2</v>
      </c>
      <c r="T45" s="23">
        <f>IF(RESULTADO!$F$148&lt;=T$33,(T$7+T$23+T14),T37)</f>
        <v>102.4</v>
      </c>
      <c r="U45" s="23">
        <f>IF(RESULTADO!$F$148&lt;=U$33,(U$7+U$23+U14),U37)</f>
        <v>107.15</v>
      </c>
      <c r="V45" s="23">
        <f>IF(RESULTADO!$F$148&lt;=V$33,(V$7+V$23+V14),V37)</f>
        <v>107.15</v>
      </c>
      <c r="W45" s="23">
        <f>IF(RESULTADO!$F$148&lt;=W$33,(W$7+W$23+W14),W37)</f>
        <v>107.15</v>
      </c>
      <c r="X45" s="23">
        <f>IF(RESULTADO!$F$148&lt;=X$33,(X$7+X$23+X14),X37)</f>
        <v>110.45</v>
      </c>
      <c r="Y45" s="23">
        <f>IF(RESULTADO!$F$148&lt;=Y$33,(Y$7+Y$23+Y14),Y37)</f>
        <v>110.45</v>
      </c>
      <c r="Z45" s="404">
        <f>IF(RESULTADO!$F$148&lt;=Z$33,(Z$7+Z$23+Z14),Z37)</f>
        <v>110.45</v>
      </c>
      <c r="AA45" s="405">
        <f>IF(RESULTADO!$F$148&lt;=AA$33,(AA$7+AA$23+AA14),AA37)</f>
        <v>132.1</v>
      </c>
      <c r="AB45" s="23">
        <f>IF(RESULTADO!$F$148&lt;=AB$33,(AB$7+AB$23+AB14),AB37)</f>
        <v>132.1</v>
      </c>
      <c r="AC45" s="23">
        <f>IF(RESULTADO!$F$148&lt;=AC$33,(AC$7+AC$23+AC14),AC37)</f>
        <v>132.1</v>
      </c>
      <c r="AD45" s="23">
        <f>IF(RESULTADO!$F$148&lt;=AD$33,(AD$7+AD$23+AD14),AD37)</f>
        <v>132.1</v>
      </c>
      <c r="AE45" s="23">
        <f>IF(RESULTADO!$F$148&lt;=AE$33,(AE$7+AE$23+AE14),AE37)</f>
        <v>132.1</v>
      </c>
      <c r="AF45" s="23">
        <f>IF(RESULTADO!$F$148&lt;=AF$33,(AF$7+AF$23+AF14),AF37)</f>
        <v>132.1</v>
      </c>
      <c r="AG45" s="23">
        <f>IF(RESULTADO!$F$148&lt;=AG$33,(AG$7+AG$23+AG14),AG37)</f>
        <v>132.1</v>
      </c>
      <c r="AH45" s="23">
        <f>IF(RESULTADO!$F$148&lt;=AH$33,(AH$7+AH$23+AH14),AH37)</f>
        <v>132.1</v>
      </c>
      <c r="AI45" s="23">
        <f>IF(RESULTADO!$F$148&lt;=AI$33,(AI$7+AI$23+AI14),AI37)</f>
        <v>132.1</v>
      </c>
      <c r="AJ45" s="23">
        <f>IF(RESULTADO!$F$148&lt;=AJ$33,(AJ$7+AJ$23+AJ14),AJ37)</f>
        <v>132.1</v>
      </c>
      <c r="AK45" s="23">
        <f>IF(RESULTADO!$F$148&lt;=AK$33,(AK$7+AK$23+AK14),AK37)</f>
        <v>132.1</v>
      </c>
      <c r="AL45" s="404">
        <f>IF(RESULTADO!$F$148&lt;=AL$33,(AL$7+AL$23+AL14),AL37)</f>
        <v>132.1</v>
      </c>
      <c r="AM45" s="405">
        <f>IF(RESULTADO!$F$148&lt;=AM$33,(AM$7+AM$23+AM14),AM37)</f>
        <v>149</v>
      </c>
      <c r="AN45" s="23">
        <f>IF(RESULTADO!$F$148&lt;=AN$33,(AN$7+AN$23+AN14),AN37)</f>
        <v>149</v>
      </c>
      <c r="AO45" s="23">
        <f>IF(RESULTADO!$F$148&lt;=AO$33,(AO$7+AO$23+AO14),AO37)</f>
        <v>149</v>
      </c>
      <c r="AP45" s="23">
        <f>IF(RESULTADO!$F$148&lt;=AP$33,(AP$7+AP$23+AP14),AP37)</f>
        <v>149</v>
      </c>
      <c r="AQ45" s="23">
        <f>IF(RESULTADO!$F$148&lt;=AQ$33,(AQ$7+AQ$23+AQ14),AQ37)</f>
        <v>149</v>
      </c>
      <c r="AR45" s="23">
        <f>IF(RESULTADO!$F$148&lt;=AR$33,(AR$7+AR$23+AR14),AR37)</f>
        <v>149</v>
      </c>
      <c r="AS45" s="23">
        <f>IF(RESULTADO!$F$148&lt;=AS$33,(AS$7+AS$23+AS14),AS37)</f>
        <v>149</v>
      </c>
      <c r="AT45" s="23">
        <f>IF(RESULTADO!$F$148&lt;=AT$33,(AT$7+AT$23+AT14),AT37)</f>
        <v>149</v>
      </c>
      <c r="AU45" s="23">
        <f>IF(RESULTADO!$F$148&lt;=AU$33,(AU$7+AU$23+AU14),AU37)</f>
        <v>149</v>
      </c>
      <c r="AV45" s="23">
        <f>IF(RESULTADO!$F$148&lt;=AV$33,(AV$7+AV$23+AV14),AV37)</f>
        <v>149</v>
      </c>
      <c r="AW45" s="23">
        <f>IF(RESULTADO!$F$148&lt;=AW$33,(AW$7+AW$23+AW14),AW37)</f>
        <v>149</v>
      </c>
      <c r="AX45" s="404">
        <f>IF(RESULTADO!$F$148&lt;=AX$33,(AX$7+AX$23+AX14),AX37)</f>
        <v>149</v>
      </c>
      <c r="AY45" s="405">
        <f>IF(RESULTADO!$F$148&lt;=AY$33,(AY$7+AY$23+AY14),AY37)</f>
        <v>175.5</v>
      </c>
      <c r="AZ45" s="23">
        <f>IF(RESULTADO!$F$148&lt;=AZ$33,(AZ$7+AZ$23+AZ14),AZ37)</f>
        <v>175.5</v>
      </c>
      <c r="BA45" s="23">
        <f>IF(RESULTADO!$F$148&lt;=BA$33,(BA$7+BA$23+BA14),BA37)</f>
        <v>175.5</v>
      </c>
      <c r="BB45" s="23">
        <f>IF(RESULTADO!$F$148&lt;=BB$33,(BB$7+BB$23+BB14),BB37)</f>
        <v>175.5</v>
      </c>
      <c r="BC45" s="23">
        <f>IF(RESULTADO!$F$148&lt;=BC$33,(BC$7+BC$23+BC14),BC37)</f>
        <v>175.5</v>
      </c>
      <c r="BD45" s="23">
        <f>IF(RESULTADO!$F$148&lt;=BD$33,(BD$7+BD$23+BD14),BD37)</f>
        <v>175.5</v>
      </c>
      <c r="BE45" s="23">
        <f>IF(RESULTADO!$F$148&lt;=BE$33,(BE$7+BE$23+BE14),BE37)</f>
        <v>175.5</v>
      </c>
      <c r="BF45" s="23">
        <f>IF(RESULTADO!$F$148&lt;=BF$33,(BF$7+BF$23+BF14),BF37)</f>
        <v>175.5</v>
      </c>
      <c r="BG45" s="23">
        <f>IF(RESULTADO!$F$148&lt;=BG$33,(BG$7+BG$23+BG14),BG37)</f>
        <v>175.5</v>
      </c>
      <c r="BH45" s="23">
        <f>IF(RESULTADO!$F$148&lt;=BH$33,(BH$7+BH$23+BH14),BH37)</f>
        <v>175.5</v>
      </c>
      <c r="BI45" s="23">
        <f>IF(RESULTADO!$F$148&lt;=BI$33,(BI$7+BI$23+BI14),BI37)</f>
        <v>175.5</v>
      </c>
      <c r="BJ45" s="24">
        <f>IF(RESULTADO!$F$148&lt;=BJ$33,(BJ$7+BJ$23+BJ14),BJ37)</f>
        <v>175.5</v>
      </c>
      <c r="BK45" s="461"/>
      <c r="BO45" s="348"/>
    </row>
    <row r="46" spans="1:67" x14ac:dyDescent="0.25">
      <c r="A46" s="7"/>
      <c r="B46" s="36" t="s">
        <v>107</v>
      </c>
      <c r="C46" s="20">
        <f>IF(RESULTADO!$F$148&lt;=C$33,(C7+C$24),C34)</f>
        <v>62.91</v>
      </c>
      <c r="D46" s="20">
        <f>IF(RESULTADO!$F$148&lt;=D$33,(D7+D$24),D34)</f>
        <v>55.7</v>
      </c>
      <c r="E46" s="20">
        <f>IF(RESULTADO!$F$148&lt;=E$33,(E7+E$24),E34)</f>
        <v>55.7</v>
      </c>
      <c r="F46" s="20">
        <f>IF(RESULTADO!$F$148&lt;=F$33,(F7+F$24),F34)</f>
        <v>55.7</v>
      </c>
      <c r="G46" s="20">
        <f>IF(RESULTADO!$F$148&lt;=G$33,(G7+G$24),G34)</f>
        <v>55.7</v>
      </c>
      <c r="H46" s="20">
        <f>IF(RESULTADO!$F$148&lt;=H$33,(H7+H$24),H34)</f>
        <v>55.71</v>
      </c>
      <c r="I46" s="20">
        <f>IF(RESULTADO!$F$148&lt;=I$33,(I7+I$24),I34)</f>
        <v>66.319999999999993</v>
      </c>
      <c r="J46" s="20">
        <f>IF(RESULTADO!$F$148&lt;=J$33,(J7+J$24),J34)</f>
        <v>76.900000000000006</v>
      </c>
      <c r="K46" s="20">
        <f>IF(RESULTADO!$F$148&lt;=K$33,(K7+K$24),K34)</f>
        <v>56.08</v>
      </c>
      <c r="L46" s="20">
        <f>IF(RESULTADO!$F$148&lt;=L$33,(L7+L$24),L34)</f>
        <v>55.7</v>
      </c>
      <c r="M46" s="20">
        <f>IF(RESULTADO!$F$148&lt;=M$33,(M7+M$24),M34)</f>
        <v>55.7</v>
      </c>
      <c r="N46" s="400">
        <f>IF(RESULTADO!$F$148&lt;=N$33,(N7+N$24),N34)</f>
        <v>215.7</v>
      </c>
      <c r="O46" s="401">
        <f>IF(RESULTADO!$F$148&lt;=O$33,(O7+O$24),O34)</f>
        <v>228.72</v>
      </c>
      <c r="P46" s="20">
        <f>IF(RESULTADO!$F$148&lt;=P$33,(P7+P$24),P34)</f>
        <v>229.25</v>
      </c>
      <c r="Q46" s="20">
        <f>IF(RESULTADO!$F$148&lt;=Q$33,(Q7+Q$24),Q34)</f>
        <v>229.3</v>
      </c>
      <c r="R46" s="20">
        <f>IF(RESULTADO!$F$148&lt;=R$33,(R7+R$24),R34)</f>
        <v>229.8</v>
      </c>
      <c r="S46" s="20">
        <f>IF(RESULTADO!$F$148&lt;=S$33,(S7+S$24),S34)</f>
        <v>230.2</v>
      </c>
      <c r="T46" s="20">
        <f>IF(RESULTADO!$F$148&lt;=T$33,(T7+T$24),T34)</f>
        <v>232.4</v>
      </c>
      <c r="U46" s="20">
        <f>IF(RESULTADO!$F$148&lt;=U$33,(U7+U$24),U34)</f>
        <v>237.15</v>
      </c>
      <c r="V46" s="20">
        <f>IF(RESULTADO!$F$148&lt;=V$33,(V7+V$24),V34)</f>
        <v>237.15</v>
      </c>
      <c r="W46" s="20">
        <f>IF(RESULTADO!$F$148&lt;=W$33,(W7+W$24),W34)</f>
        <v>237.15</v>
      </c>
      <c r="X46" s="20">
        <f>IF(RESULTADO!$F$148&lt;=X$33,(X7+X$24),X34)</f>
        <v>240.45</v>
      </c>
      <c r="Y46" s="20">
        <f>IF(RESULTADO!$F$148&lt;=Y$33,(Y7+Y$24),Y34)</f>
        <v>240.45</v>
      </c>
      <c r="Z46" s="400">
        <f>IF(RESULTADO!$F$148&lt;=Z$33,(Z7+Z$24),Z34)</f>
        <v>240.45</v>
      </c>
      <c r="AA46" s="401">
        <f>IF(RESULTADO!$F$148&lt;=AA$33,(AA7+AA$24),AA34)</f>
        <v>265.10000000000002</v>
      </c>
      <c r="AB46" s="20">
        <f>IF(RESULTADO!$F$148&lt;=AB$33,(AB7+AB$24),AB34)</f>
        <v>265.10000000000002</v>
      </c>
      <c r="AC46" s="20">
        <f>IF(RESULTADO!$F$148&lt;=AC$33,(AC7+AC$24),AC34)</f>
        <v>265.10000000000002</v>
      </c>
      <c r="AD46" s="20">
        <f>IF(RESULTADO!$F$148&lt;=AD$33,(AD7+AD$24),AD34)</f>
        <v>265.10000000000002</v>
      </c>
      <c r="AE46" s="20">
        <f>IF(RESULTADO!$F$148&lt;=AE$33,(AE7+AE$24),AE34)</f>
        <v>265.10000000000002</v>
      </c>
      <c r="AF46" s="20">
        <f>IF(RESULTADO!$F$148&lt;=AF$33,(AF7+AF$24),AF34)</f>
        <v>265.10000000000002</v>
      </c>
      <c r="AG46" s="20">
        <f>IF(RESULTADO!$F$148&lt;=AG$33,(AG7+AG$24),AG34)</f>
        <v>265.10000000000002</v>
      </c>
      <c r="AH46" s="20">
        <f>IF(RESULTADO!$F$148&lt;=AH$33,(AH7+AH$24),AH34)</f>
        <v>265.10000000000002</v>
      </c>
      <c r="AI46" s="20">
        <f>IF(RESULTADO!$F$148&lt;=AI$33,(AI7+AI$24),AI34)</f>
        <v>265.10000000000002</v>
      </c>
      <c r="AJ46" s="20">
        <f>IF(RESULTADO!$F$148&lt;=AJ$33,(AJ7+AJ$24),AJ34)</f>
        <v>265.10000000000002</v>
      </c>
      <c r="AK46" s="20">
        <f>IF(RESULTADO!$F$148&lt;=AK$33,(AK7+AK$24),AK34)</f>
        <v>265.10000000000002</v>
      </c>
      <c r="AL46" s="400">
        <f>IF(RESULTADO!$F$148&lt;=AL$33,(AL7+AL$24),AL34)</f>
        <v>265.10000000000002</v>
      </c>
      <c r="AM46" s="401">
        <f>IF(RESULTADO!$F$148&lt;=AM$33,(AM7+AM$24),AM34)</f>
        <v>232</v>
      </c>
      <c r="AN46" s="20">
        <f>IF(RESULTADO!$F$148&lt;=AN$33,(AN7+AN$24),AN34)</f>
        <v>232</v>
      </c>
      <c r="AO46" s="20">
        <f>IF(RESULTADO!$F$148&lt;=AO$33,(AO7+AO$24),AO34)</f>
        <v>232</v>
      </c>
      <c r="AP46" s="20">
        <f>IF(RESULTADO!$F$148&lt;=AP$33,(AP7+AP$24),AP34)</f>
        <v>232</v>
      </c>
      <c r="AQ46" s="20">
        <f>IF(RESULTADO!$F$148&lt;=AQ$33,(AQ7+AQ$24),AQ34)</f>
        <v>232</v>
      </c>
      <c r="AR46" s="20">
        <f>IF(RESULTADO!$F$148&lt;=AR$33,(AR7+AR$24),AR34)</f>
        <v>232</v>
      </c>
      <c r="AS46" s="20">
        <f>IF(RESULTADO!$F$148&lt;=AS$33,(AS7+AS$24),AS34)</f>
        <v>232</v>
      </c>
      <c r="AT46" s="20">
        <f>IF(RESULTADO!$F$148&lt;=AT$33,(AT7+AT$24),AT34)</f>
        <v>232</v>
      </c>
      <c r="AU46" s="20">
        <f>IF(RESULTADO!$F$148&lt;=AU$33,(AU7+AU$24),AU34)</f>
        <v>232</v>
      </c>
      <c r="AV46" s="20">
        <f>IF(RESULTADO!$F$148&lt;=AV$33,(AV7+AV$24),AV34)</f>
        <v>232</v>
      </c>
      <c r="AW46" s="20">
        <f>IF(RESULTADO!$F$148&lt;=AW$33,(AW7+AW$24),AW34)</f>
        <v>232</v>
      </c>
      <c r="AX46" s="400">
        <f>IF(RESULTADO!$F$148&lt;=AX$33,(AX7+AX$24),AX34)</f>
        <v>232</v>
      </c>
      <c r="AY46" s="401">
        <f>IF(RESULTADO!$F$148&lt;=AY$33,(AY7+AY$24),AY34)</f>
        <v>255.5</v>
      </c>
      <c r="AZ46" s="20">
        <f>IF(RESULTADO!$F$148&lt;=AZ$33,(AZ7+AZ$24),AZ34)</f>
        <v>255.5</v>
      </c>
      <c r="BA46" s="20">
        <f>IF(RESULTADO!$F$148&lt;=BA$33,(BA7+BA$24),BA34)</f>
        <v>255.5</v>
      </c>
      <c r="BB46" s="20">
        <f>IF(RESULTADO!$F$148&lt;=BB$33,(BB7+BB$24),BB34)</f>
        <v>255.5</v>
      </c>
      <c r="BC46" s="20">
        <f>IF(RESULTADO!$F$148&lt;=BC$33,(BC7+BC$24),BC34)</f>
        <v>255.5</v>
      </c>
      <c r="BD46" s="20">
        <f>IF(RESULTADO!$F$148&lt;=BD$33,(BD7+BD$24),BD34)</f>
        <v>255.5</v>
      </c>
      <c r="BE46" s="20">
        <f>IF(RESULTADO!$F$148&lt;=BE$33,(BE7+BE$24),BE34)</f>
        <v>255.5</v>
      </c>
      <c r="BF46" s="20">
        <f>IF(RESULTADO!$F$148&lt;=BF$33,(BF7+BF$24),BF34)</f>
        <v>255.5</v>
      </c>
      <c r="BG46" s="20">
        <f>IF(RESULTADO!$F$148&lt;=BG$33,(BG7+BG$24),BG34)</f>
        <v>255.5</v>
      </c>
      <c r="BH46" s="20">
        <f>IF(RESULTADO!$F$148&lt;=BH$33,(BH7+BH$24),BH34)</f>
        <v>255.5</v>
      </c>
      <c r="BI46" s="20">
        <f>IF(RESULTADO!$F$148&lt;=BI$33,(BI7+BI$24),BI34)</f>
        <v>255.5</v>
      </c>
      <c r="BJ46" s="467">
        <f>IF(RESULTADO!$F$148&lt;=BJ$33,(BJ7+BJ$24),BJ34)</f>
        <v>255.5</v>
      </c>
      <c r="BK46" s="461"/>
      <c r="BO46" s="348"/>
    </row>
    <row r="47" spans="1:67" x14ac:dyDescent="0.25">
      <c r="A47" s="7"/>
      <c r="B47" s="37" t="s">
        <v>108</v>
      </c>
      <c r="C47" s="18">
        <f>IF(RESULTADO!$F$148&lt;=C$33,(C$7+C$24+C12),C35)</f>
        <v>62.92</v>
      </c>
      <c r="D47" s="18">
        <f>IF(RESULTADO!$F$148&lt;=D$33,(D$7+D$24+D12),D35)</f>
        <v>55.7</v>
      </c>
      <c r="E47" s="18">
        <f>IF(RESULTADO!$F$148&lt;=E$33,(E$7+E$24+E12),E35)</f>
        <v>55.7</v>
      </c>
      <c r="F47" s="18">
        <f>IF(RESULTADO!$F$148&lt;=F$33,(F$7+F$24+F12),F35)</f>
        <v>55.7</v>
      </c>
      <c r="G47" s="18">
        <f>IF(RESULTADO!$F$148&lt;=G$33,(G$7+G$24+G12),G35)</f>
        <v>55.7</v>
      </c>
      <c r="H47" s="18">
        <f>IF(RESULTADO!$F$148&lt;=H$33,(H$7+H$24+H12),H35)</f>
        <v>55.71</v>
      </c>
      <c r="I47" s="18">
        <f>IF(RESULTADO!$F$148&lt;=I$33,(I$7+I$24+I12),I35)</f>
        <v>66.319999999999993</v>
      </c>
      <c r="J47" s="18">
        <f>IF(RESULTADO!$F$148&lt;=J$33,(J$7+J$24+J12),J35)</f>
        <v>76.900000000000006</v>
      </c>
      <c r="K47" s="18">
        <f>IF(RESULTADO!$F$148&lt;=K$33,(K$7+K$24+K12),K35)</f>
        <v>56.08</v>
      </c>
      <c r="L47" s="18">
        <f>IF(RESULTADO!$F$148&lt;=L$33,(L$7+L$24+L12),L35)</f>
        <v>55.7</v>
      </c>
      <c r="M47" s="18">
        <f>IF(RESULTADO!$F$148&lt;=M$33,(M$7+M$24+M12),M35)</f>
        <v>55.7</v>
      </c>
      <c r="N47" s="402">
        <f>IF(RESULTADO!$F$148&lt;=N$33,(N$7+N$24+N12),N35)</f>
        <v>215.7</v>
      </c>
      <c r="O47" s="403">
        <f>IF(RESULTADO!$F$148&lt;=O$33,(O$7+O$24+O12),O35)</f>
        <v>228.72</v>
      </c>
      <c r="P47" s="18">
        <f>IF(RESULTADO!$F$148&lt;=P$33,(P$7+P$24+P12),P35)</f>
        <v>229.25</v>
      </c>
      <c r="Q47" s="18">
        <f>IF(RESULTADO!$F$148&lt;=Q$33,(Q$7+Q$24+Q12),Q35)</f>
        <v>229.3</v>
      </c>
      <c r="R47" s="18">
        <f>IF(RESULTADO!$F$148&lt;=R$33,(R$7+R$24+R12),R35)</f>
        <v>229.8</v>
      </c>
      <c r="S47" s="18">
        <f>IF(RESULTADO!$F$148&lt;=S$33,(S$7+S$24+S12),S35)</f>
        <v>230.2</v>
      </c>
      <c r="T47" s="18">
        <f>IF(RESULTADO!$F$148&lt;=T$33,(T$7+T$24+T12),T35)</f>
        <v>232.4</v>
      </c>
      <c r="U47" s="18">
        <f>IF(RESULTADO!$F$148&lt;=U$33,(U$7+U$24+U12),U35)</f>
        <v>237.15</v>
      </c>
      <c r="V47" s="18">
        <f>IF(RESULTADO!$F$148&lt;=V$33,(V$7+V$24+V12),V35)</f>
        <v>237.15</v>
      </c>
      <c r="W47" s="18">
        <f>IF(RESULTADO!$F$148&lt;=W$33,(W$7+W$24+W12),W35)</f>
        <v>237.15</v>
      </c>
      <c r="X47" s="18">
        <f>IF(RESULTADO!$F$148&lt;=X$33,(X$7+X$24+X12),X35)</f>
        <v>240.45</v>
      </c>
      <c r="Y47" s="18">
        <f>IF(RESULTADO!$F$148&lt;=Y$33,(Y$7+Y$24+Y12),Y35)</f>
        <v>240.45</v>
      </c>
      <c r="Z47" s="402">
        <f>IF(RESULTADO!$F$148&lt;=Z$33,(Z$7+Z$24+Z12),Z35)</f>
        <v>240.45</v>
      </c>
      <c r="AA47" s="403">
        <f>IF(RESULTADO!$F$148&lt;=AA$33,(AA$7+AA$24+AA12),AA35)</f>
        <v>265.10000000000002</v>
      </c>
      <c r="AB47" s="18">
        <f>IF(RESULTADO!$F$148&lt;=AB$33,(AB$7+AB$24+AB12),AB35)</f>
        <v>265.10000000000002</v>
      </c>
      <c r="AC47" s="18">
        <f>IF(RESULTADO!$F$148&lt;=AC$33,(AC$7+AC$24+AC12),AC35)</f>
        <v>265.10000000000002</v>
      </c>
      <c r="AD47" s="18">
        <f>IF(RESULTADO!$F$148&lt;=AD$33,(AD$7+AD$24+AD12),AD35)</f>
        <v>265.10000000000002</v>
      </c>
      <c r="AE47" s="18">
        <f>IF(RESULTADO!$F$148&lt;=AE$33,(AE$7+AE$24+AE12),AE35)</f>
        <v>265.10000000000002</v>
      </c>
      <c r="AF47" s="18">
        <f>IF(RESULTADO!$F$148&lt;=AF$33,(AF$7+AF$24+AF12),AF35)</f>
        <v>265.10000000000002</v>
      </c>
      <c r="AG47" s="18">
        <f>IF(RESULTADO!$F$148&lt;=AG$33,(AG$7+AG$24+AG12),AG35)</f>
        <v>265.10000000000002</v>
      </c>
      <c r="AH47" s="18">
        <f>IF(RESULTADO!$F$148&lt;=AH$33,(AH$7+AH$24+AH12),AH35)</f>
        <v>265.10000000000002</v>
      </c>
      <c r="AI47" s="18">
        <f>IF(RESULTADO!$F$148&lt;=AI$33,(AI$7+AI$24+AI12),AI35)</f>
        <v>265.10000000000002</v>
      </c>
      <c r="AJ47" s="18">
        <f>IF(RESULTADO!$F$148&lt;=AJ$33,(AJ$7+AJ$24+AJ12),AJ35)</f>
        <v>265.10000000000002</v>
      </c>
      <c r="AK47" s="18">
        <f>IF(RESULTADO!$F$148&lt;=AK$33,(AK$7+AK$24+AK12),AK35)</f>
        <v>265.10000000000002</v>
      </c>
      <c r="AL47" s="402">
        <f>IF(RESULTADO!$F$148&lt;=AL$33,(AL$7+AL$24+AL12),AL35)</f>
        <v>265.10000000000002</v>
      </c>
      <c r="AM47" s="403">
        <f>IF(RESULTADO!$F$148&lt;=AM$33,(AM$7+AM$24+AM12),AM35)</f>
        <v>232</v>
      </c>
      <c r="AN47" s="18">
        <f>IF(RESULTADO!$F$148&lt;=AN$33,(AN$7+AN$24+AN12),AN35)</f>
        <v>232</v>
      </c>
      <c r="AO47" s="18">
        <f>IF(RESULTADO!$F$148&lt;=AO$33,(AO$7+AO$24+AO12),AO35)</f>
        <v>232</v>
      </c>
      <c r="AP47" s="18">
        <f>IF(RESULTADO!$F$148&lt;=AP$33,(AP$7+AP$24+AP12),AP35)</f>
        <v>232</v>
      </c>
      <c r="AQ47" s="18">
        <f>IF(RESULTADO!$F$148&lt;=AQ$33,(AQ$7+AQ$24+AQ12),AQ35)</f>
        <v>232</v>
      </c>
      <c r="AR47" s="18">
        <f>IF(RESULTADO!$F$148&lt;=AR$33,(AR$7+AR$24+AR12),AR35)</f>
        <v>232</v>
      </c>
      <c r="AS47" s="18">
        <f>IF(RESULTADO!$F$148&lt;=AS$33,(AS$7+AS$24+AS12),AS35)</f>
        <v>232</v>
      </c>
      <c r="AT47" s="18">
        <f>IF(RESULTADO!$F$148&lt;=AT$33,(AT$7+AT$24+AT12),AT35)</f>
        <v>232</v>
      </c>
      <c r="AU47" s="18">
        <f>IF(RESULTADO!$F$148&lt;=AU$33,(AU$7+AU$24+AU12),AU35)</f>
        <v>232</v>
      </c>
      <c r="AV47" s="18">
        <f>IF(RESULTADO!$F$148&lt;=AV$33,(AV$7+AV$24+AV12),AV35)</f>
        <v>232</v>
      </c>
      <c r="AW47" s="18">
        <f>IF(RESULTADO!$F$148&lt;=AW$33,(AW$7+AW$24+AW12),AW35)</f>
        <v>232</v>
      </c>
      <c r="AX47" s="402">
        <f>IF(RESULTADO!$F$148&lt;=AX$33,(AX$7+AX$24+AX12),AX35)</f>
        <v>232</v>
      </c>
      <c r="AY47" s="403">
        <f>IF(RESULTADO!$F$148&lt;=AY$33,(AY$7+AY$24+AY12),AY35)</f>
        <v>255.5</v>
      </c>
      <c r="AZ47" s="18">
        <f>IF(RESULTADO!$F$148&lt;=AZ$33,(AZ$7+AZ$24+AZ12),AZ35)</f>
        <v>255.5</v>
      </c>
      <c r="BA47" s="18">
        <f>IF(RESULTADO!$F$148&lt;=BA$33,(BA$7+BA$24+BA12),BA35)</f>
        <v>255.5</v>
      </c>
      <c r="BB47" s="18">
        <f>IF(RESULTADO!$F$148&lt;=BB$33,(BB$7+BB$24+BB12),BB35)</f>
        <v>255.5</v>
      </c>
      <c r="BC47" s="18">
        <f>IF(RESULTADO!$F$148&lt;=BC$33,(BC$7+BC$24+BC12),BC35)</f>
        <v>255.5</v>
      </c>
      <c r="BD47" s="18">
        <f>IF(RESULTADO!$F$148&lt;=BD$33,(BD$7+BD$24+BD12),BD35)</f>
        <v>255.5</v>
      </c>
      <c r="BE47" s="18">
        <f>IF(RESULTADO!$F$148&lt;=BE$33,(BE$7+BE$24+BE12),BE35)</f>
        <v>255.5</v>
      </c>
      <c r="BF47" s="18">
        <f>IF(RESULTADO!$F$148&lt;=BF$33,(BF$7+BF$24+BF12),BF35)</f>
        <v>255.5</v>
      </c>
      <c r="BG47" s="18">
        <f>IF(RESULTADO!$F$148&lt;=BG$33,(BG$7+BG$24+BG12),BG35)</f>
        <v>255.5</v>
      </c>
      <c r="BH47" s="18">
        <f>IF(RESULTADO!$F$148&lt;=BH$33,(BH$7+BH$24+BH12),BH35)</f>
        <v>255.5</v>
      </c>
      <c r="BI47" s="18">
        <f>IF(RESULTADO!$F$148&lt;=BI$33,(BI$7+BI$24+BI12),BI35)</f>
        <v>255.5</v>
      </c>
      <c r="BJ47" s="19">
        <f>IF(RESULTADO!$F$148&lt;=BJ$33,(BJ$7+BJ$24+BJ12),BJ35)</f>
        <v>255.5</v>
      </c>
      <c r="BK47" s="461"/>
      <c r="BO47" s="348"/>
    </row>
    <row r="48" spans="1:67" x14ac:dyDescent="0.25">
      <c r="A48" s="7"/>
      <c r="B48" s="37" t="s">
        <v>109</v>
      </c>
      <c r="C48" s="18">
        <f>IF(RESULTADO!$F$148&lt;=C$33,(C$7+C$24+C13),C36)</f>
        <v>57.22</v>
      </c>
      <c r="D48" s="18">
        <f>IF(RESULTADO!$F$148&lt;=D$33,(D$7+D$24+D13),D36)</f>
        <v>55.7</v>
      </c>
      <c r="E48" s="18">
        <f>IF(RESULTADO!$F$148&lt;=E$33,(E$7+E$24+E13),E36)</f>
        <v>55.7</v>
      </c>
      <c r="F48" s="18">
        <f>IF(RESULTADO!$F$148&lt;=F$33,(F$7+F$24+F13),F36)</f>
        <v>55.7</v>
      </c>
      <c r="G48" s="18">
        <f>IF(RESULTADO!$F$148&lt;=G$33,(G$7+G$24+G13),G36)</f>
        <v>55.7</v>
      </c>
      <c r="H48" s="18">
        <f>IF(RESULTADO!$F$148&lt;=H$33,(H$7+H$24+H13),H36)</f>
        <v>55.71</v>
      </c>
      <c r="I48" s="18">
        <f>IF(RESULTADO!$F$148&lt;=I$33,(I$7+I$24+I13),I36)</f>
        <v>66.319999999999993</v>
      </c>
      <c r="J48" s="18">
        <f>IF(RESULTADO!$F$148&lt;=J$33,(J$7+J$24+J13),J36)</f>
        <v>76.900000000000006</v>
      </c>
      <c r="K48" s="18">
        <f>IF(RESULTADO!$F$148&lt;=K$33,(K$7+K$24+K13),K36)</f>
        <v>56.08</v>
      </c>
      <c r="L48" s="18">
        <f>IF(RESULTADO!$F$148&lt;=L$33,(L$7+L$24+L13),L36)</f>
        <v>55.7</v>
      </c>
      <c r="M48" s="18">
        <f>IF(RESULTADO!$F$148&lt;=M$33,(M$7+M$24+M13),M36)</f>
        <v>55.7</v>
      </c>
      <c r="N48" s="402">
        <f>IF(RESULTADO!$F$148&lt;=N$33,(N$7+N$24+N13),N36)</f>
        <v>215.7</v>
      </c>
      <c r="O48" s="403">
        <f>IF(RESULTADO!$F$148&lt;=O$33,(O$7+O$24+O13),O36)</f>
        <v>228.72</v>
      </c>
      <c r="P48" s="18">
        <f>IF(RESULTADO!$F$148&lt;=P$33,(P$7+P$24+P13),P36)</f>
        <v>229.25</v>
      </c>
      <c r="Q48" s="18">
        <f>IF(RESULTADO!$F$148&lt;=Q$33,(Q$7+Q$24+Q13),Q36)</f>
        <v>229.3</v>
      </c>
      <c r="R48" s="18">
        <f>IF(RESULTADO!$F$148&lt;=R$33,(R$7+R$24+R13),R36)</f>
        <v>229.8</v>
      </c>
      <c r="S48" s="18">
        <f>IF(RESULTADO!$F$148&lt;=S$33,(S$7+S$24+S13),S36)</f>
        <v>230.2</v>
      </c>
      <c r="T48" s="18">
        <f>IF(RESULTADO!$F$148&lt;=T$33,(T$7+T$24+T13),T36)</f>
        <v>232.4</v>
      </c>
      <c r="U48" s="18">
        <f>IF(RESULTADO!$F$148&lt;=U$33,(U$7+U$24+U13),U36)</f>
        <v>237.15</v>
      </c>
      <c r="V48" s="18">
        <f>IF(RESULTADO!$F$148&lt;=V$33,(V$7+V$24+V13),V36)</f>
        <v>237.15</v>
      </c>
      <c r="W48" s="18">
        <f>IF(RESULTADO!$F$148&lt;=W$33,(W$7+W$24+W13),W36)</f>
        <v>237.15</v>
      </c>
      <c r="X48" s="18">
        <f>IF(RESULTADO!$F$148&lt;=X$33,(X$7+X$24+X13),X36)</f>
        <v>240.45</v>
      </c>
      <c r="Y48" s="18">
        <f>IF(RESULTADO!$F$148&lt;=Y$33,(Y$7+Y$24+Y13),Y36)</f>
        <v>240.45</v>
      </c>
      <c r="Z48" s="402">
        <f>IF(RESULTADO!$F$148&lt;=Z$33,(Z$7+Z$24+Z13),Z36)</f>
        <v>240.45</v>
      </c>
      <c r="AA48" s="403">
        <f>IF(RESULTADO!$F$148&lt;=AA$33,(AA$7+AA$24+AA13),AA36)</f>
        <v>265.10000000000002</v>
      </c>
      <c r="AB48" s="18">
        <f>IF(RESULTADO!$F$148&lt;=AB$33,(AB$7+AB$24+AB13),AB36)</f>
        <v>265.10000000000002</v>
      </c>
      <c r="AC48" s="18">
        <f>IF(RESULTADO!$F$148&lt;=AC$33,(AC$7+AC$24+AC13),AC36)</f>
        <v>265.10000000000002</v>
      </c>
      <c r="AD48" s="18">
        <f>IF(RESULTADO!$F$148&lt;=AD$33,(AD$7+AD$24+AD13),AD36)</f>
        <v>265.10000000000002</v>
      </c>
      <c r="AE48" s="18">
        <f>IF(RESULTADO!$F$148&lt;=AE$33,(AE$7+AE$24+AE13),AE36)</f>
        <v>265.10000000000002</v>
      </c>
      <c r="AF48" s="18">
        <f>IF(RESULTADO!$F$148&lt;=AF$33,(AF$7+AF$24+AF13),AF36)</f>
        <v>265.10000000000002</v>
      </c>
      <c r="AG48" s="18">
        <f>IF(RESULTADO!$F$148&lt;=AG$33,(AG$7+AG$24+AG13),AG36)</f>
        <v>265.10000000000002</v>
      </c>
      <c r="AH48" s="18">
        <f>IF(RESULTADO!$F$148&lt;=AH$33,(AH$7+AH$24+AH13),AH36)</f>
        <v>265.10000000000002</v>
      </c>
      <c r="AI48" s="18">
        <f>IF(RESULTADO!$F$148&lt;=AI$33,(AI$7+AI$24+AI13),AI36)</f>
        <v>265.10000000000002</v>
      </c>
      <c r="AJ48" s="18">
        <f>IF(RESULTADO!$F$148&lt;=AJ$33,(AJ$7+AJ$24+AJ13),AJ36)</f>
        <v>265.10000000000002</v>
      </c>
      <c r="AK48" s="18">
        <f>IF(RESULTADO!$F$148&lt;=AK$33,(AK$7+AK$24+AK13),AK36)</f>
        <v>265.10000000000002</v>
      </c>
      <c r="AL48" s="402">
        <f>IF(RESULTADO!$F$148&lt;=AL$33,(AL$7+AL$24+AL13),AL36)</f>
        <v>265.10000000000002</v>
      </c>
      <c r="AM48" s="403">
        <f>IF(RESULTADO!$F$148&lt;=AM$33,(AM$7+AM$24+AM13),AM36)</f>
        <v>232</v>
      </c>
      <c r="AN48" s="18">
        <f>IF(RESULTADO!$F$148&lt;=AN$33,(AN$7+AN$24+AN13),AN36)</f>
        <v>232</v>
      </c>
      <c r="AO48" s="18">
        <f>IF(RESULTADO!$F$148&lt;=AO$33,(AO$7+AO$24+AO13),AO36)</f>
        <v>232</v>
      </c>
      <c r="AP48" s="18">
        <f>IF(RESULTADO!$F$148&lt;=AP$33,(AP$7+AP$24+AP13),AP36)</f>
        <v>232</v>
      </c>
      <c r="AQ48" s="18">
        <f>IF(RESULTADO!$F$148&lt;=AQ$33,(AQ$7+AQ$24+AQ13),AQ36)</f>
        <v>232</v>
      </c>
      <c r="AR48" s="18">
        <f>IF(RESULTADO!$F$148&lt;=AR$33,(AR$7+AR$24+AR13),AR36)</f>
        <v>232</v>
      </c>
      <c r="AS48" s="18">
        <f>IF(RESULTADO!$F$148&lt;=AS$33,(AS$7+AS$24+AS13),AS36)</f>
        <v>232</v>
      </c>
      <c r="AT48" s="18">
        <f>IF(RESULTADO!$F$148&lt;=AT$33,(AT$7+AT$24+AT13),AT36)</f>
        <v>232</v>
      </c>
      <c r="AU48" s="18">
        <f>IF(RESULTADO!$F$148&lt;=AU$33,(AU$7+AU$24+AU13),AU36)</f>
        <v>232</v>
      </c>
      <c r="AV48" s="18">
        <f>IF(RESULTADO!$F$148&lt;=AV$33,(AV$7+AV$24+AV13),AV36)</f>
        <v>232</v>
      </c>
      <c r="AW48" s="18">
        <f>IF(RESULTADO!$F$148&lt;=AW$33,(AW$7+AW$24+AW13),AW36)</f>
        <v>232</v>
      </c>
      <c r="AX48" s="402">
        <f>IF(RESULTADO!$F$148&lt;=AX$33,(AX$7+AX$24+AX13),AX36)</f>
        <v>232</v>
      </c>
      <c r="AY48" s="403">
        <f>IF(RESULTADO!$F$148&lt;=AY$33,(AY$7+AY$24+AY13),AY36)</f>
        <v>255.5</v>
      </c>
      <c r="AZ48" s="18">
        <f>IF(RESULTADO!$F$148&lt;=AZ$33,(AZ$7+AZ$24+AZ13),AZ36)</f>
        <v>255.5</v>
      </c>
      <c r="BA48" s="18">
        <f>IF(RESULTADO!$F$148&lt;=BA$33,(BA$7+BA$24+BA13),BA36)</f>
        <v>255.5</v>
      </c>
      <c r="BB48" s="18">
        <f>IF(RESULTADO!$F$148&lt;=BB$33,(BB$7+BB$24+BB13),BB36)</f>
        <v>255.5</v>
      </c>
      <c r="BC48" s="18">
        <f>IF(RESULTADO!$F$148&lt;=BC$33,(BC$7+BC$24+BC13),BC36)</f>
        <v>255.5</v>
      </c>
      <c r="BD48" s="18">
        <f>IF(RESULTADO!$F$148&lt;=BD$33,(BD$7+BD$24+BD13),BD36)</f>
        <v>255.5</v>
      </c>
      <c r="BE48" s="18">
        <f>IF(RESULTADO!$F$148&lt;=BE$33,(BE$7+BE$24+BE13),BE36)</f>
        <v>255.5</v>
      </c>
      <c r="BF48" s="18">
        <f>IF(RESULTADO!$F$148&lt;=BF$33,(BF$7+BF$24+BF13),BF36)</f>
        <v>255.5</v>
      </c>
      <c r="BG48" s="18">
        <f>IF(RESULTADO!$F$148&lt;=BG$33,(BG$7+BG$24+BG13),BG36)</f>
        <v>255.5</v>
      </c>
      <c r="BH48" s="18">
        <f>IF(RESULTADO!$F$148&lt;=BH$33,(BH$7+BH$24+BH13),BH36)</f>
        <v>255.5</v>
      </c>
      <c r="BI48" s="18">
        <f>IF(RESULTADO!$F$148&lt;=BI$33,(BI$7+BI$24+BI13),BI36)</f>
        <v>255.5</v>
      </c>
      <c r="BJ48" s="19">
        <f>IF(RESULTADO!$F$148&lt;=BJ$33,(BJ$7+BJ$24+BJ13),BJ36)</f>
        <v>255.5</v>
      </c>
      <c r="BK48" s="461"/>
      <c r="BO48" s="348"/>
    </row>
    <row r="49" spans="1:67" ht="15.75" thickBot="1" x14ac:dyDescent="0.3">
      <c r="A49" s="7"/>
      <c r="B49" s="38" t="s">
        <v>110</v>
      </c>
      <c r="C49" s="23">
        <f>IF(RESULTADO!$F$148&lt;=C$33,(C$7+C$24+C14),C37)</f>
        <v>55.71</v>
      </c>
      <c r="D49" s="23">
        <f>IF(RESULTADO!$F$148&lt;=D$33,(D$7+D$24+D14),D37)</f>
        <v>55.7</v>
      </c>
      <c r="E49" s="23">
        <f>IF(RESULTADO!$F$148&lt;=E$33,(E$7+E$24+E14),E37)</f>
        <v>55.7</v>
      </c>
      <c r="F49" s="23">
        <f>IF(RESULTADO!$F$148&lt;=F$33,(F$7+F$24+F14),F37)</f>
        <v>55.7</v>
      </c>
      <c r="G49" s="23">
        <f>IF(RESULTADO!$F$148&lt;=G$33,(G$7+G$24+G14),G37)</f>
        <v>55.7</v>
      </c>
      <c r="H49" s="23">
        <f>IF(RESULTADO!$F$148&lt;=H$33,(H$7+H$24+H14),H37)</f>
        <v>55.71</v>
      </c>
      <c r="I49" s="23">
        <f>IF(RESULTADO!$F$148&lt;=I$33,(I$7+I$24+I14),I37)</f>
        <v>66.319999999999993</v>
      </c>
      <c r="J49" s="23">
        <f>IF(RESULTADO!$F$148&lt;=J$33,(J$7+J$24+J14),J37)</f>
        <v>76.900000000000006</v>
      </c>
      <c r="K49" s="23">
        <f>IF(RESULTADO!$F$148&lt;=K$33,(K$7+K$24+K14),K37)</f>
        <v>56.08</v>
      </c>
      <c r="L49" s="23">
        <f>IF(RESULTADO!$F$148&lt;=L$33,(L$7+L$24+L14),L37)</f>
        <v>55.7</v>
      </c>
      <c r="M49" s="23">
        <f>IF(RESULTADO!$F$148&lt;=M$33,(M$7+M$24+M14),M37)</f>
        <v>55.7</v>
      </c>
      <c r="N49" s="404">
        <f>IF(RESULTADO!$F$148&lt;=N$33,(N$7+N$24+N14),N37)</f>
        <v>215.7</v>
      </c>
      <c r="O49" s="405">
        <f>IF(RESULTADO!$F$148&lt;=O$33,(O$7+O$24+O14),O37)</f>
        <v>228.72</v>
      </c>
      <c r="P49" s="23">
        <f>IF(RESULTADO!$F$148&lt;=P$33,(P$7+P$24+P14),P37)</f>
        <v>229.25</v>
      </c>
      <c r="Q49" s="23">
        <f>IF(RESULTADO!$F$148&lt;=Q$33,(Q$7+Q$24+Q14),Q37)</f>
        <v>229.3</v>
      </c>
      <c r="R49" s="23">
        <f>IF(RESULTADO!$F$148&lt;=R$33,(R$7+R$24+R14),R37)</f>
        <v>229.8</v>
      </c>
      <c r="S49" s="23">
        <f>IF(RESULTADO!$F$148&lt;=S$33,(S$7+S$24+S14),S37)</f>
        <v>230.2</v>
      </c>
      <c r="T49" s="23">
        <f>IF(RESULTADO!$F$148&lt;=T$33,(T$7+T$24+T14),T37)</f>
        <v>232.4</v>
      </c>
      <c r="U49" s="23">
        <f>IF(RESULTADO!$F$148&lt;=U$33,(U$7+U$24+U14),U37)</f>
        <v>237.15</v>
      </c>
      <c r="V49" s="23">
        <f>IF(RESULTADO!$F$148&lt;=V$33,(V$7+V$24+V14),V37)</f>
        <v>237.15</v>
      </c>
      <c r="W49" s="23">
        <f>IF(RESULTADO!$F$148&lt;=W$33,(W$7+W$24+W14),W37)</f>
        <v>237.15</v>
      </c>
      <c r="X49" s="23">
        <f>IF(RESULTADO!$F$148&lt;=X$33,(X$7+X$24+X14),X37)</f>
        <v>240.45</v>
      </c>
      <c r="Y49" s="23">
        <f>IF(RESULTADO!$F$148&lt;=Y$33,(Y$7+Y$24+Y14),Y37)</f>
        <v>240.45</v>
      </c>
      <c r="Z49" s="404">
        <f>IF(RESULTADO!$F$148&lt;=Z$33,(Z$7+Z$24+Z14),Z37)</f>
        <v>240.45</v>
      </c>
      <c r="AA49" s="405">
        <f>IF(RESULTADO!$F$148&lt;=AA$33,(AA$7+AA$24+AA14),AA37)</f>
        <v>265.10000000000002</v>
      </c>
      <c r="AB49" s="23">
        <f>IF(RESULTADO!$F$148&lt;=AB$33,(AB$7+AB$24+AB14),AB37)</f>
        <v>265.10000000000002</v>
      </c>
      <c r="AC49" s="23">
        <f>IF(RESULTADO!$F$148&lt;=AC$33,(AC$7+AC$24+AC14),AC37)</f>
        <v>265.10000000000002</v>
      </c>
      <c r="AD49" s="23">
        <f>IF(RESULTADO!$F$148&lt;=AD$33,(AD$7+AD$24+AD14),AD37)</f>
        <v>265.10000000000002</v>
      </c>
      <c r="AE49" s="23">
        <f>IF(RESULTADO!$F$148&lt;=AE$33,(AE$7+AE$24+AE14),AE37)</f>
        <v>265.10000000000002</v>
      </c>
      <c r="AF49" s="23">
        <f>IF(RESULTADO!$F$148&lt;=AF$33,(AF$7+AF$24+AF14),AF37)</f>
        <v>265.10000000000002</v>
      </c>
      <c r="AG49" s="23">
        <f>IF(RESULTADO!$F$148&lt;=AG$33,(AG$7+AG$24+AG14),AG37)</f>
        <v>265.10000000000002</v>
      </c>
      <c r="AH49" s="23">
        <f>IF(RESULTADO!$F$148&lt;=AH$33,(AH$7+AH$24+AH14),AH37)</f>
        <v>265.10000000000002</v>
      </c>
      <c r="AI49" s="23">
        <f>IF(RESULTADO!$F$148&lt;=AI$33,(AI$7+AI$24+AI14),AI37)</f>
        <v>265.10000000000002</v>
      </c>
      <c r="AJ49" s="23">
        <f>IF(RESULTADO!$F$148&lt;=AJ$33,(AJ$7+AJ$24+AJ14),AJ37)</f>
        <v>265.10000000000002</v>
      </c>
      <c r="AK49" s="23">
        <f>IF(RESULTADO!$F$148&lt;=AK$33,(AK$7+AK$24+AK14),AK37)</f>
        <v>265.10000000000002</v>
      </c>
      <c r="AL49" s="404">
        <f>IF(RESULTADO!$F$148&lt;=AL$33,(AL$7+AL$24+AL14),AL37)</f>
        <v>265.10000000000002</v>
      </c>
      <c r="AM49" s="405">
        <f>IF(RESULTADO!$F$148&lt;=AM$33,(AM$7+AM$24+AM14),AM37)</f>
        <v>232</v>
      </c>
      <c r="AN49" s="23">
        <f>IF(RESULTADO!$F$148&lt;=AN$33,(AN$7+AN$24+AN14),AN37)</f>
        <v>232</v>
      </c>
      <c r="AO49" s="23">
        <f>IF(RESULTADO!$F$148&lt;=AO$33,(AO$7+AO$24+AO14),AO37)</f>
        <v>232</v>
      </c>
      <c r="AP49" s="23">
        <f>IF(RESULTADO!$F$148&lt;=AP$33,(AP$7+AP$24+AP14),AP37)</f>
        <v>232</v>
      </c>
      <c r="AQ49" s="23">
        <f>IF(RESULTADO!$F$148&lt;=AQ$33,(AQ$7+AQ$24+AQ14),AQ37)</f>
        <v>232</v>
      </c>
      <c r="AR49" s="23">
        <f>IF(RESULTADO!$F$148&lt;=AR$33,(AR$7+AR$24+AR14),AR37)</f>
        <v>232</v>
      </c>
      <c r="AS49" s="23">
        <f>IF(RESULTADO!$F$148&lt;=AS$33,(AS$7+AS$24+AS14),AS37)</f>
        <v>232</v>
      </c>
      <c r="AT49" s="23">
        <f>IF(RESULTADO!$F$148&lt;=AT$33,(AT$7+AT$24+AT14),AT37)</f>
        <v>232</v>
      </c>
      <c r="AU49" s="23">
        <f>IF(RESULTADO!$F$148&lt;=AU$33,(AU$7+AU$24+AU14),AU37)</f>
        <v>232</v>
      </c>
      <c r="AV49" s="23">
        <f>IF(RESULTADO!$F$148&lt;=AV$33,(AV$7+AV$24+AV14),AV37)</f>
        <v>232</v>
      </c>
      <c r="AW49" s="23">
        <f>IF(RESULTADO!$F$148&lt;=AW$33,(AW$7+AW$24+AW14),AW37)</f>
        <v>232</v>
      </c>
      <c r="AX49" s="404">
        <f>IF(RESULTADO!$F$148&lt;=AX$33,(AX$7+AX$24+AX14),AX37)</f>
        <v>232</v>
      </c>
      <c r="AY49" s="405">
        <f>IF(RESULTADO!$F$148&lt;=AY$33,(AY$7+AY$24+AY14),AY37)</f>
        <v>255.5</v>
      </c>
      <c r="AZ49" s="23">
        <f>IF(RESULTADO!$F$148&lt;=AZ$33,(AZ$7+AZ$24+AZ14),AZ37)</f>
        <v>255.5</v>
      </c>
      <c r="BA49" s="23">
        <f>IF(RESULTADO!$F$148&lt;=BA$33,(BA$7+BA$24+BA14),BA37)</f>
        <v>255.5</v>
      </c>
      <c r="BB49" s="23">
        <f>IF(RESULTADO!$F$148&lt;=BB$33,(BB$7+BB$24+BB14),BB37)</f>
        <v>255.5</v>
      </c>
      <c r="BC49" s="23">
        <f>IF(RESULTADO!$F$148&lt;=BC$33,(BC$7+BC$24+BC14),BC37)</f>
        <v>255.5</v>
      </c>
      <c r="BD49" s="23">
        <f>IF(RESULTADO!$F$148&lt;=BD$33,(BD$7+BD$24+BD14),BD37)</f>
        <v>255.5</v>
      </c>
      <c r="BE49" s="23">
        <f>IF(RESULTADO!$F$148&lt;=BE$33,(BE$7+BE$24+BE14),BE37)</f>
        <v>255.5</v>
      </c>
      <c r="BF49" s="23">
        <f>IF(RESULTADO!$F$148&lt;=BF$33,(BF$7+BF$24+BF14),BF37)</f>
        <v>255.5</v>
      </c>
      <c r="BG49" s="23">
        <f>IF(RESULTADO!$F$148&lt;=BG$33,(BG$7+BG$24+BG14),BG37)</f>
        <v>255.5</v>
      </c>
      <c r="BH49" s="23">
        <f>IF(RESULTADO!$F$148&lt;=BH$33,(BH$7+BH$24+BH14),BH37)</f>
        <v>255.5</v>
      </c>
      <c r="BI49" s="23">
        <f>IF(RESULTADO!$F$148&lt;=BI$33,(BI$7+BI$24+BI14),BI37)</f>
        <v>255.5</v>
      </c>
      <c r="BJ49" s="24">
        <f>IF(RESULTADO!$F$148&lt;=BJ$33,(BJ$7+BJ$24+BJ14),BJ37)</f>
        <v>255.5</v>
      </c>
      <c r="BK49" s="461"/>
      <c r="BO49" s="348"/>
    </row>
    <row r="50" spans="1:67" x14ac:dyDescent="0.25">
      <c r="A50" s="7"/>
      <c r="B50" s="36" t="s">
        <v>122</v>
      </c>
      <c r="C50" s="20">
        <f>+IF(RESULTADO!$C$102&lt;&gt;0,0,pREFs!C42-pREFs!C38)</f>
        <v>0</v>
      </c>
      <c r="D50" s="20">
        <f>+IF(RESULTADO!$C$102&lt;&gt;0,0,pREFs!D42-pREFs!D38)</f>
        <v>0</v>
      </c>
      <c r="E50" s="20">
        <f>+IF(RESULTADO!$C$102&lt;&gt;0,0,pREFs!E42-pREFs!E38)</f>
        <v>0</v>
      </c>
      <c r="F50" s="20">
        <f>+IF(RESULTADO!$C$102&lt;&gt;0,0,pREFs!F42-pREFs!F38)</f>
        <v>0</v>
      </c>
      <c r="G50" s="20">
        <f>+IF(RESULTADO!$C$102&lt;&gt;0,0,pREFs!G42-pREFs!G38)</f>
        <v>0</v>
      </c>
      <c r="H50" s="20">
        <f>+IF(RESULTADO!$C$102&lt;&gt;0,0,pREFs!H42-pREFs!H38)</f>
        <v>0</v>
      </c>
      <c r="I50" s="20">
        <f>+IF(RESULTADO!$C$102&lt;&gt;0,0,pREFs!I42-pREFs!I38)</f>
        <v>0</v>
      </c>
      <c r="J50" s="20">
        <f>+IF(RESULTADO!$C$102&lt;&gt;0,0,pREFs!J42-pREFs!J38)</f>
        <v>0</v>
      </c>
      <c r="K50" s="20">
        <f>+IF(RESULTADO!$C$102&lt;&gt;0,0,pREFs!K42-pREFs!K38)</f>
        <v>0</v>
      </c>
      <c r="L50" s="20">
        <f>+IF(RESULTADO!$C$102&lt;&gt;0,0,pREFs!L42-pREFs!L38)</f>
        <v>0</v>
      </c>
      <c r="M50" s="20">
        <f>+IF(RESULTADO!$C$102&lt;&gt;0,0,pREFs!M42-pREFs!M38)</f>
        <v>0</v>
      </c>
      <c r="N50" s="400">
        <f>+IF(RESULTADO!$C$102&lt;&gt;0,0,pREFs!N42-pREFs!N38)</f>
        <v>27</v>
      </c>
      <c r="O50" s="401">
        <f t="shared" ref="O50:Z50" si="12">O42-O38</f>
        <v>30</v>
      </c>
      <c r="P50" s="20">
        <f t="shared" si="12"/>
        <v>30</v>
      </c>
      <c r="Q50" s="20">
        <f t="shared" si="12"/>
        <v>30</v>
      </c>
      <c r="R50" s="20">
        <f t="shared" si="12"/>
        <v>30</v>
      </c>
      <c r="S50" s="20">
        <f t="shared" si="12"/>
        <v>30</v>
      </c>
      <c r="T50" s="20">
        <f t="shared" si="12"/>
        <v>30</v>
      </c>
      <c r="U50" s="20">
        <f t="shared" si="12"/>
        <v>30</v>
      </c>
      <c r="V50" s="20">
        <f t="shared" si="12"/>
        <v>30</v>
      </c>
      <c r="W50" s="20">
        <f t="shared" si="12"/>
        <v>30</v>
      </c>
      <c r="X50" s="20">
        <f t="shared" si="12"/>
        <v>30</v>
      </c>
      <c r="Y50" s="20">
        <f t="shared" si="12"/>
        <v>30</v>
      </c>
      <c r="Z50" s="400">
        <f t="shared" si="12"/>
        <v>30</v>
      </c>
      <c r="AA50" s="401">
        <f>+IF(RESULTADO!$C$102&lt;&gt;0,0,pREFs!AA42-pREFs!AA38)</f>
        <v>32</v>
      </c>
      <c r="AB50" s="20">
        <f>+IF(RESULTADO!$C$102&lt;&gt;0,0,pREFs!AB42-pREFs!AB38)</f>
        <v>32</v>
      </c>
      <c r="AC50" s="20">
        <f>+IF(RESULTADO!$C$102&lt;&gt;0,0,pREFs!AC42-pREFs!AC38)</f>
        <v>32</v>
      </c>
      <c r="AD50" s="20">
        <f>+IF(RESULTADO!$C$102&lt;&gt;0,0,pREFs!AD42-pREFs!AD38)</f>
        <v>32</v>
      </c>
      <c r="AE50" s="20">
        <f>+IF(RESULTADO!$C$102&lt;&gt;0,0,pREFs!AE42-pREFs!AE38)</f>
        <v>32</v>
      </c>
      <c r="AF50" s="20">
        <f>+IF(RESULTADO!$C$102&lt;&gt;0,0,pREFs!AF42-pREFs!AF38)</f>
        <v>32</v>
      </c>
      <c r="AG50" s="20">
        <f>+IF(RESULTADO!$C$102&lt;&gt;0,0,pREFs!AG42-pREFs!AG38)</f>
        <v>32</v>
      </c>
      <c r="AH50" s="20">
        <f>+IF(RESULTADO!$C$102&lt;&gt;0,0,pREFs!AH42-pREFs!AH38)</f>
        <v>32</v>
      </c>
      <c r="AI50" s="20">
        <f>+IF(RESULTADO!$C$102&lt;&gt;0,0,pREFs!AI42-pREFs!AI38)</f>
        <v>32</v>
      </c>
      <c r="AJ50" s="20">
        <f>+IF(RESULTADO!$C$102&lt;&gt;0,0,pREFs!AJ42-pREFs!AJ38)</f>
        <v>32</v>
      </c>
      <c r="AK50" s="20">
        <f>+IF(RESULTADO!$C$102&lt;&gt;0,0,pREFs!AK42-pREFs!AK38)</f>
        <v>32</v>
      </c>
      <c r="AL50" s="400">
        <f>+IF(RESULTADO!$C$102&lt;&gt;0,0,pREFs!AL42-pREFs!AL38)</f>
        <v>32</v>
      </c>
      <c r="AM50" s="401">
        <f t="shared" ref="AM50:AX50" si="13">AM42-AM38</f>
        <v>37</v>
      </c>
      <c r="AN50" s="20">
        <f t="shared" si="13"/>
        <v>37</v>
      </c>
      <c r="AO50" s="20">
        <f t="shared" si="13"/>
        <v>37</v>
      </c>
      <c r="AP50" s="20">
        <f t="shared" si="13"/>
        <v>37</v>
      </c>
      <c r="AQ50" s="20">
        <f t="shared" si="13"/>
        <v>37</v>
      </c>
      <c r="AR50" s="20">
        <f t="shared" si="13"/>
        <v>37</v>
      </c>
      <c r="AS50" s="20">
        <f t="shared" si="13"/>
        <v>37</v>
      </c>
      <c r="AT50" s="20">
        <f t="shared" si="13"/>
        <v>37</v>
      </c>
      <c r="AU50" s="20">
        <f t="shared" si="13"/>
        <v>37</v>
      </c>
      <c r="AV50" s="20">
        <f t="shared" si="13"/>
        <v>37</v>
      </c>
      <c r="AW50" s="20">
        <f t="shared" si="13"/>
        <v>37</v>
      </c>
      <c r="AX50" s="400">
        <f t="shared" si="13"/>
        <v>37</v>
      </c>
      <c r="AY50" s="401">
        <f t="shared" ref="AY50:BJ50" si="14">AY42-AY38</f>
        <v>35</v>
      </c>
      <c r="AZ50" s="20">
        <f t="shared" si="14"/>
        <v>35</v>
      </c>
      <c r="BA50" s="20">
        <f t="shared" si="14"/>
        <v>35</v>
      </c>
      <c r="BB50" s="20">
        <f t="shared" si="14"/>
        <v>35</v>
      </c>
      <c r="BC50" s="20">
        <f t="shared" si="14"/>
        <v>35</v>
      </c>
      <c r="BD50" s="20">
        <f t="shared" si="14"/>
        <v>35</v>
      </c>
      <c r="BE50" s="20">
        <f t="shared" si="14"/>
        <v>35</v>
      </c>
      <c r="BF50" s="20">
        <f t="shared" si="14"/>
        <v>35</v>
      </c>
      <c r="BG50" s="20">
        <f t="shared" si="14"/>
        <v>35</v>
      </c>
      <c r="BH50" s="20">
        <f t="shared" si="14"/>
        <v>35</v>
      </c>
      <c r="BI50" s="20">
        <f t="shared" si="14"/>
        <v>35</v>
      </c>
      <c r="BJ50" s="467">
        <f t="shared" si="14"/>
        <v>35</v>
      </c>
      <c r="BK50" s="461"/>
      <c r="BO50" s="348"/>
    </row>
    <row r="51" spans="1:67" x14ac:dyDescent="0.25">
      <c r="A51" s="7"/>
      <c r="B51" s="37" t="s">
        <v>123</v>
      </c>
      <c r="C51" s="18">
        <f>+IF(RESULTADO!$C$102&lt;&gt;0,0,pREFs!C43-pREFs!C39)</f>
        <v>0</v>
      </c>
      <c r="D51" s="18">
        <f>+IF(RESULTADO!$C$102&lt;&gt;0,0,pREFs!D43-pREFs!D39)</f>
        <v>0</v>
      </c>
      <c r="E51" s="18">
        <f>+IF(RESULTADO!$C$102&lt;&gt;0,0,pREFs!E43-pREFs!E39)</f>
        <v>0</v>
      </c>
      <c r="F51" s="18">
        <f>+IF(RESULTADO!$C$102&lt;&gt;0,0,pREFs!F43-pREFs!F39)</f>
        <v>0</v>
      </c>
      <c r="G51" s="18">
        <f>+IF(RESULTADO!$C$102&lt;&gt;0,0,pREFs!G43-pREFs!G39)</f>
        <v>0</v>
      </c>
      <c r="H51" s="18">
        <f>+IF(RESULTADO!$C$102&lt;&gt;0,0,pREFs!H43-pREFs!H39)</f>
        <v>0</v>
      </c>
      <c r="I51" s="18">
        <f>+IF(RESULTADO!$C$102&lt;&gt;0,0,pREFs!I43-pREFs!I39)</f>
        <v>0</v>
      </c>
      <c r="J51" s="18">
        <f>+IF(RESULTADO!$C$102&lt;&gt;0,0,pREFs!J43-pREFs!J39)</f>
        <v>0</v>
      </c>
      <c r="K51" s="18">
        <f>+IF(RESULTADO!$C$102&lt;&gt;0,0,pREFs!K43-pREFs!K39)</f>
        <v>0</v>
      </c>
      <c r="L51" s="18">
        <f>+IF(RESULTADO!$C$102&lt;&gt;0,0,pREFs!L43-pREFs!L39)</f>
        <v>0</v>
      </c>
      <c r="M51" s="18">
        <f>+IF(RESULTADO!$C$102&lt;&gt;0,0,pREFs!M43-pREFs!M39)</f>
        <v>0</v>
      </c>
      <c r="N51" s="402">
        <f>+IF(RESULTADO!$C$102&lt;&gt;0,0,pREFs!N43-pREFs!N39)</f>
        <v>27</v>
      </c>
      <c r="O51" s="403">
        <f t="shared" ref="O51:Z51" si="15">O43-O39</f>
        <v>30</v>
      </c>
      <c r="P51" s="18">
        <f t="shared" si="15"/>
        <v>30</v>
      </c>
      <c r="Q51" s="18">
        <f t="shared" si="15"/>
        <v>30</v>
      </c>
      <c r="R51" s="18">
        <f t="shared" si="15"/>
        <v>30</v>
      </c>
      <c r="S51" s="18">
        <f t="shared" si="15"/>
        <v>30</v>
      </c>
      <c r="T51" s="18">
        <f t="shared" si="15"/>
        <v>30</v>
      </c>
      <c r="U51" s="18">
        <f t="shared" si="15"/>
        <v>30</v>
      </c>
      <c r="V51" s="18">
        <f t="shared" si="15"/>
        <v>30</v>
      </c>
      <c r="W51" s="18">
        <f t="shared" si="15"/>
        <v>30</v>
      </c>
      <c r="X51" s="18">
        <f t="shared" si="15"/>
        <v>30</v>
      </c>
      <c r="Y51" s="18">
        <f t="shared" si="15"/>
        <v>30</v>
      </c>
      <c r="Z51" s="402">
        <f t="shared" si="15"/>
        <v>30</v>
      </c>
      <c r="AA51" s="403">
        <f>+IF(RESULTADO!$C$102&lt;&gt;0,0,pREFs!AA43-pREFs!AA39)</f>
        <v>32</v>
      </c>
      <c r="AB51" s="18">
        <f>+IF(RESULTADO!$C$102&lt;&gt;0,0,pREFs!AB43-pREFs!AB39)</f>
        <v>32</v>
      </c>
      <c r="AC51" s="18">
        <f>+IF(RESULTADO!$C$102&lt;&gt;0,0,pREFs!AC43-pREFs!AC39)</f>
        <v>32</v>
      </c>
      <c r="AD51" s="18">
        <f>+IF(RESULTADO!$C$102&lt;&gt;0,0,pREFs!AD43-pREFs!AD39)</f>
        <v>32</v>
      </c>
      <c r="AE51" s="18">
        <f>+IF(RESULTADO!$C$102&lt;&gt;0,0,pREFs!AE43-pREFs!AE39)</f>
        <v>32</v>
      </c>
      <c r="AF51" s="18">
        <f>+IF(RESULTADO!$C$102&lt;&gt;0,0,pREFs!AF43-pREFs!AF39)</f>
        <v>32</v>
      </c>
      <c r="AG51" s="18">
        <f>+IF(RESULTADO!$C$102&lt;&gt;0,0,pREFs!AG43-pREFs!AG39)</f>
        <v>32</v>
      </c>
      <c r="AH51" s="18">
        <f>+IF(RESULTADO!$C$102&lt;&gt;0,0,pREFs!AH43-pREFs!AH39)</f>
        <v>32</v>
      </c>
      <c r="AI51" s="18">
        <f>+IF(RESULTADO!$C$102&lt;&gt;0,0,pREFs!AI43-pREFs!AI39)</f>
        <v>32</v>
      </c>
      <c r="AJ51" s="18">
        <f>+IF(RESULTADO!$C$102&lt;&gt;0,0,pREFs!AJ43-pREFs!AJ39)</f>
        <v>32</v>
      </c>
      <c r="AK51" s="18">
        <f>+IF(RESULTADO!$C$102&lt;&gt;0,0,pREFs!AK43-pREFs!AK39)</f>
        <v>32</v>
      </c>
      <c r="AL51" s="402">
        <f>+IF(RESULTADO!$C$102&lt;&gt;0,0,pREFs!AL43-pREFs!AL39)</f>
        <v>32</v>
      </c>
      <c r="AM51" s="403">
        <f t="shared" ref="AM51:AX51" si="16">AM43-AM39</f>
        <v>37</v>
      </c>
      <c r="AN51" s="18">
        <f t="shared" si="16"/>
        <v>37</v>
      </c>
      <c r="AO51" s="18">
        <f t="shared" si="16"/>
        <v>37</v>
      </c>
      <c r="AP51" s="18">
        <f t="shared" si="16"/>
        <v>37</v>
      </c>
      <c r="AQ51" s="18">
        <f t="shared" si="16"/>
        <v>37</v>
      </c>
      <c r="AR51" s="18">
        <f t="shared" si="16"/>
        <v>37</v>
      </c>
      <c r="AS51" s="18">
        <f t="shared" si="16"/>
        <v>37</v>
      </c>
      <c r="AT51" s="18">
        <f t="shared" si="16"/>
        <v>37</v>
      </c>
      <c r="AU51" s="18">
        <f t="shared" si="16"/>
        <v>37</v>
      </c>
      <c r="AV51" s="18">
        <f t="shared" si="16"/>
        <v>37</v>
      </c>
      <c r="AW51" s="18">
        <f t="shared" si="16"/>
        <v>37</v>
      </c>
      <c r="AX51" s="402">
        <f t="shared" si="16"/>
        <v>37</v>
      </c>
      <c r="AY51" s="403">
        <f t="shared" ref="AY51:BJ51" si="17">AY43-AY39</f>
        <v>35</v>
      </c>
      <c r="AZ51" s="18">
        <f t="shared" si="17"/>
        <v>35</v>
      </c>
      <c r="BA51" s="18">
        <f t="shared" si="17"/>
        <v>35</v>
      </c>
      <c r="BB51" s="18">
        <f t="shared" si="17"/>
        <v>35</v>
      </c>
      <c r="BC51" s="18">
        <f t="shared" si="17"/>
        <v>35</v>
      </c>
      <c r="BD51" s="18">
        <f t="shared" si="17"/>
        <v>35</v>
      </c>
      <c r="BE51" s="18">
        <f t="shared" si="17"/>
        <v>35</v>
      </c>
      <c r="BF51" s="18">
        <f t="shared" si="17"/>
        <v>35</v>
      </c>
      <c r="BG51" s="18">
        <f t="shared" si="17"/>
        <v>35</v>
      </c>
      <c r="BH51" s="18">
        <f t="shared" si="17"/>
        <v>35</v>
      </c>
      <c r="BI51" s="18">
        <f t="shared" si="17"/>
        <v>35</v>
      </c>
      <c r="BJ51" s="19">
        <f t="shared" si="17"/>
        <v>35</v>
      </c>
      <c r="BK51" s="461"/>
      <c r="BO51" s="348"/>
    </row>
    <row r="52" spans="1:67" x14ac:dyDescent="0.25">
      <c r="A52" s="7"/>
      <c r="B52" s="37" t="s">
        <v>124</v>
      </c>
      <c r="C52" s="18">
        <f>+IF(RESULTADO!$C$102&lt;&gt;0,0,pREFs!C44-pREFs!C40)</f>
        <v>0</v>
      </c>
      <c r="D52" s="18">
        <f>+IF(RESULTADO!$C$102&lt;&gt;0,0,pREFs!D44-pREFs!D40)</f>
        <v>0</v>
      </c>
      <c r="E52" s="18">
        <f>+IF(RESULTADO!$C$102&lt;&gt;0,0,pREFs!E44-pREFs!E40)</f>
        <v>0</v>
      </c>
      <c r="F52" s="18">
        <f>+IF(RESULTADO!$C$102&lt;&gt;0,0,pREFs!F44-pREFs!F40)</f>
        <v>0</v>
      </c>
      <c r="G52" s="18">
        <f>+IF(RESULTADO!$C$102&lt;&gt;0,0,pREFs!G44-pREFs!G40)</f>
        <v>0</v>
      </c>
      <c r="H52" s="18">
        <f>+IF(RESULTADO!$C$102&lt;&gt;0,0,pREFs!H44-pREFs!H40)</f>
        <v>0</v>
      </c>
      <c r="I52" s="18">
        <f>+IF(RESULTADO!$C$102&lt;&gt;0,0,pREFs!I44-pREFs!I40)</f>
        <v>0</v>
      </c>
      <c r="J52" s="18">
        <f>+IF(RESULTADO!$C$102&lt;&gt;0,0,pREFs!J44-pREFs!J40)</f>
        <v>0</v>
      </c>
      <c r="K52" s="18">
        <f>+IF(RESULTADO!$C$102&lt;&gt;0,0,pREFs!K44-pREFs!K40)</f>
        <v>0</v>
      </c>
      <c r="L52" s="18">
        <f>+IF(RESULTADO!$C$102&lt;&gt;0,0,pREFs!L44-pREFs!L40)</f>
        <v>0</v>
      </c>
      <c r="M52" s="18">
        <f>+IF(RESULTADO!$C$102&lt;&gt;0,0,pREFs!M44-pREFs!M40)</f>
        <v>0</v>
      </c>
      <c r="N52" s="402">
        <f>+IF(RESULTADO!$C$102&lt;&gt;0,0,pREFs!N44-pREFs!N40)</f>
        <v>27</v>
      </c>
      <c r="O52" s="403">
        <f t="shared" ref="O52:Z52" si="18">O44-O40</f>
        <v>30</v>
      </c>
      <c r="P52" s="18">
        <f t="shared" si="18"/>
        <v>30</v>
      </c>
      <c r="Q52" s="18">
        <f t="shared" si="18"/>
        <v>30</v>
      </c>
      <c r="R52" s="18">
        <f t="shared" si="18"/>
        <v>30</v>
      </c>
      <c r="S52" s="18">
        <f t="shared" si="18"/>
        <v>30</v>
      </c>
      <c r="T52" s="18">
        <f t="shared" si="18"/>
        <v>30</v>
      </c>
      <c r="U52" s="18">
        <f t="shared" si="18"/>
        <v>30</v>
      </c>
      <c r="V52" s="18">
        <f t="shared" si="18"/>
        <v>30</v>
      </c>
      <c r="W52" s="18">
        <f t="shared" si="18"/>
        <v>30</v>
      </c>
      <c r="X52" s="18">
        <f t="shared" si="18"/>
        <v>30</v>
      </c>
      <c r="Y52" s="18">
        <f t="shared" si="18"/>
        <v>30</v>
      </c>
      <c r="Z52" s="402">
        <f t="shared" si="18"/>
        <v>30</v>
      </c>
      <c r="AA52" s="403">
        <f>+IF(RESULTADO!$C$102&lt;&gt;0,0,pREFs!AA44-pREFs!AA40)</f>
        <v>32</v>
      </c>
      <c r="AB52" s="18">
        <f>+IF(RESULTADO!$C$102&lt;&gt;0,0,pREFs!AB44-pREFs!AB40)</f>
        <v>32</v>
      </c>
      <c r="AC52" s="18">
        <f>+IF(RESULTADO!$C$102&lt;&gt;0,0,pREFs!AC44-pREFs!AC40)</f>
        <v>32</v>
      </c>
      <c r="AD52" s="18">
        <f>+IF(RESULTADO!$C$102&lt;&gt;0,0,pREFs!AD44-pREFs!AD40)</f>
        <v>32</v>
      </c>
      <c r="AE52" s="18">
        <f>+IF(RESULTADO!$C$102&lt;&gt;0,0,pREFs!AE44-pREFs!AE40)</f>
        <v>32</v>
      </c>
      <c r="AF52" s="18">
        <f>+IF(RESULTADO!$C$102&lt;&gt;0,0,pREFs!AF44-pREFs!AF40)</f>
        <v>32</v>
      </c>
      <c r="AG52" s="18">
        <f>+IF(RESULTADO!$C$102&lt;&gt;0,0,pREFs!AG44-pREFs!AG40)</f>
        <v>32</v>
      </c>
      <c r="AH52" s="18">
        <f>+IF(RESULTADO!$C$102&lt;&gt;0,0,pREFs!AH44-pREFs!AH40)</f>
        <v>32</v>
      </c>
      <c r="AI52" s="18">
        <f>+IF(RESULTADO!$C$102&lt;&gt;0,0,pREFs!AI44-pREFs!AI40)</f>
        <v>32</v>
      </c>
      <c r="AJ52" s="18">
        <f>+IF(RESULTADO!$C$102&lt;&gt;0,0,pREFs!AJ44-pREFs!AJ40)</f>
        <v>32</v>
      </c>
      <c r="AK52" s="18">
        <f>+IF(RESULTADO!$C$102&lt;&gt;0,0,pREFs!AK44-pREFs!AK40)</f>
        <v>32</v>
      </c>
      <c r="AL52" s="402">
        <f>+IF(RESULTADO!$C$102&lt;&gt;0,0,pREFs!AL44-pREFs!AL40)</f>
        <v>32</v>
      </c>
      <c r="AM52" s="403">
        <f t="shared" ref="AM52:AX52" si="19">AM44-AM40</f>
        <v>37</v>
      </c>
      <c r="AN52" s="18">
        <f t="shared" si="19"/>
        <v>37</v>
      </c>
      <c r="AO52" s="18">
        <f t="shared" si="19"/>
        <v>37</v>
      </c>
      <c r="AP52" s="18">
        <f t="shared" si="19"/>
        <v>37</v>
      </c>
      <c r="AQ52" s="18">
        <f t="shared" si="19"/>
        <v>37</v>
      </c>
      <c r="AR52" s="18">
        <f t="shared" si="19"/>
        <v>37</v>
      </c>
      <c r="AS52" s="18">
        <f t="shared" si="19"/>
        <v>37</v>
      </c>
      <c r="AT52" s="18">
        <f t="shared" si="19"/>
        <v>37</v>
      </c>
      <c r="AU52" s="18">
        <f t="shared" si="19"/>
        <v>37</v>
      </c>
      <c r="AV52" s="18">
        <f t="shared" si="19"/>
        <v>37</v>
      </c>
      <c r="AW52" s="18">
        <f t="shared" si="19"/>
        <v>37</v>
      </c>
      <c r="AX52" s="402">
        <f t="shared" si="19"/>
        <v>37</v>
      </c>
      <c r="AY52" s="403">
        <f t="shared" ref="AY52:BJ52" si="20">AY44-AY40</f>
        <v>35</v>
      </c>
      <c r="AZ52" s="18">
        <f t="shared" si="20"/>
        <v>35</v>
      </c>
      <c r="BA52" s="18">
        <f t="shared" si="20"/>
        <v>35</v>
      </c>
      <c r="BB52" s="18">
        <f t="shared" si="20"/>
        <v>35</v>
      </c>
      <c r="BC52" s="18">
        <f t="shared" si="20"/>
        <v>35</v>
      </c>
      <c r="BD52" s="18">
        <f t="shared" si="20"/>
        <v>35</v>
      </c>
      <c r="BE52" s="18">
        <f t="shared" si="20"/>
        <v>35</v>
      </c>
      <c r="BF52" s="18">
        <f t="shared" si="20"/>
        <v>35</v>
      </c>
      <c r="BG52" s="18">
        <f t="shared" si="20"/>
        <v>35</v>
      </c>
      <c r="BH52" s="18">
        <f t="shared" si="20"/>
        <v>35</v>
      </c>
      <c r="BI52" s="18">
        <f t="shared" si="20"/>
        <v>35</v>
      </c>
      <c r="BJ52" s="19">
        <f t="shared" si="20"/>
        <v>35</v>
      </c>
      <c r="BK52" s="461"/>
      <c r="BO52" s="348"/>
    </row>
    <row r="53" spans="1:67" ht="15.75" thickBot="1" x14ac:dyDescent="0.3">
      <c r="A53" s="7"/>
      <c r="B53" s="38" t="s">
        <v>125</v>
      </c>
      <c r="C53" s="23">
        <f>+IF(RESULTADO!$C$102&lt;&gt;0,0,pREFs!C45-pREFs!C41)</f>
        <v>0</v>
      </c>
      <c r="D53" s="23">
        <f>+IF(RESULTADO!$C$102&lt;&gt;0,0,pREFs!D45-pREFs!D41)</f>
        <v>0</v>
      </c>
      <c r="E53" s="23">
        <f>+IF(RESULTADO!$C$102&lt;&gt;0,0,pREFs!E45-pREFs!E41)</f>
        <v>0</v>
      </c>
      <c r="F53" s="23">
        <f>+IF(RESULTADO!$C$102&lt;&gt;0,0,pREFs!F45-pREFs!F41)</f>
        <v>0</v>
      </c>
      <c r="G53" s="23">
        <f>+IF(RESULTADO!$C$102&lt;&gt;0,0,pREFs!G45-pREFs!G41)</f>
        <v>0</v>
      </c>
      <c r="H53" s="23">
        <f>+IF(RESULTADO!$C$102&lt;&gt;0,0,pREFs!H45-pREFs!H41)</f>
        <v>0</v>
      </c>
      <c r="I53" s="23">
        <f>+IF(RESULTADO!$C$102&lt;&gt;0,0,pREFs!I45-pREFs!I41)</f>
        <v>0</v>
      </c>
      <c r="J53" s="23">
        <f>+IF(RESULTADO!$C$102&lt;&gt;0,0,pREFs!J45-pREFs!J41)</f>
        <v>0</v>
      </c>
      <c r="K53" s="23">
        <f>+IF(RESULTADO!$C$102&lt;&gt;0,0,pREFs!K45-pREFs!K41)</f>
        <v>0</v>
      </c>
      <c r="L53" s="23">
        <f>+IF(RESULTADO!$C$102&lt;&gt;0,0,pREFs!L45-pREFs!L41)</f>
        <v>0</v>
      </c>
      <c r="M53" s="23">
        <f>+IF(RESULTADO!$C$102&lt;&gt;0,0,pREFs!M45-pREFs!M41)</f>
        <v>0</v>
      </c>
      <c r="N53" s="404">
        <f>+IF(RESULTADO!$C$102&lt;&gt;0,0,pREFs!N45-pREFs!N41)</f>
        <v>27</v>
      </c>
      <c r="O53" s="405">
        <f t="shared" ref="O53:Z53" si="21">O45-O41</f>
        <v>30</v>
      </c>
      <c r="P53" s="23">
        <f t="shared" si="21"/>
        <v>30</v>
      </c>
      <c r="Q53" s="23">
        <f t="shared" si="21"/>
        <v>30</v>
      </c>
      <c r="R53" s="23">
        <f t="shared" si="21"/>
        <v>30</v>
      </c>
      <c r="S53" s="23">
        <f t="shared" si="21"/>
        <v>30</v>
      </c>
      <c r="T53" s="23">
        <f t="shared" si="21"/>
        <v>30</v>
      </c>
      <c r="U53" s="23">
        <f t="shared" si="21"/>
        <v>30</v>
      </c>
      <c r="V53" s="23">
        <f t="shared" si="21"/>
        <v>30</v>
      </c>
      <c r="W53" s="23">
        <f t="shared" si="21"/>
        <v>30</v>
      </c>
      <c r="X53" s="23">
        <f t="shared" si="21"/>
        <v>30</v>
      </c>
      <c r="Y53" s="23">
        <f t="shared" si="21"/>
        <v>30</v>
      </c>
      <c r="Z53" s="404">
        <f t="shared" si="21"/>
        <v>30</v>
      </c>
      <c r="AA53" s="405">
        <f>+IF(RESULTADO!$C$102&lt;&gt;0,0,pREFs!AA45-pREFs!AA41)</f>
        <v>32</v>
      </c>
      <c r="AB53" s="23">
        <f>+IF(RESULTADO!$C$102&lt;&gt;0,0,pREFs!AB45-pREFs!AB41)</f>
        <v>32</v>
      </c>
      <c r="AC53" s="23">
        <f>+IF(RESULTADO!$C$102&lt;&gt;0,0,pREFs!AC45-pREFs!AC41)</f>
        <v>32</v>
      </c>
      <c r="AD53" s="23">
        <f>+IF(RESULTADO!$C$102&lt;&gt;0,0,pREFs!AD45-pREFs!AD41)</f>
        <v>32</v>
      </c>
      <c r="AE53" s="23">
        <f>+IF(RESULTADO!$C$102&lt;&gt;0,0,pREFs!AE45-pREFs!AE41)</f>
        <v>32</v>
      </c>
      <c r="AF53" s="23">
        <f>+IF(RESULTADO!$C$102&lt;&gt;0,0,pREFs!AF45-pREFs!AF41)</f>
        <v>32</v>
      </c>
      <c r="AG53" s="23">
        <f>+IF(RESULTADO!$C$102&lt;&gt;0,0,pREFs!AG45-pREFs!AG41)</f>
        <v>32</v>
      </c>
      <c r="AH53" s="23">
        <f>+IF(RESULTADO!$C$102&lt;&gt;0,0,pREFs!AH45-pREFs!AH41)</f>
        <v>32</v>
      </c>
      <c r="AI53" s="23">
        <f>+IF(RESULTADO!$C$102&lt;&gt;0,0,pREFs!AI45-pREFs!AI41)</f>
        <v>32</v>
      </c>
      <c r="AJ53" s="23">
        <f>+IF(RESULTADO!$C$102&lt;&gt;0,0,pREFs!AJ45-pREFs!AJ41)</f>
        <v>32</v>
      </c>
      <c r="AK53" s="23">
        <f>+IF(RESULTADO!$C$102&lt;&gt;0,0,pREFs!AK45-pREFs!AK41)</f>
        <v>32</v>
      </c>
      <c r="AL53" s="404">
        <f>+IF(RESULTADO!$C$102&lt;&gt;0,0,pREFs!AL45-pREFs!AL41)</f>
        <v>32</v>
      </c>
      <c r="AM53" s="405">
        <f t="shared" ref="AM53:AX53" si="22">AM45-AM41</f>
        <v>37</v>
      </c>
      <c r="AN53" s="23">
        <f t="shared" si="22"/>
        <v>37</v>
      </c>
      <c r="AO53" s="23">
        <f t="shared" si="22"/>
        <v>37</v>
      </c>
      <c r="AP53" s="23">
        <f t="shared" si="22"/>
        <v>37</v>
      </c>
      <c r="AQ53" s="23">
        <f t="shared" si="22"/>
        <v>37</v>
      </c>
      <c r="AR53" s="23">
        <f t="shared" si="22"/>
        <v>37</v>
      </c>
      <c r="AS53" s="23">
        <f t="shared" si="22"/>
        <v>37</v>
      </c>
      <c r="AT53" s="23">
        <f t="shared" si="22"/>
        <v>37</v>
      </c>
      <c r="AU53" s="23">
        <f t="shared" si="22"/>
        <v>37</v>
      </c>
      <c r="AV53" s="23">
        <f t="shared" si="22"/>
        <v>37</v>
      </c>
      <c r="AW53" s="23">
        <f t="shared" si="22"/>
        <v>37</v>
      </c>
      <c r="AX53" s="404">
        <f t="shared" si="22"/>
        <v>37</v>
      </c>
      <c r="AY53" s="405">
        <f t="shared" ref="AY53:BJ53" si="23">AY45-AY41</f>
        <v>35</v>
      </c>
      <c r="AZ53" s="23">
        <f t="shared" si="23"/>
        <v>35</v>
      </c>
      <c r="BA53" s="23">
        <f t="shared" si="23"/>
        <v>35</v>
      </c>
      <c r="BB53" s="23">
        <f t="shared" si="23"/>
        <v>35</v>
      </c>
      <c r="BC53" s="23">
        <f t="shared" si="23"/>
        <v>35</v>
      </c>
      <c r="BD53" s="23">
        <f t="shared" si="23"/>
        <v>35</v>
      </c>
      <c r="BE53" s="23">
        <f t="shared" si="23"/>
        <v>35</v>
      </c>
      <c r="BF53" s="23">
        <f t="shared" si="23"/>
        <v>35</v>
      </c>
      <c r="BG53" s="23">
        <f t="shared" si="23"/>
        <v>35</v>
      </c>
      <c r="BH53" s="23">
        <f t="shared" si="23"/>
        <v>35</v>
      </c>
      <c r="BI53" s="23">
        <f t="shared" si="23"/>
        <v>35</v>
      </c>
      <c r="BJ53" s="24">
        <f t="shared" si="23"/>
        <v>35</v>
      </c>
      <c r="BK53" s="461"/>
    </row>
    <row r="54" spans="1:67" x14ac:dyDescent="0.25">
      <c r="A54" s="7"/>
      <c r="B54" s="36" t="s">
        <v>126</v>
      </c>
      <c r="C54" s="20">
        <f>+IF(RESULTADO!$C$103&lt;&gt;0,0,pREFs!C46-pREFs!C38)</f>
        <v>0</v>
      </c>
      <c r="D54" s="20">
        <f>+IF(RESULTADO!$C$103&lt;&gt;0,0,pREFs!D46-pREFs!D38)</f>
        <v>0</v>
      </c>
      <c r="E54" s="20">
        <f>+IF(RESULTADO!$C$103&lt;&gt;0,0,pREFs!E46-pREFs!E38)</f>
        <v>0</v>
      </c>
      <c r="F54" s="20">
        <f>+IF(RESULTADO!$C$103&lt;&gt;0,0,pREFs!F46-pREFs!F38)</f>
        <v>0</v>
      </c>
      <c r="G54" s="20">
        <f>+IF(RESULTADO!$C$103&lt;&gt;0,0,pREFs!G46-pREFs!G38)</f>
        <v>0</v>
      </c>
      <c r="H54" s="20">
        <f>+IF(RESULTADO!$C$103&lt;&gt;0,0,pREFs!H46-pREFs!H38)</f>
        <v>0</v>
      </c>
      <c r="I54" s="20">
        <f>+IF(RESULTADO!$C$103&lt;&gt;0,0,pREFs!I46-pREFs!I38)</f>
        <v>0</v>
      </c>
      <c r="J54" s="20">
        <f>+IF(RESULTADO!$C$103&lt;&gt;0,0,pREFs!J46-pREFs!J38)</f>
        <v>0</v>
      </c>
      <c r="K54" s="20">
        <f>+IF(RESULTADO!$C$103&lt;&gt;0,0,pREFs!K46-pREFs!K38)</f>
        <v>0</v>
      </c>
      <c r="L54" s="20">
        <f>+IF(RESULTADO!$C$103&lt;&gt;0,0,pREFs!L46-pREFs!L38)</f>
        <v>0</v>
      </c>
      <c r="M54" s="20">
        <f>+IF(RESULTADO!$C$103&lt;&gt;0,0,pREFs!M46-pREFs!M38)</f>
        <v>0</v>
      </c>
      <c r="N54" s="400">
        <f>+IF(RESULTADO!$C$103&lt;&gt;0,0,pREFs!N46-pREFs!N38)</f>
        <v>160</v>
      </c>
      <c r="O54" s="401">
        <f t="shared" ref="O54:Z54" si="24">O46-O38</f>
        <v>160</v>
      </c>
      <c r="P54" s="20">
        <f t="shared" si="24"/>
        <v>160</v>
      </c>
      <c r="Q54" s="20">
        <f t="shared" si="24"/>
        <v>160</v>
      </c>
      <c r="R54" s="20">
        <f t="shared" si="24"/>
        <v>160</v>
      </c>
      <c r="S54" s="20">
        <f t="shared" si="24"/>
        <v>160</v>
      </c>
      <c r="T54" s="20">
        <f t="shared" si="24"/>
        <v>160</v>
      </c>
      <c r="U54" s="20">
        <f t="shared" si="24"/>
        <v>160</v>
      </c>
      <c r="V54" s="20">
        <f t="shared" si="24"/>
        <v>160</v>
      </c>
      <c r="W54" s="20">
        <f t="shared" si="24"/>
        <v>160</v>
      </c>
      <c r="X54" s="20">
        <f t="shared" si="24"/>
        <v>160</v>
      </c>
      <c r="Y54" s="20">
        <f t="shared" si="24"/>
        <v>160</v>
      </c>
      <c r="Z54" s="400">
        <f t="shared" si="24"/>
        <v>160</v>
      </c>
      <c r="AA54" s="401">
        <f>+IF(RESULTADO!$C$103&lt;&gt;0,0,pREFs!AA46-pREFs!AA38)</f>
        <v>165.00000000000003</v>
      </c>
      <c r="AB54" s="20">
        <f>+IF(RESULTADO!$C$103&lt;&gt;0,0,pREFs!AB46-pREFs!AB38)</f>
        <v>165.00000000000003</v>
      </c>
      <c r="AC54" s="20">
        <f>+IF(RESULTADO!$C$103&lt;&gt;0,0,pREFs!AC46-pREFs!AC38)</f>
        <v>165.00000000000003</v>
      </c>
      <c r="AD54" s="20">
        <f>+IF(RESULTADO!$C$103&lt;&gt;0,0,pREFs!AD46-pREFs!AD38)</f>
        <v>165.00000000000003</v>
      </c>
      <c r="AE54" s="20">
        <f>+IF(RESULTADO!$C$103&lt;&gt;0,0,pREFs!AE46-pREFs!AE38)</f>
        <v>165.00000000000003</v>
      </c>
      <c r="AF54" s="20">
        <f>+IF(RESULTADO!$C$103&lt;&gt;0,0,pREFs!AF46-pREFs!AF38)</f>
        <v>165.00000000000003</v>
      </c>
      <c r="AG54" s="20">
        <f>+IF(RESULTADO!$C$103&lt;&gt;0,0,pREFs!AG46-pREFs!AG38)</f>
        <v>165.00000000000003</v>
      </c>
      <c r="AH54" s="20">
        <f>+IF(RESULTADO!$C$103&lt;&gt;0,0,pREFs!AH46-pREFs!AH38)</f>
        <v>165.00000000000003</v>
      </c>
      <c r="AI54" s="20">
        <f>+IF(RESULTADO!$C$103&lt;&gt;0,0,pREFs!AI46-pREFs!AI38)</f>
        <v>165.00000000000003</v>
      </c>
      <c r="AJ54" s="20">
        <f>+IF(RESULTADO!$C$103&lt;&gt;0,0,pREFs!AJ46-pREFs!AJ38)</f>
        <v>165.00000000000003</v>
      </c>
      <c r="AK54" s="20">
        <f>+IF(RESULTADO!$C$103&lt;&gt;0,0,pREFs!AK46-pREFs!AK38)</f>
        <v>165.00000000000003</v>
      </c>
      <c r="AL54" s="400">
        <f>+IF(RESULTADO!$C$103&lt;&gt;0,0,pREFs!AL46-pREFs!AL38)</f>
        <v>165.00000000000003</v>
      </c>
      <c r="AM54" s="401">
        <f t="shared" ref="AM54:AX54" si="25">AM46-AM38</f>
        <v>120</v>
      </c>
      <c r="AN54" s="20">
        <f t="shared" si="25"/>
        <v>120</v>
      </c>
      <c r="AO54" s="20">
        <f t="shared" si="25"/>
        <v>120</v>
      </c>
      <c r="AP54" s="20">
        <f t="shared" si="25"/>
        <v>120</v>
      </c>
      <c r="AQ54" s="20">
        <f t="shared" si="25"/>
        <v>120</v>
      </c>
      <c r="AR54" s="20">
        <f t="shared" si="25"/>
        <v>120</v>
      </c>
      <c r="AS54" s="20">
        <f t="shared" si="25"/>
        <v>120</v>
      </c>
      <c r="AT54" s="20">
        <f t="shared" si="25"/>
        <v>120</v>
      </c>
      <c r="AU54" s="20">
        <f t="shared" si="25"/>
        <v>120</v>
      </c>
      <c r="AV54" s="20">
        <f t="shared" si="25"/>
        <v>120</v>
      </c>
      <c r="AW54" s="20">
        <f t="shared" si="25"/>
        <v>120</v>
      </c>
      <c r="AX54" s="400">
        <f t="shared" si="25"/>
        <v>120</v>
      </c>
      <c r="AY54" s="401">
        <f t="shared" ref="AY54:BJ54" si="26">AY46-AY38</f>
        <v>115</v>
      </c>
      <c r="AZ54" s="20">
        <f t="shared" si="26"/>
        <v>115</v>
      </c>
      <c r="BA54" s="20">
        <f t="shared" si="26"/>
        <v>115</v>
      </c>
      <c r="BB54" s="20">
        <f t="shared" si="26"/>
        <v>115</v>
      </c>
      <c r="BC54" s="20">
        <f t="shared" si="26"/>
        <v>115</v>
      </c>
      <c r="BD54" s="20">
        <f t="shared" si="26"/>
        <v>115</v>
      </c>
      <c r="BE54" s="20">
        <f t="shared" si="26"/>
        <v>115</v>
      </c>
      <c r="BF54" s="20">
        <f t="shared" si="26"/>
        <v>115</v>
      </c>
      <c r="BG54" s="20">
        <f t="shared" si="26"/>
        <v>115</v>
      </c>
      <c r="BH54" s="20">
        <f t="shared" si="26"/>
        <v>115</v>
      </c>
      <c r="BI54" s="20">
        <f t="shared" si="26"/>
        <v>115</v>
      </c>
      <c r="BJ54" s="467">
        <f t="shared" si="26"/>
        <v>115</v>
      </c>
      <c r="BK54" s="461"/>
    </row>
    <row r="55" spans="1:67" x14ac:dyDescent="0.25">
      <c r="A55" s="7"/>
      <c r="B55" s="37" t="s">
        <v>127</v>
      </c>
      <c r="C55" s="18">
        <f>+IF(RESULTADO!$C$103&lt;&gt;0,0,pREFs!C47-pREFs!C39)</f>
        <v>0</v>
      </c>
      <c r="D55" s="18">
        <f>+IF(RESULTADO!$C$103&lt;&gt;0,0,pREFs!D47-pREFs!D39)</f>
        <v>0</v>
      </c>
      <c r="E55" s="18">
        <f>+IF(RESULTADO!$C$103&lt;&gt;0,0,pREFs!E47-pREFs!E39)</f>
        <v>0</v>
      </c>
      <c r="F55" s="18">
        <f>+IF(RESULTADO!$C$103&lt;&gt;0,0,pREFs!F47-pREFs!F39)</f>
        <v>0</v>
      </c>
      <c r="G55" s="18">
        <f>+IF(RESULTADO!$C$103&lt;&gt;0,0,pREFs!G47-pREFs!G39)</f>
        <v>0</v>
      </c>
      <c r="H55" s="18">
        <f>+IF(RESULTADO!$C$103&lt;&gt;0,0,pREFs!H47-pREFs!H39)</f>
        <v>0</v>
      </c>
      <c r="I55" s="18">
        <f>+IF(RESULTADO!$C$103&lt;&gt;0,0,pREFs!I47-pREFs!I39)</f>
        <v>0</v>
      </c>
      <c r="J55" s="18">
        <f>+IF(RESULTADO!$C$103&lt;&gt;0,0,pREFs!J47-pREFs!J39)</f>
        <v>0</v>
      </c>
      <c r="K55" s="18">
        <f>+IF(RESULTADO!$C$103&lt;&gt;0,0,pREFs!K47-pREFs!K39)</f>
        <v>0</v>
      </c>
      <c r="L55" s="18">
        <f>+IF(RESULTADO!$C$103&lt;&gt;0,0,pREFs!L47-pREFs!L39)</f>
        <v>0</v>
      </c>
      <c r="M55" s="18">
        <f>+IF(RESULTADO!$C$103&lt;&gt;0,0,pREFs!M47-pREFs!M39)</f>
        <v>0</v>
      </c>
      <c r="N55" s="402">
        <f>+IF(RESULTADO!$C$103&lt;&gt;0,0,pREFs!N47-pREFs!N39)</f>
        <v>160</v>
      </c>
      <c r="O55" s="403">
        <f t="shared" ref="O55:Z55" si="27">O47-O39</f>
        <v>160</v>
      </c>
      <c r="P55" s="18">
        <f t="shared" si="27"/>
        <v>160</v>
      </c>
      <c r="Q55" s="18">
        <f t="shared" si="27"/>
        <v>160</v>
      </c>
      <c r="R55" s="18">
        <f t="shared" si="27"/>
        <v>160</v>
      </c>
      <c r="S55" s="18">
        <f t="shared" si="27"/>
        <v>160</v>
      </c>
      <c r="T55" s="18">
        <f t="shared" si="27"/>
        <v>160</v>
      </c>
      <c r="U55" s="18">
        <f t="shared" si="27"/>
        <v>160</v>
      </c>
      <c r="V55" s="18">
        <f t="shared" si="27"/>
        <v>160</v>
      </c>
      <c r="W55" s="18">
        <f t="shared" si="27"/>
        <v>160</v>
      </c>
      <c r="X55" s="18">
        <f t="shared" si="27"/>
        <v>160</v>
      </c>
      <c r="Y55" s="18">
        <f t="shared" si="27"/>
        <v>160</v>
      </c>
      <c r="Z55" s="402">
        <f t="shared" si="27"/>
        <v>160</v>
      </c>
      <c r="AA55" s="403">
        <f>+IF(RESULTADO!$C$103&lt;&gt;0,0,pREFs!AA47-pREFs!AA39)</f>
        <v>165.00000000000003</v>
      </c>
      <c r="AB55" s="18">
        <f>+IF(RESULTADO!$C$103&lt;&gt;0,0,pREFs!AB47-pREFs!AB39)</f>
        <v>165.00000000000003</v>
      </c>
      <c r="AC55" s="18">
        <f>+IF(RESULTADO!$C$103&lt;&gt;0,0,pREFs!AC47-pREFs!AC39)</f>
        <v>165.00000000000003</v>
      </c>
      <c r="AD55" s="18">
        <f>+IF(RESULTADO!$C$103&lt;&gt;0,0,pREFs!AD47-pREFs!AD39)</f>
        <v>165.00000000000003</v>
      </c>
      <c r="AE55" s="18">
        <f>+IF(RESULTADO!$C$103&lt;&gt;0,0,pREFs!AE47-pREFs!AE39)</f>
        <v>165.00000000000003</v>
      </c>
      <c r="AF55" s="18">
        <f>+IF(RESULTADO!$C$103&lt;&gt;0,0,pREFs!AF47-pREFs!AF39)</f>
        <v>165.00000000000003</v>
      </c>
      <c r="AG55" s="18">
        <f>+IF(RESULTADO!$C$103&lt;&gt;0,0,pREFs!AG47-pREFs!AG39)</f>
        <v>165.00000000000003</v>
      </c>
      <c r="AH55" s="18">
        <f>+IF(RESULTADO!$C$103&lt;&gt;0,0,pREFs!AH47-pREFs!AH39)</f>
        <v>165.00000000000003</v>
      </c>
      <c r="AI55" s="18">
        <f>+IF(RESULTADO!$C$103&lt;&gt;0,0,pREFs!AI47-pREFs!AI39)</f>
        <v>165.00000000000003</v>
      </c>
      <c r="AJ55" s="18">
        <f>+IF(RESULTADO!$C$103&lt;&gt;0,0,pREFs!AJ47-pREFs!AJ39)</f>
        <v>165.00000000000003</v>
      </c>
      <c r="AK55" s="18">
        <f>+IF(RESULTADO!$C$103&lt;&gt;0,0,pREFs!AK47-pREFs!AK39)</f>
        <v>165.00000000000003</v>
      </c>
      <c r="AL55" s="402">
        <f>+IF(RESULTADO!$C$103&lt;&gt;0,0,pREFs!AL47-pREFs!AL39)</f>
        <v>165.00000000000003</v>
      </c>
      <c r="AM55" s="403">
        <f t="shared" ref="AM55:AX55" si="28">AM47-AM39</f>
        <v>120</v>
      </c>
      <c r="AN55" s="18">
        <f t="shared" si="28"/>
        <v>120</v>
      </c>
      <c r="AO55" s="18">
        <f t="shared" si="28"/>
        <v>120</v>
      </c>
      <c r="AP55" s="18">
        <f t="shared" si="28"/>
        <v>120</v>
      </c>
      <c r="AQ55" s="18">
        <f t="shared" si="28"/>
        <v>120</v>
      </c>
      <c r="AR55" s="18">
        <f t="shared" si="28"/>
        <v>120</v>
      </c>
      <c r="AS55" s="18">
        <f t="shared" si="28"/>
        <v>120</v>
      </c>
      <c r="AT55" s="18">
        <f t="shared" si="28"/>
        <v>120</v>
      </c>
      <c r="AU55" s="18">
        <f t="shared" si="28"/>
        <v>120</v>
      </c>
      <c r="AV55" s="18">
        <f t="shared" si="28"/>
        <v>120</v>
      </c>
      <c r="AW55" s="18">
        <f t="shared" si="28"/>
        <v>120</v>
      </c>
      <c r="AX55" s="402">
        <f t="shared" si="28"/>
        <v>120</v>
      </c>
      <c r="AY55" s="403">
        <f t="shared" ref="AY55:BJ55" si="29">AY47-AY39</f>
        <v>115</v>
      </c>
      <c r="AZ55" s="18">
        <f t="shared" si="29"/>
        <v>115</v>
      </c>
      <c r="BA55" s="18">
        <f t="shared" si="29"/>
        <v>115</v>
      </c>
      <c r="BB55" s="18">
        <f t="shared" si="29"/>
        <v>115</v>
      </c>
      <c r="BC55" s="18">
        <f t="shared" si="29"/>
        <v>115</v>
      </c>
      <c r="BD55" s="18">
        <f t="shared" si="29"/>
        <v>115</v>
      </c>
      <c r="BE55" s="18">
        <f t="shared" si="29"/>
        <v>115</v>
      </c>
      <c r="BF55" s="18">
        <f t="shared" si="29"/>
        <v>115</v>
      </c>
      <c r="BG55" s="18">
        <f t="shared" si="29"/>
        <v>115</v>
      </c>
      <c r="BH55" s="18">
        <f t="shared" si="29"/>
        <v>115</v>
      </c>
      <c r="BI55" s="18">
        <f t="shared" si="29"/>
        <v>115</v>
      </c>
      <c r="BJ55" s="19">
        <f t="shared" si="29"/>
        <v>115</v>
      </c>
      <c r="BK55" s="461"/>
    </row>
    <row r="56" spans="1:67" x14ac:dyDescent="0.25">
      <c r="A56" s="7"/>
      <c r="B56" s="37" t="s">
        <v>128</v>
      </c>
      <c r="C56" s="18">
        <f>+IF(RESULTADO!$C$103&lt;&gt;0,0,pREFs!C48-pREFs!C40)</f>
        <v>0</v>
      </c>
      <c r="D56" s="18">
        <f>+IF(RESULTADO!$C$103&lt;&gt;0,0,pREFs!D48-pREFs!D40)</f>
        <v>0</v>
      </c>
      <c r="E56" s="18">
        <f>+IF(RESULTADO!$C$103&lt;&gt;0,0,pREFs!E48-pREFs!E40)</f>
        <v>0</v>
      </c>
      <c r="F56" s="18">
        <f>+IF(RESULTADO!$C$103&lt;&gt;0,0,pREFs!F48-pREFs!F40)</f>
        <v>0</v>
      </c>
      <c r="G56" s="18">
        <f>+IF(RESULTADO!$C$103&lt;&gt;0,0,pREFs!G48-pREFs!G40)</f>
        <v>0</v>
      </c>
      <c r="H56" s="18">
        <f>+IF(RESULTADO!$C$103&lt;&gt;0,0,pREFs!H48-pREFs!H40)</f>
        <v>0</v>
      </c>
      <c r="I56" s="18">
        <f>+IF(RESULTADO!$C$103&lt;&gt;0,0,pREFs!I48-pREFs!I40)</f>
        <v>0</v>
      </c>
      <c r="J56" s="18">
        <f>+IF(RESULTADO!$C$103&lt;&gt;0,0,pREFs!J48-pREFs!J40)</f>
        <v>0</v>
      </c>
      <c r="K56" s="18">
        <f>+IF(RESULTADO!$C$103&lt;&gt;0,0,pREFs!K48-pREFs!K40)</f>
        <v>0</v>
      </c>
      <c r="L56" s="18">
        <f>+IF(RESULTADO!$C$103&lt;&gt;0,0,pREFs!L48-pREFs!L40)</f>
        <v>0</v>
      </c>
      <c r="M56" s="18">
        <f>+IF(RESULTADO!$C$103&lt;&gt;0,0,pREFs!M48-pREFs!M40)</f>
        <v>0</v>
      </c>
      <c r="N56" s="402">
        <f>+IF(RESULTADO!$C$103&lt;&gt;0,0,pREFs!N48-pREFs!N40)</f>
        <v>160</v>
      </c>
      <c r="O56" s="403">
        <f t="shared" ref="O56:Z56" si="30">O48-O40</f>
        <v>160</v>
      </c>
      <c r="P56" s="18">
        <f t="shared" si="30"/>
        <v>160</v>
      </c>
      <c r="Q56" s="18">
        <f t="shared" si="30"/>
        <v>160</v>
      </c>
      <c r="R56" s="18">
        <f t="shared" si="30"/>
        <v>160</v>
      </c>
      <c r="S56" s="18">
        <f t="shared" si="30"/>
        <v>160</v>
      </c>
      <c r="T56" s="18">
        <f t="shared" si="30"/>
        <v>160</v>
      </c>
      <c r="U56" s="18">
        <f t="shared" si="30"/>
        <v>160</v>
      </c>
      <c r="V56" s="18">
        <f t="shared" si="30"/>
        <v>160</v>
      </c>
      <c r="W56" s="18">
        <f t="shared" si="30"/>
        <v>160</v>
      </c>
      <c r="X56" s="18">
        <f t="shared" si="30"/>
        <v>160</v>
      </c>
      <c r="Y56" s="18">
        <f t="shared" si="30"/>
        <v>160</v>
      </c>
      <c r="Z56" s="402">
        <f t="shared" si="30"/>
        <v>160</v>
      </c>
      <c r="AA56" s="403">
        <f>+IF(RESULTADO!$C$103&lt;&gt;0,0,pREFs!AA48-pREFs!AA40)</f>
        <v>165.00000000000003</v>
      </c>
      <c r="AB56" s="18">
        <f>+IF(RESULTADO!$C$103&lt;&gt;0,0,pREFs!AB48-pREFs!AB40)</f>
        <v>165.00000000000003</v>
      </c>
      <c r="AC56" s="18">
        <f>+IF(RESULTADO!$C$103&lt;&gt;0,0,pREFs!AC48-pREFs!AC40)</f>
        <v>165.00000000000003</v>
      </c>
      <c r="AD56" s="18">
        <f>+IF(RESULTADO!$C$103&lt;&gt;0,0,pREFs!AD48-pREFs!AD40)</f>
        <v>165.00000000000003</v>
      </c>
      <c r="AE56" s="18">
        <f>+IF(RESULTADO!$C$103&lt;&gt;0,0,pREFs!AE48-pREFs!AE40)</f>
        <v>165.00000000000003</v>
      </c>
      <c r="AF56" s="18">
        <f>+IF(RESULTADO!$C$103&lt;&gt;0,0,pREFs!AF48-pREFs!AF40)</f>
        <v>165.00000000000003</v>
      </c>
      <c r="AG56" s="18">
        <f>+IF(RESULTADO!$C$103&lt;&gt;0,0,pREFs!AG48-pREFs!AG40)</f>
        <v>165.00000000000003</v>
      </c>
      <c r="AH56" s="18">
        <f>+IF(RESULTADO!$C$103&lt;&gt;0,0,pREFs!AH48-pREFs!AH40)</f>
        <v>165.00000000000003</v>
      </c>
      <c r="AI56" s="18">
        <f>+IF(RESULTADO!$C$103&lt;&gt;0,0,pREFs!AI48-pREFs!AI40)</f>
        <v>165.00000000000003</v>
      </c>
      <c r="AJ56" s="18">
        <f>+IF(RESULTADO!$C$103&lt;&gt;0,0,pREFs!AJ48-pREFs!AJ40)</f>
        <v>165.00000000000003</v>
      </c>
      <c r="AK56" s="18">
        <f>+IF(RESULTADO!$C$103&lt;&gt;0,0,pREFs!AK48-pREFs!AK40)</f>
        <v>165.00000000000003</v>
      </c>
      <c r="AL56" s="402">
        <f>+IF(RESULTADO!$C$103&lt;&gt;0,0,pREFs!AL48-pREFs!AL40)</f>
        <v>165.00000000000003</v>
      </c>
      <c r="AM56" s="403">
        <f t="shared" ref="AM56:AX56" si="31">AM48-AM40</f>
        <v>120</v>
      </c>
      <c r="AN56" s="18">
        <f t="shared" si="31"/>
        <v>120</v>
      </c>
      <c r="AO56" s="18">
        <f t="shared" si="31"/>
        <v>120</v>
      </c>
      <c r="AP56" s="18">
        <f t="shared" si="31"/>
        <v>120</v>
      </c>
      <c r="AQ56" s="18">
        <f t="shared" si="31"/>
        <v>120</v>
      </c>
      <c r="AR56" s="18">
        <f t="shared" si="31"/>
        <v>120</v>
      </c>
      <c r="AS56" s="18">
        <f t="shared" si="31"/>
        <v>120</v>
      </c>
      <c r="AT56" s="18">
        <f t="shared" si="31"/>
        <v>120</v>
      </c>
      <c r="AU56" s="18">
        <f t="shared" si="31"/>
        <v>120</v>
      </c>
      <c r="AV56" s="18">
        <f t="shared" si="31"/>
        <v>120</v>
      </c>
      <c r="AW56" s="18">
        <f t="shared" si="31"/>
        <v>120</v>
      </c>
      <c r="AX56" s="402">
        <f t="shared" si="31"/>
        <v>120</v>
      </c>
      <c r="AY56" s="403">
        <f t="shared" ref="AY56:BJ56" si="32">AY48-AY40</f>
        <v>115</v>
      </c>
      <c r="AZ56" s="18">
        <f t="shared" si="32"/>
        <v>115</v>
      </c>
      <c r="BA56" s="18">
        <f t="shared" si="32"/>
        <v>115</v>
      </c>
      <c r="BB56" s="18">
        <f t="shared" si="32"/>
        <v>115</v>
      </c>
      <c r="BC56" s="18">
        <f t="shared" si="32"/>
        <v>115</v>
      </c>
      <c r="BD56" s="18">
        <f t="shared" si="32"/>
        <v>115</v>
      </c>
      <c r="BE56" s="18">
        <f t="shared" si="32"/>
        <v>115</v>
      </c>
      <c r="BF56" s="18">
        <f t="shared" si="32"/>
        <v>115</v>
      </c>
      <c r="BG56" s="18">
        <f t="shared" si="32"/>
        <v>115</v>
      </c>
      <c r="BH56" s="18">
        <f t="shared" si="32"/>
        <v>115</v>
      </c>
      <c r="BI56" s="18">
        <f t="shared" si="32"/>
        <v>115</v>
      </c>
      <c r="BJ56" s="19">
        <f t="shared" si="32"/>
        <v>115</v>
      </c>
      <c r="BK56" s="461"/>
    </row>
    <row r="57" spans="1:67" ht="15.75" thickBot="1" x14ac:dyDescent="0.3">
      <c r="A57" s="7"/>
      <c r="B57" s="38" t="s">
        <v>129</v>
      </c>
      <c r="C57" s="23">
        <f>+IF(RESULTADO!$C$103&lt;&gt;0,0,pREFs!C49-pREFs!C41)</f>
        <v>0</v>
      </c>
      <c r="D57" s="23">
        <f>+IF(RESULTADO!$C$103&lt;&gt;0,0,pREFs!D49-pREFs!D41)</f>
        <v>0</v>
      </c>
      <c r="E57" s="23">
        <f>+IF(RESULTADO!$C$103&lt;&gt;0,0,pREFs!E49-pREFs!E41)</f>
        <v>0</v>
      </c>
      <c r="F57" s="23">
        <f>+IF(RESULTADO!$C$103&lt;&gt;0,0,pREFs!F49-pREFs!F41)</f>
        <v>0</v>
      </c>
      <c r="G57" s="23">
        <f>+IF(RESULTADO!$C$103&lt;&gt;0,0,pREFs!G49-pREFs!G41)</f>
        <v>0</v>
      </c>
      <c r="H57" s="23">
        <f>+IF(RESULTADO!$C$103&lt;&gt;0,0,pREFs!H49-pREFs!H41)</f>
        <v>0</v>
      </c>
      <c r="I57" s="23">
        <f>+IF(RESULTADO!$C$103&lt;&gt;0,0,pREFs!I49-pREFs!I41)</f>
        <v>0</v>
      </c>
      <c r="J57" s="23">
        <f>+IF(RESULTADO!$C$103&lt;&gt;0,0,pREFs!J49-pREFs!J41)</f>
        <v>0</v>
      </c>
      <c r="K57" s="23">
        <f>+IF(RESULTADO!$C$103&lt;&gt;0,0,pREFs!K49-pREFs!K41)</f>
        <v>0</v>
      </c>
      <c r="L57" s="23">
        <f>+IF(RESULTADO!$C$103&lt;&gt;0,0,pREFs!L49-pREFs!L41)</f>
        <v>0</v>
      </c>
      <c r="M57" s="23">
        <f>+IF(RESULTADO!$C$103&lt;&gt;0,0,pREFs!M49-pREFs!M41)</f>
        <v>0</v>
      </c>
      <c r="N57" s="404">
        <f>+IF(RESULTADO!$C$103&lt;&gt;0,0,pREFs!N49-pREFs!N41)</f>
        <v>160</v>
      </c>
      <c r="O57" s="405">
        <f t="shared" ref="O57:Z57" si="33">O49-O41</f>
        <v>160</v>
      </c>
      <c r="P57" s="23">
        <f t="shared" si="33"/>
        <v>160</v>
      </c>
      <c r="Q57" s="23">
        <f t="shared" si="33"/>
        <v>160</v>
      </c>
      <c r="R57" s="23">
        <f t="shared" si="33"/>
        <v>160</v>
      </c>
      <c r="S57" s="23">
        <f t="shared" si="33"/>
        <v>160</v>
      </c>
      <c r="T57" s="23">
        <f t="shared" si="33"/>
        <v>160</v>
      </c>
      <c r="U57" s="23">
        <f t="shared" si="33"/>
        <v>160</v>
      </c>
      <c r="V57" s="23">
        <f t="shared" si="33"/>
        <v>160</v>
      </c>
      <c r="W57" s="23">
        <f t="shared" si="33"/>
        <v>160</v>
      </c>
      <c r="X57" s="23">
        <f t="shared" si="33"/>
        <v>160</v>
      </c>
      <c r="Y57" s="23">
        <f t="shared" si="33"/>
        <v>160</v>
      </c>
      <c r="Z57" s="404">
        <f t="shared" si="33"/>
        <v>160</v>
      </c>
      <c r="AA57" s="405">
        <f>+IF(RESULTADO!$C$103&lt;&gt;0,0,pREFs!AA49-pREFs!AA41)</f>
        <v>165.00000000000003</v>
      </c>
      <c r="AB57" s="23">
        <f>+IF(RESULTADO!$C$103&lt;&gt;0,0,pREFs!AB49-pREFs!AB41)</f>
        <v>165.00000000000003</v>
      </c>
      <c r="AC57" s="23">
        <f>+IF(RESULTADO!$C$103&lt;&gt;0,0,pREFs!AC49-pREFs!AC41)</f>
        <v>165.00000000000003</v>
      </c>
      <c r="AD57" s="23">
        <f>+IF(RESULTADO!$C$103&lt;&gt;0,0,pREFs!AD49-pREFs!AD41)</f>
        <v>165.00000000000003</v>
      </c>
      <c r="AE57" s="23">
        <f>+IF(RESULTADO!$C$103&lt;&gt;0,0,pREFs!AE49-pREFs!AE41)</f>
        <v>165.00000000000003</v>
      </c>
      <c r="AF57" s="23">
        <f>+IF(RESULTADO!$C$103&lt;&gt;0,0,pREFs!AF49-pREFs!AF41)</f>
        <v>165.00000000000003</v>
      </c>
      <c r="AG57" s="23">
        <f>+IF(RESULTADO!$C$103&lt;&gt;0,0,pREFs!AG49-pREFs!AG41)</f>
        <v>165.00000000000003</v>
      </c>
      <c r="AH57" s="23">
        <f>+IF(RESULTADO!$C$103&lt;&gt;0,0,pREFs!AH49-pREFs!AH41)</f>
        <v>165.00000000000003</v>
      </c>
      <c r="AI57" s="23">
        <f>+IF(RESULTADO!$C$103&lt;&gt;0,0,pREFs!AI49-pREFs!AI41)</f>
        <v>165.00000000000003</v>
      </c>
      <c r="AJ57" s="23">
        <f>+IF(RESULTADO!$C$103&lt;&gt;0,0,pREFs!AJ49-pREFs!AJ41)</f>
        <v>165.00000000000003</v>
      </c>
      <c r="AK57" s="23">
        <f>+IF(RESULTADO!$C$103&lt;&gt;0,0,pREFs!AK49-pREFs!AK41)</f>
        <v>165.00000000000003</v>
      </c>
      <c r="AL57" s="404">
        <f>+IF(RESULTADO!$C$103&lt;&gt;0,0,pREFs!AL49-pREFs!AL41)</f>
        <v>165.00000000000003</v>
      </c>
      <c r="AM57" s="405">
        <f t="shared" ref="AM57:AX57" si="34">AM49-AM41</f>
        <v>120</v>
      </c>
      <c r="AN57" s="23">
        <f t="shared" si="34"/>
        <v>120</v>
      </c>
      <c r="AO57" s="23">
        <f t="shared" si="34"/>
        <v>120</v>
      </c>
      <c r="AP57" s="23">
        <f t="shared" si="34"/>
        <v>120</v>
      </c>
      <c r="AQ57" s="23">
        <f t="shared" si="34"/>
        <v>120</v>
      </c>
      <c r="AR57" s="23">
        <f t="shared" si="34"/>
        <v>120</v>
      </c>
      <c r="AS57" s="23">
        <f t="shared" si="34"/>
        <v>120</v>
      </c>
      <c r="AT57" s="23">
        <f t="shared" si="34"/>
        <v>120</v>
      </c>
      <c r="AU57" s="23">
        <f t="shared" si="34"/>
        <v>120</v>
      </c>
      <c r="AV57" s="23">
        <f t="shared" si="34"/>
        <v>120</v>
      </c>
      <c r="AW57" s="23">
        <f t="shared" si="34"/>
        <v>120</v>
      </c>
      <c r="AX57" s="404">
        <f t="shared" si="34"/>
        <v>120</v>
      </c>
      <c r="AY57" s="405">
        <f t="shared" ref="AY57:BJ57" si="35">AY49-AY41</f>
        <v>115</v>
      </c>
      <c r="AZ57" s="23">
        <f t="shared" si="35"/>
        <v>115</v>
      </c>
      <c r="BA57" s="23">
        <f t="shared" si="35"/>
        <v>115</v>
      </c>
      <c r="BB57" s="23">
        <f t="shared" si="35"/>
        <v>115</v>
      </c>
      <c r="BC57" s="23">
        <f t="shared" si="35"/>
        <v>115</v>
      </c>
      <c r="BD57" s="23">
        <f t="shared" si="35"/>
        <v>115</v>
      </c>
      <c r="BE57" s="23">
        <f t="shared" si="35"/>
        <v>115</v>
      </c>
      <c r="BF57" s="23">
        <f t="shared" si="35"/>
        <v>115</v>
      </c>
      <c r="BG57" s="23">
        <f t="shared" si="35"/>
        <v>115</v>
      </c>
      <c r="BH57" s="23">
        <f t="shared" si="35"/>
        <v>115</v>
      </c>
      <c r="BI57" s="23">
        <f t="shared" si="35"/>
        <v>115</v>
      </c>
      <c r="BJ57" s="24">
        <f t="shared" si="35"/>
        <v>115</v>
      </c>
      <c r="BK57" s="461"/>
    </row>
    <row r="59" spans="1:67" ht="15.75" thickBot="1" x14ac:dyDescent="0.3">
      <c r="B59" s="35" t="s">
        <v>112</v>
      </c>
      <c r="C59" s="26">
        <f>C33</f>
        <v>44562</v>
      </c>
      <c r="D59" s="26">
        <f t="shared" ref="D59:Z59" si="36">D33</f>
        <v>44593</v>
      </c>
      <c r="E59" s="26">
        <f t="shared" si="36"/>
        <v>44621</v>
      </c>
      <c r="F59" s="26">
        <f t="shared" si="36"/>
        <v>44652</v>
      </c>
      <c r="G59" s="26">
        <f t="shared" si="36"/>
        <v>44682</v>
      </c>
      <c r="H59" s="26">
        <f t="shared" si="36"/>
        <v>44713</v>
      </c>
      <c r="I59" s="26">
        <f t="shared" si="36"/>
        <v>44743</v>
      </c>
      <c r="J59" s="26">
        <f t="shared" si="36"/>
        <v>44774</v>
      </c>
      <c r="K59" s="26">
        <f t="shared" si="36"/>
        <v>44805</v>
      </c>
      <c r="L59" s="26">
        <f t="shared" si="36"/>
        <v>44835</v>
      </c>
      <c r="M59" s="26">
        <f t="shared" si="36"/>
        <v>44866</v>
      </c>
      <c r="N59" s="382">
        <f t="shared" si="36"/>
        <v>44896</v>
      </c>
      <c r="O59" s="383">
        <f t="shared" si="36"/>
        <v>44927</v>
      </c>
      <c r="P59" s="26">
        <f t="shared" si="36"/>
        <v>44958</v>
      </c>
      <c r="Q59" s="26">
        <f t="shared" si="36"/>
        <v>44986</v>
      </c>
      <c r="R59" s="26">
        <f t="shared" si="36"/>
        <v>45017</v>
      </c>
      <c r="S59" s="26">
        <f t="shared" si="36"/>
        <v>45047</v>
      </c>
      <c r="T59" s="26">
        <f t="shared" si="36"/>
        <v>45078</v>
      </c>
      <c r="U59" s="26">
        <f t="shared" si="36"/>
        <v>45108</v>
      </c>
      <c r="V59" s="26">
        <f t="shared" si="36"/>
        <v>45139</v>
      </c>
      <c r="W59" s="26">
        <f t="shared" si="36"/>
        <v>45170</v>
      </c>
      <c r="X59" s="26">
        <f t="shared" si="36"/>
        <v>45200</v>
      </c>
      <c r="Y59" s="26">
        <f t="shared" si="36"/>
        <v>45231</v>
      </c>
      <c r="Z59" s="382">
        <f t="shared" si="36"/>
        <v>45261</v>
      </c>
      <c r="AA59" s="383">
        <f>AA33</f>
        <v>45292</v>
      </c>
      <c r="AB59" s="26">
        <f t="shared" ref="AB59:AX59" si="37">AB33</f>
        <v>45323</v>
      </c>
      <c r="AC59" s="26">
        <f t="shared" si="37"/>
        <v>45352</v>
      </c>
      <c r="AD59" s="26">
        <f t="shared" si="37"/>
        <v>45383</v>
      </c>
      <c r="AE59" s="26">
        <f t="shared" si="37"/>
        <v>45413</v>
      </c>
      <c r="AF59" s="26">
        <f t="shared" si="37"/>
        <v>45444</v>
      </c>
      <c r="AG59" s="26">
        <f t="shared" si="37"/>
        <v>45474</v>
      </c>
      <c r="AH59" s="26">
        <f t="shared" si="37"/>
        <v>45505</v>
      </c>
      <c r="AI59" s="26">
        <f t="shared" si="37"/>
        <v>45536</v>
      </c>
      <c r="AJ59" s="26">
        <f t="shared" si="37"/>
        <v>45566</v>
      </c>
      <c r="AK59" s="26">
        <f t="shared" si="37"/>
        <v>45597</v>
      </c>
      <c r="AL59" s="382">
        <f t="shared" si="37"/>
        <v>45627</v>
      </c>
      <c r="AM59" s="383">
        <f t="shared" si="37"/>
        <v>45658</v>
      </c>
      <c r="AN59" s="26">
        <f t="shared" si="37"/>
        <v>45689</v>
      </c>
      <c r="AO59" s="26">
        <f t="shared" si="37"/>
        <v>45717</v>
      </c>
      <c r="AP59" s="26">
        <f t="shared" si="37"/>
        <v>45748</v>
      </c>
      <c r="AQ59" s="26">
        <f t="shared" si="37"/>
        <v>45778</v>
      </c>
      <c r="AR59" s="26">
        <f t="shared" si="37"/>
        <v>45809</v>
      </c>
      <c r="AS59" s="26">
        <f t="shared" si="37"/>
        <v>45839</v>
      </c>
      <c r="AT59" s="26">
        <f t="shared" si="37"/>
        <v>45870</v>
      </c>
      <c r="AU59" s="26">
        <f t="shared" si="37"/>
        <v>45901</v>
      </c>
      <c r="AV59" s="26">
        <f t="shared" si="37"/>
        <v>45931</v>
      </c>
      <c r="AW59" s="26">
        <f t="shared" si="37"/>
        <v>45962</v>
      </c>
      <c r="AX59" s="382">
        <f t="shared" si="37"/>
        <v>45992</v>
      </c>
      <c r="AY59" s="383">
        <f t="shared" ref="AY59:BJ59" si="38">AY33</f>
        <v>46023</v>
      </c>
      <c r="AZ59" s="26">
        <f t="shared" si="38"/>
        <v>46054</v>
      </c>
      <c r="BA59" s="26">
        <f t="shared" si="38"/>
        <v>46082</v>
      </c>
      <c r="BB59" s="26">
        <f t="shared" si="38"/>
        <v>46113</v>
      </c>
      <c r="BC59" s="26">
        <f t="shared" si="38"/>
        <v>46143</v>
      </c>
      <c r="BD59" s="26">
        <f t="shared" si="38"/>
        <v>46174</v>
      </c>
      <c r="BE59" s="26">
        <f t="shared" si="38"/>
        <v>46204</v>
      </c>
      <c r="BF59" s="26">
        <f t="shared" si="38"/>
        <v>46235</v>
      </c>
      <c r="BG59" s="26">
        <f t="shared" si="38"/>
        <v>46266</v>
      </c>
      <c r="BH59" s="26">
        <f t="shared" si="38"/>
        <v>46296</v>
      </c>
      <c r="BI59" s="26">
        <f t="shared" si="38"/>
        <v>46327</v>
      </c>
      <c r="BJ59" s="464">
        <f t="shared" si="38"/>
        <v>46357</v>
      </c>
      <c r="BK59" s="461"/>
    </row>
    <row r="60" spans="1:67" x14ac:dyDescent="0.25">
      <c r="A60" s="7"/>
      <c r="B60" s="16" t="s">
        <v>95</v>
      </c>
      <c r="C60" s="20">
        <f>IF(RESULTADO!$F$148&lt;=C$59,0,0)</f>
        <v>0</v>
      </c>
      <c r="D60" s="20">
        <f>IF(RESULTADO!$F$148&lt;=D$59,0,0)</f>
        <v>0</v>
      </c>
      <c r="E60" s="20">
        <f>IF(RESULTADO!$F$148&lt;=E$59,0,0)</f>
        <v>0</v>
      </c>
      <c r="F60" s="20">
        <f>IF(RESULTADO!$F$148&lt;=F$59,0,0)</f>
        <v>0</v>
      </c>
      <c r="G60" s="20">
        <f>IF(RESULTADO!$F$148&lt;=G$59,0,0)</f>
        <v>0</v>
      </c>
      <c r="H60" s="20">
        <f>IF(RESULTADO!$F$148&lt;=H$59,0,0)</f>
        <v>0</v>
      </c>
      <c r="I60" s="20">
        <f>IF(RESULTADO!$F$148&lt;=I$59,0,0)</f>
        <v>0</v>
      </c>
      <c r="J60" s="20">
        <f>IF(RESULTADO!$F$148&lt;=J$59,0,0)</f>
        <v>0</v>
      </c>
      <c r="K60" s="20">
        <f>IF(RESULTADO!$F$148&lt;=K$59,0,0)</f>
        <v>0</v>
      </c>
      <c r="L60" s="20">
        <f>IF(RESULTADO!$F$148&lt;=L$59,0,0)</f>
        <v>0</v>
      </c>
      <c r="M60" s="20">
        <f>IF(RESULTADO!$F$148&lt;=M$59,0,0)</f>
        <v>0</v>
      </c>
      <c r="N60" s="400">
        <f>IF(RESULTADO!$F$148&lt;=N$59,0,0)</f>
        <v>0</v>
      </c>
      <c r="O60" s="401">
        <f>IF(RESULTADO!$F$148&lt;=O$59,0,0)</f>
        <v>0</v>
      </c>
      <c r="P60" s="20">
        <f>IF(RESULTADO!$F$148&lt;=P$59,0,0)</f>
        <v>0</v>
      </c>
      <c r="Q60" s="20">
        <f>IF(RESULTADO!$F$148&lt;=Q$59,0,0)</f>
        <v>0</v>
      </c>
      <c r="R60" s="20">
        <f>IF(RESULTADO!$F$148&lt;=R$59,0,0)</f>
        <v>0</v>
      </c>
      <c r="S60" s="20">
        <f>IF(RESULTADO!$F$148&lt;=S$59,0,0)</f>
        <v>0</v>
      </c>
      <c r="T60" s="20">
        <f>IF(RESULTADO!$F$148&lt;=T$59,0,0)</f>
        <v>0</v>
      </c>
      <c r="U60" s="20">
        <f>IF(RESULTADO!$F$148&lt;=U$59,0,0)</f>
        <v>0</v>
      </c>
      <c r="V60" s="20">
        <f>IF(RESULTADO!$F$148&lt;=V$59,0,0)</f>
        <v>0</v>
      </c>
      <c r="W60" s="20">
        <f>IF(RESULTADO!$F$148&lt;=W$59,0,0)</f>
        <v>0</v>
      </c>
      <c r="X60" s="20">
        <f>IF(RESULTADO!$F$148&lt;=X$59,0,0)</f>
        <v>0</v>
      </c>
      <c r="Y60" s="20">
        <f>IF(RESULTADO!$F$148&lt;=Y$59,0,0)</f>
        <v>0</v>
      </c>
      <c r="Z60" s="400">
        <f>IF(RESULTADO!$F$148&lt;=Z$59,0,0)</f>
        <v>0</v>
      </c>
      <c r="AA60" s="401">
        <f>IF(RESULTADO!$F$148&lt;=AA$59,0,0)</f>
        <v>0</v>
      </c>
      <c r="AB60" s="20">
        <f>IF(RESULTADO!$F$148&lt;=AB$59,0,0)</f>
        <v>0</v>
      </c>
      <c r="AC60" s="20">
        <f>IF(RESULTADO!$F$148&lt;=AC$59,0,0)</f>
        <v>0</v>
      </c>
      <c r="AD60" s="20">
        <f>IF(RESULTADO!$F$148&lt;=AD$59,0,0)</f>
        <v>0</v>
      </c>
      <c r="AE60" s="20">
        <f>IF(RESULTADO!$F$148&lt;=AE$59,0,0)</f>
        <v>0</v>
      </c>
      <c r="AF60" s="20">
        <f>IF(RESULTADO!$F$148&lt;=AF$59,0,0)</f>
        <v>0</v>
      </c>
      <c r="AG60" s="20">
        <f>IF(RESULTADO!$F$148&lt;=AG$59,0,0)</f>
        <v>0</v>
      </c>
      <c r="AH60" s="20">
        <f>IF(RESULTADO!$F$148&lt;=AH$59,0,0)</f>
        <v>0</v>
      </c>
      <c r="AI60" s="20">
        <f>IF(RESULTADO!$F$148&lt;=AI$59,0,0)</f>
        <v>0</v>
      </c>
      <c r="AJ60" s="20">
        <f>IF(RESULTADO!$F$148&lt;=AJ$59,0,0)</f>
        <v>0</v>
      </c>
      <c r="AK60" s="20">
        <f>IF(RESULTADO!$F$148&lt;=AK$59,0,0)</f>
        <v>0</v>
      </c>
      <c r="AL60" s="400">
        <f>IF(RESULTADO!$F$148&lt;=AL$59,0,0)</f>
        <v>0</v>
      </c>
      <c r="AM60" s="401">
        <f>IF(RESULTADO!$F$148&lt;=AM$59,0,0)</f>
        <v>0</v>
      </c>
      <c r="AN60" s="20">
        <f>IF(RESULTADO!$F$148&lt;=AN$59,0,0)</f>
        <v>0</v>
      </c>
      <c r="AO60" s="20">
        <f>IF(RESULTADO!$F$148&lt;=AO$59,0,0)</f>
        <v>0</v>
      </c>
      <c r="AP60" s="20">
        <f>IF(RESULTADO!$F$148&lt;=AP$59,0,0)</f>
        <v>0</v>
      </c>
      <c r="AQ60" s="20">
        <f>IF(RESULTADO!$F$148&lt;=AQ$59,0,0)</f>
        <v>0</v>
      </c>
      <c r="AR60" s="20">
        <f>IF(RESULTADO!$F$148&lt;=AR$59,0,0)</f>
        <v>0</v>
      </c>
      <c r="AS60" s="20">
        <f>IF(RESULTADO!$F$148&lt;=AS$59,0,0)</f>
        <v>0</v>
      </c>
      <c r="AT60" s="20">
        <f>IF(RESULTADO!$F$148&lt;=AT$59,0,0)</f>
        <v>0</v>
      </c>
      <c r="AU60" s="20">
        <f>IF(RESULTADO!$F$148&lt;=AU$59,0,0)</f>
        <v>0</v>
      </c>
      <c r="AV60" s="20">
        <f>IF(RESULTADO!$F$148&lt;=AV$59,0,0)</f>
        <v>0</v>
      </c>
      <c r="AW60" s="20">
        <f>IF(RESULTADO!$F$148&lt;=AW$59,0,0)</f>
        <v>0</v>
      </c>
      <c r="AX60" s="400">
        <f>IF(RESULTADO!$F$148&lt;=AX$59,0,0)</f>
        <v>0</v>
      </c>
      <c r="AY60" s="401">
        <f>IF(RESULTADO!$F$148&lt;=AY$59,0,0)</f>
        <v>0</v>
      </c>
      <c r="AZ60" s="20">
        <f>IF(RESULTADO!$F$148&lt;=AZ$59,0,0)</f>
        <v>0</v>
      </c>
      <c r="BA60" s="20">
        <f>IF(RESULTADO!$F$148&lt;=BA$59,0,0)</f>
        <v>0</v>
      </c>
      <c r="BB60" s="20">
        <f>IF(RESULTADO!$F$148&lt;=BB$59,0,0)</f>
        <v>0</v>
      </c>
      <c r="BC60" s="20">
        <f>IF(RESULTADO!$F$148&lt;=BC$59,0,0)</f>
        <v>0</v>
      </c>
      <c r="BD60" s="20">
        <f>IF(RESULTADO!$F$148&lt;=BD$59,0,0)</f>
        <v>0</v>
      </c>
      <c r="BE60" s="20">
        <f>IF(RESULTADO!$F$148&lt;=BE$59,0,0)</f>
        <v>0</v>
      </c>
      <c r="BF60" s="20">
        <f>IF(RESULTADO!$F$148&lt;=BF$59,0,0)</f>
        <v>0</v>
      </c>
      <c r="BG60" s="20">
        <f>IF(RESULTADO!$F$148&lt;=BG$59,0,0)</f>
        <v>0</v>
      </c>
      <c r="BH60" s="20">
        <f>IF(RESULTADO!$F$148&lt;=BH$59,0,0)</f>
        <v>0</v>
      </c>
      <c r="BI60" s="20">
        <f>IF(RESULTADO!$F$148&lt;=BI$59,0,0)</f>
        <v>0</v>
      </c>
      <c r="BJ60" s="467">
        <f>IF(RESULTADO!$F$148&lt;=BJ$59,0,0)</f>
        <v>0</v>
      </c>
      <c r="BK60" s="461"/>
    </row>
    <row r="61" spans="1:67" x14ac:dyDescent="0.25">
      <c r="A61" s="7"/>
      <c r="B61" s="17" t="s">
        <v>96</v>
      </c>
      <c r="C61" s="18">
        <f>IF(RESULTADO!$F$148&lt;=C$59,0,0)</f>
        <v>0</v>
      </c>
      <c r="D61" s="18">
        <f>IF(RESULTADO!$F$148&lt;=D$59,0,0)</f>
        <v>0</v>
      </c>
      <c r="E61" s="18">
        <f>IF(RESULTADO!$F$148&lt;=E$59,0,0)</f>
        <v>0</v>
      </c>
      <c r="F61" s="18">
        <f>IF(RESULTADO!$F$148&lt;=F$59,0,0)</f>
        <v>0</v>
      </c>
      <c r="G61" s="18">
        <f>IF(RESULTADO!$F$148&lt;=G$59,0,0)</f>
        <v>0</v>
      </c>
      <c r="H61" s="18">
        <f>IF(RESULTADO!$F$148&lt;=H$59,0,0)</f>
        <v>0</v>
      </c>
      <c r="I61" s="18">
        <f>IF(RESULTADO!$F$148&lt;=I$59,0,0)</f>
        <v>0</v>
      </c>
      <c r="J61" s="18">
        <f>IF(RESULTADO!$F$148&lt;=J$59,0,0)</f>
        <v>0</v>
      </c>
      <c r="K61" s="18">
        <f>IF(RESULTADO!$F$148&lt;=K$59,0,0)</f>
        <v>0</v>
      </c>
      <c r="L61" s="18">
        <f>IF(RESULTADO!$F$148&lt;=L$59,0,0)</f>
        <v>0</v>
      </c>
      <c r="M61" s="18">
        <f>IF(RESULTADO!$F$148&lt;=M$59,0,0)</f>
        <v>0</v>
      </c>
      <c r="N61" s="402">
        <f>IF(RESULTADO!$F$148&lt;=N$59,0,0)</f>
        <v>0</v>
      </c>
      <c r="O61" s="403">
        <f>IF(RESULTADO!$F$148&lt;=O$59,0,0)</f>
        <v>0</v>
      </c>
      <c r="P61" s="18">
        <f>IF(RESULTADO!$F$148&lt;=P$59,0,0)</f>
        <v>0</v>
      </c>
      <c r="Q61" s="18">
        <f>IF(RESULTADO!$F$148&lt;=Q$59,0,0)</f>
        <v>0</v>
      </c>
      <c r="R61" s="18">
        <f>IF(RESULTADO!$F$148&lt;=R$59,0,0)</f>
        <v>0</v>
      </c>
      <c r="S61" s="18">
        <f>IF(RESULTADO!$F$148&lt;=S$59,0,0)</f>
        <v>0</v>
      </c>
      <c r="T61" s="18">
        <f>IF(RESULTADO!$F$148&lt;=T$59,0,0)</f>
        <v>0</v>
      </c>
      <c r="U61" s="18">
        <f>IF(RESULTADO!$F$148&lt;=U$59,0,0)</f>
        <v>0</v>
      </c>
      <c r="V61" s="18">
        <f>IF(RESULTADO!$F$148&lt;=V$59,0,0)</f>
        <v>0</v>
      </c>
      <c r="W61" s="18">
        <f>IF(RESULTADO!$F$148&lt;=W$59,0,0)</f>
        <v>0</v>
      </c>
      <c r="X61" s="18">
        <f>IF(RESULTADO!$F$148&lt;=X$59,0,0)</f>
        <v>0</v>
      </c>
      <c r="Y61" s="18">
        <f>IF(RESULTADO!$F$148&lt;=Y$59,0,0)</f>
        <v>0</v>
      </c>
      <c r="Z61" s="402">
        <f>IF(RESULTADO!$F$148&lt;=Z$59,0,0)</f>
        <v>0</v>
      </c>
      <c r="AA61" s="403">
        <f>IF(RESULTADO!$F$148&lt;=AA$59,0,0)</f>
        <v>0</v>
      </c>
      <c r="AB61" s="18">
        <f>IF(RESULTADO!$F$148&lt;=AB$59,0,0)</f>
        <v>0</v>
      </c>
      <c r="AC61" s="18">
        <f>IF(RESULTADO!$F$148&lt;=AC$59,0,0)</f>
        <v>0</v>
      </c>
      <c r="AD61" s="18">
        <f>IF(RESULTADO!$F$148&lt;=AD$59,0,0)</f>
        <v>0</v>
      </c>
      <c r="AE61" s="18">
        <f>IF(RESULTADO!$F$148&lt;=AE$59,0,0)</f>
        <v>0</v>
      </c>
      <c r="AF61" s="18">
        <f>IF(RESULTADO!$F$148&lt;=AF$59,0,0)</f>
        <v>0</v>
      </c>
      <c r="AG61" s="18">
        <f>IF(RESULTADO!$F$148&lt;=AG$59,0,0)</f>
        <v>0</v>
      </c>
      <c r="AH61" s="18">
        <f>IF(RESULTADO!$F$148&lt;=AH$59,0,0)</f>
        <v>0</v>
      </c>
      <c r="AI61" s="18">
        <f>IF(RESULTADO!$F$148&lt;=AI$59,0,0)</f>
        <v>0</v>
      </c>
      <c r="AJ61" s="18">
        <f>IF(RESULTADO!$F$148&lt;=AJ$59,0,0)</f>
        <v>0</v>
      </c>
      <c r="AK61" s="18">
        <f>IF(RESULTADO!$F$148&lt;=AK$59,0,0)</f>
        <v>0</v>
      </c>
      <c r="AL61" s="402">
        <f>IF(RESULTADO!$F$148&lt;=AL$59,0,0)</f>
        <v>0</v>
      </c>
      <c r="AM61" s="403">
        <f>IF(RESULTADO!$F$148&lt;=AM$59,0,0)</f>
        <v>0</v>
      </c>
      <c r="AN61" s="18">
        <f>IF(RESULTADO!$F$148&lt;=AN$59,0,0)</f>
        <v>0</v>
      </c>
      <c r="AO61" s="18">
        <f>IF(RESULTADO!$F$148&lt;=AO$59,0,0)</f>
        <v>0</v>
      </c>
      <c r="AP61" s="18">
        <f>IF(RESULTADO!$F$148&lt;=AP$59,0,0)</f>
        <v>0</v>
      </c>
      <c r="AQ61" s="18">
        <f>IF(RESULTADO!$F$148&lt;=AQ$59,0,0)</f>
        <v>0</v>
      </c>
      <c r="AR61" s="18">
        <f>IF(RESULTADO!$F$148&lt;=AR$59,0,0)</f>
        <v>0</v>
      </c>
      <c r="AS61" s="18">
        <f>IF(RESULTADO!$F$148&lt;=AS$59,0,0)</f>
        <v>0</v>
      </c>
      <c r="AT61" s="18">
        <f>IF(RESULTADO!$F$148&lt;=AT$59,0,0)</f>
        <v>0</v>
      </c>
      <c r="AU61" s="18">
        <f>IF(RESULTADO!$F$148&lt;=AU$59,0,0)</f>
        <v>0</v>
      </c>
      <c r="AV61" s="18">
        <f>IF(RESULTADO!$F$148&lt;=AV$59,0,0)</f>
        <v>0</v>
      </c>
      <c r="AW61" s="18">
        <f>IF(RESULTADO!$F$148&lt;=AW$59,0,0)</f>
        <v>0</v>
      </c>
      <c r="AX61" s="402">
        <f>IF(RESULTADO!$F$148&lt;=AX$59,0,0)</f>
        <v>0</v>
      </c>
      <c r="AY61" s="403">
        <f>IF(RESULTADO!$F$148&lt;=AY$59,0,0)</f>
        <v>0</v>
      </c>
      <c r="AZ61" s="18">
        <f>IF(RESULTADO!$F$148&lt;=AZ$59,0,0)</f>
        <v>0</v>
      </c>
      <c r="BA61" s="18">
        <f>IF(RESULTADO!$F$148&lt;=BA$59,0,0)</f>
        <v>0</v>
      </c>
      <c r="BB61" s="18">
        <f>IF(RESULTADO!$F$148&lt;=BB$59,0,0)</f>
        <v>0</v>
      </c>
      <c r="BC61" s="18">
        <f>IF(RESULTADO!$F$148&lt;=BC$59,0,0)</f>
        <v>0</v>
      </c>
      <c r="BD61" s="18">
        <f>IF(RESULTADO!$F$148&lt;=BD$59,0,0)</f>
        <v>0</v>
      </c>
      <c r="BE61" s="18">
        <f>IF(RESULTADO!$F$148&lt;=BE$59,0,0)</f>
        <v>0</v>
      </c>
      <c r="BF61" s="18">
        <f>IF(RESULTADO!$F$148&lt;=BF$59,0,0)</f>
        <v>0</v>
      </c>
      <c r="BG61" s="18">
        <f>IF(RESULTADO!$F$148&lt;=BG$59,0,0)</f>
        <v>0</v>
      </c>
      <c r="BH61" s="18">
        <f>IF(RESULTADO!$F$148&lt;=BH$59,0,0)</f>
        <v>0</v>
      </c>
      <c r="BI61" s="18">
        <f>IF(RESULTADO!$F$148&lt;=BI$59,0,0)</f>
        <v>0</v>
      </c>
      <c r="BJ61" s="19">
        <f>IF(RESULTADO!$F$148&lt;=BJ$59,0,0)</f>
        <v>0</v>
      </c>
      <c r="BK61" s="461"/>
    </row>
    <row r="62" spans="1:67" x14ac:dyDescent="0.25">
      <c r="A62" s="7"/>
      <c r="B62" s="17" t="s">
        <v>97</v>
      </c>
      <c r="C62" s="18">
        <f>IF(RESULTADO!$F$148&lt;=C$59,0,0)</f>
        <v>0</v>
      </c>
      <c r="D62" s="18">
        <f>IF(RESULTADO!$F$148&lt;=D$59,0,0)</f>
        <v>0</v>
      </c>
      <c r="E62" s="18">
        <f>IF(RESULTADO!$F$148&lt;=E$59,0,0)</f>
        <v>0</v>
      </c>
      <c r="F62" s="18">
        <f>IF(RESULTADO!$F$148&lt;=F$59,0,0)</f>
        <v>0</v>
      </c>
      <c r="G62" s="18">
        <f>IF(RESULTADO!$F$148&lt;=G$59,0,0)</f>
        <v>0</v>
      </c>
      <c r="H62" s="18">
        <f>IF(RESULTADO!$F$148&lt;=H$59,0,0)</f>
        <v>0</v>
      </c>
      <c r="I62" s="18">
        <f>IF(RESULTADO!$F$148&lt;=I$59,0,0)</f>
        <v>0</v>
      </c>
      <c r="J62" s="18">
        <f>IF(RESULTADO!$F$148&lt;=J$59,0,0)</f>
        <v>0</v>
      </c>
      <c r="K62" s="18">
        <f>IF(RESULTADO!$F$148&lt;=K$59,0,0)</f>
        <v>0</v>
      </c>
      <c r="L62" s="18">
        <f>IF(RESULTADO!$F$148&lt;=L$59,0,0)</f>
        <v>0</v>
      </c>
      <c r="M62" s="18">
        <f>IF(RESULTADO!$F$148&lt;=M$59,0,0)</f>
        <v>0</v>
      </c>
      <c r="N62" s="402">
        <f>IF(RESULTADO!$F$148&lt;=N$59,0,0)</f>
        <v>0</v>
      </c>
      <c r="O62" s="403">
        <f>IF(RESULTADO!$F$148&lt;=O$59,0,0)</f>
        <v>0</v>
      </c>
      <c r="P62" s="18">
        <f>IF(RESULTADO!$F$148&lt;=P$59,0,0)</f>
        <v>0</v>
      </c>
      <c r="Q62" s="18">
        <f>IF(RESULTADO!$F$148&lt;=Q$59,0,0)</f>
        <v>0</v>
      </c>
      <c r="R62" s="18">
        <f>IF(RESULTADO!$F$148&lt;=R$59,0,0)</f>
        <v>0</v>
      </c>
      <c r="S62" s="18">
        <f>IF(RESULTADO!$F$148&lt;=S$59,0,0)</f>
        <v>0</v>
      </c>
      <c r="T62" s="18">
        <f>IF(RESULTADO!$F$148&lt;=T$59,0,0)</f>
        <v>0</v>
      </c>
      <c r="U62" s="18">
        <f>IF(RESULTADO!$F$148&lt;=U$59,0,0)</f>
        <v>0</v>
      </c>
      <c r="V62" s="18">
        <f>IF(RESULTADO!$F$148&lt;=V$59,0,0)</f>
        <v>0</v>
      </c>
      <c r="W62" s="18">
        <f>IF(RESULTADO!$F$148&lt;=W$59,0,0)</f>
        <v>0</v>
      </c>
      <c r="X62" s="18">
        <f>IF(RESULTADO!$F$148&lt;=X$59,0,0)</f>
        <v>0</v>
      </c>
      <c r="Y62" s="18">
        <f>IF(RESULTADO!$F$148&lt;=Y$59,0,0)</f>
        <v>0</v>
      </c>
      <c r="Z62" s="402">
        <f>IF(RESULTADO!$F$148&lt;=Z$59,0,0)</f>
        <v>0</v>
      </c>
      <c r="AA62" s="403">
        <f>IF(RESULTADO!$F$148&lt;=AA$59,0,0)</f>
        <v>0</v>
      </c>
      <c r="AB62" s="18">
        <f>IF(RESULTADO!$F$148&lt;=AB$59,0,0)</f>
        <v>0</v>
      </c>
      <c r="AC62" s="18">
        <f>IF(RESULTADO!$F$148&lt;=AC$59,0,0)</f>
        <v>0</v>
      </c>
      <c r="AD62" s="18">
        <f>IF(RESULTADO!$F$148&lt;=AD$59,0,0)</f>
        <v>0</v>
      </c>
      <c r="AE62" s="18">
        <f>IF(RESULTADO!$F$148&lt;=AE$59,0,0)</f>
        <v>0</v>
      </c>
      <c r="AF62" s="18">
        <f>IF(RESULTADO!$F$148&lt;=AF$59,0,0)</f>
        <v>0</v>
      </c>
      <c r="AG62" s="18">
        <f>IF(RESULTADO!$F$148&lt;=AG$59,0,0)</f>
        <v>0</v>
      </c>
      <c r="AH62" s="18">
        <f>IF(RESULTADO!$F$148&lt;=AH$59,0,0)</f>
        <v>0</v>
      </c>
      <c r="AI62" s="18">
        <f>IF(RESULTADO!$F$148&lt;=AI$59,0,0)</f>
        <v>0</v>
      </c>
      <c r="AJ62" s="18">
        <f>IF(RESULTADO!$F$148&lt;=AJ$59,0,0)</f>
        <v>0</v>
      </c>
      <c r="AK62" s="18">
        <f>IF(RESULTADO!$F$148&lt;=AK$59,0,0)</f>
        <v>0</v>
      </c>
      <c r="AL62" s="402">
        <f>IF(RESULTADO!$F$148&lt;=AL$59,0,0)</f>
        <v>0</v>
      </c>
      <c r="AM62" s="403">
        <f>IF(RESULTADO!$F$148&lt;=AM$59,0,0)</f>
        <v>0</v>
      </c>
      <c r="AN62" s="18">
        <f>IF(RESULTADO!$F$148&lt;=AN$59,0,0)</f>
        <v>0</v>
      </c>
      <c r="AO62" s="18">
        <f>IF(RESULTADO!$F$148&lt;=AO$59,0,0)</f>
        <v>0</v>
      </c>
      <c r="AP62" s="18">
        <f>IF(RESULTADO!$F$148&lt;=AP$59,0,0)</f>
        <v>0</v>
      </c>
      <c r="AQ62" s="18">
        <f>IF(RESULTADO!$F$148&lt;=AQ$59,0,0)</f>
        <v>0</v>
      </c>
      <c r="AR62" s="18">
        <f>IF(RESULTADO!$F$148&lt;=AR$59,0,0)</f>
        <v>0</v>
      </c>
      <c r="AS62" s="18">
        <f>IF(RESULTADO!$F$148&lt;=AS$59,0,0)</f>
        <v>0</v>
      </c>
      <c r="AT62" s="18">
        <f>IF(RESULTADO!$F$148&lt;=AT$59,0,0)</f>
        <v>0</v>
      </c>
      <c r="AU62" s="18">
        <f>IF(RESULTADO!$F$148&lt;=AU$59,0,0)</f>
        <v>0</v>
      </c>
      <c r="AV62" s="18">
        <f>IF(RESULTADO!$F$148&lt;=AV$59,0,0)</f>
        <v>0</v>
      </c>
      <c r="AW62" s="18">
        <f>IF(RESULTADO!$F$148&lt;=AW$59,0,0)</f>
        <v>0</v>
      </c>
      <c r="AX62" s="402">
        <f>IF(RESULTADO!$F$148&lt;=AX$59,0,0)</f>
        <v>0</v>
      </c>
      <c r="AY62" s="403">
        <f>IF(RESULTADO!$F$148&lt;=AY$59,0,0)</f>
        <v>0</v>
      </c>
      <c r="AZ62" s="18">
        <f>IF(RESULTADO!$F$148&lt;=AZ$59,0,0)</f>
        <v>0</v>
      </c>
      <c r="BA62" s="18">
        <f>IF(RESULTADO!$F$148&lt;=BA$59,0,0)</f>
        <v>0</v>
      </c>
      <c r="BB62" s="18">
        <f>IF(RESULTADO!$F$148&lt;=BB$59,0,0)</f>
        <v>0</v>
      </c>
      <c r="BC62" s="18">
        <f>IF(RESULTADO!$F$148&lt;=BC$59,0,0)</f>
        <v>0</v>
      </c>
      <c r="BD62" s="18">
        <f>IF(RESULTADO!$F$148&lt;=BD$59,0,0)</f>
        <v>0</v>
      </c>
      <c r="BE62" s="18">
        <f>IF(RESULTADO!$F$148&lt;=BE$59,0,0)</f>
        <v>0</v>
      </c>
      <c r="BF62" s="18">
        <f>IF(RESULTADO!$F$148&lt;=BF$59,0,0)</f>
        <v>0</v>
      </c>
      <c r="BG62" s="18">
        <f>IF(RESULTADO!$F$148&lt;=BG$59,0,0)</f>
        <v>0</v>
      </c>
      <c r="BH62" s="18">
        <f>IF(RESULTADO!$F$148&lt;=BH$59,0,0)</f>
        <v>0</v>
      </c>
      <c r="BI62" s="18">
        <f>IF(RESULTADO!$F$148&lt;=BI$59,0,0)</f>
        <v>0</v>
      </c>
      <c r="BJ62" s="19">
        <f>IF(RESULTADO!$F$148&lt;=BJ$59,0,0)</f>
        <v>0</v>
      </c>
      <c r="BK62" s="461"/>
    </row>
    <row r="63" spans="1:67" ht="15.75" thickBot="1" x14ac:dyDescent="0.3">
      <c r="A63" s="7"/>
      <c r="B63" s="22" t="s">
        <v>98</v>
      </c>
      <c r="C63" s="23">
        <f>IF(RESULTADO!$F$148&lt;=C$59,0,0)</f>
        <v>0</v>
      </c>
      <c r="D63" s="23">
        <f>IF(RESULTADO!$F$148&lt;=D$59,0,0)</f>
        <v>0</v>
      </c>
      <c r="E63" s="23">
        <f>IF(RESULTADO!$F$148&lt;=E$59,0,0)</f>
        <v>0</v>
      </c>
      <c r="F63" s="23">
        <f>IF(RESULTADO!$F$148&lt;=F$59,0,0)</f>
        <v>0</v>
      </c>
      <c r="G63" s="23">
        <f>IF(RESULTADO!$F$148&lt;=G$59,0,0)</f>
        <v>0</v>
      </c>
      <c r="H63" s="23">
        <f>IF(RESULTADO!$F$148&lt;=H$59,0,0)</f>
        <v>0</v>
      </c>
      <c r="I63" s="23">
        <f>IF(RESULTADO!$F$148&lt;=I$59,0,0)</f>
        <v>0</v>
      </c>
      <c r="J63" s="23">
        <f>IF(RESULTADO!$F$148&lt;=J$59,0,0)</f>
        <v>0</v>
      </c>
      <c r="K63" s="23">
        <f>IF(RESULTADO!$F$148&lt;=K$59,0,0)</f>
        <v>0</v>
      </c>
      <c r="L63" s="23">
        <f>IF(RESULTADO!$F$148&lt;=L$59,0,0)</f>
        <v>0</v>
      </c>
      <c r="M63" s="23">
        <f>IF(RESULTADO!$F$148&lt;=M$59,0,0)</f>
        <v>0</v>
      </c>
      <c r="N63" s="404">
        <f>IF(RESULTADO!$F$148&lt;=N$59,0,0)</f>
        <v>0</v>
      </c>
      <c r="O63" s="405">
        <f>IF(RESULTADO!$F$148&lt;=O$59,0,0)</f>
        <v>0</v>
      </c>
      <c r="P63" s="23">
        <f>IF(RESULTADO!$F$148&lt;=P$59,0,0)</f>
        <v>0</v>
      </c>
      <c r="Q63" s="23">
        <f>IF(RESULTADO!$F$148&lt;=Q$59,0,0)</f>
        <v>0</v>
      </c>
      <c r="R63" s="23">
        <f>IF(RESULTADO!$F$148&lt;=R$59,0,0)</f>
        <v>0</v>
      </c>
      <c r="S63" s="23">
        <f>IF(RESULTADO!$F$148&lt;=S$59,0,0)</f>
        <v>0</v>
      </c>
      <c r="T63" s="23">
        <f>IF(RESULTADO!$F$148&lt;=T$59,0,0)</f>
        <v>0</v>
      </c>
      <c r="U63" s="23">
        <f>IF(RESULTADO!$F$148&lt;=U$59,0,0)</f>
        <v>0</v>
      </c>
      <c r="V63" s="23">
        <f>IF(RESULTADO!$F$148&lt;=V$59,0,0)</f>
        <v>0</v>
      </c>
      <c r="W63" s="23">
        <f>IF(RESULTADO!$F$148&lt;=W$59,0,0)</f>
        <v>0</v>
      </c>
      <c r="X63" s="23">
        <f>IF(RESULTADO!$F$148&lt;=X$59,0,0)</f>
        <v>0</v>
      </c>
      <c r="Y63" s="23">
        <f>IF(RESULTADO!$F$148&lt;=Y$59,0,0)</f>
        <v>0</v>
      </c>
      <c r="Z63" s="404">
        <f>IF(RESULTADO!$F$148&lt;=Z$59,0,0)</f>
        <v>0</v>
      </c>
      <c r="AA63" s="405">
        <f>IF(RESULTADO!$F$148&lt;=AA$59,0,0)</f>
        <v>0</v>
      </c>
      <c r="AB63" s="23">
        <f>IF(RESULTADO!$F$148&lt;=AB$59,0,0)</f>
        <v>0</v>
      </c>
      <c r="AC63" s="23">
        <f>IF(RESULTADO!$F$148&lt;=AC$59,0,0)</f>
        <v>0</v>
      </c>
      <c r="AD63" s="23">
        <f>IF(RESULTADO!$F$148&lt;=AD$59,0,0)</f>
        <v>0</v>
      </c>
      <c r="AE63" s="23">
        <f>IF(RESULTADO!$F$148&lt;=AE$59,0,0)</f>
        <v>0</v>
      </c>
      <c r="AF63" s="23">
        <f>IF(RESULTADO!$F$148&lt;=AF$59,0,0)</f>
        <v>0</v>
      </c>
      <c r="AG63" s="23">
        <f>IF(RESULTADO!$F$148&lt;=AG$59,0,0)</f>
        <v>0</v>
      </c>
      <c r="AH63" s="23">
        <f>IF(RESULTADO!$F$148&lt;=AH$59,0,0)</f>
        <v>0</v>
      </c>
      <c r="AI63" s="23">
        <f>IF(RESULTADO!$F$148&lt;=AI$59,0,0)</f>
        <v>0</v>
      </c>
      <c r="AJ63" s="23">
        <f>IF(RESULTADO!$F$148&lt;=AJ$59,0,0)</f>
        <v>0</v>
      </c>
      <c r="AK63" s="23">
        <f>IF(RESULTADO!$F$148&lt;=AK$59,0,0)</f>
        <v>0</v>
      </c>
      <c r="AL63" s="404">
        <f>IF(RESULTADO!$F$148&lt;=AL$59,0,0)</f>
        <v>0</v>
      </c>
      <c r="AM63" s="405">
        <f>IF(RESULTADO!$F$148&lt;=AM$59,0,0)</f>
        <v>0</v>
      </c>
      <c r="AN63" s="23">
        <f>IF(RESULTADO!$F$148&lt;=AN$59,0,0)</f>
        <v>0</v>
      </c>
      <c r="AO63" s="23">
        <f>IF(RESULTADO!$F$148&lt;=AO$59,0,0)</f>
        <v>0</v>
      </c>
      <c r="AP63" s="23">
        <f>IF(RESULTADO!$F$148&lt;=AP$59,0,0)</f>
        <v>0</v>
      </c>
      <c r="AQ63" s="23">
        <f>IF(RESULTADO!$F$148&lt;=AQ$59,0,0)</f>
        <v>0</v>
      </c>
      <c r="AR63" s="23">
        <f>IF(RESULTADO!$F$148&lt;=AR$59,0,0)</f>
        <v>0</v>
      </c>
      <c r="AS63" s="23">
        <f>IF(RESULTADO!$F$148&lt;=AS$59,0,0)</f>
        <v>0</v>
      </c>
      <c r="AT63" s="23">
        <f>IF(RESULTADO!$F$148&lt;=AT$59,0,0)</f>
        <v>0</v>
      </c>
      <c r="AU63" s="23">
        <f>IF(RESULTADO!$F$148&lt;=AU$59,0,0)</f>
        <v>0</v>
      </c>
      <c r="AV63" s="23">
        <f>IF(RESULTADO!$F$148&lt;=AV$59,0,0)</f>
        <v>0</v>
      </c>
      <c r="AW63" s="23">
        <f>IF(RESULTADO!$F$148&lt;=AW$59,0,0)</f>
        <v>0</v>
      </c>
      <c r="AX63" s="404">
        <f>IF(RESULTADO!$F$148&lt;=AX$59,0,0)</f>
        <v>0</v>
      </c>
      <c r="AY63" s="405">
        <f>IF(RESULTADO!$F$148&lt;=AY$59,0,0)</f>
        <v>0</v>
      </c>
      <c r="AZ63" s="23">
        <f>IF(RESULTADO!$F$148&lt;=AZ$59,0,0)</f>
        <v>0</v>
      </c>
      <c r="BA63" s="23">
        <f>IF(RESULTADO!$F$148&lt;=BA$59,0,0)</f>
        <v>0</v>
      </c>
      <c r="BB63" s="23">
        <f>IF(RESULTADO!$F$148&lt;=BB$59,0,0)</f>
        <v>0</v>
      </c>
      <c r="BC63" s="23">
        <f>IF(RESULTADO!$F$148&lt;=BC$59,0,0)</f>
        <v>0</v>
      </c>
      <c r="BD63" s="23">
        <f>IF(RESULTADO!$F$148&lt;=BD$59,0,0)</f>
        <v>0</v>
      </c>
      <c r="BE63" s="23">
        <f>IF(RESULTADO!$F$148&lt;=BE$59,0,0)</f>
        <v>0</v>
      </c>
      <c r="BF63" s="23">
        <f>IF(RESULTADO!$F$148&lt;=BF$59,0,0)</f>
        <v>0</v>
      </c>
      <c r="BG63" s="23">
        <f>IF(RESULTADO!$F$148&lt;=BG$59,0,0)</f>
        <v>0</v>
      </c>
      <c r="BH63" s="23">
        <f>IF(RESULTADO!$F$148&lt;=BH$59,0,0)</f>
        <v>0</v>
      </c>
      <c r="BI63" s="23">
        <f>IF(RESULTADO!$F$148&lt;=BI$59,0,0)</f>
        <v>0</v>
      </c>
      <c r="BJ63" s="24">
        <f>IF(RESULTADO!$F$148&lt;=BJ$59,0,0)</f>
        <v>0</v>
      </c>
      <c r="BK63" s="461"/>
    </row>
    <row r="64" spans="1:67" x14ac:dyDescent="0.25">
      <c r="A64" s="7"/>
      <c r="B64" s="36" t="s">
        <v>99</v>
      </c>
      <c r="C64" s="329">
        <f>IF(RESULTADO!$F$148&lt;=C$59,(C$22),0)</f>
        <v>0</v>
      </c>
      <c r="D64" s="20">
        <f>IF(RESULTADO!$F$148&lt;=D$59,(D$22),0)</f>
        <v>0</v>
      </c>
      <c r="E64" s="20">
        <f>IF(RESULTADO!$F$148&lt;=E$59,(E$22),0)</f>
        <v>0</v>
      </c>
      <c r="F64" s="20">
        <f>IF(RESULTADO!$F$148&lt;=F$59,(F$22),0)</f>
        <v>0</v>
      </c>
      <c r="G64" s="20">
        <f>IF(RESULTADO!$F$148&lt;=G$59,(G$22),0)</f>
        <v>0</v>
      </c>
      <c r="H64" s="20">
        <f>IF(RESULTADO!$F$148&lt;=H$59,(H$22),0)</f>
        <v>0</v>
      </c>
      <c r="I64" s="20">
        <f>IF(RESULTADO!$F$148&lt;=I$59,(I$22),0)</f>
        <v>0</v>
      </c>
      <c r="J64" s="20">
        <f>IF(RESULTADO!$F$148&lt;=J$59,(J$22),0)</f>
        <v>0</v>
      </c>
      <c r="K64" s="20">
        <f>IF(RESULTADO!$F$148&lt;=K$59,(K$22),0)</f>
        <v>0</v>
      </c>
      <c r="L64" s="20">
        <f>IF(RESULTADO!$F$148&lt;=L$59,(L$22),0)</f>
        <v>0</v>
      </c>
      <c r="M64" s="20">
        <f>IF(RESULTADO!$F$148&lt;=M$59,(M$22),0)</f>
        <v>0</v>
      </c>
      <c r="N64" s="400">
        <f>IF(RESULTADO!$F$148&lt;=N$59,(N$22),0)</f>
        <v>0</v>
      </c>
      <c r="O64" s="401">
        <f>IF(RESULTADO!$F$148&lt;=O$59,(O$22),0)</f>
        <v>0</v>
      </c>
      <c r="P64" s="20">
        <f>IF(RESULTADO!$F$148&lt;=P$59,(P$22),0)</f>
        <v>0</v>
      </c>
      <c r="Q64" s="20">
        <f>IF(RESULTADO!$F$148&lt;=Q$59,(Q$22),0)</f>
        <v>0</v>
      </c>
      <c r="R64" s="20">
        <f>IF(RESULTADO!$F$148&lt;=R$59,(R$22),0)</f>
        <v>0</v>
      </c>
      <c r="S64" s="20">
        <f>IF(RESULTADO!$F$148&lt;=S$59,(S$22),0)</f>
        <v>0</v>
      </c>
      <c r="T64" s="20">
        <f>IF(RESULTADO!$F$148&lt;=T$59,(T$22),0)</f>
        <v>0</v>
      </c>
      <c r="U64" s="20">
        <f>IF(RESULTADO!$F$148&lt;=U$59,(U$22),0)</f>
        <v>0</v>
      </c>
      <c r="V64" s="20">
        <f>IF(RESULTADO!$F$148&lt;=V$59,(V$22),0)</f>
        <v>0</v>
      </c>
      <c r="W64" s="20">
        <f>IF(RESULTADO!$F$148&lt;=W$59,(W$22),0)</f>
        <v>0</v>
      </c>
      <c r="X64" s="20">
        <f>IF(RESULTADO!$F$148&lt;=X$59,(X$22),0)</f>
        <v>0</v>
      </c>
      <c r="Y64" s="20">
        <f>IF(RESULTADO!$F$148&lt;=Y$59,(Y$22),0)</f>
        <v>0</v>
      </c>
      <c r="Z64" s="400">
        <f>IF(RESULTADO!$F$148&lt;=Z$59,(Z$22),0)</f>
        <v>0</v>
      </c>
      <c r="AA64" s="401">
        <f>IF(RESULTADO!$F$148&lt;=AA$59,(AA$22),0)</f>
        <v>0</v>
      </c>
      <c r="AB64" s="20">
        <f>IF(RESULTADO!$F$148&lt;=AB$59,(AB$22),0)</f>
        <v>0</v>
      </c>
      <c r="AC64" s="20">
        <f>IF(RESULTADO!$F$148&lt;=AC$59,(AC$22),0)</f>
        <v>0</v>
      </c>
      <c r="AD64" s="20">
        <f>IF(RESULTADO!$F$148&lt;=AD$59,(AD$22),0)</f>
        <v>0</v>
      </c>
      <c r="AE64" s="20">
        <f>IF(RESULTADO!$F$148&lt;=AE$59,(AE$22),0)</f>
        <v>0</v>
      </c>
      <c r="AF64" s="20">
        <f>IF(RESULTADO!$F$148&lt;=AF$59,(AF$22),0)</f>
        <v>0</v>
      </c>
      <c r="AG64" s="20">
        <f>IF(RESULTADO!$F$148&lt;=AG$59,(AG$22),0)</f>
        <v>0</v>
      </c>
      <c r="AH64" s="20">
        <f>IF(RESULTADO!$F$148&lt;=AH$59,(AH$22),0)</f>
        <v>0</v>
      </c>
      <c r="AI64" s="20">
        <f>IF(RESULTADO!$F$148&lt;=AI$59,(AI$22),0)</f>
        <v>0</v>
      </c>
      <c r="AJ64" s="20">
        <f>IF(RESULTADO!$F$148&lt;=AJ$59,(AJ$22),0)</f>
        <v>0</v>
      </c>
      <c r="AK64" s="20">
        <f>IF(RESULTADO!$F$148&lt;=AK$59,(AK$22),0)</f>
        <v>0</v>
      </c>
      <c r="AL64" s="400">
        <f>IF(RESULTADO!$F$148&lt;=AL$59,(AL$22),0)</f>
        <v>0</v>
      </c>
      <c r="AM64" s="401">
        <f>IF(RESULTADO!$F$148&lt;=AM$59,(AM$22),0)</f>
        <v>0</v>
      </c>
      <c r="AN64" s="20">
        <f>IF(RESULTADO!$F$148&lt;=AN$59,(AN$22),0)</f>
        <v>0</v>
      </c>
      <c r="AO64" s="20">
        <f>IF(RESULTADO!$F$148&lt;=AO$59,(AO$22),0)</f>
        <v>0</v>
      </c>
      <c r="AP64" s="20">
        <f>IF(RESULTADO!$F$148&lt;=AP$59,(AP$22),0)</f>
        <v>0</v>
      </c>
      <c r="AQ64" s="20">
        <f>IF(RESULTADO!$F$148&lt;=AQ$59,(AQ$22),0)</f>
        <v>0</v>
      </c>
      <c r="AR64" s="20">
        <f>IF(RESULTADO!$F$148&lt;=AR$59,(AR$22),0)</f>
        <v>0</v>
      </c>
      <c r="AS64" s="20">
        <f>IF(RESULTADO!$F$148&lt;=AS$59,(AS$22),0)</f>
        <v>0</v>
      </c>
      <c r="AT64" s="20">
        <f>IF(RESULTADO!$F$148&lt;=AT$59,(AT$22),0)</f>
        <v>0</v>
      </c>
      <c r="AU64" s="20">
        <f>IF(RESULTADO!$F$148&lt;=AU$59,(AU$22),0)</f>
        <v>0</v>
      </c>
      <c r="AV64" s="20">
        <f>IF(RESULTADO!$F$148&lt;=AV$59,(AV$22),0)</f>
        <v>0</v>
      </c>
      <c r="AW64" s="20">
        <f>IF(RESULTADO!$F$148&lt;=AW$59,(AW$22),0)</f>
        <v>0</v>
      </c>
      <c r="AX64" s="400">
        <f>IF(RESULTADO!$F$148&lt;=AX$59,(AX$22),0)</f>
        <v>0</v>
      </c>
      <c r="AY64" s="401">
        <f>IF(RESULTADO!$F$148&lt;=AY$59,(AY$22),0)</f>
        <v>0</v>
      </c>
      <c r="AZ64" s="20">
        <f>IF(RESULTADO!$F$148&lt;=AZ$59,(AZ$22),0)</f>
        <v>0</v>
      </c>
      <c r="BA64" s="20">
        <f>IF(RESULTADO!$F$148&lt;=BA$59,(BA$22),0)</f>
        <v>0</v>
      </c>
      <c r="BB64" s="20">
        <f>IF(RESULTADO!$F$148&lt;=BB$59,(BB$22),0)</f>
        <v>0</v>
      </c>
      <c r="BC64" s="20">
        <f>IF(RESULTADO!$F$148&lt;=BC$59,(BC$22),0)</f>
        <v>0</v>
      </c>
      <c r="BD64" s="20">
        <f>IF(RESULTADO!$F$148&lt;=BD$59,(BD$22),0)</f>
        <v>0</v>
      </c>
      <c r="BE64" s="20">
        <f>IF(RESULTADO!$F$148&lt;=BE$59,(BE$22),0)</f>
        <v>0</v>
      </c>
      <c r="BF64" s="20">
        <f>IF(RESULTADO!$F$148&lt;=BF$59,(BF$22),0)</f>
        <v>0</v>
      </c>
      <c r="BG64" s="20">
        <f>IF(RESULTADO!$F$148&lt;=BG$59,(BG$22),0)</f>
        <v>0</v>
      </c>
      <c r="BH64" s="20">
        <f>IF(RESULTADO!$F$148&lt;=BH$59,(BH$22),0)</f>
        <v>0</v>
      </c>
      <c r="BI64" s="20">
        <f>IF(RESULTADO!$F$148&lt;=BI$59,(BI$22),0)</f>
        <v>0</v>
      </c>
      <c r="BJ64" s="467">
        <f>IF(RESULTADO!$F$148&lt;=BJ$59,(BJ$22),0)</f>
        <v>0</v>
      </c>
      <c r="BK64" s="461"/>
    </row>
    <row r="65" spans="1:63" x14ac:dyDescent="0.25">
      <c r="A65" s="7"/>
      <c r="B65" s="37" t="s">
        <v>100</v>
      </c>
      <c r="C65" s="329">
        <f>IF(RESULTADO!$F$148&lt;=C$59,(C$22),0)</f>
        <v>0</v>
      </c>
      <c r="D65" s="18">
        <f>IF(RESULTADO!$F$148&lt;=D$59,(D$22),0)</f>
        <v>0</v>
      </c>
      <c r="E65" s="18">
        <f>IF(RESULTADO!$F$148&lt;=E$59,(E$22),0)</f>
        <v>0</v>
      </c>
      <c r="F65" s="18">
        <f>IF(RESULTADO!$F$148&lt;=F$59,(F$22),0)</f>
        <v>0</v>
      </c>
      <c r="G65" s="18">
        <f>IF(RESULTADO!$F$148&lt;=G$59,(G$22),0)</f>
        <v>0</v>
      </c>
      <c r="H65" s="18">
        <f>IF(RESULTADO!$F$148&lt;=H$59,(H$22),0)</f>
        <v>0</v>
      </c>
      <c r="I65" s="18">
        <f>IF(RESULTADO!$F$148&lt;=I$59,(I$22),0)</f>
        <v>0</v>
      </c>
      <c r="J65" s="18">
        <f>IF(RESULTADO!$F$148&lt;=J$59,(J$22),0)</f>
        <v>0</v>
      </c>
      <c r="K65" s="18">
        <f>IF(RESULTADO!$F$148&lt;=K$59,(K$22),0)</f>
        <v>0</v>
      </c>
      <c r="L65" s="18">
        <f>IF(RESULTADO!$F$148&lt;=L$59,(L$22),0)</f>
        <v>0</v>
      </c>
      <c r="M65" s="18">
        <f>IF(RESULTADO!$F$148&lt;=M$59,(M$22),0)</f>
        <v>0</v>
      </c>
      <c r="N65" s="402">
        <f>IF(RESULTADO!$F$148&lt;=N$59,(N$22),0)</f>
        <v>0</v>
      </c>
      <c r="O65" s="403">
        <f>IF(RESULTADO!$F$148&lt;=O$59,(O$22),0)</f>
        <v>0</v>
      </c>
      <c r="P65" s="18">
        <f>IF(RESULTADO!$F$148&lt;=P$59,(P$22),0)</f>
        <v>0</v>
      </c>
      <c r="Q65" s="18">
        <f>IF(RESULTADO!$F$148&lt;=Q$59,(Q$22),0)</f>
        <v>0</v>
      </c>
      <c r="R65" s="18">
        <f>IF(RESULTADO!$F$148&lt;=R$59,(R$22),0)</f>
        <v>0</v>
      </c>
      <c r="S65" s="18">
        <f>IF(RESULTADO!$F$148&lt;=S$59,(S$22),0)</f>
        <v>0</v>
      </c>
      <c r="T65" s="18">
        <f>IF(RESULTADO!$F$148&lt;=T$59,(T$22),0)</f>
        <v>0</v>
      </c>
      <c r="U65" s="18">
        <f>IF(RESULTADO!$F$148&lt;=U$59,(U$22),0)</f>
        <v>0</v>
      </c>
      <c r="V65" s="18">
        <f>IF(RESULTADO!$F$148&lt;=V$59,(V$22),0)</f>
        <v>0</v>
      </c>
      <c r="W65" s="18">
        <f>IF(RESULTADO!$F$148&lt;=W$59,(W$22),0)</f>
        <v>0</v>
      </c>
      <c r="X65" s="18">
        <f>IF(RESULTADO!$F$148&lt;=X$59,(X$22),0)</f>
        <v>0</v>
      </c>
      <c r="Y65" s="18">
        <f>IF(RESULTADO!$F$148&lt;=Y$59,(Y$22),0)</f>
        <v>0</v>
      </c>
      <c r="Z65" s="402">
        <f>IF(RESULTADO!$F$148&lt;=Z$59,(Z$22),0)</f>
        <v>0</v>
      </c>
      <c r="AA65" s="403">
        <f>IF(RESULTADO!$F$148&lt;=AA$59,(AA$22),0)</f>
        <v>0</v>
      </c>
      <c r="AB65" s="18">
        <f>IF(RESULTADO!$F$148&lt;=AB$59,(AB$22),0)</f>
        <v>0</v>
      </c>
      <c r="AC65" s="18">
        <f>IF(RESULTADO!$F$148&lt;=AC$59,(AC$22),0)</f>
        <v>0</v>
      </c>
      <c r="AD65" s="18">
        <f>IF(RESULTADO!$F$148&lt;=AD$59,(AD$22),0)</f>
        <v>0</v>
      </c>
      <c r="AE65" s="18">
        <f>IF(RESULTADO!$F$148&lt;=AE$59,(AE$22),0)</f>
        <v>0</v>
      </c>
      <c r="AF65" s="18">
        <f>IF(RESULTADO!$F$148&lt;=AF$59,(AF$22),0)</f>
        <v>0</v>
      </c>
      <c r="AG65" s="18">
        <f>IF(RESULTADO!$F$148&lt;=AG$59,(AG$22),0)</f>
        <v>0</v>
      </c>
      <c r="AH65" s="18">
        <f>IF(RESULTADO!$F$148&lt;=AH$59,(AH$22),0)</f>
        <v>0</v>
      </c>
      <c r="AI65" s="18">
        <f>IF(RESULTADO!$F$148&lt;=AI$59,(AI$22),0)</f>
        <v>0</v>
      </c>
      <c r="AJ65" s="18">
        <f>IF(RESULTADO!$F$148&lt;=AJ$59,(AJ$22),0)</f>
        <v>0</v>
      </c>
      <c r="AK65" s="18">
        <f>IF(RESULTADO!$F$148&lt;=AK$59,(AK$22),0)</f>
        <v>0</v>
      </c>
      <c r="AL65" s="402">
        <f>IF(RESULTADO!$F$148&lt;=AL$59,(AL$22),0)</f>
        <v>0</v>
      </c>
      <c r="AM65" s="403">
        <f>IF(RESULTADO!$F$148&lt;=AM$59,(AM$22),0)</f>
        <v>0</v>
      </c>
      <c r="AN65" s="18">
        <f>IF(RESULTADO!$F$148&lt;=AN$59,(AN$22),0)</f>
        <v>0</v>
      </c>
      <c r="AO65" s="18">
        <f>IF(RESULTADO!$F$148&lt;=AO$59,(AO$22),0)</f>
        <v>0</v>
      </c>
      <c r="AP65" s="18">
        <f>IF(RESULTADO!$F$148&lt;=AP$59,(AP$22),0)</f>
        <v>0</v>
      </c>
      <c r="AQ65" s="18">
        <f>IF(RESULTADO!$F$148&lt;=AQ$59,(AQ$22),0)</f>
        <v>0</v>
      </c>
      <c r="AR65" s="18">
        <f>IF(RESULTADO!$F$148&lt;=AR$59,(AR$22),0)</f>
        <v>0</v>
      </c>
      <c r="AS65" s="18">
        <f>IF(RESULTADO!$F$148&lt;=AS$59,(AS$22),0)</f>
        <v>0</v>
      </c>
      <c r="AT65" s="18">
        <f>IF(RESULTADO!$F$148&lt;=AT$59,(AT$22),0)</f>
        <v>0</v>
      </c>
      <c r="AU65" s="18">
        <f>IF(RESULTADO!$F$148&lt;=AU$59,(AU$22),0)</f>
        <v>0</v>
      </c>
      <c r="AV65" s="18">
        <f>IF(RESULTADO!$F$148&lt;=AV$59,(AV$22),0)</f>
        <v>0</v>
      </c>
      <c r="AW65" s="18">
        <f>IF(RESULTADO!$F$148&lt;=AW$59,(AW$22),0)</f>
        <v>0</v>
      </c>
      <c r="AX65" s="402">
        <f>IF(RESULTADO!$F$148&lt;=AX$59,(AX$22),0)</f>
        <v>0</v>
      </c>
      <c r="AY65" s="403">
        <f>IF(RESULTADO!$F$148&lt;=AY$59,(AY$22),0)</f>
        <v>0</v>
      </c>
      <c r="AZ65" s="18">
        <f>IF(RESULTADO!$F$148&lt;=AZ$59,(AZ$22),0)</f>
        <v>0</v>
      </c>
      <c r="BA65" s="18">
        <f>IF(RESULTADO!$F$148&lt;=BA$59,(BA$22),0)</f>
        <v>0</v>
      </c>
      <c r="BB65" s="18">
        <f>IF(RESULTADO!$F$148&lt;=BB$59,(BB$22),0)</f>
        <v>0</v>
      </c>
      <c r="BC65" s="18">
        <f>IF(RESULTADO!$F$148&lt;=BC$59,(BC$22),0)</f>
        <v>0</v>
      </c>
      <c r="BD65" s="18">
        <f>IF(RESULTADO!$F$148&lt;=BD$59,(BD$22),0)</f>
        <v>0</v>
      </c>
      <c r="BE65" s="18">
        <f>IF(RESULTADO!$F$148&lt;=BE$59,(BE$22),0)</f>
        <v>0</v>
      </c>
      <c r="BF65" s="18">
        <f>IF(RESULTADO!$F$148&lt;=BF$59,(BF$22),0)</f>
        <v>0</v>
      </c>
      <c r="BG65" s="18">
        <f>IF(RESULTADO!$F$148&lt;=BG$59,(BG$22),0)</f>
        <v>0</v>
      </c>
      <c r="BH65" s="18">
        <f>IF(RESULTADO!$F$148&lt;=BH$59,(BH$22),0)</f>
        <v>0</v>
      </c>
      <c r="BI65" s="18">
        <f>IF(RESULTADO!$F$148&lt;=BI$59,(BI$22),0)</f>
        <v>0</v>
      </c>
      <c r="BJ65" s="19">
        <f>IF(RESULTADO!$F$148&lt;=BJ$59,(BJ$22),0)</f>
        <v>0</v>
      </c>
      <c r="BK65" s="461"/>
    </row>
    <row r="66" spans="1:63" x14ac:dyDescent="0.25">
      <c r="A66" s="7"/>
      <c r="B66" s="37" t="s">
        <v>101</v>
      </c>
      <c r="C66" s="18">
        <f>IF(RESULTADO!$F$148&lt;=C$59,(C$22),0)</f>
        <v>0</v>
      </c>
      <c r="D66" s="18">
        <f>IF(RESULTADO!$F$148&lt;=D$59,(D$22),0)</f>
        <v>0</v>
      </c>
      <c r="E66" s="18">
        <f>IF(RESULTADO!$F$148&lt;=E$59,(E$22),0)</f>
        <v>0</v>
      </c>
      <c r="F66" s="18">
        <f>IF(RESULTADO!$F$148&lt;=F$59,(F$22),0)</f>
        <v>0</v>
      </c>
      <c r="G66" s="18">
        <f>IF(RESULTADO!$F$148&lt;=G$59,(G$22),0)</f>
        <v>0</v>
      </c>
      <c r="H66" s="18">
        <f>IF(RESULTADO!$F$148&lt;=H$59,(H$22),0)</f>
        <v>0</v>
      </c>
      <c r="I66" s="18">
        <f>IF(RESULTADO!$F$148&lt;=I$59,(I$22),0)</f>
        <v>0</v>
      </c>
      <c r="J66" s="18">
        <f>IF(RESULTADO!$F$148&lt;=J$59,(J$22),0)</f>
        <v>0</v>
      </c>
      <c r="K66" s="18">
        <f>IF(RESULTADO!$F$148&lt;=K$59,(K$22),0)</f>
        <v>0</v>
      </c>
      <c r="L66" s="18">
        <f>IF(RESULTADO!$F$148&lt;=L$59,(L$22),0)</f>
        <v>0</v>
      </c>
      <c r="M66" s="18">
        <f>IF(RESULTADO!$F$148&lt;=M$59,(M$22),0)</f>
        <v>0</v>
      </c>
      <c r="N66" s="402">
        <f>IF(RESULTADO!$F$148&lt;=N$59,(N$22),0)</f>
        <v>0</v>
      </c>
      <c r="O66" s="403">
        <f>IF(RESULTADO!$F$148&lt;=O$59,(O$22),0)</f>
        <v>0</v>
      </c>
      <c r="P66" s="18">
        <f>IF(RESULTADO!$F$148&lt;=P$59,(P$22),0)</f>
        <v>0</v>
      </c>
      <c r="Q66" s="18">
        <f>IF(RESULTADO!$F$148&lt;=Q$59,(Q$22),0)</f>
        <v>0</v>
      </c>
      <c r="R66" s="18">
        <f>IF(RESULTADO!$F$148&lt;=R$59,(R$22),0)</f>
        <v>0</v>
      </c>
      <c r="S66" s="18">
        <f>IF(RESULTADO!$F$148&lt;=S$59,(S$22),0)</f>
        <v>0</v>
      </c>
      <c r="T66" s="18">
        <f>IF(RESULTADO!$F$148&lt;=T$59,(T$22),0)</f>
        <v>0</v>
      </c>
      <c r="U66" s="18">
        <f>IF(RESULTADO!$F$148&lt;=U$59,(U$22),0)</f>
        <v>0</v>
      </c>
      <c r="V66" s="18">
        <f>IF(RESULTADO!$F$148&lt;=V$59,(V$22),0)</f>
        <v>0</v>
      </c>
      <c r="W66" s="18">
        <f>IF(RESULTADO!$F$148&lt;=W$59,(W$22),0)</f>
        <v>0</v>
      </c>
      <c r="X66" s="18">
        <f>IF(RESULTADO!$F$148&lt;=X$59,(X$22),0)</f>
        <v>0</v>
      </c>
      <c r="Y66" s="18">
        <f>IF(RESULTADO!$F$148&lt;=Y$59,(Y$22),0)</f>
        <v>0</v>
      </c>
      <c r="Z66" s="402">
        <f>IF(RESULTADO!$F$148&lt;=Z$59,(Z$22),0)</f>
        <v>0</v>
      </c>
      <c r="AA66" s="403">
        <f>IF(RESULTADO!$F$148&lt;=AA$59,(AA$22),0)</f>
        <v>0</v>
      </c>
      <c r="AB66" s="18">
        <f>IF(RESULTADO!$F$148&lt;=AB$59,(AB$22),0)</f>
        <v>0</v>
      </c>
      <c r="AC66" s="18">
        <f>IF(RESULTADO!$F$148&lt;=AC$59,(AC$22),0)</f>
        <v>0</v>
      </c>
      <c r="AD66" s="18">
        <f>IF(RESULTADO!$F$148&lt;=AD$59,(AD$22),0)</f>
        <v>0</v>
      </c>
      <c r="AE66" s="18">
        <f>IF(RESULTADO!$F$148&lt;=AE$59,(AE$22),0)</f>
        <v>0</v>
      </c>
      <c r="AF66" s="18">
        <f>IF(RESULTADO!$F$148&lt;=AF$59,(AF$22),0)</f>
        <v>0</v>
      </c>
      <c r="AG66" s="18">
        <f>IF(RESULTADO!$F$148&lt;=AG$59,(AG$22),0)</f>
        <v>0</v>
      </c>
      <c r="AH66" s="18">
        <f>IF(RESULTADO!$F$148&lt;=AH$59,(AH$22),0)</f>
        <v>0</v>
      </c>
      <c r="AI66" s="18">
        <f>IF(RESULTADO!$F$148&lt;=AI$59,(AI$22),0)</f>
        <v>0</v>
      </c>
      <c r="AJ66" s="18">
        <f>IF(RESULTADO!$F$148&lt;=AJ$59,(AJ$22),0)</f>
        <v>0</v>
      </c>
      <c r="AK66" s="18">
        <f>IF(RESULTADO!$F$148&lt;=AK$59,(AK$22),0)</f>
        <v>0</v>
      </c>
      <c r="AL66" s="402">
        <f>IF(RESULTADO!$F$148&lt;=AL$59,(AL$22),0)</f>
        <v>0</v>
      </c>
      <c r="AM66" s="403">
        <f>IF(RESULTADO!$F$148&lt;=AM$59,(AM$22),0)</f>
        <v>0</v>
      </c>
      <c r="AN66" s="18">
        <f>IF(RESULTADO!$F$148&lt;=AN$59,(AN$22),0)</f>
        <v>0</v>
      </c>
      <c r="AO66" s="18">
        <f>IF(RESULTADO!$F$148&lt;=AO$59,(AO$22),0)</f>
        <v>0</v>
      </c>
      <c r="AP66" s="18">
        <f>IF(RESULTADO!$F$148&lt;=AP$59,(AP$22),0)</f>
        <v>0</v>
      </c>
      <c r="AQ66" s="18">
        <f>IF(RESULTADO!$F$148&lt;=AQ$59,(AQ$22),0)</f>
        <v>0</v>
      </c>
      <c r="AR66" s="18">
        <f>IF(RESULTADO!$F$148&lt;=AR$59,(AR$22),0)</f>
        <v>0</v>
      </c>
      <c r="AS66" s="18">
        <f>IF(RESULTADO!$F$148&lt;=AS$59,(AS$22),0)</f>
        <v>0</v>
      </c>
      <c r="AT66" s="18">
        <f>IF(RESULTADO!$F$148&lt;=AT$59,(AT$22),0)</f>
        <v>0</v>
      </c>
      <c r="AU66" s="18">
        <f>IF(RESULTADO!$F$148&lt;=AU$59,(AU$22),0)</f>
        <v>0</v>
      </c>
      <c r="AV66" s="18">
        <f>IF(RESULTADO!$F$148&lt;=AV$59,(AV$22),0)</f>
        <v>0</v>
      </c>
      <c r="AW66" s="18">
        <f>IF(RESULTADO!$F$148&lt;=AW$59,(AW$22),0)</f>
        <v>0</v>
      </c>
      <c r="AX66" s="402">
        <f>IF(RESULTADO!$F$148&lt;=AX$59,(AX$22),0)</f>
        <v>0</v>
      </c>
      <c r="AY66" s="403">
        <f>IF(RESULTADO!$F$148&lt;=AY$59,(AY$22),0)</f>
        <v>0</v>
      </c>
      <c r="AZ66" s="18">
        <f>IF(RESULTADO!$F$148&lt;=AZ$59,(AZ$22),0)</f>
        <v>0</v>
      </c>
      <c r="BA66" s="18">
        <f>IF(RESULTADO!$F$148&lt;=BA$59,(BA$22),0)</f>
        <v>0</v>
      </c>
      <c r="BB66" s="18">
        <f>IF(RESULTADO!$F$148&lt;=BB$59,(BB$22),0)</f>
        <v>0</v>
      </c>
      <c r="BC66" s="18">
        <f>IF(RESULTADO!$F$148&lt;=BC$59,(BC$22),0)</f>
        <v>0</v>
      </c>
      <c r="BD66" s="18">
        <f>IF(RESULTADO!$F$148&lt;=BD$59,(BD$22),0)</f>
        <v>0</v>
      </c>
      <c r="BE66" s="18">
        <f>IF(RESULTADO!$F$148&lt;=BE$59,(BE$22),0)</f>
        <v>0</v>
      </c>
      <c r="BF66" s="18">
        <f>IF(RESULTADO!$F$148&lt;=BF$59,(BF$22),0)</f>
        <v>0</v>
      </c>
      <c r="BG66" s="18">
        <f>IF(RESULTADO!$F$148&lt;=BG$59,(BG$22),0)</f>
        <v>0</v>
      </c>
      <c r="BH66" s="18">
        <f>IF(RESULTADO!$F$148&lt;=BH$59,(BH$22),0)</f>
        <v>0</v>
      </c>
      <c r="BI66" s="18">
        <f>IF(RESULTADO!$F$148&lt;=BI$59,(BI$22),0)</f>
        <v>0</v>
      </c>
      <c r="BJ66" s="19">
        <f>IF(RESULTADO!$F$148&lt;=BJ$59,(BJ$22),0)</f>
        <v>0</v>
      </c>
      <c r="BK66" s="461"/>
    </row>
    <row r="67" spans="1:63" ht="15.75" thickBot="1" x14ac:dyDescent="0.3">
      <c r="A67" s="7"/>
      <c r="B67" s="38" t="s">
        <v>102</v>
      </c>
      <c r="C67" s="23">
        <f>IF(RESULTADO!$F$148&lt;=C$59,(C$22),0)</f>
        <v>0</v>
      </c>
      <c r="D67" s="23">
        <f>IF(RESULTADO!$F$148&lt;=D$59,(D$22),0)</f>
        <v>0</v>
      </c>
      <c r="E67" s="23">
        <f>IF(RESULTADO!$F$148&lt;=E$59,(E$22),0)</f>
        <v>0</v>
      </c>
      <c r="F67" s="23">
        <f>IF(RESULTADO!$F$148&lt;=F$59,(F$22),0)</f>
        <v>0</v>
      </c>
      <c r="G67" s="23">
        <f>IF(RESULTADO!$F$148&lt;=G$59,(G$22),0)</f>
        <v>0</v>
      </c>
      <c r="H67" s="23">
        <f>IF(RESULTADO!$F$148&lt;=H$59,(H$22),0)</f>
        <v>0</v>
      </c>
      <c r="I67" s="23">
        <f>IF(RESULTADO!$F$148&lt;=I$59,(I$22),0)</f>
        <v>0</v>
      </c>
      <c r="J67" s="23">
        <f>IF(RESULTADO!$F$148&lt;=J$59,(J$22),0)</f>
        <v>0</v>
      </c>
      <c r="K67" s="23">
        <f>IF(RESULTADO!$F$148&lt;=K$59,(K$22),0)</f>
        <v>0</v>
      </c>
      <c r="L67" s="23">
        <f>IF(RESULTADO!$F$148&lt;=L$59,(L$22),0)</f>
        <v>0</v>
      </c>
      <c r="M67" s="23">
        <f>IF(RESULTADO!$F$148&lt;=M$59,(M$22),0)</f>
        <v>0</v>
      </c>
      <c r="N67" s="404">
        <f>IF(RESULTADO!$F$148&lt;=N$59,(N$22),0)</f>
        <v>0</v>
      </c>
      <c r="O67" s="405">
        <f>IF(RESULTADO!$F$148&lt;=O$59,(O$22),0)</f>
        <v>0</v>
      </c>
      <c r="P67" s="23">
        <f>IF(RESULTADO!$F$148&lt;=P$59,(P$22),0)</f>
        <v>0</v>
      </c>
      <c r="Q67" s="23">
        <f>IF(RESULTADO!$F$148&lt;=Q$59,(Q$22),0)</f>
        <v>0</v>
      </c>
      <c r="R67" s="23">
        <f>IF(RESULTADO!$F$148&lt;=R$59,(R$22),0)</f>
        <v>0</v>
      </c>
      <c r="S67" s="23">
        <f>IF(RESULTADO!$F$148&lt;=S$59,(S$22),0)</f>
        <v>0</v>
      </c>
      <c r="T67" s="23">
        <f>IF(RESULTADO!$F$148&lt;=T$59,(T$22),0)</f>
        <v>0</v>
      </c>
      <c r="U67" s="23">
        <f>IF(RESULTADO!$F$148&lt;=U$59,(U$22),0)</f>
        <v>0</v>
      </c>
      <c r="V67" s="23">
        <f>IF(RESULTADO!$F$148&lt;=V$59,(V$22),0)</f>
        <v>0</v>
      </c>
      <c r="W67" s="23">
        <f>IF(RESULTADO!$F$148&lt;=W$59,(W$22),0)</f>
        <v>0</v>
      </c>
      <c r="X67" s="23">
        <f>IF(RESULTADO!$F$148&lt;=X$59,(X$22),0)</f>
        <v>0</v>
      </c>
      <c r="Y67" s="23">
        <f>IF(RESULTADO!$F$148&lt;=Y$59,(Y$22),0)</f>
        <v>0</v>
      </c>
      <c r="Z67" s="404">
        <f>IF(RESULTADO!$F$148&lt;=Z$59,(Z$22),0)</f>
        <v>0</v>
      </c>
      <c r="AA67" s="405">
        <f>IF(RESULTADO!$F$148&lt;=AA$59,(AA$22),0)</f>
        <v>0</v>
      </c>
      <c r="AB67" s="23">
        <f>IF(RESULTADO!$F$148&lt;=AB$59,(AB$22),0)</f>
        <v>0</v>
      </c>
      <c r="AC67" s="23">
        <f>IF(RESULTADO!$F$148&lt;=AC$59,(AC$22),0)</f>
        <v>0</v>
      </c>
      <c r="AD67" s="23">
        <f>IF(RESULTADO!$F$148&lt;=AD$59,(AD$22),0)</f>
        <v>0</v>
      </c>
      <c r="AE67" s="23">
        <f>IF(RESULTADO!$F$148&lt;=AE$59,(AE$22),0)</f>
        <v>0</v>
      </c>
      <c r="AF67" s="23">
        <f>IF(RESULTADO!$F$148&lt;=AF$59,(AF$22),0)</f>
        <v>0</v>
      </c>
      <c r="AG67" s="23">
        <f>IF(RESULTADO!$F$148&lt;=AG$59,(AG$22),0)</f>
        <v>0</v>
      </c>
      <c r="AH67" s="23">
        <f>IF(RESULTADO!$F$148&lt;=AH$59,(AH$22),0)</f>
        <v>0</v>
      </c>
      <c r="AI67" s="23">
        <f>IF(RESULTADO!$F$148&lt;=AI$59,(AI$22),0)</f>
        <v>0</v>
      </c>
      <c r="AJ67" s="23">
        <f>IF(RESULTADO!$F$148&lt;=AJ$59,(AJ$22),0)</f>
        <v>0</v>
      </c>
      <c r="AK67" s="23">
        <f>IF(RESULTADO!$F$148&lt;=AK$59,(AK$22),0)</f>
        <v>0</v>
      </c>
      <c r="AL67" s="404">
        <f>IF(RESULTADO!$F$148&lt;=AL$59,(AL$22),0)</f>
        <v>0</v>
      </c>
      <c r="AM67" s="405">
        <f>IF(RESULTADO!$F$148&lt;=AM$59,(AM$22),0)</f>
        <v>0</v>
      </c>
      <c r="AN67" s="23">
        <f>IF(RESULTADO!$F$148&lt;=AN$59,(AN$22),0)</f>
        <v>0</v>
      </c>
      <c r="AO67" s="23">
        <f>IF(RESULTADO!$F$148&lt;=AO$59,(AO$22),0)</f>
        <v>0</v>
      </c>
      <c r="AP67" s="23">
        <f>IF(RESULTADO!$F$148&lt;=AP$59,(AP$22),0)</f>
        <v>0</v>
      </c>
      <c r="AQ67" s="23">
        <f>IF(RESULTADO!$F$148&lt;=AQ$59,(AQ$22),0)</f>
        <v>0</v>
      </c>
      <c r="AR67" s="23">
        <f>IF(RESULTADO!$F$148&lt;=AR$59,(AR$22),0)</f>
        <v>0</v>
      </c>
      <c r="AS67" s="23">
        <f>IF(RESULTADO!$F$148&lt;=AS$59,(AS$22),0)</f>
        <v>0</v>
      </c>
      <c r="AT67" s="23">
        <f>IF(RESULTADO!$F$148&lt;=AT$59,(AT$22),0)</f>
        <v>0</v>
      </c>
      <c r="AU67" s="23">
        <f>IF(RESULTADO!$F$148&lt;=AU$59,(AU$22),0)</f>
        <v>0</v>
      </c>
      <c r="AV67" s="23">
        <f>IF(RESULTADO!$F$148&lt;=AV$59,(AV$22),0)</f>
        <v>0</v>
      </c>
      <c r="AW67" s="23">
        <f>IF(RESULTADO!$F$148&lt;=AW$59,(AW$22),0)</f>
        <v>0</v>
      </c>
      <c r="AX67" s="404">
        <f>IF(RESULTADO!$F$148&lt;=AX$59,(AX$22),0)</f>
        <v>0</v>
      </c>
      <c r="AY67" s="405">
        <f>IF(RESULTADO!$F$148&lt;=AY$59,(AY$22),0)</f>
        <v>0</v>
      </c>
      <c r="AZ67" s="23">
        <f>IF(RESULTADO!$F$148&lt;=AZ$59,(AZ$22),0)</f>
        <v>0</v>
      </c>
      <c r="BA67" s="23">
        <f>IF(RESULTADO!$F$148&lt;=BA$59,(BA$22),0)</f>
        <v>0</v>
      </c>
      <c r="BB67" s="23">
        <f>IF(RESULTADO!$F$148&lt;=BB$59,(BB$22),0)</f>
        <v>0</v>
      </c>
      <c r="BC67" s="23">
        <f>IF(RESULTADO!$F$148&lt;=BC$59,(BC$22),0)</f>
        <v>0</v>
      </c>
      <c r="BD67" s="23">
        <f>IF(RESULTADO!$F$148&lt;=BD$59,(BD$22),0)</f>
        <v>0</v>
      </c>
      <c r="BE67" s="23">
        <f>IF(RESULTADO!$F$148&lt;=BE$59,(BE$22),0)</f>
        <v>0</v>
      </c>
      <c r="BF67" s="23">
        <f>IF(RESULTADO!$F$148&lt;=BF$59,(BF$22),0)</f>
        <v>0</v>
      </c>
      <c r="BG67" s="23">
        <f>IF(RESULTADO!$F$148&lt;=BG$59,(BG$22),0)</f>
        <v>0</v>
      </c>
      <c r="BH67" s="23">
        <f>IF(RESULTADO!$F$148&lt;=BH$59,(BH$22),0)</f>
        <v>0</v>
      </c>
      <c r="BI67" s="23">
        <f>IF(RESULTADO!$F$148&lt;=BI$59,(BI$22),0)</f>
        <v>0</v>
      </c>
      <c r="BJ67" s="24">
        <f>IF(RESULTADO!$F$148&lt;=BJ$59,(BJ$22),0)</f>
        <v>0</v>
      </c>
      <c r="BK67" s="461"/>
    </row>
    <row r="68" spans="1:63" x14ac:dyDescent="0.25">
      <c r="A68" s="7"/>
      <c r="B68" s="36" t="s">
        <v>103</v>
      </c>
      <c r="C68" s="20">
        <f>IF(RESULTADO!$F$148&lt;=C$59,(C$23),0)</f>
        <v>0</v>
      </c>
      <c r="D68" s="20">
        <f>IF(RESULTADO!$F$148&lt;=D$59,(D$23),0)</f>
        <v>0</v>
      </c>
      <c r="E68" s="20">
        <f>IF(RESULTADO!$F$148&lt;=E$59,(E$23),0)</f>
        <v>0</v>
      </c>
      <c r="F68" s="20">
        <f>IF(RESULTADO!$F$148&lt;=F$59,(F$23),0)</f>
        <v>0</v>
      </c>
      <c r="G68" s="20">
        <f>IF(RESULTADO!$F$148&lt;=G$59,(G$23),0)</f>
        <v>0</v>
      </c>
      <c r="H68" s="20">
        <f>IF(RESULTADO!$F$148&lt;=H$59,(H$23),0)</f>
        <v>0</v>
      </c>
      <c r="I68" s="20">
        <f>IF(RESULTADO!$F$148&lt;=I$59,(I$23),0)</f>
        <v>0</v>
      </c>
      <c r="J68" s="20">
        <f>IF(RESULTADO!$F$148&lt;=J$59,(J$23),0)</f>
        <v>0</v>
      </c>
      <c r="K68" s="20">
        <f>IF(RESULTADO!$F$148&lt;=K$59,(K$23),0)</f>
        <v>0</v>
      </c>
      <c r="L68" s="20">
        <f>IF(RESULTADO!$F$148&lt;=L$59,(L$23),0)</f>
        <v>0</v>
      </c>
      <c r="M68" s="20">
        <f>IF(RESULTADO!$F$148&lt;=M$59,(M$23),0)</f>
        <v>0</v>
      </c>
      <c r="N68" s="400">
        <f>IF(RESULTADO!$F$148&lt;=N$59,(N$23),0)</f>
        <v>27</v>
      </c>
      <c r="O68" s="401">
        <f>IF(RESULTADO!$F$148&lt;=O$59,(O$23),0)</f>
        <v>30</v>
      </c>
      <c r="P68" s="20">
        <f>IF(RESULTADO!$F$148&lt;=P$59,(P$23),0)</f>
        <v>30</v>
      </c>
      <c r="Q68" s="20">
        <f>IF(RESULTADO!$F$148&lt;=Q$59,(Q$23),0)</f>
        <v>30</v>
      </c>
      <c r="R68" s="20">
        <f>IF(RESULTADO!$F$148&lt;=R$59,(R$23),0)</f>
        <v>30</v>
      </c>
      <c r="S68" s="20">
        <f>IF(RESULTADO!$F$148&lt;=S$59,(S$23),0)</f>
        <v>30</v>
      </c>
      <c r="T68" s="20">
        <f>IF(RESULTADO!$F$148&lt;=T$59,(T$23),0)</f>
        <v>30</v>
      </c>
      <c r="U68" s="20">
        <f>IF(RESULTADO!$F$148&lt;=U$59,(U$23),0)</f>
        <v>30</v>
      </c>
      <c r="V68" s="20">
        <f>IF(RESULTADO!$F$148&lt;=V$59,(V$23),0)</f>
        <v>30</v>
      </c>
      <c r="W68" s="20">
        <f>IF(RESULTADO!$F$148&lt;=W$59,(W$23),0)</f>
        <v>30</v>
      </c>
      <c r="X68" s="20">
        <f>IF(RESULTADO!$F$148&lt;=X$59,(X$23),0)</f>
        <v>30</v>
      </c>
      <c r="Y68" s="20">
        <f>IF(RESULTADO!$F$148&lt;=Y$59,(Y$23),0)</f>
        <v>30</v>
      </c>
      <c r="Z68" s="400">
        <f>IF(RESULTADO!$F$148&lt;=Z$59,(Z$23),0)</f>
        <v>30</v>
      </c>
      <c r="AA68" s="401">
        <f>IF(RESULTADO!$F$148&lt;=AA$59,(AA$23),0)</f>
        <v>32</v>
      </c>
      <c r="AB68" s="20">
        <f>IF(RESULTADO!$F$148&lt;=AB$59,(AB$23),0)</f>
        <v>32</v>
      </c>
      <c r="AC68" s="20">
        <f>IF(RESULTADO!$F$148&lt;=AC$59,(AC$23),0)</f>
        <v>32</v>
      </c>
      <c r="AD68" s="20">
        <f>IF(RESULTADO!$F$148&lt;=AD$59,(AD$23),0)</f>
        <v>32</v>
      </c>
      <c r="AE68" s="20">
        <f>IF(RESULTADO!$F$148&lt;=AE$59,(AE$23),0)</f>
        <v>32</v>
      </c>
      <c r="AF68" s="20">
        <f>IF(RESULTADO!$F$148&lt;=AF$59,(AF$23),0)</f>
        <v>32</v>
      </c>
      <c r="AG68" s="20">
        <f>IF(RESULTADO!$F$148&lt;=AG$59,(AG$23),0)</f>
        <v>32</v>
      </c>
      <c r="AH68" s="20">
        <f>IF(RESULTADO!$F$148&lt;=AH$59,(AH$23),0)</f>
        <v>32</v>
      </c>
      <c r="AI68" s="20">
        <f>IF(RESULTADO!$F$148&lt;=AI$59,(AI$23),0)</f>
        <v>32</v>
      </c>
      <c r="AJ68" s="20">
        <f>IF(RESULTADO!$F$148&lt;=AJ$59,(AJ$23),0)</f>
        <v>32</v>
      </c>
      <c r="AK68" s="20">
        <f>IF(RESULTADO!$F$148&lt;=AK$59,(AK$23),0)</f>
        <v>32</v>
      </c>
      <c r="AL68" s="400">
        <f>IF(RESULTADO!$F$148&lt;=AL$59,(AL$23),0)</f>
        <v>32</v>
      </c>
      <c r="AM68" s="401">
        <f>IF(RESULTADO!$F$148&lt;=AM$59,(AM$23),0)</f>
        <v>37</v>
      </c>
      <c r="AN68" s="20">
        <f>IF(RESULTADO!$F$148&lt;=AN$59,(AN$23),0)</f>
        <v>37</v>
      </c>
      <c r="AO68" s="20">
        <f>IF(RESULTADO!$F$148&lt;=AO$59,(AO$23),0)</f>
        <v>37</v>
      </c>
      <c r="AP68" s="20">
        <f>IF(RESULTADO!$F$148&lt;=AP$59,(AP$23),0)</f>
        <v>37</v>
      </c>
      <c r="AQ68" s="20">
        <f>IF(RESULTADO!$F$148&lt;=AQ$59,(AQ$23),0)</f>
        <v>37</v>
      </c>
      <c r="AR68" s="20">
        <f>IF(RESULTADO!$F$148&lt;=AR$59,(AR$23),0)</f>
        <v>37</v>
      </c>
      <c r="AS68" s="20">
        <f>IF(RESULTADO!$F$148&lt;=AS$59,(AS$23),0)</f>
        <v>37</v>
      </c>
      <c r="AT68" s="20">
        <f>IF(RESULTADO!$F$148&lt;=AT$59,(AT$23),0)</f>
        <v>37</v>
      </c>
      <c r="AU68" s="20">
        <f>IF(RESULTADO!$F$148&lt;=AU$59,(AU$23),0)</f>
        <v>37</v>
      </c>
      <c r="AV68" s="20">
        <f>IF(RESULTADO!$F$148&lt;=AV$59,(AV$23),0)</f>
        <v>37</v>
      </c>
      <c r="AW68" s="20">
        <f>IF(RESULTADO!$F$148&lt;=AW$59,(AW$23),0)</f>
        <v>37</v>
      </c>
      <c r="AX68" s="400">
        <f>IF(RESULTADO!$F$148&lt;=AX$59,(AX$23),0)</f>
        <v>37</v>
      </c>
      <c r="AY68" s="401">
        <f>IF(RESULTADO!$F$148&lt;=AY$59,(AY$23),0)</f>
        <v>35</v>
      </c>
      <c r="AZ68" s="20">
        <f>IF(RESULTADO!$F$148&lt;=AZ$59,(AZ$23),0)</f>
        <v>35</v>
      </c>
      <c r="BA68" s="20">
        <f>IF(RESULTADO!$F$148&lt;=BA$59,(BA$23),0)</f>
        <v>35</v>
      </c>
      <c r="BB68" s="20">
        <f>IF(RESULTADO!$F$148&lt;=BB$59,(BB$23),0)</f>
        <v>35</v>
      </c>
      <c r="BC68" s="20">
        <f>IF(RESULTADO!$F$148&lt;=BC$59,(BC$23),0)</f>
        <v>35</v>
      </c>
      <c r="BD68" s="20">
        <f>IF(RESULTADO!$F$148&lt;=BD$59,(BD$23),0)</f>
        <v>35</v>
      </c>
      <c r="BE68" s="20">
        <f>IF(RESULTADO!$F$148&lt;=BE$59,(BE$23),0)</f>
        <v>35</v>
      </c>
      <c r="BF68" s="20">
        <f>IF(RESULTADO!$F$148&lt;=BF$59,(BF$23),0)</f>
        <v>35</v>
      </c>
      <c r="BG68" s="20">
        <f>IF(RESULTADO!$F$148&lt;=BG$59,(BG$23),0)</f>
        <v>35</v>
      </c>
      <c r="BH68" s="20">
        <f>IF(RESULTADO!$F$148&lt;=BH$59,(BH$23),0)</f>
        <v>35</v>
      </c>
      <c r="BI68" s="20">
        <f>IF(RESULTADO!$F$148&lt;=BI$59,(BI$23),0)</f>
        <v>35</v>
      </c>
      <c r="BJ68" s="467">
        <f>IF(RESULTADO!$F$148&lt;=BJ$59,(BJ$23),0)</f>
        <v>35</v>
      </c>
      <c r="BK68" s="461"/>
    </row>
    <row r="69" spans="1:63" x14ac:dyDescent="0.25">
      <c r="A69" s="7"/>
      <c r="B69" s="37" t="s">
        <v>104</v>
      </c>
      <c r="C69" s="18">
        <f>IF(RESULTADO!$F$148&lt;=C$59,(C$23),0)</f>
        <v>0</v>
      </c>
      <c r="D69" s="18">
        <f>IF(RESULTADO!$F$148&lt;=D$59,(D$23),0)</f>
        <v>0</v>
      </c>
      <c r="E69" s="18">
        <f>IF(RESULTADO!$F$148&lt;=E$59,(E$23),0)</f>
        <v>0</v>
      </c>
      <c r="F69" s="18">
        <f>IF(RESULTADO!$F$148&lt;=F$59,(F$23),0)</f>
        <v>0</v>
      </c>
      <c r="G69" s="18">
        <f>IF(RESULTADO!$F$148&lt;=G$59,(G$23),0)</f>
        <v>0</v>
      </c>
      <c r="H69" s="18">
        <f>IF(RESULTADO!$F$148&lt;=H$59,(H$23),0)</f>
        <v>0</v>
      </c>
      <c r="I69" s="18">
        <f>IF(RESULTADO!$F$148&lt;=I$59,(I$23),0)</f>
        <v>0</v>
      </c>
      <c r="J69" s="18">
        <f>IF(RESULTADO!$F$148&lt;=J$59,(J$23),0)</f>
        <v>0</v>
      </c>
      <c r="K69" s="18">
        <f>IF(RESULTADO!$F$148&lt;=K$59,(K$23),0)</f>
        <v>0</v>
      </c>
      <c r="L69" s="18">
        <f>IF(RESULTADO!$F$148&lt;=L$59,(L$23),0)</f>
        <v>0</v>
      </c>
      <c r="M69" s="18">
        <f>IF(RESULTADO!$F$148&lt;=M$59,(M$23),0)</f>
        <v>0</v>
      </c>
      <c r="N69" s="402">
        <f>IF(RESULTADO!$F$148&lt;=N$59,(N$23),0)</f>
        <v>27</v>
      </c>
      <c r="O69" s="403">
        <f>IF(RESULTADO!$F$148&lt;=O$59,(O$23),0)</f>
        <v>30</v>
      </c>
      <c r="P69" s="18">
        <f>IF(RESULTADO!$F$148&lt;=P$59,(P$23),0)</f>
        <v>30</v>
      </c>
      <c r="Q69" s="18">
        <f>IF(RESULTADO!$F$148&lt;=Q$59,(Q$23),0)</f>
        <v>30</v>
      </c>
      <c r="R69" s="18">
        <f>IF(RESULTADO!$F$148&lt;=R$59,(R$23),0)</f>
        <v>30</v>
      </c>
      <c r="S69" s="18">
        <f>IF(RESULTADO!$F$148&lt;=S$59,(S$23),0)</f>
        <v>30</v>
      </c>
      <c r="T69" s="18">
        <f>IF(RESULTADO!$F$148&lt;=T$59,(T$23),0)</f>
        <v>30</v>
      </c>
      <c r="U69" s="18">
        <f>IF(RESULTADO!$F$148&lt;=U$59,(U$23),0)</f>
        <v>30</v>
      </c>
      <c r="V69" s="18">
        <f>IF(RESULTADO!$F$148&lt;=V$59,(V$23),0)</f>
        <v>30</v>
      </c>
      <c r="W69" s="18">
        <f>IF(RESULTADO!$F$148&lt;=W$59,(W$23),0)</f>
        <v>30</v>
      </c>
      <c r="X69" s="18">
        <f>IF(RESULTADO!$F$148&lt;=X$59,(X$23),0)</f>
        <v>30</v>
      </c>
      <c r="Y69" s="18">
        <f>IF(RESULTADO!$F$148&lt;=Y$59,(Y$23),0)</f>
        <v>30</v>
      </c>
      <c r="Z69" s="402">
        <f>IF(RESULTADO!$F$148&lt;=Z$59,(Z$23),0)</f>
        <v>30</v>
      </c>
      <c r="AA69" s="403">
        <f>IF(RESULTADO!$F$148&lt;=AA$59,(AA$23),0)</f>
        <v>32</v>
      </c>
      <c r="AB69" s="18">
        <f>IF(RESULTADO!$F$148&lt;=AB$59,(AB$23),0)</f>
        <v>32</v>
      </c>
      <c r="AC69" s="18">
        <f>IF(RESULTADO!$F$148&lt;=AC$59,(AC$23),0)</f>
        <v>32</v>
      </c>
      <c r="AD69" s="18">
        <f>IF(RESULTADO!$F$148&lt;=AD$59,(AD$23),0)</f>
        <v>32</v>
      </c>
      <c r="AE69" s="18">
        <f>IF(RESULTADO!$F$148&lt;=AE$59,(AE$23),0)</f>
        <v>32</v>
      </c>
      <c r="AF69" s="18">
        <f>IF(RESULTADO!$F$148&lt;=AF$59,(AF$23),0)</f>
        <v>32</v>
      </c>
      <c r="AG69" s="18">
        <f>IF(RESULTADO!$F$148&lt;=AG$59,(AG$23),0)</f>
        <v>32</v>
      </c>
      <c r="AH69" s="18">
        <f>IF(RESULTADO!$F$148&lt;=AH$59,(AH$23),0)</f>
        <v>32</v>
      </c>
      <c r="AI69" s="18">
        <f>IF(RESULTADO!$F$148&lt;=AI$59,(AI$23),0)</f>
        <v>32</v>
      </c>
      <c r="AJ69" s="18">
        <f>IF(RESULTADO!$F$148&lt;=AJ$59,(AJ$23),0)</f>
        <v>32</v>
      </c>
      <c r="AK69" s="18">
        <f>IF(RESULTADO!$F$148&lt;=AK$59,(AK$23),0)</f>
        <v>32</v>
      </c>
      <c r="AL69" s="402">
        <f>IF(RESULTADO!$F$148&lt;=AL$59,(AL$23),0)</f>
        <v>32</v>
      </c>
      <c r="AM69" s="403">
        <f>IF(RESULTADO!$F$148&lt;=AM$59,(AM$23),0)</f>
        <v>37</v>
      </c>
      <c r="AN69" s="18">
        <f>IF(RESULTADO!$F$148&lt;=AN$59,(AN$23),0)</f>
        <v>37</v>
      </c>
      <c r="AO69" s="18">
        <f>IF(RESULTADO!$F$148&lt;=AO$59,(AO$23),0)</f>
        <v>37</v>
      </c>
      <c r="AP69" s="18">
        <f>IF(RESULTADO!$F$148&lt;=AP$59,(AP$23),0)</f>
        <v>37</v>
      </c>
      <c r="AQ69" s="18">
        <f>IF(RESULTADO!$F$148&lt;=AQ$59,(AQ$23),0)</f>
        <v>37</v>
      </c>
      <c r="AR69" s="18">
        <f>IF(RESULTADO!$F$148&lt;=AR$59,(AR$23),0)</f>
        <v>37</v>
      </c>
      <c r="AS69" s="18">
        <f>IF(RESULTADO!$F$148&lt;=AS$59,(AS$23),0)</f>
        <v>37</v>
      </c>
      <c r="AT69" s="18">
        <f>IF(RESULTADO!$F$148&lt;=AT$59,(AT$23),0)</f>
        <v>37</v>
      </c>
      <c r="AU69" s="18">
        <f>IF(RESULTADO!$F$148&lt;=AU$59,(AU$23),0)</f>
        <v>37</v>
      </c>
      <c r="AV69" s="18">
        <f>IF(RESULTADO!$F$148&lt;=AV$59,(AV$23),0)</f>
        <v>37</v>
      </c>
      <c r="AW69" s="18">
        <f>IF(RESULTADO!$F$148&lt;=AW$59,(AW$23),0)</f>
        <v>37</v>
      </c>
      <c r="AX69" s="402">
        <f>IF(RESULTADO!$F$148&lt;=AX$59,(AX$23),0)</f>
        <v>37</v>
      </c>
      <c r="AY69" s="403">
        <f>IF(RESULTADO!$F$148&lt;=AY$59,(AY$23),0)</f>
        <v>35</v>
      </c>
      <c r="AZ69" s="18">
        <f>IF(RESULTADO!$F$148&lt;=AZ$59,(AZ$23),0)</f>
        <v>35</v>
      </c>
      <c r="BA69" s="18">
        <f>IF(RESULTADO!$F$148&lt;=BA$59,(BA$23),0)</f>
        <v>35</v>
      </c>
      <c r="BB69" s="18">
        <f>IF(RESULTADO!$F$148&lt;=BB$59,(BB$23),0)</f>
        <v>35</v>
      </c>
      <c r="BC69" s="18">
        <f>IF(RESULTADO!$F$148&lt;=BC$59,(BC$23),0)</f>
        <v>35</v>
      </c>
      <c r="BD69" s="18">
        <f>IF(RESULTADO!$F$148&lt;=BD$59,(BD$23),0)</f>
        <v>35</v>
      </c>
      <c r="BE69" s="18">
        <f>IF(RESULTADO!$F$148&lt;=BE$59,(BE$23),0)</f>
        <v>35</v>
      </c>
      <c r="BF69" s="18">
        <f>IF(RESULTADO!$F$148&lt;=BF$59,(BF$23),0)</f>
        <v>35</v>
      </c>
      <c r="BG69" s="18">
        <f>IF(RESULTADO!$F$148&lt;=BG$59,(BG$23),0)</f>
        <v>35</v>
      </c>
      <c r="BH69" s="18">
        <f>IF(RESULTADO!$F$148&lt;=BH$59,(BH$23),0)</f>
        <v>35</v>
      </c>
      <c r="BI69" s="18">
        <f>IF(RESULTADO!$F$148&lt;=BI$59,(BI$23),0)</f>
        <v>35</v>
      </c>
      <c r="BJ69" s="19">
        <f>IF(RESULTADO!$F$148&lt;=BJ$59,(BJ$23),0)</f>
        <v>35</v>
      </c>
      <c r="BK69" s="461"/>
    </row>
    <row r="70" spans="1:63" x14ac:dyDescent="0.25">
      <c r="A70" s="7"/>
      <c r="B70" s="37" t="s">
        <v>105</v>
      </c>
      <c r="C70" s="18">
        <f>IF(RESULTADO!$F$148&lt;=C$59,(C$23),0)</f>
        <v>0</v>
      </c>
      <c r="D70" s="18">
        <f>IF(RESULTADO!$F$148&lt;=D$59,(D$23),0)</f>
        <v>0</v>
      </c>
      <c r="E70" s="18">
        <f>IF(RESULTADO!$F$148&lt;=E$59,(E$23),0)</f>
        <v>0</v>
      </c>
      <c r="F70" s="18">
        <f>IF(RESULTADO!$F$148&lt;=F$59,(F$23),0)</f>
        <v>0</v>
      </c>
      <c r="G70" s="18">
        <f>IF(RESULTADO!$F$148&lt;=G$59,(G$23),0)</f>
        <v>0</v>
      </c>
      <c r="H70" s="18">
        <f>IF(RESULTADO!$F$148&lt;=H$59,(H$23),0)</f>
        <v>0</v>
      </c>
      <c r="I70" s="18">
        <f>IF(RESULTADO!$F$148&lt;=I$59,(I$23),0)</f>
        <v>0</v>
      </c>
      <c r="J70" s="18">
        <f>IF(RESULTADO!$F$148&lt;=J$59,(J$23),0)</f>
        <v>0</v>
      </c>
      <c r="K70" s="18">
        <f>IF(RESULTADO!$F$148&lt;=K$59,(K$23),0)</f>
        <v>0</v>
      </c>
      <c r="L70" s="18">
        <f>IF(RESULTADO!$F$148&lt;=L$59,(L$23),0)</f>
        <v>0</v>
      </c>
      <c r="M70" s="18">
        <f>IF(RESULTADO!$F$148&lt;=M$59,(M$23),0)</f>
        <v>0</v>
      </c>
      <c r="N70" s="402">
        <f>IF(RESULTADO!$F$148&lt;=N$59,(N$23),0)</f>
        <v>27</v>
      </c>
      <c r="O70" s="403">
        <f>IF(RESULTADO!$F$148&lt;=O$59,(O$23),0)</f>
        <v>30</v>
      </c>
      <c r="P70" s="18">
        <f>IF(RESULTADO!$F$148&lt;=P$59,(P$23),0)</f>
        <v>30</v>
      </c>
      <c r="Q70" s="18">
        <f>IF(RESULTADO!$F$148&lt;=Q$59,(Q$23),0)</f>
        <v>30</v>
      </c>
      <c r="R70" s="18">
        <f>IF(RESULTADO!$F$148&lt;=R$59,(R$23),0)</f>
        <v>30</v>
      </c>
      <c r="S70" s="18">
        <f>IF(RESULTADO!$F$148&lt;=S$59,(S$23),0)</f>
        <v>30</v>
      </c>
      <c r="T70" s="18">
        <f>IF(RESULTADO!$F$148&lt;=T$59,(T$23),0)</f>
        <v>30</v>
      </c>
      <c r="U70" s="18">
        <f>IF(RESULTADO!$F$148&lt;=U$59,(U$23),0)</f>
        <v>30</v>
      </c>
      <c r="V70" s="18">
        <f>IF(RESULTADO!$F$148&lt;=V$59,(V$23),0)</f>
        <v>30</v>
      </c>
      <c r="W70" s="18">
        <f>IF(RESULTADO!$F$148&lt;=W$59,(W$23),0)</f>
        <v>30</v>
      </c>
      <c r="X70" s="18">
        <f>IF(RESULTADO!$F$148&lt;=X$59,(X$23),0)</f>
        <v>30</v>
      </c>
      <c r="Y70" s="18">
        <f>IF(RESULTADO!$F$148&lt;=Y$59,(Y$23),0)</f>
        <v>30</v>
      </c>
      <c r="Z70" s="402">
        <f>IF(RESULTADO!$F$148&lt;=Z$59,(Z$23),0)</f>
        <v>30</v>
      </c>
      <c r="AA70" s="403">
        <f>IF(RESULTADO!$F$148&lt;=AA$59,(AA$23),0)</f>
        <v>32</v>
      </c>
      <c r="AB70" s="18">
        <f>IF(RESULTADO!$F$148&lt;=AB$59,(AB$23),0)</f>
        <v>32</v>
      </c>
      <c r="AC70" s="18">
        <f>IF(RESULTADO!$F$148&lt;=AC$59,(AC$23),0)</f>
        <v>32</v>
      </c>
      <c r="AD70" s="18">
        <f>IF(RESULTADO!$F$148&lt;=AD$59,(AD$23),0)</f>
        <v>32</v>
      </c>
      <c r="AE70" s="18">
        <f>IF(RESULTADO!$F$148&lt;=AE$59,(AE$23),0)</f>
        <v>32</v>
      </c>
      <c r="AF70" s="18">
        <f>IF(RESULTADO!$F$148&lt;=AF$59,(AF$23),0)</f>
        <v>32</v>
      </c>
      <c r="AG70" s="18">
        <f>IF(RESULTADO!$F$148&lt;=AG$59,(AG$23),0)</f>
        <v>32</v>
      </c>
      <c r="AH70" s="18">
        <f>IF(RESULTADO!$F$148&lt;=AH$59,(AH$23),0)</f>
        <v>32</v>
      </c>
      <c r="AI70" s="18">
        <f>IF(RESULTADO!$F$148&lt;=AI$59,(AI$23),0)</f>
        <v>32</v>
      </c>
      <c r="AJ70" s="18">
        <f>IF(RESULTADO!$F$148&lt;=AJ$59,(AJ$23),0)</f>
        <v>32</v>
      </c>
      <c r="AK70" s="18">
        <f>IF(RESULTADO!$F$148&lt;=AK$59,(AK$23),0)</f>
        <v>32</v>
      </c>
      <c r="AL70" s="402">
        <f>IF(RESULTADO!$F$148&lt;=AL$59,(AL$23),0)</f>
        <v>32</v>
      </c>
      <c r="AM70" s="403">
        <f>IF(RESULTADO!$F$148&lt;=AM$59,(AM$23),0)</f>
        <v>37</v>
      </c>
      <c r="AN70" s="18">
        <f>IF(RESULTADO!$F$148&lt;=AN$59,(AN$23),0)</f>
        <v>37</v>
      </c>
      <c r="AO70" s="18">
        <f>IF(RESULTADO!$F$148&lt;=AO$59,(AO$23),0)</f>
        <v>37</v>
      </c>
      <c r="AP70" s="18">
        <f>IF(RESULTADO!$F$148&lt;=AP$59,(AP$23),0)</f>
        <v>37</v>
      </c>
      <c r="AQ70" s="18">
        <f>IF(RESULTADO!$F$148&lt;=AQ$59,(AQ$23),0)</f>
        <v>37</v>
      </c>
      <c r="AR70" s="18">
        <f>IF(RESULTADO!$F$148&lt;=AR$59,(AR$23),0)</f>
        <v>37</v>
      </c>
      <c r="AS70" s="18">
        <f>IF(RESULTADO!$F$148&lt;=AS$59,(AS$23),0)</f>
        <v>37</v>
      </c>
      <c r="AT70" s="18">
        <f>IF(RESULTADO!$F$148&lt;=AT$59,(AT$23),0)</f>
        <v>37</v>
      </c>
      <c r="AU70" s="18">
        <f>IF(RESULTADO!$F$148&lt;=AU$59,(AU$23),0)</f>
        <v>37</v>
      </c>
      <c r="AV70" s="18">
        <f>IF(RESULTADO!$F$148&lt;=AV$59,(AV$23),0)</f>
        <v>37</v>
      </c>
      <c r="AW70" s="18">
        <f>IF(RESULTADO!$F$148&lt;=AW$59,(AW$23),0)</f>
        <v>37</v>
      </c>
      <c r="AX70" s="402">
        <f>IF(RESULTADO!$F$148&lt;=AX$59,(AX$23),0)</f>
        <v>37</v>
      </c>
      <c r="AY70" s="403">
        <f>IF(RESULTADO!$F$148&lt;=AY$59,(AY$23),0)</f>
        <v>35</v>
      </c>
      <c r="AZ70" s="18">
        <f>IF(RESULTADO!$F$148&lt;=AZ$59,(AZ$23),0)</f>
        <v>35</v>
      </c>
      <c r="BA70" s="18">
        <f>IF(RESULTADO!$F$148&lt;=BA$59,(BA$23),0)</f>
        <v>35</v>
      </c>
      <c r="BB70" s="18">
        <f>IF(RESULTADO!$F$148&lt;=BB$59,(BB$23),0)</f>
        <v>35</v>
      </c>
      <c r="BC70" s="18">
        <f>IF(RESULTADO!$F$148&lt;=BC$59,(BC$23),0)</f>
        <v>35</v>
      </c>
      <c r="BD70" s="18">
        <f>IF(RESULTADO!$F$148&lt;=BD$59,(BD$23),0)</f>
        <v>35</v>
      </c>
      <c r="BE70" s="18">
        <f>IF(RESULTADO!$F$148&lt;=BE$59,(BE$23),0)</f>
        <v>35</v>
      </c>
      <c r="BF70" s="18">
        <f>IF(RESULTADO!$F$148&lt;=BF$59,(BF$23),0)</f>
        <v>35</v>
      </c>
      <c r="BG70" s="18">
        <f>IF(RESULTADO!$F$148&lt;=BG$59,(BG$23),0)</f>
        <v>35</v>
      </c>
      <c r="BH70" s="18">
        <f>IF(RESULTADO!$F$148&lt;=BH$59,(BH$23),0)</f>
        <v>35</v>
      </c>
      <c r="BI70" s="18">
        <f>IF(RESULTADO!$F$148&lt;=BI$59,(BI$23),0)</f>
        <v>35</v>
      </c>
      <c r="BJ70" s="19">
        <f>IF(RESULTADO!$F$148&lt;=BJ$59,(BJ$23),0)</f>
        <v>35</v>
      </c>
      <c r="BK70" s="461"/>
    </row>
    <row r="71" spans="1:63" ht="15.75" thickBot="1" x14ac:dyDescent="0.3">
      <c r="A71" s="7"/>
      <c r="B71" s="38" t="s">
        <v>106</v>
      </c>
      <c r="C71" s="23">
        <f>IF(RESULTADO!$F$148&lt;=C$59,(C$23),0)</f>
        <v>0</v>
      </c>
      <c r="D71" s="23">
        <f>IF(RESULTADO!$F$148&lt;=D$59,(D$23),0)</f>
        <v>0</v>
      </c>
      <c r="E71" s="23">
        <f>IF(RESULTADO!$F$148&lt;=E$59,(E$23),0)</f>
        <v>0</v>
      </c>
      <c r="F71" s="23">
        <f>IF(RESULTADO!$F$148&lt;=F$59,(F$23),0)</f>
        <v>0</v>
      </c>
      <c r="G71" s="23">
        <f>IF(RESULTADO!$F$148&lt;=G$59,(G$23),0)</f>
        <v>0</v>
      </c>
      <c r="H71" s="23">
        <f>IF(RESULTADO!$F$148&lt;=H$59,(H$23),0)</f>
        <v>0</v>
      </c>
      <c r="I71" s="23">
        <f>IF(RESULTADO!$F$148&lt;=I$59,(I$23),0)</f>
        <v>0</v>
      </c>
      <c r="J71" s="23">
        <f>IF(RESULTADO!$F$148&lt;=J$59,(J$23),0)</f>
        <v>0</v>
      </c>
      <c r="K71" s="23">
        <f>IF(RESULTADO!$F$148&lt;=K$59,(K$23),0)</f>
        <v>0</v>
      </c>
      <c r="L71" s="23">
        <f>IF(RESULTADO!$F$148&lt;=L$59,(L$23),0)</f>
        <v>0</v>
      </c>
      <c r="M71" s="23">
        <f>IF(RESULTADO!$F$148&lt;=M$59,(M$23),0)</f>
        <v>0</v>
      </c>
      <c r="N71" s="404">
        <f>IF(RESULTADO!$F$148&lt;=N$59,(N$23),0)</f>
        <v>27</v>
      </c>
      <c r="O71" s="405">
        <f>IF(RESULTADO!$F$148&lt;=O$59,(O$23),0)</f>
        <v>30</v>
      </c>
      <c r="P71" s="23">
        <f>IF(RESULTADO!$F$148&lt;=P$59,(P$23),0)</f>
        <v>30</v>
      </c>
      <c r="Q71" s="23">
        <f>IF(RESULTADO!$F$148&lt;=Q$59,(Q$23),0)</f>
        <v>30</v>
      </c>
      <c r="R71" s="23">
        <f>IF(RESULTADO!$F$148&lt;=R$59,(R$23),0)</f>
        <v>30</v>
      </c>
      <c r="S71" s="23">
        <f>IF(RESULTADO!$F$148&lt;=S$59,(S$23),0)</f>
        <v>30</v>
      </c>
      <c r="T71" s="23">
        <f>IF(RESULTADO!$F$148&lt;=T$59,(T$23),0)</f>
        <v>30</v>
      </c>
      <c r="U71" s="23">
        <f>IF(RESULTADO!$F$148&lt;=U$59,(U$23),0)</f>
        <v>30</v>
      </c>
      <c r="V71" s="23">
        <f>IF(RESULTADO!$F$148&lt;=V$59,(V$23),0)</f>
        <v>30</v>
      </c>
      <c r="W71" s="23">
        <f>IF(RESULTADO!$F$148&lt;=W$59,(W$23),0)</f>
        <v>30</v>
      </c>
      <c r="X71" s="23">
        <f>IF(RESULTADO!$F$148&lt;=X$59,(X$23),0)</f>
        <v>30</v>
      </c>
      <c r="Y71" s="23">
        <f>IF(RESULTADO!$F$148&lt;=Y$59,(Y$23),0)</f>
        <v>30</v>
      </c>
      <c r="Z71" s="404">
        <f>IF(RESULTADO!$F$148&lt;=Z$59,(Z$23),0)</f>
        <v>30</v>
      </c>
      <c r="AA71" s="405">
        <f>IF(RESULTADO!$F$148&lt;=AA$59,(AA$23),0)</f>
        <v>32</v>
      </c>
      <c r="AB71" s="23">
        <f>IF(RESULTADO!$F$148&lt;=AB$59,(AB$23),0)</f>
        <v>32</v>
      </c>
      <c r="AC71" s="23">
        <f>IF(RESULTADO!$F$148&lt;=AC$59,(AC$23),0)</f>
        <v>32</v>
      </c>
      <c r="AD71" s="23">
        <f>IF(RESULTADO!$F$148&lt;=AD$59,(AD$23),0)</f>
        <v>32</v>
      </c>
      <c r="AE71" s="23">
        <f>IF(RESULTADO!$F$148&lt;=AE$59,(AE$23),0)</f>
        <v>32</v>
      </c>
      <c r="AF71" s="23">
        <f>IF(RESULTADO!$F$148&lt;=AF$59,(AF$23),0)</f>
        <v>32</v>
      </c>
      <c r="AG71" s="23">
        <f>IF(RESULTADO!$F$148&lt;=AG$59,(AG$23),0)</f>
        <v>32</v>
      </c>
      <c r="AH71" s="23">
        <f>IF(RESULTADO!$F$148&lt;=AH$59,(AH$23),0)</f>
        <v>32</v>
      </c>
      <c r="AI71" s="23">
        <f>IF(RESULTADO!$F$148&lt;=AI$59,(AI$23),0)</f>
        <v>32</v>
      </c>
      <c r="AJ71" s="23">
        <f>IF(RESULTADO!$F$148&lt;=AJ$59,(AJ$23),0)</f>
        <v>32</v>
      </c>
      <c r="AK71" s="23">
        <f>IF(RESULTADO!$F$148&lt;=AK$59,(AK$23),0)</f>
        <v>32</v>
      </c>
      <c r="AL71" s="404">
        <f>IF(RESULTADO!$F$148&lt;=AL$59,(AL$23),0)</f>
        <v>32</v>
      </c>
      <c r="AM71" s="405">
        <f>IF(RESULTADO!$F$148&lt;=AM$59,(AM$23),0)</f>
        <v>37</v>
      </c>
      <c r="AN71" s="23">
        <f>IF(RESULTADO!$F$148&lt;=AN$59,(AN$23),0)</f>
        <v>37</v>
      </c>
      <c r="AO71" s="23">
        <f>IF(RESULTADO!$F$148&lt;=AO$59,(AO$23),0)</f>
        <v>37</v>
      </c>
      <c r="AP71" s="23">
        <f>IF(RESULTADO!$F$148&lt;=AP$59,(AP$23),0)</f>
        <v>37</v>
      </c>
      <c r="AQ71" s="23">
        <f>IF(RESULTADO!$F$148&lt;=AQ$59,(AQ$23),0)</f>
        <v>37</v>
      </c>
      <c r="AR71" s="23">
        <f>IF(RESULTADO!$F$148&lt;=AR$59,(AR$23),0)</f>
        <v>37</v>
      </c>
      <c r="AS71" s="23">
        <f>IF(RESULTADO!$F$148&lt;=AS$59,(AS$23),0)</f>
        <v>37</v>
      </c>
      <c r="AT71" s="23">
        <f>IF(RESULTADO!$F$148&lt;=AT$59,(AT$23),0)</f>
        <v>37</v>
      </c>
      <c r="AU71" s="23">
        <f>IF(RESULTADO!$F$148&lt;=AU$59,(AU$23),0)</f>
        <v>37</v>
      </c>
      <c r="AV71" s="23">
        <f>IF(RESULTADO!$F$148&lt;=AV$59,(AV$23),0)</f>
        <v>37</v>
      </c>
      <c r="AW71" s="23">
        <f>IF(RESULTADO!$F$148&lt;=AW$59,(AW$23),0)</f>
        <v>37</v>
      </c>
      <c r="AX71" s="404">
        <f>IF(RESULTADO!$F$148&lt;=AX$59,(AX$23),0)</f>
        <v>37</v>
      </c>
      <c r="AY71" s="405">
        <f>IF(RESULTADO!$F$148&lt;=AY$59,(AY$23),0)</f>
        <v>35</v>
      </c>
      <c r="AZ71" s="23">
        <f>IF(RESULTADO!$F$148&lt;=AZ$59,(AZ$23),0)</f>
        <v>35</v>
      </c>
      <c r="BA71" s="23">
        <f>IF(RESULTADO!$F$148&lt;=BA$59,(BA$23),0)</f>
        <v>35</v>
      </c>
      <c r="BB71" s="23">
        <f>IF(RESULTADO!$F$148&lt;=BB$59,(BB$23),0)</f>
        <v>35</v>
      </c>
      <c r="BC71" s="23">
        <f>IF(RESULTADO!$F$148&lt;=BC$59,(BC$23),0)</f>
        <v>35</v>
      </c>
      <c r="BD71" s="23">
        <f>IF(RESULTADO!$F$148&lt;=BD$59,(BD$23),0)</f>
        <v>35</v>
      </c>
      <c r="BE71" s="23">
        <f>IF(RESULTADO!$F$148&lt;=BE$59,(BE$23),0)</f>
        <v>35</v>
      </c>
      <c r="BF71" s="23">
        <f>IF(RESULTADO!$F$148&lt;=BF$59,(BF$23),0)</f>
        <v>35</v>
      </c>
      <c r="BG71" s="23">
        <f>IF(RESULTADO!$F$148&lt;=BG$59,(BG$23),0)</f>
        <v>35</v>
      </c>
      <c r="BH71" s="23">
        <f>IF(RESULTADO!$F$148&lt;=BH$59,(BH$23),0)</f>
        <v>35</v>
      </c>
      <c r="BI71" s="23">
        <f>IF(RESULTADO!$F$148&lt;=BI$59,(BI$23),0)</f>
        <v>35</v>
      </c>
      <c r="BJ71" s="24">
        <f>IF(RESULTADO!$F$148&lt;=BJ$59,(BJ$23),0)</f>
        <v>35</v>
      </c>
      <c r="BK71" s="461"/>
    </row>
    <row r="72" spans="1:63" x14ac:dyDescent="0.25">
      <c r="A72" s="7"/>
      <c r="B72" s="36" t="s">
        <v>107</v>
      </c>
      <c r="C72" s="20">
        <f>IF(RESULTADO!$F$148&lt;=C$59,(C$24),0)</f>
        <v>0</v>
      </c>
      <c r="D72" s="20">
        <f>IF(RESULTADO!$F$148&lt;=D$59,(D$24),0)</f>
        <v>0</v>
      </c>
      <c r="E72" s="20">
        <f>IF(RESULTADO!$F$148&lt;=E$59,(E$24),0)</f>
        <v>0</v>
      </c>
      <c r="F72" s="20">
        <f>IF(RESULTADO!$F$148&lt;=F$59,(F$24),0)</f>
        <v>0</v>
      </c>
      <c r="G72" s="20">
        <f>IF(RESULTADO!$F$148&lt;=G$59,(G$24),0)</f>
        <v>0</v>
      </c>
      <c r="H72" s="20">
        <f>IF(RESULTADO!$F$148&lt;=H$59,(H$24),0)</f>
        <v>0</v>
      </c>
      <c r="I72" s="20">
        <f>IF(RESULTADO!$F$148&lt;=I$59,(I$24),0)</f>
        <v>0</v>
      </c>
      <c r="J72" s="20">
        <f>IF(RESULTADO!$F$148&lt;=J$59,(J$24),0)</f>
        <v>0</v>
      </c>
      <c r="K72" s="20">
        <f>IF(RESULTADO!$F$148&lt;=K$59,(K$24),0)</f>
        <v>0</v>
      </c>
      <c r="L72" s="20">
        <f>IF(RESULTADO!$F$148&lt;=L$59,(L$24),0)</f>
        <v>0</v>
      </c>
      <c r="M72" s="20">
        <f>IF(RESULTADO!$F$148&lt;=M$59,(M$24),0)</f>
        <v>0</v>
      </c>
      <c r="N72" s="400">
        <f>IF(RESULTADO!$F$148&lt;=N$59,(N$24),0)</f>
        <v>160</v>
      </c>
      <c r="O72" s="401">
        <f>IF(RESULTADO!$F$148&lt;=O$59,(O$24),0)</f>
        <v>160</v>
      </c>
      <c r="P72" s="20">
        <f>IF(RESULTADO!$F$148&lt;=P$59,(P$24),0)</f>
        <v>160</v>
      </c>
      <c r="Q72" s="20">
        <f>IF(RESULTADO!$F$148&lt;=Q$59,(Q$24),0)</f>
        <v>160</v>
      </c>
      <c r="R72" s="20">
        <f>IF(RESULTADO!$F$148&lt;=R$59,(R$24),0)</f>
        <v>160</v>
      </c>
      <c r="S72" s="20">
        <f>IF(RESULTADO!$F$148&lt;=S$59,(S$24),0)</f>
        <v>160</v>
      </c>
      <c r="T72" s="20">
        <f>IF(RESULTADO!$F$148&lt;=T$59,(T$24),0)</f>
        <v>160</v>
      </c>
      <c r="U72" s="20">
        <f>IF(RESULTADO!$F$148&lt;=U$59,(U$24),0)</f>
        <v>160</v>
      </c>
      <c r="V72" s="20">
        <f>IF(RESULTADO!$F$148&lt;=V$59,(V$24),0)</f>
        <v>160</v>
      </c>
      <c r="W72" s="20">
        <f>IF(RESULTADO!$F$148&lt;=W$59,(W$24),0)</f>
        <v>160</v>
      </c>
      <c r="X72" s="20">
        <f>IF(RESULTADO!$F$148&lt;=X$59,(X$24),0)</f>
        <v>160</v>
      </c>
      <c r="Y72" s="20">
        <f>IF(RESULTADO!$F$148&lt;=Y$59,(Y$24),0)</f>
        <v>160</v>
      </c>
      <c r="Z72" s="400">
        <f>IF(RESULTADO!$F$148&lt;=Z$59,(Z$24),0)</f>
        <v>160</v>
      </c>
      <c r="AA72" s="401">
        <f>IF(RESULTADO!$F$148&lt;=AA$59,(AA$24),0)</f>
        <v>165</v>
      </c>
      <c r="AB72" s="20">
        <f>IF(RESULTADO!$F$148&lt;=AB$59,(AB$24),0)</f>
        <v>165</v>
      </c>
      <c r="AC72" s="20">
        <f>IF(RESULTADO!$F$148&lt;=AC$59,(AC$24),0)</f>
        <v>165</v>
      </c>
      <c r="AD72" s="20">
        <f>IF(RESULTADO!$F$148&lt;=AD$59,(AD$24),0)</f>
        <v>165</v>
      </c>
      <c r="AE72" s="20">
        <f>IF(RESULTADO!$F$148&lt;=AE$59,(AE$24),0)</f>
        <v>165</v>
      </c>
      <c r="AF72" s="20">
        <f>IF(RESULTADO!$F$148&lt;=AF$59,(AF$24),0)</f>
        <v>165</v>
      </c>
      <c r="AG72" s="20">
        <f>IF(RESULTADO!$F$148&lt;=AG$59,(AG$24),0)</f>
        <v>165</v>
      </c>
      <c r="AH72" s="20">
        <f>IF(RESULTADO!$F$148&lt;=AH$59,(AH$24),0)</f>
        <v>165</v>
      </c>
      <c r="AI72" s="20">
        <f>IF(RESULTADO!$F$148&lt;=AI$59,(AI$24),0)</f>
        <v>165</v>
      </c>
      <c r="AJ72" s="20">
        <f>IF(RESULTADO!$F$148&lt;=AJ$59,(AJ$24),0)</f>
        <v>165</v>
      </c>
      <c r="AK72" s="20">
        <f>IF(RESULTADO!$F$148&lt;=AK$59,(AK$24),0)</f>
        <v>165</v>
      </c>
      <c r="AL72" s="400">
        <f>IF(RESULTADO!$F$148&lt;=AL$59,(AL$24),0)</f>
        <v>165</v>
      </c>
      <c r="AM72" s="401">
        <f>IF(RESULTADO!$F$148&lt;=AM$59,(AM$24),0)</f>
        <v>120</v>
      </c>
      <c r="AN72" s="20">
        <f>IF(RESULTADO!$F$148&lt;=AN$59,(AN$24),0)</f>
        <v>120</v>
      </c>
      <c r="AO72" s="20">
        <f>IF(RESULTADO!$F$148&lt;=AO$59,(AO$24),0)</f>
        <v>120</v>
      </c>
      <c r="AP72" s="20">
        <f>IF(RESULTADO!$F$148&lt;=AP$59,(AP$24),0)</f>
        <v>120</v>
      </c>
      <c r="AQ72" s="20">
        <f>IF(RESULTADO!$F$148&lt;=AQ$59,(AQ$24),0)</f>
        <v>120</v>
      </c>
      <c r="AR72" s="20">
        <f>IF(RESULTADO!$F$148&lt;=AR$59,(AR$24),0)</f>
        <v>120</v>
      </c>
      <c r="AS72" s="20">
        <f>IF(RESULTADO!$F$148&lt;=AS$59,(AS$24),0)</f>
        <v>120</v>
      </c>
      <c r="AT72" s="20">
        <f>IF(RESULTADO!$F$148&lt;=AT$59,(AT$24),0)</f>
        <v>120</v>
      </c>
      <c r="AU72" s="20">
        <f>IF(RESULTADO!$F$148&lt;=AU$59,(AU$24),0)</f>
        <v>120</v>
      </c>
      <c r="AV72" s="20">
        <f>IF(RESULTADO!$F$148&lt;=AV$59,(AV$24),0)</f>
        <v>120</v>
      </c>
      <c r="AW72" s="20">
        <f>IF(RESULTADO!$F$148&lt;=AW$59,(AW$24),0)</f>
        <v>120</v>
      </c>
      <c r="AX72" s="400">
        <f>IF(RESULTADO!$F$148&lt;=AX$59,(AX$24),0)</f>
        <v>120</v>
      </c>
      <c r="AY72" s="401">
        <f>IF(RESULTADO!$F$148&lt;=AY$59,(AY$24),0)</f>
        <v>115</v>
      </c>
      <c r="AZ72" s="20">
        <f>IF(RESULTADO!$F$148&lt;=AZ$59,(AZ$24),0)</f>
        <v>115</v>
      </c>
      <c r="BA72" s="20">
        <f>IF(RESULTADO!$F$148&lt;=BA$59,(BA$24),0)</f>
        <v>115</v>
      </c>
      <c r="BB72" s="20">
        <f>IF(RESULTADO!$F$148&lt;=BB$59,(BB$24),0)</f>
        <v>115</v>
      </c>
      <c r="BC72" s="20">
        <f>IF(RESULTADO!$F$148&lt;=BC$59,(BC$24),0)</f>
        <v>115</v>
      </c>
      <c r="BD72" s="20">
        <f>IF(RESULTADO!$F$148&lt;=BD$59,(BD$24),0)</f>
        <v>115</v>
      </c>
      <c r="BE72" s="20">
        <f>IF(RESULTADO!$F$148&lt;=BE$59,(BE$24),0)</f>
        <v>115</v>
      </c>
      <c r="BF72" s="20">
        <f>IF(RESULTADO!$F$148&lt;=BF$59,(BF$24),0)</f>
        <v>115</v>
      </c>
      <c r="BG72" s="20">
        <f>IF(RESULTADO!$F$148&lt;=BG$59,(BG$24),0)</f>
        <v>115</v>
      </c>
      <c r="BH72" s="20">
        <f>IF(RESULTADO!$F$148&lt;=BH$59,(BH$24),0)</f>
        <v>115</v>
      </c>
      <c r="BI72" s="20">
        <f>IF(RESULTADO!$F$148&lt;=BI$59,(BI$24),0)</f>
        <v>115</v>
      </c>
      <c r="BJ72" s="467">
        <f>IF(RESULTADO!$F$148&lt;=BJ$59,(BJ$24),0)</f>
        <v>115</v>
      </c>
      <c r="BK72" s="461"/>
    </row>
    <row r="73" spans="1:63" x14ac:dyDescent="0.25">
      <c r="A73" s="7"/>
      <c r="B73" s="37" t="s">
        <v>108</v>
      </c>
      <c r="C73" s="18">
        <f>IF(RESULTADO!$F$148&lt;=C$59,(C$24),0)</f>
        <v>0</v>
      </c>
      <c r="D73" s="18">
        <f>IF(RESULTADO!$F$148&lt;=D$59,(D$24),0)</f>
        <v>0</v>
      </c>
      <c r="E73" s="18">
        <f>IF(RESULTADO!$F$148&lt;=E$59,(E$24),0)</f>
        <v>0</v>
      </c>
      <c r="F73" s="18">
        <f>IF(RESULTADO!$F$148&lt;=F$59,(F$24),0)</f>
        <v>0</v>
      </c>
      <c r="G73" s="18">
        <f>IF(RESULTADO!$F$148&lt;=G$59,(G$24),0)</f>
        <v>0</v>
      </c>
      <c r="H73" s="18">
        <f>IF(RESULTADO!$F$148&lt;=H$59,(H$24),0)</f>
        <v>0</v>
      </c>
      <c r="I73" s="18">
        <f>IF(RESULTADO!$F$148&lt;=I$59,(I$24),0)</f>
        <v>0</v>
      </c>
      <c r="J73" s="18">
        <f>IF(RESULTADO!$F$148&lt;=J$59,(J$24),0)</f>
        <v>0</v>
      </c>
      <c r="K73" s="18">
        <f>IF(RESULTADO!$F$148&lt;=K$59,(K$24),0)</f>
        <v>0</v>
      </c>
      <c r="L73" s="18">
        <f>IF(RESULTADO!$F$148&lt;=L$59,(L$24),0)</f>
        <v>0</v>
      </c>
      <c r="M73" s="18">
        <f>IF(RESULTADO!$F$148&lt;=M$59,(M$24),0)</f>
        <v>0</v>
      </c>
      <c r="N73" s="402">
        <f>IF(RESULTADO!$F$148&lt;=N$59,(N$24),0)</f>
        <v>160</v>
      </c>
      <c r="O73" s="403">
        <f>IF(RESULTADO!$F$148&lt;=O$59,(O$24),0)</f>
        <v>160</v>
      </c>
      <c r="P73" s="18">
        <f>IF(RESULTADO!$F$148&lt;=P$59,(P$24),0)</f>
        <v>160</v>
      </c>
      <c r="Q73" s="18">
        <f>IF(RESULTADO!$F$148&lt;=Q$59,(Q$24),0)</f>
        <v>160</v>
      </c>
      <c r="R73" s="18">
        <f>IF(RESULTADO!$F$148&lt;=R$59,(R$24),0)</f>
        <v>160</v>
      </c>
      <c r="S73" s="18">
        <f>IF(RESULTADO!$F$148&lt;=S$59,(S$24),0)</f>
        <v>160</v>
      </c>
      <c r="T73" s="18">
        <f>IF(RESULTADO!$F$148&lt;=T$59,(T$24),0)</f>
        <v>160</v>
      </c>
      <c r="U73" s="18">
        <f>IF(RESULTADO!$F$148&lt;=U$59,(U$24),0)</f>
        <v>160</v>
      </c>
      <c r="V73" s="18">
        <f>IF(RESULTADO!$F$148&lt;=V$59,(V$24),0)</f>
        <v>160</v>
      </c>
      <c r="W73" s="18">
        <f>IF(RESULTADO!$F$148&lt;=W$59,(W$24),0)</f>
        <v>160</v>
      </c>
      <c r="X73" s="18">
        <f>IF(RESULTADO!$F$148&lt;=X$59,(X$24),0)</f>
        <v>160</v>
      </c>
      <c r="Y73" s="18">
        <f>IF(RESULTADO!$F$148&lt;=Y$59,(Y$24),0)</f>
        <v>160</v>
      </c>
      <c r="Z73" s="402">
        <f>IF(RESULTADO!$F$148&lt;=Z$59,(Z$24),0)</f>
        <v>160</v>
      </c>
      <c r="AA73" s="403">
        <f>IF(RESULTADO!$F$148&lt;=AA$59,(AA$24),0)</f>
        <v>165</v>
      </c>
      <c r="AB73" s="18">
        <f>IF(RESULTADO!$F$148&lt;=AB$59,(AB$24),0)</f>
        <v>165</v>
      </c>
      <c r="AC73" s="18">
        <f>IF(RESULTADO!$F$148&lt;=AC$59,(AC$24),0)</f>
        <v>165</v>
      </c>
      <c r="AD73" s="18">
        <f>IF(RESULTADO!$F$148&lt;=AD$59,(AD$24),0)</f>
        <v>165</v>
      </c>
      <c r="AE73" s="18">
        <f>IF(RESULTADO!$F$148&lt;=AE$59,(AE$24),0)</f>
        <v>165</v>
      </c>
      <c r="AF73" s="18">
        <f>IF(RESULTADO!$F$148&lt;=AF$59,(AF$24),0)</f>
        <v>165</v>
      </c>
      <c r="AG73" s="18">
        <f>IF(RESULTADO!$F$148&lt;=AG$59,(AG$24),0)</f>
        <v>165</v>
      </c>
      <c r="AH73" s="18">
        <f>IF(RESULTADO!$F$148&lt;=AH$59,(AH$24),0)</f>
        <v>165</v>
      </c>
      <c r="AI73" s="18">
        <f>IF(RESULTADO!$F$148&lt;=AI$59,(AI$24),0)</f>
        <v>165</v>
      </c>
      <c r="AJ73" s="18">
        <f>IF(RESULTADO!$F$148&lt;=AJ$59,(AJ$24),0)</f>
        <v>165</v>
      </c>
      <c r="AK73" s="18">
        <f>IF(RESULTADO!$F$148&lt;=AK$59,(AK$24),0)</f>
        <v>165</v>
      </c>
      <c r="AL73" s="402">
        <f>IF(RESULTADO!$F$148&lt;=AL$59,(AL$24),0)</f>
        <v>165</v>
      </c>
      <c r="AM73" s="403">
        <f>IF(RESULTADO!$F$148&lt;=AM$59,(AM$24),0)</f>
        <v>120</v>
      </c>
      <c r="AN73" s="18">
        <f>IF(RESULTADO!$F$148&lt;=AN$59,(AN$24),0)</f>
        <v>120</v>
      </c>
      <c r="AO73" s="18">
        <f>IF(RESULTADO!$F$148&lt;=AO$59,(AO$24),0)</f>
        <v>120</v>
      </c>
      <c r="AP73" s="18">
        <f>IF(RESULTADO!$F$148&lt;=AP$59,(AP$24),0)</f>
        <v>120</v>
      </c>
      <c r="AQ73" s="18">
        <f>IF(RESULTADO!$F$148&lt;=AQ$59,(AQ$24),0)</f>
        <v>120</v>
      </c>
      <c r="AR73" s="18">
        <f>IF(RESULTADO!$F$148&lt;=AR$59,(AR$24),0)</f>
        <v>120</v>
      </c>
      <c r="AS73" s="18">
        <f>IF(RESULTADO!$F$148&lt;=AS$59,(AS$24),0)</f>
        <v>120</v>
      </c>
      <c r="AT73" s="18">
        <f>IF(RESULTADO!$F$148&lt;=AT$59,(AT$24),0)</f>
        <v>120</v>
      </c>
      <c r="AU73" s="18">
        <f>IF(RESULTADO!$F$148&lt;=AU$59,(AU$24),0)</f>
        <v>120</v>
      </c>
      <c r="AV73" s="18">
        <f>IF(RESULTADO!$F$148&lt;=AV$59,(AV$24),0)</f>
        <v>120</v>
      </c>
      <c r="AW73" s="18">
        <f>IF(RESULTADO!$F$148&lt;=AW$59,(AW$24),0)</f>
        <v>120</v>
      </c>
      <c r="AX73" s="402">
        <f>IF(RESULTADO!$F$148&lt;=AX$59,(AX$24),0)</f>
        <v>120</v>
      </c>
      <c r="AY73" s="403">
        <f>IF(RESULTADO!$F$148&lt;=AY$59,(AY$24),0)</f>
        <v>115</v>
      </c>
      <c r="AZ73" s="18">
        <f>IF(RESULTADO!$F$148&lt;=AZ$59,(AZ$24),0)</f>
        <v>115</v>
      </c>
      <c r="BA73" s="18">
        <f>IF(RESULTADO!$F$148&lt;=BA$59,(BA$24),0)</f>
        <v>115</v>
      </c>
      <c r="BB73" s="18">
        <f>IF(RESULTADO!$F$148&lt;=BB$59,(BB$24),0)</f>
        <v>115</v>
      </c>
      <c r="BC73" s="18">
        <f>IF(RESULTADO!$F$148&lt;=BC$59,(BC$24),0)</f>
        <v>115</v>
      </c>
      <c r="BD73" s="18">
        <f>IF(RESULTADO!$F$148&lt;=BD$59,(BD$24),0)</f>
        <v>115</v>
      </c>
      <c r="BE73" s="18">
        <f>IF(RESULTADO!$F$148&lt;=BE$59,(BE$24),0)</f>
        <v>115</v>
      </c>
      <c r="BF73" s="18">
        <f>IF(RESULTADO!$F$148&lt;=BF$59,(BF$24),0)</f>
        <v>115</v>
      </c>
      <c r="BG73" s="18">
        <f>IF(RESULTADO!$F$148&lt;=BG$59,(BG$24),0)</f>
        <v>115</v>
      </c>
      <c r="BH73" s="18">
        <f>IF(RESULTADO!$F$148&lt;=BH$59,(BH$24),0)</f>
        <v>115</v>
      </c>
      <c r="BI73" s="18">
        <f>IF(RESULTADO!$F$148&lt;=BI$59,(BI$24),0)</f>
        <v>115</v>
      </c>
      <c r="BJ73" s="19">
        <f>IF(RESULTADO!$F$148&lt;=BJ$59,(BJ$24),0)</f>
        <v>115</v>
      </c>
      <c r="BK73" s="461"/>
    </row>
    <row r="74" spans="1:63" x14ac:dyDescent="0.25">
      <c r="A74" s="7"/>
      <c r="B74" s="37" t="s">
        <v>109</v>
      </c>
      <c r="C74" s="18">
        <f>IF(RESULTADO!$F$148&lt;=C$59,(C$24),0)</f>
        <v>0</v>
      </c>
      <c r="D74" s="18">
        <f>IF(RESULTADO!$F$148&lt;=D$59,(D$24),0)</f>
        <v>0</v>
      </c>
      <c r="E74" s="18">
        <f>IF(RESULTADO!$F$148&lt;=E$59,(E$24),0)</f>
        <v>0</v>
      </c>
      <c r="F74" s="18">
        <f>IF(RESULTADO!$F$148&lt;=F$59,(F$24),0)</f>
        <v>0</v>
      </c>
      <c r="G74" s="18">
        <f>IF(RESULTADO!$F$148&lt;=G$59,(G$24),0)</f>
        <v>0</v>
      </c>
      <c r="H74" s="18">
        <f>IF(RESULTADO!$F$148&lt;=H$59,(H$24),0)</f>
        <v>0</v>
      </c>
      <c r="I74" s="18">
        <f>IF(RESULTADO!$F$148&lt;=I$59,(I$24),0)</f>
        <v>0</v>
      </c>
      <c r="J74" s="18">
        <f>IF(RESULTADO!$F$148&lt;=J$59,(J$24),0)</f>
        <v>0</v>
      </c>
      <c r="K74" s="18">
        <f>IF(RESULTADO!$F$148&lt;=K$59,(K$24),0)</f>
        <v>0</v>
      </c>
      <c r="L74" s="18">
        <f>IF(RESULTADO!$F$148&lt;=L$59,(L$24),0)</f>
        <v>0</v>
      </c>
      <c r="M74" s="18">
        <f>IF(RESULTADO!$F$148&lt;=M$59,(M$24),0)</f>
        <v>0</v>
      </c>
      <c r="N74" s="402">
        <f>IF(RESULTADO!$F$148&lt;=N$59,(N$24),0)</f>
        <v>160</v>
      </c>
      <c r="O74" s="403">
        <f>IF(RESULTADO!$F$148&lt;=O$59,(O$24),0)</f>
        <v>160</v>
      </c>
      <c r="P74" s="18">
        <f>IF(RESULTADO!$F$148&lt;=P$59,(P$24),0)</f>
        <v>160</v>
      </c>
      <c r="Q74" s="18">
        <f>IF(RESULTADO!$F$148&lt;=Q$59,(Q$24),0)</f>
        <v>160</v>
      </c>
      <c r="R74" s="18">
        <f>IF(RESULTADO!$F$148&lt;=R$59,(R$24),0)</f>
        <v>160</v>
      </c>
      <c r="S74" s="18">
        <f>IF(RESULTADO!$F$148&lt;=S$59,(S$24),0)</f>
        <v>160</v>
      </c>
      <c r="T74" s="18">
        <f>IF(RESULTADO!$F$148&lt;=T$59,(T$24),0)</f>
        <v>160</v>
      </c>
      <c r="U74" s="18">
        <f>IF(RESULTADO!$F$148&lt;=U$59,(U$24),0)</f>
        <v>160</v>
      </c>
      <c r="V74" s="18">
        <f>IF(RESULTADO!$F$148&lt;=V$59,(V$24),0)</f>
        <v>160</v>
      </c>
      <c r="W74" s="18">
        <f>IF(RESULTADO!$F$148&lt;=W$59,(W$24),0)</f>
        <v>160</v>
      </c>
      <c r="X74" s="18">
        <f>IF(RESULTADO!$F$148&lt;=X$59,(X$24),0)</f>
        <v>160</v>
      </c>
      <c r="Y74" s="18">
        <f>IF(RESULTADO!$F$148&lt;=Y$59,(Y$24),0)</f>
        <v>160</v>
      </c>
      <c r="Z74" s="402">
        <f>IF(RESULTADO!$F$148&lt;=Z$59,(Z$24),0)</f>
        <v>160</v>
      </c>
      <c r="AA74" s="403">
        <f>IF(RESULTADO!$F$148&lt;=AA$59,(AA$24),0)</f>
        <v>165</v>
      </c>
      <c r="AB74" s="18">
        <f>IF(RESULTADO!$F$148&lt;=AB$59,(AB$24),0)</f>
        <v>165</v>
      </c>
      <c r="AC74" s="18">
        <f>IF(RESULTADO!$F$148&lt;=AC$59,(AC$24),0)</f>
        <v>165</v>
      </c>
      <c r="AD74" s="18">
        <f>IF(RESULTADO!$F$148&lt;=AD$59,(AD$24),0)</f>
        <v>165</v>
      </c>
      <c r="AE74" s="18">
        <f>IF(RESULTADO!$F$148&lt;=AE$59,(AE$24),0)</f>
        <v>165</v>
      </c>
      <c r="AF74" s="18">
        <f>IF(RESULTADO!$F$148&lt;=AF$59,(AF$24),0)</f>
        <v>165</v>
      </c>
      <c r="AG74" s="18">
        <f>IF(RESULTADO!$F$148&lt;=AG$59,(AG$24),0)</f>
        <v>165</v>
      </c>
      <c r="AH74" s="18">
        <f>IF(RESULTADO!$F$148&lt;=AH$59,(AH$24),0)</f>
        <v>165</v>
      </c>
      <c r="AI74" s="18">
        <f>IF(RESULTADO!$F$148&lt;=AI$59,(AI$24),0)</f>
        <v>165</v>
      </c>
      <c r="AJ74" s="18">
        <f>IF(RESULTADO!$F$148&lt;=AJ$59,(AJ$24),0)</f>
        <v>165</v>
      </c>
      <c r="AK74" s="18">
        <f>IF(RESULTADO!$F$148&lt;=AK$59,(AK$24),0)</f>
        <v>165</v>
      </c>
      <c r="AL74" s="402">
        <f>IF(RESULTADO!$F$148&lt;=AL$59,(AL$24),0)</f>
        <v>165</v>
      </c>
      <c r="AM74" s="403">
        <f>IF(RESULTADO!$F$148&lt;=AM$59,(AM$24),0)</f>
        <v>120</v>
      </c>
      <c r="AN74" s="18">
        <f>IF(RESULTADO!$F$148&lt;=AN$59,(AN$24),0)</f>
        <v>120</v>
      </c>
      <c r="AO74" s="18">
        <f>IF(RESULTADO!$F$148&lt;=AO$59,(AO$24),0)</f>
        <v>120</v>
      </c>
      <c r="AP74" s="18">
        <f>IF(RESULTADO!$F$148&lt;=AP$59,(AP$24),0)</f>
        <v>120</v>
      </c>
      <c r="AQ74" s="18">
        <f>IF(RESULTADO!$F$148&lt;=AQ$59,(AQ$24),0)</f>
        <v>120</v>
      </c>
      <c r="AR74" s="18">
        <f>IF(RESULTADO!$F$148&lt;=AR$59,(AR$24),0)</f>
        <v>120</v>
      </c>
      <c r="AS74" s="18">
        <f>IF(RESULTADO!$F$148&lt;=AS$59,(AS$24),0)</f>
        <v>120</v>
      </c>
      <c r="AT74" s="18">
        <f>IF(RESULTADO!$F$148&lt;=AT$59,(AT$24),0)</f>
        <v>120</v>
      </c>
      <c r="AU74" s="18">
        <f>IF(RESULTADO!$F$148&lt;=AU$59,(AU$24),0)</f>
        <v>120</v>
      </c>
      <c r="AV74" s="18">
        <f>IF(RESULTADO!$F$148&lt;=AV$59,(AV$24),0)</f>
        <v>120</v>
      </c>
      <c r="AW74" s="18">
        <f>IF(RESULTADO!$F$148&lt;=AW$59,(AW$24),0)</f>
        <v>120</v>
      </c>
      <c r="AX74" s="402">
        <f>IF(RESULTADO!$F$148&lt;=AX$59,(AX$24),0)</f>
        <v>120</v>
      </c>
      <c r="AY74" s="403">
        <f>IF(RESULTADO!$F$148&lt;=AY$59,(AY$24),0)</f>
        <v>115</v>
      </c>
      <c r="AZ74" s="18">
        <f>IF(RESULTADO!$F$148&lt;=AZ$59,(AZ$24),0)</f>
        <v>115</v>
      </c>
      <c r="BA74" s="18">
        <f>IF(RESULTADO!$F$148&lt;=BA$59,(BA$24),0)</f>
        <v>115</v>
      </c>
      <c r="BB74" s="18">
        <f>IF(RESULTADO!$F$148&lt;=BB$59,(BB$24),0)</f>
        <v>115</v>
      </c>
      <c r="BC74" s="18">
        <f>IF(RESULTADO!$F$148&lt;=BC$59,(BC$24),0)</f>
        <v>115</v>
      </c>
      <c r="BD74" s="18">
        <f>IF(RESULTADO!$F$148&lt;=BD$59,(BD$24),0)</f>
        <v>115</v>
      </c>
      <c r="BE74" s="18">
        <f>IF(RESULTADO!$F$148&lt;=BE$59,(BE$24),0)</f>
        <v>115</v>
      </c>
      <c r="BF74" s="18">
        <f>IF(RESULTADO!$F$148&lt;=BF$59,(BF$24),0)</f>
        <v>115</v>
      </c>
      <c r="BG74" s="18">
        <f>IF(RESULTADO!$F$148&lt;=BG$59,(BG$24),0)</f>
        <v>115</v>
      </c>
      <c r="BH74" s="18">
        <f>IF(RESULTADO!$F$148&lt;=BH$59,(BH$24),0)</f>
        <v>115</v>
      </c>
      <c r="BI74" s="18">
        <f>IF(RESULTADO!$F$148&lt;=BI$59,(BI$24),0)</f>
        <v>115</v>
      </c>
      <c r="BJ74" s="19">
        <f>IF(RESULTADO!$F$148&lt;=BJ$59,(BJ$24),0)</f>
        <v>115</v>
      </c>
      <c r="BK74" s="461"/>
    </row>
    <row r="75" spans="1:63" ht="15.75" thickBot="1" x14ac:dyDescent="0.3">
      <c r="A75" s="7"/>
      <c r="B75" s="38" t="s">
        <v>110</v>
      </c>
      <c r="C75" s="23">
        <f>IF(RESULTADO!$F$148&lt;=C$59,(C$24),0)</f>
        <v>0</v>
      </c>
      <c r="D75" s="23">
        <f>IF(RESULTADO!$F$148&lt;=D$59,(D$24),0)</f>
        <v>0</v>
      </c>
      <c r="E75" s="23">
        <f>IF(RESULTADO!$F$148&lt;=E$59,(E$24),0)</f>
        <v>0</v>
      </c>
      <c r="F75" s="23">
        <f>IF(RESULTADO!$F$148&lt;=F$59,(F$24),0)</f>
        <v>0</v>
      </c>
      <c r="G75" s="23">
        <f>IF(RESULTADO!$F$148&lt;=G$59,(G$24),0)</f>
        <v>0</v>
      </c>
      <c r="H75" s="23">
        <f>IF(RESULTADO!$F$148&lt;=H$59,(H$24),0)</f>
        <v>0</v>
      </c>
      <c r="I75" s="23">
        <f>IF(RESULTADO!$F$148&lt;=I$59,(I$24),0)</f>
        <v>0</v>
      </c>
      <c r="J75" s="23">
        <f>IF(RESULTADO!$F$148&lt;=J$59,(J$24),0)</f>
        <v>0</v>
      </c>
      <c r="K75" s="23">
        <f>IF(RESULTADO!$F$148&lt;=K$59,(K$24),0)</f>
        <v>0</v>
      </c>
      <c r="L75" s="23">
        <f>IF(RESULTADO!$F$148&lt;=L$59,(L$24),0)</f>
        <v>0</v>
      </c>
      <c r="M75" s="23">
        <f>IF(RESULTADO!$F$148&lt;=M$59,(M$24),0)</f>
        <v>0</v>
      </c>
      <c r="N75" s="404">
        <f>IF(RESULTADO!$F$148&lt;=N$59,(N$24),0)</f>
        <v>160</v>
      </c>
      <c r="O75" s="405">
        <f>IF(RESULTADO!$F$148&lt;=O$59,(O$24),0)</f>
        <v>160</v>
      </c>
      <c r="P75" s="23">
        <f>IF(RESULTADO!$F$148&lt;=P$59,(P$24),0)</f>
        <v>160</v>
      </c>
      <c r="Q75" s="23">
        <f>IF(RESULTADO!$F$148&lt;=Q$59,(Q$24),0)</f>
        <v>160</v>
      </c>
      <c r="R75" s="23">
        <f>IF(RESULTADO!$F$148&lt;=R$59,(R$24),0)</f>
        <v>160</v>
      </c>
      <c r="S75" s="23">
        <f>IF(RESULTADO!$F$148&lt;=S$59,(S$24),0)</f>
        <v>160</v>
      </c>
      <c r="T75" s="23">
        <f>IF(RESULTADO!$F$148&lt;=T$59,(T$24),0)</f>
        <v>160</v>
      </c>
      <c r="U75" s="23">
        <f>IF(RESULTADO!$F$148&lt;=U$59,(U$24),0)</f>
        <v>160</v>
      </c>
      <c r="V75" s="23">
        <f>IF(RESULTADO!$F$148&lt;=V$59,(V$24),0)</f>
        <v>160</v>
      </c>
      <c r="W75" s="23">
        <f>IF(RESULTADO!$F$148&lt;=W$59,(W$24),0)</f>
        <v>160</v>
      </c>
      <c r="X75" s="23">
        <f>IF(RESULTADO!$F$148&lt;=X$59,(X$24),0)</f>
        <v>160</v>
      </c>
      <c r="Y75" s="23">
        <f>IF(RESULTADO!$F$148&lt;=Y$59,(Y$24),0)</f>
        <v>160</v>
      </c>
      <c r="Z75" s="404">
        <f>IF(RESULTADO!$F$148&lt;=Z$59,(Z$24),0)</f>
        <v>160</v>
      </c>
      <c r="AA75" s="405">
        <f>IF(RESULTADO!$F$148&lt;=AA$59,(AA$24),0)</f>
        <v>165</v>
      </c>
      <c r="AB75" s="23">
        <f>IF(RESULTADO!$F$148&lt;=AB$59,(AB$24),0)</f>
        <v>165</v>
      </c>
      <c r="AC75" s="23">
        <f>IF(RESULTADO!$F$148&lt;=AC$59,(AC$24),0)</f>
        <v>165</v>
      </c>
      <c r="AD75" s="23">
        <f>IF(RESULTADO!$F$148&lt;=AD$59,(AD$24),0)</f>
        <v>165</v>
      </c>
      <c r="AE75" s="23">
        <f>IF(RESULTADO!$F$148&lt;=AE$59,(AE$24),0)</f>
        <v>165</v>
      </c>
      <c r="AF75" s="23">
        <f>IF(RESULTADO!$F$148&lt;=AF$59,(AF$24),0)</f>
        <v>165</v>
      </c>
      <c r="AG75" s="23">
        <f>IF(RESULTADO!$F$148&lt;=AG$59,(AG$24),0)</f>
        <v>165</v>
      </c>
      <c r="AH75" s="23">
        <f>IF(RESULTADO!$F$148&lt;=AH$59,(AH$24),0)</f>
        <v>165</v>
      </c>
      <c r="AI75" s="23">
        <f>IF(RESULTADO!$F$148&lt;=AI$59,(AI$24),0)</f>
        <v>165</v>
      </c>
      <c r="AJ75" s="23">
        <f>IF(RESULTADO!$F$148&lt;=AJ$59,(AJ$24),0)</f>
        <v>165</v>
      </c>
      <c r="AK75" s="23">
        <f>IF(RESULTADO!$F$148&lt;=AK$59,(AK$24),0)</f>
        <v>165</v>
      </c>
      <c r="AL75" s="404">
        <f>IF(RESULTADO!$F$148&lt;=AL$59,(AL$24),0)</f>
        <v>165</v>
      </c>
      <c r="AM75" s="405">
        <f>IF(RESULTADO!$F$148&lt;=AM$59,(AM$24),0)</f>
        <v>120</v>
      </c>
      <c r="AN75" s="23">
        <f>IF(RESULTADO!$F$148&lt;=AN$59,(AN$24),0)</f>
        <v>120</v>
      </c>
      <c r="AO75" s="23">
        <f>IF(RESULTADO!$F$148&lt;=AO$59,(AO$24),0)</f>
        <v>120</v>
      </c>
      <c r="AP75" s="23">
        <f>IF(RESULTADO!$F$148&lt;=AP$59,(AP$24),0)</f>
        <v>120</v>
      </c>
      <c r="AQ75" s="23">
        <f>IF(RESULTADO!$F$148&lt;=AQ$59,(AQ$24),0)</f>
        <v>120</v>
      </c>
      <c r="AR75" s="23">
        <f>IF(RESULTADO!$F$148&lt;=AR$59,(AR$24),0)</f>
        <v>120</v>
      </c>
      <c r="AS75" s="23">
        <f>IF(RESULTADO!$F$148&lt;=AS$59,(AS$24),0)</f>
        <v>120</v>
      </c>
      <c r="AT75" s="23">
        <f>IF(RESULTADO!$F$148&lt;=AT$59,(AT$24),0)</f>
        <v>120</v>
      </c>
      <c r="AU75" s="23">
        <f>IF(RESULTADO!$F$148&lt;=AU$59,(AU$24),0)</f>
        <v>120</v>
      </c>
      <c r="AV75" s="23">
        <f>IF(RESULTADO!$F$148&lt;=AV$59,(AV$24),0)</f>
        <v>120</v>
      </c>
      <c r="AW75" s="23">
        <f>IF(RESULTADO!$F$148&lt;=AW$59,(AW$24),0)</f>
        <v>120</v>
      </c>
      <c r="AX75" s="404">
        <f>IF(RESULTADO!$F$148&lt;=AX$59,(AX$24),0)</f>
        <v>120</v>
      </c>
      <c r="AY75" s="405">
        <f>IF(RESULTADO!$F$148&lt;=AY$59,(AY$24),0)</f>
        <v>115</v>
      </c>
      <c r="AZ75" s="23">
        <f>IF(RESULTADO!$F$148&lt;=AZ$59,(AZ$24),0)</f>
        <v>115</v>
      </c>
      <c r="BA75" s="23">
        <f>IF(RESULTADO!$F$148&lt;=BA$59,(BA$24),0)</f>
        <v>115</v>
      </c>
      <c r="BB75" s="23">
        <f>IF(RESULTADO!$F$148&lt;=BB$59,(BB$24),0)</f>
        <v>115</v>
      </c>
      <c r="BC75" s="23">
        <f>IF(RESULTADO!$F$148&lt;=BC$59,(BC$24),0)</f>
        <v>115</v>
      </c>
      <c r="BD75" s="23">
        <f>IF(RESULTADO!$F$148&lt;=BD$59,(BD$24),0)</f>
        <v>115</v>
      </c>
      <c r="BE75" s="23">
        <f>IF(RESULTADO!$F$148&lt;=BE$59,(BE$24),0)</f>
        <v>115</v>
      </c>
      <c r="BF75" s="23">
        <f>IF(RESULTADO!$F$148&lt;=BF$59,(BF$24),0)</f>
        <v>115</v>
      </c>
      <c r="BG75" s="23">
        <f>IF(RESULTADO!$F$148&lt;=BG$59,(BG$24),0)</f>
        <v>115</v>
      </c>
      <c r="BH75" s="23">
        <f>IF(RESULTADO!$F$148&lt;=BH$59,(BH$24),0)</f>
        <v>115</v>
      </c>
      <c r="BI75" s="23">
        <f>IF(RESULTADO!$F$148&lt;=BI$59,(BI$24),0)</f>
        <v>115</v>
      </c>
      <c r="BJ75" s="24">
        <f>IF(RESULTADO!$F$148&lt;=BJ$59,(BJ$24),0)</f>
        <v>115</v>
      </c>
      <c r="BK75" s="461"/>
    </row>
    <row r="76" spans="1:63" x14ac:dyDescent="0.25">
      <c r="A76" s="7"/>
      <c r="B76" s="36" t="s">
        <v>122</v>
      </c>
      <c r="C76" s="20">
        <f>+IF(RESULTADO!$C$102&lt;&gt;0,0,pREFs!C68-pREFs!C64)</f>
        <v>0</v>
      </c>
      <c r="D76" s="20">
        <f>+IF(RESULTADO!$C$102&lt;&gt;0,0,pREFs!D68-pREFs!D64)</f>
        <v>0</v>
      </c>
      <c r="E76" s="20">
        <f>+IF(RESULTADO!$C$102&lt;&gt;0,0,pREFs!E68-pREFs!E64)</f>
        <v>0</v>
      </c>
      <c r="F76" s="20">
        <f>+IF(RESULTADO!$C$102&lt;&gt;0,0,pREFs!F68-pREFs!F64)</f>
        <v>0</v>
      </c>
      <c r="G76" s="20">
        <f>+IF(RESULTADO!$C$102&lt;&gt;0,0,pREFs!G68-pREFs!G64)</f>
        <v>0</v>
      </c>
      <c r="H76" s="20">
        <f>+IF(RESULTADO!$C$102&lt;&gt;0,0,pREFs!H68-pREFs!H64)</f>
        <v>0</v>
      </c>
      <c r="I76" s="20">
        <f>+IF(RESULTADO!$C$102&lt;&gt;0,0,pREFs!I68-pREFs!I64)</f>
        <v>0</v>
      </c>
      <c r="J76" s="20">
        <f>+IF(RESULTADO!$C$102&lt;&gt;0,0,pREFs!J68-pREFs!J64)</f>
        <v>0</v>
      </c>
      <c r="K76" s="20">
        <f>+IF(RESULTADO!$C$102&lt;&gt;0,0,pREFs!K68-pREFs!K64)</f>
        <v>0</v>
      </c>
      <c r="L76" s="20">
        <f>+IF(RESULTADO!$C$102&lt;&gt;0,0,pREFs!L68-pREFs!L64)</f>
        <v>0</v>
      </c>
      <c r="M76" s="20">
        <f>+IF(RESULTADO!$C$102&lt;&gt;0,0,pREFs!M68-pREFs!M64)</f>
        <v>0</v>
      </c>
      <c r="N76" s="400">
        <f>+IF(RESULTADO!$C$102&lt;&gt;0,0,pREFs!N68-pREFs!N64)</f>
        <v>27</v>
      </c>
      <c r="O76" s="401">
        <f t="shared" ref="O76:Z76" si="39">O68-O64</f>
        <v>30</v>
      </c>
      <c r="P76" s="20">
        <f t="shared" si="39"/>
        <v>30</v>
      </c>
      <c r="Q76" s="20">
        <f t="shared" si="39"/>
        <v>30</v>
      </c>
      <c r="R76" s="20">
        <f t="shared" si="39"/>
        <v>30</v>
      </c>
      <c r="S76" s="20">
        <f t="shared" si="39"/>
        <v>30</v>
      </c>
      <c r="T76" s="20">
        <f t="shared" si="39"/>
        <v>30</v>
      </c>
      <c r="U76" s="20">
        <f t="shared" si="39"/>
        <v>30</v>
      </c>
      <c r="V76" s="20">
        <f t="shared" si="39"/>
        <v>30</v>
      </c>
      <c r="W76" s="20">
        <f t="shared" si="39"/>
        <v>30</v>
      </c>
      <c r="X76" s="20">
        <f t="shared" si="39"/>
        <v>30</v>
      </c>
      <c r="Y76" s="20">
        <f t="shared" si="39"/>
        <v>30</v>
      </c>
      <c r="Z76" s="400">
        <f t="shared" si="39"/>
        <v>30</v>
      </c>
      <c r="AA76" s="401">
        <f>+IF(RESULTADO!$C$102&lt;&gt;0,0,pREFs!AA68-pREFs!AA64)</f>
        <v>32</v>
      </c>
      <c r="AB76" s="20">
        <f>+IF(RESULTADO!$C$102&lt;&gt;0,0,pREFs!AB68-pREFs!AB64)</f>
        <v>32</v>
      </c>
      <c r="AC76" s="20">
        <f>+IF(RESULTADO!$C$102&lt;&gt;0,0,pREFs!AC68-pREFs!AC64)</f>
        <v>32</v>
      </c>
      <c r="AD76" s="20">
        <f>+IF(RESULTADO!$C$102&lt;&gt;0,0,pREFs!AD68-pREFs!AD64)</f>
        <v>32</v>
      </c>
      <c r="AE76" s="20">
        <f>+IF(RESULTADO!$C$102&lt;&gt;0,0,pREFs!AE68-pREFs!AE64)</f>
        <v>32</v>
      </c>
      <c r="AF76" s="20">
        <f>+IF(RESULTADO!$C$102&lt;&gt;0,0,pREFs!AF68-pREFs!AF64)</f>
        <v>32</v>
      </c>
      <c r="AG76" s="20">
        <f>+IF(RESULTADO!$C$102&lt;&gt;0,0,pREFs!AG68-pREFs!AG64)</f>
        <v>32</v>
      </c>
      <c r="AH76" s="20">
        <f>+IF(RESULTADO!$C$102&lt;&gt;0,0,pREFs!AH68-pREFs!AH64)</f>
        <v>32</v>
      </c>
      <c r="AI76" s="20">
        <f>+IF(RESULTADO!$C$102&lt;&gt;0,0,pREFs!AI68-pREFs!AI64)</f>
        <v>32</v>
      </c>
      <c r="AJ76" s="20">
        <f>+IF(RESULTADO!$C$102&lt;&gt;0,0,pREFs!AJ68-pREFs!AJ64)</f>
        <v>32</v>
      </c>
      <c r="AK76" s="20">
        <f>+IF(RESULTADO!$C$102&lt;&gt;0,0,pREFs!AK68-pREFs!AK64)</f>
        <v>32</v>
      </c>
      <c r="AL76" s="400">
        <f>+IF(RESULTADO!$C$102&lt;&gt;0,0,pREFs!AL68-pREFs!AL64)</f>
        <v>32</v>
      </c>
      <c r="AM76" s="401">
        <f t="shared" ref="AM76:AX76" si="40">AM68-AM64</f>
        <v>37</v>
      </c>
      <c r="AN76" s="20">
        <f t="shared" si="40"/>
        <v>37</v>
      </c>
      <c r="AO76" s="20">
        <f t="shared" si="40"/>
        <v>37</v>
      </c>
      <c r="AP76" s="20">
        <f t="shared" si="40"/>
        <v>37</v>
      </c>
      <c r="AQ76" s="20">
        <f t="shared" si="40"/>
        <v>37</v>
      </c>
      <c r="AR76" s="20">
        <f t="shared" si="40"/>
        <v>37</v>
      </c>
      <c r="AS76" s="20">
        <f t="shared" si="40"/>
        <v>37</v>
      </c>
      <c r="AT76" s="20">
        <f t="shared" si="40"/>
        <v>37</v>
      </c>
      <c r="AU76" s="20">
        <f t="shared" si="40"/>
        <v>37</v>
      </c>
      <c r="AV76" s="20">
        <f t="shared" si="40"/>
        <v>37</v>
      </c>
      <c r="AW76" s="20">
        <f t="shared" si="40"/>
        <v>37</v>
      </c>
      <c r="AX76" s="400">
        <f t="shared" si="40"/>
        <v>37</v>
      </c>
      <c r="AY76" s="401">
        <f t="shared" ref="AY76:BJ76" si="41">AY68-AY64</f>
        <v>35</v>
      </c>
      <c r="AZ76" s="20">
        <f t="shared" si="41"/>
        <v>35</v>
      </c>
      <c r="BA76" s="20">
        <f t="shared" si="41"/>
        <v>35</v>
      </c>
      <c r="BB76" s="20">
        <f t="shared" si="41"/>
        <v>35</v>
      </c>
      <c r="BC76" s="20">
        <f t="shared" si="41"/>
        <v>35</v>
      </c>
      <c r="BD76" s="20">
        <f t="shared" si="41"/>
        <v>35</v>
      </c>
      <c r="BE76" s="20">
        <f t="shared" si="41"/>
        <v>35</v>
      </c>
      <c r="BF76" s="20">
        <f t="shared" si="41"/>
        <v>35</v>
      </c>
      <c r="BG76" s="20">
        <f t="shared" si="41"/>
        <v>35</v>
      </c>
      <c r="BH76" s="20">
        <f t="shared" si="41"/>
        <v>35</v>
      </c>
      <c r="BI76" s="20">
        <f t="shared" si="41"/>
        <v>35</v>
      </c>
      <c r="BJ76" s="467">
        <f t="shared" si="41"/>
        <v>35</v>
      </c>
      <c r="BK76" s="461"/>
    </row>
    <row r="77" spans="1:63" x14ac:dyDescent="0.25">
      <c r="A77" s="7"/>
      <c r="B77" s="37" t="s">
        <v>123</v>
      </c>
      <c r="C77" s="18">
        <f>+IF(RESULTADO!$C$102&lt;&gt;0,0,pREFs!C69-pREFs!C65)</f>
        <v>0</v>
      </c>
      <c r="D77" s="18">
        <f>+IF(RESULTADO!$C$102&lt;&gt;0,0,pREFs!D69-pREFs!D65)</f>
        <v>0</v>
      </c>
      <c r="E77" s="18">
        <f>+IF(RESULTADO!$C$102&lt;&gt;0,0,pREFs!E69-pREFs!E65)</f>
        <v>0</v>
      </c>
      <c r="F77" s="18">
        <f>+IF(RESULTADO!$C$102&lt;&gt;0,0,pREFs!F69-pREFs!F65)</f>
        <v>0</v>
      </c>
      <c r="G77" s="18">
        <f>+IF(RESULTADO!$C$102&lt;&gt;0,0,pREFs!G69-pREFs!G65)</f>
        <v>0</v>
      </c>
      <c r="H77" s="18">
        <f>+IF(RESULTADO!$C$102&lt;&gt;0,0,pREFs!H69-pREFs!H65)</f>
        <v>0</v>
      </c>
      <c r="I77" s="18">
        <f>+IF(RESULTADO!$C$102&lt;&gt;0,0,pREFs!I69-pREFs!I65)</f>
        <v>0</v>
      </c>
      <c r="J77" s="18">
        <f>+IF(RESULTADO!$C$102&lt;&gt;0,0,pREFs!J69-pREFs!J65)</f>
        <v>0</v>
      </c>
      <c r="K77" s="18">
        <f>+IF(RESULTADO!$C$102&lt;&gt;0,0,pREFs!K69-pREFs!K65)</f>
        <v>0</v>
      </c>
      <c r="L77" s="18">
        <f>+IF(RESULTADO!$C$102&lt;&gt;0,0,pREFs!L69-pREFs!L65)</f>
        <v>0</v>
      </c>
      <c r="M77" s="18">
        <f>+IF(RESULTADO!$C$102&lt;&gt;0,0,pREFs!M69-pREFs!M65)</f>
        <v>0</v>
      </c>
      <c r="N77" s="402">
        <f>+IF(RESULTADO!$C$102&lt;&gt;0,0,pREFs!N69-pREFs!N65)</f>
        <v>27</v>
      </c>
      <c r="O77" s="403">
        <f t="shared" ref="O77:Z77" si="42">O69-O65</f>
        <v>30</v>
      </c>
      <c r="P77" s="18">
        <f t="shared" si="42"/>
        <v>30</v>
      </c>
      <c r="Q77" s="18">
        <f t="shared" si="42"/>
        <v>30</v>
      </c>
      <c r="R77" s="18">
        <f t="shared" si="42"/>
        <v>30</v>
      </c>
      <c r="S77" s="18">
        <f t="shared" si="42"/>
        <v>30</v>
      </c>
      <c r="T77" s="18">
        <f t="shared" si="42"/>
        <v>30</v>
      </c>
      <c r="U77" s="18">
        <f t="shared" si="42"/>
        <v>30</v>
      </c>
      <c r="V77" s="18">
        <f t="shared" si="42"/>
        <v>30</v>
      </c>
      <c r="W77" s="18">
        <f t="shared" si="42"/>
        <v>30</v>
      </c>
      <c r="X77" s="18">
        <f t="shared" si="42"/>
        <v>30</v>
      </c>
      <c r="Y77" s="18">
        <f t="shared" si="42"/>
        <v>30</v>
      </c>
      <c r="Z77" s="402">
        <f t="shared" si="42"/>
        <v>30</v>
      </c>
      <c r="AA77" s="403">
        <f>+IF(RESULTADO!$C$102&lt;&gt;0,0,pREFs!AA69-pREFs!AA65)</f>
        <v>32</v>
      </c>
      <c r="AB77" s="18">
        <f>+IF(RESULTADO!$C$102&lt;&gt;0,0,pREFs!AB69-pREFs!AB65)</f>
        <v>32</v>
      </c>
      <c r="AC77" s="18">
        <f>+IF(RESULTADO!$C$102&lt;&gt;0,0,pREFs!AC69-pREFs!AC65)</f>
        <v>32</v>
      </c>
      <c r="AD77" s="18">
        <f>+IF(RESULTADO!$C$102&lt;&gt;0,0,pREFs!AD69-pREFs!AD65)</f>
        <v>32</v>
      </c>
      <c r="AE77" s="18">
        <f>+IF(RESULTADO!$C$102&lt;&gt;0,0,pREFs!AE69-pREFs!AE65)</f>
        <v>32</v>
      </c>
      <c r="AF77" s="18">
        <f>+IF(RESULTADO!$C$102&lt;&gt;0,0,pREFs!AF69-pREFs!AF65)</f>
        <v>32</v>
      </c>
      <c r="AG77" s="18">
        <f>+IF(RESULTADO!$C$102&lt;&gt;0,0,pREFs!AG69-pREFs!AG65)</f>
        <v>32</v>
      </c>
      <c r="AH77" s="18">
        <f>+IF(RESULTADO!$C$102&lt;&gt;0,0,pREFs!AH69-pREFs!AH65)</f>
        <v>32</v>
      </c>
      <c r="AI77" s="18">
        <f>+IF(RESULTADO!$C$102&lt;&gt;0,0,pREFs!AI69-pREFs!AI65)</f>
        <v>32</v>
      </c>
      <c r="AJ77" s="18">
        <f>+IF(RESULTADO!$C$102&lt;&gt;0,0,pREFs!AJ69-pREFs!AJ65)</f>
        <v>32</v>
      </c>
      <c r="AK77" s="18">
        <f>+IF(RESULTADO!$C$102&lt;&gt;0,0,pREFs!AK69-pREFs!AK65)</f>
        <v>32</v>
      </c>
      <c r="AL77" s="402">
        <f>+IF(RESULTADO!$C$102&lt;&gt;0,0,pREFs!AL69-pREFs!AL65)</f>
        <v>32</v>
      </c>
      <c r="AM77" s="403">
        <f t="shared" ref="AM77:AX77" si="43">AM69-AM65</f>
        <v>37</v>
      </c>
      <c r="AN77" s="18">
        <f t="shared" si="43"/>
        <v>37</v>
      </c>
      <c r="AO77" s="18">
        <f t="shared" si="43"/>
        <v>37</v>
      </c>
      <c r="AP77" s="18">
        <f t="shared" si="43"/>
        <v>37</v>
      </c>
      <c r="AQ77" s="18">
        <f t="shared" si="43"/>
        <v>37</v>
      </c>
      <c r="AR77" s="18">
        <f t="shared" si="43"/>
        <v>37</v>
      </c>
      <c r="AS77" s="18">
        <f t="shared" si="43"/>
        <v>37</v>
      </c>
      <c r="AT77" s="18">
        <f t="shared" si="43"/>
        <v>37</v>
      </c>
      <c r="AU77" s="18">
        <f t="shared" si="43"/>
        <v>37</v>
      </c>
      <c r="AV77" s="18">
        <f t="shared" si="43"/>
        <v>37</v>
      </c>
      <c r="AW77" s="18">
        <f t="shared" si="43"/>
        <v>37</v>
      </c>
      <c r="AX77" s="402">
        <f t="shared" si="43"/>
        <v>37</v>
      </c>
      <c r="AY77" s="403">
        <f t="shared" ref="AY77:BJ77" si="44">AY69-AY65</f>
        <v>35</v>
      </c>
      <c r="AZ77" s="18">
        <f t="shared" si="44"/>
        <v>35</v>
      </c>
      <c r="BA77" s="18">
        <f t="shared" si="44"/>
        <v>35</v>
      </c>
      <c r="BB77" s="18">
        <f t="shared" si="44"/>
        <v>35</v>
      </c>
      <c r="BC77" s="18">
        <f t="shared" si="44"/>
        <v>35</v>
      </c>
      <c r="BD77" s="18">
        <f t="shared" si="44"/>
        <v>35</v>
      </c>
      <c r="BE77" s="18">
        <f t="shared" si="44"/>
        <v>35</v>
      </c>
      <c r="BF77" s="18">
        <f t="shared" si="44"/>
        <v>35</v>
      </c>
      <c r="BG77" s="18">
        <f t="shared" si="44"/>
        <v>35</v>
      </c>
      <c r="BH77" s="18">
        <f t="shared" si="44"/>
        <v>35</v>
      </c>
      <c r="BI77" s="18">
        <f t="shared" si="44"/>
        <v>35</v>
      </c>
      <c r="BJ77" s="19">
        <f t="shared" si="44"/>
        <v>35</v>
      </c>
      <c r="BK77" s="461"/>
    </row>
    <row r="78" spans="1:63" x14ac:dyDescent="0.25">
      <c r="A78" s="7"/>
      <c r="B78" s="37" t="s">
        <v>124</v>
      </c>
      <c r="C78" s="18">
        <f>+IF(RESULTADO!$C$102&lt;&gt;0,0,pREFs!C70-pREFs!C66)</f>
        <v>0</v>
      </c>
      <c r="D78" s="18">
        <f>+IF(RESULTADO!$C$102&lt;&gt;0,0,pREFs!D70-pREFs!D66)</f>
        <v>0</v>
      </c>
      <c r="E78" s="18">
        <f>+IF(RESULTADO!$C$102&lt;&gt;0,0,pREFs!E70-pREFs!E66)</f>
        <v>0</v>
      </c>
      <c r="F78" s="18">
        <f>+IF(RESULTADO!$C$102&lt;&gt;0,0,pREFs!F70-pREFs!F66)</f>
        <v>0</v>
      </c>
      <c r="G78" s="18">
        <f>+IF(RESULTADO!$C$102&lt;&gt;0,0,pREFs!G70-pREFs!G66)</f>
        <v>0</v>
      </c>
      <c r="H78" s="18">
        <f>+IF(RESULTADO!$C$102&lt;&gt;0,0,pREFs!H70-pREFs!H66)</f>
        <v>0</v>
      </c>
      <c r="I78" s="18">
        <f>+IF(RESULTADO!$C$102&lt;&gt;0,0,pREFs!I70-pREFs!I66)</f>
        <v>0</v>
      </c>
      <c r="J78" s="18">
        <f>+IF(RESULTADO!$C$102&lt;&gt;0,0,pREFs!J70-pREFs!J66)</f>
        <v>0</v>
      </c>
      <c r="K78" s="18">
        <f>+IF(RESULTADO!$C$102&lt;&gt;0,0,pREFs!K70-pREFs!K66)</f>
        <v>0</v>
      </c>
      <c r="L78" s="18">
        <f>+IF(RESULTADO!$C$102&lt;&gt;0,0,pREFs!L70-pREFs!L66)</f>
        <v>0</v>
      </c>
      <c r="M78" s="18">
        <f>+IF(RESULTADO!$C$102&lt;&gt;0,0,pREFs!M70-pREFs!M66)</f>
        <v>0</v>
      </c>
      <c r="N78" s="402">
        <f>+IF(RESULTADO!$C$102&lt;&gt;0,0,pREFs!N70-pREFs!N66)</f>
        <v>27</v>
      </c>
      <c r="O78" s="403">
        <f t="shared" ref="O78:Z78" si="45">O70-O66</f>
        <v>30</v>
      </c>
      <c r="P78" s="18">
        <f t="shared" si="45"/>
        <v>30</v>
      </c>
      <c r="Q78" s="18">
        <f t="shared" si="45"/>
        <v>30</v>
      </c>
      <c r="R78" s="18">
        <f t="shared" si="45"/>
        <v>30</v>
      </c>
      <c r="S78" s="18">
        <f t="shared" si="45"/>
        <v>30</v>
      </c>
      <c r="T78" s="18">
        <f t="shared" si="45"/>
        <v>30</v>
      </c>
      <c r="U78" s="18">
        <f t="shared" si="45"/>
        <v>30</v>
      </c>
      <c r="V78" s="18">
        <f t="shared" si="45"/>
        <v>30</v>
      </c>
      <c r="W78" s="18">
        <f t="shared" si="45"/>
        <v>30</v>
      </c>
      <c r="X78" s="18">
        <f t="shared" si="45"/>
        <v>30</v>
      </c>
      <c r="Y78" s="18">
        <f t="shared" si="45"/>
        <v>30</v>
      </c>
      <c r="Z78" s="402">
        <f t="shared" si="45"/>
        <v>30</v>
      </c>
      <c r="AA78" s="403">
        <f>+IF(RESULTADO!$C$102&lt;&gt;0,0,pREFs!AA70-pREFs!AA66)</f>
        <v>32</v>
      </c>
      <c r="AB78" s="18">
        <f>+IF(RESULTADO!$C$102&lt;&gt;0,0,pREFs!AB70-pREFs!AB66)</f>
        <v>32</v>
      </c>
      <c r="AC78" s="18">
        <f>+IF(RESULTADO!$C$102&lt;&gt;0,0,pREFs!AC70-pREFs!AC66)</f>
        <v>32</v>
      </c>
      <c r="AD78" s="18">
        <f>+IF(RESULTADO!$C$102&lt;&gt;0,0,pREFs!AD70-pREFs!AD66)</f>
        <v>32</v>
      </c>
      <c r="AE78" s="18">
        <f>+IF(RESULTADO!$C$102&lt;&gt;0,0,pREFs!AE70-pREFs!AE66)</f>
        <v>32</v>
      </c>
      <c r="AF78" s="18">
        <f>+IF(RESULTADO!$C$102&lt;&gt;0,0,pREFs!AF70-pREFs!AF66)</f>
        <v>32</v>
      </c>
      <c r="AG78" s="18">
        <f>+IF(RESULTADO!$C$102&lt;&gt;0,0,pREFs!AG70-pREFs!AG66)</f>
        <v>32</v>
      </c>
      <c r="AH78" s="18">
        <f>+IF(RESULTADO!$C$102&lt;&gt;0,0,pREFs!AH70-pREFs!AH66)</f>
        <v>32</v>
      </c>
      <c r="AI78" s="18">
        <f>+IF(RESULTADO!$C$102&lt;&gt;0,0,pREFs!AI70-pREFs!AI66)</f>
        <v>32</v>
      </c>
      <c r="AJ78" s="18">
        <f>+IF(RESULTADO!$C$102&lt;&gt;0,0,pREFs!AJ70-pREFs!AJ66)</f>
        <v>32</v>
      </c>
      <c r="AK78" s="18">
        <f>+IF(RESULTADO!$C$102&lt;&gt;0,0,pREFs!AK70-pREFs!AK66)</f>
        <v>32</v>
      </c>
      <c r="AL78" s="402">
        <f>+IF(RESULTADO!$C$102&lt;&gt;0,0,pREFs!AL70-pREFs!AL66)</f>
        <v>32</v>
      </c>
      <c r="AM78" s="403">
        <f t="shared" ref="AM78:AX78" si="46">AM70-AM66</f>
        <v>37</v>
      </c>
      <c r="AN78" s="18">
        <f t="shared" si="46"/>
        <v>37</v>
      </c>
      <c r="AO78" s="18">
        <f t="shared" si="46"/>
        <v>37</v>
      </c>
      <c r="AP78" s="18">
        <f t="shared" si="46"/>
        <v>37</v>
      </c>
      <c r="AQ78" s="18">
        <f t="shared" si="46"/>
        <v>37</v>
      </c>
      <c r="AR78" s="18">
        <f t="shared" si="46"/>
        <v>37</v>
      </c>
      <c r="AS78" s="18">
        <f t="shared" si="46"/>
        <v>37</v>
      </c>
      <c r="AT78" s="18">
        <f t="shared" si="46"/>
        <v>37</v>
      </c>
      <c r="AU78" s="18">
        <f t="shared" si="46"/>
        <v>37</v>
      </c>
      <c r="AV78" s="18">
        <f t="shared" si="46"/>
        <v>37</v>
      </c>
      <c r="AW78" s="18">
        <f t="shared" si="46"/>
        <v>37</v>
      </c>
      <c r="AX78" s="402">
        <f t="shared" si="46"/>
        <v>37</v>
      </c>
      <c r="AY78" s="403">
        <f t="shared" ref="AY78:BJ78" si="47">AY70-AY66</f>
        <v>35</v>
      </c>
      <c r="AZ78" s="18">
        <f t="shared" si="47"/>
        <v>35</v>
      </c>
      <c r="BA78" s="18">
        <f t="shared" si="47"/>
        <v>35</v>
      </c>
      <c r="BB78" s="18">
        <f t="shared" si="47"/>
        <v>35</v>
      </c>
      <c r="BC78" s="18">
        <f t="shared" si="47"/>
        <v>35</v>
      </c>
      <c r="BD78" s="18">
        <f t="shared" si="47"/>
        <v>35</v>
      </c>
      <c r="BE78" s="18">
        <f t="shared" si="47"/>
        <v>35</v>
      </c>
      <c r="BF78" s="18">
        <f t="shared" si="47"/>
        <v>35</v>
      </c>
      <c r="BG78" s="18">
        <f t="shared" si="47"/>
        <v>35</v>
      </c>
      <c r="BH78" s="18">
        <f t="shared" si="47"/>
        <v>35</v>
      </c>
      <c r="BI78" s="18">
        <f t="shared" si="47"/>
        <v>35</v>
      </c>
      <c r="BJ78" s="19">
        <f t="shared" si="47"/>
        <v>35</v>
      </c>
      <c r="BK78" s="461"/>
    </row>
    <row r="79" spans="1:63" ht="15.75" thickBot="1" x14ac:dyDescent="0.3">
      <c r="A79" s="7"/>
      <c r="B79" s="38" t="s">
        <v>125</v>
      </c>
      <c r="C79" s="23">
        <f>+IF(RESULTADO!$C$102&lt;&gt;0,0,pREFs!C71-pREFs!C67)</f>
        <v>0</v>
      </c>
      <c r="D79" s="23">
        <f>+IF(RESULTADO!$C$102&lt;&gt;0,0,pREFs!D71-pREFs!D67)</f>
        <v>0</v>
      </c>
      <c r="E79" s="23">
        <f>+IF(RESULTADO!$C$102&lt;&gt;0,0,pREFs!E71-pREFs!E67)</f>
        <v>0</v>
      </c>
      <c r="F79" s="23">
        <f>+IF(RESULTADO!$C$102&lt;&gt;0,0,pREFs!F71-pREFs!F67)</f>
        <v>0</v>
      </c>
      <c r="G79" s="23">
        <f>+IF(RESULTADO!$C$102&lt;&gt;0,0,pREFs!G71-pREFs!G67)</f>
        <v>0</v>
      </c>
      <c r="H79" s="23">
        <f>+IF(RESULTADO!$C$102&lt;&gt;0,0,pREFs!H71-pREFs!H67)</f>
        <v>0</v>
      </c>
      <c r="I79" s="23">
        <f>+IF(RESULTADO!$C$102&lt;&gt;0,0,pREFs!I71-pREFs!I67)</f>
        <v>0</v>
      </c>
      <c r="J79" s="23">
        <f>+IF(RESULTADO!$C$102&lt;&gt;0,0,pREFs!J71-pREFs!J67)</f>
        <v>0</v>
      </c>
      <c r="K79" s="23">
        <f>+IF(RESULTADO!$C$102&lt;&gt;0,0,pREFs!K71-pREFs!K67)</f>
        <v>0</v>
      </c>
      <c r="L79" s="23">
        <f>+IF(RESULTADO!$C$102&lt;&gt;0,0,pREFs!L71-pREFs!L67)</f>
        <v>0</v>
      </c>
      <c r="M79" s="23">
        <f>+IF(RESULTADO!$C$102&lt;&gt;0,0,pREFs!M71-pREFs!M67)</f>
        <v>0</v>
      </c>
      <c r="N79" s="404">
        <f>+IF(RESULTADO!$C$102&lt;&gt;0,0,pREFs!N71-pREFs!N67)</f>
        <v>27</v>
      </c>
      <c r="O79" s="405">
        <f t="shared" ref="O79:Z79" si="48">O71-O67</f>
        <v>30</v>
      </c>
      <c r="P79" s="23">
        <f t="shared" si="48"/>
        <v>30</v>
      </c>
      <c r="Q79" s="23">
        <f t="shared" si="48"/>
        <v>30</v>
      </c>
      <c r="R79" s="23">
        <f t="shared" si="48"/>
        <v>30</v>
      </c>
      <c r="S79" s="23">
        <f t="shared" si="48"/>
        <v>30</v>
      </c>
      <c r="T79" s="23">
        <f t="shared" si="48"/>
        <v>30</v>
      </c>
      <c r="U79" s="23">
        <f t="shared" si="48"/>
        <v>30</v>
      </c>
      <c r="V79" s="23">
        <f t="shared" si="48"/>
        <v>30</v>
      </c>
      <c r="W79" s="23">
        <f t="shared" si="48"/>
        <v>30</v>
      </c>
      <c r="X79" s="23">
        <f t="shared" si="48"/>
        <v>30</v>
      </c>
      <c r="Y79" s="23">
        <f t="shared" si="48"/>
        <v>30</v>
      </c>
      <c r="Z79" s="404">
        <f t="shared" si="48"/>
        <v>30</v>
      </c>
      <c r="AA79" s="405">
        <f>+IF(RESULTADO!$C$102&lt;&gt;0,0,pREFs!AA71-pREFs!AA67)</f>
        <v>32</v>
      </c>
      <c r="AB79" s="23">
        <f>+IF(RESULTADO!$C$102&lt;&gt;0,0,pREFs!AB71-pREFs!AB67)</f>
        <v>32</v>
      </c>
      <c r="AC79" s="23">
        <f>+IF(RESULTADO!$C$102&lt;&gt;0,0,pREFs!AC71-pREFs!AC67)</f>
        <v>32</v>
      </c>
      <c r="AD79" s="23">
        <f>+IF(RESULTADO!$C$102&lt;&gt;0,0,pREFs!AD71-pREFs!AD67)</f>
        <v>32</v>
      </c>
      <c r="AE79" s="23">
        <f>+IF(RESULTADO!$C$102&lt;&gt;0,0,pREFs!AE71-pREFs!AE67)</f>
        <v>32</v>
      </c>
      <c r="AF79" s="23">
        <f>+IF(RESULTADO!$C$102&lt;&gt;0,0,pREFs!AF71-pREFs!AF67)</f>
        <v>32</v>
      </c>
      <c r="AG79" s="23">
        <f>+IF(RESULTADO!$C$102&lt;&gt;0,0,pREFs!AG71-pREFs!AG67)</f>
        <v>32</v>
      </c>
      <c r="AH79" s="23">
        <f>+IF(RESULTADO!$C$102&lt;&gt;0,0,pREFs!AH71-pREFs!AH67)</f>
        <v>32</v>
      </c>
      <c r="AI79" s="23">
        <f>+IF(RESULTADO!$C$102&lt;&gt;0,0,pREFs!AI71-pREFs!AI67)</f>
        <v>32</v>
      </c>
      <c r="AJ79" s="23">
        <f>+IF(RESULTADO!$C$102&lt;&gt;0,0,pREFs!AJ71-pREFs!AJ67)</f>
        <v>32</v>
      </c>
      <c r="AK79" s="23">
        <f>+IF(RESULTADO!$C$102&lt;&gt;0,0,pREFs!AK71-pREFs!AK67)</f>
        <v>32</v>
      </c>
      <c r="AL79" s="404">
        <f>+IF(RESULTADO!$C$102&lt;&gt;0,0,pREFs!AL71-pREFs!AL67)</f>
        <v>32</v>
      </c>
      <c r="AM79" s="405">
        <f t="shared" ref="AM79:AX79" si="49">AM71-AM67</f>
        <v>37</v>
      </c>
      <c r="AN79" s="23">
        <f t="shared" si="49"/>
        <v>37</v>
      </c>
      <c r="AO79" s="23">
        <f t="shared" si="49"/>
        <v>37</v>
      </c>
      <c r="AP79" s="23">
        <f t="shared" si="49"/>
        <v>37</v>
      </c>
      <c r="AQ79" s="23">
        <f t="shared" si="49"/>
        <v>37</v>
      </c>
      <c r="AR79" s="23">
        <f t="shared" si="49"/>
        <v>37</v>
      </c>
      <c r="AS79" s="23">
        <f t="shared" si="49"/>
        <v>37</v>
      </c>
      <c r="AT79" s="23">
        <f t="shared" si="49"/>
        <v>37</v>
      </c>
      <c r="AU79" s="23">
        <f t="shared" si="49"/>
        <v>37</v>
      </c>
      <c r="AV79" s="23">
        <f t="shared" si="49"/>
        <v>37</v>
      </c>
      <c r="AW79" s="23">
        <f t="shared" si="49"/>
        <v>37</v>
      </c>
      <c r="AX79" s="404">
        <f t="shared" si="49"/>
        <v>37</v>
      </c>
      <c r="AY79" s="405">
        <f t="shared" ref="AY79:BJ79" si="50">AY71-AY67</f>
        <v>35</v>
      </c>
      <c r="AZ79" s="23">
        <f t="shared" si="50"/>
        <v>35</v>
      </c>
      <c r="BA79" s="23">
        <f t="shared" si="50"/>
        <v>35</v>
      </c>
      <c r="BB79" s="23">
        <f t="shared" si="50"/>
        <v>35</v>
      </c>
      <c r="BC79" s="23">
        <f t="shared" si="50"/>
        <v>35</v>
      </c>
      <c r="BD79" s="23">
        <f t="shared" si="50"/>
        <v>35</v>
      </c>
      <c r="BE79" s="23">
        <f t="shared" si="50"/>
        <v>35</v>
      </c>
      <c r="BF79" s="23">
        <f t="shared" si="50"/>
        <v>35</v>
      </c>
      <c r="BG79" s="23">
        <f t="shared" si="50"/>
        <v>35</v>
      </c>
      <c r="BH79" s="23">
        <f t="shared" si="50"/>
        <v>35</v>
      </c>
      <c r="BI79" s="23">
        <f t="shared" si="50"/>
        <v>35</v>
      </c>
      <c r="BJ79" s="24">
        <f t="shared" si="50"/>
        <v>35</v>
      </c>
      <c r="BK79" s="461"/>
    </row>
    <row r="80" spans="1:63" x14ac:dyDescent="0.25">
      <c r="A80" s="7"/>
      <c r="B80" s="36" t="s">
        <v>126</v>
      </c>
      <c r="C80" s="20">
        <f>+IF(RESULTADO!$C$103&lt;&gt;0,0,pREFs!C72-pREFs!C64)</f>
        <v>0</v>
      </c>
      <c r="D80" s="20">
        <f>+IF(RESULTADO!$C$103&lt;&gt;0,0,pREFs!D72-pREFs!D64)</f>
        <v>0</v>
      </c>
      <c r="E80" s="20">
        <f>+IF(RESULTADO!$C$103&lt;&gt;0,0,pREFs!E72-pREFs!E64)</f>
        <v>0</v>
      </c>
      <c r="F80" s="20">
        <f>+IF(RESULTADO!$C$103&lt;&gt;0,0,pREFs!F72-pREFs!F64)</f>
        <v>0</v>
      </c>
      <c r="G80" s="20">
        <f>+IF(RESULTADO!$C$103&lt;&gt;0,0,pREFs!G72-pREFs!G64)</f>
        <v>0</v>
      </c>
      <c r="H80" s="20">
        <f>+IF(RESULTADO!$C$103&lt;&gt;0,0,pREFs!H72-pREFs!H64)</f>
        <v>0</v>
      </c>
      <c r="I80" s="20">
        <f>+IF(RESULTADO!$C$103&lt;&gt;0,0,pREFs!I72-pREFs!I64)</f>
        <v>0</v>
      </c>
      <c r="J80" s="20">
        <f>+IF(RESULTADO!$C$103&lt;&gt;0,0,pREFs!J72-pREFs!J64)</f>
        <v>0</v>
      </c>
      <c r="K80" s="20">
        <f>+IF(RESULTADO!$C$103&lt;&gt;0,0,pREFs!K72-pREFs!K64)</f>
        <v>0</v>
      </c>
      <c r="L80" s="20">
        <f>+IF(RESULTADO!$C$103&lt;&gt;0,0,pREFs!L72-pREFs!L64)</f>
        <v>0</v>
      </c>
      <c r="M80" s="20">
        <f>+IF(RESULTADO!$C$103&lt;&gt;0,0,pREFs!M72-pREFs!M64)</f>
        <v>0</v>
      </c>
      <c r="N80" s="400">
        <f>+IF(RESULTADO!$C$103&lt;&gt;0,0,pREFs!N72-pREFs!N64)</f>
        <v>160</v>
      </c>
      <c r="O80" s="401">
        <f t="shared" ref="O80:Z80" si="51">O72-O64</f>
        <v>160</v>
      </c>
      <c r="P80" s="20">
        <f t="shared" si="51"/>
        <v>160</v>
      </c>
      <c r="Q80" s="20">
        <f t="shared" si="51"/>
        <v>160</v>
      </c>
      <c r="R80" s="20">
        <f t="shared" si="51"/>
        <v>160</v>
      </c>
      <c r="S80" s="20">
        <f t="shared" si="51"/>
        <v>160</v>
      </c>
      <c r="T80" s="20">
        <f t="shared" si="51"/>
        <v>160</v>
      </c>
      <c r="U80" s="20">
        <f t="shared" si="51"/>
        <v>160</v>
      </c>
      <c r="V80" s="20">
        <f t="shared" si="51"/>
        <v>160</v>
      </c>
      <c r="W80" s="20">
        <f t="shared" si="51"/>
        <v>160</v>
      </c>
      <c r="X80" s="20">
        <f t="shared" si="51"/>
        <v>160</v>
      </c>
      <c r="Y80" s="20">
        <f t="shared" si="51"/>
        <v>160</v>
      </c>
      <c r="Z80" s="400">
        <f t="shared" si="51"/>
        <v>160</v>
      </c>
      <c r="AA80" s="401">
        <f>+IF(RESULTADO!$C$103&lt;&gt;0,0,pREFs!AA72-pREFs!AA64)</f>
        <v>165</v>
      </c>
      <c r="AB80" s="20">
        <f>+IF(RESULTADO!$C$103&lt;&gt;0,0,pREFs!AB72-pREFs!AB64)</f>
        <v>165</v>
      </c>
      <c r="AC80" s="20">
        <f>+IF(RESULTADO!$C$103&lt;&gt;0,0,pREFs!AC72-pREFs!AC64)</f>
        <v>165</v>
      </c>
      <c r="AD80" s="20">
        <f>+IF(RESULTADO!$C$103&lt;&gt;0,0,pREFs!AD72-pREFs!AD64)</f>
        <v>165</v>
      </c>
      <c r="AE80" s="20">
        <f>+IF(RESULTADO!$C$103&lt;&gt;0,0,pREFs!AE72-pREFs!AE64)</f>
        <v>165</v>
      </c>
      <c r="AF80" s="20">
        <f>+IF(RESULTADO!$C$103&lt;&gt;0,0,pREFs!AF72-pREFs!AF64)</f>
        <v>165</v>
      </c>
      <c r="AG80" s="20">
        <f>+IF(RESULTADO!$C$103&lt;&gt;0,0,pREFs!AG72-pREFs!AG64)</f>
        <v>165</v>
      </c>
      <c r="AH80" s="20">
        <f>+IF(RESULTADO!$C$103&lt;&gt;0,0,pREFs!AH72-pREFs!AH64)</f>
        <v>165</v>
      </c>
      <c r="AI80" s="20">
        <f>+IF(RESULTADO!$C$103&lt;&gt;0,0,pREFs!AI72-pREFs!AI64)</f>
        <v>165</v>
      </c>
      <c r="AJ80" s="20">
        <f>+IF(RESULTADO!$C$103&lt;&gt;0,0,pREFs!AJ72-pREFs!AJ64)</f>
        <v>165</v>
      </c>
      <c r="AK80" s="20">
        <f>+IF(RESULTADO!$C$103&lt;&gt;0,0,pREFs!AK72-pREFs!AK64)</f>
        <v>165</v>
      </c>
      <c r="AL80" s="400">
        <f>+IF(RESULTADO!$C$103&lt;&gt;0,0,pREFs!AL72-pREFs!AL64)</f>
        <v>165</v>
      </c>
      <c r="AM80" s="401">
        <f t="shared" ref="AM80:AX80" si="52">AM72-AM64</f>
        <v>120</v>
      </c>
      <c r="AN80" s="20">
        <f t="shared" si="52"/>
        <v>120</v>
      </c>
      <c r="AO80" s="20">
        <f t="shared" si="52"/>
        <v>120</v>
      </c>
      <c r="AP80" s="20">
        <f t="shared" si="52"/>
        <v>120</v>
      </c>
      <c r="AQ80" s="20">
        <f t="shared" si="52"/>
        <v>120</v>
      </c>
      <c r="AR80" s="20">
        <f t="shared" si="52"/>
        <v>120</v>
      </c>
      <c r="AS80" s="20">
        <f t="shared" si="52"/>
        <v>120</v>
      </c>
      <c r="AT80" s="20">
        <f t="shared" si="52"/>
        <v>120</v>
      </c>
      <c r="AU80" s="20">
        <f t="shared" si="52"/>
        <v>120</v>
      </c>
      <c r="AV80" s="20">
        <f t="shared" si="52"/>
        <v>120</v>
      </c>
      <c r="AW80" s="20">
        <f t="shared" si="52"/>
        <v>120</v>
      </c>
      <c r="AX80" s="400">
        <f t="shared" si="52"/>
        <v>120</v>
      </c>
      <c r="AY80" s="401">
        <f t="shared" ref="AY80:BJ80" si="53">AY72-AY64</f>
        <v>115</v>
      </c>
      <c r="AZ80" s="20">
        <f t="shared" si="53"/>
        <v>115</v>
      </c>
      <c r="BA80" s="20">
        <f t="shared" si="53"/>
        <v>115</v>
      </c>
      <c r="BB80" s="20">
        <f t="shared" si="53"/>
        <v>115</v>
      </c>
      <c r="BC80" s="20">
        <f t="shared" si="53"/>
        <v>115</v>
      </c>
      <c r="BD80" s="20">
        <f t="shared" si="53"/>
        <v>115</v>
      </c>
      <c r="BE80" s="20">
        <f t="shared" si="53"/>
        <v>115</v>
      </c>
      <c r="BF80" s="20">
        <f t="shared" si="53"/>
        <v>115</v>
      </c>
      <c r="BG80" s="20">
        <f t="shared" si="53"/>
        <v>115</v>
      </c>
      <c r="BH80" s="20">
        <f t="shared" si="53"/>
        <v>115</v>
      </c>
      <c r="BI80" s="20">
        <f t="shared" si="53"/>
        <v>115</v>
      </c>
      <c r="BJ80" s="467">
        <f t="shared" si="53"/>
        <v>115</v>
      </c>
      <c r="BK80" s="461"/>
    </row>
    <row r="81" spans="1:63" x14ac:dyDescent="0.25">
      <c r="A81" s="7"/>
      <c r="B81" s="37" t="s">
        <v>127</v>
      </c>
      <c r="C81" s="18">
        <f>+IF(RESULTADO!$C$103&lt;&gt;0,0,pREFs!C73-pREFs!C65)</f>
        <v>0</v>
      </c>
      <c r="D81" s="18">
        <f>+IF(RESULTADO!$C$103&lt;&gt;0,0,pREFs!D73-pREFs!D65)</f>
        <v>0</v>
      </c>
      <c r="E81" s="18">
        <f>+IF(RESULTADO!$C$103&lt;&gt;0,0,pREFs!E73-pREFs!E65)</f>
        <v>0</v>
      </c>
      <c r="F81" s="18">
        <f>+IF(RESULTADO!$C$103&lt;&gt;0,0,pREFs!F73-pREFs!F65)</f>
        <v>0</v>
      </c>
      <c r="G81" s="18">
        <f>+IF(RESULTADO!$C$103&lt;&gt;0,0,pREFs!G73-pREFs!G65)</f>
        <v>0</v>
      </c>
      <c r="H81" s="18">
        <f>+IF(RESULTADO!$C$103&lt;&gt;0,0,pREFs!H73-pREFs!H65)</f>
        <v>0</v>
      </c>
      <c r="I81" s="18">
        <f>+IF(RESULTADO!$C$103&lt;&gt;0,0,pREFs!I73-pREFs!I65)</f>
        <v>0</v>
      </c>
      <c r="J81" s="18">
        <f>+IF(RESULTADO!$C$103&lt;&gt;0,0,pREFs!J73-pREFs!J65)</f>
        <v>0</v>
      </c>
      <c r="K81" s="18">
        <f>+IF(RESULTADO!$C$103&lt;&gt;0,0,pREFs!K73-pREFs!K65)</f>
        <v>0</v>
      </c>
      <c r="L81" s="18">
        <f>+IF(RESULTADO!$C$103&lt;&gt;0,0,pREFs!L73-pREFs!L65)</f>
        <v>0</v>
      </c>
      <c r="M81" s="18">
        <f>+IF(RESULTADO!$C$103&lt;&gt;0,0,pREFs!M73-pREFs!M65)</f>
        <v>0</v>
      </c>
      <c r="N81" s="402">
        <f>+IF(RESULTADO!$C$103&lt;&gt;0,0,pREFs!N73-pREFs!N65)</f>
        <v>160</v>
      </c>
      <c r="O81" s="403">
        <f t="shared" ref="O81:Z81" si="54">O73-O65</f>
        <v>160</v>
      </c>
      <c r="P81" s="18">
        <f t="shared" si="54"/>
        <v>160</v>
      </c>
      <c r="Q81" s="18">
        <f t="shared" si="54"/>
        <v>160</v>
      </c>
      <c r="R81" s="18">
        <f t="shared" si="54"/>
        <v>160</v>
      </c>
      <c r="S81" s="18">
        <f t="shared" si="54"/>
        <v>160</v>
      </c>
      <c r="T81" s="18">
        <f t="shared" si="54"/>
        <v>160</v>
      </c>
      <c r="U81" s="18">
        <f t="shared" si="54"/>
        <v>160</v>
      </c>
      <c r="V81" s="18">
        <f t="shared" si="54"/>
        <v>160</v>
      </c>
      <c r="W81" s="18">
        <f t="shared" si="54"/>
        <v>160</v>
      </c>
      <c r="X81" s="18">
        <f t="shared" si="54"/>
        <v>160</v>
      </c>
      <c r="Y81" s="18">
        <f t="shared" si="54"/>
        <v>160</v>
      </c>
      <c r="Z81" s="402">
        <f t="shared" si="54"/>
        <v>160</v>
      </c>
      <c r="AA81" s="403">
        <f>+IF(RESULTADO!$C$103&lt;&gt;0,0,pREFs!AA73-pREFs!AA65)</f>
        <v>165</v>
      </c>
      <c r="AB81" s="18">
        <f>+IF(RESULTADO!$C$103&lt;&gt;0,0,pREFs!AB73-pREFs!AB65)</f>
        <v>165</v>
      </c>
      <c r="AC81" s="18">
        <f>+IF(RESULTADO!$C$103&lt;&gt;0,0,pREFs!AC73-pREFs!AC65)</f>
        <v>165</v>
      </c>
      <c r="AD81" s="18">
        <f>+IF(RESULTADO!$C$103&lt;&gt;0,0,pREFs!AD73-pREFs!AD65)</f>
        <v>165</v>
      </c>
      <c r="AE81" s="18">
        <f>+IF(RESULTADO!$C$103&lt;&gt;0,0,pREFs!AE73-pREFs!AE65)</f>
        <v>165</v>
      </c>
      <c r="AF81" s="18">
        <f>+IF(RESULTADO!$C$103&lt;&gt;0,0,pREFs!AF73-pREFs!AF65)</f>
        <v>165</v>
      </c>
      <c r="AG81" s="18">
        <f>+IF(RESULTADO!$C$103&lt;&gt;0,0,pREFs!AG73-pREFs!AG65)</f>
        <v>165</v>
      </c>
      <c r="AH81" s="18">
        <f>+IF(RESULTADO!$C$103&lt;&gt;0,0,pREFs!AH73-pREFs!AH65)</f>
        <v>165</v>
      </c>
      <c r="AI81" s="18">
        <f>+IF(RESULTADO!$C$103&lt;&gt;0,0,pREFs!AI73-pREFs!AI65)</f>
        <v>165</v>
      </c>
      <c r="AJ81" s="18">
        <f>+IF(RESULTADO!$C$103&lt;&gt;0,0,pREFs!AJ73-pREFs!AJ65)</f>
        <v>165</v>
      </c>
      <c r="AK81" s="18">
        <f>+IF(RESULTADO!$C$103&lt;&gt;0,0,pREFs!AK73-pREFs!AK65)</f>
        <v>165</v>
      </c>
      <c r="AL81" s="402">
        <f>+IF(RESULTADO!$C$103&lt;&gt;0,0,pREFs!AL73-pREFs!AL65)</f>
        <v>165</v>
      </c>
      <c r="AM81" s="403">
        <f t="shared" ref="AM81:AX81" si="55">AM73-AM65</f>
        <v>120</v>
      </c>
      <c r="AN81" s="18">
        <f t="shared" si="55"/>
        <v>120</v>
      </c>
      <c r="AO81" s="18">
        <f t="shared" si="55"/>
        <v>120</v>
      </c>
      <c r="AP81" s="18">
        <f t="shared" si="55"/>
        <v>120</v>
      </c>
      <c r="AQ81" s="18">
        <f t="shared" si="55"/>
        <v>120</v>
      </c>
      <c r="AR81" s="18">
        <f t="shared" si="55"/>
        <v>120</v>
      </c>
      <c r="AS81" s="18">
        <f t="shared" si="55"/>
        <v>120</v>
      </c>
      <c r="AT81" s="18">
        <f t="shared" si="55"/>
        <v>120</v>
      </c>
      <c r="AU81" s="18">
        <f t="shared" si="55"/>
        <v>120</v>
      </c>
      <c r="AV81" s="18">
        <f t="shared" si="55"/>
        <v>120</v>
      </c>
      <c r="AW81" s="18">
        <f t="shared" si="55"/>
        <v>120</v>
      </c>
      <c r="AX81" s="402">
        <f t="shared" si="55"/>
        <v>120</v>
      </c>
      <c r="AY81" s="403">
        <f t="shared" ref="AY81:BJ81" si="56">AY73-AY65</f>
        <v>115</v>
      </c>
      <c r="AZ81" s="18">
        <f t="shared" si="56"/>
        <v>115</v>
      </c>
      <c r="BA81" s="18">
        <f t="shared" si="56"/>
        <v>115</v>
      </c>
      <c r="BB81" s="18">
        <f t="shared" si="56"/>
        <v>115</v>
      </c>
      <c r="BC81" s="18">
        <f t="shared" si="56"/>
        <v>115</v>
      </c>
      <c r="BD81" s="18">
        <f t="shared" si="56"/>
        <v>115</v>
      </c>
      <c r="BE81" s="18">
        <f t="shared" si="56"/>
        <v>115</v>
      </c>
      <c r="BF81" s="18">
        <f t="shared" si="56"/>
        <v>115</v>
      </c>
      <c r="BG81" s="18">
        <f t="shared" si="56"/>
        <v>115</v>
      </c>
      <c r="BH81" s="18">
        <f t="shared" si="56"/>
        <v>115</v>
      </c>
      <c r="BI81" s="18">
        <f t="shared" si="56"/>
        <v>115</v>
      </c>
      <c r="BJ81" s="19">
        <f t="shared" si="56"/>
        <v>115</v>
      </c>
      <c r="BK81" s="461"/>
    </row>
    <row r="82" spans="1:63" x14ac:dyDescent="0.25">
      <c r="A82" s="7"/>
      <c r="B82" s="37" t="s">
        <v>128</v>
      </c>
      <c r="C82" s="18">
        <f>+IF(RESULTADO!$C$103&lt;&gt;0,0,pREFs!C74-pREFs!C66)</f>
        <v>0</v>
      </c>
      <c r="D82" s="18">
        <f>+IF(RESULTADO!$C$103&lt;&gt;0,0,pREFs!D74-pREFs!D66)</f>
        <v>0</v>
      </c>
      <c r="E82" s="18">
        <f>+IF(RESULTADO!$C$103&lt;&gt;0,0,pREFs!E74-pREFs!E66)</f>
        <v>0</v>
      </c>
      <c r="F82" s="18">
        <f>+IF(RESULTADO!$C$103&lt;&gt;0,0,pREFs!F74-pREFs!F66)</f>
        <v>0</v>
      </c>
      <c r="G82" s="18">
        <f>+IF(RESULTADO!$C$103&lt;&gt;0,0,pREFs!G74-pREFs!G66)</f>
        <v>0</v>
      </c>
      <c r="H82" s="18">
        <f>+IF(RESULTADO!$C$103&lt;&gt;0,0,pREFs!H74-pREFs!H66)</f>
        <v>0</v>
      </c>
      <c r="I82" s="18">
        <f>+IF(RESULTADO!$C$103&lt;&gt;0,0,pREFs!I74-pREFs!I66)</f>
        <v>0</v>
      </c>
      <c r="J82" s="18">
        <f>+IF(RESULTADO!$C$103&lt;&gt;0,0,pREFs!J74-pREFs!J66)</f>
        <v>0</v>
      </c>
      <c r="K82" s="18">
        <f>+IF(RESULTADO!$C$103&lt;&gt;0,0,pREFs!K74-pREFs!K66)</f>
        <v>0</v>
      </c>
      <c r="L82" s="18">
        <f>+IF(RESULTADO!$C$103&lt;&gt;0,0,pREFs!L74-pREFs!L66)</f>
        <v>0</v>
      </c>
      <c r="M82" s="18">
        <f>+IF(RESULTADO!$C$103&lt;&gt;0,0,pREFs!M74-pREFs!M66)</f>
        <v>0</v>
      </c>
      <c r="N82" s="402">
        <f>+IF(RESULTADO!$C$103&lt;&gt;0,0,pREFs!N74-pREFs!N66)</f>
        <v>160</v>
      </c>
      <c r="O82" s="403">
        <f t="shared" ref="O82:Z82" si="57">O74-O66</f>
        <v>160</v>
      </c>
      <c r="P82" s="18">
        <f t="shared" si="57"/>
        <v>160</v>
      </c>
      <c r="Q82" s="18">
        <f t="shared" si="57"/>
        <v>160</v>
      </c>
      <c r="R82" s="18">
        <f t="shared" si="57"/>
        <v>160</v>
      </c>
      <c r="S82" s="18">
        <f t="shared" si="57"/>
        <v>160</v>
      </c>
      <c r="T82" s="18">
        <f t="shared" si="57"/>
        <v>160</v>
      </c>
      <c r="U82" s="18">
        <f t="shared" si="57"/>
        <v>160</v>
      </c>
      <c r="V82" s="18">
        <f t="shared" si="57"/>
        <v>160</v>
      </c>
      <c r="W82" s="18">
        <f t="shared" si="57"/>
        <v>160</v>
      </c>
      <c r="X82" s="18">
        <f t="shared" si="57"/>
        <v>160</v>
      </c>
      <c r="Y82" s="18">
        <f t="shared" si="57"/>
        <v>160</v>
      </c>
      <c r="Z82" s="402">
        <f t="shared" si="57"/>
        <v>160</v>
      </c>
      <c r="AA82" s="403">
        <f>+IF(RESULTADO!$C$103&lt;&gt;0,0,pREFs!AA74-pREFs!AA66)</f>
        <v>165</v>
      </c>
      <c r="AB82" s="18">
        <f>+IF(RESULTADO!$C$103&lt;&gt;0,0,pREFs!AB74-pREFs!AB66)</f>
        <v>165</v>
      </c>
      <c r="AC82" s="18">
        <f>+IF(RESULTADO!$C$103&lt;&gt;0,0,pREFs!AC74-pREFs!AC66)</f>
        <v>165</v>
      </c>
      <c r="AD82" s="18">
        <f>+IF(RESULTADO!$C$103&lt;&gt;0,0,pREFs!AD74-pREFs!AD66)</f>
        <v>165</v>
      </c>
      <c r="AE82" s="18">
        <f>+IF(RESULTADO!$C$103&lt;&gt;0,0,pREFs!AE74-pREFs!AE66)</f>
        <v>165</v>
      </c>
      <c r="AF82" s="18">
        <f>+IF(RESULTADO!$C$103&lt;&gt;0,0,pREFs!AF74-pREFs!AF66)</f>
        <v>165</v>
      </c>
      <c r="AG82" s="18">
        <f>+IF(RESULTADO!$C$103&lt;&gt;0,0,pREFs!AG74-pREFs!AG66)</f>
        <v>165</v>
      </c>
      <c r="AH82" s="18">
        <f>+IF(RESULTADO!$C$103&lt;&gt;0,0,pREFs!AH74-pREFs!AH66)</f>
        <v>165</v>
      </c>
      <c r="AI82" s="18">
        <f>+IF(RESULTADO!$C$103&lt;&gt;0,0,pREFs!AI74-pREFs!AI66)</f>
        <v>165</v>
      </c>
      <c r="AJ82" s="18">
        <f>+IF(RESULTADO!$C$103&lt;&gt;0,0,pREFs!AJ74-pREFs!AJ66)</f>
        <v>165</v>
      </c>
      <c r="AK82" s="18">
        <f>+IF(RESULTADO!$C$103&lt;&gt;0,0,pREFs!AK74-pREFs!AK66)</f>
        <v>165</v>
      </c>
      <c r="AL82" s="402">
        <f>+IF(RESULTADO!$C$103&lt;&gt;0,0,pREFs!AL74-pREFs!AL66)</f>
        <v>165</v>
      </c>
      <c r="AM82" s="403">
        <f t="shared" ref="AM82:AX82" si="58">AM74-AM66</f>
        <v>120</v>
      </c>
      <c r="AN82" s="18">
        <f t="shared" si="58"/>
        <v>120</v>
      </c>
      <c r="AO82" s="18">
        <f t="shared" si="58"/>
        <v>120</v>
      </c>
      <c r="AP82" s="18">
        <f t="shared" si="58"/>
        <v>120</v>
      </c>
      <c r="AQ82" s="18">
        <f t="shared" si="58"/>
        <v>120</v>
      </c>
      <c r="AR82" s="18">
        <f t="shared" si="58"/>
        <v>120</v>
      </c>
      <c r="AS82" s="18">
        <f t="shared" si="58"/>
        <v>120</v>
      </c>
      <c r="AT82" s="18">
        <f t="shared" si="58"/>
        <v>120</v>
      </c>
      <c r="AU82" s="18">
        <f t="shared" si="58"/>
        <v>120</v>
      </c>
      <c r="AV82" s="18">
        <f t="shared" si="58"/>
        <v>120</v>
      </c>
      <c r="AW82" s="18">
        <f t="shared" si="58"/>
        <v>120</v>
      </c>
      <c r="AX82" s="402">
        <f t="shared" si="58"/>
        <v>120</v>
      </c>
      <c r="AY82" s="403">
        <f t="shared" ref="AY82:BJ82" si="59">AY74-AY66</f>
        <v>115</v>
      </c>
      <c r="AZ82" s="18">
        <f t="shared" si="59"/>
        <v>115</v>
      </c>
      <c r="BA82" s="18">
        <f t="shared" si="59"/>
        <v>115</v>
      </c>
      <c r="BB82" s="18">
        <f t="shared" si="59"/>
        <v>115</v>
      </c>
      <c r="BC82" s="18">
        <f t="shared" si="59"/>
        <v>115</v>
      </c>
      <c r="BD82" s="18">
        <f t="shared" si="59"/>
        <v>115</v>
      </c>
      <c r="BE82" s="18">
        <f t="shared" si="59"/>
        <v>115</v>
      </c>
      <c r="BF82" s="18">
        <f t="shared" si="59"/>
        <v>115</v>
      </c>
      <c r="BG82" s="18">
        <f t="shared" si="59"/>
        <v>115</v>
      </c>
      <c r="BH82" s="18">
        <f t="shared" si="59"/>
        <v>115</v>
      </c>
      <c r="BI82" s="18">
        <f t="shared" si="59"/>
        <v>115</v>
      </c>
      <c r="BJ82" s="19">
        <f t="shared" si="59"/>
        <v>115</v>
      </c>
      <c r="BK82" s="461"/>
    </row>
    <row r="83" spans="1:63" ht="15.75" thickBot="1" x14ac:dyDescent="0.3">
      <c r="A83" s="7"/>
      <c r="B83" s="38" t="s">
        <v>129</v>
      </c>
      <c r="C83" s="23">
        <f>+IF(RESULTADO!$C$103&lt;&gt;0,0,pREFs!C75-pREFs!C67)</f>
        <v>0</v>
      </c>
      <c r="D83" s="23">
        <f>+IF(RESULTADO!$C$103&lt;&gt;0,0,pREFs!D75-pREFs!D67)</f>
        <v>0</v>
      </c>
      <c r="E83" s="23">
        <f>+IF(RESULTADO!$C$103&lt;&gt;0,0,pREFs!E75-pREFs!E67)</f>
        <v>0</v>
      </c>
      <c r="F83" s="23">
        <f>+IF(RESULTADO!$C$103&lt;&gt;0,0,pREFs!F75-pREFs!F67)</f>
        <v>0</v>
      </c>
      <c r="G83" s="23">
        <f>+IF(RESULTADO!$C$103&lt;&gt;0,0,pREFs!G75-pREFs!G67)</f>
        <v>0</v>
      </c>
      <c r="H83" s="23">
        <f>+IF(RESULTADO!$C$103&lt;&gt;0,0,pREFs!H75-pREFs!H67)</f>
        <v>0</v>
      </c>
      <c r="I83" s="23">
        <f>+IF(RESULTADO!$C$103&lt;&gt;0,0,pREFs!I75-pREFs!I67)</f>
        <v>0</v>
      </c>
      <c r="J83" s="23">
        <f>+IF(RESULTADO!$C$103&lt;&gt;0,0,pREFs!J75-pREFs!J67)</f>
        <v>0</v>
      </c>
      <c r="K83" s="23">
        <f>+IF(RESULTADO!$C$103&lt;&gt;0,0,pREFs!K75-pREFs!K67)</f>
        <v>0</v>
      </c>
      <c r="L83" s="23">
        <f>+IF(RESULTADO!$C$103&lt;&gt;0,0,pREFs!L75-pREFs!L67)</f>
        <v>0</v>
      </c>
      <c r="M83" s="23">
        <f>+IF(RESULTADO!$C$103&lt;&gt;0,0,pREFs!M75-pREFs!M67)</f>
        <v>0</v>
      </c>
      <c r="N83" s="404">
        <f>+IF(RESULTADO!$C$103&lt;&gt;0,0,pREFs!N75-pREFs!N67)</f>
        <v>160</v>
      </c>
      <c r="O83" s="405">
        <f t="shared" ref="O83:Z83" si="60">O75-O67</f>
        <v>160</v>
      </c>
      <c r="P83" s="23">
        <f t="shared" si="60"/>
        <v>160</v>
      </c>
      <c r="Q83" s="23">
        <f t="shared" si="60"/>
        <v>160</v>
      </c>
      <c r="R83" s="23">
        <f t="shared" si="60"/>
        <v>160</v>
      </c>
      <c r="S83" s="23">
        <f t="shared" si="60"/>
        <v>160</v>
      </c>
      <c r="T83" s="23">
        <f t="shared" si="60"/>
        <v>160</v>
      </c>
      <c r="U83" s="23">
        <f t="shared" si="60"/>
        <v>160</v>
      </c>
      <c r="V83" s="23">
        <f t="shared" si="60"/>
        <v>160</v>
      </c>
      <c r="W83" s="23">
        <f t="shared" si="60"/>
        <v>160</v>
      </c>
      <c r="X83" s="23">
        <f t="shared" si="60"/>
        <v>160</v>
      </c>
      <c r="Y83" s="23">
        <f t="shared" si="60"/>
        <v>160</v>
      </c>
      <c r="Z83" s="404">
        <f t="shared" si="60"/>
        <v>160</v>
      </c>
      <c r="AA83" s="405">
        <f>+IF(RESULTADO!$C$103&lt;&gt;0,0,pREFs!AA75-pREFs!AA67)</f>
        <v>165</v>
      </c>
      <c r="AB83" s="23">
        <f>+IF(RESULTADO!$C$103&lt;&gt;0,0,pREFs!AB75-pREFs!AB67)</f>
        <v>165</v>
      </c>
      <c r="AC83" s="23">
        <f>+IF(RESULTADO!$C$103&lt;&gt;0,0,pREFs!AC75-pREFs!AC67)</f>
        <v>165</v>
      </c>
      <c r="AD83" s="23">
        <f>+IF(RESULTADO!$C$103&lt;&gt;0,0,pREFs!AD75-pREFs!AD67)</f>
        <v>165</v>
      </c>
      <c r="AE83" s="23">
        <f>+IF(RESULTADO!$C$103&lt;&gt;0,0,pREFs!AE75-pREFs!AE67)</f>
        <v>165</v>
      </c>
      <c r="AF83" s="23">
        <f>+IF(RESULTADO!$C$103&lt;&gt;0,0,pREFs!AF75-pREFs!AF67)</f>
        <v>165</v>
      </c>
      <c r="AG83" s="23">
        <f>+IF(RESULTADO!$C$103&lt;&gt;0,0,pREFs!AG75-pREFs!AG67)</f>
        <v>165</v>
      </c>
      <c r="AH83" s="23">
        <f>+IF(RESULTADO!$C$103&lt;&gt;0,0,pREFs!AH75-pREFs!AH67)</f>
        <v>165</v>
      </c>
      <c r="AI83" s="23">
        <f>+IF(RESULTADO!$C$103&lt;&gt;0,0,pREFs!AI75-pREFs!AI67)</f>
        <v>165</v>
      </c>
      <c r="AJ83" s="23">
        <f>+IF(RESULTADO!$C$103&lt;&gt;0,0,pREFs!AJ75-pREFs!AJ67)</f>
        <v>165</v>
      </c>
      <c r="AK83" s="23">
        <f>+IF(RESULTADO!$C$103&lt;&gt;0,0,pREFs!AK75-pREFs!AK67)</f>
        <v>165</v>
      </c>
      <c r="AL83" s="404">
        <f>+IF(RESULTADO!$C$103&lt;&gt;0,0,pREFs!AL75-pREFs!AL67)</f>
        <v>165</v>
      </c>
      <c r="AM83" s="405">
        <f t="shared" ref="AM83:AX83" si="61">AM75-AM67</f>
        <v>120</v>
      </c>
      <c r="AN83" s="23">
        <f t="shared" si="61"/>
        <v>120</v>
      </c>
      <c r="AO83" s="23">
        <f t="shared" si="61"/>
        <v>120</v>
      </c>
      <c r="AP83" s="23">
        <f t="shared" si="61"/>
        <v>120</v>
      </c>
      <c r="AQ83" s="23">
        <f t="shared" si="61"/>
        <v>120</v>
      </c>
      <c r="AR83" s="23">
        <f t="shared" si="61"/>
        <v>120</v>
      </c>
      <c r="AS83" s="23">
        <f t="shared" si="61"/>
        <v>120</v>
      </c>
      <c r="AT83" s="23">
        <f t="shared" si="61"/>
        <v>120</v>
      </c>
      <c r="AU83" s="23">
        <f t="shared" si="61"/>
        <v>120</v>
      </c>
      <c r="AV83" s="23">
        <f t="shared" si="61"/>
        <v>120</v>
      </c>
      <c r="AW83" s="23">
        <f t="shared" si="61"/>
        <v>120</v>
      </c>
      <c r="AX83" s="404">
        <f t="shared" si="61"/>
        <v>120</v>
      </c>
      <c r="AY83" s="405">
        <f t="shared" ref="AY83:BJ83" si="62">AY75-AY67</f>
        <v>115</v>
      </c>
      <c r="AZ83" s="23">
        <f t="shared" si="62"/>
        <v>115</v>
      </c>
      <c r="BA83" s="23">
        <f t="shared" si="62"/>
        <v>115</v>
      </c>
      <c r="BB83" s="23">
        <f t="shared" si="62"/>
        <v>115</v>
      </c>
      <c r="BC83" s="23">
        <f t="shared" si="62"/>
        <v>115</v>
      </c>
      <c r="BD83" s="23">
        <f t="shared" si="62"/>
        <v>115</v>
      </c>
      <c r="BE83" s="23">
        <f t="shared" si="62"/>
        <v>115</v>
      </c>
      <c r="BF83" s="23">
        <f t="shared" si="62"/>
        <v>115</v>
      </c>
      <c r="BG83" s="23">
        <f t="shared" si="62"/>
        <v>115</v>
      </c>
      <c r="BH83" s="23">
        <f t="shared" si="62"/>
        <v>115</v>
      </c>
      <c r="BI83" s="23">
        <f t="shared" si="62"/>
        <v>115</v>
      </c>
      <c r="BJ83" s="24">
        <f t="shared" si="62"/>
        <v>115</v>
      </c>
      <c r="BK83" s="461"/>
    </row>
    <row r="85" spans="1:63" ht="15.75" thickBot="1" x14ac:dyDescent="0.3">
      <c r="B85" s="35" t="s">
        <v>120</v>
      </c>
      <c r="C85" s="26">
        <f>C59</f>
        <v>44562</v>
      </c>
      <c r="D85" s="26">
        <f t="shared" ref="D85:Z85" si="63">D59</f>
        <v>44593</v>
      </c>
      <c r="E85" s="26">
        <f t="shared" si="63"/>
        <v>44621</v>
      </c>
      <c r="F85" s="26">
        <f t="shared" si="63"/>
        <v>44652</v>
      </c>
      <c r="G85" s="26">
        <f t="shared" si="63"/>
        <v>44682</v>
      </c>
      <c r="H85" s="26">
        <f t="shared" si="63"/>
        <v>44713</v>
      </c>
      <c r="I85" s="26">
        <f t="shared" si="63"/>
        <v>44743</v>
      </c>
      <c r="J85" s="26">
        <f t="shared" si="63"/>
        <v>44774</v>
      </c>
      <c r="K85" s="26">
        <f t="shared" si="63"/>
        <v>44805</v>
      </c>
      <c r="L85" s="26">
        <f t="shared" si="63"/>
        <v>44835</v>
      </c>
      <c r="M85" s="26">
        <f t="shared" si="63"/>
        <v>44866</v>
      </c>
      <c r="N85" s="382">
        <f t="shared" si="63"/>
        <v>44896</v>
      </c>
      <c r="O85" s="383">
        <f t="shared" si="63"/>
        <v>44927</v>
      </c>
      <c r="P85" s="26">
        <f t="shared" si="63"/>
        <v>44958</v>
      </c>
      <c r="Q85" s="26">
        <f t="shared" si="63"/>
        <v>44986</v>
      </c>
      <c r="R85" s="26">
        <f t="shared" si="63"/>
        <v>45017</v>
      </c>
      <c r="S85" s="26">
        <f t="shared" si="63"/>
        <v>45047</v>
      </c>
      <c r="T85" s="26">
        <f t="shared" si="63"/>
        <v>45078</v>
      </c>
      <c r="U85" s="26">
        <f t="shared" si="63"/>
        <v>45108</v>
      </c>
      <c r="V85" s="26">
        <f t="shared" si="63"/>
        <v>45139</v>
      </c>
      <c r="W85" s="26">
        <f t="shared" si="63"/>
        <v>45170</v>
      </c>
      <c r="X85" s="26">
        <f t="shared" si="63"/>
        <v>45200</v>
      </c>
      <c r="Y85" s="26">
        <f t="shared" si="63"/>
        <v>45231</v>
      </c>
      <c r="Z85" s="382">
        <f t="shared" si="63"/>
        <v>45261</v>
      </c>
      <c r="AA85" s="383">
        <f>AA59</f>
        <v>45292</v>
      </c>
      <c r="AB85" s="26">
        <f t="shared" ref="AB85:AX85" si="64">AB59</f>
        <v>45323</v>
      </c>
      <c r="AC85" s="26">
        <f t="shared" si="64"/>
        <v>45352</v>
      </c>
      <c r="AD85" s="26">
        <f t="shared" si="64"/>
        <v>45383</v>
      </c>
      <c r="AE85" s="26">
        <f t="shared" si="64"/>
        <v>45413</v>
      </c>
      <c r="AF85" s="26">
        <f t="shared" si="64"/>
        <v>45444</v>
      </c>
      <c r="AG85" s="26">
        <f t="shared" si="64"/>
        <v>45474</v>
      </c>
      <c r="AH85" s="26">
        <f t="shared" si="64"/>
        <v>45505</v>
      </c>
      <c r="AI85" s="26">
        <f t="shared" si="64"/>
        <v>45536</v>
      </c>
      <c r="AJ85" s="26">
        <f t="shared" si="64"/>
        <v>45566</v>
      </c>
      <c r="AK85" s="26">
        <f t="shared" si="64"/>
        <v>45597</v>
      </c>
      <c r="AL85" s="382">
        <f t="shared" si="64"/>
        <v>45627</v>
      </c>
      <c r="AM85" s="383">
        <f t="shared" si="64"/>
        <v>45658</v>
      </c>
      <c r="AN85" s="26">
        <f t="shared" si="64"/>
        <v>45689</v>
      </c>
      <c r="AO85" s="26">
        <f t="shared" si="64"/>
        <v>45717</v>
      </c>
      <c r="AP85" s="26">
        <f t="shared" si="64"/>
        <v>45748</v>
      </c>
      <c r="AQ85" s="26">
        <f t="shared" si="64"/>
        <v>45778</v>
      </c>
      <c r="AR85" s="26">
        <f t="shared" si="64"/>
        <v>45809</v>
      </c>
      <c r="AS85" s="26">
        <f t="shared" si="64"/>
        <v>45839</v>
      </c>
      <c r="AT85" s="26">
        <f t="shared" si="64"/>
        <v>45870</v>
      </c>
      <c r="AU85" s="26">
        <f t="shared" si="64"/>
        <v>45901</v>
      </c>
      <c r="AV85" s="26">
        <f t="shared" si="64"/>
        <v>45931</v>
      </c>
      <c r="AW85" s="26">
        <f t="shared" si="64"/>
        <v>45962</v>
      </c>
      <c r="AX85" s="382">
        <f t="shared" si="64"/>
        <v>45992</v>
      </c>
      <c r="AY85" s="383">
        <f t="shared" ref="AY85:BJ85" si="65">AY59</f>
        <v>46023</v>
      </c>
      <c r="AZ85" s="26">
        <f t="shared" si="65"/>
        <v>46054</v>
      </c>
      <c r="BA85" s="26">
        <f t="shared" si="65"/>
        <v>46082</v>
      </c>
      <c r="BB85" s="26">
        <f t="shared" si="65"/>
        <v>46113</v>
      </c>
      <c r="BC85" s="26">
        <f t="shared" si="65"/>
        <v>46143</v>
      </c>
      <c r="BD85" s="26">
        <f t="shared" si="65"/>
        <v>46174</v>
      </c>
      <c r="BE85" s="26">
        <f t="shared" si="65"/>
        <v>46204</v>
      </c>
      <c r="BF85" s="26">
        <f t="shared" si="65"/>
        <v>46235</v>
      </c>
      <c r="BG85" s="26">
        <f t="shared" si="65"/>
        <v>46266</v>
      </c>
      <c r="BH85" s="26">
        <f t="shared" si="65"/>
        <v>46296</v>
      </c>
      <c r="BI85" s="26">
        <f t="shared" si="65"/>
        <v>46327</v>
      </c>
      <c r="BJ85" s="464">
        <f t="shared" si="65"/>
        <v>46357</v>
      </c>
      <c r="BK85" s="461"/>
    </row>
    <row r="86" spans="1:63" ht="15.75" thickBot="1" x14ac:dyDescent="0.3">
      <c r="A86" s="7"/>
      <c r="B86" s="34" t="s">
        <v>143</v>
      </c>
      <c r="C86" s="40">
        <f>C21</f>
        <v>0</v>
      </c>
      <c r="D86" s="40">
        <f t="shared" ref="D86:Z86" si="66">D21</f>
        <v>0</v>
      </c>
      <c r="E86" s="40">
        <f t="shared" si="66"/>
        <v>0</v>
      </c>
      <c r="F86" s="40">
        <f t="shared" si="66"/>
        <v>0</v>
      </c>
      <c r="G86" s="40">
        <f t="shared" si="66"/>
        <v>0</v>
      </c>
      <c r="H86" s="40">
        <f t="shared" si="66"/>
        <v>0</v>
      </c>
      <c r="I86" s="40">
        <f t="shared" si="66"/>
        <v>0</v>
      </c>
      <c r="J86" s="40">
        <f t="shared" si="66"/>
        <v>0</v>
      </c>
      <c r="K86" s="40">
        <f t="shared" si="66"/>
        <v>0</v>
      </c>
      <c r="L86" s="40">
        <f t="shared" si="66"/>
        <v>0</v>
      </c>
      <c r="M86" s="40">
        <f t="shared" si="66"/>
        <v>0</v>
      </c>
      <c r="N86" s="406">
        <f t="shared" si="66"/>
        <v>0</v>
      </c>
      <c r="O86" s="407">
        <f t="shared" si="66"/>
        <v>0</v>
      </c>
      <c r="P86" s="40">
        <f t="shared" si="66"/>
        <v>0</v>
      </c>
      <c r="Q86" s="40">
        <f t="shared" si="66"/>
        <v>0</v>
      </c>
      <c r="R86" s="40">
        <f t="shared" si="66"/>
        <v>0</v>
      </c>
      <c r="S86" s="40">
        <f t="shared" si="66"/>
        <v>0</v>
      </c>
      <c r="T86" s="40">
        <f t="shared" si="66"/>
        <v>0</v>
      </c>
      <c r="U86" s="40">
        <f t="shared" si="66"/>
        <v>0</v>
      </c>
      <c r="V86" s="40">
        <f t="shared" si="66"/>
        <v>0</v>
      </c>
      <c r="W86" s="40">
        <f t="shared" si="66"/>
        <v>0</v>
      </c>
      <c r="X86" s="40">
        <f t="shared" si="66"/>
        <v>0</v>
      </c>
      <c r="Y86" s="40">
        <f t="shared" si="66"/>
        <v>0</v>
      </c>
      <c r="Z86" s="406">
        <f t="shared" si="66"/>
        <v>0</v>
      </c>
      <c r="AA86" s="407">
        <f>AA21</f>
        <v>0</v>
      </c>
      <c r="AB86" s="40">
        <f t="shared" ref="AB86:AX86" si="67">AB21</f>
        <v>0</v>
      </c>
      <c r="AC86" s="40">
        <f t="shared" si="67"/>
        <v>0</v>
      </c>
      <c r="AD86" s="40">
        <f t="shared" si="67"/>
        <v>0</v>
      </c>
      <c r="AE86" s="40">
        <f t="shared" si="67"/>
        <v>0</v>
      </c>
      <c r="AF86" s="40">
        <f t="shared" si="67"/>
        <v>0</v>
      </c>
      <c r="AG86" s="40">
        <f t="shared" si="67"/>
        <v>0</v>
      </c>
      <c r="AH86" s="40">
        <f t="shared" si="67"/>
        <v>0</v>
      </c>
      <c r="AI86" s="40">
        <f t="shared" si="67"/>
        <v>0</v>
      </c>
      <c r="AJ86" s="40">
        <f t="shared" si="67"/>
        <v>0</v>
      </c>
      <c r="AK86" s="40">
        <f t="shared" si="67"/>
        <v>0</v>
      </c>
      <c r="AL86" s="406">
        <f t="shared" si="67"/>
        <v>0</v>
      </c>
      <c r="AM86" s="407">
        <f t="shared" si="67"/>
        <v>0</v>
      </c>
      <c r="AN86" s="40">
        <f t="shared" si="67"/>
        <v>0</v>
      </c>
      <c r="AO86" s="40">
        <f t="shared" si="67"/>
        <v>0</v>
      </c>
      <c r="AP86" s="40">
        <f t="shared" si="67"/>
        <v>0</v>
      </c>
      <c r="AQ86" s="40">
        <f t="shared" si="67"/>
        <v>0</v>
      </c>
      <c r="AR86" s="40">
        <f t="shared" si="67"/>
        <v>0</v>
      </c>
      <c r="AS86" s="40">
        <f t="shared" si="67"/>
        <v>0</v>
      </c>
      <c r="AT86" s="40">
        <f t="shared" si="67"/>
        <v>0</v>
      </c>
      <c r="AU86" s="40">
        <f t="shared" si="67"/>
        <v>0</v>
      </c>
      <c r="AV86" s="40">
        <f t="shared" si="67"/>
        <v>0</v>
      </c>
      <c r="AW86" s="40">
        <f t="shared" si="67"/>
        <v>0</v>
      </c>
      <c r="AX86" s="406">
        <f t="shared" si="67"/>
        <v>0</v>
      </c>
      <c r="AY86" s="407">
        <f t="shared" ref="AY86:BJ86" si="68">AY21</f>
        <v>0</v>
      </c>
      <c r="AZ86" s="40">
        <f t="shared" si="68"/>
        <v>0</v>
      </c>
      <c r="BA86" s="40">
        <f t="shared" si="68"/>
        <v>0</v>
      </c>
      <c r="BB86" s="40">
        <f t="shared" si="68"/>
        <v>0</v>
      </c>
      <c r="BC86" s="40">
        <f t="shared" si="68"/>
        <v>0</v>
      </c>
      <c r="BD86" s="40">
        <f t="shared" si="68"/>
        <v>0</v>
      </c>
      <c r="BE86" s="40">
        <f t="shared" si="68"/>
        <v>0</v>
      </c>
      <c r="BF86" s="40">
        <f t="shared" si="68"/>
        <v>0</v>
      </c>
      <c r="BG86" s="40">
        <f t="shared" si="68"/>
        <v>0</v>
      </c>
      <c r="BH86" s="40">
        <f t="shared" si="68"/>
        <v>0</v>
      </c>
      <c r="BI86" s="40">
        <f t="shared" si="68"/>
        <v>0</v>
      </c>
      <c r="BJ86" s="41">
        <f t="shared" si="68"/>
        <v>0</v>
      </c>
      <c r="BK86" s="461"/>
    </row>
    <row r="87" spans="1:63" x14ac:dyDescent="0.25">
      <c r="B87" s="36" t="s">
        <v>44</v>
      </c>
      <c r="C87" s="20">
        <f>IF(C27=0,C$6,C27)</f>
        <v>62.91</v>
      </c>
      <c r="D87" s="20">
        <f t="shared" ref="D87:Z87" si="69">IF(D27=0,D$6,D27)</f>
        <v>55.7</v>
      </c>
      <c r="E87" s="20">
        <f t="shared" si="69"/>
        <v>55.7</v>
      </c>
      <c r="F87" s="20">
        <f t="shared" si="69"/>
        <v>55.7</v>
      </c>
      <c r="G87" s="20">
        <f t="shared" si="69"/>
        <v>55.7</v>
      </c>
      <c r="H87" s="20">
        <f t="shared" si="69"/>
        <v>55.71</v>
      </c>
      <c r="I87" s="20">
        <f t="shared" si="69"/>
        <v>66.319999999999993</v>
      </c>
      <c r="J87" s="20">
        <f t="shared" si="69"/>
        <v>76.900000000000006</v>
      </c>
      <c r="K87" s="20">
        <f t="shared" si="69"/>
        <v>56.08</v>
      </c>
      <c r="L87" s="20">
        <f t="shared" si="69"/>
        <v>55.7</v>
      </c>
      <c r="M87" s="20">
        <f t="shared" si="69"/>
        <v>55.7</v>
      </c>
      <c r="N87" s="400">
        <f t="shared" si="69"/>
        <v>88.695015628195648</v>
      </c>
      <c r="O87" s="401">
        <f t="shared" si="69"/>
        <v>166</v>
      </c>
      <c r="P87" s="20">
        <f t="shared" si="69"/>
        <v>166</v>
      </c>
      <c r="Q87" s="20">
        <f t="shared" si="69"/>
        <v>166</v>
      </c>
      <c r="R87" s="20">
        <f t="shared" si="69"/>
        <v>166</v>
      </c>
      <c r="S87" s="20">
        <f t="shared" si="69"/>
        <v>166</v>
      </c>
      <c r="T87" s="20">
        <f t="shared" si="69"/>
        <v>166</v>
      </c>
      <c r="U87" s="20">
        <f t="shared" si="69"/>
        <v>166</v>
      </c>
      <c r="V87" s="20">
        <f t="shared" si="69"/>
        <v>166</v>
      </c>
      <c r="W87" s="20">
        <f t="shared" si="69"/>
        <v>166</v>
      </c>
      <c r="X87" s="20">
        <f t="shared" si="69"/>
        <v>166</v>
      </c>
      <c r="Y87" s="20">
        <f t="shared" si="69"/>
        <v>166</v>
      </c>
      <c r="Z87" s="400">
        <f t="shared" si="69"/>
        <v>166</v>
      </c>
      <c r="AA87" s="401">
        <f>IF(AA27=0,AA$6,AA27)</f>
        <v>153</v>
      </c>
      <c r="AB87" s="20">
        <f t="shared" ref="AB87:AX87" si="70">IF(AB27=0,AB$6,AB27)</f>
        <v>153</v>
      </c>
      <c r="AC87" s="20">
        <f t="shared" si="70"/>
        <v>153</v>
      </c>
      <c r="AD87" s="20">
        <f t="shared" si="70"/>
        <v>153</v>
      </c>
      <c r="AE87" s="20">
        <f t="shared" si="70"/>
        <v>153</v>
      </c>
      <c r="AF87" s="20">
        <f t="shared" si="70"/>
        <v>153</v>
      </c>
      <c r="AG87" s="20">
        <f t="shared" si="70"/>
        <v>153</v>
      </c>
      <c r="AH87" s="20">
        <f t="shared" si="70"/>
        <v>153</v>
      </c>
      <c r="AI87" s="20">
        <f t="shared" si="70"/>
        <v>153</v>
      </c>
      <c r="AJ87" s="20">
        <f t="shared" si="70"/>
        <v>153</v>
      </c>
      <c r="AK87" s="20">
        <f t="shared" si="70"/>
        <v>153</v>
      </c>
      <c r="AL87" s="400">
        <f t="shared" si="70"/>
        <v>153</v>
      </c>
      <c r="AM87" s="401">
        <f t="shared" si="70"/>
        <v>146</v>
      </c>
      <c r="AN87" s="20">
        <f t="shared" si="70"/>
        <v>146</v>
      </c>
      <c r="AO87" s="20">
        <f t="shared" si="70"/>
        <v>146</v>
      </c>
      <c r="AP87" s="20">
        <f t="shared" si="70"/>
        <v>146</v>
      </c>
      <c r="AQ87" s="20">
        <f t="shared" si="70"/>
        <v>146</v>
      </c>
      <c r="AR87" s="20">
        <f t="shared" si="70"/>
        <v>146</v>
      </c>
      <c r="AS87" s="20">
        <f t="shared" si="70"/>
        <v>146</v>
      </c>
      <c r="AT87" s="20">
        <f t="shared" si="70"/>
        <v>146</v>
      </c>
      <c r="AU87" s="20">
        <f t="shared" si="70"/>
        <v>146</v>
      </c>
      <c r="AV87" s="20">
        <f t="shared" si="70"/>
        <v>146</v>
      </c>
      <c r="AW87" s="20">
        <f t="shared" si="70"/>
        <v>146</v>
      </c>
      <c r="AX87" s="400">
        <f t="shared" si="70"/>
        <v>146</v>
      </c>
      <c r="AY87" s="401">
        <f t="shared" ref="AY87:BJ87" si="71">IF(AY27=0,AY$6,AY27)</f>
        <v>146</v>
      </c>
      <c r="AZ87" s="20">
        <f t="shared" si="71"/>
        <v>146</v>
      </c>
      <c r="BA87" s="20">
        <f t="shared" si="71"/>
        <v>146</v>
      </c>
      <c r="BB87" s="20">
        <f t="shared" si="71"/>
        <v>146</v>
      </c>
      <c r="BC87" s="20">
        <f t="shared" si="71"/>
        <v>146</v>
      </c>
      <c r="BD87" s="20">
        <f t="shared" si="71"/>
        <v>146</v>
      </c>
      <c r="BE87" s="20">
        <f t="shared" si="71"/>
        <v>146</v>
      </c>
      <c r="BF87" s="20">
        <f t="shared" si="71"/>
        <v>146</v>
      </c>
      <c r="BG87" s="20">
        <f t="shared" si="71"/>
        <v>146</v>
      </c>
      <c r="BH87" s="20">
        <f t="shared" si="71"/>
        <v>146</v>
      </c>
      <c r="BI87" s="20">
        <f t="shared" si="71"/>
        <v>146</v>
      </c>
      <c r="BJ87" s="467">
        <f t="shared" si="71"/>
        <v>146</v>
      </c>
      <c r="BK87" s="461"/>
    </row>
    <row r="88" spans="1:63" x14ac:dyDescent="0.25">
      <c r="B88" s="37" t="s">
        <v>12</v>
      </c>
      <c r="C88" s="18">
        <f>IF(C28=0,C$6+C12,C28)</f>
        <v>62.92</v>
      </c>
      <c r="D88" s="18">
        <f>IF(D28=0,D$6+D12,D28)</f>
        <v>55.7</v>
      </c>
      <c r="E88" s="18">
        <f t="shared" ref="E88:Z88" si="72">IF(E28=0,E$6+E12,E28)</f>
        <v>55.7</v>
      </c>
      <c r="F88" s="18">
        <f>IF(F28=0,F$6+F12,F28)</f>
        <v>55.7</v>
      </c>
      <c r="G88" s="18">
        <f t="shared" si="72"/>
        <v>55.7</v>
      </c>
      <c r="H88" s="18">
        <f t="shared" si="72"/>
        <v>55.71</v>
      </c>
      <c r="I88" s="18">
        <f t="shared" si="72"/>
        <v>66.319999999999993</v>
      </c>
      <c r="J88" s="18">
        <f t="shared" si="72"/>
        <v>76.900000000000006</v>
      </c>
      <c r="K88" s="18">
        <f t="shared" si="72"/>
        <v>56.08</v>
      </c>
      <c r="L88" s="18">
        <f t="shared" si="72"/>
        <v>55.7</v>
      </c>
      <c r="M88" s="18">
        <f t="shared" si="72"/>
        <v>55.7</v>
      </c>
      <c r="N88" s="402">
        <f t="shared" si="72"/>
        <v>88.695015628195648</v>
      </c>
      <c r="O88" s="403">
        <f t="shared" si="72"/>
        <v>166</v>
      </c>
      <c r="P88" s="18">
        <f t="shared" si="72"/>
        <v>166</v>
      </c>
      <c r="Q88" s="18">
        <f t="shared" si="72"/>
        <v>166</v>
      </c>
      <c r="R88" s="18">
        <f t="shared" si="72"/>
        <v>166</v>
      </c>
      <c r="S88" s="18">
        <f t="shared" si="72"/>
        <v>166</v>
      </c>
      <c r="T88" s="18">
        <f t="shared" si="72"/>
        <v>166</v>
      </c>
      <c r="U88" s="18">
        <f t="shared" si="72"/>
        <v>166</v>
      </c>
      <c r="V88" s="18">
        <f t="shared" si="72"/>
        <v>166</v>
      </c>
      <c r="W88" s="18">
        <f t="shared" si="72"/>
        <v>166</v>
      </c>
      <c r="X88" s="18">
        <f t="shared" si="72"/>
        <v>166</v>
      </c>
      <c r="Y88" s="18">
        <f t="shared" si="72"/>
        <v>166</v>
      </c>
      <c r="Z88" s="402">
        <f t="shared" si="72"/>
        <v>166</v>
      </c>
      <c r="AA88" s="403">
        <f>IF(AA28=0,AA$6+AA12,AA28)</f>
        <v>153</v>
      </c>
      <c r="AB88" s="18">
        <f>IF(AB28=0,AB$6+AB12,AB28)</f>
        <v>153</v>
      </c>
      <c r="AC88" s="18">
        <f t="shared" ref="AC88" si="73">IF(AC28=0,AC$6+AC12,AC28)</f>
        <v>153</v>
      </c>
      <c r="AD88" s="18">
        <f>IF(AD28=0,AD$6+AD12,AD28)</f>
        <v>153</v>
      </c>
      <c r="AE88" s="18">
        <f t="shared" ref="AE88:AX88" si="74">IF(AE28=0,AE$6+AE12,AE28)</f>
        <v>153</v>
      </c>
      <c r="AF88" s="18">
        <f t="shared" si="74"/>
        <v>153</v>
      </c>
      <c r="AG88" s="18">
        <f t="shared" si="74"/>
        <v>153</v>
      </c>
      <c r="AH88" s="18">
        <f t="shared" si="74"/>
        <v>153</v>
      </c>
      <c r="AI88" s="18">
        <f t="shared" si="74"/>
        <v>153</v>
      </c>
      <c r="AJ88" s="18">
        <f t="shared" si="74"/>
        <v>153</v>
      </c>
      <c r="AK88" s="18">
        <f t="shared" si="74"/>
        <v>153</v>
      </c>
      <c r="AL88" s="402">
        <f t="shared" si="74"/>
        <v>153</v>
      </c>
      <c r="AM88" s="403">
        <f t="shared" si="74"/>
        <v>146</v>
      </c>
      <c r="AN88" s="18">
        <f t="shared" si="74"/>
        <v>146</v>
      </c>
      <c r="AO88" s="18">
        <f t="shared" si="74"/>
        <v>146</v>
      </c>
      <c r="AP88" s="18">
        <f t="shared" si="74"/>
        <v>146</v>
      </c>
      <c r="AQ88" s="18">
        <f t="shared" si="74"/>
        <v>146</v>
      </c>
      <c r="AR88" s="18">
        <f t="shared" si="74"/>
        <v>146</v>
      </c>
      <c r="AS88" s="18">
        <f t="shared" si="74"/>
        <v>146</v>
      </c>
      <c r="AT88" s="18">
        <f t="shared" si="74"/>
        <v>146</v>
      </c>
      <c r="AU88" s="18">
        <f t="shared" si="74"/>
        <v>146</v>
      </c>
      <c r="AV88" s="18">
        <f t="shared" si="74"/>
        <v>146</v>
      </c>
      <c r="AW88" s="18">
        <f t="shared" si="74"/>
        <v>146</v>
      </c>
      <c r="AX88" s="402">
        <f t="shared" si="74"/>
        <v>146</v>
      </c>
      <c r="AY88" s="403">
        <f t="shared" ref="AY88:BJ88" si="75">IF(AY28=0,AY$6+AY12,AY28)</f>
        <v>146</v>
      </c>
      <c r="AZ88" s="18">
        <f t="shared" si="75"/>
        <v>146</v>
      </c>
      <c r="BA88" s="18">
        <f t="shared" si="75"/>
        <v>146</v>
      </c>
      <c r="BB88" s="18">
        <f t="shared" si="75"/>
        <v>146</v>
      </c>
      <c r="BC88" s="18">
        <f t="shared" si="75"/>
        <v>146</v>
      </c>
      <c r="BD88" s="18">
        <f t="shared" si="75"/>
        <v>146</v>
      </c>
      <c r="BE88" s="18">
        <f t="shared" si="75"/>
        <v>146</v>
      </c>
      <c r="BF88" s="18">
        <f t="shared" si="75"/>
        <v>146</v>
      </c>
      <c r="BG88" s="18">
        <f t="shared" si="75"/>
        <v>146</v>
      </c>
      <c r="BH88" s="18">
        <f t="shared" si="75"/>
        <v>146</v>
      </c>
      <c r="BI88" s="18">
        <f t="shared" si="75"/>
        <v>146</v>
      </c>
      <c r="BJ88" s="19">
        <f t="shared" si="75"/>
        <v>146</v>
      </c>
      <c r="BK88" s="461"/>
    </row>
    <row r="89" spans="1:63" x14ac:dyDescent="0.25">
      <c r="B89" s="37" t="s">
        <v>13</v>
      </c>
      <c r="C89" s="18">
        <f t="shared" ref="C89:Z89" si="76">IF(C29=0,C$6+C13,C29)</f>
        <v>57.22</v>
      </c>
      <c r="D89" s="18">
        <f t="shared" si="76"/>
        <v>55.7</v>
      </c>
      <c r="E89" s="18">
        <f t="shared" si="76"/>
        <v>55.7</v>
      </c>
      <c r="F89" s="18">
        <f>IF(F29=0,F$6+F13,F29)</f>
        <v>55.7</v>
      </c>
      <c r="G89" s="18">
        <f t="shared" si="76"/>
        <v>55.7</v>
      </c>
      <c r="H89" s="18">
        <f t="shared" si="76"/>
        <v>55.71</v>
      </c>
      <c r="I89" s="18">
        <f t="shared" si="76"/>
        <v>66.319999999999993</v>
      </c>
      <c r="J89" s="18">
        <f t="shared" si="76"/>
        <v>76.900000000000006</v>
      </c>
      <c r="K89" s="18">
        <f t="shared" si="76"/>
        <v>56.08</v>
      </c>
      <c r="L89" s="18">
        <f t="shared" si="76"/>
        <v>55.7</v>
      </c>
      <c r="M89" s="18">
        <f t="shared" si="76"/>
        <v>55.7</v>
      </c>
      <c r="N89" s="402">
        <f t="shared" si="76"/>
        <v>88.695015628195648</v>
      </c>
      <c r="O89" s="403">
        <f t="shared" si="76"/>
        <v>166</v>
      </c>
      <c r="P89" s="18">
        <f t="shared" si="76"/>
        <v>166</v>
      </c>
      <c r="Q89" s="18">
        <f t="shared" si="76"/>
        <v>166</v>
      </c>
      <c r="R89" s="18">
        <f t="shared" si="76"/>
        <v>166</v>
      </c>
      <c r="S89" s="18">
        <f t="shared" si="76"/>
        <v>166</v>
      </c>
      <c r="T89" s="18">
        <f t="shared" si="76"/>
        <v>166</v>
      </c>
      <c r="U89" s="18">
        <f t="shared" si="76"/>
        <v>166</v>
      </c>
      <c r="V89" s="18">
        <f t="shared" si="76"/>
        <v>166</v>
      </c>
      <c r="W89" s="18">
        <f t="shared" si="76"/>
        <v>166</v>
      </c>
      <c r="X89" s="18">
        <f t="shared" si="76"/>
        <v>166</v>
      </c>
      <c r="Y89" s="18">
        <f t="shared" si="76"/>
        <v>166</v>
      </c>
      <c r="Z89" s="402">
        <f t="shared" si="76"/>
        <v>166</v>
      </c>
      <c r="AA89" s="403">
        <f t="shared" ref="AA89:AC89" si="77">IF(AA29=0,AA$6+AA13,AA29)</f>
        <v>153</v>
      </c>
      <c r="AB89" s="18">
        <f t="shared" si="77"/>
        <v>153</v>
      </c>
      <c r="AC89" s="18">
        <f t="shared" si="77"/>
        <v>153</v>
      </c>
      <c r="AD89" s="18">
        <f>IF(AD29=0,AD$6+AD13,AD29)</f>
        <v>153</v>
      </c>
      <c r="AE89" s="18">
        <f t="shared" ref="AE89:AX89" si="78">IF(AE29=0,AE$6+AE13,AE29)</f>
        <v>153</v>
      </c>
      <c r="AF89" s="18">
        <f t="shared" si="78"/>
        <v>153</v>
      </c>
      <c r="AG89" s="18">
        <f t="shared" si="78"/>
        <v>153</v>
      </c>
      <c r="AH89" s="18">
        <f t="shared" si="78"/>
        <v>153</v>
      </c>
      <c r="AI89" s="18">
        <f t="shared" si="78"/>
        <v>153</v>
      </c>
      <c r="AJ89" s="18">
        <f t="shared" si="78"/>
        <v>153</v>
      </c>
      <c r="AK89" s="18">
        <f t="shared" si="78"/>
        <v>153</v>
      </c>
      <c r="AL89" s="402">
        <f t="shared" si="78"/>
        <v>153</v>
      </c>
      <c r="AM89" s="403">
        <f t="shared" si="78"/>
        <v>146</v>
      </c>
      <c r="AN89" s="18">
        <f t="shared" si="78"/>
        <v>146</v>
      </c>
      <c r="AO89" s="18">
        <f t="shared" si="78"/>
        <v>146</v>
      </c>
      <c r="AP89" s="18">
        <f t="shared" si="78"/>
        <v>146</v>
      </c>
      <c r="AQ89" s="18">
        <f t="shared" si="78"/>
        <v>146</v>
      </c>
      <c r="AR89" s="18">
        <f t="shared" si="78"/>
        <v>146</v>
      </c>
      <c r="AS89" s="18">
        <f t="shared" si="78"/>
        <v>146</v>
      </c>
      <c r="AT89" s="18">
        <f t="shared" si="78"/>
        <v>146</v>
      </c>
      <c r="AU89" s="18">
        <f t="shared" si="78"/>
        <v>146</v>
      </c>
      <c r="AV89" s="18">
        <f t="shared" si="78"/>
        <v>146</v>
      </c>
      <c r="AW89" s="18">
        <f t="shared" si="78"/>
        <v>146</v>
      </c>
      <c r="AX89" s="402">
        <f t="shared" si="78"/>
        <v>146</v>
      </c>
      <c r="AY89" s="403">
        <f t="shared" ref="AY89:BJ89" si="79">IF(AY29=0,AY$6+AY13,AY29)</f>
        <v>146</v>
      </c>
      <c r="AZ89" s="18">
        <f t="shared" si="79"/>
        <v>146</v>
      </c>
      <c r="BA89" s="18">
        <f t="shared" si="79"/>
        <v>146</v>
      </c>
      <c r="BB89" s="18">
        <f t="shared" si="79"/>
        <v>146</v>
      </c>
      <c r="BC89" s="18">
        <f t="shared" si="79"/>
        <v>146</v>
      </c>
      <c r="BD89" s="18">
        <f t="shared" si="79"/>
        <v>146</v>
      </c>
      <c r="BE89" s="18">
        <f t="shared" si="79"/>
        <v>146</v>
      </c>
      <c r="BF89" s="18">
        <f t="shared" si="79"/>
        <v>146</v>
      </c>
      <c r="BG89" s="18">
        <f t="shared" si="79"/>
        <v>146</v>
      </c>
      <c r="BH89" s="18">
        <f t="shared" si="79"/>
        <v>146</v>
      </c>
      <c r="BI89" s="18">
        <f t="shared" si="79"/>
        <v>146</v>
      </c>
      <c r="BJ89" s="19">
        <f t="shared" si="79"/>
        <v>146</v>
      </c>
      <c r="BK89" s="461"/>
    </row>
    <row r="90" spans="1:63" ht="15.75" thickBot="1" x14ac:dyDescent="0.3">
      <c r="B90" s="38" t="s">
        <v>11</v>
      </c>
      <c r="C90" s="23">
        <f>IF(C30=0,C$6+C14,C30)</f>
        <v>55.71</v>
      </c>
      <c r="D90" s="23">
        <f t="shared" ref="D90:Z90" si="80">IF(D30=0,D$6+D14,D30)</f>
        <v>55.7</v>
      </c>
      <c r="E90" s="23">
        <f t="shared" si="80"/>
        <v>55.7</v>
      </c>
      <c r="F90" s="23">
        <f t="shared" si="80"/>
        <v>55.7</v>
      </c>
      <c r="G90" s="23">
        <f t="shared" si="80"/>
        <v>55.7</v>
      </c>
      <c r="H90" s="23">
        <f t="shared" si="80"/>
        <v>55.71</v>
      </c>
      <c r="I90" s="23">
        <f t="shared" si="80"/>
        <v>66.319999999999993</v>
      </c>
      <c r="J90" s="23">
        <f t="shared" si="80"/>
        <v>76.900000000000006</v>
      </c>
      <c r="K90" s="23">
        <f t="shared" si="80"/>
        <v>56.08</v>
      </c>
      <c r="L90" s="23">
        <f t="shared" si="80"/>
        <v>55.7</v>
      </c>
      <c r="M90" s="23">
        <f t="shared" si="80"/>
        <v>55.7</v>
      </c>
      <c r="N90" s="404">
        <f t="shared" si="80"/>
        <v>88.695015628195648</v>
      </c>
      <c r="O90" s="405">
        <f t="shared" si="80"/>
        <v>166</v>
      </c>
      <c r="P90" s="23">
        <f t="shared" si="80"/>
        <v>166</v>
      </c>
      <c r="Q90" s="23">
        <f t="shared" si="80"/>
        <v>166</v>
      </c>
      <c r="R90" s="23">
        <f t="shared" si="80"/>
        <v>166</v>
      </c>
      <c r="S90" s="23">
        <f t="shared" si="80"/>
        <v>166</v>
      </c>
      <c r="T90" s="23">
        <f t="shared" si="80"/>
        <v>166</v>
      </c>
      <c r="U90" s="23">
        <f t="shared" si="80"/>
        <v>166</v>
      </c>
      <c r="V90" s="23">
        <f t="shared" si="80"/>
        <v>166</v>
      </c>
      <c r="W90" s="23">
        <f t="shared" si="80"/>
        <v>166</v>
      </c>
      <c r="X90" s="23">
        <f t="shared" si="80"/>
        <v>166</v>
      </c>
      <c r="Y90" s="23">
        <f t="shared" si="80"/>
        <v>166</v>
      </c>
      <c r="Z90" s="404">
        <f t="shared" si="80"/>
        <v>166</v>
      </c>
      <c r="AA90" s="405">
        <f>IF(AA30=0,AA$6+AA14,AA30)</f>
        <v>153</v>
      </c>
      <c r="AB90" s="23">
        <f t="shared" ref="AB90:AX90" si="81">IF(AB30=0,AB$6+AB14,AB30)</f>
        <v>153</v>
      </c>
      <c r="AC90" s="23">
        <f t="shared" si="81"/>
        <v>153</v>
      </c>
      <c r="AD90" s="23">
        <f t="shared" si="81"/>
        <v>153</v>
      </c>
      <c r="AE90" s="23">
        <f t="shared" si="81"/>
        <v>153</v>
      </c>
      <c r="AF90" s="23">
        <f t="shared" si="81"/>
        <v>153</v>
      </c>
      <c r="AG90" s="23">
        <f t="shared" si="81"/>
        <v>153</v>
      </c>
      <c r="AH90" s="23">
        <f t="shared" si="81"/>
        <v>153</v>
      </c>
      <c r="AI90" s="23">
        <f t="shared" si="81"/>
        <v>153</v>
      </c>
      <c r="AJ90" s="23">
        <f t="shared" si="81"/>
        <v>153</v>
      </c>
      <c r="AK90" s="23">
        <f t="shared" si="81"/>
        <v>153</v>
      </c>
      <c r="AL90" s="404">
        <f t="shared" si="81"/>
        <v>153</v>
      </c>
      <c r="AM90" s="405">
        <f t="shared" si="81"/>
        <v>146</v>
      </c>
      <c r="AN90" s="23">
        <f t="shared" si="81"/>
        <v>146</v>
      </c>
      <c r="AO90" s="23">
        <f t="shared" si="81"/>
        <v>146</v>
      </c>
      <c r="AP90" s="23">
        <f t="shared" si="81"/>
        <v>146</v>
      </c>
      <c r="AQ90" s="23">
        <f t="shared" si="81"/>
        <v>146</v>
      </c>
      <c r="AR90" s="23">
        <f t="shared" si="81"/>
        <v>146</v>
      </c>
      <c r="AS90" s="23">
        <f t="shared" si="81"/>
        <v>146</v>
      </c>
      <c r="AT90" s="23">
        <f t="shared" si="81"/>
        <v>146</v>
      </c>
      <c r="AU90" s="23">
        <f t="shared" si="81"/>
        <v>146</v>
      </c>
      <c r="AV90" s="23">
        <f t="shared" si="81"/>
        <v>146</v>
      </c>
      <c r="AW90" s="23">
        <f t="shared" si="81"/>
        <v>146</v>
      </c>
      <c r="AX90" s="404">
        <f t="shared" si="81"/>
        <v>146</v>
      </c>
      <c r="AY90" s="405">
        <f t="shared" ref="AY90:BJ90" si="82">IF(AY30=0,AY$6+AY14,AY30)</f>
        <v>146</v>
      </c>
      <c r="AZ90" s="23">
        <f t="shared" si="82"/>
        <v>146</v>
      </c>
      <c r="BA90" s="23">
        <f t="shared" si="82"/>
        <v>146</v>
      </c>
      <c r="BB90" s="23">
        <f t="shared" si="82"/>
        <v>146</v>
      </c>
      <c r="BC90" s="23">
        <f t="shared" si="82"/>
        <v>146</v>
      </c>
      <c r="BD90" s="23">
        <f t="shared" si="82"/>
        <v>146</v>
      </c>
      <c r="BE90" s="23">
        <f t="shared" si="82"/>
        <v>146</v>
      </c>
      <c r="BF90" s="23">
        <f t="shared" si="82"/>
        <v>146</v>
      </c>
      <c r="BG90" s="23">
        <f t="shared" si="82"/>
        <v>146</v>
      </c>
      <c r="BH90" s="23">
        <f t="shared" si="82"/>
        <v>146</v>
      </c>
      <c r="BI90" s="23">
        <f t="shared" si="82"/>
        <v>146</v>
      </c>
      <c r="BJ90" s="24">
        <f t="shared" si="82"/>
        <v>146</v>
      </c>
      <c r="BK90" s="461"/>
    </row>
    <row r="92" spans="1:63" ht="15.75" thickBot="1" x14ac:dyDescent="0.3">
      <c r="B92" s="35" t="s">
        <v>347</v>
      </c>
      <c r="C92" s="26">
        <f>C5</f>
        <v>44562</v>
      </c>
      <c r="D92" s="26">
        <f t="shared" ref="D92:Z92" si="83">D5</f>
        <v>44593</v>
      </c>
      <c r="E92" s="26">
        <f t="shared" si="83"/>
        <v>44621</v>
      </c>
      <c r="F92" s="26">
        <f t="shared" si="83"/>
        <v>44652</v>
      </c>
      <c r="G92" s="26">
        <f t="shared" si="83"/>
        <v>44682</v>
      </c>
      <c r="H92" s="26">
        <f t="shared" si="83"/>
        <v>44713</v>
      </c>
      <c r="I92" s="26">
        <f t="shared" si="83"/>
        <v>44743</v>
      </c>
      <c r="J92" s="26">
        <f t="shared" si="83"/>
        <v>44774</v>
      </c>
      <c r="K92" s="26">
        <f t="shared" si="83"/>
        <v>44805</v>
      </c>
      <c r="L92" s="26">
        <f t="shared" si="83"/>
        <v>44835</v>
      </c>
      <c r="M92" s="26">
        <f t="shared" si="83"/>
        <v>44866</v>
      </c>
      <c r="N92" s="382">
        <f t="shared" si="83"/>
        <v>44896</v>
      </c>
      <c r="O92" s="383">
        <f t="shared" si="83"/>
        <v>44927</v>
      </c>
      <c r="P92" s="26">
        <f t="shared" si="83"/>
        <v>44958</v>
      </c>
      <c r="Q92" s="26">
        <f t="shared" si="83"/>
        <v>44986</v>
      </c>
      <c r="R92" s="26">
        <f t="shared" si="83"/>
        <v>45017</v>
      </c>
      <c r="S92" s="26">
        <f t="shared" si="83"/>
        <v>45047</v>
      </c>
      <c r="T92" s="26">
        <f t="shared" si="83"/>
        <v>45078</v>
      </c>
      <c r="U92" s="26">
        <f t="shared" si="83"/>
        <v>45108</v>
      </c>
      <c r="V92" s="26">
        <f t="shared" si="83"/>
        <v>45139</v>
      </c>
      <c r="W92" s="26">
        <f t="shared" si="83"/>
        <v>45170</v>
      </c>
      <c r="X92" s="26">
        <f t="shared" si="83"/>
        <v>45200</v>
      </c>
      <c r="Y92" s="26">
        <f t="shared" si="83"/>
        <v>45231</v>
      </c>
      <c r="Z92" s="382">
        <f t="shared" si="83"/>
        <v>45261</v>
      </c>
      <c r="AA92" s="383">
        <f>AA5</f>
        <v>45292</v>
      </c>
      <c r="AB92" s="26">
        <f t="shared" ref="AB92:AX92" si="84">AB5</f>
        <v>45323</v>
      </c>
      <c r="AC92" s="26">
        <f t="shared" si="84"/>
        <v>45352</v>
      </c>
      <c r="AD92" s="26">
        <f t="shared" si="84"/>
        <v>45383</v>
      </c>
      <c r="AE92" s="26">
        <f t="shared" si="84"/>
        <v>45413</v>
      </c>
      <c r="AF92" s="26">
        <f t="shared" si="84"/>
        <v>45444</v>
      </c>
      <c r="AG92" s="26">
        <f t="shared" si="84"/>
        <v>45474</v>
      </c>
      <c r="AH92" s="26">
        <f t="shared" si="84"/>
        <v>45505</v>
      </c>
      <c r="AI92" s="26">
        <f t="shared" si="84"/>
        <v>45536</v>
      </c>
      <c r="AJ92" s="26">
        <f t="shared" si="84"/>
        <v>45566</v>
      </c>
      <c r="AK92" s="26">
        <f t="shared" si="84"/>
        <v>45597</v>
      </c>
      <c r="AL92" s="382">
        <f t="shared" si="84"/>
        <v>45627</v>
      </c>
      <c r="AM92" s="383">
        <f t="shared" si="84"/>
        <v>45658</v>
      </c>
      <c r="AN92" s="26">
        <f t="shared" si="84"/>
        <v>45689</v>
      </c>
      <c r="AO92" s="26">
        <f t="shared" si="84"/>
        <v>45717</v>
      </c>
      <c r="AP92" s="26">
        <f t="shared" si="84"/>
        <v>45748</v>
      </c>
      <c r="AQ92" s="26">
        <f t="shared" si="84"/>
        <v>45778</v>
      </c>
      <c r="AR92" s="26">
        <f t="shared" si="84"/>
        <v>45809</v>
      </c>
      <c r="AS92" s="26">
        <f t="shared" si="84"/>
        <v>45839</v>
      </c>
      <c r="AT92" s="26">
        <f t="shared" si="84"/>
        <v>45870</v>
      </c>
      <c r="AU92" s="26">
        <f t="shared" si="84"/>
        <v>45901</v>
      </c>
      <c r="AV92" s="26">
        <f t="shared" si="84"/>
        <v>45931</v>
      </c>
      <c r="AW92" s="26">
        <f t="shared" si="84"/>
        <v>45962</v>
      </c>
      <c r="AX92" s="382">
        <f t="shared" si="84"/>
        <v>45992</v>
      </c>
      <c r="AY92" s="383">
        <f t="shared" ref="AY92:BJ92" si="85">AY5</f>
        <v>46023</v>
      </c>
      <c r="AZ92" s="26">
        <f t="shared" si="85"/>
        <v>46054</v>
      </c>
      <c r="BA92" s="26">
        <f t="shared" si="85"/>
        <v>46082</v>
      </c>
      <c r="BB92" s="26">
        <f t="shared" si="85"/>
        <v>46113</v>
      </c>
      <c r="BC92" s="26">
        <f t="shared" si="85"/>
        <v>46143</v>
      </c>
      <c r="BD92" s="26">
        <f t="shared" si="85"/>
        <v>46174</v>
      </c>
      <c r="BE92" s="26">
        <f t="shared" si="85"/>
        <v>46204</v>
      </c>
      <c r="BF92" s="26">
        <f t="shared" si="85"/>
        <v>46235</v>
      </c>
      <c r="BG92" s="26">
        <f t="shared" si="85"/>
        <v>46266</v>
      </c>
      <c r="BH92" s="26">
        <f t="shared" si="85"/>
        <v>46296</v>
      </c>
      <c r="BI92" s="26">
        <f t="shared" si="85"/>
        <v>46327</v>
      </c>
      <c r="BJ92" s="464">
        <f t="shared" si="85"/>
        <v>46357</v>
      </c>
      <c r="BK92" s="461"/>
    </row>
    <row r="93" spans="1:63" x14ac:dyDescent="0.25">
      <c r="B93" s="16" t="s">
        <v>95</v>
      </c>
      <c r="C93" s="20">
        <f>C$34+C60</f>
        <v>62.91</v>
      </c>
      <c r="D93" s="20">
        <f t="shared" ref="D93:Z93" si="86">D$34+D60</f>
        <v>55.7</v>
      </c>
      <c r="E93" s="20">
        <f t="shared" si="86"/>
        <v>55.7</v>
      </c>
      <c r="F93" s="20">
        <f t="shared" si="86"/>
        <v>55.7</v>
      </c>
      <c r="G93" s="20">
        <f t="shared" si="86"/>
        <v>55.7</v>
      </c>
      <c r="H93" s="20">
        <f t="shared" si="86"/>
        <v>55.71</v>
      </c>
      <c r="I93" s="20">
        <f t="shared" si="86"/>
        <v>66.319999999999993</v>
      </c>
      <c r="J93" s="20">
        <f t="shared" si="86"/>
        <v>76.900000000000006</v>
      </c>
      <c r="K93" s="20">
        <f t="shared" si="86"/>
        <v>56.08</v>
      </c>
      <c r="L93" s="20">
        <f t="shared" si="86"/>
        <v>55.7</v>
      </c>
      <c r="M93" s="20">
        <f t="shared" si="86"/>
        <v>55.7</v>
      </c>
      <c r="N93" s="400">
        <f t="shared" si="86"/>
        <v>55.7</v>
      </c>
      <c r="O93" s="401">
        <f t="shared" si="86"/>
        <v>68.72</v>
      </c>
      <c r="P93" s="20">
        <f t="shared" si="86"/>
        <v>69.25</v>
      </c>
      <c r="Q93" s="20">
        <f t="shared" si="86"/>
        <v>69.3</v>
      </c>
      <c r="R93" s="20">
        <f t="shared" si="86"/>
        <v>69.8</v>
      </c>
      <c r="S93" s="20">
        <f t="shared" si="86"/>
        <v>70.2</v>
      </c>
      <c r="T93" s="20">
        <f t="shared" si="86"/>
        <v>72.400000000000006</v>
      </c>
      <c r="U93" s="20">
        <f t="shared" si="86"/>
        <v>77.150000000000006</v>
      </c>
      <c r="V93" s="20">
        <f t="shared" si="86"/>
        <v>77.150000000000006</v>
      </c>
      <c r="W93" s="20">
        <f t="shared" si="86"/>
        <v>77.150000000000006</v>
      </c>
      <c r="X93" s="20">
        <f t="shared" si="86"/>
        <v>80.45</v>
      </c>
      <c r="Y93" s="20">
        <f t="shared" si="86"/>
        <v>80.45</v>
      </c>
      <c r="Z93" s="400">
        <f t="shared" si="86"/>
        <v>80.45</v>
      </c>
      <c r="AA93" s="401">
        <f>AA$34+AA60</f>
        <v>100.1</v>
      </c>
      <c r="AB93" s="20">
        <f t="shared" ref="AB93:AX93" si="87">AB$34+AB60</f>
        <v>100.1</v>
      </c>
      <c r="AC93" s="20">
        <f t="shared" si="87"/>
        <v>100.1</v>
      </c>
      <c r="AD93" s="20">
        <f t="shared" si="87"/>
        <v>100.1</v>
      </c>
      <c r="AE93" s="20">
        <f t="shared" si="87"/>
        <v>100.1</v>
      </c>
      <c r="AF93" s="20">
        <f t="shared" si="87"/>
        <v>100.1</v>
      </c>
      <c r="AG93" s="20">
        <f t="shared" si="87"/>
        <v>100.1</v>
      </c>
      <c r="AH93" s="20">
        <f t="shared" si="87"/>
        <v>100.1</v>
      </c>
      <c r="AI93" s="20">
        <f t="shared" si="87"/>
        <v>100.1</v>
      </c>
      <c r="AJ93" s="20">
        <f t="shared" si="87"/>
        <v>100.1</v>
      </c>
      <c r="AK93" s="20">
        <f t="shared" si="87"/>
        <v>100.1</v>
      </c>
      <c r="AL93" s="400">
        <f t="shared" si="87"/>
        <v>100.1</v>
      </c>
      <c r="AM93" s="401">
        <f t="shared" si="87"/>
        <v>112</v>
      </c>
      <c r="AN93" s="20">
        <f t="shared" si="87"/>
        <v>112</v>
      </c>
      <c r="AO93" s="20">
        <f t="shared" si="87"/>
        <v>112</v>
      </c>
      <c r="AP93" s="20">
        <f t="shared" si="87"/>
        <v>112</v>
      </c>
      <c r="AQ93" s="20">
        <f t="shared" si="87"/>
        <v>112</v>
      </c>
      <c r="AR93" s="20">
        <f t="shared" si="87"/>
        <v>112</v>
      </c>
      <c r="AS93" s="20">
        <f t="shared" si="87"/>
        <v>112</v>
      </c>
      <c r="AT93" s="20">
        <f t="shared" si="87"/>
        <v>112</v>
      </c>
      <c r="AU93" s="20">
        <f t="shared" si="87"/>
        <v>112</v>
      </c>
      <c r="AV93" s="20">
        <f t="shared" si="87"/>
        <v>112</v>
      </c>
      <c r="AW93" s="20">
        <f t="shared" si="87"/>
        <v>112</v>
      </c>
      <c r="AX93" s="400">
        <f t="shared" si="87"/>
        <v>112</v>
      </c>
      <c r="AY93" s="401">
        <f t="shared" ref="AY93:BJ93" si="88">AY$34+AY60</f>
        <v>140.5</v>
      </c>
      <c r="AZ93" s="20">
        <f t="shared" si="88"/>
        <v>140.5</v>
      </c>
      <c r="BA93" s="20">
        <f t="shared" si="88"/>
        <v>140.5</v>
      </c>
      <c r="BB93" s="20">
        <f t="shared" si="88"/>
        <v>140.5</v>
      </c>
      <c r="BC93" s="20">
        <f t="shared" si="88"/>
        <v>140.5</v>
      </c>
      <c r="BD93" s="20">
        <f t="shared" si="88"/>
        <v>140.5</v>
      </c>
      <c r="BE93" s="20">
        <f t="shared" si="88"/>
        <v>140.5</v>
      </c>
      <c r="BF93" s="20">
        <f t="shared" si="88"/>
        <v>140.5</v>
      </c>
      <c r="BG93" s="20">
        <f t="shared" si="88"/>
        <v>140.5</v>
      </c>
      <c r="BH93" s="20">
        <f t="shared" si="88"/>
        <v>140.5</v>
      </c>
      <c r="BI93" s="20">
        <f t="shared" si="88"/>
        <v>140.5</v>
      </c>
      <c r="BJ93" s="467">
        <f t="shared" si="88"/>
        <v>140.5</v>
      </c>
      <c r="BK93" s="461"/>
    </row>
    <row r="94" spans="1:63" x14ac:dyDescent="0.25">
      <c r="B94" s="17" t="s">
        <v>96</v>
      </c>
      <c r="C94" s="18">
        <f>C$35+C61</f>
        <v>62.92</v>
      </c>
      <c r="D94" s="18">
        <f t="shared" ref="D94:Z94" si="89">D$35+D61</f>
        <v>55.7</v>
      </c>
      <c r="E94" s="18">
        <f t="shared" si="89"/>
        <v>55.7</v>
      </c>
      <c r="F94" s="18">
        <f t="shared" si="89"/>
        <v>55.7</v>
      </c>
      <c r="G94" s="18">
        <f t="shared" si="89"/>
        <v>55.7</v>
      </c>
      <c r="H94" s="18">
        <f t="shared" si="89"/>
        <v>55.71</v>
      </c>
      <c r="I94" s="18">
        <f t="shared" si="89"/>
        <v>66.319999999999993</v>
      </c>
      <c r="J94" s="18">
        <f t="shared" si="89"/>
        <v>76.900000000000006</v>
      </c>
      <c r="K94" s="18">
        <f t="shared" si="89"/>
        <v>56.08</v>
      </c>
      <c r="L94" s="18">
        <f t="shared" si="89"/>
        <v>55.7</v>
      </c>
      <c r="M94" s="18">
        <f t="shared" si="89"/>
        <v>55.7</v>
      </c>
      <c r="N94" s="402">
        <f t="shared" si="89"/>
        <v>55.7</v>
      </c>
      <c r="O94" s="403">
        <f t="shared" si="89"/>
        <v>68.72</v>
      </c>
      <c r="P94" s="18">
        <f t="shared" si="89"/>
        <v>69.25</v>
      </c>
      <c r="Q94" s="18">
        <f t="shared" si="89"/>
        <v>69.3</v>
      </c>
      <c r="R94" s="18">
        <f t="shared" si="89"/>
        <v>69.8</v>
      </c>
      <c r="S94" s="18">
        <f t="shared" si="89"/>
        <v>70.2</v>
      </c>
      <c r="T94" s="18">
        <f t="shared" si="89"/>
        <v>72.400000000000006</v>
      </c>
      <c r="U94" s="18">
        <f t="shared" si="89"/>
        <v>77.150000000000006</v>
      </c>
      <c r="V94" s="18">
        <f t="shared" si="89"/>
        <v>77.150000000000006</v>
      </c>
      <c r="W94" s="18">
        <f t="shared" si="89"/>
        <v>77.150000000000006</v>
      </c>
      <c r="X94" s="18">
        <f t="shared" si="89"/>
        <v>80.45</v>
      </c>
      <c r="Y94" s="18">
        <f t="shared" si="89"/>
        <v>80.45</v>
      </c>
      <c r="Z94" s="402">
        <f t="shared" si="89"/>
        <v>80.45</v>
      </c>
      <c r="AA94" s="403">
        <f>AA$35+AA61</f>
        <v>100.1</v>
      </c>
      <c r="AB94" s="18">
        <f t="shared" ref="AB94:AX94" si="90">AB$35+AB61</f>
        <v>100.1</v>
      </c>
      <c r="AC94" s="18">
        <f t="shared" si="90"/>
        <v>100.1</v>
      </c>
      <c r="AD94" s="18">
        <f t="shared" si="90"/>
        <v>100.1</v>
      </c>
      <c r="AE94" s="18">
        <f t="shared" si="90"/>
        <v>100.1</v>
      </c>
      <c r="AF94" s="18">
        <f t="shared" si="90"/>
        <v>100.1</v>
      </c>
      <c r="AG94" s="18">
        <f t="shared" si="90"/>
        <v>100.1</v>
      </c>
      <c r="AH94" s="18">
        <f t="shared" si="90"/>
        <v>100.1</v>
      </c>
      <c r="AI94" s="18">
        <f t="shared" si="90"/>
        <v>100.1</v>
      </c>
      <c r="AJ94" s="18">
        <f t="shared" si="90"/>
        <v>100.1</v>
      </c>
      <c r="AK94" s="18">
        <f t="shared" si="90"/>
        <v>100.1</v>
      </c>
      <c r="AL94" s="402">
        <f t="shared" si="90"/>
        <v>100.1</v>
      </c>
      <c r="AM94" s="403">
        <f t="shared" si="90"/>
        <v>112</v>
      </c>
      <c r="AN94" s="18">
        <f t="shared" si="90"/>
        <v>112</v>
      </c>
      <c r="AO94" s="18">
        <f t="shared" si="90"/>
        <v>112</v>
      </c>
      <c r="AP94" s="18">
        <f t="shared" si="90"/>
        <v>112</v>
      </c>
      <c r="AQ94" s="18">
        <f t="shared" si="90"/>
        <v>112</v>
      </c>
      <c r="AR94" s="18">
        <f t="shared" si="90"/>
        <v>112</v>
      </c>
      <c r="AS94" s="18">
        <f t="shared" si="90"/>
        <v>112</v>
      </c>
      <c r="AT94" s="18">
        <f t="shared" si="90"/>
        <v>112</v>
      </c>
      <c r="AU94" s="18">
        <f t="shared" si="90"/>
        <v>112</v>
      </c>
      <c r="AV94" s="18">
        <f t="shared" si="90"/>
        <v>112</v>
      </c>
      <c r="AW94" s="18">
        <f t="shared" si="90"/>
        <v>112</v>
      </c>
      <c r="AX94" s="402">
        <f t="shared" si="90"/>
        <v>112</v>
      </c>
      <c r="AY94" s="403">
        <f t="shared" ref="AY94:BJ94" si="91">AY$35+AY61</f>
        <v>140.5</v>
      </c>
      <c r="AZ94" s="18">
        <f t="shared" si="91"/>
        <v>140.5</v>
      </c>
      <c r="BA94" s="18">
        <f t="shared" si="91"/>
        <v>140.5</v>
      </c>
      <c r="BB94" s="18">
        <f t="shared" si="91"/>
        <v>140.5</v>
      </c>
      <c r="BC94" s="18">
        <f t="shared" si="91"/>
        <v>140.5</v>
      </c>
      <c r="BD94" s="18">
        <f t="shared" si="91"/>
        <v>140.5</v>
      </c>
      <c r="BE94" s="18">
        <f t="shared" si="91"/>
        <v>140.5</v>
      </c>
      <c r="BF94" s="18">
        <f t="shared" si="91"/>
        <v>140.5</v>
      </c>
      <c r="BG94" s="18">
        <f t="shared" si="91"/>
        <v>140.5</v>
      </c>
      <c r="BH94" s="18">
        <f t="shared" si="91"/>
        <v>140.5</v>
      </c>
      <c r="BI94" s="18">
        <f t="shared" si="91"/>
        <v>140.5</v>
      </c>
      <c r="BJ94" s="19">
        <f t="shared" si="91"/>
        <v>140.5</v>
      </c>
      <c r="BK94" s="461"/>
    </row>
    <row r="95" spans="1:63" x14ac:dyDescent="0.25">
      <c r="B95" s="17" t="s">
        <v>97</v>
      </c>
      <c r="C95" s="18">
        <f>C$36+C62</f>
        <v>57.22</v>
      </c>
      <c r="D95" s="18">
        <f t="shared" ref="D95:Z95" si="92">D$36+D62</f>
        <v>55.7</v>
      </c>
      <c r="E95" s="18">
        <f t="shared" si="92"/>
        <v>55.7</v>
      </c>
      <c r="F95" s="18">
        <f t="shared" si="92"/>
        <v>55.7</v>
      </c>
      <c r="G95" s="18">
        <f t="shared" si="92"/>
        <v>55.7</v>
      </c>
      <c r="H95" s="18">
        <f t="shared" si="92"/>
        <v>55.71</v>
      </c>
      <c r="I95" s="18">
        <f t="shared" si="92"/>
        <v>66.319999999999993</v>
      </c>
      <c r="J95" s="18">
        <f t="shared" si="92"/>
        <v>76.900000000000006</v>
      </c>
      <c r="K95" s="18">
        <f t="shared" si="92"/>
        <v>56.08</v>
      </c>
      <c r="L95" s="18">
        <f t="shared" si="92"/>
        <v>55.7</v>
      </c>
      <c r="M95" s="18">
        <f t="shared" si="92"/>
        <v>55.7</v>
      </c>
      <c r="N95" s="402">
        <f t="shared" si="92"/>
        <v>55.7</v>
      </c>
      <c r="O95" s="403">
        <f t="shared" si="92"/>
        <v>68.72</v>
      </c>
      <c r="P95" s="18">
        <f t="shared" si="92"/>
        <v>69.25</v>
      </c>
      <c r="Q95" s="18">
        <f t="shared" si="92"/>
        <v>69.3</v>
      </c>
      <c r="R95" s="18">
        <f t="shared" si="92"/>
        <v>69.8</v>
      </c>
      <c r="S95" s="18">
        <f t="shared" si="92"/>
        <v>70.2</v>
      </c>
      <c r="T95" s="18">
        <f t="shared" si="92"/>
        <v>72.400000000000006</v>
      </c>
      <c r="U95" s="18">
        <f t="shared" si="92"/>
        <v>77.150000000000006</v>
      </c>
      <c r="V95" s="18">
        <f t="shared" si="92"/>
        <v>77.150000000000006</v>
      </c>
      <c r="W95" s="18">
        <f t="shared" si="92"/>
        <v>77.150000000000006</v>
      </c>
      <c r="X95" s="18">
        <f t="shared" si="92"/>
        <v>80.45</v>
      </c>
      <c r="Y95" s="18">
        <f t="shared" si="92"/>
        <v>80.45</v>
      </c>
      <c r="Z95" s="402">
        <f t="shared" si="92"/>
        <v>80.45</v>
      </c>
      <c r="AA95" s="403">
        <f>AA$36+AA62</f>
        <v>100.1</v>
      </c>
      <c r="AB95" s="18">
        <f t="shared" ref="AB95:AX95" si="93">AB$36+AB62</f>
        <v>100.1</v>
      </c>
      <c r="AC95" s="18">
        <f t="shared" si="93"/>
        <v>100.1</v>
      </c>
      <c r="AD95" s="18">
        <f t="shared" si="93"/>
        <v>100.1</v>
      </c>
      <c r="AE95" s="18">
        <f t="shared" si="93"/>
        <v>100.1</v>
      </c>
      <c r="AF95" s="18">
        <f t="shared" si="93"/>
        <v>100.1</v>
      </c>
      <c r="AG95" s="18">
        <f t="shared" si="93"/>
        <v>100.1</v>
      </c>
      <c r="AH95" s="18">
        <f t="shared" si="93"/>
        <v>100.1</v>
      </c>
      <c r="AI95" s="18">
        <f t="shared" si="93"/>
        <v>100.1</v>
      </c>
      <c r="AJ95" s="18">
        <f t="shared" si="93"/>
        <v>100.1</v>
      </c>
      <c r="AK95" s="18">
        <f t="shared" si="93"/>
        <v>100.1</v>
      </c>
      <c r="AL95" s="402">
        <f t="shared" si="93"/>
        <v>100.1</v>
      </c>
      <c r="AM95" s="403">
        <f t="shared" si="93"/>
        <v>112</v>
      </c>
      <c r="AN95" s="18">
        <f t="shared" si="93"/>
        <v>112</v>
      </c>
      <c r="AO95" s="18">
        <f t="shared" si="93"/>
        <v>112</v>
      </c>
      <c r="AP95" s="18">
        <f t="shared" si="93"/>
        <v>112</v>
      </c>
      <c r="AQ95" s="18">
        <f t="shared" si="93"/>
        <v>112</v>
      </c>
      <c r="AR95" s="18">
        <f t="shared" si="93"/>
        <v>112</v>
      </c>
      <c r="AS95" s="18">
        <f t="shared" si="93"/>
        <v>112</v>
      </c>
      <c r="AT95" s="18">
        <f t="shared" si="93"/>
        <v>112</v>
      </c>
      <c r="AU95" s="18">
        <f t="shared" si="93"/>
        <v>112</v>
      </c>
      <c r="AV95" s="18">
        <f t="shared" si="93"/>
        <v>112</v>
      </c>
      <c r="AW95" s="18">
        <f t="shared" si="93"/>
        <v>112</v>
      </c>
      <c r="AX95" s="402">
        <f t="shared" si="93"/>
        <v>112</v>
      </c>
      <c r="AY95" s="403">
        <f t="shared" ref="AY95:BJ95" si="94">AY$36+AY62</f>
        <v>140.5</v>
      </c>
      <c r="AZ95" s="18">
        <f t="shared" si="94"/>
        <v>140.5</v>
      </c>
      <c r="BA95" s="18">
        <f t="shared" si="94"/>
        <v>140.5</v>
      </c>
      <c r="BB95" s="18">
        <f t="shared" si="94"/>
        <v>140.5</v>
      </c>
      <c r="BC95" s="18">
        <f t="shared" si="94"/>
        <v>140.5</v>
      </c>
      <c r="BD95" s="18">
        <f t="shared" si="94"/>
        <v>140.5</v>
      </c>
      <c r="BE95" s="18">
        <f t="shared" si="94"/>
        <v>140.5</v>
      </c>
      <c r="BF95" s="18">
        <f t="shared" si="94"/>
        <v>140.5</v>
      </c>
      <c r="BG95" s="18">
        <f t="shared" si="94"/>
        <v>140.5</v>
      </c>
      <c r="BH95" s="18">
        <f t="shared" si="94"/>
        <v>140.5</v>
      </c>
      <c r="BI95" s="18">
        <f t="shared" si="94"/>
        <v>140.5</v>
      </c>
      <c r="BJ95" s="19">
        <f t="shared" si="94"/>
        <v>140.5</v>
      </c>
      <c r="BK95" s="461"/>
    </row>
    <row r="96" spans="1:63" ht="15.75" thickBot="1" x14ac:dyDescent="0.3">
      <c r="B96" s="22" t="s">
        <v>98</v>
      </c>
      <c r="C96" s="23">
        <f>C$37+C63</f>
        <v>55.71</v>
      </c>
      <c r="D96" s="23">
        <f t="shared" ref="D96:Z96" si="95">D$37+D63</f>
        <v>55.7</v>
      </c>
      <c r="E96" s="23">
        <f t="shared" si="95"/>
        <v>55.7</v>
      </c>
      <c r="F96" s="23">
        <f t="shared" si="95"/>
        <v>55.7</v>
      </c>
      <c r="G96" s="23">
        <f t="shared" si="95"/>
        <v>55.7</v>
      </c>
      <c r="H96" s="23">
        <f t="shared" si="95"/>
        <v>55.71</v>
      </c>
      <c r="I96" s="23">
        <f t="shared" si="95"/>
        <v>66.319999999999993</v>
      </c>
      <c r="J96" s="23">
        <f t="shared" si="95"/>
        <v>76.900000000000006</v>
      </c>
      <c r="K96" s="23">
        <f t="shared" si="95"/>
        <v>56.08</v>
      </c>
      <c r="L96" s="23">
        <f t="shared" si="95"/>
        <v>55.7</v>
      </c>
      <c r="M96" s="23">
        <f t="shared" si="95"/>
        <v>55.7</v>
      </c>
      <c r="N96" s="404">
        <f t="shared" si="95"/>
        <v>55.7</v>
      </c>
      <c r="O96" s="405">
        <f t="shared" si="95"/>
        <v>68.72</v>
      </c>
      <c r="P96" s="23">
        <f t="shared" si="95"/>
        <v>69.25</v>
      </c>
      <c r="Q96" s="23">
        <f t="shared" si="95"/>
        <v>69.3</v>
      </c>
      <c r="R96" s="23">
        <f t="shared" si="95"/>
        <v>69.8</v>
      </c>
      <c r="S96" s="23">
        <f t="shared" si="95"/>
        <v>70.2</v>
      </c>
      <c r="T96" s="23">
        <f t="shared" si="95"/>
        <v>72.400000000000006</v>
      </c>
      <c r="U96" s="23">
        <f t="shared" si="95"/>
        <v>77.150000000000006</v>
      </c>
      <c r="V96" s="23">
        <f t="shared" si="95"/>
        <v>77.150000000000006</v>
      </c>
      <c r="W96" s="23">
        <f t="shared" si="95"/>
        <v>77.150000000000006</v>
      </c>
      <c r="X96" s="23">
        <f t="shared" si="95"/>
        <v>80.45</v>
      </c>
      <c r="Y96" s="23">
        <f t="shared" si="95"/>
        <v>80.45</v>
      </c>
      <c r="Z96" s="404">
        <f t="shared" si="95"/>
        <v>80.45</v>
      </c>
      <c r="AA96" s="405">
        <f>AA$37+AA63</f>
        <v>100.1</v>
      </c>
      <c r="AB96" s="23">
        <f t="shared" ref="AB96:AX96" si="96">AB$37+AB63</f>
        <v>100.1</v>
      </c>
      <c r="AC96" s="23">
        <f t="shared" si="96"/>
        <v>100.1</v>
      </c>
      <c r="AD96" s="23">
        <f t="shared" si="96"/>
        <v>100.1</v>
      </c>
      <c r="AE96" s="23">
        <f t="shared" si="96"/>
        <v>100.1</v>
      </c>
      <c r="AF96" s="23">
        <f t="shared" si="96"/>
        <v>100.1</v>
      </c>
      <c r="AG96" s="23">
        <f t="shared" si="96"/>
        <v>100.1</v>
      </c>
      <c r="AH96" s="23">
        <f t="shared" si="96"/>
        <v>100.1</v>
      </c>
      <c r="AI96" s="23">
        <f t="shared" si="96"/>
        <v>100.1</v>
      </c>
      <c r="AJ96" s="23">
        <f t="shared" si="96"/>
        <v>100.1</v>
      </c>
      <c r="AK96" s="23">
        <f t="shared" si="96"/>
        <v>100.1</v>
      </c>
      <c r="AL96" s="404">
        <f t="shared" si="96"/>
        <v>100.1</v>
      </c>
      <c r="AM96" s="405">
        <f t="shared" si="96"/>
        <v>112</v>
      </c>
      <c r="AN96" s="23">
        <f t="shared" si="96"/>
        <v>112</v>
      </c>
      <c r="AO96" s="23">
        <f t="shared" si="96"/>
        <v>112</v>
      </c>
      <c r="AP96" s="23">
        <f t="shared" si="96"/>
        <v>112</v>
      </c>
      <c r="AQ96" s="23">
        <f t="shared" si="96"/>
        <v>112</v>
      </c>
      <c r="AR96" s="23">
        <f t="shared" si="96"/>
        <v>112</v>
      </c>
      <c r="AS96" s="23">
        <f t="shared" si="96"/>
        <v>112</v>
      </c>
      <c r="AT96" s="23">
        <f t="shared" si="96"/>
        <v>112</v>
      </c>
      <c r="AU96" s="23">
        <f t="shared" si="96"/>
        <v>112</v>
      </c>
      <c r="AV96" s="23">
        <f t="shared" si="96"/>
        <v>112</v>
      </c>
      <c r="AW96" s="23">
        <f t="shared" si="96"/>
        <v>112</v>
      </c>
      <c r="AX96" s="404">
        <f t="shared" si="96"/>
        <v>112</v>
      </c>
      <c r="AY96" s="405">
        <f t="shared" ref="AY96:BJ96" si="97">AY$37+AY63</f>
        <v>140.5</v>
      </c>
      <c r="AZ96" s="23">
        <f t="shared" si="97"/>
        <v>140.5</v>
      </c>
      <c r="BA96" s="23">
        <f t="shared" si="97"/>
        <v>140.5</v>
      </c>
      <c r="BB96" s="23">
        <f t="shared" si="97"/>
        <v>140.5</v>
      </c>
      <c r="BC96" s="23">
        <f t="shared" si="97"/>
        <v>140.5</v>
      </c>
      <c r="BD96" s="23">
        <f t="shared" si="97"/>
        <v>140.5</v>
      </c>
      <c r="BE96" s="23">
        <f t="shared" si="97"/>
        <v>140.5</v>
      </c>
      <c r="BF96" s="23">
        <f t="shared" si="97"/>
        <v>140.5</v>
      </c>
      <c r="BG96" s="23">
        <f t="shared" si="97"/>
        <v>140.5</v>
      </c>
      <c r="BH96" s="23">
        <f t="shared" si="97"/>
        <v>140.5</v>
      </c>
      <c r="BI96" s="23">
        <f t="shared" si="97"/>
        <v>140.5</v>
      </c>
      <c r="BJ96" s="24">
        <f t="shared" si="97"/>
        <v>140.5</v>
      </c>
      <c r="BK96" s="461"/>
    </row>
    <row r="97" spans="2:75" x14ac:dyDescent="0.25">
      <c r="B97" s="36" t="s">
        <v>99</v>
      </c>
      <c r="C97" s="329">
        <f t="shared" ref="C97:Z97" si="98">C$34+C64</f>
        <v>62.91</v>
      </c>
      <c r="D97" s="20">
        <f t="shared" si="98"/>
        <v>55.7</v>
      </c>
      <c r="E97" s="20">
        <f t="shared" si="98"/>
        <v>55.7</v>
      </c>
      <c r="F97" s="20">
        <f t="shared" si="98"/>
        <v>55.7</v>
      </c>
      <c r="G97" s="20">
        <f t="shared" si="98"/>
        <v>55.7</v>
      </c>
      <c r="H97" s="20">
        <f t="shared" si="98"/>
        <v>55.71</v>
      </c>
      <c r="I97" s="20">
        <f t="shared" si="98"/>
        <v>66.319999999999993</v>
      </c>
      <c r="J97" s="20">
        <f t="shared" si="98"/>
        <v>76.900000000000006</v>
      </c>
      <c r="K97" s="20">
        <f t="shared" si="98"/>
        <v>56.08</v>
      </c>
      <c r="L97" s="20">
        <f t="shared" si="98"/>
        <v>55.7</v>
      </c>
      <c r="M97" s="20">
        <f t="shared" si="98"/>
        <v>55.7</v>
      </c>
      <c r="N97" s="400">
        <f t="shared" si="98"/>
        <v>55.7</v>
      </c>
      <c r="O97" s="401">
        <f t="shared" si="98"/>
        <v>68.72</v>
      </c>
      <c r="P97" s="20">
        <f t="shared" si="98"/>
        <v>69.25</v>
      </c>
      <c r="Q97" s="20">
        <f t="shared" si="98"/>
        <v>69.3</v>
      </c>
      <c r="R97" s="20">
        <f t="shared" si="98"/>
        <v>69.8</v>
      </c>
      <c r="S97" s="20">
        <f t="shared" si="98"/>
        <v>70.2</v>
      </c>
      <c r="T97" s="20">
        <f t="shared" si="98"/>
        <v>72.400000000000006</v>
      </c>
      <c r="U97" s="20">
        <f t="shared" si="98"/>
        <v>77.150000000000006</v>
      </c>
      <c r="V97" s="20">
        <f t="shared" si="98"/>
        <v>77.150000000000006</v>
      </c>
      <c r="W97" s="20">
        <f t="shared" si="98"/>
        <v>77.150000000000006</v>
      </c>
      <c r="X97" s="20">
        <f t="shared" si="98"/>
        <v>80.45</v>
      </c>
      <c r="Y97" s="20">
        <f t="shared" si="98"/>
        <v>80.45</v>
      </c>
      <c r="Z97" s="400">
        <f t="shared" si="98"/>
        <v>80.45</v>
      </c>
      <c r="AA97" s="401">
        <f t="shared" ref="AA97:AX97" si="99">AA$34+AA64</f>
        <v>100.1</v>
      </c>
      <c r="AB97" s="20">
        <f t="shared" si="99"/>
        <v>100.1</v>
      </c>
      <c r="AC97" s="20">
        <f t="shared" si="99"/>
        <v>100.1</v>
      </c>
      <c r="AD97" s="20">
        <f t="shared" si="99"/>
        <v>100.1</v>
      </c>
      <c r="AE97" s="20">
        <f t="shared" si="99"/>
        <v>100.1</v>
      </c>
      <c r="AF97" s="20">
        <f t="shared" si="99"/>
        <v>100.1</v>
      </c>
      <c r="AG97" s="20">
        <f t="shared" si="99"/>
        <v>100.1</v>
      </c>
      <c r="AH97" s="20">
        <f t="shared" si="99"/>
        <v>100.1</v>
      </c>
      <c r="AI97" s="20">
        <f t="shared" si="99"/>
        <v>100.1</v>
      </c>
      <c r="AJ97" s="20">
        <f t="shared" si="99"/>
        <v>100.1</v>
      </c>
      <c r="AK97" s="20">
        <f t="shared" si="99"/>
        <v>100.1</v>
      </c>
      <c r="AL97" s="400">
        <f t="shared" si="99"/>
        <v>100.1</v>
      </c>
      <c r="AM97" s="401">
        <f t="shared" si="99"/>
        <v>112</v>
      </c>
      <c r="AN97" s="20">
        <f t="shared" si="99"/>
        <v>112</v>
      </c>
      <c r="AO97" s="20">
        <f t="shared" si="99"/>
        <v>112</v>
      </c>
      <c r="AP97" s="20">
        <f t="shared" si="99"/>
        <v>112</v>
      </c>
      <c r="AQ97" s="20">
        <f t="shared" si="99"/>
        <v>112</v>
      </c>
      <c r="AR97" s="20">
        <f t="shared" si="99"/>
        <v>112</v>
      </c>
      <c r="AS97" s="20">
        <f t="shared" si="99"/>
        <v>112</v>
      </c>
      <c r="AT97" s="20">
        <f t="shared" si="99"/>
        <v>112</v>
      </c>
      <c r="AU97" s="20">
        <f t="shared" si="99"/>
        <v>112</v>
      </c>
      <c r="AV97" s="20">
        <f t="shared" si="99"/>
        <v>112</v>
      </c>
      <c r="AW97" s="20">
        <f t="shared" si="99"/>
        <v>112</v>
      </c>
      <c r="AX97" s="400">
        <f t="shared" si="99"/>
        <v>112</v>
      </c>
      <c r="AY97" s="401">
        <f t="shared" ref="AY97:BJ97" si="100">AY$34+AY64</f>
        <v>140.5</v>
      </c>
      <c r="AZ97" s="20">
        <f t="shared" si="100"/>
        <v>140.5</v>
      </c>
      <c r="BA97" s="20">
        <f t="shared" si="100"/>
        <v>140.5</v>
      </c>
      <c r="BB97" s="20">
        <f t="shared" si="100"/>
        <v>140.5</v>
      </c>
      <c r="BC97" s="20">
        <f t="shared" si="100"/>
        <v>140.5</v>
      </c>
      <c r="BD97" s="20">
        <f t="shared" si="100"/>
        <v>140.5</v>
      </c>
      <c r="BE97" s="20">
        <f t="shared" si="100"/>
        <v>140.5</v>
      </c>
      <c r="BF97" s="20">
        <f t="shared" si="100"/>
        <v>140.5</v>
      </c>
      <c r="BG97" s="20">
        <f t="shared" si="100"/>
        <v>140.5</v>
      </c>
      <c r="BH97" s="20">
        <f t="shared" si="100"/>
        <v>140.5</v>
      </c>
      <c r="BI97" s="20">
        <f t="shared" si="100"/>
        <v>140.5</v>
      </c>
      <c r="BJ97" s="467">
        <f t="shared" si="100"/>
        <v>140.5</v>
      </c>
      <c r="BK97" s="461"/>
    </row>
    <row r="98" spans="2:75" x14ac:dyDescent="0.25">
      <c r="B98" s="37" t="s">
        <v>100</v>
      </c>
      <c r="C98" s="329">
        <f t="shared" ref="C98:Z98" si="101">C$35+C65</f>
        <v>62.92</v>
      </c>
      <c r="D98" s="18">
        <f t="shared" si="101"/>
        <v>55.7</v>
      </c>
      <c r="E98" s="18">
        <f t="shared" si="101"/>
        <v>55.7</v>
      </c>
      <c r="F98" s="18">
        <f t="shared" si="101"/>
        <v>55.7</v>
      </c>
      <c r="G98" s="18">
        <f t="shared" si="101"/>
        <v>55.7</v>
      </c>
      <c r="H98" s="18">
        <f t="shared" si="101"/>
        <v>55.71</v>
      </c>
      <c r="I98" s="18">
        <f t="shared" si="101"/>
        <v>66.319999999999993</v>
      </c>
      <c r="J98" s="18">
        <f t="shared" si="101"/>
        <v>76.900000000000006</v>
      </c>
      <c r="K98" s="18">
        <f t="shared" si="101"/>
        <v>56.08</v>
      </c>
      <c r="L98" s="18">
        <f t="shared" si="101"/>
        <v>55.7</v>
      </c>
      <c r="M98" s="18">
        <f t="shared" si="101"/>
        <v>55.7</v>
      </c>
      <c r="N98" s="402">
        <f t="shared" si="101"/>
        <v>55.7</v>
      </c>
      <c r="O98" s="403">
        <f t="shared" si="101"/>
        <v>68.72</v>
      </c>
      <c r="P98" s="18">
        <f t="shared" si="101"/>
        <v>69.25</v>
      </c>
      <c r="Q98" s="18">
        <f t="shared" si="101"/>
        <v>69.3</v>
      </c>
      <c r="R98" s="18">
        <f t="shared" si="101"/>
        <v>69.8</v>
      </c>
      <c r="S98" s="18">
        <f t="shared" si="101"/>
        <v>70.2</v>
      </c>
      <c r="T98" s="18">
        <f t="shared" si="101"/>
        <v>72.400000000000006</v>
      </c>
      <c r="U98" s="18">
        <f t="shared" si="101"/>
        <v>77.150000000000006</v>
      </c>
      <c r="V98" s="18">
        <f t="shared" si="101"/>
        <v>77.150000000000006</v>
      </c>
      <c r="W98" s="18">
        <f t="shared" si="101"/>
        <v>77.150000000000006</v>
      </c>
      <c r="X98" s="18">
        <f t="shared" si="101"/>
        <v>80.45</v>
      </c>
      <c r="Y98" s="18">
        <f t="shared" si="101"/>
        <v>80.45</v>
      </c>
      <c r="Z98" s="402">
        <f t="shared" si="101"/>
        <v>80.45</v>
      </c>
      <c r="AA98" s="403">
        <f t="shared" ref="AA98:AX98" si="102">AA$35+AA65</f>
        <v>100.1</v>
      </c>
      <c r="AB98" s="18">
        <f t="shared" si="102"/>
        <v>100.1</v>
      </c>
      <c r="AC98" s="18">
        <f t="shared" si="102"/>
        <v>100.1</v>
      </c>
      <c r="AD98" s="18">
        <f t="shared" si="102"/>
        <v>100.1</v>
      </c>
      <c r="AE98" s="18">
        <f t="shared" si="102"/>
        <v>100.1</v>
      </c>
      <c r="AF98" s="18">
        <f t="shared" si="102"/>
        <v>100.1</v>
      </c>
      <c r="AG98" s="18">
        <f t="shared" si="102"/>
        <v>100.1</v>
      </c>
      <c r="AH98" s="18">
        <f t="shared" si="102"/>
        <v>100.1</v>
      </c>
      <c r="AI98" s="18">
        <f t="shared" si="102"/>
        <v>100.1</v>
      </c>
      <c r="AJ98" s="18">
        <f t="shared" si="102"/>
        <v>100.1</v>
      </c>
      <c r="AK98" s="18">
        <f t="shared" si="102"/>
        <v>100.1</v>
      </c>
      <c r="AL98" s="402">
        <f t="shared" si="102"/>
        <v>100.1</v>
      </c>
      <c r="AM98" s="403">
        <f t="shared" si="102"/>
        <v>112</v>
      </c>
      <c r="AN98" s="18">
        <f t="shared" si="102"/>
        <v>112</v>
      </c>
      <c r="AO98" s="18">
        <f t="shared" si="102"/>
        <v>112</v>
      </c>
      <c r="AP98" s="18">
        <f t="shared" si="102"/>
        <v>112</v>
      </c>
      <c r="AQ98" s="18">
        <f t="shared" si="102"/>
        <v>112</v>
      </c>
      <c r="AR98" s="18">
        <f t="shared" si="102"/>
        <v>112</v>
      </c>
      <c r="AS98" s="18">
        <f t="shared" si="102"/>
        <v>112</v>
      </c>
      <c r="AT98" s="18">
        <f t="shared" si="102"/>
        <v>112</v>
      </c>
      <c r="AU98" s="18">
        <f t="shared" si="102"/>
        <v>112</v>
      </c>
      <c r="AV98" s="18">
        <f t="shared" si="102"/>
        <v>112</v>
      </c>
      <c r="AW98" s="18">
        <f t="shared" si="102"/>
        <v>112</v>
      </c>
      <c r="AX98" s="402">
        <f t="shared" si="102"/>
        <v>112</v>
      </c>
      <c r="AY98" s="403">
        <f t="shared" ref="AY98:BJ98" si="103">AY$35+AY65</f>
        <v>140.5</v>
      </c>
      <c r="AZ98" s="18">
        <f t="shared" si="103"/>
        <v>140.5</v>
      </c>
      <c r="BA98" s="18">
        <f t="shared" si="103"/>
        <v>140.5</v>
      </c>
      <c r="BB98" s="18">
        <f t="shared" si="103"/>
        <v>140.5</v>
      </c>
      <c r="BC98" s="18">
        <f t="shared" si="103"/>
        <v>140.5</v>
      </c>
      <c r="BD98" s="18">
        <f t="shared" si="103"/>
        <v>140.5</v>
      </c>
      <c r="BE98" s="18">
        <f t="shared" si="103"/>
        <v>140.5</v>
      </c>
      <c r="BF98" s="18">
        <f t="shared" si="103"/>
        <v>140.5</v>
      </c>
      <c r="BG98" s="18">
        <f t="shared" si="103"/>
        <v>140.5</v>
      </c>
      <c r="BH98" s="18">
        <f t="shared" si="103"/>
        <v>140.5</v>
      </c>
      <c r="BI98" s="18">
        <f t="shared" si="103"/>
        <v>140.5</v>
      </c>
      <c r="BJ98" s="19">
        <f t="shared" si="103"/>
        <v>140.5</v>
      </c>
      <c r="BK98" s="461"/>
    </row>
    <row r="99" spans="2:75" x14ac:dyDescent="0.25">
      <c r="B99" s="37" t="s">
        <v>101</v>
      </c>
      <c r="C99" s="18">
        <f t="shared" ref="C99:Z99" si="104">C$36+C66</f>
        <v>57.22</v>
      </c>
      <c r="D99" s="18">
        <f t="shared" si="104"/>
        <v>55.7</v>
      </c>
      <c r="E99" s="18">
        <f t="shared" si="104"/>
        <v>55.7</v>
      </c>
      <c r="F99" s="18">
        <f t="shared" si="104"/>
        <v>55.7</v>
      </c>
      <c r="G99" s="18">
        <f t="shared" si="104"/>
        <v>55.7</v>
      </c>
      <c r="H99" s="18">
        <f t="shared" si="104"/>
        <v>55.71</v>
      </c>
      <c r="I99" s="18">
        <f t="shared" si="104"/>
        <v>66.319999999999993</v>
      </c>
      <c r="J99" s="18">
        <f t="shared" si="104"/>
        <v>76.900000000000006</v>
      </c>
      <c r="K99" s="18">
        <f t="shared" si="104"/>
        <v>56.08</v>
      </c>
      <c r="L99" s="18">
        <f t="shared" si="104"/>
        <v>55.7</v>
      </c>
      <c r="M99" s="18">
        <f t="shared" si="104"/>
        <v>55.7</v>
      </c>
      <c r="N99" s="402">
        <f t="shared" si="104"/>
        <v>55.7</v>
      </c>
      <c r="O99" s="403">
        <f t="shared" si="104"/>
        <v>68.72</v>
      </c>
      <c r="P99" s="18">
        <f t="shared" si="104"/>
        <v>69.25</v>
      </c>
      <c r="Q99" s="18">
        <f t="shared" si="104"/>
        <v>69.3</v>
      </c>
      <c r="R99" s="18">
        <f t="shared" si="104"/>
        <v>69.8</v>
      </c>
      <c r="S99" s="18">
        <f t="shared" si="104"/>
        <v>70.2</v>
      </c>
      <c r="T99" s="18">
        <f t="shared" si="104"/>
        <v>72.400000000000006</v>
      </c>
      <c r="U99" s="18">
        <f t="shared" si="104"/>
        <v>77.150000000000006</v>
      </c>
      <c r="V99" s="18">
        <f t="shared" si="104"/>
        <v>77.150000000000006</v>
      </c>
      <c r="W99" s="18">
        <f t="shared" si="104"/>
        <v>77.150000000000006</v>
      </c>
      <c r="X99" s="18">
        <f t="shared" si="104"/>
        <v>80.45</v>
      </c>
      <c r="Y99" s="18">
        <f t="shared" si="104"/>
        <v>80.45</v>
      </c>
      <c r="Z99" s="402">
        <f t="shared" si="104"/>
        <v>80.45</v>
      </c>
      <c r="AA99" s="403">
        <f t="shared" ref="AA99:AX99" si="105">AA$36+AA66</f>
        <v>100.1</v>
      </c>
      <c r="AB99" s="18">
        <f t="shared" si="105"/>
        <v>100.1</v>
      </c>
      <c r="AC99" s="18">
        <f t="shared" si="105"/>
        <v>100.1</v>
      </c>
      <c r="AD99" s="18">
        <f t="shared" si="105"/>
        <v>100.1</v>
      </c>
      <c r="AE99" s="18">
        <f t="shared" si="105"/>
        <v>100.1</v>
      </c>
      <c r="AF99" s="18">
        <f t="shared" si="105"/>
        <v>100.1</v>
      </c>
      <c r="AG99" s="18">
        <f t="shared" si="105"/>
        <v>100.1</v>
      </c>
      <c r="AH99" s="18">
        <f t="shared" si="105"/>
        <v>100.1</v>
      </c>
      <c r="AI99" s="18">
        <f t="shared" si="105"/>
        <v>100.1</v>
      </c>
      <c r="AJ99" s="18">
        <f t="shared" si="105"/>
        <v>100.1</v>
      </c>
      <c r="AK99" s="18">
        <f t="shared" si="105"/>
        <v>100.1</v>
      </c>
      <c r="AL99" s="402">
        <f t="shared" si="105"/>
        <v>100.1</v>
      </c>
      <c r="AM99" s="403">
        <f t="shared" si="105"/>
        <v>112</v>
      </c>
      <c r="AN99" s="18">
        <f t="shared" si="105"/>
        <v>112</v>
      </c>
      <c r="AO99" s="18">
        <f t="shared" si="105"/>
        <v>112</v>
      </c>
      <c r="AP99" s="18">
        <f t="shared" si="105"/>
        <v>112</v>
      </c>
      <c r="AQ99" s="18">
        <f t="shared" si="105"/>
        <v>112</v>
      </c>
      <c r="AR99" s="18">
        <f t="shared" si="105"/>
        <v>112</v>
      </c>
      <c r="AS99" s="18">
        <f t="shared" si="105"/>
        <v>112</v>
      </c>
      <c r="AT99" s="18">
        <f t="shared" si="105"/>
        <v>112</v>
      </c>
      <c r="AU99" s="18">
        <f t="shared" si="105"/>
        <v>112</v>
      </c>
      <c r="AV99" s="18">
        <f t="shared" si="105"/>
        <v>112</v>
      </c>
      <c r="AW99" s="18">
        <f t="shared" si="105"/>
        <v>112</v>
      </c>
      <c r="AX99" s="402">
        <f t="shared" si="105"/>
        <v>112</v>
      </c>
      <c r="AY99" s="403">
        <f t="shared" ref="AY99:BJ99" si="106">AY$36+AY66</f>
        <v>140.5</v>
      </c>
      <c r="AZ99" s="18">
        <f t="shared" si="106"/>
        <v>140.5</v>
      </c>
      <c r="BA99" s="18">
        <f t="shared" si="106"/>
        <v>140.5</v>
      </c>
      <c r="BB99" s="18">
        <f t="shared" si="106"/>
        <v>140.5</v>
      </c>
      <c r="BC99" s="18">
        <f t="shared" si="106"/>
        <v>140.5</v>
      </c>
      <c r="BD99" s="18">
        <f t="shared" si="106"/>
        <v>140.5</v>
      </c>
      <c r="BE99" s="18">
        <f t="shared" si="106"/>
        <v>140.5</v>
      </c>
      <c r="BF99" s="18">
        <f t="shared" si="106"/>
        <v>140.5</v>
      </c>
      <c r="BG99" s="18">
        <f t="shared" si="106"/>
        <v>140.5</v>
      </c>
      <c r="BH99" s="18">
        <f t="shared" si="106"/>
        <v>140.5</v>
      </c>
      <c r="BI99" s="18">
        <f t="shared" si="106"/>
        <v>140.5</v>
      </c>
      <c r="BJ99" s="19">
        <f t="shared" si="106"/>
        <v>140.5</v>
      </c>
      <c r="BK99" s="461"/>
    </row>
    <row r="100" spans="2:75" ht="15.75" thickBot="1" x14ac:dyDescent="0.3">
      <c r="B100" s="38" t="s">
        <v>102</v>
      </c>
      <c r="C100" s="23">
        <f t="shared" ref="C100:Z100" si="107">C$37+C67</f>
        <v>55.71</v>
      </c>
      <c r="D100" s="23">
        <f t="shared" si="107"/>
        <v>55.7</v>
      </c>
      <c r="E100" s="23">
        <f t="shared" si="107"/>
        <v>55.7</v>
      </c>
      <c r="F100" s="23">
        <f t="shared" si="107"/>
        <v>55.7</v>
      </c>
      <c r="G100" s="23">
        <f t="shared" si="107"/>
        <v>55.7</v>
      </c>
      <c r="H100" s="23">
        <f t="shared" si="107"/>
        <v>55.71</v>
      </c>
      <c r="I100" s="23">
        <f t="shared" si="107"/>
        <v>66.319999999999993</v>
      </c>
      <c r="J100" s="23">
        <f t="shared" si="107"/>
        <v>76.900000000000006</v>
      </c>
      <c r="K100" s="23">
        <f t="shared" si="107"/>
        <v>56.08</v>
      </c>
      <c r="L100" s="23">
        <f t="shared" si="107"/>
        <v>55.7</v>
      </c>
      <c r="M100" s="23">
        <f t="shared" si="107"/>
        <v>55.7</v>
      </c>
      <c r="N100" s="404">
        <f t="shared" si="107"/>
        <v>55.7</v>
      </c>
      <c r="O100" s="405">
        <f t="shared" si="107"/>
        <v>68.72</v>
      </c>
      <c r="P100" s="23">
        <f t="shared" si="107"/>
        <v>69.25</v>
      </c>
      <c r="Q100" s="23">
        <f t="shared" si="107"/>
        <v>69.3</v>
      </c>
      <c r="R100" s="23">
        <f t="shared" si="107"/>
        <v>69.8</v>
      </c>
      <c r="S100" s="23">
        <f t="shared" si="107"/>
        <v>70.2</v>
      </c>
      <c r="T100" s="23">
        <f t="shared" si="107"/>
        <v>72.400000000000006</v>
      </c>
      <c r="U100" s="23">
        <f t="shared" si="107"/>
        <v>77.150000000000006</v>
      </c>
      <c r="V100" s="23">
        <f t="shared" si="107"/>
        <v>77.150000000000006</v>
      </c>
      <c r="W100" s="23">
        <f t="shared" si="107"/>
        <v>77.150000000000006</v>
      </c>
      <c r="X100" s="23">
        <f t="shared" si="107"/>
        <v>80.45</v>
      </c>
      <c r="Y100" s="23">
        <f t="shared" si="107"/>
        <v>80.45</v>
      </c>
      <c r="Z100" s="404">
        <f t="shared" si="107"/>
        <v>80.45</v>
      </c>
      <c r="AA100" s="405">
        <f t="shared" ref="AA100:AX100" si="108">AA$37+AA67</f>
        <v>100.1</v>
      </c>
      <c r="AB100" s="23">
        <f t="shared" si="108"/>
        <v>100.1</v>
      </c>
      <c r="AC100" s="23">
        <f t="shared" si="108"/>
        <v>100.1</v>
      </c>
      <c r="AD100" s="23">
        <f t="shared" si="108"/>
        <v>100.1</v>
      </c>
      <c r="AE100" s="23">
        <f t="shared" si="108"/>
        <v>100.1</v>
      </c>
      <c r="AF100" s="23">
        <f t="shared" si="108"/>
        <v>100.1</v>
      </c>
      <c r="AG100" s="23">
        <f t="shared" si="108"/>
        <v>100.1</v>
      </c>
      <c r="AH100" s="23">
        <f t="shared" si="108"/>
        <v>100.1</v>
      </c>
      <c r="AI100" s="23">
        <f t="shared" si="108"/>
        <v>100.1</v>
      </c>
      <c r="AJ100" s="23">
        <f t="shared" si="108"/>
        <v>100.1</v>
      </c>
      <c r="AK100" s="23">
        <f t="shared" si="108"/>
        <v>100.1</v>
      </c>
      <c r="AL100" s="404">
        <f t="shared" si="108"/>
        <v>100.1</v>
      </c>
      <c r="AM100" s="405">
        <f t="shared" si="108"/>
        <v>112</v>
      </c>
      <c r="AN100" s="23">
        <f t="shared" si="108"/>
        <v>112</v>
      </c>
      <c r="AO100" s="23">
        <f t="shared" si="108"/>
        <v>112</v>
      </c>
      <c r="AP100" s="23">
        <f t="shared" si="108"/>
        <v>112</v>
      </c>
      <c r="AQ100" s="23">
        <f t="shared" si="108"/>
        <v>112</v>
      </c>
      <c r="AR100" s="23">
        <f t="shared" si="108"/>
        <v>112</v>
      </c>
      <c r="AS100" s="23">
        <f t="shared" si="108"/>
        <v>112</v>
      </c>
      <c r="AT100" s="23">
        <f t="shared" si="108"/>
        <v>112</v>
      </c>
      <c r="AU100" s="23">
        <f t="shared" si="108"/>
        <v>112</v>
      </c>
      <c r="AV100" s="23">
        <f t="shared" si="108"/>
        <v>112</v>
      </c>
      <c r="AW100" s="23">
        <f t="shared" si="108"/>
        <v>112</v>
      </c>
      <c r="AX100" s="404">
        <f t="shared" si="108"/>
        <v>112</v>
      </c>
      <c r="AY100" s="405">
        <f t="shared" ref="AY100:BJ100" si="109">AY$37+AY67</f>
        <v>140.5</v>
      </c>
      <c r="AZ100" s="23">
        <f t="shared" si="109"/>
        <v>140.5</v>
      </c>
      <c r="BA100" s="23">
        <f t="shared" si="109"/>
        <v>140.5</v>
      </c>
      <c r="BB100" s="23">
        <f t="shared" si="109"/>
        <v>140.5</v>
      </c>
      <c r="BC100" s="23">
        <f t="shared" si="109"/>
        <v>140.5</v>
      </c>
      <c r="BD100" s="23">
        <f t="shared" si="109"/>
        <v>140.5</v>
      </c>
      <c r="BE100" s="23">
        <f t="shared" si="109"/>
        <v>140.5</v>
      </c>
      <c r="BF100" s="23">
        <f t="shared" si="109"/>
        <v>140.5</v>
      </c>
      <c r="BG100" s="23">
        <f t="shared" si="109"/>
        <v>140.5</v>
      </c>
      <c r="BH100" s="23">
        <f t="shared" si="109"/>
        <v>140.5</v>
      </c>
      <c r="BI100" s="23">
        <f t="shared" si="109"/>
        <v>140.5</v>
      </c>
      <c r="BJ100" s="24">
        <f t="shared" si="109"/>
        <v>140.5</v>
      </c>
      <c r="BK100" s="461"/>
    </row>
    <row r="101" spans="2:75" x14ac:dyDescent="0.25">
      <c r="B101" s="36" t="s">
        <v>103</v>
      </c>
      <c r="C101" s="20">
        <f t="shared" ref="C101:Z101" si="110">C$34+C68</f>
        <v>62.91</v>
      </c>
      <c r="D101" s="20">
        <f t="shared" si="110"/>
        <v>55.7</v>
      </c>
      <c r="E101" s="20">
        <f t="shared" si="110"/>
        <v>55.7</v>
      </c>
      <c r="F101" s="20">
        <f t="shared" si="110"/>
        <v>55.7</v>
      </c>
      <c r="G101" s="20">
        <f t="shared" si="110"/>
        <v>55.7</v>
      </c>
      <c r="H101" s="20">
        <f t="shared" si="110"/>
        <v>55.71</v>
      </c>
      <c r="I101" s="20">
        <f t="shared" si="110"/>
        <v>66.319999999999993</v>
      </c>
      <c r="J101" s="20">
        <f t="shared" si="110"/>
        <v>76.900000000000006</v>
      </c>
      <c r="K101" s="20">
        <f t="shared" si="110"/>
        <v>56.08</v>
      </c>
      <c r="L101" s="20">
        <f t="shared" si="110"/>
        <v>55.7</v>
      </c>
      <c r="M101" s="20">
        <f t="shared" si="110"/>
        <v>55.7</v>
      </c>
      <c r="N101" s="400">
        <f t="shared" si="110"/>
        <v>82.7</v>
      </c>
      <c r="O101" s="401">
        <f t="shared" si="110"/>
        <v>98.72</v>
      </c>
      <c r="P101" s="20">
        <f t="shared" si="110"/>
        <v>99.25</v>
      </c>
      <c r="Q101" s="20">
        <f t="shared" si="110"/>
        <v>99.3</v>
      </c>
      <c r="R101" s="20">
        <f t="shared" si="110"/>
        <v>99.8</v>
      </c>
      <c r="S101" s="20">
        <f t="shared" si="110"/>
        <v>100.2</v>
      </c>
      <c r="T101" s="20">
        <f t="shared" si="110"/>
        <v>102.4</v>
      </c>
      <c r="U101" s="20">
        <f t="shared" si="110"/>
        <v>107.15</v>
      </c>
      <c r="V101" s="20">
        <f t="shared" si="110"/>
        <v>107.15</v>
      </c>
      <c r="W101" s="20">
        <f t="shared" si="110"/>
        <v>107.15</v>
      </c>
      <c r="X101" s="20">
        <f t="shared" si="110"/>
        <v>110.45</v>
      </c>
      <c r="Y101" s="20">
        <f t="shared" si="110"/>
        <v>110.45</v>
      </c>
      <c r="Z101" s="400">
        <f t="shared" si="110"/>
        <v>110.45</v>
      </c>
      <c r="AA101" s="401">
        <f t="shared" ref="AA101:AX101" si="111">AA$34+AA68</f>
        <v>132.1</v>
      </c>
      <c r="AB101" s="20">
        <f t="shared" si="111"/>
        <v>132.1</v>
      </c>
      <c r="AC101" s="20">
        <f t="shared" si="111"/>
        <v>132.1</v>
      </c>
      <c r="AD101" s="20">
        <f t="shared" si="111"/>
        <v>132.1</v>
      </c>
      <c r="AE101" s="20">
        <f t="shared" si="111"/>
        <v>132.1</v>
      </c>
      <c r="AF101" s="20">
        <f t="shared" si="111"/>
        <v>132.1</v>
      </c>
      <c r="AG101" s="20">
        <f t="shared" si="111"/>
        <v>132.1</v>
      </c>
      <c r="AH101" s="20">
        <f t="shared" si="111"/>
        <v>132.1</v>
      </c>
      <c r="AI101" s="20">
        <f t="shared" si="111"/>
        <v>132.1</v>
      </c>
      <c r="AJ101" s="20">
        <f t="shared" si="111"/>
        <v>132.1</v>
      </c>
      <c r="AK101" s="20">
        <f t="shared" si="111"/>
        <v>132.1</v>
      </c>
      <c r="AL101" s="400">
        <f t="shared" si="111"/>
        <v>132.1</v>
      </c>
      <c r="AM101" s="401">
        <f t="shared" si="111"/>
        <v>149</v>
      </c>
      <c r="AN101" s="20">
        <f t="shared" si="111"/>
        <v>149</v>
      </c>
      <c r="AO101" s="20">
        <f t="shared" si="111"/>
        <v>149</v>
      </c>
      <c r="AP101" s="20">
        <f t="shared" si="111"/>
        <v>149</v>
      </c>
      <c r="AQ101" s="20">
        <f t="shared" si="111"/>
        <v>149</v>
      </c>
      <c r="AR101" s="20">
        <f t="shared" si="111"/>
        <v>149</v>
      </c>
      <c r="AS101" s="20">
        <f t="shared" si="111"/>
        <v>149</v>
      </c>
      <c r="AT101" s="20">
        <f t="shared" si="111"/>
        <v>149</v>
      </c>
      <c r="AU101" s="20">
        <f t="shared" si="111"/>
        <v>149</v>
      </c>
      <c r="AV101" s="20">
        <f t="shared" si="111"/>
        <v>149</v>
      </c>
      <c r="AW101" s="20">
        <f t="shared" si="111"/>
        <v>149</v>
      </c>
      <c r="AX101" s="400">
        <f t="shared" si="111"/>
        <v>149</v>
      </c>
      <c r="AY101" s="401">
        <f t="shared" ref="AY101:BJ101" si="112">AY$34+AY68</f>
        <v>175.5</v>
      </c>
      <c r="AZ101" s="20">
        <f t="shared" si="112"/>
        <v>175.5</v>
      </c>
      <c r="BA101" s="20">
        <f t="shared" si="112"/>
        <v>175.5</v>
      </c>
      <c r="BB101" s="20">
        <f t="shared" si="112"/>
        <v>175.5</v>
      </c>
      <c r="BC101" s="20">
        <f t="shared" si="112"/>
        <v>175.5</v>
      </c>
      <c r="BD101" s="20">
        <f t="shared" si="112"/>
        <v>175.5</v>
      </c>
      <c r="BE101" s="20">
        <f t="shared" si="112"/>
        <v>175.5</v>
      </c>
      <c r="BF101" s="20">
        <f t="shared" si="112"/>
        <v>175.5</v>
      </c>
      <c r="BG101" s="20">
        <f t="shared" si="112"/>
        <v>175.5</v>
      </c>
      <c r="BH101" s="20">
        <f t="shared" si="112"/>
        <v>175.5</v>
      </c>
      <c r="BI101" s="20">
        <f t="shared" si="112"/>
        <v>175.5</v>
      </c>
      <c r="BJ101" s="467">
        <f t="shared" si="112"/>
        <v>175.5</v>
      </c>
      <c r="BK101" s="461"/>
    </row>
    <row r="102" spans="2:75" x14ac:dyDescent="0.25">
      <c r="B102" s="37" t="s">
        <v>104</v>
      </c>
      <c r="C102" s="18">
        <f t="shared" ref="C102:Z102" si="113">C$35+C69</f>
        <v>62.92</v>
      </c>
      <c r="D102" s="18">
        <f t="shared" si="113"/>
        <v>55.7</v>
      </c>
      <c r="E102" s="18">
        <f t="shared" si="113"/>
        <v>55.7</v>
      </c>
      <c r="F102" s="18">
        <f t="shared" si="113"/>
        <v>55.7</v>
      </c>
      <c r="G102" s="18">
        <f t="shared" si="113"/>
        <v>55.7</v>
      </c>
      <c r="H102" s="18">
        <f t="shared" si="113"/>
        <v>55.71</v>
      </c>
      <c r="I102" s="18">
        <f t="shared" si="113"/>
        <v>66.319999999999993</v>
      </c>
      <c r="J102" s="18">
        <f t="shared" si="113"/>
        <v>76.900000000000006</v>
      </c>
      <c r="K102" s="18">
        <f t="shared" si="113"/>
        <v>56.08</v>
      </c>
      <c r="L102" s="18">
        <f t="shared" si="113"/>
        <v>55.7</v>
      </c>
      <c r="M102" s="18">
        <f t="shared" si="113"/>
        <v>55.7</v>
      </c>
      <c r="N102" s="402">
        <f t="shared" si="113"/>
        <v>82.7</v>
      </c>
      <c r="O102" s="403">
        <f t="shared" si="113"/>
        <v>98.72</v>
      </c>
      <c r="P102" s="18">
        <f t="shared" si="113"/>
        <v>99.25</v>
      </c>
      <c r="Q102" s="18">
        <f t="shared" si="113"/>
        <v>99.3</v>
      </c>
      <c r="R102" s="18">
        <f t="shared" si="113"/>
        <v>99.8</v>
      </c>
      <c r="S102" s="18">
        <f t="shared" si="113"/>
        <v>100.2</v>
      </c>
      <c r="T102" s="18">
        <f t="shared" si="113"/>
        <v>102.4</v>
      </c>
      <c r="U102" s="18">
        <f t="shared" si="113"/>
        <v>107.15</v>
      </c>
      <c r="V102" s="18">
        <f t="shared" si="113"/>
        <v>107.15</v>
      </c>
      <c r="W102" s="18">
        <f t="shared" si="113"/>
        <v>107.15</v>
      </c>
      <c r="X102" s="18">
        <f t="shared" si="113"/>
        <v>110.45</v>
      </c>
      <c r="Y102" s="18">
        <f t="shared" si="113"/>
        <v>110.45</v>
      </c>
      <c r="Z102" s="402">
        <f t="shared" si="113"/>
        <v>110.45</v>
      </c>
      <c r="AA102" s="403">
        <f t="shared" ref="AA102:AX102" si="114">AA$35+AA69</f>
        <v>132.1</v>
      </c>
      <c r="AB102" s="18">
        <f t="shared" si="114"/>
        <v>132.1</v>
      </c>
      <c r="AC102" s="18">
        <f t="shared" si="114"/>
        <v>132.1</v>
      </c>
      <c r="AD102" s="18">
        <f t="shared" si="114"/>
        <v>132.1</v>
      </c>
      <c r="AE102" s="18">
        <f t="shared" si="114"/>
        <v>132.1</v>
      </c>
      <c r="AF102" s="18">
        <f t="shared" si="114"/>
        <v>132.1</v>
      </c>
      <c r="AG102" s="18">
        <f t="shared" si="114"/>
        <v>132.1</v>
      </c>
      <c r="AH102" s="18">
        <f t="shared" si="114"/>
        <v>132.1</v>
      </c>
      <c r="AI102" s="18">
        <f t="shared" si="114"/>
        <v>132.1</v>
      </c>
      <c r="AJ102" s="18">
        <f t="shared" si="114"/>
        <v>132.1</v>
      </c>
      <c r="AK102" s="18">
        <f t="shared" si="114"/>
        <v>132.1</v>
      </c>
      <c r="AL102" s="402">
        <f t="shared" si="114"/>
        <v>132.1</v>
      </c>
      <c r="AM102" s="403">
        <f t="shared" si="114"/>
        <v>149</v>
      </c>
      <c r="AN102" s="18">
        <f t="shared" si="114"/>
        <v>149</v>
      </c>
      <c r="AO102" s="18">
        <f t="shared" si="114"/>
        <v>149</v>
      </c>
      <c r="AP102" s="18">
        <f t="shared" si="114"/>
        <v>149</v>
      </c>
      <c r="AQ102" s="18">
        <f t="shared" si="114"/>
        <v>149</v>
      </c>
      <c r="AR102" s="18">
        <f t="shared" si="114"/>
        <v>149</v>
      </c>
      <c r="AS102" s="18">
        <f t="shared" si="114"/>
        <v>149</v>
      </c>
      <c r="AT102" s="18">
        <f t="shared" si="114"/>
        <v>149</v>
      </c>
      <c r="AU102" s="18">
        <f t="shared" si="114"/>
        <v>149</v>
      </c>
      <c r="AV102" s="18">
        <f t="shared" si="114"/>
        <v>149</v>
      </c>
      <c r="AW102" s="18">
        <f t="shared" si="114"/>
        <v>149</v>
      </c>
      <c r="AX102" s="402">
        <f t="shared" si="114"/>
        <v>149</v>
      </c>
      <c r="AY102" s="403">
        <f t="shared" ref="AY102:BJ102" si="115">AY$35+AY69</f>
        <v>175.5</v>
      </c>
      <c r="AZ102" s="18">
        <f t="shared" si="115"/>
        <v>175.5</v>
      </c>
      <c r="BA102" s="18">
        <f t="shared" si="115"/>
        <v>175.5</v>
      </c>
      <c r="BB102" s="18">
        <f t="shared" si="115"/>
        <v>175.5</v>
      </c>
      <c r="BC102" s="18">
        <f t="shared" si="115"/>
        <v>175.5</v>
      </c>
      <c r="BD102" s="18">
        <f t="shared" si="115"/>
        <v>175.5</v>
      </c>
      <c r="BE102" s="18">
        <f t="shared" si="115"/>
        <v>175.5</v>
      </c>
      <c r="BF102" s="18">
        <f t="shared" si="115"/>
        <v>175.5</v>
      </c>
      <c r="BG102" s="18">
        <f t="shared" si="115"/>
        <v>175.5</v>
      </c>
      <c r="BH102" s="18">
        <f t="shared" si="115"/>
        <v>175.5</v>
      </c>
      <c r="BI102" s="18">
        <f t="shared" si="115"/>
        <v>175.5</v>
      </c>
      <c r="BJ102" s="19">
        <f t="shared" si="115"/>
        <v>175.5</v>
      </c>
      <c r="BK102" s="461"/>
    </row>
    <row r="103" spans="2:75" x14ac:dyDescent="0.25">
      <c r="B103" s="37" t="s">
        <v>105</v>
      </c>
      <c r="C103" s="18">
        <f t="shared" ref="C103:Z103" si="116">C$36+C70</f>
        <v>57.22</v>
      </c>
      <c r="D103" s="18">
        <f t="shared" si="116"/>
        <v>55.7</v>
      </c>
      <c r="E103" s="18">
        <f t="shared" si="116"/>
        <v>55.7</v>
      </c>
      <c r="F103" s="18">
        <f t="shared" si="116"/>
        <v>55.7</v>
      </c>
      <c r="G103" s="18">
        <f t="shared" si="116"/>
        <v>55.7</v>
      </c>
      <c r="H103" s="18">
        <f t="shared" si="116"/>
        <v>55.71</v>
      </c>
      <c r="I103" s="18">
        <f t="shared" si="116"/>
        <v>66.319999999999993</v>
      </c>
      <c r="J103" s="18">
        <f t="shared" si="116"/>
        <v>76.900000000000006</v>
      </c>
      <c r="K103" s="18">
        <f t="shared" si="116"/>
        <v>56.08</v>
      </c>
      <c r="L103" s="18">
        <f t="shared" si="116"/>
        <v>55.7</v>
      </c>
      <c r="M103" s="18">
        <f>M$36+M70</f>
        <v>55.7</v>
      </c>
      <c r="N103" s="402">
        <f t="shared" si="116"/>
        <v>82.7</v>
      </c>
      <c r="O103" s="403">
        <f t="shared" si="116"/>
        <v>98.72</v>
      </c>
      <c r="P103" s="18">
        <f t="shared" si="116"/>
        <v>99.25</v>
      </c>
      <c r="Q103" s="18">
        <f t="shared" si="116"/>
        <v>99.3</v>
      </c>
      <c r="R103" s="18">
        <f t="shared" si="116"/>
        <v>99.8</v>
      </c>
      <c r="S103" s="18">
        <f t="shared" si="116"/>
        <v>100.2</v>
      </c>
      <c r="T103" s="18">
        <f t="shared" si="116"/>
        <v>102.4</v>
      </c>
      <c r="U103" s="18">
        <f t="shared" si="116"/>
        <v>107.15</v>
      </c>
      <c r="V103" s="18">
        <f t="shared" si="116"/>
        <v>107.15</v>
      </c>
      <c r="W103" s="18">
        <f t="shared" si="116"/>
        <v>107.15</v>
      </c>
      <c r="X103" s="18">
        <f t="shared" si="116"/>
        <v>110.45</v>
      </c>
      <c r="Y103" s="18">
        <f t="shared" si="116"/>
        <v>110.45</v>
      </c>
      <c r="Z103" s="402">
        <f t="shared" si="116"/>
        <v>110.45</v>
      </c>
      <c r="AA103" s="403">
        <f t="shared" ref="AA103:AJ103" si="117">AA$36+AA70</f>
        <v>132.1</v>
      </c>
      <c r="AB103" s="18">
        <f t="shared" si="117"/>
        <v>132.1</v>
      </c>
      <c r="AC103" s="18">
        <f t="shared" si="117"/>
        <v>132.1</v>
      </c>
      <c r="AD103" s="18">
        <f t="shared" si="117"/>
        <v>132.1</v>
      </c>
      <c r="AE103" s="18">
        <f t="shared" si="117"/>
        <v>132.1</v>
      </c>
      <c r="AF103" s="18">
        <f t="shared" si="117"/>
        <v>132.1</v>
      </c>
      <c r="AG103" s="18">
        <f t="shared" si="117"/>
        <v>132.1</v>
      </c>
      <c r="AH103" s="18">
        <f t="shared" si="117"/>
        <v>132.1</v>
      </c>
      <c r="AI103" s="18">
        <f t="shared" si="117"/>
        <v>132.1</v>
      </c>
      <c r="AJ103" s="18">
        <f t="shared" si="117"/>
        <v>132.1</v>
      </c>
      <c r="AK103" s="18">
        <f>AK$36+AK70</f>
        <v>132.1</v>
      </c>
      <c r="AL103" s="402">
        <f t="shared" ref="AL103:AX103" si="118">AL$36+AL70</f>
        <v>132.1</v>
      </c>
      <c r="AM103" s="403">
        <f t="shared" si="118"/>
        <v>149</v>
      </c>
      <c r="AN103" s="18">
        <f t="shared" si="118"/>
        <v>149</v>
      </c>
      <c r="AO103" s="18">
        <f t="shared" si="118"/>
        <v>149</v>
      </c>
      <c r="AP103" s="18">
        <f t="shared" si="118"/>
        <v>149</v>
      </c>
      <c r="AQ103" s="18">
        <f t="shared" si="118"/>
        <v>149</v>
      </c>
      <c r="AR103" s="18">
        <f t="shared" si="118"/>
        <v>149</v>
      </c>
      <c r="AS103" s="18">
        <f t="shared" si="118"/>
        <v>149</v>
      </c>
      <c r="AT103" s="18">
        <f t="shared" si="118"/>
        <v>149</v>
      </c>
      <c r="AU103" s="18">
        <f t="shared" si="118"/>
        <v>149</v>
      </c>
      <c r="AV103" s="18">
        <f t="shared" si="118"/>
        <v>149</v>
      </c>
      <c r="AW103" s="18">
        <f t="shared" si="118"/>
        <v>149</v>
      </c>
      <c r="AX103" s="402">
        <f t="shared" si="118"/>
        <v>149</v>
      </c>
      <c r="AY103" s="403">
        <f t="shared" ref="AY103:BJ103" si="119">AY$36+AY70</f>
        <v>175.5</v>
      </c>
      <c r="AZ103" s="18">
        <f t="shared" si="119"/>
        <v>175.5</v>
      </c>
      <c r="BA103" s="18">
        <f t="shared" si="119"/>
        <v>175.5</v>
      </c>
      <c r="BB103" s="18">
        <f t="shared" si="119"/>
        <v>175.5</v>
      </c>
      <c r="BC103" s="18">
        <f t="shared" si="119"/>
        <v>175.5</v>
      </c>
      <c r="BD103" s="18">
        <f t="shared" si="119"/>
        <v>175.5</v>
      </c>
      <c r="BE103" s="18">
        <f t="shared" si="119"/>
        <v>175.5</v>
      </c>
      <c r="BF103" s="18">
        <f t="shared" si="119"/>
        <v>175.5</v>
      </c>
      <c r="BG103" s="18">
        <f t="shared" si="119"/>
        <v>175.5</v>
      </c>
      <c r="BH103" s="18">
        <f t="shared" si="119"/>
        <v>175.5</v>
      </c>
      <c r="BI103" s="18">
        <f t="shared" si="119"/>
        <v>175.5</v>
      </c>
      <c r="BJ103" s="19">
        <f t="shared" si="119"/>
        <v>175.5</v>
      </c>
      <c r="BK103" s="461"/>
    </row>
    <row r="104" spans="2:75" ht="15.75" thickBot="1" x14ac:dyDescent="0.3">
      <c r="B104" s="38" t="s">
        <v>106</v>
      </c>
      <c r="C104" s="23">
        <f t="shared" ref="C104:Z104" si="120">C$37+C71</f>
        <v>55.71</v>
      </c>
      <c r="D104" s="23">
        <f t="shared" si="120"/>
        <v>55.7</v>
      </c>
      <c r="E104" s="23">
        <f t="shared" si="120"/>
        <v>55.7</v>
      </c>
      <c r="F104" s="23">
        <f t="shared" si="120"/>
        <v>55.7</v>
      </c>
      <c r="G104" s="23">
        <f t="shared" si="120"/>
        <v>55.7</v>
      </c>
      <c r="H104" s="23">
        <f t="shared" si="120"/>
        <v>55.71</v>
      </c>
      <c r="I104" s="23">
        <f t="shared" si="120"/>
        <v>66.319999999999993</v>
      </c>
      <c r="J104" s="23">
        <f t="shared" si="120"/>
        <v>76.900000000000006</v>
      </c>
      <c r="K104" s="23">
        <f t="shared" si="120"/>
        <v>56.08</v>
      </c>
      <c r="L104" s="23">
        <f t="shared" si="120"/>
        <v>55.7</v>
      </c>
      <c r="M104" s="23">
        <f t="shared" si="120"/>
        <v>55.7</v>
      </c>
      <c r="N104" s="404">
        <f t="shared" si="120"/>
        <v>82.7</v>
      </c>
      <c r="O104" s="405">
        <f t="shared" si="120"/>
        <v>98.72</v>
      </c>
      <c r="P104" s="23">
        <f t="shared" si="120"/>
        <v>99.25</v>
      </c>
      <c r="Q104" s="23">
        <f t="shared" si="120"/>
        <v>99.3</v>
      </c>
      <c r="R104" s="23">
        <f t="shared" si="120"/>
        <v>99.8</v>
      </c>
      <c r="S104" s="23">
        <f t="shared" si="120"/>
        <v>100.2</v>
      </c>
      <c r="T104" s="23">
        <f t="shared" si="120"/>
        <v>102.4</v>
      </c>
      <c r="U104" s="23">
        <f t="shared" si="120"/>
        <v>107.15</v>
      </c>
      <c r="V104" s="23">
        <f t="shared" si="120"/>
        <v>107.15</v>
      </c>
      <c r="W104" s="23">
        <f t="shared" si="120"/>
        <v>107.15</v>
      </c>
      <c r="X104" s="23">
        <f t="shared" si="120"/>
        <v>110.45</v>
      </c>
      <c r="Y104" s="23">
        <f t="shared" si="120"/>
        <v>110.45</v>
      </c>
      <c r="Z104" s="404">
        <f t="shared" si="120"/>
        <v>110.45</v>
      </c>
      <c r="AA104" s="405">
        <f t="shared" ref="AA104:AX104" si="121">AA$37+AA71</f>
        <v>132.1</v>
      </c>
      <c r="AB104" s="23">
        <f t="shared" si="121"/>
        <v>132.1</v>
      </c>
      <c r="AC104" s="23">
        <f t="shared" si="121"/>
        <v>132.1</v>
      </c>
      <c r="AD104" s="23">
        <f t="shared" si="121"/>
        <v>132.1</v>
      </c>
      <c r="AE104" s="23">
        <f t="shared" si="121"/>
        <v>132.1</v>
      </c>
      <c r="AF104" s="23">
        <f t="shared" si="121"/>
        <v>132.1</v>
      </c>
      <c r="AG104" s="23">
        <f t="shared" si="121"/>
        <v>132.1</v>
      </c>
      <c r="AH104" s="23">
        <f t="shared" si="121"/>
        <v>132.1</v>
      </c>
      <c r="AI104" s="23">
        <f t="shared" si="121"/>
        <v>132.1</v>
      </c>
      <c r="AJ104" s="23">
        <f t="shared" si="121"/>
        <v>132.1</v>
      </c>
      <c r="AK104" s="23">
        <f t="shared" si="121"/>
        <v>132.1</v>
      </c>
      <c r="AL104" s="404">
        <f t="shared" si="121"/>
        <v>132.1</v>
      </c>
      <c r="AM104" s="405">
        <f t="shared" si="121"/>
        <v>149</v>
      </c>
      <c r="AN104" s="23">
        <f t="shared" si="121"/>
        <v>149</v>
      </c>
      <c r="AO104" s="23">
        <f t="shared" si="121"/>
        <v>149</v>
      </c>
      <c r="AP104" s="23">
        <f t="shared" si="121"/>
        <v>149</v>
      </c>
      <c r="AQ104" s="23">
        <f t="shared" si="121"/>
        <v>149</v>
      </c>
      <c r="AR104" s="23">
        <f t="shared" si="121"/>
        <v>149</v>
      </c>
      <c r="AS104" s="23">
        <f t="shared" si="121"/>
        <v>149</v>
      </c>
      <c r="AT104" s="23">
        <f t="shared" si="121"/>
        <v>149</v>
      </c>
      <c r="AU104" s="23">
        <f t="shared" si="121"/>
        <v>149</v>
      </c>
      <c r="AV104" s="23">
        <f t="shared" si="121"/>
        <v>149</v>
      </c>
      <c r="AW104" s="23">
        <f t="shared" si="121"/>
        <v>149</v>
      </c>
      <c r="AX104" s="404">
        <f t="shared" si="121"/>
        <v>149</v>
      </c>
      <c r="AY104" s="405">
        <f t="shared" ref="AY104:BJ104" si="122">AY$37+AY71</f>
        <v>175.5</v>
      </c>
      <c r="AZ104" s="23">
        <f t="shared" si="122"/>
        <v>175.5</v>
      </c>
      <c r="BA104" s="23">
        <f t="shared" si="122"/>
        <v>175.5</v>
      </c>
      <c r="BB104" s="23">
        <f t="shared" si="122"/>
        <v>175.5</v>
      </c>
      <c r="BC104" s="23">
        <f t="shared" si="122"/>
        <v>175.5</v>
      </c>
      <c r="BD104" s="23">
        <f t="shared" si="122"/>
        <v>175.5</v>
      </c>
      <c r="BE104" s="23">
        <f t="shared" si="122"/>
        <v>175.5</v>
      </c>
      <c r="BF104" s="23">
        <f t="shared" si="122"/>
        <v>175.5</v>
      </c>
      <c r="BG104" s="23">
        <f t="shared" si="122"/>
        <v>175.5</v>
      </c>
      <c r="BH104" s="23">
        <f t="shared" si="122"/>
        <v>175.5</v>
      </c>
      <c r="BI104" s="23">
        <f t="shared" si="122"/>
        <v>175.5</v>
      </c>
      <c r="BJ104" s="24">
        <f t="shared" si="122"/>
        <v>175.5</v>
      </c>
      <c r="BK104" s="461"/>
    </row>
    <row r="105" spans="2:75" x14ac:dyDescent="0.25">
      <c r="B105" s="36" t="s">
        <v>107</v>
      </c>
      <c r="C105" s="20">
        <f t="shared" ref="C105:Z105" si="123">C$34+C72</f>
        <v>62.91</v>
      </c>
      <c r="D105" s="20">
        <f t="shared" si="123"/>
        <v>55.7</v>
      </c>
      <c r="E105" s="20">
        <f t="shared" si="123"/>
        <v>55.7</v>
      </c>
      <c r="F105" s="20">
        <f t="shared" si="123"/>
        <v>55.7</v>
      </c>
      <c r="G105" s="20">
        <f t="shared" si="123"/>
        <v>55.7</v>
      </c>
      <c r="H105" s="20">
        <f t="shared" si="123"/>
        <v>55.71</v>
      </c>
      <c r="I105" s="20">
        <f t="shared" si="123"/>
        <v>66.319999999999993</v>
      </c>
      <c r="J105" s="20">
        <f t="shared" si="123"/>
        <v>76.900000000000006</v>
      </c>
      <c r="K105" s="20">
        <f t="shared" si="123"/>
        <v>56.08</v>
      </c>
      <c r="L105" s="20">
        <f t="shared" si="123"/>
        <v>55.7</v>
      </c>
      <c r="M105" s="20">
        <f t="shared" si="123"/>
        <v>55.7</v>
      </c>
      <c r="N105" s="400">
        <f t="shared" si="123"/>
        <v>215.7</v>
      </c>
      <c r="O105" s="401">
        <f t="shared" si="123"/>
        <v>228.72</v>
      </c>
      <c r="P105" s="20">
        <f t="shared" si="123"/>
        <v>229.25</v>
      </c>
      <c r="Q105" s="20">
        <f t="shared" si="123"/>
        <v>229.3</v>
      </c>
      <c r="R105" s="20">
        <f t="shared" si="123"/>
        <v>229.8</v>
      </c>
      <c r="S105" s="20">
        <f t="shared" si="123"/>
        <v>230.2</v>
      </c>
      <c r="T105" s="20">
        <f t="shared" si="123"/>
        <v>232.4</v>
      </c>
      <c r="U105" s="20">
        <f t="shared" si="123"/>
        <v>237.15</v>
      </c>
      <c r="V105" s="20">
        <f t="shared" si="123"/>
        <v>237.15</v>
      </c>
      <c r="W105" s="20">
        <f t="shared" si="123"/>
        <v>237.15</v>
      </c>
      <c r="X105" s="20">
        <f t="shared" si="123"/>
        <v>240.45</v>
      </c>
      <c r="Y105" s="20">
        <f t="shared" si="123"/>
        <v>240.45</v>
      </c>
      <c r="Z105" s="400">
        <f t="shared" si="123"/>
        <v>240.45</v>
      </c>
      <c r="AA105" s="401">
        <f t="shared" ref="AA105:AX105" si="124">AA$34+AA72</f>
        <v>265.10000000000002</v>
      </c>
      <c r="AB105" s="20">
        <f t="shared" si="124"/>
        <v>265.10000000000002</v>
      </c>
      <c r="AC105" s="20">
        <f t="shared" si="124"/>
        <v>265.10000000000002</v>
      </c>
      <c r="AD105" s="20">
        <f t="shared" si="124"/>
        <v>265.10000000000002</v>
      </c>
      <c r="AE105" s="20">
        <f t="shared" si="124"/>
        <v>265.10000000000002</v>
      </c>
      <c r="AF105" s="20">
        <f t="shared" si="124"/>
        <v>265.10000000000002</v>
      </c>
      <c r="AG105" s="20">
        <f t="shared" si="124"/>
        <v>265.10000000000002</v>
      </c>
      <c r="AH105" s="20">
        <f t="shared" si="124"/>
        <v>265.10000000000002</v>
      </c>
      <c r="AI105" s="20">
        <f t="shared" si="124"/>
        <v>265.10000000000002</v>
      </c>
      <c r="AJ105" s="20">
        <f t="shared" si="124"/>
        <v>265.10000000000002</v>
      </c>
      <c r="AK105" s="20">
        <f t="shared" si="124"/>
        <v>265.10000000000002</v>
      </c>
      <c r="AL105" s="400">
        <f t="shared" si="124"/>
        <v>265.10000000000002</v>
      </c>
      <c r="AM105" s="401">
        <f t="shared" si="124"/>
        <v>232</v>
      </c>
      <c r="AN105" s="20">
        <f t="shared" si="124"/>
        <v>232</v>
      </c>
      <c r="AO105" s="20">
        <f t="shared" si="124"/>
        <v>232</v>
      </c>
      <c r="AP105" s="20">
        <f t="shared" si="124"/>
        <v>232</v>
      </c>
      <c r="AQ105" s="20">
        <f t="shared" si="124"/>
        <v>232</v>
      </c>
      <c r="AR105" s="20">
        <f t="shared" si="124"/>
        <v>232</v>
      </c>
      <c r="AS105" s="20">
        <f t="shared" si="124"/>
        <v>232</v>
      </c>
      <c r="AT105" s="20">
        <f t="shared" si="124"/>
        <v>232</v>
      </c>
      <c r="AU105" s="20">
        <f t="shared" si="124"/>
        <v>232</v>
      </c>
      <c r="AV105" s="20">
        <f t="shared" si="124"/>
        <v>232</v>
      </c>
      <c r="AW105" s="20">
        <f t="shared" si="124"/>
        <v>232</v>
      </c>
      <c r="AX105" s="400">
        <f t="shared" si="124"/>
        <v>232</v>
      </c>
      <c r="AY105" s="401">
        <f t="shared" ref="AY105:BJ105" si="125">AY$34+AY72</f>
        <v>255.5</v>
      </c>
      <c r="AZ105" s="20">
        <f t="shared" si="125"/>
        <v>255.5</v>
      </c>
      <c r="BA105" s="20">
        <f t="shared" si="125"/>
        <v>255.5</v>
      </c>
      <c r="BB105" s="20">
        <f t="shared" si="125"/>
        <v>255.5</v>
      </c>
      <c r="BC105" s="20">
        <f t="shared" si="125"/>
        <v>255.5</v>
      </c>
      <c r="BD105" s="20">
        <f t="shared" si="125"/>
        <v>255.5</v>
      </c>
      <c r="BE105" s="20">
        <f t="shared" si="125"/>
        <v>255.5</v>
      </c>
      <c r="BF105" s="20">
        <f t="shared" si="125"/>
        <v>255.5</v>
      </c>
      <c r="BG105" s="20">
        <f t="shared" si="125"/>
        <v>255.5</v>
      </c>
      <c r="BH105" s="20">
        <f t="shared" si="125"/>
        <v>255.5</v>
      </c>
      <c r="BI105" s="20">
        <f t="shared" si="125"/>
        <v>255.5</v>
      </c>
      <c r="BJ105" s="467">
        <f t="shared" si="125"/>
        <v>255.5</v>
      </c>
      <c r="BK105" s="461"/>
    </row>
    <row r="106" spans="2:75" x14ac:dyDescent="0.25">
      <c r="B106" s="37" t="s">
        <v>108</v>
      </c>
      <c r="C106" s="18">
        <f t="shared" ref="C106:Z106" si="126">C$35+C73</f>
        <v>62.92</v>
      </c>
      <c r="D106" s="18">
        <f t="shared" si="126"/>
        <v>55.7</v>
      </c>
      <c r="E106" s="18">
        <f t="shared" si="126"/>
        <v>55.7</v>
      </c>
      <c r="F106" s="18">
        <f t="shared" si="126"/>
        <v>55.7</v>
      </c>
      <c r="G106" s="18">
        <f t="shared" si="126"/>
        <v>55.7</v>
      </c>
      <c r="H106" s="18">
        <f t="shared" si="126"/>
        <v>55.71</v>
      </c>
      <c r="I106" s="18">
        <f t="shared" si="126"/>
        <v>66.319999999999993</v>
      </c>
      <c r="J106" s="18">
        <f t="shared" si="126"/>
        <v>76.900000000000006</v>
      </c>
      <c r="K106" s="18">
        <f t="shared" si="126"/>
        <v>56.08</v>
      </c>
      <c r="L106" s="18">
        <f t="shared" si="126"/>
        <v>55.7</v>
      </c>
      <c r="M106" s="18">
        <f t="shared" si="126"/>
        <v>55.7</v>
      </c>
      <c r="N106" s="402">
        <f t="shared" si="126"/>
        <v>215.7</v>
      </c>
      <c r="O106" s="403">
        <f t="shared" si="126"/>
        <v>228.72</v>
      </c>
      <c r="P106" s="18">
        <f t="shared" si="126"/>
        <v>229.25</v>
      </c>
      <c r="Q106" s="18">
        <f t="shared" si="126"/>
        <v>229.3</v>
      </c>
      <c r="R106" s="18">
        <f t="shared" si="126"/>
        <v>229.8</v>
      </c>
      <c r="S106" s="18">
        <f t="shared" si="126"/>
        <v>230.2</v>
      </c>
      <c r="T106" s="18">
        <f t="shared" si="126"/>
        <v>232.4</v>
      </c>
      <c r="U106" s="18">
        <f t="shared" si="126"/>
        <v>237.15</v>
      </c>
      <c r="V106" s="18">
        <f t="shared" si="126"/>
        <v>237.15</v>
      </c>
      <c r="W106" s="18">
        <f t="shared" si="126"/>
        <v>237.15</v>
      </c>
      <c r="X106" s="18">
        <f t="shared" si="126"/>
        <v>240.45</v>
      </c>
      <c r="Y106" s="18">
        <f t="shared" si="126"/>
        <v>240.45</v>
      </c>
      <c r="Z106" s="402">
        <f t="shared" si="126"/>
        <v>240.45</v>
      </c>
      <c r="AA106" s="403">
        <f t="shared" ref="AA106:AX106" si="127">AA$35+AA73</f>
        <v>265.10000000000002</v>
      </c>
      <c r="AB106" s="18">
        <f t="shared" si="127"/>
        <v>265.10000000000002</v>
      </c>
      <c r="AC106" s="18">
        <f t="shared" si="127"/>
        <v>265.10000000000002</v>
      </c>
      <c r="AD106" s="18">
        <f t="shared" si="127"/>
        <v>265.10000000000002</v>
      </c>
      <c r="AE106" s="18">
        <f t="shared" si="127"/>
        <v>265.10000000000002</v>
      </c>
      <c r="AF106" s="18">
        <f t="shared" si="127"/>
        <v>265.10000000000002</v>
      </c>
      <c r="AG106" s="18">
        <f t="shared" si="127"/>
        <v>265.10000000000002</v>
      </c>
      <c r="AH106" s="18">
        <f t="shared" si="127"/>
        <v>265.10000000000002</v>
      </c>
      <c r="AI106" s="18">
        <f t="shared" si="127"/>
        <v>265.10000000000002</v>
      </c>
      <c r="AJ106" s="18">
        <f t="shared" si="127"/>
        <v>265.10000000000002</v>
      </c>
      <c r="AK106" s="18">
        <f t="shared" si="127"/>
        <v>265.10000000000002</v>
      </c>
      <c r="AL106" s="402">
        <f t="shared" si="127"/>
        <v>265.10000000000002</v>
      </c>
      <c r="AM106" s="403">
        <f t="shared" si="127"/>
        <v>232</v>
      </c>
      <c r="AN106" s="18">
        <f t="shared" si="127"/>
        <v>232</v>
      </c>
      <c r="AO106" s="18">
        <f t="shared" si="127"/>
        <v>232</v>
      </c>
      <c r="AP106" s="18">
        <f t="shared" si="127"/>
        <v>232</v>
      </c>
      <c r="AQ106" s="18">
        <f t="shared" si="127"/>
        <v>232</v>
      </c>
      <c r="AR106" s="18">
        <f t="shared" si="127"/>
        <v>232</v>
      </c>
      <c r="AS106" s="18">
        <f t="shared" si="127"/>
        <v>232</v>
      </c>
      <c r="AT106" s="18">
        <f t="shared" si="127"/>
        <v>232</v>
      </c>
      <c r="AU106" s="18">
        <f t="shared" si="127"/>
        <v>232</v>
      </c>
      <c r="AV106" s="18">
        <f t="shared" si="127"/>
        <v>232</v>
      </c>
      <c r="AW106" s="18">
        <f t="shared" si="127"/>
        <v>232</v>
      </c>
      <c r="AX106" s="402">
        <f t="shared" si="127"/>
        <v>232</v>
      </c>
      <c r="AY106" s="403">
        <f t="shared" ref="AY106:BJ106" si="128">AY$35+AY73</f>
        <v>255.5</v>
      </c>
      <c r="AZ106" s="18">
        <f t="shared" si="128"/>
        <v>255.5</v>
      </c>
      <c r="BA106" s="18">
        <f t="shared" si="128"/>
        <v>255.5</v>
      </c>
      <c r="BB106" s="18">
        <f t="shared" si="128"/>
        <v>255.5</v>
      </c>
      <c r="BC106" s="18">
        <f t="shared" si="128"/>
        <v>255.5</v>
      </c>
      <c r="BD106" s="18">
        <f t="shared" si="128"/>
        <v>255.5</v>
      </c>
      <c r="BE106" s="18">
        <f t="shared" si="128"/>
        <v>255.5</v>
      </c>
      <c r="BF106" s="18">
        <f t="shared" si="128"/>
        <v>255.5</v>
      </c>
      <c r="BG106" s="18">
        <f t="shared" si="128"/>
        <v>255.5</v>
      </c>
      <c r="BH106" s="18">
        <f t="shared" si="128"/>
        <v>255.5</v>
      </c>
      <c r="BI106" s="18">
        <f t="shared" si="128"/>
        <v>255.5</v>
      </c>
      <c r="BJ106" s="19">
        <f t="shared" si="128"/>
        <v>255.5</v>
      </c>
      <c r="BK106" s="461"/>
    </row>
    <row r="107" spans="2:75" x14ac:dyDescent="0.25">
      <c r="B107" s="37" t="s">
        <v>109</v>
      </c>
      <c r="C107" s="18">
        <f t="shared" ref="C107:Z107" si="129">C$36+C74</f>
        <v>57.22</v>
      </c>
      <c r="D107" s="18">
        <f t="shared" si="129"/>
        <v>55.7</v>
      </c>
      <c r="E107" s="18">
        <f t="shared" si="129"/>
        <v>55.7</v>
      </c>
      <c r="F107" s="18">
        <f t="shared" si="129"/>
        <v>55.7</v>
      </c>
      <c r="G107" s="18">
        <f t="shared" si="129"/>
        <v>55.7</v>
      </c>
      <c r="H107" s="18">
        <f t="shared" si="129"/>
        <v>55.71</v>
      </c>
      <c r="I107" s="18">
        <f t="shared" si="129"/>
        <v>66.319999999999993</v>
      </c>
      <c r="J107" s="18">
        <f t="shared" si="129"/>
        <v>76.900000000000006</v>
      </c>
      <c r="K107" s="18">
        <f t="shared" si="129"/>
        <v>56.08</v>
      </c>
      <c r="L107" s="18">
        <f t="shared" si="129"/>
        <v>55.7</v>
      </c>
      <c r="M107" s="18">
        <f t="shared" si="129"/>
        <v>55.7</v>
      </c>
      <c r="N107" s="402">
        <f t="shared" si="129"/>
        <v>215.7</v>
      </c>
      <c r="O107" s="403">
        <f t="shared" si="129"/>
        <v>228.72</v>
      </c>
      <c r="P107" s="18">
        <f t="shared" si="129"/>
        <v>229.25</v>
      </c>
      <c r="Q107" s="18">
        <f t="shared" si="129"/>
        <v>229.3</v>
      </c>
      <c r="R107" s="18">
        <f t="shared" si="129"/>
        <v>229.8</v>
      </c>
      <c r="S107" s="18">
        <f t="shared" si="129"/>
        <v>230.2</v>
      </c>
      <c r="T107" s="18">
        <f t="shared" si="129"/>
        <v>232.4</v>
      </c>
      <c r="U107" s="18">
        <f t="shared" si="129"/>
        <v>237.15</v>
      </c>
      <c r="V107" s="18">
        <f t="shared" si="129"/>
        <v>237.15</v>
      </c>
      <c r="W107" s="18">
        <f t="shared" si="129"/>
        <v>237.15</v>
      </c>
      <c r="X107" s="18">
        <f t="shared" si="129"/>
        <v>240.45</v>
      </c>
      <c r="Y107" s="18">
        <f t="shared" si="129"/>
        <v>240.45</v>
      </c>
      <c r="Z107" s="402">
        <f t="shared" si="129"/>
        <v>240.45</v>
      </c>
      <c r="AA107" s="403">
        <f t="shared" ref="AA107:AX107" si="130">AA$36+AA74</f>
        <v>265.10000000000002</v>
      </c>
      <c r="AB107" s="18">
        <f t="shared" si="130"/>
        <v>265.10000000000002</v>
      </c>
      <c r="AC107" s="18">
        <f t="shared" si="130"/>
        <v>265.10000000000002</v>
      </c>
      <c r="AD107" s="18">
        <f t="shared" si="130"/>
        <v>265.10000000000002</v>
      </c>
      <c r="AE107" s="18">
        <f t="shared" si="130"/>
        <v>265.10000000000002</v>
      </c>
      <c r="AF107" s="18">
        <f t="shared" si="130"/>
        <v>265.10000000000002</v>
      </c>
      <c r="AG107" s="18">
        <f t="shared" si="130"/>
        <v>265.10000000000002</v>
      </c>
      <c r="AH107" s="18">
        <f t="shared" si="130"/>
        <v>265.10000000000002</v>
      </c>
      <c r="AI107" s="18">
        <f t="shared" si="130"/>
        <v>265.10000000000002</v>
      </c>
      <c r="AJ107" s="18">
        <f t="shared" si="130"/>
        <v>265.10000000000002</v>
      </c>
      <c r="AK107" s="18">
        <f t="shared" si="130"/>
        <v>265.10000000000002</v>
      </c>
      <c r="AL107" s="402">
        <f t="shared" si="130"/>
        <v>265.10000000000002</v>
      </c>
      <c r="AM107" s="403">
        <f t="shared" si="130"/>
        <v>232</v>
      </c>
      <c r="AN107" s="18">
        <f t="shared" si="130"/>
        <v>232</v>
      </c>
      <c r="AO107" s="18">
        <f t="shared" si="130"/>
        <v>232</v>
      </c>
      <c r="AP107" s="18">
        <f t="shared" si="130"/>
        <v>232</v>
      </c>
      <c r="AQ107" s="18">
        <f t="shared" si="130"/>
        <v>232</v>
      </c>
      <c r="AR107" s="18">
        <f t="shared" si="130"/>
        <v>232</v>
      </c>
      <c r="AS107" s="18">
        <f t="shared" si="130"/>
        <v>232</v>
      </c>
      <c r="AT107" s="18">
        <f t="shared" si="130"/>
        <v>232</v>
      </c>
      <c r="AU107" s="18">
        <f t="shared" si="130"/>
        <v>232</v>
      </c>
      <c r="AV107" s="18">
        <f t="shared" si="130"/>
        <v>232</v>
      </c>
      <c r="AW107" s="18">
        <f t="shared" si="130"/>
        <v>232</v>
      </c>
      <c r="AX107" s="402">
        <f t="shared" si="130"/>
        <v>232</v>
      </c>
      <c r="AY107" s="403">
        <f t="shared" ref="AY107:BJ107" si="131">AY$36+AY74</f>
        <v>255.5</v>
      </c>
      <c r="AZ107" s="18">
        <f t="shared" si="131"/>
        <v>255.5</v>
      </c>
      <c r="BA107" s="18">
        <f t="shared" si="131"/>
        <v>255.5</v>
      </c>
      <c r="BB107" s="18">
        <f t="shared" si="131"/>
        <v>255.5</v>
      </c>
      <c r="BC107" s="18">
        <f t="shared" si="131"/>
        <v>255.5</v>
      </c>
      <c r="BD107" s="18">
        <f t="shared" si="131"/>
        <v>255.5</v>
      </c>
      <c r="BE107" s="18">
        <f t="shared" si="131"/>
        <v>255.5</v>
      </c>
      <c r="BF107" s="18">
        <f t="shared" si="131"/>
        <v>255.5</v>
      </c>
      <c r="BG107" s="18">
        <f t="shared" si="131"/>
        <v>255.5</v>
      </c>
      <c r="BH107" s="18">
        <f t="shared" si="131"/>
        <v>255.5</v>
      </c>
      <c r="BI107" s="18">
        <f t="shared" si="131"/>
        <v>255.5</v>
      </c>
      <c r="BJ107" s="19">
        <f t="shared" si="131"/>
        <v>255.5</v>
      </c>
      <c r="BK107" s="461"/>
    </row>
    <row r="108" spans="2:75" ht="15.75" thickBot="1" x14ac:dyDescent="0.3">
      <c r="B108" s="38" t="s">
        <v>110</v>
      </c>
      <c r="C108" s="23">
        <f t="shared" ref="C108:Z108" si="132">C$37+C75</f>
        <v>55.71</v>
      </c>
      <c r="D108" s="23">
        <f t="shared" si="132"/>
        <v>55.7</v>
      </c>
      <c r="E108" s="23">
        <f t="shared" si="132"/>
        <v>55.7</v>
      </c>
      <c r="F108" s="23">
        <f t="shared" si="132"/>
        <v>55.7</v>
      </c>
      <c r="G108" s="23">
        <f t="shared" si="132"/>
        <v>55.7</v>
      </c>
      <c r="H108" s="23">
        <f t="shared" si="132"/>
        <v>55.71</v>
      </c>
      <c r="I108" s="23">
        <f t="shared" si="132"/>
        <v>66.319999999999993</v>
      </c>
      <c r="J108" s="23">
        <f t="shared" si="132"/>
        <v>76.900000000000006</v>
      </c>
      <c r="K108" s="23">
        <f t="shared" si="132"/>
        <v>56.08</v>
      </c>
      <c r="L108" s="23">
        <f t="shared" si="132"/>
        <v>55.7</v>
      </c>
      <c r="M108" s="23">
        <f t="shared" si="132"/>
        <v>55.7</v>
      </c>
      <c r="N108" s="404">
        <f t="shared" si="132"/>
        <v>215.7</v>
      </c>
      <c r="O108" s="405">
        <f t="shared" si="132"/>
        <v>228.72</v>
      </c>
      <c r="P108" s="23">
        <f t="shared" si="132"/>
        <v>229.25</v>
      </c>
      <c r="Q108" s="23">
        <f t="shared" si="132"/>
        <v>229.3</v>
      </c>
      <c r="R108" s="23">
        <f t="shared" si="132"/>
        <v>229.8</v>
      </c>
      <c r="S108" s="23">
        <f t="shared" si="132"/>
        <v>230.2</v>
      </c>
      <c r="T108" s="23">
        <f t="shared" si="132"/>
        <v>232.4</v>
      </c>
      <c r="U108" s="23">
        <f t="shared" si="132"/>
        <v>237.15</v>
      </c>
      <c r="V108" s="23">
        <f t="shared" si="132"/>
        <v>237.15</v>
      </c>
      <c r="W108" s="23">
        <f t="shared" si="132"/>
        <v>237.15</v>
      </c>
      <c r="X108" s="23">
        <f t="shared" si="132"/>
        <v>240.45</v>
      </c>
      <c r="Y108" s="23">
        <f t="shared" si="132"/>
        <v>240.45</v>
      </c>
      <c r="Z108" s="404">
        <f t="shared" si="132"/>
        <v>240.45</v>
      </c>
      <c r="AA108" s="405">
        <f t="shared" ref="AA108:AX108" si="133">AA$37+AA75</f>
        <v>265.10000000000002</v>
      </c>
      <c r="AB108" s="23">
        <f t="shared" si="133"/>
        <v>265.10000000000002</v>
      </c>
      <c r="AC108" s="23">
        <f t="shared" si="133"/>
        <v>265.10000000000002</v>
      </c>
      <c r="AD108" s="23">
        <f t="shared" si="133"/>
        <v>265.10000000000002</v>
      </c>
      <c r="AE108" s="23">
        <f t="shared" si="133"/>
        <v>265.10000000000002</v>
      </c>
      <c r="AF108" s="23">
        <f t="shared" si="133"/>
        <v>265.10000000000002</v>
      </c>
      <c r="AG108" s="23">
        <f t="shared" si="133"/>
        <v>265.10000000000002</v>
      </c>
      <c r="AH108" s="23">
        <f t="shared" si="133"/>
        <v>265.10000000000002</v>
      </c>
      <c r="AI108" s="23">
        <f t="shared" si="133"/>
        <v>265.10000000000002</v>
      </c>
      <c r="AJ108" s="23">
        <f t="shared" si="133"/>
        <v>265.10000000000002</v>
      </c>
      <c r="AK108" s="23">
        <f t="shared" si="133"/>
        <v>265.10000000000002</v>
      </c>
      <c r="AL108" s="404">
        <f t="shared" si="133"/>
        <v>265.10000000000002</v>
      </c>
      <c r="AM108" s="405">
        <f t="shared" si="133"/>
        <v>232</v>
      </c>
      <c r="AN108" s="23">
        <f t="shared" si="133"/>
        <v>232</v>
      </c>
      <c r="AO108" s="23">
        <f t="shared" si="133"/>
        <v>232</v>
      </c>
      <c r="AP108" s="23">
        <f t="shared" si="133"/>
        <v>232</v>
      </c>
      <c r="AQ108" s="23">
        <f t="shared" si="133"/>
        <v>232</v>
      </c>
      <c r="AR108" s="23">
        <f t="shared" si="133"/>
        <v>232</v>
      </c>
      <c r="AS108" s="23">
        <f t="shared" si="133"/>
        <v>232</v>
      </c>
      <c r="AT108" s="23">
        <f t="shared" si="133"/>
        <v>232</v>
      </c>
      <c r="AU108" s="23">
        <f t="shared" si="133"/>
        <v>232</v>
      </c>
      <c r="AV108" s="23">
        <f t="shared" si="133"/>
        <v>232</v>
      </c>
      <c r="AW108" s="23">
        <f t="shared" si="133"/>
        <v>232</v>
      </c>
      <c r="AX108" s="404">
        <f t="shared" si="133"/>
        <v>232</v>
      </c>
      <c r="AY108" s="405">
        <f t="shared" ref="AY108:BJ108" si="134">AY$37+AY75</f>
        <v>255.5</v>
      </c>
      <c r="AZ108" s="23">
        <f t="shared" si="134"/>
        <v>255.5</v>
      </c>
      <c r="BA108" s="23">
        <f t="shared" si="134"/>
        <v>255.5</v>
      </c>
      <c r="BB108" s="23">
        <f t="shared" si="134"/>
        <v>255.5</v>
      </c>
      <c r="BC108" s="23">
        <f t="shared" si="134"/>
        <v>255.5</v>
      </c>
      <c r="BD108" s="23">
        <f t="shared" si="134"/>
        <v>255.5</v>
      </c>
      <c r="BE108" s="23">
        <f t="shared" si="134"/>
        <v>255.5</v>
      </c>
      <c r="BF108" s="23">
        <f t="shared" si="134"/>
        <v>255.5</v>
      </c>
      <c r="BG108" s="23">
        <f t="shared" si="134"/>
        <v>255.5</v>
      </c>
      <c r="BH108" s="23">
        <f t="shared" si="134"/>
        <v>255.5</v>
      </c>
      <c r="BI108" s="23">
        <f t="shared" si="134"/>
        <v>255.5</v>
      </c>
      <c r="BJ108" s="24">
        <f t="shared" si="134"/>
        <v>255.5</v>
      </c>
      <c r="BK108" s="461"/>
    </row>
    <row r="110" spans="2:75" s="162" customFormat="1" x14ac:dyDescent="0.25">
      <c r="C110" s="342"/>
      <c r="D110" s="337"/>
      <c r="E110" s="337"/>
      <c r="F110" s="337"/>
      <c r="G110" s="337"/>
      <c r="H110" s="337"/>
      <c r="I110" s="337"/>
      <c r="J110" s="337"/>
      <c r="K110" s="337"/>
      <c r="L110" s="337"/>
      <c r="M110" s="337"/>
      <c r="N110" s="337"/>
      <c r="O110" s="337"/>
      <c r="P110" s="337"/>
      <c r="Q110" s="337"/>
      <c r="R110" s="337"/>
      <c r="S110" s="337"/>
      <c r="T110" s="337"/>
      <c r="U110" s="337"/>
      <c r="V110" s="337"/>
      <c r="W110" s="337"/>
      <c r="X110" s="337"/>
      <c r="Y110" s="337"/>
      <c r="Z110" s="337"/>
      <c r="AA110" s="337"/>
      <c r="AB110" s="337"/>
      <c r="AC110" s="337"/>
      <c r="AD110" s="337"/>
      <c r="AE110" s="337"/>
      <c r="AF110" s="337"/>
      <c r="AG110" s="337"/>
      <c r="AH110" s="337"/>
      <c r="AI110" s="337"/>
      <c r="AJ110" s="337"/>
      <c r="AK110" s="337"/>
      <c r="AL110" s="337"/>
      <c r="AM110" s="337"/>
      <c r="AN110" s="337"/>
      <c r="AO110" s="337"/>
      <c r="AP110" s="337"/>
      <c r="AQ110" s="337"/>
      <c r="AR110" s="337"/>
      <c r="AS110" s="337"/>
      <c r="AT110" s="337"/>
      <c r="AU110" s="337"/>
      <c r="AV110" s="337"/>
      <c r="AW110" s="337"/>
      <c r="AX110" s="337"/>
      <c r="AY110" s="337"/>
      <c r="AZ110" s="337"/>
      <c r="BA110" s="337"/>
      <c r="BB110" s="337"/>
      <c r="BC110" s="337"/>
      <c r="BD110" s="337"/>
      <c r="BE110" s="337"/>
      <c r="BF110" s="337"/>
      <c r="BG110" s="337"/>
      <c r="BH110" s="337"/>
      <c r="BI110" s="337"/>
      <c r="BJ110" s="468"/>
      <c r="BK110" s="469"/>
      <c r="BL110" s="343"/>
      <c r="BM110" s="343"/>
      <c r="BN110" s="343"/>
      <c r="BO110" s="343"/>
      <c r="BP110" s="343"/>
      <c r="BQ110" s="343"/>
      <c r="BR110" s="343"/>
      <c r="BS110" s="343"/>
      <c r="BT110" s="343"/>
      <c r="BU110" s="343"/>
      <c r="BV110" s="343"/>
      <c r="BW110" s="343"/>
    </row>
    <row r="111" spans="2:75" x14ac:dyDescent="0.25">
      <c r="C111">
        <f>RESULTADO!C2</f>
        <v>744</v>
      </c>
      <c r="D111">
        <f>RESULTADO!D2</f>
        <v>672</v>
      </c>
      <c r="E111">
        <f>RESULTADO!E2</f>
        <v>744</v>
      </c>
      <c r="F111">
        <f>RESULTADO!F2</f>
        <v>720</v>
      </c>
      <c r="G111">
        <f>RESULTADO!G2</f>
        <v>744</v>
      </c>
      <c r="H111">
        <f>RESULTADO!H2</f>
        <v>720</v>
      </c>
      <c r="I111">
        <f>RESULTADO!I2</f>
        <v>744</v>
      </c>
      <c r="J111">
        <f>RESULTADO!J2</f>
        <v>744</v>
      </c>
      <c r="K111">
        <f>RESULTADO!K2</f>
        <v>720</v>
      </c>
      <c r="L111">
        <f>RESULTADO!L2</f>
        <v>744</v>
      </c>
      <c r="M111">
        <f>RESULTADO!M2</f>
        <v>720</v>
      </c>
      <c r="N111" s="430">
        <f>RESULTADO!N2</f>
        <v>744</v>
      </c>
      <c r="O111" s="431">
        <f>RESULTADO!O2</f>
        <v>744</v>
      </c>
      <c r="P111">
        <f>RESULTADO!P2</f>
        <v>672</v>
      </c>
      <c r="Q111">
        <f>RESULTADO!Q2</f>
        <v>744</v>
      </c>
      <c r="R111">
        <f>RESULTADO!R2</f>
        <v>720</v>
      </c>
      <c r="S111">
        <f>RESULTADO!S2</f>
        <v>744</v>
      </c>
      <c r="T111">
        <f>RESULTADO!T2</f>
        <v>720</v>
      </c>
      <c r="U111">
        <f>RESULTADO!U2</f>
        <v>744</v>
      </c>
      <c r="V111">
        <f>RESULTADO!V2</f>
        <v>744</v>
      </c>
      <c r="W111">
        <f>RESULTADO!W2</f>
        <v>720</v>
      </c>
      <c r="X111">
        <f>RESULTADO!X2</f>
        <v>744</v>
      </c>
      <c r="Y111">
        <f>RESULTADO!Y2</f>
        <v>720</v>
      </c>
      <c r="Z111" s="430">
        <f>RESULTADO!Z2</f>
        <v>744</v>
      </c>
      <c r="AA111" s="431">
        <f>RESULTADO!AA2</f>
        <v>744</v>
      </c>
      <c r="AB111">
        <f>RESULTADO!AB2</f>
        <v>696</v>
      </c>
      <c r="AC111">
        <f>RESULTADO!AC2</f>
        <v>744</v>
      </c>
      <c r="AD111">
        <f>RESULTADO!AD2</f>
        <v>720</v>
      </c>
      <c r="AE111">
        <f>RESULTADO!AE2</f>
        <v>744</v>
      </c>
      <c r="AF111">
        <f>RESULTADO!AF2</f>
        <v>720</v>
      </c>
      <c r="AG111">
        <f>RESULTADO!AG2</f>
        <v>744</v>
      </c>
      <c r="AH111">
        <f>RESULTADO!AH2</f>
        <v>744</v>
      </c>
      <c r="AI111">
        <f>RESULTADO!AI2</f>
        <v>720</v>
      </c>
      <c r="AJ111">
        <f>RESULTADO!AJ2</f>
        <v>744</v>
      </c>
      <c r="AK111">
        <f>RESULTADO!AK2</f>
        <v>720</v>
      </c>
      <c r="AL111" s="430">
        <f>RESULTADO!AL2</f>
        <v>744</v>
      </c>
      <c r="AM111" s="431">
        <f>RESULTADO!AM2</f>
        <v>744</v>
      </c>
      <c r="AN111">
        <f>RESULTADO!AN2</f>
        <v>672</v>
      </c>
      <c r="AO111">
        <f>RESULTADO!AO2</f>
        <v>744</v>
      </c>
      <c r="AP111">
        <f>RESULTADO!AP2</f>
        <v>720</v>
      </c>
      <c r="AQ111">
        <f>RESULTADO!AQ2</f>
        <v>744</v>
      </c>
      <c r="AR111">
        <f>RESULTADO!AR2</f>
        <v>720</v>
      </c>
      <c r="AS111">
        <f>RESULTADO!AS2</f>
        <v>744</v>
      </c>
      <c r="AT111">
        <f>RESULTADO!AT2</f>
        <v>744</v>
      </c>
      <c r="AU111">
        <f>RESULTADO!AU2</f>
        <v>720</v>
      </c>
      <c r="AV111">
        <f>RESULTADO!AV2</f>
        <v>744</v>
      </c>
      <c r="AW111">
        <f>RESULTADO!AW2</f>
        <v>720</v>
      </c>
      <c r="AX111" s="430">
        <f>RESULTADO!AX2</f>
        <v>744</v>
      </c>
      <c r="AY111" s="431">
        <f>RESULTADO!AY2</f>
        <v>744</v>
      </c>
      <c r="AZ111">
        <f>RESULTADO!AZ2</f>
        <v>672</v>
      </c>
      <c r="BA111">
        <f>RESULTADO!BA2</f>
        <v>744</v>
      </c>
      <c r="BB111">
        <f>RESULTADO!BB2</f>
        <v>720</v>
      </c>
      <c r="BC111">
        <f>RESULTADO!BC2</f>
        <v>744</v>
      </c>
      <c r="BD111">
        <f>RESULTADO!BD2</f>
        <v>720</v>
      </c>
      <c r="BE111">
        <f>RESULTADO!BE2</f>
        <v>744</v>
      </c>
      <c r="BF111">
        <f>RESULTADO!BF2</f>
        <v>744</v>
      </c>
      <c r="BG111">
        <f>RESULTADO!BG2</f>
        <v>720</v>
      </c>
      <c r="BH111">
        <f>RESULTADO!BH2</f>
        <v>744</v>
      </c>
      <c r="BI111">
        <f>RESULTADO!BI2</f>
        <v>720</v>
      </c>
      <c r="BJ111" s="463">
        <f>RESULTADO!BJ2</f>
        <v>744</v>
      </c>
      <c r="BK111" s="461"/>
    </row>
    <row r="112" spans="2:75" s="476" customFormat="1" ht="16.5" thickBot="1" x14ac:dyDescent="0.3">
      <c r="B112" s="471" t="s">
        <v>345</v>
      </c>
      <c r="C112" s="472">
        <f t="shared" ref="C112:M112" si="135">C5</f>
        <v>44562</v>
      </c>
      <c r="D112" s="472">
        <f t="shared" si="135"/>
        <v>44593</v>
      </c>
      <c r="E112" s="472">
        <f t="shared" si="135"/>
        <v>44621</v>
      </c>
      <c r="F112" s="472">
        <f t="shared" si="135"/>
        <v>44652</v>
      </c>
      <c r="G112" s="472">
        <f t="shared" si="135"/>
        <v>44682</v>
      </c>
      <c r="H112" s="472">
        <f t="shared" si="135"/>
        <v>44713</v>
      </c>
      <c r="I112" s="472">
        <f t="shared" si="135"/>
        <v>44743</v>
      </c>
      <c r="J112" s="472">
        <f t="shared" si="135"/>
        <v>44774</v>
      </c>
      <c r="K112" s="472">
        <f>K5</f>
        <v>44805</v>
      </c>
      <c r="L112" s="472">
        <f t="shared" si="135"/>
        <v>44835</v>
      </c>
      <c r="M112" s="472">
        <f t="shared" si="135"/>
        <v>44866</v>
      </c>
      <c r="N112" s="473">
        <f>N5</f>
        <v>44896</v>
      </c>
      <c r="O112" s="497">
        <f t="shared" ref="O112:BJ112" si="136">O5</f>
        <v>44927</v>
      </c>
      <c r="P112" s="472">
        <f t="shared" si="136"/>
        <v>44958</v>
      </c>
      <c r="Q112" s="472">
        <f t="shared" si="136"/>
        <v>44986</v>
      </c>
      <c r="R112" s="472">
        <f t="shared" si="136"/>
        <v>45017</v>
      </c>
      <c r="S112" s="472">
        <f t="shared" si="136"/>
        <v>45047</v>
      </c>
      <c r="T112" s="472">
        <f t="shared" si="136"/>
        <v>45078</v>
      </c>
      <c r="U112" s="472">
        <f t="shared" si="136"/>
        <v>45108</v>
      </c>
      <c r="V112" s="472">
        <f t="shared" si="136"/>
        <v>45139</v>
      </c>
      <c r="W112" s="472">
        <f t="shared" si="136"/>
        <v>45170</v>
      </c>
      <c r="X112" s="472">
        <f t="shared" si="136"/>
        <v>45200</v>
      </c>
      <c r="Y112" s="472">
        <f t="shared" si="136"/>
        <v>45231</v>
      </c>
      <c r="Z112" s="473">
        <f t="shared" si="136"/>
        <v>45261</v>
      </c>
      <c r="AA112" s="497">
        <f t="shared" si="136"/>
        <v>45292</v>
      </c>
      <c r="AB112" s="472">
        <f t="shared" si="136"/>
        <v>45323</v>
      </c>
      <c r="AC112" s="472">
        <f t="shared" si="136"/>
        <v>45352</v>
      </c>
      <c r="AD112" s="472">
        <f t="shared" si="136"/>
        <v>45383</v>
      </c>
      <c r="AE112" s="472">
        <f t="shared" si="136"/>
        <v>45413</v>
      </c>
      <c r="AF112" s="472">
        <f t="shared" si="136"/>
        <v>45444</v>
      </c>
      <c r="AG112" s="472">
        <f t="shared" si="136"/>
        <v>45474</v>
      </c>
      <c r="AH112" s="472">
        <f t="shared" si="136"/>
        <v>45505</v>
      </c>
      <c r="AI112" s="472">
        <f t="shared" si="136"/>
        <v>45536</v>
      </c>
      <c r="AJ112" s="472">
        <f t="shared" si="136"/>
        <v>45566</v>
      </c>
      <c r="AK112" s="472">
        <f t="shared" si="136"/>
        <v>45597</v>
      </c>
      <c r="AL112" s="473">
        <f t="shared" si="136"/>
        <v>45627</v>
      </c>
      <c r="AM112" s="497">
        <f t="shared" si="136"/>
        <v>45658</v>
      </c>
      <c r="AN112" s="472">
        <f t="shared" si="136"/>
        <v>45689</v>
      </c>
      <c r="AO112" s="472">
        <f t="shared" si="136"/>
        <v>45717</v>
      </c>
      <c r="AP112" s="472">
        <f t="shared" si="136"/>
        <v>45748</v>
      </c>
      <c r="AQ112" s="472">
        <f t="shared" si="136"/>
        <v>45778</v>
      </c>
      <c r="AR112" s="472">
        <f t="shared" si="136"/>
        <v>45809</v>
      </c>
      <c r="AS112" s="472">
        <f t="shared" si="136"/>
        <v>45839</v>
      </c>
      <c r="AT112" s="472">
        <f t="shared" si="136"/>
        <v>45870</v>
      </c>
      <c r="AU112" s="472">
        <f t="shared" si="136"/>
        <v>45901</v>
      </c>
      <c r="AV112" s="472">
        <f t="shared" si="136"/>
        <v>45931</v>
      </c>
      <c r="AW112" s="472">
        <f t="shared" si="136"/>
        <v>45962</v>
      </c>
      <c r="AX112" s="473">
        <f t="shared" si="136"/>
        <v>45992</v>
      </c>
      <c r="AY112" s="497">
        <f t="shared" si="136"/>
        <v>46023</v>
      </c>
      <c r="AZ112" s="472">
        <f t="shared" si="136"/>
        <v>46054</v>
      </c>
      <c r="BA112" s="472">
        <f t="shared" si="136"/>
        <v>46082</v>
      </c>
      <c r="BB112" s="472">
        <f t="shared" si="136"/>
        <v>46113</v>
      </c>
      <c r="BC112" s="472">
        <f t="shared" si="136"/>
        <v>46143</v>
      </c>
      <c r="BD112" s="472">
        <f t="shared" si="136"/>
        <v>46174</v>
      </c>
      <c r="BE112" s="472">
        <f t="shared" si="136"/>
        <v>46204</v>
      </c>
      <c r="BF112" s="472">
        <f t="shared" si="136"/>
        <v>46235</v>
      </c>
      <c r="BG112" s="472">
        <f t="shared" si="136"/>
        <v>46266</v>
      </c>
      <c r="BH112" s="472">
        <f t="shared" si="136"/>
        <v>46296</v>
      </c>
      <c r="BI112" s="472">
        <f t="shared" si="136"/>
        <v>46327</v>
      </c>
      <c r="BJ112" s="498">
        <f t="shared" si="136"/>
        <v>46357</v>
      </c>
      <c r="BK112" s="474"/>
      <c r="BL112" s="475"/>
      <c r="BM112" s="475"/>
      <c r="BN112" s="475"/>
      <c r="BO112" s="475"/>
      <c r="BP112" s="475"/>
      <c r="BQ112" s="475"/>
      <c r="BR112" s="475"/>
      <c r="BS112" s="475"/>
      <c r="BT112" s="475"/>
      <c r="BU112" s="475"/>
      <c r="BV112" s="475"/>
      <c r="BW112" s="475"/>
    </row>
    <row r="113" spans="2:63" ht="15.75" thickTop="1" x14ac:dyDescent="0.25">
      <c r="B113" s="84" t="s">
        <v>336</v>
      </c>
      <c r="C113" s="82">
        <f>C7</f>
        <v>62.91</v>
      </c>
      <c r="D113" s="82">
        <f t="shared" ref="D113:Z113" si="137">D7</f>
        <v>55.7</v>
      </c>
      <c r="E113" s="82">
        <f t="shared" si="137"/>
        <v>55.7</v>
      </c>
      <c r="F113" s="82">
        <f t="shared" si="137"/>
        <v>55.7</v>
      </c>
      <c r="G113" s="82">
        <f t="shared" si="137"/>
        <v>55.7</v>
      </c>
      <c r="H113" s="82">
        <f t="shared" si="137"/>
        <v>55.71</v>
      </c>
      <c r="I113" s="82">
        <f t="shared" si="137"/>
        <v>66.319999999999993</v>
      </c>
      <c r="J113" s="82">
        <f>J7</f>
        <v>76.900000000000006</v>
      </c>
      <c r="K113" s="82">
        <f>K7</f>
        <v>56.08</v>
      </c>
      <c r="L113" s="82">
        <f t="shared" si="137"/>
        <v>55.7</v>
      </c>
      <c r="M113" s="82">
        <f t="shared" si="137"/>
        <v>55.7</v>
      </c>
      <c r="N113" s="408">
        <f t="shared" si="137"/>
        <v>55.7</v>
      </c>
      <c r="O113" s="409">
        <f t="shared" si="137"/>
        <v>68.72</v>
      </c>
      <c r="P113" s="82">
        <f t="shared" si="137"/>
        <v>69.25</v>
      </c>
      <c r="Q113" s="82">
        <f t="shared" si="137"/>
        <v>69.3</v>
      </c>
      <c r="R113" s="82">
        <f t="shared" si="137"/>
        <v>69.8</v>
      </c>
      <c r="S113" s="82">
        <f t="shared" si="137"/>
        <v>70.2</v>
      </c>
      <c r="T113" s="82">
        <f t="shared" si="137"/>
        <v>72.400000000000006</v>
      </c>
      <c r="U113" s="82">
        <f t="shared" si="137"/>
        <v>77.150000000000006</v>
      </c>
      <c r="V113" s="82">
        <f t="shared" si="137"/>
        <v>77.150000000000006</v>
      </c>
      <c r="W113" s="82">
        <f t="shared" si="137"/>
        <v>77.150000000000006</v>
      </c>
      <c r="X113" s="82">
        <f t="shared" si="137"/>
        <v>80.45</v>
      </c>
      <c r="Y113" s="82">
        <f t="shared" si="137"/>
        <v>80.45</v>
      </c>
      <c r="Z113" s="408">
        <f t="shared" si="137"/>
        <v>80.45</v>
      </c>
      <c r="AA113" s="409">
        <f>AA7</f>
        <v>100.1</v>
      </c>
      <c r="AB113" s="82">
        <f t="shared" ref="AB113:AG113" si="138">AB7</f>
        <v>100.1</v>
      </c>
      <c r="AC113" s="82">
        <f t="shared" si="138"/>
        <v>100.1</v>
      </c>
      <c r="AD113" s="82">
        <f t="shared" si="138"/>
        <v>100.1</v>
      </c>
      <c r="AE113" s="82">
        <f t="shared" si="138"/>
        <v>100.1</v>
      </c>
      <c r="AF113" s="82">
        <f t="shared" si="138"/>
        <v>100.1</v>
      </c>
      <c r="AG113" s="82">
        <f t="shared" si="138"/>
        <v>100.1</v>
      </c>
      <c r="AH113" s="82">
        <f>AH7</f>
        <v>100.1</v>
      </c>
      <c r="AI113" s="82">
        <f>AI7</f>
        <v>100.1</v>
      </c>
      <c r="AJ113" s="82">
        <f t="shared" ref="AJ113:AX113" si="139">AJ7</f>
        <v>100.1</v>
      </c>
      <c r="AK113" s="82">
        <f t="shared" si="139"/>
        <v>100.1</v>
      </c>
      <c r="AL113" s="408">
        <f t="shared" si="139"/>
        <v>100.1</v>
      </c>
      <c r="AM113" s="409">
        <f t="shared" si="139"/>
        <v>112</v>
      </c>
      <c r="AN113" s="82">
        <f t="shared" si="139"/>
        <v>112</v>
      </c>
      <c r="AO113" s="82">
        <f t="shared" si="139"/>
        <v>112</v>
      </c>
      <c r="AP113" s="82">
        <f t="shared" si="139"/>
        <v>112</v>
      </c>
      <c r="AQ113" s="82">
        <f t="shared" si="139"/>
        <v>112</v>
      </c>
      <c r="AR113" s="82">
        <f t="shared" si="139"/>
        <v>112</v>
      </c>
      <c r="AS113" s="82">
        <f t="shared" si="139"/>
        <v>112</v>
      </c>
      <c r="AT113" s="82">
        <f t="shared" si="139"/>
        <v>112</v>
      </c>
      <c r="AU113" s="82">
        <f t="shared" si="139"/>
        <v>112</v>
      </c>
      <c r="AV113" s="82">
        <f t="shared" si="139"/>
        <v>112</v>
      </c>
      <c r="AW113" s="82">
        <f t="shared" si="139"/>
        <v>112</v>
      </c>
      <c r="AX113" s="408">
        <f t="shared" si="139"/>
        <v>112</v>
      </c>
      <c r="AY113" s="409">
        <f t="shared" ref="AY113:BJ113" si="140">AY7</f>
        <v>140.5</v>
      </c>
      <c r="AZ113" s="82">
        <f t="shared" si="140"/>
        <v>140.5</v>
      </c>
      <c r="BA113" s="82">
        <f t="shared" si="140"/>
        <v>140.5</v>
      </c>
      <c r="BB113" s="82">
        <f t="shared" si="140"/>
        <v>140.5</v>
      </c>
      <c r="BC113" s="82">
        <f t="shared" si="140"/>
        <v>140.5</v>
      </c>
      <c r="BD113" s="82">
        <f t="shared" si="140"/>
        <v>140.5</v>
      </c>
      <c r="BE113" s="82">
        <f t="shared" si="140"/>
        <v>140.5</v>
      </c>
      <c r="BF113" s="82">
        <f t="shared" si="140"/>
        <v>140.5</v>
      </c>
      <c r="BG113" s="82">
        <f t="shared" si="140"/>
        <v>140.5</v>
      </c>
      <c r="BH113" s="82">
        <f t="shared" si="140"/>
        <v>140.5</v>
      </c>
      <c r="BI113" s="82">
        <f t="shared" si="140"/>
        <v>140.5</v>
      </c>
      <c r="BJ113" s="81">
        <f t="shared" si="140"/>
        <v>140.5</v>
      </c>
      <c r="BK113" s="461"/>
    </row>
    <row r="114" spans="2:63" x14ac:dyDescent="0.25">
      <c r="B114" s="85" t="s">
        <v>337</v>
      </c>
      <c r="C114" s="82">
        <f>C8</f>
        <v>62.91</v>
      </c>
      <c r="D114" s="82">
        <f t="shared" ref="D114:Z114" si="141">D8</f>
        <v>55.7</v>
      </c>
      <c r="E114" s="82">
        <f t="shared" si="141"/>
        <v>55.7</v>
      </c>
      <c r="F114" s="82">
        <f t="shared" si="141"/>
        <v>55.7</v>
      </c>
      <c r="G114" s="82">
        <f t="shared" si="141"/>
        <v>55.7</v>
      </c>
      <c r="H114" s="82">
        <f t="shared" si="141"/>
        <v>55.71</v>
      </c>
      <c r="I114" s="82">
        <f t="shared" si="141"/>
        <v>66.319999999999993</v>
      </c>
      <c r="J114" s="82">
        <f t="shared" si="141"/>
        <v>76.900000000000006</v>
      </c>
      <c r="K114" s="82">
        <f t="shared" si="141"/>
        <v>56.08</v>
      </c>
      <c r="L114" s="82">
        <f t="shared" si="141"/>
        <v>55.7</v>
      </c>
      <c r="M114" s="82">
        <f t="shared" si="141"/>
        <v>55.7</v>
      </c>
      <c r="N114" s="408">
        <f t="shared" si="141"/>
        <v>55.7</v>
      </c>
      <c r="O114" s="409">
        <f t="shared" si="141"/>
        <v>69</v>
      </c>
      <c r="P114" s="82">
        <f t="shared" si="141"/>
        <v>69.67</v>
      </c>
      <c r="Q114" s="82">
        <f t="shared" si="141"/>
        <v>69.67</v>
      </c>
      <c r="R114" s="82">
        <f t="shared" si="141"/>
        <v>70.33</v>
      </c>
      <c r="S114" s="82">
        <f t="shared" si="141"/>
        <v>71</v>
      </c>
      <c r="T114" s="82">
        <f>T8</f>
        <v>75</v>
      </c>
      <c r="U114" s="82">
        <f t="shared" si="141"/>
        <v>79.3</v>
      </c>
      <c r="V114" s="82">
        <f t="shared" si="141"/>
        <v>79.3</v>
      </c>
      <c r="W114" s="82">
        <f t="shared" si="141"/>
        <v>79.3</v>
      </c>
      <c r="X114" s="82">
        <f t="shared" si="141"/>
        <v>79.3</v>
      </c>
      <c r="Y114" s="82">
        <f t="shared" si="141"/>
        <v>79.3</v>
      </c>
      <c r="Z114" s="408">
        <f t="shared" si="141"/>
        <v>79.3</v>
      </c>
      <c r="AA114" s="409">
        <f>AA8</f>
        <v>92.94</v>
      </c>
      <c r="AB114" s="82">
        <f t="shared" ref="AB114:AQ114" si="142">AB8</f>
        <v>92.94</v>
      </c>
      <c r="AC114" s="82">
        <f t="shared" si="142"/>
        <v>92.94</v>
      </c>
      <c r="AD114" s="82">
        <f t="shared" si="142"/>
        <v>92.94</v>
      </c>
      <c r="AE114" s="82">
        <f t="shared" si="142"/>
        <v>92.94</v>
      </c>
      <c r="AF114" s="82">
        <f t="shared" si="142"/>
        <v>92.94</v>
      </c>
      <c r="AG114" s="82">
        <f t="shared" si="142"/>
        <v>104</v>
      </c>
      <c r="AH114" s="82">
        <f t="shared" si="142"/>
        <v>104</v>
      </c>
      <c r="AI114" s="82">
        <f t="shared" si="142"/>
        <v>104</v>
      </c>
      <c r="AJ114" s="82">
        <f t="shared" si="142"/>
        <v>104</v>
      </c>
      <c r="AK114" s="82">
        <f t="shared" si="142"/>
        <v>104</v>
      </c>
      <c r="AL114" s="408">
        <f t="shared" si="142"/>
        <v>104</v>
      </c>
      <c r="AM114" s="409">
        <f t="shared" si="142"/>
        <v>121.33</v>
      </c>
      <c r="AN114" s="82">
        <f t="shared" si="142"/>
        <v>121.33</v>
      </c>
      <c r="AO114" s="82">
        <f t="shared" si="142"/>
        <v>121.33</v>
      </c>
      <c r="AP114" s="82">
        <f t="shared" si="142"/>
        <v>121.33</v>
      </c>
      <c r="AQ114" s="82">
        <f t="shared" si="142"/>
        <v>121.33</v>
      </c>
      <c r="AR114" s="82">
        <f>AR8</f>
        <v>121.33</v>
      </c>
      <c r="AS114" s="82">
        <f t="shared" ref="AS114:BC114" si="143">AS8</f>
        <v>121.33</v>
      </c>
      <c r="AT114" s="82">
        <f t="shared" si="143"/>
        <v>121.33</v>
      </c>
      <c r="AU114" s="82">
        <f t="shared" si="143"/>
        <v>121.33</v>
      </c>
      <c r="AV114" s="82">
        <f t="shared" si="143"/>
        <v>121.33</v>
      </c>
      <c r="AW114" s="82">
        <f t="shared" si="143"/>
        <v>121.33</v>
      </c>
      <c r="AX114" s="408">
        <f t="shared" si="143"/>
        <v>121.33</v>
      </c>
      <c r="AY114" s="409">
        <f t="shared" si="143"/>
        <v>140.5</v>
      </c>
      <c r="AZ114" s="82">
        <f t="shared" si="143"/>
        <v>140.5</v>
      </c>
      <c r="BA114" s="82">
        <f t="shared" si="143"/>
        <v>140.5</v>
      </c>
      <c r="BB114" s="82">
        <f t="shared" si="143"/>
        <v>140.5</v>
      </c>
      <c r="BC114" s="82">
        <f t="shared" si="143"/>
        <v>140.5</v>
      </c>
      <c r="BD114" s="82">
        <f>BD8</f>
        <v>140.5</v>
      </c>
      <c r="BE114" s="82">
        <f t="shared" ref="BE114:BJ114" si="144">BE8</f>
        <v>140.5</v>
      </c>
      <c r="BF114" s="82">
        <f t="shared" si="144"/>
        <v>140.5</v>
      </c>
      <c r="BG114" s="82">
        <f t="shared" si="144"/>
        <v>140.5</v>
      </c>
      <c r="BH114" s="82">
        <f t="shared" si="144"/>
        <v>140.5</v>
      </c>
      <c r="BI114" s="82">
        <f t="shared" si="144"/>
        <v>140.5</v>
      </c>
      <c r="BJ114" s="470">
        <f t="shared" si="144"/>
        <v>140.5</v>
      </c>
      <c r="BK114" s="461"/>
    </row>
    <row r="116" spans="2:63" x14ac:dyDescent="0.25">
      <c r="C116" s="432" t="s">
        <v>25</v>
      </c>
      <c r="D116" s="433" t="s">
        <v>26</v>
      </c>
      <c r="E116" s="433" t="s">
        <v>27</v>
      </c>
      <c r="F116" s="433" t="s">
        <v>28</v>
      </c>
      <c r="G116" s="433" t="s">
        <v>29</v>
      </c>
      <c r="H116" s="433" t="s">
        <v>30</v>
      </c>
      <c r="I116" s="433" t="s">
        <v>31</v>
      </c>
      <c r="J116" s="433" t="s">
        <v>32</v>
      </c>
      <c r="K116" s="433" t="s">
        <v>33</v>
      </c>
    </row>
    <row r="117" spans="2:63" s="476" customFormat="1" ht="38.25" customHeight="1" thickBot="1" x14ac:dyDescent="0.3">
      <c r="B117" s="477" t="s">
        <v>345</v>
      </c>
      <c r="C117" s="478">
        <f>HLOOKUP(C116,Dates!$B$15:$J$16,2,0)</f>
        <v>44896</v>
      </c>
      <c r="D117" s="478">
        <f>HLOOKUP(D116,Dates!$B$15:$J$16,2,0)</f>
        <v>44927</v>
      </c>
      <c r="E117" s="478">
        <f>HLOOKUP(E116,Dates!$B$15:$J$16,2,0)</f>
        <v>44958</v>
      </c>
      <c r="F117" s="478">
        <f>HLOOKUP(F116,Dates!$B$15:$J$16,2,0)</f>
        <v>44986</v>
      </c>
      <c r="G117" s="479" t="str">
        <f>HLOOKUP(G116,Dates!$B$15:$J$16,2,0)</f>
        <v>Abr-Dez 23</v>
      </c>
      <c r="H117" s="479">
        <f>HLOOKUP(H116,Dates!$B$15:$J$16,2,0)</f>
        <v>2024</v>
      </c>
      <c r="I117" s="479">
        <f>HLOOKUP(I116,Dates!$B$15:$J$16,2,0)</f>
        <v>2025</v>
      </c>
      <c r="J117" s="479">
        <f>HLOOKUP(J116,Dates!$B$15:$J$16,2,0)</f>
        <v>2026</v>
      </c>
      <c r="K117" s="480">
        <f>HLOOKUP(K116,Dates!$B$15:$J$16,2,0)</f>
        <v>2027</v>
      </c>
    </row>
    <row r="118" spans="2:63" ht="15.75" thickTop="1" x14ac:dyDescent="0.25">
      <c r="B118" s="84" t="s">
        <v>336</v>
      </c>
      <c r="C118" s="113">
        <f>SUMIFS($C$113:$BJ$113,$C$112:$BJ$112,C$117)</f>
        <v>55.7</v>
      </c>
      <c r="D118" s="113">
        <f t="shared" ref="D118:F118" si="145">SUMIFS($C$113:$BJ$113,$C$112:$BJ$112,D$117)</f>
        <v>68.72</v>
      </c>
      <c r="E118" s="113">
        <f t="shared" si="145"/>
        <v>69.25</v>
      </c>
      <c r="F118" s="113">
        <f t="shared" si="145"/>
        <v>69.3</v>
      </c>
      <c r="G118" s="499">
        <f>IF(LEN(G117)=4,SUMPRODUCT($C$113:$BJ$113,$C$111:$BJ$111,--(YEAR($C$112:$BJ$112)=G$117))/SUMPRODUCT($C$111:$BJ$111,--(YEAR($C$112:$BJ$112)=G$117)),
IF(LEN(G117)=6,SUMIFS($C$113:$BJ$113,$C$112:$BJ$112,G$117),
SUMPRODUCT($C$113:$BJ$113,$C$111:$BJ$111,--(DATE(YEAR($C$112:$BJ$112),MONTH($C$112:$BJ$112),1)&gt;=DATE(YEAR($F$117),MONTH($F$117)+1,1)),--(DATE(YEAR($C$112:$BJ$112),MONTH($C$112:$BJ$112),1)&lt;=DATE(YEAR($F$117),12,1)))/SUMPRODUCT($C$111:$BJ$111,--(DATE(YEAR($C$112:$BJ$112),MONTH($C$112:$BJ$112),1)&gt;=DATE(YEAR($F$117),MONTH($F$117)+1,1)),--(DATE(YEAR($C$112:$BJ$112),MONTH($C$112:$BJ$112),1)&lt;=DATE(YEAR($F$117),12,1)))))</f>
        <v>76.150545454545451</v>
      </c>
      <c r="H118" s="113" cm="1">
        <f t="array" ref="H118">IF(ISNA(H$117),NA(),SUMPRODUCT($C$113:$BJ$113,$C$111:$BJ$111,--(YEAR($C$112:$BJ$112)=H$117)/SUMPRODUCT($C$111:$BJ$111,--(YEAR($C$112:$BJ$112)=H$117))))</f>
        <v>100.10000000000001</v>
      </c>
      <c r="I118" s="113" cm="1">
        <f t="array" ref="I118">IF(ISNA(I$117),NA(),SUMPRODUCT($C$113:$BJ$113,$C$111:$BJ$111,--(YEAR($C$112:$BJ$112)=I$117)/SUMPRODUCT($C$111:$BJ$111,--(YEAR($C$112:$BJ$112)=I$117))))</f>
        <v>112</v>
      </c>
      <c r="J118" s="113" cm="1">
        <f t="array" ref="J118">IF(ISNA(J$117),NA(),SUMPRODUCT($C$113:$BJ$113,$C$111:$BJ$111,--(YEAR($C$112:$BJ$112)=J$117)/SUMPRODUCT($C$111:$BJ$111,--(YEAR($C$112:$BJ$112)=J$117))))</f>
        <v>140.5</v>
      </c>
      <c r="K118" s="112" t="e" cm="1">
        <f t="array" ref="K118">IF(ISNA(K$117),NA(),SUMPRODUCT($C$113:$BJ$113,$C$111:$BJ$111,--(YEAR($C$112:$BJ$112)=K$117)/SUMPRODUCT($C$111:$BJ$111,--(YEAR($C$112:$BJ$112)=K$117))))</f>
        <v>#DIV/0!</v>
      </c>
    </row>
    <row r="119" spans="2:63" x14ac:dyDescent="0.25">
      <c r="B119" s="85" t="s">
        <v>337</v>
      </c>
      <c r="C119" s="113">
        <f>SUMIFS($C$114:$BJ$114,$C$112:$BJ$112,C$117)</f>
        <v>55.7</v>
      </c>
      <c r="D119" s="113">
        <f t="shared" ref="D119:F119" si="146">SUMIFS($C$114:$BJ$114,$C$112:$BJ$112,D$117)</f>
        <v>69</v>
      </c>
      <c r="E119" s="113">
        <f t="shared" si="146"/>
        <v>69.67</v>
      </c>
      <c r="F119" s="113">
        <f t="shared" si="146"/>
        <v>69.67</v>
      </c>
      <c r="G119" s="113">
        <f>IF(LEN(G117)=4,SUMPRODUCT($C$114:$BJ$114,$C$111:$BJ$111,--(YEAR($C$112:$BJ$112)=G$117))/SUMPRODUCT($C$111:$BJ$111,--(YEAR($C$112:$BJ$112)=G$117)),
IF(LEN(G117)=6,SUMIFS($C$114:$BJ$114,$C$112:$BJ$112,G$117),
SUMPRODUCT($C$114:$BJ$114,$C$111:$BJ$111,--(DATE(YEAR($C$112:$BJ$112),MONTH($C$112:$BJ$112),1)&gt;=DATE(YEAR($F$117),MONTH($F$117)+1,1)),--(DATE(YEAR($C$112:$BJ$112),MONTH($C$112:$BJ$112),1)&lt;=DATE(YEAR($F$117),12,1)))/SUMPRODUCT($C$111:$BJ$111,--(DATE(YEAR($C$112:$BJ$112),MONTH($C$112:$BJ$112),1)&gt;=DATE(YEAR($F$117),MONTH($F$117)+1,1)),--(DATE(YEAR($C$112:$BJ$112),MONTH($C$112:$BJ$112),1)&lt;=DATE(YEAR($F$117),12,1)))))</f>
        <v>76.916727272727272</v>
      </c>
      <c r="H119" s="113" cm="1">
        <f t="array" ref="H119">IF(ISNA(H$117),NA(),SUMPRODUCT($C$114:$BJ$114,$C$111:$BJ$111,--(YEAR($C$112:$BJ$112)=H$117)/SUMPRODUCT($C$111:$BJ$111,--(YEAR($C$112:$BJ$112)=H$117))))</f>
        <v>98.500218579234982</v>
      </c>
      <c r="I119" s="113" cm="1">
        <f t="array" ref="I119">IF(ISNA(I$117),NA(),SUMPRODUCT($C$114:$BJ$114,$C$111:$BJ$111,--(YEAR($C$112:$BJ$112)=I$117)/SUMPRODUCT($C$111:$BJ$111,--(YEAR($C$112:$BJ$112)=I$117))))</f>
        <v>121.32999999999998</v>
      </c>
      <c r="J119" s="113" cm="1">
        <f t="array" ref="J119">IF(ISNA(J$117),NA(),SUMPRODUCT($C$114:$BJ$114,$C$111:$BJ$111,--(YEAR($C$112:$BJ$112)=J$117)/SUMPRODUCT($C$111:$BJ$111,--(YEAR($C$112:$BJ$112)=J$117))))</f>
        <v>140.5</v>
      </c>
      <c r="K119" s="112" t="e" cm="1">
        <f t="array" ref="K119">IF(ISNA(K$117),NA(),SUMPRODUCT($C$114:$BJ$114,$C$111:$BJ$111,--(YEAR($C$112:$BJ$112)=K$117)/SUMPRODUCT($C$111:$BJ$111,--(YEAR($C$112:$BJ$112)=K$117))))</f>
        <v>#DIV/0!</v>
      </c>
    </row>
  </sheetData>
  <protectedRanges>
    <protectedRange sqref="C12:BJ14" name="Spread Submercado"/>
    <protectedRange sqref="C17:BJ21" name="Spreads"/>
    <protectedRange sqref="C22:BJ24" name="Spreads_2"/>
    <protectedRange sqref="AD27:BJ30 C27:Z30" name="PLD realizado_3"/>
    <protectedRange sqref="AA27:AC30" name="PLD realizado_1_1"/>
    <protectedRange sqref="C6:BJ7" name="PLD_FPC_1_2"/>
  </protectedRanges>
  <mergeCells count="1">
    <mergeCell ref="B1:Z1"/>
  </mergeCells>
  <conditionalFormatting sqref="C12:Y14">
    <cfRule type="cellIs" dxfId="80" priority="22" operator="lessThan">
      <formula>0</formula>
    </cfRule>
  </conditionalFormatting>
  <conditionalFormatting sqref="AB12:AK14 AN12:AW14">
    <cfRule type="cellIs" dxfId="79" priority="19" operator="lessThan">
      <formula>0</formula>
    </cfRule>
  </conditionalFormatting>
  <conditionalFormatting sqref="Z12:AA14">
    <cfRule type="cellIs" dxfId="78" priority="12" operator="lessThan">
      <formula>0</formula>
    </cfRule>
  </conditionalFormatting>
  <conditionalFormatting sqref="AZ12:BJ14">
    <cfRule type="cellIs" dxfId="77" priority="17" operator="lessThan">
      <formula>0</formula>
    </cfRule>
  </conditionalFormatting>
  <conditionalFormatting sqref="AL12:AM14">
    <cfRule type="cellIs" dxfId="76" priority="11" operator="lessThan">
      <formula>0</formula>
    </cfRule>
  </conditionalFormatting>
  <conditionalFormatting sqref="AX12:AY14">
    <cfRule type="cellIs" dxfId="75" priority="10" operator="lessThan">
      <formula>0</formula>
    </cfRule>
  </conditionalFormatting>
  <conditionalFormatting sqref="BJ7">
    <cfRule type="cellIs" dxfId="74" priority="6" operator="lessThan">
      <formula>0</formula>
    </cfRule>
  </conditionalFormatting>
  <conditionalFormatting sqref="N7">
    <cfRule type="cellIs" dxfId="73" priority="3" operator="lessThan">
      <formula>0</formula>
    </cfRule>
  </conditionalFormatting>
  <conditionalFormatting sqref="U7:Y7">
    <cfRule type="cellIs" dxfId="72" priority="2" operator="lessThan">
      <formula>0</formula>
    </cfRule>
  </conditionalFormatting>
  <conditionalFormatting sqref="Z7">
    <cfRule type="cellIs" dxfId="71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6">
    <tabColor theme="0" tint="-0.499984740745262"/>
  </sheetPr>
  <dimension ref="A1:DT93"/>
  <sheetViews>
    <sheetView showGridLines="0" zoomScale="80" zoomScaleNormal="80" workbookViewId="0">
      <selection activeCell="N6" sqref="N6"/>
    </sheetView>
  </sheetViews>
  <sheetFormatPr defaultRowHeight="15" x14ac:dyDescent="0.25"/>
  <cols>
    <col min="1" max="1" width="1.7109375" customWidth="1"/>
    <col min="2" max="2" width="19.28515625" bestFit="1" customWidth="1"/>
    <col min="64" max="64" width="17.42578125" bestFit="1" customWidth="1"/>
    <col min="65" max="65" width="9.140625" customWidth="1"/>
    <col min="89" max="89" width="9.140625" customWidth="1"/>
  </cols>
  <sheetData>
    <row r="1" spans="1:62" x14ac:dyDescent="0.25">
      <c r="B1" s="791" t="s">
        <v>130</v>
      </c>
      <c r="C1" s="791"/>
      <c r="D1" s="791"/>
      <c r="E1" s="791"/>
      <c r="F1" s="791"/>
      <c r="G1" s="791"/>
      <c r="H1" s="791"/>
      <c r="I1" s="791"/>
      <c r="J1" s="791"/>
      <c r="K1" s="791"/>
      <c r="L1" s="791"/>
      <c r="M1" s="791"/>
      <c r="N1" s="791"/>
      <c r="O1" s="791"/>
      <c r="P1" s="791"/>
      <c r="Q1" s="791"/>
      <c r="R1" s="791"/>
      <c r="S1" s="791"/>
      <c r="T1" s="791"/>
      <c r="U1" s="791"/>
      <c r="V1" s="791"/>
      <c r="W1" s="791"/>
      <c r="X1" s="791"/>
      <c r="Y1" s="791"/>
      <c r="Z1" s="791"/>
      <c r="AA1" s="791"/>
      <c r="AB1" s="791"/>
    </row>
    <row r="2" spans="1:62" ht="15.75" thickBot="1" x14ac:dyDescent="0.3">
      <c r="L2" s="4"/>
      <c r="AK2" s="4"/>
    </row>
    <row r="3" spans="1:62" ht="15.75" thickBot="1" x14ac:dyDescent="0.3">
      <c r="B3" s="2"/>
      <c r="C3" s="274" t="s">
        <v>118</v>
      </c>
      <c r="L3" s="4"/>
      <c r="Y3" s="795" t="s">
        <v>131</v>
      </c>
      <c r="Z3" s="796"/>
      <c r="AA3" s="796"/>
      <c r="AB3" s="797"/>
    </row>
    <row r="4" spans="1:62" x14ac:dyDescent="0.25">
      <c r="B4" s="35" t="s">
        <v>35</v>
      </c>
      <c r="C4" s="9" t="s">
        <v>25</v>
      </c>
      <c r="D4" s="9" t="s">
        <v>26</v>
      </c>
      <c r="E4" s="9" t="s">
        <v>27</v>
      </c>
      <c r="F4" s="9" t="s">
        <v>28</v>
      </c>
      <c r="G4" s="9" t="s">
        <v>29</v>
      </c>
      <c r="H4" s="9" t="s">
        <v>30</v>
      </c>
      <c r="I4" s="9" t="s">
        <v>31</v>
      </c>
      <c r="J4" s="9" t="s">
        <v>32</v>
      </c>
      <c r="K4" s="9" t="s">
        <v>33</v>
      </c>
      <c r="L4" s="4"/>
      <c r="M4" s="35" t="s">
        <v>295</v>
      </c>
      <c r="N4" s="9" t="s">
        <v>25</v>
      </c>
      <c r="O4" s="9" t="s">
        <v>26</v>
      </c>
      <c r="P4" s="9" t="s">
        <v>27</v>
      </c>
      <c r="Q4" s="9" t="s">
        <v>28</v>
      </c>
      <c r="R4" s="9" t="s">
        <v>29</v>
      </c>
      <c r="S4" s="9" t="s">
        <v>30</v>
      </c>
      <c r="T4" s="9" t="s">
        <v>31</v>
      </c>
      <c r="U4" s="9" t="s">
        <v>32</v>
      </c>
      <c r="V4" s="9" t="s">
        <v>33</v>
      </c>
      <c r="X4" s="228" t="s">
        <v>312</v>
      </c>
      <c r="Y4" s="306" t="s">
        <v>286</v>
      </c>
      <c r="Z4" s="267">
        <f>IF(RESULTADO!K150=0,0.00001,IF(RESULTADO!K150&lt;=50%,RESULTADO!K150,(1-RESULTADO!K150)))</f>
        <v>0.05</v>
      </c>
      <c r="AA4" s="270" t="s">
        <v>279</v>
      </c>
      <c r="AB4" s="269">
        <v>6</v>
      </c>
    </row>
    <row r="5" spans="1:62" ht="15.75" thickBot="1" x14ac:dyDescent="0.3">
      <c r="B5" s="9" t="s">
        <v>284</v>
      </c>
      <c r="C5" s="259">
        <f>pREFs!C117</f>
        <v>44896</v>
      </c>
      <c r="D5" s="260">
        <f>pREFs!D117</f>
        <v>44927</v>
      </c>
      <c r="E5" s="260">
        <f>pREFs!E117</f>
        <v>44958</v>
      </c>
      <c r="F5" s="260">
        <f>pREFs!F117</f>
        <v>44986</v>
      </c>
      <c r="G5" s="481" t="str">
        <f>pREFs!G117</f>
        <v>Abr-Dez 23</v>
      </c>
      <c r="H5" s="481">
        <f>pREFs!H117</f>
        <v>2024</v>
      </c>
      <c r="I5" s="481">
        <f>pREFs!I117</f>
        <v>2025</v>
      </c>
      <c r="J5" s="481">
        <f>pREFs!J117</f>
        <v>2026</v>
      </c>
      <c r="K5" s="482">
        <f>pREFs!K117</f>
        <v>2027</v>
      </c>
      <c r="M5" s="9" t="s">
        <v>284</v>
      </c>
      <c r="N5" s="259">
        <f>'VaR-Covar Matrix_FPC BER'!BF5</f>
        <v>44896</v>
      </c>
      <c r="O5" s="260">
        <f>'VaR-Covar Matrix_FPC BER'!BG5</f>
        <v>44927</v>
      </c>
      <c r="P5" s="260">
        <f>'VaR-Covar Matrix_FPC BER'!BH5</f>
        <v>44958</v>
      </c>
      <c r="Q5" s="260">
        <f>'VaR-Covar Matrix_FPC BER'!BI5</f>
        <v>44986</v>
      </c>
      <c r="R5" s="481" t="str">
        <f>'VaR-Covar Matrix_FPC BER'!BJ5</f>
        <v>Abr-Dez 23</v>
      </c>
      <c r="S5" s="481">
        <f>'VaR-Covar Matrix_FPC BER'!BK5</f>
        <v>2024</v>
      </c>
      <c r="T5" s="481">
        <f>'VaR-Covar Matrix_FPC BER'!BL5</f>
        <v>2025</v>
      </c>
      <c r="U5" s="481">
        <f>'VaR-Covar Matrix_FPC BER'!BM5</f>
        <v>2026</v>
      </c>
      <c r="V5" s="482">
        <f>'VaR-Covar Matrix_FPC BER'!BN5</f>
        <v>2027</v>
      </c>
      <c r="X5" s="280" t="s">
        <v>296</v>
      </c>
      <c r="Y5" s="268" t="s">
        <v>132</v>
      </c>
      <c r="Z5" s="269">
        <v>0</v>
      </c>
      <c r="AA5" s="270" t="s">
        <v>136</v>
      </c>
      <c r="AB5" s="269">
        <f>'PAINEL DE CONTROLE'!O9</f>
        <v>55.7</v>
      </c>
    </row>
    <row r="6" spans="1:62" x14ac:dyDescent="0.25">
      <c r="B6" s="9" t="s">
        <v>44</v>
      </c>
      <c r="C6" s="483">
        <f>pREFs!C118</f>
        <v>55.7</v>
      </c>
      <c r="D6" s="484">
        <f>pREFs!D118</f>
        <v>68.72</v>
      </c>
      <c r="E6" s="484">
        <f>pREFs!E118</f>
        <v>69.25</v>
      </c>
      <c r="F6" s="484">
        <f>pREFs!F118</f>
        <v>69.3</v>
      </c>
      <c r="G6" s="484">
        <f>pREFs!G118</f>
        <v>76.150545454545451</v>
      </c>
      <c r="H6" s="484">
        <f>pREFs!H118</f>
        <v>100.10000000000001</v>
      </c>
      <c r="I6" s="484">
        <f>pREFs!I118</f>
        <v>112</v>
      </c>
      <c r="J6" s="484">
        <f>pREFs!J118</f>
        <v>140.5</v>
      </c>
      <c r="K6" s="485" t="e">
        <f>pREFs!K118</f>
        <v>#DIV/0!</v>
      </c>
      <c r="N6" s="264">
        <f>+'VaR-Covar Matrix_FPC BER'!AR38</f>
        <v>0.20973459501264438</v>
      </c>
      <c r="O6" s="265">
        <f>+'VaR-Covar Matrix_FPC BER'!AS38</f>
        <v>0.20583748790329531</v>
      </c>
      <c r="P6" s="265">
        <f>+'VaR-Covar Matrix_FPC BER'!AT38</f>
        <v>0.17226328152511075</v>
      </c>
      <c r="Q6" s="265">
        <f>+'VaR-Covar Matrix_FPC BER'!AU38</f>
        <v>0.14668696965573916</v>
      </c>
      <c r="R6" s="265">
        <f>+'VaR-Covar Matrix_FPC BER'!AV38</f>
        <v>0.11746325145259785</v>
      </c>
      <c r="S6" s="265">
        <f>+'VaR-Covar Matrix_FPC BER'!AW38</f>
        <v>4.0209469540414274E-2</v>
      </c>
      <c r="T6" s="265">
        <f>+'VaR-Covar Matrix_FPC BER'!BA36</f>
        <v>0</v>
      </c>
      <c r="U6" s="265">
        <f>+'VaR-Covar Matrix_FPC BER'!BB36</f>
        <v>0</v>
      </c>
      <c r="V6" s="266">
        <f>+'VaR-Covar Matrix_FPC BER'!BC32</f>
        <v>0</v>
      </c>
      <c r="X6" s="279">
        <f>IF('PAINEL DE CONTROLE'!O17="t-student",1,0)</f>
        <v>1</v>
      </c>
      <c r="Y6" s="271" t="s">
        <v>133</v>
      </c>
      <c r="Z6" s="272">
        <v>1</v>
      </c>
      <c r="AA6" s="273" t="s">
        <v>137</v>
      </c>
      <c r="AB6" s="272">
        <f>'PAINEL DE CONTROLE'!O11</f>
        <v>646.58000000000004</v>
      </c>
    </row>
    <row r="8" spans="1:62" ht="15.75" thickBot="1" x14ac:dyDescent="0.3">
      <c r="B8" s="35" t="s">
        <v>135</v>
      </c>
      <c r="C8" s="45">
        <f>RESULTADO!C3</f>
        <v>44562</v>
      </c>
      <c r="D8" s="45">
        <f>RESULTADO!D3</f>
        <v>44593</v>
      </c>
      <c r="E8" s="45">
        <f>RESULTADO!E3</f>
        <v>44621</v>
      </c>
      <c r="F8" s="45">
        <f>RESULTADO!F3</f>
        <v>44652</v>
      </c>
      <c r="G8" s="45">
        <f>RESULTADO!G3</f>
        <v>44682</v>
      </c>
      <c r="H8" s="45">
        <f>RESULTADO!H3</f>
        <v>44713</v>
      </c>
      <c r="I8" s="45">
        <f>RESULTADO!I3</f>
        <v>44743</v>
      </c>
      <c r="J8" s="45">
        <f>RESULTADO!J3</f>
        <v>44774</v>
      </c>
      <c r="K8" s="45">
        <f>RESULTADO!K3</f>
        <v>44805</v>
      </c>
      <c r="L8" s="45">
        <f>RESULTADO!L3</f>
        <v>44835</v>
      </c>
      <c r="M8" s="45">
        <f>RESULTADO!M3</f>
        <v>44866</v>
      </c>
      <c r="N8" s="434">
        <f>RESULTADO!N3</f>
        <v>44896</v>
      </c>
      <c r="O8" s="435">
        <f>RESULTADO!O3</f>
        <v>44927</v>
      </c>
      <c r="P8" s="45">
        <f>RESULTADO!P3</f>
        <v>44958</v>
      </c>
      <c r="Q8" s="45">
        <f>RESULTADO!Q3</f>
        <v>44986</v>
      </c>
      <c r="R8" s="45">
        <f>RESULTADO!R3</f>
        <v>45017</v>
      </c>
      <c r="S8" s="45">
        <f>RESULTADO!S3</f>
        <v>45047</v>
      </c>
      <c r="T8" s="45">
        <f>RESULTADO!T3</f>
        <v>45078</v>
      </c>
      <c r="U8" s="45">
        <f>RESULTADO!U3</f>
        <v>45108</v>
      </c>
      <c r="V8" s="45">
        <f>RESULTADO!V3</f>
        <v>45139</v>
      </c>
      <c r="W8" s="45">
        <f>RESULTADO!W3</f>
        <v>45170</v>
      </c>
      <c r="X8" s="45">
        <f>RESULTADO!X3</f>
        <v>45200</v>
      </c>
      <c r="Y8" s="45">
        <f>RESULTADO!Y3</f>
        <v>45231</v>
      </c>
      <c r="Z8" s="434">
        <f>RESULTADO!Z3</f>
        <v>45261</v>
      </c>
      <c r="AA8" s="435">
        <f>RESULTADO!AA3</f>
        <v>45292</v>
      </c>
      <c r="AB8" s="45">
        <f>RESULTADO!AB3</f>
        <v>45323</v>
      </c>
      <c r="AC8" s="45">
        <f>RESULTADO!AC3</f>
        <v>45352</v>
      </c>
      <c r="AD8" s="45">
        <f>RESULTADO!AD3</f>
        <v>45383</v>
      </c>
      <c r="AE8" s="45">
        <f>RESULTADO!AE3</f>
        <v>45413</v>
      </c>
      <c r="AF8" s="45">
        <f>RESULTADO!AF3</f>
        <v>45444</v>
      </c>
      <c r="AG8" s="45">
        <f>RESULTADO!AG3</f>
        <v>45474</v>
      </c>
      <c r="AH8" s="45">
        <f>RESULTADO!AH3</f>
        <v>45505</v>
      </c>
      <c r="AI8" s="45">
        <f>RESULTADO!AI3</f>
        <v>45536</v>
      </c>
      <c r="AJ8" s="45">
        <f>RESULTADO!AJ3</f>
        <v>45566</v>
      </c>
      <c r="AK8" s="45">
        <f>RESULTADO!AK3</f>
        <v>45597</v>
      </c>
      <c r="AL8" s="434">
        <f>RESULTADO!AL3</f>
        <v>45627</v>
      </c>
      <c r="AM8" s="435">
        <f>RESULTADO!AM3</f>
        <v>45658</v>
      </c>
      <c r="AN8" s="45">
        <f>RESULTADO!AN3</f>
        <v>45689</v>
      </c>
      <c r="AO8" s="45">
        <f>RESULTADO!AO3</f>
        <v>45717</v>
      </c>
      <c r="AP8" s="45">
        <f>RESULTADO!AP3</f>
        <v>45748</v>
      </c>
      <c r="AQ8" s="45">
        <f>RESULTADO!AQ3</f>
        <v>45778</v>
      </c>
      <c r="AR8" s="45">
        <f>RESULTADO!AR3</f>
        <v>45809</v>
      </c>
      <c r="AS8" s="45">
        <f>RESULTADO!AS3</f>
        <v>45839</v>
      </c>
      <c r="AT8" s="45">
        <f>RESULTADO!AT3</f>
        <v>45870</v>
      </c>
      <c r="AU8" s="45">
        <f>RESULTADO!AU3</f>
        <v>45901</v>
      </c>
      <c r="AV8" s="45">
        <f>RESULTADO!AV3</f>
        <v>45931</v>
      </c>
      <c r="AW8" s="45">
        <f>RESULTADO!AW3</f>
        <v>45962</v>
      </c>
      <c r="AX8" s="434">
        <f>RESULTADO!AX3</f>
        <v>45992</v>
      </c>
      <c r="AY8" s="435">
        <f>RESULTADO!AY3</f>
        <v>46023</v>
      </c>
      <c r="AZ8" s="45">
        <f>RESULTADO!AZ3</f>
        <v>46054</v>
      </c>
      <c r="BA8" s="45">
        <f>RESULTADO!BA3</f>
        <v>46082</v>
      </c>
      <c r="BB8" s="45">
        <f>RESULTADO!BB3</f>
        <v>46113</v>
      </c>
      <c r="BC8" s="45">
        <f>RESULTADO!BC3</f>
        <v>46143</v>
      </c>
      <c r="BD8" s="45">
        <f>RESULTADO!BD3</f>
        <v>46174</v>
      </c>
      <c r="BE8" s="45">
        <f>RESULTADO!BE3</f>
        <v>46204</v>
      </c>
      <c r="BF8" s="45">
        <f>RESULTADO!BF3</f>
        <v>46235</v>
      </c>
      <c r="BG8" s="45">
        <f>RESULTADO!BG3</f>
        <v>46266</v>
      </c>
      <c r="BH8" s="45">
        <f>RESULTADO!BH3</f>
        <v>46296</v>
      </c>
      <c r="BI8" s="45">
        <f>RESULTADO!BI3</f>
        <v>46327</v>
      </c>
      <c r="BJ8" s="45">
        <f>RESULTADO!BJ3</f>
        <v>46357</v>
      </c>
    </row>
    <row r="9" spans="1:62" x14ac:dyDescent="0.25">
      <c r="B9" s="142" t="s">
        <v>209</v>
      </c>
      <c r="C9" s="46">
        <f>pREFs!C6</f>
        <v>62.91</v>
      </c>
      <c r="D9" s="46">
        <f>pREFs!D6</f>
        <v>55.7</v>
      </c>
      <c r="E9" s="46">
        <f>pREFs!E6</f>
        <v>55.7</v>
      </c>
      <c r="F9" s="46">
        <f>pREFs!F6</f>
        <v>55.7</v>
      </c>
      <c r="G9" s="46">
        <f>pREFs!G6</f>
        <v>55.7</v>
      </c>
      <c r="H9" s="46">
        <f>pREFs!H6</f>
        <v>55.71</v>
      </c>
      <c r="I9" s="46">
        <f>pREFs!I6</f>
        <v>66.319999999999993</v>
      </c>
      <c r="J9" s="46">
        <f>pREFs!J6</f>
        <v>76.900000000000006</v>
      </c>
      <c r="K9" s="46">
        <f>pREFs!K6</f>
        <v>56.08</v>
      </c>
      <c r="L9" s="46">
        <f>pREFs!L6</f>
        <v>55.7</v>
      </c>
      <c r="M9" s="46">
        <f>pREFs!M6</f>
        <v>55.7</v>
      </c>
      <c r="N9" s="436">
        <f>pREFs!N6</f>
        <v>88.695015628195648</v>
      </c>
      <c r="O9" s="437">
        <f>pREFs!O6</f>
        <v>166</v>
      </c>
      <c r="P9" s="46">
        <f>pREFs!P6</f>
        <v>166</v>
      </c>
      <c r="Q9" s="46">
        <f>pREFs!Q6</f>
        <v>166</v>
      </c>
      <c r="R9" s="46">
        <f>pREFs!R6</f>
        <v>166</v>
      </c>
      <c r="S9" s="46">
        <f>pREFs!S6</f>
        <v>166</v>
      </c>
      <c r="T9" s="46">
        <f>pREFs!T6</f>
        <v>166</v>
      </c>
      <c r="U9" s="46">
        <f>pREFs!U6</f>
        <v>166</v>
      </c>
      <c r="V9" s="46">
        <f>pREFs!V6</f>
        <v>166</v>
      </c>
      <c r="W9" s="46">
        <f>pREFs!W6</f>
        <v>166</v>
      </c>
      <c r="X9" s="46">
        <f>pREFs!X6</f>
        <v>166</v>
      </c>
      <c r="Y9" s="46">
        <f>pREFs!Y6</f>
        <v>166</v>
      </c>
      <c r="Z9" s="436">
        <f>pREFs!Z6</f>
        <v>166</v>
      </c>
      <c r="AA9" s="437">
        <f>pREFs!AA6</f>
        <v>153</v>
      </c>
      <c r="AB9" s="46">
        <f>pREFs!AB6</f>
        <v>153</v>
      </c>
      <c r="AC9" s="46">
        <f>pREFs!AC6</f>
        <v>153</v>
      </c>
      <c r="AD9" s="46">
        <f>pREFs!AD6</f>
        <v>153</v>
      </c>
      <c r="AE9" s="46">
        <f>pREFs!AE6</f>
        <v>153</v>
      </c>
      <c r="AF9" s="46">
        <f>pREFs!AF6</f>
        <v>153</v>
      </c>
      <c r="AG9" s="46">
        <f>pREFs!AG6</f>
        <v>153</v>
      </c>
      <c r="AH9" s="46">
        <f>pREFs!AH6</f>
        <v>153</v>
      </c>
      <c r="AI9" s="46">
        <f>pREFs!AI6</f>
        <v>153</v>
      </c>
      <c r="AJ9" s="46">
        <f>pREFs!AJ6</f>
        <v>153</v>
      </c>
      <c r="AK9" s="46">
        <f>pREFs!AK6</f>
        <v>153</v>
      </c>
      <c r="AL9" s="436">
        <f>pREFs!AL6</f>
        <v>153</v>
      </c>
      <c r="AM9" s="437">
        <f>pREFs!AM6</f>
        <v>146</v>
      </c>
      <c r="AN9" s="46">
        <f>pREFs!AN6</f>
        <v>146</v>
      </c>
      <c r="AO9" s="46">
        <f>pREFs!AO6</f>
        <v>146</v>
      </c>
      <c r="AP9" s="46">
        <f>pREFs!AP6</f>
        <v>146</v>
      </c>
      <c r="AQ9" s="46">
        <f>pREFs!AQ6</f>
        <v>146</v>
      </c>
      <c r="AR9" s="46">
        <f>pREFs!AR6</f>
        <v>146</v>
      </c>
      <c r="AS9" s="46">
        <f>pREFs!AS6</f>
        <v>146</v>
      </c>
      <c r="AT9" s="46">
        <f>pREFs!AT6</f>
        <v>146</v>
      </c>
      <c r="AU9" s="46">
        <f>pREFs!AU6</f>
        <v>146</v>
      </c>
      <c r="AV9" s="46">
        <f>pREFs!AV6</f>
        <v>146</v>
      </c>
      <c r="AW9" s="46">
        <f>pREFs!AW6</f>
        <v>146</v>
      </c>
      <c r="AX9" s="436">
        <f>pREFs!AX6</f>
        <v>146</v>
      </c>
      <c r="AY9" s="437">
        <f>pREFs!AY6</f>
        <v>146</v>
      </c>
      <c r="AZ9" s="46">
        <f>pREFs!AZ6</f>
        <v>146</v>
      </c>
      <c r="BA9" s="46">
        <f>pREFs!BA6</f>
        <v>146</v>
      </c>
      <c r="BB9" s="46">
        <f>pREFs!BB6</f>
        <v>146</v>
      </c>
      <c r="BC9" s="46">
        <f>pREFs!BC6</f>
        <v>146</v>
      </c>
      <c r="BD9" s="46">
        <f>pREFs!BD6</f>
        <v>146</v>
      </c>
      <c r="BE9" s="46">
        <f>pREFs!BE6</f>
        <v>146</v>
      </c>
      <c r="BF9" s="46">
        <f>pREFs!BF6</f>
        <v>146</v>
      </c>
      <c r="BG9" s="46">
        <f>pREFs!BG6</f>
        <v>146</v>
      </c>
      <c r="BH9" s="46">
        <f>pREFs!BH6</f>
        <v>146</v>
      </c>
      <c r="BI9" s="46">
        <f>pREFs!BI6</f>
        <v>146</v>
      </c>
      <c r="BJ9" s="143">
        <f>pREFs!BJ6</f>
        <v>146</v>
      </c>
    </row>
    <row r="10" spans="1:62" x14ac:dyDescent="0.25">
      <c r="B10" s="142" t="s">
        <v>207</v>
      </c>
      <c r="C10" s="50">
        <f>IF($X$6=0,IF(pREFs!C7=0,0,IF((pREFs!C7*C12*(_xlfn.NORM.INV($Z$4,$Z$5,$Z$6))+pREFs!C7)&lt;$AB$5,$AB$5,IF((pREFs!C7*C12*(_xlfn.NORM.INV($Z$4,$Z$5,$Z$6))+pREFs!C7)&gt;$AB$6,$AB$6,(pREFs!C7*C12*(_xlfn.NORM.INV($Z$4,$Z$5,$Z$6))+pREFs!C7)))),IF($X$6=1,IF(pREFs!C7=0,0,IF((pREFs!C7*C12*(_xlfn.T.INV($Z$4,$AB$4))+pREFs!C7)&lt;$AB$5,$AB$5,IF((pREFs!C7*C12*(_xlfn.T.INV($Z$4,$AB$4))+pREFs!C7)&gt;$AB$6,$AB$6,(pREFs!C7*C12*(_xlfn.T.INV($Z$4,$AB$4))+pREFs!C7))))))</f>
        <v>62.91</v>
      </c>
      <c r="D10" s="46">
        <f>IF($X$6=0,IF(pREFs!D7=0,0,IF((pREFs!D7*D12*(_xlfn.NORM.INV($Z$4,$Z$5,$Z$6))+pREFs!D7)&lt;$AB$5,$AB$5,IF((pREFs!D7*D12*(_xlfn.NORM.INV($Z$4,$Z$5,$Z$6))+pREFs!D7)&gt;$AB$6,$AB$6,(pREFs!D7*D12*(_xlfn.NORM.INV($Z$4,$Z$5,$Z$6))+pREFs!D7)))),IF($X$6=1,IF(pREFs!D7=0,0,IF((pREFs!D7*D12*(_xlfn.T.INV($Z$4,$AB$4))+pREFs!D7)&lt;$AB$5,$AB$5,IF((pREFs!D7*D12*(_xlfn.T.INV($Z$4,$AB$4))+pREFs!D7)&gt;$AB$6,$AB$6,(pREFs!D7*D12*(_xlfn.T.INV($Z$4,$AB$4))+pREFs!D7))))))</f>
        <v>55.7</v>
      </c>
      <c r="E10" s="46">
        <f>IF($X$6=0,IF(pREFs!E7=0,0,IF((pREFs!E7*E12*(_xlfn.NORM.INV($Z$4,$Z$5,$Z$6))+pREFs!E7)&lt;$AB$5,$AB$5,IF((pREFs!E7*E12*(_xlfn.NORM.INV($Z$4,$Z$5,$Z$6))+pREFs!E7)&gt;$AB$6,$AB$6,(pREFs!E7*E12*(_xlfn.NORM.INV($Z$4,$Z$5,$Z$6))+pREFs!E7)))),IF($X$6=1,IF(pREFs!E7=0,0,IF((pREFs!E7*E12*(_xlfn.T.INV($Z$4,$AB$4))+pREFs!E7)&lt;$AB$5,$AB$5,IF((pREFs!E7*E12*(_xlfn.T.INV($Z$4,$AB$4))+pREFs!E7)&gt;$AB$6,$AB$6,(pREFs!E7*E12*(_xlfn.T.INV($Z$4,$AB$4))+pREFs!E7))))))</f>
        <v>55.7</v>
      </c>
      <c r="F10" s="46">
        <f>IF($X$6=0,IF(pREFs!F7=0,0,IF((pREFs!F7*F12*(_xlfn.NORM.INV($Z$4,$Z$5,$Z$6))+pREFs!F7)&lt;$AB$5,$AB$5,IF((pREFs!F7*F12*(_xlfn.NORM.INV($Z$4,$Z$5,$Z$6))+pREFs!F7)&gt;$AB$6,$AB$6,(pREFs!F7*F12*(_xlfn.NORM.INV($Z$4,$Z$5,$Z$6))+pREFs!F7)))),IF($X$6=1,IF(pREFs!F7=0,0,IF((pREFs!F7*F12*(_xlfn.T.INV($Z$4,$AB$4))+pREFs!F7)&lt;$AB$5,$AB$5,IF((pREFs!F7*F12*(_xlfn.T.INV($Z$4,$AB$4))+pREFs!F7)&gt;$AB$6,$AB$6,(pREFs!F7*F12*(_xlfn.T.INV($Z$4,$AB$4))+pREFs!F7))))))</f>
        <v>55.7</v>
      </c>
      <c r="G10" s="46">
        <f>IF($X$6=0,IF(pREFs!G7=0,0,IF((pREFs!G7*G12*(_xlfn.NORM.INV($Z$4,$Z$5,$Z$6))+pREFs!G7)&lt;$AB$5,$AB$5,IF((pREFs!G7*G12*(_xlfn.NORM.INV($Z$4,$Z$5,$Z$6))+pREFs!G7)&gt;$AB$6,$AB$6,(pREFs!G7*G12*(_xlfn.NORM.INV($Z$4,$Z$5,$Z$6))+pREFs!G7)))),IF($X$6=1,IF(pREFs!G7=0,0,IF((pREFs!G7*G12*(_xlfn.T.INV($Z$4,$AB$4))+pREFs!G7)&lt;$AB$5,$AB$5,IF((pREFs!G7*G12*(_xlfn.T.INV($Z$4,$AB$4))+pREFs!G7)&gt;$AB$6,$AB$6,(pREFs!G7*G12*(_xlfn.T.INV($Z$4,$AB$4))+pREFs!G7))))))</f>
        <v>55.7</v>
      </c>
      <c r="H10" s="46">
        <f>IF($X$6=0,IF(pREFs!H7=0,0,IF((pREFs!H7*H12*(_xlfn.NORM.INV($Z$4,$Z$5,$Z$6))+pREFs!H7)&lt;$AB$5,$AB$5,IF((pREFs!H7*H12*(_xlfn.NORM.INV($Z$4,$Z$5,$Z$6))+pREFs!H7)&gt;$AB$6,$AB$6,(pREFs!H7*H12*(_xlfn.NORM.INV($Z$4,$Z$5,$Z$6))+pREFs!H7)))),IF($X$6=1,IF(pREFs!H7=0,0,IF((pREFs!H7*H12*(_xlfn.T.INV($Z$4,$AB$4))+pREFs!H7)&lt;$AB$5,$AB$5,IF((pREFs!H7*H12*(_xlfn.T.INV($Z$4,$AB$4))+pREFs!H7)&gt;$AB$6,$AB$6,(pREFs!H7*H12*(_xlfn.T.INV($Z$4,$AB$4))+pREFs!H7))))))</f>
        <v>55.71</v>
      </c>
      <c r="I10" s="46">
        <f>IF($X$6=0,IF(pREFs!I7=0,0,IF((pREFs!I7*I12*(_xlfn.NORM.INV($Z$4,$Z$5,$Z$6))+pREFs!I7)&lt;$AB$5,$AB$5,IF((pREFs!I7*I12*(_xlfn.NORM.INV($Z$4,$Z$5,$Z$6))+pREFs!I7)&gt;$AB$6,$AB$6,(pREFs!I7*I12*(_xlfn.NORM.INV($Z$4,$Z$5,$Z$6))+pREFs!I7)))),IF($X$6=1,IF(pREFs!I7=0,0,IF((pREFs!I7*I12*(_xlfn.T.INV($Z$4,$AB$4))+pREFs!I7)&lt;$AB$5,$AB$5,IF((pREFs!I7*I12*(_xlfn.T.INV($Z$4,$AB$4))+pREFs!I7)&gt;$AB$6,$AB$6,(pREFs!I7*I12*(_xlfn.T.INV($Z$4,$AB$4))+pREFs!I7))))))</f>
        <v>66.319999999999993</v>
      </c>
      <c r="J10" s="46">
        <f>IF($X$6=0,IF(pREFs!J7=0,0,IF((pREFs!J7*J12*(_xlfn.NORM.INV($Z$4,$Z$5,$Z$6))+pREFs!J7)&lt;$AB$5,$AB$5,IF((pREFs!J7*J12*(_xlfn.NORM.INV($Z$4,$Z$5,$Z$6))+pREFs!J7)&gt;$AB$6,$AB$6,(pREFs!J7*J12*(_xlfn.NORM.INV($Z$4,$Z$5,$Z$6))+pREFs!J7)))),IF($X$6=1,IF(pREFs!J7=0,0,IF((pREFs!J7*J12*(_xlfn.T.INV($Z$4,$AB$4))+pREFs!J7)&lt;$AB$5,$AB$5,IF((pREFs!J7*J12*(_xlfn.T.INV($Z$4,$AB$4))+pREFs!J7)&gt;$AB$6,$AB$6,(pREFs!J7*J12*(_xlfn.T.INV($Z$4,$AB$4))+pREFs!J7))))))</f>
        <v>76.900000000000006</v>
      </c>
      <c r="K10" s="46">
        <f>IF($X$6=0,IF(pREFs!K7=0,0,IF((pREFs!K7*K12*(_xlfn.NORM.INV($Z$4,$Z$5,$Z$6))+pREFs!K7)&lt;$AB$5,$AB$5,IF((pREFs!K7*K12*(_xlfn.NORM.INV($Z$4,$Z$5,$Z$6))+pREFs!K7)&gt;$AB$6,$AB$6,(pREFs!K7*K12*(_xlfn.NORM.INV($Z$4,$Z$5,$Z$6))+pREFs!K7)))),IF($X$6=1,IF(pREFs!K7=0,0,IF((pREFs!K7*K12*(_xlfn.T.INV($Z$4,$AB$4))+pREFs!K7)&lt;$AB$5,$AB$5,IF((pREFs!K7*K12*(_xlfn.T.INV($Z$4,$AB$4))+pREFs!K7)&gt;$AB$6,$AB$6,(pREFs!K7*K12*(_xlfn.T.INV($Z$4,$AB$4))+pREFs!K7))))))</f>
        <v>56.08</v>
      </c>
      <c r="L10" s="46">
        <f>IF($X$6=0,IF(pREFs!L7=0,0,IF((pREFs!L7*L12*(_xlfn.NORM.INV($Z$4,$Z$5,$Z$6))+pREFs!L7)&lt;$AB$5,$AB$5,IF((pREFs!L7*L12*(_xlfn.NORM.INV($Z$4,$Z$5,$Z$6))+pREFs!L7)&gt;$AB$6,$AB$6,(pREFs!L7*L12*(_xlfn.NORM.INV($Z$4,$Z$5,$Z$6))+pREFs!L7)))),IF($X$6=1,IF(pREFs!L7=0,0,IF((pREFs!L7*L12*(_xlfn.T.INV($Z$4,$AB$4))+pREFs!L7)&lt;$AB$5,$AB$5,IF((pREFs!L7*L12*(_xlfn.T.INV($Z$4,$AB$4))+pREFs!L7)&gt;$AB$6,$AB$6,(pREFs!L7*L12*(_xlfn.T.INV($Z$4,$AB$4))+pREFs!L7))))))</f>
        <v>55.7</v>
      </c>
      <c r="M10" s="46">
        <f>IF($X$6=0,IF(pREFs!M7=0,0,IF((pREFs!M7*M12*(_xlfn.NORM.INV($Z$4,$Z$5,$Z$6))+pREFs!M7)&lt;$AB$5,$AB$5,IF((pREFs!M7*M12*(_xlfn.NORM.INV($Z$4,$Z$5,$Z$6))+pREFs!M7)&gt;$AB$6,$AB$6,(pREFs!M7*M12*(_xlfn.NORM.INV($Z$4,$Z$5,$Z$6))+pREFs!M7)))),IF($X$6=1,IF(pREFs!M7=0,0,IF((pREFs!M7*M12*(_xlfn.T.INV($Z$4,$AB$4))+pREFs!M7)&lt;$AB$5,$AB$5,IF((pREFs!M7*M12*(_xlfn.T.INV($Z$4,$AB$4))+pREFs!M7)&gt;$AB$6,$AB$6,(pREFs!M7*M12*(_xlfn.T.INV($Z$4,$AB$4))+pREFs!M7))))))</f>
        <v>55.7</v>
      </c>
      <c r="N10" s="436">
        <f>IF($X$6=0,IF(pREFs!N7=0,0,IF((pREFs!N7*N12*(_xlfn.NORM.INV($Z$4,$Z$5,$Z$6))+pREFs!N7)&lt;$AB$5,$AB$5,IF((pREFs!N7*N12*(_xlfn.NORM.INV($Z$4,$Z$5,$Z$6))+pREFs!N7)&gt;$AB$6,$AB$6,(pREFs!N7*N12*(_xlfn.NORM.INV($Z$4,$Z$5,$Z$6))+pREFs!N7)))),IF($X$6=1,IF(pREFs!N7=0,0,IF((pREFs!N7*N12*(_xlfn.T.INV($Z$4,$AB$4))+pREFs!N7)&lt;$AB$5,$AB$5,IF((pREFs!N7*N12*(_xlfn.T.INV($Z$4,$AB$4))+pREFs!N7)&gt;$AB$6,$AB$6,(pREFs!N7*N12*(_xlfn.T.INV($Z$4,$AB$4))+pREFs!N7))))))</f>
        <v>55.7</v>
      </c>
      <c r="O10" s="437">
        <f>IF($X$6=0,IF(pREFs!O7=0,0,IF((pREFs!O7*O12*(_xlfn.NORM.INV($Z$4,$Z$5,$Z$6))+pREFs!O7)&lt;$AB$5,$AB$5,IF((pREFs!O7*O12*(_xlfn.NORM.INV($Z$4,$Z$5,$Z$6))+pREFs!O7)&gt;$AB$6,$AB$6,(pREFs!O7*O12*(_xlfn.NORM.INV($Z$4,$Z$5,$Z$6))+pREFs!O7)))),IF($X$6=1,IF(pREFs!O7=0,0,IF((pREFs!O7*O12*(_xlfn.T.INV($Z$4,$AB$4))+pREFs!O7)&lt;$AB$5,$AB$5,IF((pREFs!O7*O12*(_xlfn.T.INV($Z$4,$AB$4))+pREFs!O7)&gt;$AB$6,$AB$6,(pREFs!O7*O12*(_xlfn.T.INV($Z$4,$AB$4))+pREFs!O7))))))</f>
        <v>55.7</v>
      </c>
      <c r="P10" s="46">
        <f>IF($X$6=0,IF(pREFs!P7=0,0,IF((pREFs!P7*P12*(_xlfn.NORM.INV($Z$4,$Z$5,$Z$6))+pREFs!P7)&lt;$AB$5,$AB$5,IF((pREFs!P7*P12*(_xlfn.NORM.INV($Z$4,$Z$5,$Z$6))+pREFs!P7)&gt;$AB$6,$AB$6,(pREFs!P7*P12*(_xlfn.NORM.INV($Z$4,$Z$5,$Z$6))+pREFs!P7)))),IF($X$6=1,IF(pREFs!P7=0,0,IF((pREFs!P7*P12*(_xlfn.T.INV($Z$4,$AB$4))+pREFs!P7)&lt;$AB$5,$AB$5,IF((pREFs!P7*P12*(_xlfn.T.INV($Z$4,$AB$4))+pREFs!P7)&gt;$AB$6,$AB$6,(pREFs!P7*P12*(_xlfn.T.INV($Z$4,$AB$4))+pREFs!P7))))))</f>
        <v>55.7</v>
      </c>
      <c r="Q10" s="46">
        <f>IF($X$6=0,IF(pREFs!Q7=0,0,IF((pREFs!Q7*Q12*(_xlfn.NORM.INV($Z$4,$Z$5,$Z$6))+pREFs!Q7)&lt;$AB$5,$AB$5,IF((pREFs!Q7*Q12*(_xlfn.NORM.INV($Z$4,$Z$5,$Z$6))+pREFs!Q7)&gt;$AB$6,$AB$6,(pREFs!Q7*Q12*(_xlfn.NORM.INV($Z$4,$Z$5,$Z$6))+pREFs!Q7)))),IF($X$6=1,IF(pREFs!Q7=0,0,IF((pREFs!Q7*Q12*(_xlfn.T.INV($Z$4,$AB$4))+pREFs!Q7)&lt;$AB$5,$AB$5,IF((pREFs!Q7*Q12*(_xlfn.T.INV($Z$4,$AB$4))+pREFs!Q7)&gt;$AB$6,$AB$6,(pREFs!Q7*Q12*(_xlfn.T.INV($Z$4,$AB$4))+pREFs!Q7))))))</f>
        <v>55.7</v>
      </c>
      <c r="R10" s="46">
        <f>IF($X$6=0,IF(pREFs!R7=0,0,IF((pREFs!R7*R12*(_xlfn.NORM.INV($Z$4,$Z$5,$Z$6))+pREFs!R7)&lt;$AB$5,$AB$5,IF((pREFs!R7*R12*(_xlfn.NORM.INV($Z$4,$Z$5,$Z$6))+pREFs!R7)&gt;$AB$6,$AB$6,(pREFs!R7*R12*(_xlfn.NORM.INV($Z$4,$Z$5,$Z$6))+pREFs!R7)))),IF($X$6=1,IF(pREFs!R7=0,0,IF((pREFs!R7*R12*(_xlfn.T.INV($Z$4,$AB$4))+pREFs!R7)&lt;$AB$5,$AB$5,IF((pREFs!R7*R12*(_xlfn.T.INV($Z$4,$AB$4))+pREFs!R7)&gt;$AB$6,$AB$6,(pREFs!R7*R12*(_xlfn.T.INV($Z$4,$AB$4))+pREFs!R7))))))</f>
        <v>55.7</v>
      </c>
      <c r="S10" s="46">
        <f>IF($X$6=0,IF(pREFs!S7=0,0,IF((pREFs!S7*S12*(_xlfn.NORM.INV($Z$4,$Z$5,$Z$6))+pREFs!S7)&lt;$AB$5,$AB$5,IF((pREFs!S7*S12*(_xlfn.NORM.INV($Z$4,$Z$5,$Z$6))+pREFs!S7)&gt;$AB$6,$AB$6,(pREFs!S7*S12*(_xlfn.NORM.INV($Z$4,$Z$5,$Z$6))+pREFs!S7)))),IF($X$6=1,IF(pREFs!S7=0,0,IF((pREFs!S7*S12*(_xlfn.T.INV($Z$4,$AB$4))+pREFs!S7)&lt;$AB$5,$AB$5,IF((pREFs!S7*S12*(_xlfn.T.INV($Z$4,$AB$4))+pREFs!S7)&gt;$AB$6,$AB$6,(pREFs!S7*S12*(_xlfn.T.INV($Z$4,$AB$4))+pREFs!S7))))))</f>
        <v>55.7</v>
      </c>
      <c r="T10" s="46">
        <f>IF($X$6=0,IF(pREFs!T7=0,0,IF((pREFs!T7*T12*(_xlfn.NORM.INV($Z$4,$Z$5,$Z$6))+pREFs!T7)&lt;$AB$5,$AB$5,IF((pREFs!T7*T12*(_xlfn.NORM.INV($Z$4,$Z$5,$Z$6))+pREFs!T7)&gt;$AB$6,$AB$6,(pREFs!T7*T12*(_xlfn.NORM.INV($Z$4,$Z$5,$Z$6))+pREFs!T7)))),IF($X$6=1,IF(pREFs!T7=0,0,IF((pREFs!T7*T12*(_xlfn.T.INV($Z$4,$AB$4))+pREFs!T7)&lt;$AB$5,$AB$5,IF((pREFs!T7*T12*(_xlfn.T.INV($Z$4,$AB$4))+pREFs!T7)&gt;$AB$6,$AB$6,(pREFs!T7*T12*(_xlfn.T.INV($Z$4,$AB$4))+pREFs!T7))))))</f>
        <v>55.874535369068141</v>
      </c>
      <c r="U10" s="46">
        <f>IF($X$6=0,IF(pREFs!U7=0,0,IF((pREFs!U7*U12*(_xlfn.NORM.INV($Z$4,$Z$5,$Z$6))+pREFs!U7)&lt;$AB$5,$AB$5,IF((pREFs!U7*U12*(_xlfn.NORM.INV($Z$4,$Z$5,$Z$6))+pREFs!U7)&gt;$AB$6,$AB$6,(pREFs!U7*U12*(_xlfn.NORM.INV($Z$4,$Z$5,$Z$6))+pREFs!U7)))),IF($X$6=1,IF(pREFs!U7=0,0,IF((pREFs!U7*U12*(_xlfn.T.INV($Z$4,$AB$4))+pREFs!U7)&lt;$AB$5,$AB$5,IF((pREFs!U7*U12*(_xlfn.T.INV($Z$4,$AB$4))+pREFs!U7)&gt;$AB$6,$AB$6,(pREFs!U7*U12*(_xlfn.T.INV($Z$4,$AB$4))+pREFs!U7))))))</f>
        <v>59.54033706800562</v>
      </c>
      <c r="V10" s="46">
        <f>IF($X$6=0,IF(pREFs!V7=0,0,IF((pREFs!V7*V12*(_xlfn.NORM.INV($Z$4,$Z$5,$Z$6))+pREFs!V7)&lt;$AB$5,$AB$5,IF((pREFs!V7*V12*(_xlfn.NORM.INV($Z$4,$Z$5,$Z$6))+pREFs!V7)&gt;$AB$6,$AB$6,(pREFs!V7*V12*(_xlfn.NORM.INV($Z$4,$Z$5,$Z$6))+pREFs!V7)))),IF($X$6=1,IF(pREFs!V7=0,0,IF((pREFs!V7*V12*(_xlfn.T.INV($Z$4,$AB$4))+pREFs!V7)&lt;$AB$5,$AB$5,IF((pREFs!V7*V12*(_xlfn.T.INV($Z$4,$AB$4))+pREFs!V7)&gt;$AB$6,$AB$6,(pREFs!V7*V12*(_xlfn.T.INV($Z$4,$AB$4))+pREFs!V7))))))</f>
        <v>59.54033706800562</v>
      </c>
      <c r="W10" s="46">
        <f>IF($X$6=0,IF(pREFs!W7=0,0,IF((pREFs!W7*W12*(_xlfn.NORM.INV($Z$4,$Z$5,$Z$6))+pREFs!W7)&lt;$AB$5,$AB$5,IF((pREFs!W7*W12*(_xlfn.NORM.INV($Z$4,$Z$5,$Z$6))+pREFs!W7)&gt;$AB$6,$AB$6,(pREFs!W7*W12*(_xlfn.NORM.INV($Z$4,$Z$5,$Z$6))+pREFs!W7)))),IF($X$6=1,IF(pREFs!W7=0,0,IF((pREFs!W7*W12*(_xlfn.T.INV($Z$4,$AB$4))+pREFs!W7)&lt;$AB$5,$AB$5,IF((pREFs!W7*W12*(_xlfn.T.INV($Z$4,$AB$4))+pREFs!W7)&gt;$AB$6,$AB$6,(pREFs!W7*W12*(_xlfn.T.INV($Z$4,$AB$4))+pREFs!W7))))))</f>
        <v>59.54033706800562</v>
      </c>
      <c r="X10" s="46">
        <f>IF($X$6=0,IF(pREFs!X7=0,0,IF((pREFs!X7*X12*(_xlfn.NORM.INV($Z$4,$Z$5,$Z$6))+pREFs!X7)&lt;$AB$5,$AB$5,IF((pREFs!X7*X12*(_xlfn.NORM.INV($Z$4,$Z$5,$Z$6))+pREFs!X7)&gt;$AB$6,$AB$6,(pREFs!X7*X12*(_xlfn.NORM.INV($Z$4,$Z$5,$Z$6))+pREFs!X7)))),IF($X$6=1,IF(pREFs!X7=0,0,IF((pREFs!X7*X12*(_xlfn.T.INV($Z$4,$AB$4))+pREFs!X7)&lt;$AB$5,$AB$5,IF((pREFs!X7*X12*(_xlfn.T.INV($Z$4,$AB$4))+pREFs!X7)&gt;$AB$6,$AB$6,(pREFs!X7*X12*(_xlfn.T.INV($Z$4,$AB$4))+pREFs!X7))))))</f>
        <v>62.087104564109552</v>
      </c>
      <c r="Y10" s="46">
        <f>IF($X$6=0,IF(pREFs!Y7=0,0,IF((pREFs!Y7*Y12*(_xlfn.NORM.INV($Z$4,$Z$5,$Z$6))+pREFs!Y7)&lt;$AB$5,$AB$5,IF((pREFs!Y7*Y12*(_xlfn.NORM.INV($Z$4,$Z$5,$Z$6))+pREFs!Y7)&gt;$AB$6,$AB$6,(pREFs!Y7*Y12*(_xlfn.NORM.INV($Z$4,$Z$5,$Z$6))+pREFs!Y7)))),IF($X$6=1,IF(pREFs!Y7=0,0,IF((pREFs!Y7*Y12*(_xlfn.T.INV($Z$4,$AB$4))+pREFs!Y7)&lt;$AB$5,$AB$5,IF((pREFs!Y7*Y12*(_xlfn.T.INV($Z$4,$AB$4))+pREFs!Y7)&gt;$AB$6,$AB$6,(pREFs!Y7*Y12*(_xlfn.T.INV($Z$4,$AB$4))+pREFs!Y7))))))</f>
        <v>62.087104564109552</v>
      </c>
      <c r="Z10" s="436">
        <f>IF($X$6=0,IF(pREFs!Z7=0,0,IF((pREFs!Z7*Z12*(_xlfn.NORM.INV($Z$4,$Z$5,$Z$6))+pREFs!Z7)&lt;$AB$5,$AB$5,IF((pREFs!Z7*Z12*(_xlfn.NORM.INV($Z$4,$Z$5,$Z$6))+pREFs!Z7)&gt;$AB$6,$AB$6,(pREFs!Z7*Z12*(_xlfn.NORM.INV($Z$4,$Z$5,$Z$6))+pREFs!Z7)))),IF($X$6=1,IF(pREFs!Z7=0,0,IF((pREFs!Z7*Z12*(_xlfn.T.INV($Z$4,$AB$4))+pREFs!Z7)&lt;$AB$5,$AB$5,IF((pREFs!Z7*Z12*(_xlfn.T.INV($Z$4,$AB$4))+pREFs!Z7)&gt;$AB$6,$AB$6,(pREFs!Z7*Z12*(_xlfn.T.INV($Z$4,$AB$4))+pREFs!Z7))))))</f>
        <v>62.087104564109552</v>
      </c>
      <c r="AA10" s="437">
        <f>IF($X$6=0,IF(pREFs!AA7=0,0,IF((pREFs!AA7*AA12*(_xlfn.NORM.INV($Z$4,$Z$5,$Z$6))+pREFs!AA7)&lt;$AB$5,$AB$5,IF((pREFs!AA7*AA12*(_xlfn.NORM.INV($Z$4,$Z$5,$Z$6))+pREFs!AA7)&gt;$AB$6,$AB$6,(pREFs!AA7*AA12*(_xlfn.NORM.INV($Z$4,$Z$5,$Z$6))+pREFs!AA7)))),IF($X$6=1,IF(pREFs!AA7=0,0,IF((pREFs!AA7*AA12*(_xlfn.T.INV($Z$4,$AB$4))+pREFs!AA7)&lt;$AB$5,$AB$5,IF((pREFs!AA7*AA12*(_xlfn.T.INV($Z$4,$AB$4))+pREFs!AA7)&gt;$AB$6,$AB$6,(pREFs!AA7*AA12*(_xlfn.T.INV($Z$4,$AB$4))+pREFs!AA7))))))</f>
        <v>92.278761745078526</v>
      </c>
      <c r="AB10" s="46">
        <f>IF($X$6=0,IF(pREFs!AB7=0,0,IF((pREFs!AB7*AB12*(_xlfn.NORM.INV($Z$4,$Z$5,$Z$6))+pREFs!AB7)&lt;$AB$5,$AB$5,IF((pREFs!AB7*AB12*(_xlfn.NORM.INV($Z$4,$Z$5,$Z$6))+pREFs!AB7)&gt;$AB$6,$AB$6,(pREFs!AB7*AB12*(_xlfn.NORM.INV($Z$4,$Z$5,$Z$6))+pREFs!AB7)))),IF($X$6=1,IF(pREFs!AB7=0,0,IF((pREFs!AB7*AB12*(_xlfn.T.INV($Z$4,$AB$4))+pREFs!AB7)&lt;$AB$5,$AB$5,IF((pREFs!AB7*AB12*(_xlfn.T.INV($Z$4,$AB$4))+pREFs!AB7)&gt;$AB$6,$AB$6,(pREFs!AB7*AB12*(_xlfn.T.INV($Z$4,$AB$4))+pREFs!AB7))))))</f>
        <v>92.278761745078526</v>
      </c>
      <c r="AC10" s="46">
        <f>IF($X$6=0,IF(pREFs!AC7=0,0,IF((pREFs!AC7*AC12*(_xlfn.NORM.INV($Z$4,$Z$5,$Z$6))+pREFs!AC7)&lt;$AB$5,$AB$5,IF((pREFs!AC7*AC12*(_xlfn.NORM.INV($Z$4,$Z$5,$Z$6))+pREFs!AC7)&gt;$AB$6,$AB$6,(pREFs!AC7*AC12*(_xlfn.NORM.INV($Z$4,$Z$5,$Z$6))+pREFs!AC7)))),IF($X$6=1,IF(pREFs!AC7=0,0,IF((pREFs!AC7*AC12*(_xlfn.T.INV($Z$4,$AB$4))+pREFs!AC7)&lt;$AB$5,$AB$5,IF((pREFs!AC7*AC12*(_xlfn.T.INV($Z$4,$AB$4))+pREFs!AC7)&gt;$AB$6,$AB$6,(pREFs!AC7*AC12*(_xlfn.T.INV($Z$4,$AB$4))+pREFs!AC7))))))</f>
        <v>92.278761745078526</v>
      </c>
      <c r="AD10" s="46">
        <f>IF($X$6=0,IF(pREFs!AD7=0,0,IF((pREFs!AD7*AD12*(_xlfn.NORM.INV($Z$4,$Z$5,$Z$6))+pREFs!AD7)&lt;$AB$5,$AB$5,IF((pREFs!AD7*AD12*(_xlfn.NORM.INV($Z$4,$Z$5,$Z$6))+pREFs!AD7)&gt;$AB$6,$AB$6,(pREFs!AD7*AD12*(_xlfn.NORM.INV($Z$4,$Z$5,$Z$6))+pREFs!AD7)))),IF($X$6=1,IF(pREFs!AD7=0,0,IF((pREFs!AD7*AD12*(_xlfn.T.INV($Z$4,$AB$4))+pREFs!AD7)&lt;$AB$5,$AB$5,IF((pREFs!AD7*AD12*(_xlfn.T.INV($Z$4,$AB$4))+pREFs!AD7)&gt;$AB$6,$AB$6,(pREFs!AD7*AD12*(_xlfn.T.INV($Z$4,$AB$4))+pREFs!AD7))))))</f>
        <v>92.278761745078526</v>
      </c>
      <c r="AE10" s="46">
        <f>IF($X$6=0,IF(pREFs!AE7=0,0,IF((pREFs!AE7*AE12*(_xlfn.NORM.INV($Z$4,$Z$5,$Z$6))+pREFs!AE7)&lt;$AB$5,$AB$5,IF((pREFs!AE7*AE12*(_xlfn.NORM.INV($Z$4,$Z$5,$Z$6))+pREFs!AE7)&gt;$AB$6,$AB$6,(pREFs!AE7*AE12*(_xlfn.NORM.INV($Z$4,$Z$5,$Z$6))+pREFs!AE7)))),IF($X$6=1,IF(pREFs!AE7=0,0,IF((pREFs!AE7*AE12*(_xlfn.T.INV($Z$4,$AB$4))+pREFs!AE7)&lt;$AB$5,$AB$5,IF((pREFs!AE7*AE12*(_xlfn.T.INV($Z$4,$AB$4))+pREFs!AE7)&gt;$AB$6,$AB$6,(pREFs!AE7*AE12*(_xlfn.T.INV($Z$4,$AB$4))+pREFs!AE7))))))</f>
        <v>92.278761745078526</v>
      </c>
      <c r="AF10" s="46">
        <f>IF($X$6=0,IF(pREFs!AF7=0,0,IF((pREFs!AF7*AF12*(_xlfn.NORM.INV($Z$4,$Z$5,$Z$6))+pREFs!AF7)&lt;$AB$5,$AB$5,IF((pREFs!AF7*AF12*(_xlfn.NORM.INV($Z$4,$Z$5,$Z$6))+pREFs!AF7)&gt;$AB$6,$AB$6,(pREFs!AF7*AF12*(_xlfn.NORM.INV($Z$4,$Z$5,$Z$6))+pREFs!AF7)))),IF($X$6=1,IF(pREFs!AF7=0,0,IF((pREFs!AF7*AF12*(_xlfn.T.INV($Z$4,$AB$4))+pREFs!AF7)&lt;$AB$5,$AB$5,IF((pREFs!AF7*AF12*(_xlfn.T.INV($Z$4,$AB$4))+pREFs!AF7)&gt;$AB$6,$AB$6,(pREFs!AF7*AF12*(_xlfn.T.INV($Z$4,$AB$4))+pREFs!AF7))))))</f>
        <v>92.278761745078526</v>
      </c>
      <c r="AG10" s="46">
        <f>IF($X$6=0,IF(pREFs!AG7=0,0,IF((pREFs!AG7*AG12*(_xlfn.NORM.INV($Z$4,$Z$5,$Z$6))+pREFs!AG7)&lt;$AB$5,$AB$5,IF((pREFs!AG7*AG12*(_xlfn.NORM.INV($Z$4,$Z$5,$Z$6))+pREFs!AG7)&gt;$AB$6,$AB$6,(pREFs!AG7*AG12*(_xlfn.NORM.INV($Z$4,$Z$5,$Z$6))+pREFs!AG7)))),IF($X$6=1,IF(pREFs!AG7=0,0,IF((pREFs!AG7*AG12*(_xlfn.T.INV($Z$4,$AB$4))+pREFs!AG7)&lt;$AB$5,$AB$5,IF((pREFs!AG7*AG12*(_xlfn.T.INV($Z$4,$AB$4))+pREFs!AG7)&gt;$AB$6,$AB$6,(pREFs!AG7*AG12*(_xlfn.T.INV($Z$4,$AB$4))+pREFs!AG7))))))</f>
        <v>92.278761745078526</v>
      </c>
      <c r="AH10" s="46">
        <f>IF($X$6=0,IF(pREFs!AH7=0,0,IF((pREFs!AH7*AH12*(_xlfn.NORM.INV($Z$4,$Z$5,$Z$6))+pREFs!AH7)&lt;$AB$5,$AB$5,IF((pREFs!AH7*AH12*(_xlfn.NORM.INV($Z$4,$Z$5,$Z$6))+pREFs!AH7)&gt;$AB$6,$AB$6,(pREFs!AH7*AH12*(_xlfn.NORM.INV($Z$4,$Z$5,$Z$6))+pREFs!AH7)))),IF($X$6=1,IF(pREFs!AH7=0,0,IF((pREFs!AH7*AH12*(_xlfn.T.INV($Z$4,$AB$4))+pREFs!AH7)&lt;$AB$5,$AB$5,IF((pREFs!AH7*AH12*(_xlfn.T.INV($Z$4,$AB$4))+pREFs!AH7)&gt;$AB$6,$AB$6,(pREFs!AH7*AH12*(_xlfn.T.INV($Z$4,$AB$4))+pREFs!AH7))))))</f>
        <v>92.278761745078526</v>
      </c>
      <c r="AI10" s="46">
        <f>IF($X$6=0,IF(pREFs!AI7=0,0,IF((pREFs!AI7*AI12*(_xlfn.NORM.INV($Z$4,$Z$5,$Z$6))+pREFs!AI7)&lt;$AB$5,$AB$5,IF((pREFs!AI7*AI12*(_xlfn.NORM.INV($Z$4,$Z$5,$Z$6))+pREFs!AI7)&gt;$AB$6,$AB$6,(pREFs!AI7*AI12*(_xlfn.NORM.INV($Z$4,$Z$5,$Z$6))+pREFs!AI7)))),IF($X$6=1,IF(pREFs!AI7=0,0,IF((pREFs!AI7*AI12*(_xlfn.T.INV($Z$4,$AB$4))+pREFs!AI7)&lt;$AB$5,$AB$5,IF((pREFs!AI7*AI12*(_xlfn.T.INV($Z$4,$AB$4))+pREFs!AI7)&gt;$AB$6,$AB$6,(pREFs!AI7*AI12*(_xlfn.T.INV($Z$4,$AB$4))+pREFs!AI7))))))</f>
        <v>92.278761745078526</v>
      </c>
      <c r="AJ10" s="46">
        <f>IF($X$6=0,IF(pREFs!AJ7=0,0,IF((pREFs!AJ7*AJ12*(_xlfn.NORM.INV($Z$4,$Z$5,$Z$6))+pREFs!AJ7)&lt;$AB$5,$AB$5,IF((pREFs!AJ7*AJ12*(_xlfn.NORM.INV($Z$4,$Z$5,$Z$6))+pREFs!AJ7)&gt;$AB$6,$AB$6,(pREFs!AJ7*AJ12*(_xlfn.NORM.INV($Z$4,$Z$5,$Z$6))+pREFs!AJ7)))),IF($X$6=1,IF(pREFs!AJ7=0,0,IF((pREFs!AJ7*AJ12*(_xlfn.T.INV($Z$4,$AB$4))+pREFs!AJ7)&lt;$AB$5,$AB$5,IF((pREFs!AJ7*AJ12*(_xlfn.T.INV($Z$4,$AB$4))+pREFs!AJ7)&gt;$AB$6,$AB$6,(pREFs!AJ7*AJ12*(_xlfn.T.INV($Z$4,$AB$4))+pREFs!AJ7))))))</f>
        <v>92.278761745078526</v>
      </c>
      <c r="AK10" s="46">
        <f>IF($X$6=0,IF(pREFs!AK7=0,0,IF((pREFs!AK7*AK12*(_xlfn.NORM.INV($Z$4,$Z$5,$Z$6))+pREFs!AK7)&lt;$AB$5,$AB$5,IF((pREFs!AK7*AK12*(_xlfn.NORM.INV($Z$4,$Z$5,$Z$6))+pREFs!AK7)&gt;$AB$6,$AB$6,(pREFs!AK7*AK12*(_xlfn.NORM.INV($Z$4,$Z$5,$Z$6))+pREFs!AK7)))),IF($X$6=1,IF(pREFs!AK7=0,0,IF((pREFs!AK7*AK12*(_xlfn.T.INV($Z$4,$AB$4))+pREFs!AK7)&lt;$AB$5,$AB$5,IF((pREFs!AK7*AK12*(_xlfn.T.INV($Z$4,$AB$4))+pREFs!AK7)&gt;$AB$6,$AB$6,(pREFs!AK7*AK12*(_xlfn.T.INV($Z$4,$AB$4))+pREFs!AK7))))))</f>
        <v>92.278761745078526</v>
      </c>
      <c r="AL10" s="436">
        <f>IF($X$6=0,IF(pREFs!AL7=0,0,IF((pREFs!AL7*AL12*(_xlfn.NORM.INV($Z$4,$Z$5,$Z$6))+pREFs!AL7)&lt;$AB$5,$AB$5,IF((pREFs!AL7*AL12*(_xlfn.NORM.INV($Z$4,$Z$5,$Z$6))+pREFs!AL7)&gt;$AB$6,$AB$6,(pREFs!AL7*AL12*(_xlfn.NORM.INV($Z$4,$Z$5,$Z$6))+pREFs!AL7)))),IF($X$6=1,IF(pREFs!AL7=0,0,IF((pREFs!AL7*AL12*(_xlfn.T.INV($Z$4,$AB$4))+pREFs!AL7)&lt;$AB$5,$AB$5,IF((pREFs!AL7*AL12*(_xlfn.T.INV($Z$4,$AB$4))+pREFs!AL7)&gt;$AB$6,$AB$6,(pREFs!AL7*AL12*(_xlfn.T.INV($Z$4,$AB$4))+pREFs!AL7))))))</f>
        <v>92.278761745078526</v>
      </c>
      <c r="AM10" s="437">
        <f>IF($X$6=0,IF(pREFs!AM7=0,0,IF((pREFs!AM7*AM12*(_xlfn.NORM.INV($Z$4,$Z$5,$Z$6))+pREFs!AM7)&lt;$AB$5,$AB$5,IF((pREFs!AM7*AM12*(_xlfn.NORM.INV($Z$4,$Z$5,$Z$6))+pREFs!AM7)&gt;$AB$6,$AB$6,(pREFs!AM7*AM12*(_xlfn.NORM.INV($Z$4,$Z$5,$Z$6))+pREFs!AM7)))),IF($X$6=1,IF(pREFs!AM7=0,0,IF((pREFs!AM7*AM12*(_xlfn.T.INV($Z$4,$AB$4))+pREFs!AM7)&lt;$AB$5,$AB$5,IF((pREFs!AM7*AM12*(_xlfn.T.INV($Z$4,$AB$4))+pREFs!AM7)&gt;$AB$6,$AB$6,(pREFs!AM7*AM12*(_xlfn.T.INV($Z$4,$AB$4))+pREFs!AM7))))))</f>
        <v>112</v>
      </c>
      <c r="AN10" s="46">
        <f>IF($X$6=0,IF(pREFs!AN7=0,0,IF((pREFs!AN7*AN12*(_xlfn.NORM.INV($Z$4,$Z$5,$Z$6))+pREFs!AN7)&lt;$AB$5,$AB$5,IF((pREFs!AN7*AN12*(_xlfn.NORM.INV($Z$4,$Z$5,$Z$6))+pREFs!AN7)&gt;$AB$6,$AB$6,(pREFs!AN7*AN12*(_xlfn.NORM.INV($Z$4,$Z$5,$Z$6))+pREFs!AN7)))),IF($X$6=1,IF(pREFs!AN7=0,0,IF((pREFs!AN7*AN12*(_xlfn.T.INV($Z$4,$AB$4))+pREFs!AN7)&lt;$AB$5,$AB$5,IF((pREFs!AN7*AN12*(_xlfn.T.INV($Z$4,$AB$4))+pREFs!AN7)&gt;$AB$6,$AB$6,(pREFs!AN7*AN12*(_xlfn.T.INV($Z$4,$AB$4))+pREFs!AN7))))))</f>
        <v>112</v>
      </c>
      <c r="AO10" s="46">
        <f>IF($X$6=0,IF(pREFs!AO7=0,0,IF((pREFs!AO7*AO12*(_xlfn.NORM.INV($Z$4,$Z$5,$Z$6))+pREFs!AO7)&lt;$AB$5,$AB$5,IF((pREFs!AO7*AO12*(_xlfn.NORM.INV($Z$4,$Z$5,$Z$6))+pREFs!AO7)&gt;$AB$6,$AB$6,(pREFs!AO7*AO12*(_xlfn.NORM.INV($Z$4,$Z$5,$Z$6))+pREFs!AO7)))),IF($X$6=1,IF(pREFs!AO7=0,0,IF((pREFs!AO7*AO12*(_xlfn.T.INV($Z$4,$AB$4))+pREFs!AO7)&lt;$AB$5,$AB$5,IF((pREFs!AO7*AO12*(_xlfn.T.INV($Z$4,$AB$4))+pREFs!AO7)&gt;$AB$6,$AB$6,(pREFs!AO7*AO12*(_xlfn.T.INV($Z$4,$AB$4))+pREFs!AO7))))))</f>
        <v>112</v>
      </c>
      <c r="AP10" s="46">
        <f>IF($X$6=0,IF(pREFs!AP7=0,0,IF((pREFs!AP7*AP12*(_xlfn.NORM.INV($Z$4,$Z$5,$Z$6))+pREFs!AP7)&lt;$AB$5,$AB$5,IF((pREFs!AP7*AP12*(_xlfn.NORM.INV($Z$4,$Z$5,$Z$6))+pREFs!AP7)&gt;$AB$6,$AB$6,(pREFs!AP7*AP12*(_xlfn.NORM.INV($Z$4,$Z$5,$Z$6))+pREFs!AP7)))),IF($X$6=1,IF(pREFs!AP7=0,0,IF((pREFs!AP7*AP12*(_xlfn.T.INV($Z$4,$AB$4))+pREFs!AP7)&lt;$AB$5,$AB$5,IF((pREFs!AP7*AP12*(_xlfn.T.INV($Z$4,$AB$4))+pREFs!AP7)&gt;$AB$6,$AB$6,(pREFs!AP7*AP12*(_xlfn.T.INV($Z$4,$AB$4))+pREFs!AP7))))))</f>
        <v>112</v>
      </c>
      <c r="AQ10" s="46">
        <f>IF($X$6=0,IF(pREFs!AQ7=0,0,IF((pREFs!AQ7*AQ12*(_xlfn.NORM.INV($Z$4,$Z$5,$Z$6))+pREFs!AQ7)&lt;$AB$5,$AB$5,IF((pREFs!AQ7*AQ12*(_xlfn.NORM.INV($Z$4,$Z$5,$Z$6))+pREFs!AQ7)&gt;$AB$6,$AB$6,(pREFs!AQ7*AQ12*(_xlfn.NORM.INV($Z$4,$Z$5,$Z$6))+pREFs!AQ7)))),IF($X$6=1,IF(pREFs!AQ7=0,0,IF((pREFs!AQ7*AQ12*(_xlfn.T.INV($Z$4,$AB$4))+pREFs!AQ7)&lt;$AB$5,$AB$5,IF((pREFs!AQ7*AQ12*(_xlfn.T.INV($Z$4,$AB$4))+pREFs!AQ7)&gt;$AB$6,$AB$6,(pREFs!AQ7*AQ12*(_xlfn.T.INV($Z$4,$AB$4))+pREFs!AQ7))))))</f>
        <v>112</v>
      </c>
      <c r="AR10" s="46">
        <f>IF($X$6=0,IF(pREFs!AR7=0,0,IF((pREFs!AR7*AR12*(_xlfn.NORM.INV($Z$4,$Z$5,$Z$6))+pREFs!AR7)&lt;$AB$5,$AB$5,IF((pREFs!AR7*AR12*(_xlfn.NORM.INV($Z$4,$Z$5,$Z$6))+pREFs!AR7)&gt;$AB$6,$AB$6,(pREFs!AR7*AR12*(_xlfn.NORM.INV($Z$4,$Z$5,$Z$6))+pREFs!AR7)))),IF($X$6=1,IF(pREFs!AR7=0,0,IF((pREFs!AR7*AR12*(_xlfn.T.INV($Z$4,$AB$4))+pREFs!AR7)&lt;$AB$5,$AB$5,IF((pREFs!AR7*AR12*(_xlfn.T.INV($Z$4,$AB$4))+pREFs!AR7)&gt;$AB$6,$AB$6,(pREFs!AR7*AR12*(_xlfn.T.INV($Z$4,$AB$4))+pREFs!AR7))))))</f>
        <v>112</v>
      </c>
      <c r="AS10" s="46">
        <f>IF($X$6=0,IF(pREFs!AS7=0,0,IF((pREFs!AS7*AS12*(_xlfn.NORM.INV($Z$4,$Z$5,$Z$6))+pREFs!AS7)&lt;$AB$5,$AB$5,IF((pREFs!AS7*AS12*(_xlfn.NORM.INV($Z$4,$Z$5,$Z$6))+pREFs!AS7)&gt;$AB$6,$AB$6,(pREFs!AS7*AS12*(_xlfn.NORM.INV($Z$4,$Z$5,$Z$6))+pREFs!AS7)))),IF($X$6=1,IF(pREFs!AS7=0,0,IF((pREFs!AS7*AS12*(_xlfn.T.INV($Z$4,$AB$4))+pREFs!AS7)&lt;$AB$5,$AB$5,IF((pREFs!AS7*AS12*(_xlfn.T.INV($Z$4,$AB$4))+pREFs!AS7)&gt;$AB$6,$AB$6,(pREFs!AS7*AS12*(_xlfn.T.INV($Z$4,$AB$4))+pREFs!AS7))))))</f>
        <v>112</v>
      </c>
      <c r="AT10" s="46">
        <f>IF($X$6=0,IF(pREFs!AT7=0,0,IF((pREFs!AT7*AT12*(_xlfn.NORM.INV($Z$4,$Z$5,$Z$6))+pREFs!AT7)&lt;$AB$5,$AB$5,IF((pREFs!AT7*AT12*(_xlfn.NORM.INV($Z$4,$Z$5,$Z$6))+pREFs!AT7)&gt;$AB$6,$AB$6,(pREFs!AT7*AT12*(_xlfn.NORM.INV($Z$4,$Z$5,$Z$6))+pREFs!AT7)))),IF($X$6=1,IF(pREFs!AT7=0,0,IF((pREFs!AT7*AT12*(_xlfn.T.INV($Z$4,$AB$4))+pREFs!AT7)&lt;$AB$5,$AB$5,IF((pREFs!AT7*AT12*(_xlfn.T.INV($Z$4,$AB$4))+pREFs!AT7)&gt;$AB$6,$AB$6,(pREFs!AT7*AT12*(_xlfn.T.INV($Z$4,$AB$4))+pREFs!AT7))))))</f>
        <v>112</v>
      </c>
      <c r="AU10" s="46">
        <f>IF($X$6=0,IF(pREFs!AU7=0,0,IF((pREFs!AU7*AU12*(_xlfn.NORM.INV($Z$4,$Z$5,$Z$6))+pREFs!AU7)&lt;$AB$5,$AB$5,IF((pREFs!AU7*AU12*(_xlfn.NORM.INV($Z$4,$Z$5,$Z$6))+pREFs!AU7)&gt;$AB$6,$AB$6,(pREFs!AU7*AU12*(_xlfn.NORM.INV($Z$4,$Z$5,$Z$6))+pREFs!AU7)))),IF($X$6=1,IF(pREFs!AU7=0,0,IF((pREFs!AU7*AU12*(_xlfn.T.INV($Z$4,$AB$4))+pREFs!AU7)&lt;$AB$5,$AB$5,IF((pREFs!AU7*AU12*(_xlfn.T.INV($Z$4,$AB$4))+pREFs!AU7)&gt;$AB$6,$AB$6,(pREFs!AU7*AU12*(_xlfn.T.INV($Z$4,$AB$4))+pREFs!AU7))))))</f>
        <v>112</v>
      </c>
      <c r="AV10" s="46">
        <f>IF($X$6=0,IF(pREFs!AV7=0,0,IF((pREFs!AV7*AV12*(_xlfn.NORM.INV($Z$4,$Z$5,$Z$6))+pREFs!AV7)&lt;$AB$5,$AB$5,IF((pREFs!AV7*AV12*(_xlfn.NORM.INV($Z$4,$Z$5,$Z$6))+pREFs!AV7)&gt;$AB$6,$AB$6,(pREFs!AV7*AV12*(_xlfn.NORM.INV($Z$4,$Z$5,$Z$6))+pREFs!AV7)))),IF($X$6=1,IF(pREFs!AV7=0,0,IF((pREFs!AV7*AV12*(_xlfn.T.INV($Z$4,$AB$4))+pREFs!AV7)&lt;$AB$5,$AB$5,IF((pREFs!AV7*AV12*(_xlfn.T.INV($Z$4,$AB$4))+pREFs!AV7)&gt;$AB$6,$AB$6,(pREFs!AV7*AV12*(_xlfn.T.INV($Z$4,$AB$4))+pREFs!AV7))))))</f>
        <v>112</v>
      </c>
      <c r="AW10" s="46">
        <f>IF($X$6=0,IF(pREFs!AW7=0,0,IF((pREFs!AW7*AW12*(_xlfn.NORM.INV($Z$4,$Z$5,$Z$6))+pREFs!AW7)&lt;$AB$5,$AB$5,IF((pREFs!AW7*AW12*(_xlfn.NORM.INV($Z$4,$Z$5,$Z$6))+pREFs!AW7)&gt;$AB$6,$AB$6,(pREFs!AW7*AW12*(_xlfn.NORM.INV($Z$4,$Z$5,$Z$6))+pREFs!AW7)))),IF($X$6=1,IF(pREFs!AW7=0,0,IF((pREFs!AW7*AW12*(_xlfn.T.INV($Z$4,$AB$4))+pREFs!AW7)&lt;$AB$5,$AB$5,IF((pREFs!AW7*AW12*(_xlfn.T.INV($Z$4,$AB$4))+pREFs!AW7)&gt;$AB$6,$AB$6,(pREFs!AW7*AW12*(_xlfn.T.INV($Z$4,$AB$4))+pREFs!AW7))))))</f>
        <v>112</v>
      </c>
      <c r="AX10" s="436">
        <f>IF($X$6=0,IF(pREFs!AX7=0,0,IF((pREFs!AX7*AX12*(_xlfn.NORM.INV($Z$4,$Z$5,$Z$6))+pREFs!AX7)&lt;$AB$5,$AB$5,IF((pREFs!AX7*AX12*(_xlfn.NORM.INV($Z$4,$Z$5,$Z$6))+pREFs!AX7)&gt;$AB$6,$AB$6,(pREFs!AX7*AX12*(_xlfn.NORM.INV($Z$4,$Z$5,$Z$6))+pREFs!AX7)))),IF($X$6=1,IF(pREFs!AX7=0,0,IF((pREFs!AX7*AX12*(_xlfn.T.INV($Z$4,$AB$4))+pREFs!AX7)&lt;$AB$5,$AB$5,IF((pREFs!AX7*AX12*(_xlfn.T.INV($Z$4,$AB$4))+pREFs!AX7)&gt;$AB$6,$AB$6,(pREFs!AX7*AX12*(_xlfn.T.INV($Z$4,$AB$4))+pREFs!AX7))))))</f>
        <v>112</v>
      </c>
      <c r="AY10" s="437">
        <f>IF($X$6=0,IF(pREFs!AY7=0,0,IF((pREFs!AY7*AY12*(_xlfn.NORM.INV($Z$4,$Z$5,$Z$6))+pREFs!AY7)&lt;$AB$5,$AB$5,IF((pREFs!AY7*AY12*(_xlfn.NORM.INV($Z$4,$Z$5,$Z$6))+pREFs!AY7)&gt;$AB$6,$AB$6,(pREFs!AY7*AY12*(_xlfn.NORM.INV($Z$4,$Z$5,$Z$6))+pREFs!AY7)))),IF($X$6=1,IF(pREFs!AY7=0,0,IF((pREFs!AY7*AY12*(_xlfn.T.INV($Z$4,$AB$4))+pREFs!AY7)&lt;$AB$5,$AB$5,IF((pREFs!AY7*AY12*(_xlfn.T.INV($Z$4,$AB$4))+pREFs!AY7)&gt;$AB$6,$AB$6,(pREFs!AY7*AY12*(_xlfn.T.INV($Z$4,$AB$4))+pREFs!AY7))))))</f>
        <v>140.5</v>
      </c>
      <c r="AZ10" s="46">
        <f>IF($X$6=0,IF(pREFs!AZ7=0,0,IF((pREFs!AZ7*AZ12*(_xlfn.NORM.INV($Z$4,$Z$5,$Z$6))+pREFs!AZ7)&lt;$AB$5,$AB$5,IF((pREFs!AZ7*AZ12*(_xlfn.NORM.INV($Z$4,$Z$5,$Z$6))+pREFs!AZ7)&gt;$AB$6,$AB$6,(pREFs!AZ7*AZ12*(_xlfn.NORM.INV($Z$4,$Z$5,$Z$6))+pREFs!AZ7)))),IF($X$6=1,IF(pREFs!AZ7=0,0,IF((pREFs!AZ7*AZ12*(_xlfn.T.INV($Z$4,$AB$4))+pREFs!AZ7)&lt;$AB$5,$AB$5,IF((pREFs!AZ7*AZ12*(_xlfn.T.INV($Z$4,$AB$4))+pREFs!AZ7)&gt;$AB$6,$AB$6,(pREFs!AZ7*AZ12*(_xlfn.T.INV($Z$4,$AB$4))+pREFs!AZ7))))))</f>
        <v>140.5</v>
      </c>
      <c r="BA10" s="46">
        <f>IF($X$6=0,IF(pREFs!BA7=0,0,IF((pREFs!BA7*BA12*(_xlfn.NORM.INV($Z$4,$Z$5,$Z$6))+pREFs!BA7)&lt;$AB$5,$AB$5,IF((pREFs!BA7*BA12*(_xlfn.NORM.INV($Z$4,$Z$5,$Z$6))+pREFs!BA7)&gt;$AB$6,$AB$6,(pREFs!BA7*BA12*(_xlfn.NORM.INV($Z$4,$Z$5,$Z$6))+pREFs!BA7)))),IF($X$6=1,IF(pREFs!BA7=0,0,IF((pREFs!BA7*BA12*(_xlfn.T.INV($Z$4,$AB$4))+pREFs!BA7)&lt;$AB$5,$AB$5,IF((pREFs!BA7*BA12*(_xlfn.T.INV($Z$4,$AB$4))+pREFs!BA7)&gt;$AB$6,$AB$6,(pREFs!BA7*BA12*(_xlfn.T.INV($Z$4,$AB$4))+pREFs!BA7))))))</f>
        <v>140.5</v>
      </c>
      <c r="BB10" s="46">
        <f>IF($X$6=0,IF(pREFs!BB7=0,0,IF((pREFs!BB7*BB12*(_xlfn.NORM.INV($Z$4,$Z$5,$Z$6))+pREFs!BB7)&lt;$AB$5,$AB$5,IF((pREFs!BB7*BB12*(_xlfn.NORM.INV($Z$4,$Z$5,$Z$6))+pREFs!BB7)&gt;$AB$6,$AB$6,(pREFs!BB7*BB12*(_xlfn.NORM.INV($Z$4,$Z$5,$Z$6))+pREFs!BB7)))),IF($X$6=1,IF(pREFs!BB7=0,0,IF((pREFs!BB7*BB12*(_xlfn.T.INV($Z$4,$AB$4))+pREFs!BB7)&lt;$AB$5,$AB$5,IF((pREFs!BB7*BB12*(_xlfn.T.INV($Z$4,$AB$4))+pREFs!BB7)&gt;$AB$6,$AB$6,(pREFs!BB7*BB12*(_xlfn.T.INV($Z$4,$AB$4))+pREFs!BB7))))))</f>
        <v>140.5</v>
      </c>
      <c r="BC10" s="46">
        <f>IF($X$6=0,IF(pREFs!BC7=0,0,IF((pREFs!BC7*BC12*(_xlfn.NORM.INV($Z$4,$Z$5,$Z$6))+pREFs!BC7)&lt;$AB$5,$AB$5,IF((pREFs!BC7*BC12*(_xlfn.NORM.INV($Z$4,$Z$5,$Z$6))+pREFs!BC7)&gt;$AB$6,$AB$6,(pREFs!BC7*BC12*(_xlfn.NORM.INV($Z$4,$Z$5,$Z$6))+pREFs!BC7)))),IF($X$6=1,IF(pREFs!BC7=0,0,IF((pREFs!BC7*BC12*(_xlfn.T.INV($Z$4,$AB$4))+pREFs!BC7)&lt;$AB$5,$AB$5,IF((pREFs!BC7*BC12*(_xlfn.T.INV($Z$4,$AB$4))+pREFs!BC7)&gt;$AB$6,$AB$6,(pREFs!BC7*BC12*(_xlfn.T.INV($Z$4,$AB$4))+pREFs!BC7))))))</f>
        <v>140.5</v>
      </c>
      <c r="BD10" s="46">
        <f>IF($X$6=0,IF(pREFs!BD7=0,0,IF((pREFs!BD7*BD12*(_xlfn.NORM.INV($Z$4,$Z$5,$Z$6))+pREFs!BD7)&lt;$AB$5,$AB$5,IF((pREFs!BD7*BD12*(_xlfn.NORM.INV($Z$4,$Z$5,$Z$6))+pREFs!BD7)&gt;$AB$6,$AB$6,(pREFs!BD7*BD12*(_xlfn.NORM.INV($Z$4,$Z$5,$Z$6))+pREFs!BD7)))),IF($X$6=1,IF(pREFs!BD7=0,0,IF((pREFs!BD7*BD12*(_xlfn.T.INV($Z$4,$AB$4))+pREFs!BD7)&lt;$AB$5,$AB$5,IF((pREFs!BD7*BD12*(_xlfn.T.INV($Z$4,$AB$4))+pREFs!BD7)&gt;$AB$6,$AB$6,(pREFs!BD7*BD12*(_xlfn.T.INV($Z$4,$AB$4))+pREFs!BD7))))))</f>
        <v>140.5</v>
      </c>
      <c r="BE10" s="46">
        <f>IF($X$6=0,IF(pREFs!BE7=0,0,IF((pREFs!BE7*BE12*(_xlfn.NORM.INV($Z$4,$Z$5,$Z$6))+pREFs!BE7)&lt;$AB$5,$AB$5,IF((pREFs!BE7*BE12*(_xlfn.NORM.INV($Z$4,$Z$5,$Z$6))+pREFs!BE7)&gt;$AB$6,$AB$6,(pREFs!BE7*BE12*(_xlfn.NORM.INV($Z$4,$Z$5,$Z$6))+pREFs!BE7)))),IF($X$6=1,IF(pREFs!BE7=0,0,IF((pREFs!BE7*BE12*(_xlfn.T.INV($Z$4,$AB$4))+pREFs!BE7)&lt;$AB$5,$AB$5,IF((pREFs!BE7*BE12*(_xlfn.T.INV($Z$4,$AB$4))+pREFs!BE7)&gt;$AB$6,$AB$6,(pREFs!BE7*BE12*(_xlfn.T.INV($Z$4,$AB$4))+pREFs!BE7))))))</f>
        <v>140.5</v>
      </c>
      <c r="BF10" s="46">
        <f>IF($X$6=0,IF(pREFs!BF7=0,0,IF((pREFs!BF7*BF12*(_xlfn.NORM.INV($Z$4,$Z$5,$Z$6))+pREFs!BF7)&lt;$AB$5,$AB$5,IF((pREFs!BF7*BF12*(_xlfn.NORM.INV($Z$4,$Z$5,$Z$6))+pREFs!BF7)&gt;$AB$6,$AB$6,(pREFs!BF7*BF12*(_xlfn.NORM.INV($Z$4,$Z$5,$Z$6))+pREFs!BF7)))),IF($X$6=1,IF(pREFs!BF7=0,0,IF((pREFs!BF7*BF12*(_xlfn.T.INV($Z$4,$AB$4))+pREFs!BF7)&lt;$AB$5,$AB$5,IF((pREFs!BF7*BF12*(_xlfn.T.INV($Z$4,$AB$4))+pREFs!BF7)&gt;$AB$6,$AB$6,(pREFs!BF7*BF12*(_xlfn.T.INV($Z$4,$AB$4))+pREFs!BF7))))))</f>
        <v>140.5</v>
      </c>
      <c r="BG10" s="46">
        <f>IF($X$6=0,IF(pREFs!BG7=0,0,IF((pREFs!BG7*BG12*(_xlfn.NORM.INV($Z$4,$Z$5,$Z$6))+pREFs!BG7)&lt;$AB$5,$AB$5,IF((pREFs!BG7*BG12*(_xlfn.NORM.INV($Z$4,$Z$5,$Z$6))+pREFs!BG7)&gt;$AB$6,$AB$6,(pREFs!BG7*BG12*(_xlfn.NORM.INV($Z$4,$Z$5,$Z$6))+pREFs!BG7)))),IF($X$6=1,IF(pREFs!BG7=0,0,IF((pREFs!BG7*BG12*(_xlfn.T.INV($Z$4,$AB$4))+pREFs!BG7)&lt;$AB$5,$AB$5,IF((pREFs!BG7*BG12*(_xlfn.T.INV($Z$4,$AB$4))+pREFs!BG7)&gt;$AB$6,$AB$6,(pREFs!BG7*BG12*(_xlfn.T.INV($Z$4,$AB$4))+pREFs!BG7))))))</f>
        <v>140.5</v>
      </c>
      <c r="BH10" s="46">
        <f>IF($X$6=0,IF(pREFs!BH7=0,0,IF((pREFs!BH7*BH12*(_xlfn.NORM.INV($Z$4,$Z$5,$Z$6))+pREFs!BH7)&lt;$AB$5,$AB$5,IF((pREFs!BH7*BH12*(_xlfn.NORM.INV($Z$4,$Z$5,$Z$6))+pREFs!BH7)&gt;$AB$6,$AB$6,(pREFs!BH7*BH12*(_xlfn.NORM.INV($Z$4,$Z$5,$Z$6))+pREFs!BH7)))),IF($X$6=1,IF(pREFs!BH7=0,0,IF((pREFs!BH7*BH12*(_xlfn.T.INV($Z$4,$AB$4))+pREFs!BH7)&lt;$AB$5,$AB$5,IF((pREFs!BH7*BH12*(_xlfn.T.INV($Z$4,$AB$4))+pREFs!BH7)&gt;$AB$6,$AB$6,(pREFs!BH7*BH12*(_xlfn.T.INV($Z$4,$AB$4))+pREFs!BH7))))))</f>
        <v>140.5</v>
      </c>
      <c r="BI10" s="46">
        <f>IF($X$6=0,IF(pREFs!BI7=0,0,IF((pREFs!BI7*BI12*(_xlfn.NORM.INV($Z$4,$Z$5,$Z$6))+pREFs!BI7)&lt;$AB$5,$AB$5,IF((pREFs!BI7*BI12*(_xlfn.NORM.INV($Z$4,$Z$5,$Z$6))+pREFs!BI7)&gt;$AB$6,$AB$6,(pREFs!BI7*BI12*(_xlfn.NORM.INV($Z$4,$Z$5,$Z$6))+pREFs!BI7)))),IF($X$6=1,IF(pREFs!BI7=0,0,IF((pREFs!BI7*BI12*(_xlfn.T.INV($Z$4,$AB$4))+pREFs!BI7)&lt;$AB$5,$AB$5,IF((pREFs!BI7*BI12*(_xlfn.T.INV($Z$4,$AB$4))+pREFs!BI7)&gt;$AB$6,$AB$6,(pREFs!BI7*BI12*(_xlfn.T.INV($Z$4,$AB$4))+pREFs!BI7))))))</f>
        <v>140.5</v>
      </c>
      <c r="BJ10" s="143">
        <f>IF($X$6=0,IF(pREFs!BJ7=0,0,IF((pREFs!BJ7*BJ12*(_xlfn.NORM.INV($Z$4,$Z$5,$Z$6))+pREFs!BJ7)&lt;$AB$5,$AB$5,IF((pREFs!BJ7*BJ12*(_xlfn.NORM.INV($Z$4,$Z$5,$Z$6))+pREFs!BJ7)&gt;$AB$6,$AB$6,(pREFs!BJ7*BJ12*(_xlfn.NORM.INV($Z$4,$Z$5,$Z$6))+pREFs!BJ7)))),IF($X$6=1,IF(pREFs!BJ7=0,0,IF((pREFs!BJ7*BJ12*(_xlfn.T.INV($Z$4,$AB$4))+pREFs!BJ7)&lt;$AB$5,$AB$5,IF((pREFs!BJ7*BJ12*(_xlfn.T.INV($Z$4,$AB$4))+pREFs!BJ7)&gt;$AB$6,$AB$6,(pREFs!BJ7*BJ12*(_xlfn.T.INV($Z$4,$AB$4))+pREFs!BJ7))))))</f>
        <v>140.5</v>
      </c>
    </row>
    <row r="11" spans="1:62" x14ac:dyDescent="0.25">
      <c r="B11" s="47" t="s">
        <v>208</v>
      </c>
      <c r="C11" s="48">
        <f>IF($X$6=0,IF(pREFs!C7=0,0,IF((pREFs!C7*C12*(_xlfn.NORM.INV((1-$Z$4),$Z$5,$Z$6))+pREFs!C7)&lt;$AB$5,$AB$5,IF((pREFs!C7*C12*(_xlfn.NORM.INV((1-$Z$4),$Z$5,$Z$6))+pREFs!C7)&gt;$AB$6,$AB$6,(pREFs!C7*C12*(_xlfn.NORM.INV((1-$Z$4),$Z$5,$Z$6))+pREFs!C7)))),IF($X$6=1,IF(pREFs!C7=0,0,IF((pREFs!C7*C12*(_xlfn.T.INV((1-$Z$4),$AB$4))+pREFs!C7)&lt;$AB$5,$AB$5,IF((pREFs!C7*C12*(_xlfn.T.INV((1-$Z$4),$AB$4))+pREFs!C7)&gt;$AB$6,$AB$6,(pREFs!C7*C12*(_xlfn.T.INV((1-$Z$4),$AB$4))+pREFs!C7))))))</f>
        <v>62.91</v>
      </c>
      <c r="D11" s="48">
        <f>IF($X$6=0,IF(pREFs!D7=0,0,IF((pREFs!D7*D12*(_xlfn.NORM.INV((1-$Z$4),$Z$5,$Z$6))+pREFs!D7)&lt;$AB$5,$AB$5,IF((pREFs!D7*D12*(_xlfn.NORM.INV((1-$Z$4),$Z$5,$Z$6))+pREFs!D7)&gt;$AB$6,$AB$6,(pREFs!D7*D12*(_xlfn.NORM.INV((1-$Z$4),$Z$5,$Z$6))+pREFs!D7)))),IF($X$6=1,IF(pREFs!D7=0,0,IF((pREFs!D7*D12*(_xlfn.T.INV((1-$Z$4),$AB$4))+pREFs!D7)&lt;$AB$5,$AB$5,IF((pREFs!D7*D12*(_xlfn.T.INV((1-$Z$4),$AB$4))+pREFs!D7)&gt;$AB$6,$AB$6,(pREFs!D7*D12*(_xlfn.T.INV((1-$Z$4),$AB$4))+pREFs!D7))))))</f>
        <v>55.7</v>
      </c>
      <c r="E11" s="48">
        <f>IF($X$6=0,IF(pREFs!E7=0,0,IF((pREFs!E7*E12*(_xlfn.NORM.INV((1-$Z$4),$Z$5,$Z$6))+pREFs!E7)&lt;$AB$5,$AB$5,IF((pREFs!E7*E12*(_xlfn.NORM.INV((1-$Z$4),$Z$5,$Z$6))+pREFs!E7)&gt;$AB$6,$AB$6,(pREFs!E7*E12*(_xlfn.NORM.INV((1-$Z$4),$Z$5,$Z$6))+pREFs!E7)))),IF($X$6=1,IF(pREFs!E7=0,0,IF((pREFs!E7*E12*(_xlfn.T.INV((1-$Z$4),$AB$4))+pREFs!E7)&lt;$AB$5,$AB$5,IF((pREFs!E7*E12*(_xlfn.T.INV((1-$Z$4),$AB$4))+pREFs!E7)&gt;$AB$6,$AB$6,(pREFs!E7*E12*(_xlfn.T.INV((1-$Z$4),$AB$4))+pREFs!E7))))))</f>
        <v>55.7</v>
      </c>
      <c r="F11" s="48">
        <f>IF($X$6=0,IF(pREFs!F7=0,0,IF((pREFs!F7*F12*(_xlfn.NORM.INV((1-$Z$4),$Z$5,$Z$6))+pREFs!F7)&lt;$AB$5,$AB$5,IF((pREFs!F7*F12*(_xlfn.NORM.INV((1-$Z$4),$Z$5,$Z$6))+pREFs!F7)&gt;$AB$6,$AB$6,(pREFs!F7*F12*(_xlfn.NORM.INV((1-$Z$4),$Z$5,$Z$6))+pREFs!F7)))),IF($X$6=1,IF(pREFs!F7=0,0,IF((pREFs!F7*F12*(_xlfn.T.INV((1-$Z$4),$AB$4))+pREFs!F7)&lt;$AB$5,$AB$5,IF((pREFs!F7*F12*(_xlfn.T.INV((1-$Z$4),$AB$4))+pREFs!F7)&gt;$AB$6,$AB$6,(pREFs!F7*F12*(_xlfn.T.INV((1-$Z$4),$AB$4))+pREFs!F7))))))</f>
        <v>55.7</v>
      </c>
      <c r="G11" s="48">
        <f>IF($X$6=0,IF(pREFs!G7=0,0,IF((pREFs!G7*G12*(_xlfn.NORM.INV((1-$Z$4),$Z$5,$Z$6))+pREFs!G7)&lt;$AB$5,$AB$5,IF((pREFs!G7*G12*(_xlfn.NORM.INV((1-$Z$4),$Z$5,$Z$6))+pREFs!G7)&gt;$AB$6,$AB$6,(pREFs!G7*G12*(_xlfn.NORM.INV((1-$Z$4),$Z$5,$Z$6))+pREFs!G7)))),IF($X$6=1,IF(pREFs!G7=0,0,IF((pREFs!G7*G12*(_xlfn.T.INV((1-$Z$4),$AB$4))+pREFs!G7)&lt;$AB$5,$AB$5,IF((pREFs!G7*G12*(_xlfn.T.INV((1-$Z$4),$AB$4))+pREFs!G7)&gt;$AB$6,$AB$6,(pREFs!G7*G12*(_xlfn.T.INV((1-$Z$4),$AB$4))+pREFs!G7))))))</f>
        <v>55.7</v>
      </c>
      <c r="H11" s="48">
        <f>IF($X$6=0,IF(pREFs!H7=0,0,IF((pREFs!H7*H12*(_xlfn.NORM.INV((1-$Z$4),$Z$5,$Z$6))+pREFs!H7)&lt;$AB$5,$AB$5,IF((pREFs!H7*H12*(_xlfn.NORM.INV((1-$Z$4),$Z$5,$Z$6))+pREFs!H7)&gt;$AB$6,$AB$6,(pREFs!H7*H12*(_xlfn.NORM.INV((1-$Z$4),$Z$5,$Z$6))+pREFs!H7)))),IF($X$6=1,IF(pREFs!H7=0,0,IF((pREFs!H7*H12*(_xlfn.T.INV((1-$Z$4),$AB$4))+pREFs!H7)&lt;$AB$5,$AB$5,IF((pREFs!H7*H12*(_xlfn.T.INV((1-$Z$4),$AB$4))+pREFs!H7)&gt;$AB$6,$AB$6,(pREFs!H7*H12*(_xlfn.T.INV((1-$Z$4),$AB$4))+pREFs!H7))))))</f>
        <v>55.71</v>
      </c>
      <c r="I11" s="48">
        <f>IF($X$6=0,IF(pREFs!I7=0,0,IF((pREFs!I7*I12*(_xlfn.NORM.INV((1-$Z$4),$Z$5,$Z$6))+pREFs!I7)&lt;$AB$5,$AB$5,IF((pREFs!I7*I12*(_xlfn.NORM.INV((1-$Z$4),$Z$5,$Z$6))+pREFs!I7)&gt;$AB$6,$AB$6,(pREFs!I7*I12*(_xlfn.NORM.INV((1-$Z$4),$Z$5,$Z$6))+pREFs!I7)))),IF($X$6=1,IF(pREFs!I7=0,0,IF((pREFs!I7*I12*(_xlfn.T.INV((1-$Z$4),$AB$4))+pREFs!I7)&lt;$AB$5,$AB$5,IF((pREFs!I7*I12*(_xlfn.T.INV((1-$Z$4),$AB$4))+pREFs!I7)&gt;$AB$6,$AB$6,(pREFs!I7*I12*(_xlfn.T.INV((1-$Z$4),$AB$4))+pREFs!I7))))))</f>
        <v>66.319999999999993</v>
      </c>
      <c r="J11" s="48">
        <f>IF($X$6=0,IF(pREFs!J7=0,0,IF((pREFs!J7*J12*(_xlfn.NORM.INV((1-$Z$4),$Z$5,$Z$6))+pREFs!J7)&lt;$AB$5,$AB$5,IF((pREFs!J7*J12*(_xlfn.NORM.INV((1-$Z$4),$Z$5,$Z$6))+pREFs!J7)&gt;$AB$6,$AB$6,(pREFs!J7*J12*(_xlfn.NORM.INV((1-$Z$4),$Z$5,$Z$6))+pREFs!J7)))),IF($X$6=1,IF(pREFs!J7=0,0,IF((pREFs!J7*J12*(_xlfn.T.INV((1-$Z$4),$AB$4))+pREFs!J7)&lt;$AB$5,$AB$5,IF((pREFs!J7*J12*(_xlfn.T.INV((1-$Z$4),$AB$4))+pREFs!J7)&gt;$AB$6,$AB$6,(pREFs!J7*J12*(_xlfn.T.INV((1-$Z$4),$AB$4))+pREFs!J7))))))</f>
        <v>76.900000000000006</v>
      </c>
      <c r="K11" s="48">
        <f>IF($X$6=0,IF(pREFs!K7=0,0,IF((pREFs!K7*K12*(_xlfn.NORM.INV((1-$Z$4),$Z$5,$Z$6))+pREFs!K7)&lt;$AB$5,$AB$5,IF((pREFs!K7*K12*(_xlfn.NORM.INV((1-$Z$4),$Z$5,$Z$6))+pREFs!K7)&gt;$AB$6,$AB$6,(pREFs!K7*K12*(_xlfn.NORM.INV((1-$Z$4),$Z$5,$Z$6))+pREFs!K7)))),IF($X$6=1,IF(pREFs!K7=0,0,IF((pREFs!K7*K12*(_xlfn.T.INV((1-$Z$4),$AB$4))+pREFs!K7)&lt;$AB$5,$AB$5,IF((pREFs!K7*K12*(_xlfn.T.INV((1-$Z$4),$AB$4))+pREFs!K7)&gt;$AB$6,$AB$6,(pREFs!K7*K12*(_xlfn.T.INV((1-$Z$4),$AB$4))+pREFs!K7))))))</f>
        <v>56.08</v>
      </c>
      <c r="L11" s="48">
        <f>IF($X$6=0,IF(pREFs!L7=0,0,IF((pREFs!L7*L12*(_xlfn.NORM.INV((1-$Z$4),$Z$5,$Z$6))+pREFs!L7)&lt;$AB$5,$AB$5,IF((pREFs!L7*L12*(_xlfn.NORM.INV((1-$Z$4),$Z$5,$Z$6))+pREFs!L7)&gt;$AB$6,$AB$6,(pREFs!L7*L12*(_xlfn.NORM.INV((1-$Z$4),$Z$5,$Z$6))+pREFs!L7)))),IF($X$6=1,IF(pREFs!L7=0,0,IF((pREFs!L7*L12*(_xlfn.T.INV((1-$Z$4),$AB$4))+pREFs!L7)&lt;$AB$5,$AB$5,IF((pREFs!L7*L12*(_xlfn.T.INV((1-$Z$4),$AB$4))+pREFs!L7)&gt;$AB$6,$AB$6,(pREFs!L7*L12*(_xlfn.T.INV((1-$Z$4),$AB$4))+pREFs!L7))))))</f>
        <v>55.7</v>
      </c>
      <c r="M11" s="48">
        <f>IF($X$6=0,IF(pREFs!M7=0,0,IF((pREFs!M7*M12*(_xlfn.NORM.INV((1-$Z$4),$Z$5,$Z$6))+pREFs!M7)&lt;$AB$5,$AB$5,IF((pREFs!M7*M12*(_xlfn.NORM.INV((1-$Z$4),$Z$5,$Z$6))+pREFs!M7)&gt;$AB$6,$AB$6,(pREFs!M7*M12*(_xlfn.NORM.INV((1-$Z$4),$Z$5,$Z$6))+pREFs!M7)))),IF($X$6=1,IF(pREFs!M7=0,0,IF((pREFs!M7*M12*(_xlfn.T.INV((1-$Z$4),$AB$4))+pREFs!M7)&lt;$AB$5,$AB$5,IF((pREFs!M7*M12*(_xlfn.T.INV((1-$Z$4),$AB$4))+pREFs!M7)&gt;$AB$6,$AB$6,(pREFs!M7*M12*(_xlfn.T.INV((1-$Z$4),$AB$4))+pREFs!M7))))))</f>
        <v>55.7</v>
      </c>
      <c r="N11" s="438">
        <f>IF($X$6=0,IF(pREFs!N7=0,0,IF((pREFs!N7*N12*(_xlfn.NORM.INV((1-$Z$4),$Z$5,$Z$6))+pREFs!N7)&lt;$AB$5,$AB$5,IF((pREFs!N7*N12*(_xlfn.NORM.INV((1-$Z$4),$Z$5,$Z$6))+pREFs!N7)&gt;$AB$6,$AB$6,(pREFs!N7*N12*(_xlfn.NORM.INV((1-$Z$4),$Z$5,$Z$6))+pREFs!N7)))),IF($X$6=1,IF(pREFs!N7=0,0,IF((pREFs!N7*N12*(_xlfn.T.INV((1-$Z$4),$AB$4))+pREFs!N7)&lt;$AB$5,$AB$5,IF((pREFs!N7*N12*(_xlfn.T.INV((1-$Z$4),$AB$4))+pREFs!N7)&gt;$AB$6,$AB$6,(pREFs!N7*N12*(_xlfn.T.INV((1-$Z$4),$AB$4))+pREFs!N7))))))</f>
        <v>78.400653594793155</v>
      </c>
      <c r="O11" s="439">
        <f>IF($X$6=0,IF(pREFs!O7=0,0,IF((pREFs!O7*O12*(_xlfn.NORM.INV((1-$Z$4),$Z$5,$Z$6))+pREFs!O7)&lt;$AB$5,$AB$5,IF((pREFs!O7*O12*(_xlfn.NORM.INV((1-$Z$4),$Z$5,$Z$6))+pREFs!O7)&gt;$AB$6,$AB$6,(pREFs!O7*O12*(_xlfn.NORM.INV((1-$Z$4),$Z$5,$Z$6))+pREFs!O7)))),IF($X$6=1,IF(pREFs!O7=0,0,IF((pREFs!O7*O12*(_xlfn.T.INV((1-$Z$4),$AB$4))+pREFs!O7)&lt;$AB$5,$AB$5,IF((pREFs!O7*O12*(_xlfn.T.INV((1-$Z$4),$AB$4))+pREFs!O7)&gt;$AB$6,$AB$6,(pREFs!O7*O12*(_xlfn.T.INV((1-$Z$4),$AB$4))+pREFs!O7))))))</f>
        <v>96.206580759134184</v>
      </c>
      <c r="P11" s="48">
        <f>IF($X$6=0,IF(pREFs!P7=0,0,IF((pREFs!P7*P12*(_xlfn.NORM.INV((1-$Z$4),$Z$5,$Z$6))+pREFs!P7)&lt;$AB$5,$AB$5,IF((pREFs!P7*P12*(_xlfn.NORM.INV((1-$Z$4),$Z$5,$Z$6))+pREFs!P7)&gt;$AB$6,$AB$6,(pREFs!P7*P12*(_xlfn.NORM.INV((1-$Z$4),$Z$5,$Z$6))+pREFs!P7)))),IF($X$6=1,IF(pREFs!P7=0,0,IF((pREFs!P7*P12*(_xlfn.T.INV((1-$Z$4),$AB$4))+pREFs!P7)&lt;$AB$5,$AB$5,IF((pREFs!P7*P12*(_xlfn.T.INV((1-$Z$4),$AB$4))+pREFs!P7)&gt;$AB$6,$AB$6,(pREFs!P7*P12*(_xlfn.T.INV((1-$Z$4),$AB$4))+pREFs!P7))))))</f>
        <v>92.430648861364247</v>
      </c>
      <c r="Q11" s="48">
        <f>IF($X$6=0,IF(pREFs!Q7=0,0,IF((pREFs!Q7*Q12*(_xlfn.NORM.INV((1-$Z$4),$Z$5,$Z$6))+pREFs!Q7)&lt;$AB$5,$AB$5,IF((pREFs!Q7*Q12*(_xlfn.NORM.INV((1-$Z$4),$Z$5,$Z$6))+pREFs!Q7)&gt;$AB$6,$AB$6,(pREFs!Q7*Q12*(_xlfn.NORM.INV((1-$Z$4),$Z$5,$Z$6))+pREFs!Q7)))),IF($X$6=1,IF(pREFs!Q7=0,0,IF((pREFs!Q7*Q12*(_xlfn.T.INV((1-$Z$4),$AB$4))+pREFs!Q7)&lt;$AB$5,$AB$5,IF((pREFs!Q7*Q12*(_xlfn.T.INV((1-$Z$4),$AB$4))+pREFs!Q7)&gt;$AB$6,$AB$6,(pREFs!Q7*Q12*(_xlfn.T.INV((1-$Z$4),$AB$4))+pREFs!Q7))))))</f>
        <v>89.053218420260009</v>
      </c>
      <c r="R11" s="48">
        <f>IF($X$6=0,IF(pREFs!R7=0,0,IF((pREFs!R7*R12*(_xlfn.NORM.INV((1-$Z$4),$Z$5,$Z$6))+pREFs!R7)&lt;$AB$5,$AB$5,IF((pREFs!R7*R12*(_xlfn.NORM.INV((1-$Z$4),$Z$5,$Z$6))+pREFs!R7)&gt;$AB$6,$AB$6,(pREFs!R7*R12*(_xlfn.NORM.INV((1-$Z$4),$Z$5,$Z$6))+pREFs!R7)))),IF($X$6=1,IF(pREFs!R7=0,0,IF((pREFs!R7*R12*(_xlfn.T.INV((1-$Z$4),$AB$4))+pREFs!R7)&lt;$AB$5,$AB$5,IF((pREFs!R7*R12*(_xlfn.T.INV((1-$Z$4),$AB$4))+pREFs!R7)&gt;$AB$6,$AB$6,(pREFs!R7*R12*(_xlfn.T.INV((1-$Z$4),$AB$4))+pREFs!R7))))))</f>
        <v>85.732008718771311</v>
      </c>
      <c r="S11" s="48">
        <f>IF($X$6=0,IF(pREFs!S7=0,0,IF((pREFs!S7*S12*(_xlfn.NORM.INV((1-$Z$4),$Z$5,$Z$6))+pREFs!S7)&lt;$AB$5,$AB$5,IF((pREFs!S7*S12*(_xlfn.NORM.INV((1-$Z$4),$Z$5,$Z$6))+pREFs!S7)&gt;$AB$6,$AB$6,(pREFs!S7*S12*(_xlfn.NORM.INV((1-$Z$4),$Z$5,$Z$6))+pREFs!S7)))),IF($X$6=1,IF(pREFs!S7=0,0,IF((pREFs!S7*S12*(_xlfn.T.INV((1-$Z$4),$AB$4))+pREFs!S7)&lt;$AB$5,$AB$5,IF((pREFs!S7*S12*(_xlfn.T.INV((1-$Z$4),$AB$4))+pREFs!S7)&gt;$AB$6,$AB$6,(pREFs!S7*S12*(_xlfn.T.INV((1-$Z$4),$AB$4))+pREFs!S7))))))</f>
        <v>86.223309628334476</v>
      </c>
      <c r="T11" s="48">
        <f>IF($X$6=0,IF(pREFs!T7=0,0,IF((pREFs!T7*T12*(_xlfn.NORM.INV((1-$Z$4),$Z$5,$Z$6))+pREFs!T7)&lt;$AB$5,$AB$5,IF((pREFs!T7*T12*(_xlfn.NORM.INV((1-$Z$4),$Z$5,$Z$6))+pREFs!T7)&gt;$AB$6,$AB$6,(pREFs!T7*T12*(_xlfn.NORM.INV((1-$Z$4),$Z$5,$Z$6))+pREFs!T7)))),IF($X$6=1,IF(pREFs!T7=0,0,IF((pREFs!T7*T12*(_xlfn.T.INV((1-$Z$4),$AB$4))+pREFs!T7)&lt;$AB$5,$AB$5,IF((pREFs!T7*T12*(_xlfn.T.INV((1-$Z$4),$AB$4))+pREFs!T7)&gt;$AB$6,$AB$6,(pREFs!T7*T12*(_xlfn.T.INV((1-$Z$4),$AB$4))+pREFs!T7))))))</f>
        <v>88.925464630931856</v>
      </c>
      <c r="U11" s="48">
        <f>IF($X$6=0,IF(pREFs!U7=0,0,IF((pREFs!U7*U12*(_xlfn.NORM.INV((1-$Z$4),$Z$5,$Z$6))+pREFs!U7)&lt;$AB$5,$AB$5,IF((pREFs!U7*U12*(_xlfn.NORM.INV((1-$Z$4),$Z$5,$Z$6))+pREFs!U7)&gt;$AB$6,$AB$6,(pREFs!U7*U12*(_xlfn.NORM.INV((1-$Z$4),$Z$5,$Z$6))+pREFs!U7)))),IF($X$6=1,IF(pREFs!U7=0,0,IF((pREFs!U7*U12*(_xlfn.T.INV((1-$Z$4),$AB$4))+pREFs!U7)&lt;$AB$5,$AB$5,IF((pREFs!U7*U12*(_xlfn.T.INV((1-$Z$4),$AB$4))+pREFs!U7)&gt;$AB$6,$AB$6,(pREFs!U7*U12*(_xlfn.T.INV((1-$Z$4),$AB$4))+pREFs!U7))))))</f>
        <v>94.759662931994384</v>
      </c>
      <c r="V11" s="48">
        <f>IF($X$6=0,IF(pREFs!V7=0,0,IF((pREFs!V7*V12*(_xlfn.NORM.INV((1-$Z$4),$Z$5,$Z$6))+pREFs!V7)&lt;$AB$5,$AB$5,IF((pREFs!V7*V12*(_xlfn.NORM.INV((1-$Z$4),$Z$5,$Z$6))+pREFs!V7)&gt;$AB$6,$AB$6,(pREFs!V7*V12*(_xlfn.NORM.INV((1-$Z$4),$Z$5,$Z$6))+pREFs!V7)))),IF($X$6=1,IF(pREFs!V7=0,0,IF((pREFs!V7*V12*(_xlfn.T.INV((1-$Z$4),$AB$4))+pREFs!V7)&lt;$AB$5,$AB$5,IF((pREFs!V7*V12*(_xlfn.T.INV((1-$Z$4),$AB$4))+pREFs!V7)&gt;$AB$6,$AB$6,(pREFs!V7*V12*(_xlfn.T.INV((1-$Z$4),$AB$4))+pREFs!V7))))))</f>
        <v>94.759662931994384</v>
      </c>
      <c r="W11" s="48">
        <f>IF($X$6=0,IF(pREFs!W7=0,0,IF((pREFs!W7*W12*(_xlfn.NORM.INV((1-$Z$4),$Z$5,$Z$6))+pREFs!W7)&lt;$AB$5,$AB$5,IF((pREFs!W7*W12*(_xlfn.NORM.INV((1-$Z$4),$Z$5,$Z$6))+pREFs!W7)&gt;$AB$6,$AB$6,(pREFs!W7*W12*(_xlfn.NORM.INV((1-$Z$4),$Z$5,$Z$6))+pREFs!W7)))),IF($X$6=1,IF(pREFs!W7=0,0,IF((pREFs!W7*W12*(_xlfn.T.INV((1-$Z$4),$AB$4))+pREFs!W7)&lt;$AB$5,$AB$5,IF((pREFs!W7*W12*(_xlfn.T.INV((1-$Z$4),$AB$4))+pREFs!W7)&gt;$AB$6,$AB$6,(pREFs!W7*W12*(_xlfn.T.INV((1-$Z$4),$AB$4))+pREFs!W7))))))</f>
        <v>94.759662931994384</v>
      </c>
      <c r="X11" s="48">
        <f>IF($X$6=0,IF(pREFs!X7=0,0,IF((pREFs!X7*X12*(_xlfn.NORM.INV((1-$Z$4),$Z$5,$Z$6))+pREFs!X7)&lt;$AB$5,$AB$5,IF((pREFs!X7*X12*(_xlfn.NORM.INV((1-$Z$4),$Z$5,$Z$6))+pREFs!X7)&gt;$AB$6,$AB$6,(pREFs!X7*X12*(_xlfn.NORM.INV((1-$Z$4),$Z$5,$Z$6))+pREFs!X7)))),IF($X$6=1,IF(pREFs!X7=0,0,IF((pREFs!X7*X12*(_xlfn.T.INV((1-$Z$4),$AB$4))+pREFs!X7)&lt;$AB$5,$AB$5,IF((pREFs!X7*X12*(_xlfn.T.INV((1-$Z$4),$AB$4))+pREFs!X7)&gt;$AB$6,$AB$6,(pREFs!X7*X12*(_xlfn.T.INV((1-$Z$4),$AB$4))+pREFs!X7))))))</f>
        <v>98.812895435890439</v>
      </c>
      <c r="Y11" s="48">
        <f>IF($X$6=0,IF(pREFs!Y7=0,0,IF((pREFs!Y7*Y12*(_xlfn.NORM.INV((1-$Z$4),$Z$5,$Z$6))+pREFs!Y7)&lt;$AB$5,$AB$5,IF((pREFs!Y7*Y12*(_xlfn.NORM.INV((1-$Z$4),$Z$5,$Z$6))+pREFs!Y7)&gt;$AB$6,$AB$6,(pREFs!Y7*Y12*(_xlfn.NORM.INV((1-$Z$4),$Z$5,$Z$6))+pREFs!Y7)))),IF($X$6=1,IF(pREFs!Y7=0,0,IF((pREFs!Y7*Y12*(_xlfn.T.INV((1-$Z$4),$AB$4))+pREFs!Y7)&lt;$AB$5,$AB$5,IF((pREFs!Y7*Y12*(_xlfn.T.INV((1-$Z$4),$AB$4))+pREFs!Y7)&gt;$AB$6,$AB$6,(pREFs!Y7*Y12*(_xlfn.T.INV((1-$Z$4),$AB$4))+pREFs!Y7))))))</f>
        <v>98.812895435890439</v>
      </c>
      <c r="Z11" s="438">
        <f>IF($X$6=0,IF(pREFs!Z7=0,0,IF((pREFs!Z7*Z12*(_xlfn.NORM.INV((1-$Z$4),$Z$5,$Z$6))+pREFs!Z7)&lt;$AB$5,$AB$5,IF((pREFs!Z7*Z12*(_xlfn.NORM.INV((1-$Z$4),$Z$5,$Z$6))+pREFs!Z7)&gt;$AB$6,$AB$6,(pREFs!Z7*Z12*(_xlfn.NORM.INV((1-$Z$4),$Z$5,$Z$6))+pREFs!Z7)))),IF($X$6=1,IF(pREFs!Z7=0,0,IF((pREFs!Z7*Z12*(_xlfn.T.INV((1-$Z$4),$AB$4))+pREFs!Z7)&lt;$AB$5,$AB$5,IF((pREFs!Z7*Z12*(_xlfn.T.INV((1-$Z$4),$AB$4))+pREFs!Z7)&gt;$AB$6,$AB$6,(pREFs!Z7*Z12*(_xlfn.T.INV((1-$Z$4),$AB$4))+pREFs!Z7))))))</f>
        <v>98.812895435890439</v>
      </c>
      <c r="AA11" s="439">
        <f>IF($X$6=0,IF(pREFs!AA7=0,0,IF((pREFs!AA7*AA12*(_xlfn.NORM.INV((1-$Z$4),$Z$5,$Z$6))+pREFs!AA7)&lt;$AB$5,$AB$5,IF((pREFs!AA7*AA12*(_xlfn.NORM.INV((1-$Z$4),$Z$5,$Z$6))+pREFs!AA7)&gt;$AB$6,$AB$6,(pREFs!AA7*AA12*(_xlfn.NORM.INV((1-$Z$4),$Z$5,$Z$6))+pREFs!AA7)))),IF($X$6=1,IF(pREFs!AA7=0,0,IF((pREFs!AA7*AA12*(_xlfn.T.INV((1-$Z$4),$AB$4))+pREFs!AA7)&lt;$AB$5,$AB$5,IF((pREFs!AA7*AA12*(_xlfn.T.INV((1-$Z$4),$AB$4))+pREFs!AA7)&gt;$AB$6,$AB$6,(pREFs!AA7*AA12*(_xlfn.T.INV((1-$Z$4),$AB$4))+pREFs!AA7))))))</f>
        <v>107.92123825492146</v>
      </c>
      <c r="AB11" s="48">
        <f>IF($X$6=0,IF(pREFs!AB7=0,0,IF((pREFs!AB7*AB12*(_xlfn.NORM.INV((1-$Z$4),$Z$5,$Z$6))+pREFs!AB7)&lt;$AB$5,$AB$5,IF((pREFs!AB7*AB12*(_xlfn.NORM.INV((1-$Z$4),$Z$5,$Z$6))+pREFs!AB7)&gt;$AB$6,$AB$6,(pREFs!AB7*AB12*(_xlfn.NORM.INV((1-$Z$4),$Z$5,$Z$6))+pREFs!AB7)))),IF($X$6=1,IF(pREFs!AB7=0,0,IF((pREFs!AB7*AB12*(_xlfn.T.INV((1-$Z$4),$AB$4))+pREFs!AB7)&lt;$AB$5,$AB$5,IF((pREFs!AB7*AB12*(_xlfn.T.INV((1-$Z$4),$AB$4))+pREFs!AB7)&gt;$AB$6,$AB$6,(pREFs!AB7*AB12*(_xlfn.T.INV((1-$Z$4),$AB$4))+pREFs!AB7))))))</f>
        <v>107.92123825492146</v>
      </c>
      <c r="AC11" s="48">
        <f>IF($X$6=0,IF(pREFs!AC7=0,0,IF((pREFs!AC7*AC12*(_xlfn.NORM.INV((1-$Z$4),$Z$5,$Z$6))+pREFs!AC7)&lt;$AB$5,$AB$5,IF((pREFs!AC7*AC12*(_xlfn.NORM.INV((1-$Z$4),$Z$5,$Z$6))+pREFs!AC7)&gt;$AB$6,$AB$6,(pREFs!AC7*AC12*(_xlfn.NORM.INV((1-$Z$4),$Z$5,$Z$6))+pREFs!AC7)))),IF($X$6=1,IF(pREFs!AC7=0,0,IF((pREFs!AC7*AC12*(_xlfn.T.INV((1-$Z$4),$AB$4))+pREFs!AC7)&lt;$AB$5,$AB$5,IF((pREFs!AC7*AC12*(_xlfn.T.INV((1-$Z$4),$AB$4))+pREFs!AC7)&gt;$AB$6,$AB$6,(pREFs!AC7*AC12*(_xlfn.T.INV((1-$Z$4),$AB$4))+pREFs!AC7))))))</f>
        <v>107.92123825492146</v>
      </c>
      <c r="AD11" s="48">
        <f>IF($X$6=0,IF(pREFs!AD7=0,0,IF((pREFs!AD7*AD12*(_xlfn.NORM.INV((1-$Z$4),$Z$5,$Z$6))+pREFs!AD7)&lt;$AB$5,$AB$5,IF((pREFs!AD7*AD12*(_xlfn.NORM.INV((1-$Z$4),$Z$5,$Z$6))+pREFs!AD7)&gt;$AB$6,$AB$6,(pREFs!AD7*AD12*(_xlfn.NORM.INV((1-$Z$4),$Z$5,$Z$6))+pREFs!AD7)))),IF($X$6=1,IF(pREFs!AD7=0,0,IF((pREFs!AD7*AD12*(_xlfn.T.INV((1-$Z$4),$AB$4))+pREFs!AD7)&lt;$AB$5,$AB$5,IF((pREFs!AD7*AD12*(_xlfn.T.INV((1-$Z$4),$AB$4))+pREFs!AD7)&gt;$AB$6,$AB$6,(pREFs!AD7*AD12*(_xlfn.T.INV((1-$Z$4),$AB$4))+pREFs!AD7))))))</f>
        <v>107.92123825492146</v>
      </c>
      <c r="AE11" s="48">
        <f>IF($X$6=0,IF(pREFs!AE7=0,0,IF((pREFs!AE7*AE12*(_xlfn.NORM.INV((1-$Z$4),$Z$5,$Z$6))+pREFs!AE7)&lt;$AB$5,$AB$5,IF((pREFs!AE7*AE12*(_xlfn.NORM.INV((1-$Z$4),$Z$5,$Z$6))+pREFs!AE7)&gt;$AB$6,$AB$6,(pREFs!AE7*AE12*(_xlfn.NORM.INV((1-$Z$4),$Z$5,$Z$6))+pREFs!AE7)))),IF($X$6=1,IF(pREFs!AE7=0,0,IF((pREFs!AE7*AE12*(_xlfn.T.INV((1-$Z$4),$AB$4))+pREFs!AE7)&lt;$AB$5,$AB$5,IF((pREFs!AE7*AE12*(_xlfn.T.INV((1-$Z$4),$AB$4))+pREFs!AE7)&gt;$AB$6,$AB$6,(pREFs!AE7*AE12*(_xlfn.T.INV((1-$Z$4),$AB$4))+pREFs!AE7))))))</f>
        <v>107.92123825492146</v>
      </c>
      <c r="AF11" s="48">
        <f>IF($X$6=0,IF(pREFs!AF7=0,0,IF((pREFs!AF7*AF12*(_xlfn.NORM.INV((1-$Z$4),$Z$5,$Z$6))+pREFs!AF7)&lt;$AB$5,$AB$5,IF((pREFs!AF7*AF12*(_xlfn.NORM.INV((1-$Z$4),$Z$5,$Z$6))+pREFs!AF7)&gt;$AB$6,$AB$6,(pREFs!AF7*AF12*(_xlfn.NORM.INV((1-$Z$4),$Z$5,$Z$6))+pREFs!AF7)))),IF($X$6=1,IF(pREFs!AF7=0,0,IF((pREFs!AF7*AF12*(_xlfn.T.INV((1-$Z$4),$AB$4))+pREFs!AF7)&lt;$AB$5,$AB$5,IF((pREFs!AF7*AF12*(_xlfn.T.INV((1-$Z$4),$AB$4))+pREFs!AF7)&gt;$AB$6,$AB$6,(pREFs!AF7*AF12*(_xlfn.T.INV((1-$Z$4),$AB$4))+pREFs!AF7))))))</f>
        <v>107.92123825492146</v>
      </c>
      <c r="AG11" s="48">
        <f>IF($X$6=0,IF(pREFs!AG7=0,0,IF((pREFs!AG7*AG12*(_xlfn.NORM.INV((1-$Z$4),$Z$5,$Z$6))+pREFs!AG7)&lt;$AB$5,$AB$5,IF((pREFs!AG7*AG12*(_xlfn.NORM.INV((1-$Z$4),$Z$5,$Z$6))+pREFs!AG7)&gt;$AB$6,$AB$6,(pREFs!AG7*AG12*(_xlfn.NORM.INV((1-$Z$4),$Z$5,$Z$6))+pREFs!AG7)))),IF($X$6=1,IF(pREFs!AG7=0,0,IF((pREFs!AG7*AG12*(_xlfn.T.INV((1-$Z$4),$AB$4))+pREFs!AG7)&lt;$AB$5,$AB$5,IF((pREFs!AG7*AG12*(_xlfn.T.INV((1-$Z$4),$AB$4))+pREFs!AG7)&gt;$AB$6,$AB$6,(pREFs!AG7*AG12*(_xlfn.T.INV((1-$Z$4),$AB$4))+pREFs!AG7))))))</f>
        <v>107.92123825492146</v>
      </c>
      <c r="AH11" s="48">
        <f>IF($X$6=0,IF(pREFs!AH7=0,0,IF((pREFs!AH7*AH12*(_xlfn.NORM.INV((1-$Z$4),$Z$5,$Z$6))+pREFs!AH7)&lt;$AB$5,$AB$5,IF((pREFs!AH7*AH12*(_xlfn.NORM.INV((1-$Z$4),$Z$5,$Z$6))+pREFs!AH7)&gt;$AB$6,$AB$6,(pREFs!AH7*AH12*(_xlfn.NORM.INV((1-$Z$4),$Z$5,$Z$6))+pREFs!AH7)))),IF($X$6=1,IF(pREFs!AH7=0,0,IF((pREFs!AH7*AH12*(_xlfn.T.INV((1-$Z$4),$AB$4))+pREFs!AH7)&lt;$AB$5,$AB$5,IF((pREFs!AH7*AH12*(_xlfn.T.INV((1-$Z$4),$AB$4))+pREFs!AH7)&gt;$AB$6,$AB$6,(pREFs!AH7*AH12*(_xlfn.T.INV((1-$Z$4),$AB$4))+pREFs!AH7))))))</f>
        <v>107.92123825492146</v>
      </c>
      <c r="AI11" s="48">
        <f>IF($X$6=0,IF(pREFs!AI7=0,0,IF((pREFs!AI7*AI12*(_xlfn.NORM.INV((1-$Z$4),$Z$5,$Z$6))+pREFs!AI7)&lt;$AB$5,$AB$5,IF((pREFs!AI7*AI12*(_xlfn.NORM.INV((1-$Z$4),$Z$5,$Z$6))+pREFs!AI7)&gt;$AB$6,$AB$6,(pREFs!AI7*AI12*(_xlfn.NORM.INV((1-$Z$4),$Z$5,$Z$6))+pREFs!AI7)))),IF($X$6=1,IF(pREFs!AI7=0,0,IF((pREFs!AI7*AI12*(_xlfn.T.INV((1-$Z$4),$AB$4))+pREFs!AI7)&lt;$AB$5,$AB$5,IF((pREFs!AI7*AI12*(_xlfn.T.INV((1-$Z$4),$AB$4))+pREFs!AI7)&gt;$AB$6,$AB$6,(pREFs!AI7*AI12*(_xlfn.T.INV((1-$Z$4),$AB$4))+pREFs!AI7))))))</f>
        <v>107.92123825492146</v>
      </c>
      <c r="AJ11" s="48">
        <f>IF($X$6=0,IF(pREFs!AJ7=0,0,IF((pREFs!AJ7*AJ12*(_xlfn.NORM.INV((1-$Z$4),$Z$5,$Z$6))+pREFs!AJ7)&lt;$AB$5,$AB$5,IF((pREFs!AJ7*AJ12*(_xlfn.NORM.INV((1-$Z$4),$Z$5,$Z$6))+pREFs!AJ7)&gt;$AB$6,$AB$6,(pREFs!AJ7*AJ12*(_xlfn.NORM.INV((1-$Z$4),$Z$5,$Z$6))+pREFs!AJ7)))),IF($X$6=1,IF(pREFs!AJ7=0,0,IF((pREFs!AJ7*AJ12*(_xlfn.T.INV((1-$Z$4),$AB$4))+pREFs!AJ7)&lt;$AB$5,$AB$5,IF((pREFs!AJ7*AJ12*(_xlfn.T.INV((1-$Z$4),$AB$4))+pREFs!AJ7)&gt;$AB$6,$AB$6,(pREFs!AJ7*AJ12*(_xlfn.T.INV((1-$Z$4),$AB$4))+pREFs!AJ7))))))</f>
        <v>107.92123825492146</v>
      </c>
      <c r="AK11" s="48">
        <f>IF($X$6=0,IF(pREFs!AK7=0,0,IF((pREFs!AK7*AK12*(_xlfn.NORM.INV((1-$Z$4),$Z$5,$Z$6))+pREFs!AK7)&lt;$AB$5,$AB$5,IF((pREFs!AK7*AK12*(_xlfn.NORM.INV((1-$Z$4),$Z$5,$Z$6))+pREFs!AK7)&gt;$AB$6,$AB$6,(pREFs!AK7*AK12*(_xlfn.NORM.INV((1-$Z$4),$Z$5,$Z$6))+pREFs!AK7)))),IF($X$6=1,IF(pREFs!AK7=0,0,IF((pREFs!AK7*AK12*(_xlfn.T.INV((1-$Z$4),$AB$4))+pREFs!AK7)&lt;$AB$5,$AB$5,IF((pREFs!AK7*AK12*(_xlfn.T.INV((1-$Z$4),$AB$4))+pREFs!AK7)&gt;$AB$6,$AB$6,(pREFs!AK7*AK12*(_xlfn.T.INV((1-$Z$4),$AB$4))+pREFs!AK7))))))</f>
        <v>107.92123825492146</v>
      </c>
      <c r="AL11" s="438">
        <f>IF($X$6=0,IF(pREFs!AL7=0,0,IF((pREFs!AL7*AL12*(_xlfn.NORM.INV((1-$Z$4),$Z$5,$Z$6))+pREFs!AL7)&lt;$AB$5,$AB$5,IF((pREFs!AL7*AL12*(_xlfn.NORM.INV((1-$Z$4),$Z$5,$Z$6))+pREFs!AL7)&gt;$AB$6,$AB$6,(pREFs!AL7*AL12*(_xlfn.NORM.INV((1-$Z$4),$Z$5,$Z$6))+pREFs!AL7)))),IF($X$6=1,IF(pREFs!AL7=0,0,IF((pREFs!AL7*AL12*(_xlfn.T.INV((1-$Z$4),$AB$4))+pREFs!AL7)&lt;$AB$5,$AB$5,IF((pREFs!AL7*AL12*(_xlfn.T.INV((1-$Z$4),$AB$4))+pREFs!AL7)&gt;$AB$6,$AB$6,(pREFs!AL7*AL12*(_xlfn.T.INV((1-$Z$4),$AB$4))+pREFs!AL7))))))</f>
        <v>107.92123825492146</v>
      </c>
      <c r="AM11" s="439">
        <f>IF($X$6=0,IF(pREFs!AM7=0,0,IF((pREFs!AM7*AM12*(_xlfn.NORM.INV((1-$Z$4),$Z$5,$Z$6))+pREFs!AM7)&lt;$AB$5,$AB$5,IF((pREFs!AM7*AM12*(_xlfn.NORM.INV((1-$Z$4),$Z$5,$Z$6))+pREFs!AM7)&gt;$AB$6,$AB$6,(pREFs!AM7*AM12*(_xlfn.NORM.INV((1-$Z$4),$Z$5,$Z$6))+pREFs!AM7)))),IF($X$6=1,IF(pREFs!AM7=0,0,IF((pREFs!AM7*AM12*(_xlfn.T.INV((1-$Z$4),$AB$4))+pREFs!AM7)&lt;$AB$5,$AB$5,IF((pREFs!AM7*AM12*(_xlfn.T.INV((1-$Z$4),$AB$4))+pREFs!AM7)&gt;$AB$6,$AB$6,(pREFs!AM7*AM12*(_xlfn.T.INV((1-$Z$4),$AB$4))+pREFs!AM7))))))</f>
        <v>112</v>
      </c>
      <c r="AN11" s="48">
        <f>IF($X$6=0,IF(pREFs!AN7=0,0,IF((pREFs!AN7*AN12*(_xlfn.NORM.INV((1-$Z$4),$Z$5,$Z$6))+pREFs!AN7)&lt;$AB$5,$AB$5,IF((pREFs!AN7*AN12*(_xlfn.NORM.INV((1-$Z$4),$Z$5,$Z$6))+pREFs!AN7)&gt;$AB$6,$AB$6,(pREFs!AN7*AN12*(_xlfn.NORM.INV((1-$Z$4),$Z$5,$Z$6))+pREFs!AN7)))),IF($X$6=1,IF(pREFs!AN7=0,0,IF((pREFs!AN7*AN12*(_xlfn.T.INV((1-$Z$4),$AB$4))+pREFs!AN7)&lt;$AB$5,$AB$5,IF((pREFs!AN7*AN12*(_xlfn.T.INV((1-$Z$4),$AB$4))+pREFs!AN7)&gt;$AB$6,$AB$6,(pREFs!AN7*AN12*(_xlfn.T.INV((1-$Z$4),$AB$4))+pREFs!AN7))))))</f>
        <v>112</v>
      </c>
      <c r="AO11" s="48">
        <f>IF($X$6=0,IF(pREFs!AO7=0,0,IF((pREFs!AO7*AO12*(_xlfn.NORM.INV((1-$Z$4),$Z$5,$Z$6))+pREFs!AO7)&lt;$AB$5,$AB$5,IF((pREFs!AO7*AO12*(_xlfn.NORM.INV((1-$Z$4),$Z$5,$Z$6))+pREFs!AO7)&gt;$AB$6,$AB$6,(pREFs!AO7*AO12*(_xlfn.NORM.INV((1-$Z$4),$Z$5,$Z$6))+pREFs!AO7)))),IF($X$6=1,IF(pREFs!AO7=0,0,IF((pREFs!AO7*AO12*(_xlfn.T.INV((1-$Z$4),$AB$4))+pREFs!AO7)&lt;$AB$5,$AB$5,IF((pREFs!AO7*AO12*(_xlfn.T.INV((1-$Z$4),$AB$4))+pREFs!AO7)&gt;$AB$6,$AB$6,(pREFs!AO7*AO12*(_xlfn.T.INV((1-$Z$4),$AB$4))+pREFs!AO7))))))</f>
        <v>112</v>
      </c>
      <c r="AP11" s="48">
        <f>IF($X$6=0,IF(pREFs!AP7=0,0,IF((pREFs!AP7*AP12*(_xlfn.NORM.INV((1-$Z$4),$Z$5,$Z$6))+pREFs!AP7)&lt;$AB$5,$AB$5,IF((pREFs!AP7*AP12*(_xlfn.NORM.INV((1-$Z$4),$Z$5,$Z$6))+pREFs!AP7)&gt;$AB$6,$AB$6,(pREFs!AP7*AP12*(_xlfn.NORM.INV((1-$Z$4),$Z$5,$Z$6))+pREFs!AP7)))),IF($X$6=1,IF(pREFs!AP7=0,0,IF((pREFs!AP7*AP12*(_xlfn.T.INV((1-$Z$4),$AB$4))+pREFs!AP7)&lt;$AB$5,$AB$5,IF((pREFs!AP7*AP12*(_xlfn.T.INV((1-$Z$4),$AB$4))+pREFs!AP7)&gt;$AB$6,$AB$6,(pREFs!AP7*AP12*(_xlfn.T.INV((1-$Z$4),$AB$4))+pREFs!AP7))))))</f>
        <v>112</v>
      </c>
      <c r="AQ11" s="48">
        <f>IF($X$6=0,IF(pREFs!AQ7=0,0,IF((pREFs!AQ7*AQ12*(_xlfn.NORM.INV((1-$Z$4),$Z$5,$Z$6))+pREFs!AQ7)&lt;$AB$5,$AB$5,IF((pREFs!AQ7*AQ12*(_xlfn.NORM.INV((1-$Z$4),$Z$5,$Z$6))+pREFs!AQ7)&gt;$AB$6,$AB$6,(pREFs!AQ7*AQ12*(_xlfn.NORM.INV((1-$Z$4),$Z$5,$Z$6))+pREFs!AQ7)))),IF($X$6=1,IF(pREFs!AQ7=0,0,IF((pREFs!AQ7*AQ12*(_xlfn.T.INV((1-$Z$4),$AB$4))+pREFs!AQ7)&lt;$AB$5,$AB$5,IF((pREFs!AQ7*AQ12*(_xlfn.T.INV((1-$Z$4),$AB$4))+pREFs!AQ7)&gt;$AB$6,$AB$6,(pREFs!AQ7*AQ12*(_xlfn.T.INV((1-$Z$4),$AB$4))+pREFs!AQ7))))))</f>
        <v>112</v>
      </c>
      <c r="AR11" s="48">
        <f>IF($X$6=0,IF(pREFs!AR7=0,0,IF((pREFs!AR7*AR12*(_xlfn.NORM.INV((1-$Z$4),$Z$5,$Z$6))+pREFs!AR7)&lt;$AB$5,$AB$5,IF((pREFs!AR7*AR12*(_xlfn.NORM.INV((1-$Z$4),$Z$5,$Z$6))+pREFs!AR7)&gt;$AB$6,$AB$6,(pREFs!AR7*AR12*(_xlfn.NORM.INV((1-$Z$4),$Z$5,$Z$6))+pREFs!AR7)))),IF($X$6=1,IF(pREFs!AR7=0,0,IF((pREFs!AR7*AR12*(_xlfn.T.INV((1-$Z$4),$AB$4))+pREFs!AR7)&lt;$AB$5,$AB$5,IF((pREFs!AR7*AR12*(_xlfn.T.INV((1-$Z$4),$AB$4))+pREFs!AR7)&gt;$AB$6,$AB$6,(pREFs!AR7*AR12*(_xlfn.T.INV((1-$Z$4),$AB$4))+pREFs!AR7))))))</f>
        <v>112</v>
      </c>
      <c r="AS11" s="48">
        <f>IF($X$6=0,IF(pREFs!AS7=0,0,IF((pREFs!AS7*AS12*(_xlfn.NORM.INV((1-$Z$4),$Z$5,$Z$6))+pREFs!AS7)&lt;$AB$5,$AB$5,IF((pREFs!AS7*AS12*(_xlfn.NORM.INV((1-$Z$4),$Z$5,$Z$6))+pREFs!AS7)&gt;$AB$6,$AB$6,(pREFs!AS7*AS12*(_xlfn.NORM.INV((1-$Z$4),$Z$5,$Z$6))+pREFs!AS7)))),IF($X$6=1,IF(pREFs!AS7=0,0,IF((pREFs!AS7*AS12*(_xlfn.T.INV((1-$Z$4),$AB$4))+pREFs!AS7)&lt;$AB$5,$AB$5,IF((pREFs!AS7*AS12*(_xlfn.T.INV((1-$Z$4),$AB$4))+pREFs!AS7)&gt;$AB$6,$AB$6,(pREFs!AS7*AS12*(_xlfn.T.INV((1-$Z$4),$AB$4))+pREFs!AS7))))))</f>
        <v>112</v>
      </c>
      <c r="AT11" s="48">
        <f>IF($X$6=0,IF(pREFs!AT7=0,0,IF((pREFs!AT7*AT12*(_xlfn.NORM.INV((1-$Z$4),$Z$5,$Z$6))+pREFs!AT7)&lt;$AB$5,$AB$5,IF((pREFs!AT7*AT12*(_xlfn.NORM.INV((1-$Z$4),$Z$5,$Z$6))+pREFs!AT7)&gt;$AB$6,$AB$6,(pREFs!AT7*AT12*(_xlfn.NORM.INV((1-$Z$4),$Z$5,$Z$6))+pREFs!AT7)))),IF($X$6=1,IF(pREFs!AT7=0,0,IF((pREFs!AT7*AT12*(_xlfn.T.INV((1-$Z$4),$AB$4))+pREFs!AT7)&lt;$AB$5,$AB$5,IF((pREFs!AT7*AT12*(_xlfn.T.INV((1-$Z$4),$AB$4))+pREFs!AT7)&gt;$AB$6,$AB$6,(pREFs!AT7*AT12*(_xlfn.T.INV((1-$Z$4),$AB$4))+pREFs!AT7))))))</f>
        <v>112</v>
      </c>
      <c r="AU11" s="48">
        <f>IF($X$6=0,IF(pREFs!AU7=0,0,IF((pREFs!AU7*AU12*(_xlfn.NORM.INV((1-$Z$4),$Z$5,$Z$6))+pREFs!AU7)&lt;$AB$5,$AB$5,IF((pREFs!AU7*AU12*(_xlfn.NORM.INV((1-$Z$4),$Z$5,$Z$6))+pREFs!AU7)&gt;$AB$6,$AB$6,(pREFs!AU7*AU12*(_xlfn.NORM.INV((1-$Z$4),$Z$5,$Z$6))+pREFs!AU7)))),IF($X$6=1,IF(pREFs!AU7=0,0,IF((pREFs!AU7*AU12*(_xlfn.T.INV((1-$Z$4),$AB$4))+pREFs!AU7)&lt;$AB$5,$AB$5,IF((pREFs!AU7*AU12*(_xlfn.T.INV((1-$Z$4),$AB$4))+pREFs!AU7)&gt;$AB$6,$AB$6,(pREFs!AU7*AU12*(_xlfn.T.INV((1-$Z$4),$AB$4))+pREFs!AU7))))))</f>
        <v>112</v>
      </c>
      <c r="AV11" s="48">
        <f>IF($X$6=0,IF(pREFs!AV7=0,0,IF((pREFs!AV7*AV12*(_xlfn.NORM.INV((1-$Z$4),$Z$5,$Z$6))+pREFs!AV7)&lt;$AB$5,$AB$5,IF((pREFs!AV7*AV12*(_xlfn.NORM.INV((1-$Z$4),$Z$5,$Z$6))+pREFs!AV7)&gt;$AB$6,$AB$6,(pREFs!AV7*AV12*(_xlfn.NORM.INV((1-$Z$4),$Z$5,$Z$6))+pREFs!AV7)))),IF($X$6=1,IF(pREFs!AV7=0,0,IF((pREFs!AV7*AV12*(_xlfn.T.INV((1-$Z$4),$AB$4))+pREFs!AV7)&lt;$AB$5,$AB$5,IF((pREFs!AV7*AV12*(_xlfn.T.INV((1-$Z$4),$AB$4))+pREFs!AV7)&gt;$AB$6,$AB$6,(pREFs!AV7*AV12*(_xlfn.T.INV((1-$Z$4),$AB$4))+pREFs!AV7))))))</f>
        <v>112</v>
      </c>
      <c r="AW11" s="48">
        <f>IF($X$6=0,IF(pREFs!AW7=0,0,IF((pREFs!AW7*AW12*(_xlfn.NORM.INV((1-$Z$4),$Z$5,$Z$6))+pREFs!AW7)&lt;$AB$5,$AB$5,IF((pREFs!AW7*AW12*(_xlfn.NORM.INV((1-$Z$4),$Z$5,$Z$6))+pREFs!AW7)&gt;$AB$6,$AB$6,(pREFs!AW7*AW12*(_xlfn.NORM.INV((1-$Z$4),$Z$5,$Z$6))+pREFs!AW7)))),IF($X$6=1,IF(pREFs!AW7=0,0,IF((pREFs!AW7*AW12*(_xlfn.T.INV((1-$Z$4),$AB$4))+pREFs!AW7)&lt;$AB$5,$AB$5,IF((pREFs!AW7*AW12*(_xlfn.T.INV((1-$Z$4),$AB$4))+pREFs!AW7)&gt;$AB$6,$AB$6,(pREFs!AW7*AW12*(_xlfn.T.INV((1-$Z$4),$AB$4))+pREFs!AW7))))))</f>
        <v>112</v>
      </c>
      <c r="AX11" s="438">
        <f>IF($X$6=0,IF(pREFs!AX7=0,0,IF((pREFs!AX7*AX12*(_xlfn.NORM.INV((1-$Z$4),$Z$5,$Z$6))+pREFs!AX7)&lt;$AB$5,$AB$5,IF((pREFs!AX7*AX12*(_xlfn.NORM.INV((1-$Z$4),$Z$5,$Z$6))+pREFs!AX7)&gt;$AB$6,$AB$6,(pREFs!AX7*AX12*(_xlfn.NORM.INV((1-$Z$4),$Z$5,$Z$6))+pREFs!AX7)))),IF($X$6=1,IF(pREFs!AX7=0,0,IF((pREFs!AX7*AX12*(_xlfn.T.INV((1-$Z$4),$AB$4))+pREFs!AX7)&lt;$AB$5,$AB$5,IF((pREFs!AX7*AX12*(_xlfn.T.INV((1-$Z$4),$AB$4))+pREFs!AX7)&gt;$AB$6,$AB$6,(pREFs!AX7*AX12*(_xlfn.T.INV((1-$Z$4),$AB$4))+pREFs!AX7))))))</f>
        <v>112</v>
      </c>
      <c r="AY11" s="439">
        <f>IF($X$6=0,IF(pREFs!AY7=0,0,IF((pREFs!AY7*AY12*(_xlfn.NORM.INV((1-$Z$4),$Z$5,$Z$6))+pREFs!AY7)&lt;$AB$5,$AB$5,IF((pREFs!AY7*AY12*(_xlfn.NORM.INV((1-$Z$4),$Z$5,$Z$6))+pREFs!AY7)&gt;$AB$6,$AB$6,(pREFs!AY7*AY12*(_xlfn.NORM.INV((1-$Z$4),$Z$5,$Z$6))+pREFs!AY7)))),IF($X$6=1,IF(pREFs!AY7=0,0,IF((pREFs!AY7*AY12*(_xlfn.T.INV((1-$Z$4),$AB$4))+pREFs!AY7)&lt;$AB$5,$AB$5,IF((pREFs!AY7*AY12*(_xlfn.T.INV((1-$Z$4),$AB$4))+pREFs!AY7)&gt;$AB$6,$AB$6,(pREFs!AY7*AY12*(_xlfn.T.INV((1-$Z$4),$AB$4))+pREFs!AY7))))))</f>
        <v>140.5</v>
      </c>
      <c r="AZ11" s="48">
        <f>IF($X$6=0,IF(pREFs!AZ7=0,0,IF((pREFs!AZ7*AZ12*(_xlfn.NORM.INV((1-$Z$4),$Z$5,$Z$6))+pREFs!AZ7)&lt;$AB$5,$AB$5,IF((pREFs!AZ7*AZ12*(_xlfn.NORM.INV((1-$Z$4),$Z$5,$Z$6))+pREFs!AZ7)&gt;$AB$6,$AB$6,(pREFs!AZ7*AZ12*(_xlfn.NORM.INV((1-$Z$4),$Z$5,$Z$6))+pREFs!AZ7)))),IF($X$6=1,IF(pREFs!AZ7=0,0,IF((pREFs!AZ7*AZ12*(_xlfn.T.INV((1-$Z$4),$AB$4))+pREFs!AZ7)&lt;$AB$5,$AB$5,IF((pREFs!AZ7*AZ12*(_xlfn.T.INV((1-$Z$4),$AB$4))+pREFs!AZ7)&gt;$AB$6,$AB$6,(pREFs!AZ7*AZ12*(_xlfn.T.INV((1-$Z$4),$AB$4))+pREFs!AZ7))))))</f>
        <v>140.5</v>
      </c>
      <c r="BA11" s="48">
        <f>IF($X$6=0,IF(pREFs!BA7=0,0,IF((pREFs!BA7*BA12*(_xlfn.NORM.INV((1-$Z$4),$Z$5,$Z$6))+pREFs!BA7)&lt;$AB$5,$AB$5,IF((pREFs!BA7*BA12*(_xlfn.NORM.INV((1-$Z$4),$Z$5,$Z$6))+pREFs!BA7)&gt;$AB$6,$AB$6,(pREFs!BA7*BA12*(_xlfn.NORM.INV((1-$Z$4),$Z$5,$Z$6))+pREFs!BA7)))),IF($X$6=1,IF(pREFs!BA7=0,0,IF((pREFs!BA7*BA12*(_xlfn.T.INV((1-$Z$4),$AB$4))+pREFs!BA7)&lt;$AB$5,$AB$5,IF((pREFs!BA7*BA12*(_xlfn.T.INV((1-$Z$4),$AB$4))+pREFs!BA7)&gt;$AB$6,$AB$6,(pREFs!BA7*BA12*(_xlfn.T.INV((1-$Z$4),$AB$4))+pREFs!BA7))))))</f>
        <v>140.5</v>
      </c>
      <c r="BB11" s="48">
        <f>IF($X$6=0,IF(pREFs!BB7=0,0,IF((pREFs!BB7*BB12*(_xlfn.NORM.INV((1-$Z$4),$Z$5,$Z$6))+pREFs!BB7)&lt;$AB$5,$AB$5,IF((pREFs!BB7*BB12*(_xlfn.NORM.INV((1-$Z$4),$Z$5,$Z$6))+pREFs!BB7)&gt;$AB$6,$AB$6,(pREFs!BB7*BB12*(_xlfn.NORM.INV((1-$Z$4),$Z$5,$Z$6))+pREFs!BB7)))),IF($X$6=1,IF(pREFs!BB7=0,0,IF((pREFs!BB7*BB12*(_xlfn.T.INV((1-$Z$4),$AB$4))+pREFs!BB7)&lt;$AB$5,$AB$5,IF((pREFs!BB7*BB12*(_xlfn.T.INV((1-$Z$4),$AB$4))+pREFs!BB7)&gt;$AB$6,$AB$6,(pREFs!BB7*BB12*(_xlfn.T.INV((1-$Z$4),$AB$4))+pREFs!BB7))))))</f>
        <v>140.5</v>
      </c>
      <c r="BC11" s="48">
        <f>IF($X$6=0,IF(pREFs!BC7=0,0,IF((pREFs!BC7*BC12*(_xlfn.NORM.INV((1-$Z$4),$Z$5,$Z$6))+pREFs!BC7)&lt;$AB$5,$AB$5,IF((pREFs!BC7*BC12*(_xlfn.NORM.INV((1-$Z$4),$Z$5,$Z$6))+pREFs!BC7)&gt;$AB$6,$AB$6,(pREFs!BC7*BC12*(_xlfn.NORM.INV((1-$Z$4),$Z$5,$Z$6))+pREFs!BC7)))),IF($X$6=1,IF(pREFs!BC7=0,0,IF((pREFs!BC7*BC12*(_xlfn.T.INV((1-$Z$4),$AB$4))+pREFs!BC7)&lt;$AB$5,$AB$5,IF((pREFs!BC7*BC12*(_xlfn.T.INV((1-$Z$4),$AB$4))+pREFs!BC7)&gt;$AB$6,$AB$6,(pREFs!BC7*BC12*(_xlfn.T.INV((1-$Z$4),$AB$4))+pREFs!BC7))))))</f>
        <v>140.5</v>
      </c>
      <c r="BD11" s="48">
        <f>IF($X$6=0,IF(pREFs!BD7=0,0,IF((pREFs!BD7*BD12*(_xlfn.NORM.INV((1-$Z$4),$Z$5,$Z$6))+pREFs!BD7)&lt;$AB$5,$AB$5,IF((pREFs!BD7*BD12*(_xlfn.NORM.INV((1-$Z$4),$Z$5,$Z$6))+pREFs!BD7)&gt;$AB$6,$AB$6,(pREFs!BD7*BD12*(_xlfn.NORM.INV((1-$Z$4),$Z$5,$Z$6))+pREFs!BD7)))),IF($X$6=1,IF(pREFs!BD7=0,0,IF((pREFs!BD7*BD12*(_xlfn.T.INV((1-$Z$4),$AB$4))+pREFs!BD7)&lt;$AB$5,$AB$5,IF((pREFs!BD7*BD12*(_xlfn.T.INV((1-$Z$4),$AB$4))+pREFs!BD7)&gt;$AB$6,$AB$6,(pREFs!BD7*BD12*(_xlfn.T.INV((1-$Z$4),$AB$4))+pREFs!BD7))))))</f>
        <v>140.5</v>
      </c>
      <c r="BE11" s="48">
        <f>IF($X$6=0,IF(pREFs!BE7=0,0,IF((pREFs!BE7*BE12*(_xlfn.NORM.INV((1-$Z$4),$Z$5,$Z$6))+pREFs!BE7)&lt;$AB$5,$AB$5,IF((pREFs!BE7*BE12*(_xlfn.NORM.INV((1-$Z$4),$Z$5,$Z$6))+pREFs!BE7)&gt;$AB$6,$AB$6,(pREFs!BE7*BE12*(_xlfn.NORM.INV((1-$Z$4),$Z$5,$Z$6))+pREFs!BE7)))),IF($X$6=1,IF(pREFs!BE7=0,0,IF((pREFs!BE7*BE12*(_xlfn.T.INV((1-$Z$4),$AB$4))+pREFs!BE7)&lt;$AB$5,$AB$5,IF((pREFs!BE7*BE12*(_xlfn.T.INV((1-$Z$4),$AB$4))+pREFs!BE7)&gt;$AB$6,$AB$6,(pREFs!BE7*BE12*(_xlfn.T.INV((1-$Z$4),$AB$4))+pREFs!BE7))))))</f>
        <v>140.5</v>
      </c>
      <c r="BF11" s="48">
        <f>IF($X$6=0,IF(pREFs!BF7=0,0,IF((pREFs!BF7*BF12*(_xlfn.NORM.INV((1-$Z$4),$Z$5,$Z$6))+pREFs!BF7)&lt;$AB$5,$AB$5,IF((pREFs!BF7*BF12*(_xlfn.NORM.INV((1-$Z$4),$Z$5,$Z$6))+pREFs!BF7)&gt;$AB$6,$AB$6,(pREFs!BF7*BF12*(_xlfn.NORM.INV((1-$Z$4),$Z$5,$Z$6))+pREFs!BF7)))),IF($X$6=1,IF(pREFs!BF7=0,0,IF((pREFs!BF7*BF12*(_xlfn.T.INV((1-$Z$4),$AB$4))+pREFs!BF7)&lt;$AB$5,$AB$5,IF((pREFs!BF7*BF12*(_xlfn.T.INV((1-$Z$4),$AB$4))+pREFs!BF7)&gt;$AB$6,$AB$6,(pREFs!BF7*BF12*(_xlfn.T.INV((1-$Z$4),$AB$4))+pREFs!BF7))))))</f>
        <v>140.5</v>
      </c>
      <c r="BG11" s="48">
        <f>IF($X$6=0,IF(pREFs!BG7=0,0,IF((pREFs!BG7*BG12*(_xlfn.NORM.INV((1-$Z$4),$Z$5,$Z$6))+pREFs!BG7)&lt;$AB$5,$AB$5,IF((pREFs!BG7*BG12*(_xlfn.NORM.INV((1-$Z$4),$Z$5,$Z$6))+pREFs!BG7)&gt;$AB$6,$AB$6,(pREFs!BG7*BG12*(_xlfn.NORM.INV((1-$Z$4),$Z$5,$Z$6))+pREFs!BG7)))),IF($X$6=1,IF(pREFs!BG7=0,0,IF((pREFs!BG7*BG12*(_xlfn.T.INV((1-$Z$4),$AB$4))+pREFs!BG7)&lt;$AB$5,$AB$5,IF((pREFs!BG7*BG12*(_xlfn.T.INV((1-$Z$4),$AB$4))+pREFs!BG7)&gt;$AB$6,$AB$6,(pREFs!BG7*BG12*(_xlfn.T.INV((1-$Z$4),$AB$4))+pREFs!BG7))))))</f>
        <v>140.5</v>
      </c>
      <c r="BH11" s="48">
        <f>IF($X$6=0,IF(pREFs!BH7=0,0,IF((pREFs!BH7*BH12*(_xlfn.NORM.INV((1-$Z$4),$Z$5,$Z$6))+pREFs!BH7)&lt;$AB$5,$AB$5,IF((pREFs!BH7*BH12*(_xlfn.NORM.INV((1-$Z$4),$Z$5,$Z$6))+pREFs!BH7)&gt;$AB$6,$AB$6,(pREFs!BH7*BH12*(_xlfn.NORM.INV((1-$Z$4),$Z$5,$Z$6))+pREFs!BH7)))),IF($X$6=1,IF(pREFs!BH7=0,0,IF((pREFs!BH7*BH12*(_xlfn.T.INV((1-$Z$4),$AB$4))+pREFs!BH7)&lt;$AB$5,$AB$5,IF((pREFs!BH7*BH12*(_xlfn.T.INV((1-$Z$4),$AB$4))+pREFs!BH7)&gt;$AB$6,$AB$6,(pREFs!BH7*BH12*(_xlfn.T.INV((1-$Z$4),$AB$4))+pREFs!BH7))))))</f>
        <v>140.5</v>
      </c>
      <c r="BI11" s="48">
        <f>IF($X$6=0,IF(pREFs!BI7=0,0,IF((pREFs!BI7*BI12*(_xlfn.NORM.INV((1-$Z$4),$Z$5,$Z$6))+pREFs!BI7)&lt;$AB$5,$AB$5,IF((pREFs!BI7*BI12*(_xlfn.NORM.INV((1-$Z$4),$Z$5,$Z$6))+pREFs!BI7)&gt;$AB$6,$AB$6,(pREFs!BI7*BI12*(_xlfn.NORM.INV((1-$Z$4),$Z$5,$Z$6))+pREFs!BI7)))),IF($X$6=1,IF(pREFs!BI7=0,0,IF((pREFs!BI7*BI12*(_xlfn.T.INV((1-$Z$4),$AB$4))+pREFs!BI7)&lt;$AB$5,$AB$5,IF((pREFs!BI7*BI12*(_xlfn.T.INV((1-$Z$4),$AB$4))+pREFs!BI7)&gt;$AB$6,$AB$6,(pREFs!BI7*BI12*(_xlfn.T.INV((1-$Z$4),$AB$4))+pREFs!BI7))))))</f>
        <v>140.5</v>
      </c>
      <c r="BJ11" s="49">
        <f>IF($X$6=0,IF(pREFs!BJ7=0,0,IF((pREFs!BJ7*BJ12*(_xlfn.NORM.INV((1-$Z$4),$Z$5,$Z$6))+pREFs!BJ7)&lt;$AB$5,$AB$5,IF((pREFs!BJ7*BJ12*(_xlfn.NORM.INV((1-$Z$4),$Z$5,$Z$6))+pREFs!BJ7)&gt;$AB$6,$AB$6,(pREFs!BJ7*BJ12*(_xlfn.NORM.INV((1-$Z$4),$Z$5,$Z$6))+pREFs!BJ7)))),IF($X$6=1,IF(pREFs!BJ7=0,0,IF((pREFs!BJ7*BJ12*(_xlfn.T.INV((1-$Z$4),$AB$4))+pREFs!BJ7)&lt;$AB$5,$AB$5,IF((pREFs!BJ7*BJ12*(_xlfn.T.INV((1-$Z$4),$AB$4))+pREFs!BJ7)&gt;$AB$6,$AB$6,(pREFs!BJ7*BJ12*(_xlfn.T.INV((1-$Z$4),$AB$4))+pREFs!BJ7))))))</f>
        <v>140.5</v>
      </c>
    </row>
    <row r="12" spans="1:62" ht="15.75" thickBot="1" x14ac:dyDescent="0.3">
      <c r="B12" s="22" t="s">
        <v>134</v>
      </c>
      <c r="C12" s="261">
        <f>_xlfn.IFNA(HLOOKUP(C8,$N$5:$V$6,2,0),
IF(C8&lt;RESULTADO!$F$148,0,
IF(OR(YEAR(C8)=$V$5,YEAR(C8)&gt;=$S$5),HLOOKUP(YEAR(C8),$N$5:$V$6,2,0),
IF(C8&gt;RESULTADO!$F$148,$R$6,))))</f>
        <v>0</v>
      </c>
      <c r="D12" s="261">
        <f>_xlfn.IFNA(HLOOKUP(D8,$N$5:$V$6,2,0),
IF(D8&lt;RESULTADO!$F$148,0,
IF(OR(YEAR(D8)=$V$5,YEAR(D8)&gt;=$S$5),HLOOKUP(YEAR(D8),$N$5:$V$6,2,0),
IF(D8&gt;RESULTADO!$F$148,$R$6,))))</f>
        <v>0</v>
      </c>
      <c r="E12" s="261">
        <f>_xlfn.IFNA(HLOOKUP(E8,$N$5:$V$6,2,0),
IF(E8&lt;RESULTADO!$F$148,0,
IF(OR(YEAR(E8)=$V$5,YEAR(E8)&gt;=$S$5),HLOOKUP(YEAR(E8),$N$5:$V$6,2,0),
IF(E8&gt;RESULTADO!$F$148,$R$6,))))</f>
        <v>0</v>
      </c>
      <c r="F12" s="261">
        <f>_xlfn.IFNA(HLOOKUP(F8,$N$5:$V$6,2,0),
IF(F8&lt;RESULTADO!$F$148,0,
IF(OR(YEAR(F8)=$V$5,YEAR(F8)&gt;=$S$5),HLOOKUP(YEAR(F8),$N$5:$V$6,2,0),
IF(F8&gt;RESULTADO!$F$148,$R$6,))))</f>
        <v>0</v>
      </c>
      <c r="G12" s="261">
        <f>_xlfn.IFNA(HLOOKUP(G8,$N$5:$V$6,2,0),
IF(G8&lt;RESULTADO!$F$148,0,
IF(OR(YEAR(G8)=$V$5,YEAR(G8)&gt;=$S$5),HLOOKUP(YEAR(G8),$N$5:$V$6,2,0),
IF(G8&gt;RESULTADO!$F$148,$R$6,))))</f>
        <v>0</v>
      </c>
      <c r="H12" s="261">
        <f>_xlfn.IFNA(HLOOKUP(H8,$N$5:$V$6,2,0),
IF(H8&lt;RESULTADO!$F$148,0,
IF(OR(YEAR(H8)=$V$5,YEAR(H8)&gt;=$S$5),HLOOKUP(YEAR(H8),$N$5:$V$6,2,0),
IF(H8&gt;RESULTADO!$F$148,$R$6,))))</f>
        <v>0</v>
      </c>
      <c r="I12" s="262">
        <f>_xlfn.IFNA(HLOOKUP(I8,$N$5:$V$6,2,0),
IF(I8&lt;RESULTADO!$F$148,0,
IF(OR(YEAR(I8)=$V$5,YEAR(I8)&gt;=$S$5),HLOOKUP(YEAR(I8),$N$5:$V$6,2,0),
IF(I8&gt;RESULTADO!$F$148,$R$6,))))</f>
        <v>0</v>
      </c>
      <c r="J12" s="262">
        <f>_xlfn.IFNA(HLOOKUP(J8,$N$5:$V$6,2,0),
IF(J8&lt;RESULTADO!$F$148,0,
IF(OR(YEAR(J8)=$V$5,YEAR(J8)&gt;=$S$5),HLOOKUP(YEAR(J8),$N$5:$V$6,2,0),
IF(J8&gt;RESULTADO!$F$148,$R$6,))))</f>
        <v>0</v>
      </c>
      <c r="K12" s="262">
        <f>_xlfn.IFNA(HLOOKUP(K8,$N$5:$V$6,2,0),
IF(K8&lt;RESULTADO!$F$148,0,
IF(OR(YEAR(K8)=$V$5,YEAR(K8)&gt;=$S$5),HLOOKUP(YEAR(K8),$N$5:$V$6,2,0),
IF(K8&gt;RESULTADO!$F$148,$R$6,))))</f>
        <v>0</v>
      </c>
      <c r="L12" s="261">
        <f>_xlfn.IFNA(HLOOKUP(L8,$N$5:$V$6,2,0),
IF(L8&lt;RESULTADO!$F$148,0,
IF(OR(YEAR(L8)=$V$5,YEAR(L8)&gt;=$S$5),HLOOKUP(YEAR(L8),$N$5:$V$6,2,0),
IF(L8&gt;RESULTADO!$F$148,$R$6,))))</f>
        <v>0</v>
      </c>
      <c r="M12" s="261">
        <f>_xlfn.IFNA(HLOOKUP(M8,$N$5:$V$6,2,0),
IF(M8&lt;RESULTADO!$F$148,0,
IF(OR(YEAR(M8)=$V$5,YEAR(M8)&gt;=$S$5),HLOOKUP(YEAR(M8),$N$5:$V$6,2,0),
IF(M8&gt;RESULTADO!$F$148,$R$6,))))</f>
        <v>0</v>
      </c>
      <c r="N12" s="440">
        <f>_xlfn.IFNA(HLOOKUP(N8,$N$5:$V$6,2,0),
IF(N8&lt;RESULTADO!$F$148,0,
IF(OR(YEAR(N8)=$V$5,YEAR(N8)&gt;=$S$5),HLOOKUP(YEAR(N8),$N$5:$V$6,2,0),
IF(N8&gt;RESULTADO!$F$148,$R$6,))))</f>
        <v>0.20973459501264438</v>
      </c>
      <c r="O12" s="441">
        <f>_xlfn.IFNA(HLOOKUP(O8,$N$5:$V$6,2,0),
IF(O8&lt;RESULTADO!$F$148,0,
IF(OR(YEAR(O8)=$V$5,YEAR(O8)&gt;=$S$5),HLOOKUP(YEAR(O8),$N$5:$V$6,2,0),
IF(O8&gt;RESULTADO!$F$148,$R$6,))))</f>
        <v>0.20583748790329531</v>
      </c>
      <c r="P12" s="261">
        <f>_xlfn.IFNA(HLOOKUP(P8,$N$5:$V$6,2,0),
IF(P8&lt;RESULTADO!$F$148,0,
IF(OR(YEAR(P8)=$V$5,YEAR(P8)&gt;=$S$5),HLOOKUP(YEAR(P8),$N$5:$V$6,2,0),
IF(P8&gt;RESULTADO!$F$148,$R$6,))))</f>
        <v>0.17226328152511075</v>
      </c>
      <c r="Q12" s="261">
        <f>_xlfn.IFNA(HLOOKUP(Q8,$N$5:$V$6,2,0),
IF(Q8&lt;RESULTADO!$F$148,0,
IF(OR(YEAR(Q8)=$V$5,YEAR(Q8)&gt;=$S$5),HLOOKUP(YEAR(Q8),$N$5:$V$6,2,0),
IF(Q8&gt;RESULTADO!$F$148,$R$6,))))</f>
        <v>0.14668696965573916</v>
      </c>
      <c r="R12" s="261">
        <f>_xlfn.IFNA(HLOOKUP(R8,$N$5:$V$6,2,0),
IF(R8&lt;RESULTADO!$F$148,0,
IF(OR(YEAR(R8)=$V$5,YEAR(R8)&gt;=$S$5),HLOOKUP(YEAR(R8),$N$5:$V$6,2,0),
IF(R8&gt;RESULTADO!$F$148,$R$6,))))</f>
        <v>0.11746325145259785</v>
      </c>
      <c r="S12" s="261">
        <f>_xlfn.IFNA(HLOOKUP(S8,$N$5:$V$6,2,0),
IF(S8&lt;RESULTADO!$F$148,0,
IF(OR(YEAR(S8)=$V$5,YEAR(S8)&gt;=$S$5),HLOOKUP(YEAR(S8),$N$5:$V$6,2,0),
IF(S8&gt;RESULTADO!$F$148,$R$6,))))</f>
        <v>0.11746325145259785</v>
      </c>
      <c r="T12" s="261">
        <f>_xlfn.IFNA(HLOOKUP(T8,$N$5:$V$6,2,0),
IF(T8&lt;RESULTADO!$F$148,0,
IF(OR(YEAR(T8)=$V$5,YEAR(T8)&gt;=$S$5),HLOOKUP(YEAR(T8),$N$5:$V$6,2,0),
IF(T8&gt;RESULTADO!$F$148,$R$6,))))</f>
        <v>0.11746325145259785</v>
      </c>
      <c r="U12" s="261">
        <f>_xlfn.IFNA(HLOOKUP(U8,$N$5:$V$6,2,0),
IF(U8&lt;RESULTADO!$F$148,0,
IF(OR(YEAR(U8)=$V$5,YEAR(U8)&gt;=$S$5),HLOOKUP(YEAR(U8),$N$5:$V$6,2,0),
IF(U8&gt;RESULTADO!$F$148,$R$6,))))</f>
        <v>0.11746325145259785</v>
      </c>
      <c r="V12" s="261">
        <f>_xlfn.IFNA(HLOOKUP(V8,$N$5:$V$6,2,0),
IF(V8&lt;RESULTADO!$F$148,0,
IF(OR(YEAR(V8)=$V$5,YEAR(V8)&gt;=$S$5),HLOOKUP(YEAR(V8),$N$5:$V$6,2,0),
IF(V8&gt;RESULTADO!$F$148,$R$6,))))</f>
        <v>0.11746325145259785</v>
      </c>
      <c r="W12" s="261">
        <f>_xlfn.IFNA(HLOOKUP(W8,$N$5:$V$6,2,0),
IF(W8&lt;RESULTADO!$F$148,0,
IF(OR(YEAR(W8)=$V$5,YEAR(W8)&gt;=$S$5),HLOOKUP(YEAR(W8),$N$5:$V$6,2,0),
IF(W8&gt;RESULTADO!$F$148,$R$6,))))</f>
        <v>0.11746325145259785</v>
      </c>
      <c r="X12" s="261">
        <f>_xlfn.IFNA(HLOOKUP(X8,$N$5:$V$6,2,0),
IF(X8&lt;RESULTADO!$F$148,0,
IF(OR(YEAR(X8)=$V$5,YEAR(X8)&gt;=$S$5),HLOOKUP(YEAR(X8),$N$5:$V$6,2,0),
IF(X8&gt;RESULTADO!$F$148,$R$6,))))</f>
        <v>0.11746325145259785</v>
      </c>
      <c r="Y12" s="261">
        <f>_xlfn.IFNA(HLOOKUP(Y8,$N$5:$V$6,2,0),
IF(Y8&lt;RESULTADO!$F$148,0,
IF(OR(YEAR(Y8)=$V$5,YEAR(Y8)&gt;=$S$5),HLOOKUP(YEAR(Y8),$N$5:$V$6,2,0),
IF(Y8&gt;RESULTADO!$F$148,$R$6,))))</f>
        <v>0.11746325145259785</v>
      </c>
      <c r="Z12" s="440">
        <f>_xlfn.IFNA(HLOOKUP(Z8,$N$5:$V$6,2,0),
IF(Z8&lt;RESULTADO!$F$148,0,
IF(OR(YEAR(Z8)=$V$5,YEAR(Z8)&gt;=$S$5),HLOOKUP(YEAR(Z8),$N$5:$V$6,2,0),
IF(Z8&gt;RESULTADO!$F$148,$R$6,))))</f>
        <v>0.11746325145259785</v>
      </c>
      <c r="AA12" s="441">
        <f>_xlfn.IFNA(HLOOKUP(AA8,$N$5:$V$6,2,0),
IF(AA8&lt;RESULTADO!$F$148,0,
IF(OR(YEAR(AA8)=$V$5,YEAR(AA8)&gt;=$S$5),HLOOKUP(YEAR(AA8),$N$5:$V$6,2,0),
IF(AA8&gt;RESULTADO!$F$148,$R$6,))))</f>
        <v>4.0209469540414274E-2</v>
      </c>
      <c r="AB12" s="261">
        <f>_xlfn.IFNA(HLOOKUP(AB8,$N$5:$V$6,2,0),
IF(AB8&lt;RESULTADO!$F$148,0,
IF(OR(YEAR(AB8)=$V$5,YEAR(AB8)&gt;=$S$5),HLOOKUP(YEAR(AB8),$N$5:$V$6,2,0),
IF(AB8&gt;RESULTADO!$F$148,$R$6,))))</f>
        <v>4.0209469540414274E-2</v>
      </c>
      <c r="AC12" s="261">
        <f>_xlfn.IFNA(HLOOKUP(AC8,$N$5:$V$6,2,0),
IF(AC8&lt;RESULTADO!$F$148,0,
IF(OR(YEAR(AC8)=$V$5,YEAR(AC8)&gt;=$S$5),HLOOKUP(YEAR(AC8),$N$5:$V$6,2,0),
IF(AC8&gt;RESULTADO!$F$148,$R$6,))))</f>
        <v>4.0209469540414274E-2</v>
      </c>
      <c r="AD12" s="261">
        <f>_xlfn.IFNA(HLOOKUP(AD8,$N$5:$V$6,2,0),
IF(AD8&lt;RESULTADO!$F$148,0,
IF(OR(YEAR(AD8)=$V$5,YEAR(AD8)&gt;=$S$5),HLOOKUP(YEAR(AD8),$N$5:$V$6,2,0),
IF(AD8&gt;RESULTADO!$F$148,$R$6,))))</f>
        <v>4.0209469540414274E-2</v>
      </c>
      <c r="AE12" s="261">
        <f>_xlfn.IFNA(HLOOKUP(AE8,$N$5:$V$6,2,0),
IF(AE8&lt;RESULTADO!$F$148,0,
IF(OR(YEAR(AE8)=$V$5,YEAR(AE8)&gt;=$S$5),HLOOKUP(YEAR(AE8),$N$5:$V$6,2,0),
IF(AE8&gt;RESULTADO!$F$148,$R$6,))))</f>
        <v>4.0209469540414274E-2</v>
      </c>
      <c r="AF12" s="261">
        <f>_xlfn.IFNA(HLOOKUP(AF8,$N$5:$V$6,2,0),
IF(AF8&lt;RESULTADO!$F$148,0,
IF(OR(YEAR(AF8)=$V$5,YEAR(AF8)&gt;=$S$5),HLOOKUP(YEAR(AF8),$N$5:$V$6,2,0),
IF(AF8&gt;RESULTADO!$F$148,$R$6,))))</f>
        <v>4.0209469540414274E-2</v>
      </c>
      <c r="AG12" s="262">
        <f>_xlfn.IFNA(HLOOKUP(AG8,$N$5:$V$6,2,0),
IF(AG8&lt;RESULTADO!$F$148,0,
IF(OR(YEAR(AG8)=$V$5,YEAR(AG8)&gt;=$S$5),HLOOKUP(YEAR(AG8),$N$5:$V$6,2,0),
IF(AG8&gt;RESULTADO!$F$148,$R$6,))))</f>
        <v>4.0209469540414274E-2</v>
      </c>
      <c r="AH12" s="262">
        <f>_xlfn.IFNA(HLOOKUP(AH8,$N$5:$V$6,2,0),
IF(AH8&lt;RESULTADO!$F$148,0,
IF(OR(YEAR(AH8)=$V$5,YEAR(AH8)&gt;=$S$5),HLOOKUP(YEAR(AH8),$N$5:$V$6,2,0),
IF(AH8&gt;RESULTADO!$F$148,$R$6,))))</f>
        <v>4.0209469540414274E-2</v>
      </c>
      <c r="AI12" s="262">
        <f>_xlfn.IFNA(HLOOKUP(AI8,$N$5:$V$6,2,0),
IF(AI8&lt;RESULTADO!$F$148,0,
IF(OR(YEAR(AI8)=$V$5,YEAR(AI8)&gt;=$S$5),HLOOKUP(YEAR(AI8),$N$5:$V$6,2,0),
IF(AI8&gt;RESULTADO!$F$148,$R$6,))))</f>
        <v>4.0209469540414274E-2</v>
      </c>
      <c r="AJ12" s="261">
        <f>_xlfn.IFNA(HLOOKUP(AJ8,$N$5:$V$6,2,0),
IF(AJ8&lt;RESULTADO!$F$148,0,
IF(OR(YEAR(AJ8)=$V$5,YEAR(AJ8)&gt;=$S$5),HLOOKUP(YEAR(AJ8),$N$5:$V$6,2,0),
IF(AJ8&gt;RESULTADO!$F$148,$R$6,))))</f>
        <v>4.0209469540414274E-2</v>
      </c>
      <c r="AK12" s="261">
        <f>_xlfn.IFNA(HLOOKUP(AK8,$N$5:$V$6,2,0),
IF(AK8&lt;RESULTADO!$F$148,0,
IF(OR(YEAR(AK8)=$V$5,YEAR(AK8)&gt;=$S$5),HLOOKUP(YEAR(AK8),$N$5:$V$6,2,0),
IF(AK8&gt;RESULTADO!$F$148,$R$6,))))</f>
        <v>4.0209469540414274E-2</v>
      </c>
      <c r="AL12" s="440">
        <f>_xlfn.IFNA(HLOOKUP(AL8,$N$5:$V$6,2,0),
IF(AL8&lt;RESULTADO!$F$148,0,
IF(OR(YEAR(AL8)=$V$5,YEAR(AL8)&gt;=$S$5),HLOOKUP(YEAR(AL8),$N$5:$V$6,2,0),
IF(AL8&gt;RESULTADO!$F$148,$R$6,))))</f>
        <v>4.0209469540414274E-2</v>
      </c>
      <c r="AM12" s="441">
        <f>_xlfn.IFNA(HLOOKUP(AM8,$N$5:$V$6,2,0),
IF(AM8&lt;RESULTADO!$F$148,0,
IF(OR(YEAR(AM8)=$V$5,YEAR(AM8)&gt;=$S$5),HLOOKUP(YEAR(AM8),$N$5:$V$6,2,0),
IF(AM8&gt;RESULTADO!$F$148,$R$6,))))</f>
        <v>0</v>
      </c>
      <c r="AN12" s="261">
        <f>_xlfn.IFNA(HLOOKUP(AN8,$N$5:$V$6,2,0),
IF(AN8&lt;RESULTADO!$F$148,0,
IF(OR(YEAR(AN8)=$V$5,YEAR(AN8)&gt;=$S$5),HLOOKUP(YEAR(AN8),$N$5:$V$6,2,0),
IF(AN8&gt;RESULTADO!$F$148,$R$6,))))</f>
        <v>0</v>
      </c>
      <c r="AO12" s="261">
        <f>_xlfn.IFNA(HLOOKUP(AO8,$N$5:$V$6,2,0),
IF(AO8&lt;RESULTADO!$F$148,0,
IF(OR(YEAR(AO8)=$V$5,YEAR(AO8)&gt;=$S$5),HLOOKUP(YEAR(AO8),$N$5:$V$6,2,0),
IF(AO8&gt;RESULTADO!$F$148,$R$6,))))</f>
        <v>0</v>
      </c>
      <c r="AP12" s="261">
        <f>_xlfn.IFNA(HLOOKUP(AP8,$N$5:$V$6,2,0),
IF(AP8&lt;RESULTADO!$F$148,0,
IF(OR(YEAR(AP8)=$V$5,YEAR(AP8)&gt;=$S$5),HLOOKUP(YEAR(AP8),$N$5:$V$6,2,0),
IF(AP8&gt;RESULTADO!$F$148,$R$6,))))</f>
        <v>0</v>
      </c>
      <c r="AQ12" s="261">
        <f>_xlfn.IFNA(HLOOKUP(AQ8,$N$5:$V$6,2,0),
IF(AQ8&lt;RESULTADO!$F$148,0,
IF(OR(YEAR(AQ8)=$V$5,YEAR(AQ8)&gt;=$S$5),HLOOKUP(YEAR(AQ8),$N$5:$V$6,2,0),
IF(AQ8&gt;RESULTADO!$F$148,$R$6,))))</f>
        <v>0</v>
      </c>
      <c r="AR12" s="261">
        <f>_xlfn.IFNA(HLOOKUP(AR8,$N$5:$V$6,2,0),
IF(AR8&lt;RESULTADO!$F$148,0,
IF(OR(YEAR(AR8)=$V$5,YEAR(AR8)&gt;=$S$5),HLOOKUP(YEAR(AR8),$N$5:$V$6,2,0),
IF(AR8&gt;RESULTADO!$F$148,$R$6,))))</f>
        <v>0</v>
      </c>
      <c r="AS12" s="261">
        <f>_xlfn.IFNA(HLOOKUP(AS8,$N$5:$V$6,2,0),
IF(AS8&lt;RESULTADO!$F$148,0,
IF(OR(YEAR(AS8)=$V$5,YEAR(AS8)&gt;=$S$5),HLOOKUP(YEAR(AS8),$N$5:$V$6,2,0),
IF(AS8&gt;RESULTADO!$F$148,$R$6,))))</f>
        <v>0</v>
      </c>
      <c r="AT12" s="261">
        <f>_xlfn.IFNA(HLOOKUP(AT8,$N$5:$V$6,2,0),
IF(AT8&lt;RESULTADO!$F$148,0,
IF(OR(YEAR(AT8)=$V$5,YEAR(AT8)&gt;=$S$5),HLOOKUP(YEAR(AT8),$N$5:$V$6,2,0),
IF(AT8&gt;RESULTADO!$F$148,$R$6,))))</f>
        <v>0</v>
      </c>
      <c r="AU12" s="261">
        <f>_xlfn.IFNA(HLOOKUP(AU8,$N$5:$V$6,2,0),
IF(AU8&lt;RESULTADO!$F$148,0,
IF(OR(YEAR(AU8)=$V$5,YEAR(AU8)&gt;=$S$5),HLOOKUP(YEAR(AU8),$N$5:$V$6,2,0),
IF(AU8&gt;RESULTADO!$F$148,$R$6,))))</f>
        <v>0</v>
      </c>
      <c r="AV12" s="261">
        <f>_xlfn.IFNA(HLOOKUP(AV8,$N$5:$V$6,2,0),
IF(AV8&lt;RESULTADO!$F$148,0,
IF(OR(YEAR(AV8)=$V$5,YEAR(AV8)&gt;=$S$5),HLOOKUP(YEAR(AV8),$N$5:$V$6,2,0),
IF(AV8&gt;RESULTADO!$F$148,$R$6,))))</f>
        <v>0</v>
      </c>
      <c r="AW12" s="261">
        <f>_xlfn.IFNA(HLOOKUP(AW8,$N$5:$V$6,2,0),
IF(AW8&lt;RESULTADO!$F$148,0,
IF(OR(YEAR(AW8)=$V$5,YEAR(AW8)&gt;=$S$5),HLOOKUP(YEAR(AW8),$N$5:$V$6,2,0),
IF(AW8&gt;RESULTADO!$F$148,$R$6,))))</f>
        <v>0</v>
      </c>
      <c r="AX12" s="440">
        <f>_xlfn.IFNA(HLOOKUP(AX8,$N$5:$V$6,2,0),
IF(AX8&lt;RESULTADO!$F$148,0,
IF(OR(YEAR(AX8)=$V$5,YEAR(AX8)&gt;=$S$5),HLOOKUP(YEAR(AX8),$N$5:$V$6,2,0),
IF(AX8&gt;RESULTADO!$F$148,$R$6,))))</f>
        <v>0</v>
      </c>
      <c r="AY12" s="441">
        <f>_xlfn.IFNA(HLOOKUP(AY8,$N$5:$V$6,2,0),
IF(AY8&lt;RESULTADO!$F$148,0,
IF(OR(YEAR(AY8)=$V$5,YEAR(AY8)&gt;=$S$5),HLOOKUP(YEAR(AY8),$N$5:$V$6,2,0),
IF(AY8&gt;RESULTADO!$F$148,$R$6,))))</f>
        <v>0</v>
      </c>
      <c r="AZ12" s="261">
        <f>_xlfn.IFNA(HLOOKUP(AZ8,$N$5:$V$6,2,0),
IF(AZ8&lt;RESULTADO!$F$148,0,
IF(OR(YEAR(AZ8)=$V$5,YEAR(AZ8)&gt;=$S$5),HLOOKUP(YEAR(AZ8),$N$5:$V$6,2,0),
IF(AZ8&gt;RESULTADO!$F$148,$R$6,))))</f>
        <v>0</v>
      </c>
      <c r="BA12" s="261">
        <f>_xlfn.IFNA(HLOOKUP(BA8,$N$5:$V$6,2,0),
IF(BA8&lt;RESULTADO!$F$148,0,
IF(OR(YEAR(BA8)=$V$5,YEAR(BA8)&gt;=$S$5),HLOOKUP(YEAR(BA8),$N$5:$V$6,2,0),
IF(BA8&gt;RESULTADO!$F$148,$R$6,))))</f>
        <v>0</v>
      </c>
      <c r="BB12" s="261">
        <f>_xlfn.IFNA(HLOOKUP(BB8,$N$5:$V$6,2,0),
IF(BB8&lt;RESULTADO!$F$148,0,
IF(OR(YEAR(BB8)=$V$5,YEAR(BB8)&gt;=$S$5),HLOOKUP(YEAR(BB8),$N$5:$V$6,2,0),
IF(BB8&gt;RESULTADO!$F$148,$R$6,))))</f>
        <v>0</v>
      </c>
      <c r="BC12" s="261">
        <f>_xlfn.IFNA(HLOOKUP(BC8,$N$5:$V$6,2,0),
IF(BC8&lt;RESULTADO!$F$148,0,
IF(OR(YEAR(BC8)=$V$5,YEAR(BC8)&gt;=$S$5),HLOOKUP(YEAR(BC8),$N$5:$V$6,2,0),
IF(BC8&gt;RESULTADO!$F$148,$R$6,))))</f>
        <v>0</v>
      </c>
      <c r="BD12" s="261">
        <f>_xlfn.IFNA(HLOOKUP(BD8,$N$5:$V$6,2,0),
IF(BD8&lt;RESULTADO!$F$148,0,
IF(OR(YEAR(BD8)=$V$5,YEAR(BD8)&gt;=$S$5),HLOOKUP(YEAR(BD8),$N$5:$V$6,2,0),
IF(BD8&gt;RESULTADO!$F$148,$R$6,))))</f>
        <v>0</v>
      </c>
      <c r="BE12" s="261">
        <f>_xlfn.IFNA(HLOOKUP(BE8,$N$5:$V$6,2,0),
IF(BE8&lt;RESULTADO!$F$148,0,
IF(OR(YEAR(BE8)=$V$5,YEAR(BE8)&gt;=$S$5),HLOOKUP(YEAR(BE8),$N$5:$V$6,2,0),
IF(BE8&gt;RESULTADO!$F$148,$R$6,))))</f>
        <v>0</v>
      </c>
      <c r="BF12" s="261">
        <f>_xlfn.IFNA(HLOOKUP(BF8,$N$5:$V$6,2,0),
IF(BF8&lt;RESULTADO!$F$148,0,
IF(OR(YEAR(BF8)=$V$5,YEAR(BF8)&gt;=$S$5),HLOOKUP(YEAR(BF8),$N$5:$V$6,2,0),
IF(BF8&gt;RESULTADO!$F$148,$R$6,))))</f>
        <v>0</v>
      </c>
      <c r="BG12" s="261">
        <f>_xlfn.IFNA(HLOOKUP(BG8,$N$5:$V$6,2,0),
IF(BG8&lt;RESULTADO!$F$148,0,
IF(OR(YEAR(BG8)=$V$5,YEAR(BG8)&gt;=$S$5),HLOOKUP(YEAR(BG8),$N$5:$V$6,2,0),
IF(BG8&gt;RESULTADO!$F$148,$R$6,))))</f>
        <v>0</v>
      </c>
      <c r="BH12" s="261">
        <f>_xlfn.IFNA(HLOOKUP(BH8,$N$5:$V$6,2,0),
IF(BH8&lt;RESULTADO!$F$148,0,
IF(OR(YEAR(BH8)=$V$5,YEAR(BH8)&gt;=$S$5),HLOOKUP(YEAR(BH8),$N$5:$V$6,2,0),
IF(BH8&gt;RESULTADO!$F$148,$R$6,))))</f>
        <v>0</v>
      </c>
      <c r="BI12" s="261">
        <f>_xlfn.IFNA(HLOOKUP(BI8,$N$5:$V$6,2,0),
IF(BI8&lt;RESULTADO!$F$148,0,
IF(OR(YEAR(BI8)=$V$5,YEAR(BI8)&gt;=$S$5),HLOOKUP(YEAR(BI8),$N$5:$V$6,2,0),
IF(BI8&gt;RESULTADO!$F$148,$R$6,))))</f>
        <v>0</v>
      </c>
      <c r="BJ12" s="263">
        <f>_xlfn.IFNA(HLOOKUP(BJ8,$N$5:$V$6,2,0),
IF(BJ8&lt;RESULTADO!$F$148,0,
IF(OR(YEAR(BJ8)=$V$5,YEAR(BJ8)&gt;=$S$5),HLOOKUP(YEAR(BJ8),$N$5:$V$6,2,0),
IF(BJ8&gt;RESULTADO!$F$148,$R$6,))))</f>
        <v>0</v>
      </c>
    </row>
    <row r="14" spans="1:62" ht="15.75" thickBot="1" x14ac:dyDescent="0.3">
      <c r="B14" s="35" t="s">
        <v>113</v>
      </c>
      <c r="C14" s="26">
        <f>C8</f>
        <v>44562</v>
      </c>
      <c r="D14" s="26">
        <f t="shared" ref="D14:BJ14" si="0">D8</f>
        <v>44593</v>
      </c>
      <c r="E14" s="26">
        <f t="shared" si="0"/>
        <v>44621</v>
      </c>
      <c r="F14" s="26">
        <f t="shared" si="0"/>
        <v>44652</v>
      </c>
      <c r="G14" s="26">
        <f t="shared" si="0"/>
        <v>44682</v>
      </c>
      <c r="H14" s="26">
        <f t="shared" si="0"/>
        <v>44713</v>
      </c>
      <c r="I14" s="26">
        <f t="shared" si="0"/>
        <v>44743</v>
      </c>
      <c r="J14" s="26">
        <f t="shared" si="0"/>
        <v>44774</v>
      </c>
      <c r="K14" s="26">
        <f t="shared" si="0"/>
        <v>44805</v>
      </c>
      <c r="L14" s="26">
        <f t="shared" si="0"/>
        <v>44835</v>
      </c>
      <c r="M14" s="26">
        <f t="shared" si="0"/>
        <v>44866</v>
      </c>
      <c r="N14" s="382">
        <f t="shared" si="0"/>
        <v>44896</v>
      </c>
      <c r="O14" s="383">
        <f t="shared" si="0"/>
        <v>44927</v>
      </c>
      <c r="P14" s="26">
        <f t="shared" si="0"/>
        <v>44958</v>
      </c>
      <c r="Q14" s="26">
        <f t="shared" si="0"/>
        <v>44986</v>
      </c>
      <c r="R14" s="26">
        <f t="shared" si="0"/>
        <v>45017</v>
      </c>
      <c r="S14" s="26">
        <f t="shared" si="0"/>
        <v>45047</v>
      </c>
      <c r="T14" s="26">
        <f t="shared" si="0"/>
        <v>45078</v>
      </c>
      <c r="U14" s="26">
        <f t="shared" si="0"/>
        <v>45108</v>
      </c>
      <c r="V14" s="26">
        <f t="shared" si="0"/>
        <v>45139</v>
      </c>
      <c r="W14" s="26">
        <f t="shared" si="0"/>
        <v>45170</v>
      </c>
      <c r="X14" s="26">
        <f t="shared" si="0"/>
        <v>45200</v>
      </c>
      <c r="Y14" s="26">
        <f t="shared" si="0"/>
        <v>45231</v>
      </c>
      <c r="Z14" s="382">
        <f t="shared" si="0"/>
        <v>45261</v>
      </c>
      <c r="AA14" s="383">
        <f t="shared" si="0"/>
        <v>45292</v>
      </c>
      <c r="AB14" s="26">
        <f t="shared" si="0"/>
        <v>45323</v>
      </c>
      <c r="AC14" s="26">
        <f t="shared" si="0"/>
        <v>45352</v>
      </c>
      <c r="AD14" s="26">
        <f t="shared" si="0"/>
        <v>45383</v>
      </c>
      <c r="AE14" s="26">
        <f t="shared" si="0"/>
        <v>45413</v>
      </c>
      <c r="AF14" s="26">
        <f t="shared" si="0"/>
        <v>45444</v>
      </c>
      <c r="AG14" s="26">
        <f t="shared" si="0"/>
        <v>45474</v>
      </c>
      <c r="AH14" s="26">
        <f t="shared" si="0"/>
        <v>45505</v>
      </c>
      <c r="AI14" s="26">
        <f t="shared" si="0"/>
        <v>45536</v>
      </c>
      <c r="AJ14" s="26">
        <f t="shared" si="0"/>
        <v>45566</v>
      </c>
      <c r="AK14" s="26">
        <f t="shared" si="0"/>
        <v>45597</v>
      </c>
      <c r="AL14" s="382">
        <f t="shared" si="0"/>
        <v>45627</v>
      </c>
      <c r="AM14" s="383">
        <f t="shared" si="0"/>
        <v>45658</v>
      </c>
      <c r="AN14" s="26">
        <f t="shared" si="0"/>
        <v>45689</v>
      </c>
      <c r="AO14" s="26">
        <f t="shared" si="0"/>
        <v>45717</v>
      </c>
      <c r="AP14" s="26">
        <f t="shared" si="0"/>
        <v>45748</v>
      </c>
      <c r="AQ14" s="26">
        <f t="shared" si="0"/>
        <v>45778</v>
      </c>
      <c r="AR14" s="26">
        <f t="shared" si="0"/>
        <v>45809</v>
      </c>
      <c r="AS14" s="26">
        <f t="shared" si="0"/>
        <v>45839</v>
      </c>
      <c r="AT14" s="26">
        <f t="shared" si="0"/>
        <v>45870</v>
      </c>
      <c r="AU14" s="26">
        <f t="shared" si="0"/>
        <v>45901</v>
      </c>
      <c r="AV14" s="26">
        <f t="shared" si="0"/>
        <v>45931</v>
      </c>
      <c r="AW14" s="26">
        <f t="shared" si="0"/>
        <v>45962</v>
      </c>
      <c r="AX14" s="382">
        <f t="shared" si="0"/>
        <v>45992</v>
      </c>
      <c r="AY14" s="383">
        <f t="shared" si="0"/>
        <v>46023</v>
      </c>
      <c r="AZ14" s="26">
        <f t="shared" si="0"/>
        <v>46054</v>
      </c>
      <c r="BA14" s="26">
        <f t="shared" si="0"/>
        <v>46082</v>
      </c>
      <c r="BB14" s="26">
        <f t="shared" si="0"/>
        <v>46113</v>
      </c>
      <c r="BC14" s="26">
        <f t="shared" si="0"/>
        <v>46143</v>
      </c>
      <c r="BD14" s="26">
        <f t="shared" si="0"/>
        <v>46174</v>
      </c>
      <c r="BE14" s="26">
        <f t="shared" si="0"/>
        <v>46204</v>
      </c>
      <c r="BF14" s="26">
        <f t="shared" si="0"/>
        <v>46235</v>
      </c>
      <c r="BG14" s="26">
        <f t="shared" si="0"/>
        <v>46266</v>
      </c>
      <c r="BH14" s="26">
        <f t="shared" si="0"/>
        <v>46296</v>
      </c>
      <c r="BI14" s="26">
        <f t="shared" si="0"/>
        <v>46327</v>
      </c>
      <c r="BJ14" s="26">
        <f t="shared" si="0"/>
        <v>46357</v>
      </c>
    </row>
    <row r="15" spans="1:62" x14ac:dyDescent="0.25">
      <c r="A15" s="7"/>
      <c r="B15" s="16" t="s">
        <v>114</v>
      </c>
      <c r="C15" s="18">
        <f>pREFs!C12</f>
        <v>1.0000000000005116E-2</v>
      </c>
      <c r="D15" s="18">
        <f>pREFs!D12</f>
        <v>0</v>
      </c>
      <c r="E15" s="18">
        <f>pREFs!E12</f>
        <v>0</v>
      </c>
      <c r="F15" s="18">
        <f>pREFs!F12</f>
        <v>0</v>
      </c>
      <c r="G15" s="18">
        <f>pREFs!G12</f>
        <v>0</v>
      </c>
      <c r="H15" s="18">
        <f>pREFs!H12</f>
        <v>0</v>
      </c>
      <c r="I15" s="18">
        <f>pREFs!I12</f>
        <v>0</v>
      </c>
      <c r="J15" s="18">
        <f>pREFs!J12</f>
        <v>0</v>
      </c>
      <c r="K15" s="18">
        <f>pREFs!K12</f>
        <v>0</v>
      </c>
      <c r="L15" s="18">
        <f>pREFs!L12</f>
        <v>0</v>
      </c>
      <c r="M15" s="18">
        <f>pREFs!M12</f>
        <v>0</v>
      </c>
      <c r="N15" s="402">
        <f>pREFs!N12</f>
        <v>0</v>
      </c>
      <c r="O15" s="403">
        <f>pREFs!O12</f>
        <v>0</v>
      </c>
      <c r="P15" s="18">
        <f>pREFs!P12</f>
        <v>0</v>
      </c>
      <c r="Q15" s="18">
        <f>pREFs!Q12</f>
        <v>0</v>
      </c>
      <c r="R15" s="18">
        <f>pREFs!R12</f>
        <v>0</v>
      </c>
      <c r="S15" s="18">
        <f>pREFs!S12</f>
        <v>0</v>
      </c>
      <c r="T15" s="18">
        <f>pREFs!T12</f>
        <v>0</v>
      </c>
      <c r="U15" s="18">
        <f>pREFs!U12</f>
        <v>0</v>
      </c>
      <c r="V15" s="18">
        <f>pREFs!V12</f>
        <v>0</v>
      </c>
      <c r="W15" s="18">
        <f>pREFs!W12</f>
        <v>0</v>
      </c>
      <c r="X15" s="18">
        <f>pREFs!X12</f>
        <v>0</v>
      </c>
      <c r="Y15" s="18">
        <f>pREFs!Y12</f>
        <v>0</v>
      </c>
      <c r="Z15" s="402">
        <f>pREFs!Z12</f>
        <v>0</v>
      </c>
      <c r="AA15" s="403">
        <f>pREFs!AA12</f>
        <v>0</v>
      </c>
      <c r="AB15" s="18">
        <f>pREFs!AB12</f>
        <v>0</v>
      </c>
      <c r="AC15" s="18">
        <f>pREFs!AC12</f>
        <v>0</v>
      </c>
      <c r="AD15" s="18">
        <f>pREFs!AD12</f>
        <v>0</v>
      </c>
      <c r="AE15" s="18">
        <f>pREFs!AE12</f>
        <v>0</v>
      </c>
      <c r="AF15" s="18">
        <f>pREFs!AF12</f>
        <v>0</v>
      </c>
      <c r="AG15" s="18">
        <f>pREFs!AG12</f>
        <v>0</v>
      </c>
      <c r="AH15" s="18">
        <f>pREFs!AH12</f>
        <v>0</v>
      </c>
      <c r="AI15" s="18">
        <f>pREFs!AI12</f>
        <v>0</v>
      </c>
      <c r="AJ15" s="18">
        <f>pREFs!AJ12</f>
        <v>0</v>
      </c>
      <c r="AK15" s="18">
        <f>pREFs!AK12</f>
        <v>0</v>
      </c>
      <c r="AL15" s="402">
        <f>pREFs!AL12</f>
        <v>0</v>
      </c>
      <c r="AM15" s="403">
        <f>pREFs!AM12</f>
        <v>0</v>
      </c>
      <c r="AN15" s="18">
        <f>pREFs!AN12</f>
        <v>0</v>
      </c>
      <c r="AO15" s="18">
        <f>pREFs!AO12</f>
        <v>0</v>
      </c>
      <c r="AP15" s="18">
        <f>pREFs!AP12</f>
        <v>0</v>
      </c>
      <c r="AQ15" s="18">
        <f>pREFs!AQ12</f>
        <v>0</v>
      </c>
      <c r="AR15" s="18">
        <f>pREFs!AR12</f>
        <v>0</v>
      </c>
      <c r="AS15" s="18">
        <f>pREFs!AS12</f>
        <v>0</v>
      </c>
      <c r="AT15" s="18">
        <f>pREFs!AT12</f>
        <v>0</v>
      </c>
      <c r="AU15" s="18">
        <f>pREFs!AU12</f>
        <v>0</v>
      </c>
      <c r="AV15" s="18">
        <f>pREFs!AV12</f>
        <v>0</v>
      </c>
      <c r="AW15" s="18">
        <f>pREFs!AW12</f>
        <v>0</v>
      </c>
      <c r="AX15" s="402">
        <f>pREFs!AX12</f>
        <v>0</v>
      </c>
      <c r="AY15" s="403">
        <f>pREFs!AY12</f>
        <v>0</v>
      </c>
      <c r="AZ15" s="18">
        <f>pREFs!AZ12</f>
        <v>0</v>
      </c>
      <c r="BA15" s="18">
        <f>pREFs!BA12</f>
        <v>0</v>
      </c>
      <c r="BB15" s="18">
        <f>pREFs!BB12</f>
        <v>0</v>
      </c>
      <c r="BC15" s="18">
        <f>pREFs!BC12</f>
        <v>0</v>
      </c>
      <c r="BD15" s="18">
        <f>pREFs!BD12</f>
        <v>0</v>
      </c>
      <c r="BE15" s="18">
        <f>pREFs!BE12</f>
        <v>0</v>
      </c>
      <c r="BF15" s="18">
        <f>pREFs!BF12</f>
        <v>0</v>
      </c>
      <c r="BG15" s="18">
        <f>pREFs!BG12</f>
        <v>0</v>
      </c>
      <c r="BH15" s="18">
        <f>pREFs!BH12</f>
        <v>0</v>
      </c>
      <c r="BI15" s="18">
        <f>pREFs!BI12</f>
        <v>0</v>
      </c>
      <c r="BJ15" s="19">
        <f>pREFs!BJ12</f>
        <v>0</v>
      </c>
    </row>
    <row r="16" spans="1:62" x14ac:dyDescent="0.25">
      <c r="A16" s="7"/>
      <c r="B16" s="17" t="s">
        <v>115</v>
      </c>
      <c r="C16" s="18">
        <f>pREFs!C13</f>
        <v>-5.6899999999999977</v>
      </c>
      <c r="D16" s="18">
        <f>pREFs!D13</f>
        <v>0</v>
      </c>
      <c r="E16" s="18">
        <f>pREFs!E13</f>
        <v>0</v>
      </c>
      <c r="F16" s="18">
        <f>pREFs!F13</f>
        <v>0</v>
      </c>
      <c r="G16" s="18">
        <f>pREFs!G13</f>
        <v>0</v>
      </c>
      <c r="H16" s="18">
        <f>pREFs!H13</f>
        <v>0</v>
      </c>
      <c r="I16" s="18">
        <f>pREFs!I13</f>
        <v>-1.9999999999996021E-2</v>
      </c>
      <c r="J16" s="18">
        <f>pREFs!J13</f>
        <v>0</v>
      </c>
      <c r="K16" s="18">
        <f>pREFs!K13</f>
        <v>0</v>
      </c>
      <c r="L16" s="18">
        <f>pREFs!L13</f>
        <v>0</v>
      </c>
      <c r="M16" s="18">
        <f>pREFs!M13</f>
        <v>0</v>
      </c>
      <c r="N16" s="402">
        <f>pREFs!N13</f>
        <v>0</v>
      </c>
      <c r="O16" s="403">
        <f>pREFs!O13</f>
        <v>0</v>
      </c>
      <c r="P16" s="18">
        <f>pREFs!P13</f>
        <v>0</v>
      </c>
      <c r="Q16" s="18">
        <f>pREFs!Q13</f>
        <v>0</v>
      </c>
      <c r="R16" s="18">
        <f>pREFs!R13</f>
        <v>0</v>
      </c>
      <c r="S16" s="18">
        <f>pREFs!S13</f>
        <v>0</v>
      </c>
      <c r="T16" s="18">
        <f>pREFs!T13</f>
        <v>0</v>
      </c>
      <c r="U16" s="18">
        <f>pREFs!U13</f>
        <v>0</v>
      </c>
      <c r="V16" s="18">
        <f>pREFs!V13</f>
        <v>0</v>
      </c>
      <c r="W16" s="18">
        <f>pREFs!W13</f>
        <v>0</v>
      </c>
      <c r="X16" s="18">
        <f>pREFs!X13</f>
        <v>0</v>
      </c>
      <c r="Y16" s="18">
        <f>pREFs!Y13</f>
        <v>0</v>
      </c>
      <c r="Z16" s="402">
        <f>pREFs!Z13</f>
        <v>0</v>
      </c>
      <c r="AA16" s="403">
        <f>pREFs!AA13</f>
        <v>0</v>
      </c>
      <c r="AB16" s="18">
        <f>pREFs!AB13</f>
        <v>0</v>
      </c>
      <c r="AC16" s="18">
        <f>pREFs!AC13</f>
        <v>0</v>
      </c>
      <c r="AD16" s="18">
        <f>pREFs!AD13</f>
        <v>0</v>
      </c>
      <c r="AE16" s="18">
        <f>pREFs!AE13</f>
        <v>0</v>
      </c>
      <c r="AF16" s="18">
        <f>pREFs!AF13</f>
        <v>0</v>
      </c>
      <c r="AG16" s="18">
        <f>pREFs!AG13</f>
        <v>0</v>
      </c>
      <c r="AH16" s="18">
        <f>pREFs!AH13</f>
        <v>0</v>
      </c>
      <c r="AI16" s="18">
        <f>pREFs!AI13</f>
        <v>0</v>
      </c>
      <c r="AJ16" s="18">
        <f>pREFs!AJ13</f>
        <v>0</v>
      </c>
      <c r="AK16" s="18">
        <f>pREFs!AK13</f>
        <v>0</v>
      </c>
      <c r="AL16" s="402">
        <f>pREFs!AL13</f>
        <v>0</v>
      </c>
      <c r="AM16" s="403">
        <f>pREFs!AM13</f>
        <v>0</v>
      </c>
      <c r="AN16" s="18">
        <f>pREFs!AN13</f>
        <v>0</v>
      </c>
      <c r="AO16" s="18">
        <f>pREFs!AO13</f>
        <v>0</v>
      </c>
      <c r="AP16" s="18">
        <f>pREFs!AP13</f>
        <v>0</v>
      </c>
      <c r="AQ16" s="18">
        <f>pREFs!AQ13</f>
        <v>0</v>
      </c>
      <c r="AR16" s="18">
        <f>pREFs!AR13</f>
        <v>0</v>
      </c>
      <c r="AS16" s="18">
        <f>pREFs!AS13</f>
        <v>0</v>
      </c>
      <c r="AT16" s="18">
        <f>pREFs!AT13</f>
        <v>0</v>
      </c>
      <c r="AU16" s="18">
        <f>pREFs!AU13</f>
        <v>0</v>
      </c>
      <c r="AV16" s="18">
        <f>pREFs!AV13</f>
        <v>0</v>
      </c>
      <c r="AW16" s="18">
        <f>pREFs!AW13</f>
        <v>0</v>
      </c>
      <c r="AX16" s="402">
        <f>pREFs!AX13</f>
        <v>0</v>
      </c>
      <c r="AY16" s="403">
        <f>pREFs!AY13</f>
        <v>0</v>
      </c>
      <c r="AZ16" s="18">
        <f>pREFs!AZ13</f>
        <v>0</v>
      </c>
      <c r="BA16" s="18">
        <f>pREFs!BA13</f>
        <v>0</v>
      </c>
      <c r="BB16" s="18">
        <f>pREFs!BB13</f>
        <v>0</v>
      </c>
      <c r="BC16" s="18">
        <f>pREFs!BC13</f>
        <v>0</v>
      </c>
      <c r="BD16" s="18">
        <f>pREFs!BD13</f>
        <v>0</v>
      </c>
      <c r="BE16" s="18">
        <f>pREFs!BE13</f>
        <v>0</v>
      </c>
      <c r="BF16" s="18">
        <f>pREFs!BF13</f>
        <v>0</v>
      </c>
      <c r="BG16" s="18">
        <f>pREFs!BG13</f>
        <v>0</v>
      </c>
      <c r="BH16" s="18">
        <f>pREFs!BH13</f>
        <v>0</v>
      </c>
      <c r="BI16" s="18">
        <f>pREFs!BI13</f>
        <v>0</v>
      </c>
      <c r="BJ16" s="19">
        <f>pREFs!BJ13</f>
        <v>0</v>
      </c>
    </row>
    <row r="17" spans="1:90" ht="15.75" thickBot="1" x14ac:dyDescent="0.3">
      <c r="A17" s="7"/>
      <c r="B17" s="22" t="s">
        <v>116</v>
      </c>
      <c r="C17" s="23">
        <f>pREFs!C14</f>
        <v>-7.1999999999999957</v>
      </c>
      <c r="D17" s="23">
        <f>pREFs!D14</f>
        <v>0</v>
      </c>
      <c r="E17" s="23">
        <f>pREFs!E14</f>
        <v>0</v>
      </c>
      <c r="F17" s="23">
        <f>pREFs!F14</f>
        <v>0</v>
      </c>
      <c r="G17" s="23">
        <f>pREFs!G14</f>
        <v>0</v>
      </c>
      <c r="H17" s="23">
        <f>pREFs!H14</f>
        <v>0</v>
      </c>
      <c r="I17" s="23">
        <f>pREFs!I14</f>
        <v>0</v>
      </c>
      <c r="J17" s="23">
        <f>pREFs!J14</f>
        <v>0</v>
      </c>
      <c r="K17" s="23">
        <f>pREFs!K14</f>
        <v>0</v>
      </c>
      <c r="L17" s="23">
        <f>pREFs!L14</f>
        <v>0</v>
      </c>
      <c r="M17" s="23">
        <f>pREFs!M14</f>
        <v>0</v>
      </c>
      <c r="N17" s="404">
        <f>pREFs!N14</f>
        <v>0</v>
      </c>
      <c r="O17" s="405">
        <f>pREFs!O14</f>
        <v>0</v>
      </c>
      <c r="P17" s="23">
        <f>pREFs!P14</f>
        <v>0</v>
      </c>
      <c r="Q17" s="23">
        <f>pREFs!Q14</f>
        <v>0</v>
      </c>
      <c r="R17" s="23">
        <f>pREFs!R14</f>
        <v>0</v>
      </c>
      <c r="S17" s="23">
        <f>pREFs!S14</f>
        <v>0</v>
      </c>
      <c r="T17" s="23">
        <f>pREFs!T14</f>
        <v>0</v>
      </c>
      <c r="U17" s="23">
        <f>pREFs!U14</f>
        <v>0</v>
      </c>
      <c r="V17" s="23">
        <f>pREFs!V14</f>
        <v>0</v>
      </c>
      <c r="W17" s="23">
        <f>pREFs!W14</f>
        <v>0</v>
      </c>
      <c r="X17" s="23">
        <f>pREFs!X14</f>
        <v>0</v>
      </c>
      <c r="Y17" s="23">
        <f>pREFs!Y14</f>
        <v>0</v>
      </c>
      <c r="Z17" s="404">
        <f>pREFs!Z14</f>
        <v>0</v>
      </c>
      <c r="AA17" s="405">
        <f>pREFs!AA14</f>
        <v>0</v>
      </c>
      <c r="AB17" s="23">
        <f>pREFs!AB14</f>
        <v>0</v>
      </c>
      <c r="AC17" s="23">
        <f>pREFs!AC14</f>
        <v>0</v>
      </c>
      <c r="AD17" s="23">
        <f>pREFs!AD14</f>
        <v>0</v>
      </c>
      <c r="AE17" s="23">
        <f>pREFs!AE14</f>
        <v>0</v>
      </c>
      <c r="AF17" s="23">
        <f>pREFs!AF14</f>
        <v>0</v>
      </c>
      <c r="AG17" s="23">
        <f>pREFs!AG14</f>
        <v>0</v>
      </c>
      <c r="AH17" s="23">
        <f>pREFs!AH14</f>
        <v>0</v>
      </c>
      <c r="AI17" s="23">
        <f>pREFs!AI14</f>
        <v>0</v>
      </c>
      <c r="AJ17" s="23">
        <f>pREFs!AJ14</f>
        <v>0</v>
      </c>
      <c r="AK17" s="23">
        <f>pREFs!AK14</f>
        <v>0</v>
      </c>
      <c r="AL17" s="404">
        <f>pREFs!AL14</f>
        <v>0</v>
      </c>
      <c r="AM17" s="405">
        <f>pREFs!AM14</f>
        <v>0</v>
      </c>
      <c r="AN17" s="23">
        <f>pREFs!AN14</f>
        <v>0</v>
      </c>
      <c r="AO17" s="23">
        <f>pREFs!AO14</f>
        <v>0</v>
      </c>
      <c r="AP17" s="23">
        <f>pREFs!AP14</f>
        <v>0</v>
      </c>
      <c r="AQ17" s="23">
        <f>pREFs!AQ14</f>
        <v>0</v>
      </c>
      <c r="AR17" s="23">
        <f>pREFs!AR14</f>
        <v>0</v>
      </c>
      <c r="AS17" s="23">
        <f>pREFs!AS14</f>
        <v>0</v>
      </c>
      <c r="AT17" s="23">
        <f>pREFs!AT14</f>
        <v>0</v>
      </c>
      <c r="AU17" s="23">
        <f>pREFs!AU14</f>
        <v>0</v>
      </c>
      <c r="AV17" s="23">
        <f>pREFs!AV14</f>
        <v>0</v>
      </c>
      <c r="AW17" s="23">
        <f>pREFs!AW14</f>
        <v>0</v>
      </c>
      <c r="AX17" s="404">
        <f>pREFs!AX14</f>
        <v>0</v>
      </c>
      <c r="AY17" s="405">
        <f>pREFs!AY14</f>
        <v>0</v>
      </c>
      <c r="AZ17" s="23">
        <f>pREFs!AZ14</f>
        <v>0</v>
      </c>
      <c r="BA17" s="23">
        <f>pREFs!BA14</f>
        <v>0</v>
      </c>
      <c r="BB17" s="23">
        <f>pREFs!BB14</f>
        <v>0</v>
      </c>
      <c r="BC17" s="23">
        <f>pREFs!BC14</f>
        <v>0</v>
      </c>
      <c r="BD17" s="23">
        <f>pREFs!BD14</f>
        <v>0</v>
      </c>
      <c r="BE17" s="23">
        <f>pREFs!BE14</f>
        <v>0</v>
      </c>
      <c r="BF17" s="23">
        <f>pREFs!BF14</f>
        <v>0</v>
      </c>
      <c r="BG17" s="23">
        <f>pREFs!BG14</f>
        <v>0</v>
      </c>
      <c r="BH17" s="23">
        <f>pREFs!BH14</f>
        <v>0</v>
      </c>
      <c r="BI17" s="23">
        <f>pREFs!BI14</f>
        <v>0</v>
      </c>
      <c r="BJ17" s="24">
        <f>pREFs!BJ14</f>
        <v>0</v>
      </c>
    </row>
    <row r="18" spans="1:90" x14ac:dyDescent="0.25">
      <c r="B18" s="6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</row>
    <row r="19" spans="1:90" ht="15.75" thickBot="1" x14ac:dyDescent="0.3">
      <c r="B19" s="35" t="s">
        <v>202</v>
      </c>
      <c r="C19" s="26">
        <f>C14</f>
        <v>44562</v>
      </c>
      <c r="D19" s="26">
        <f t="shared" ref="D19:BJ19" si="1">D14</f>
        <v>44593</v>
      </c>
      <c r="E19" s="26">
        <f t="shared" si="1"/>
        <v>44621</v>
      </c>
      <c r="F19" s="26">
        <f t="shared" si="1"/>
        <v>44652</v>
      </c>
      <c r="G19" s="26">
        <f t="shared" si="1"/>
        <v>44682</v>
      </c>
      <c r="H19" s="26">
        <f t="shared" si="1"/>
        <v>44713</v>
      </c>
      <c r="I19" s="26">
        <f t="shared" si="1"/>
        <v>44743</v>
      </c>
      <c r="J19" s="26">
        <f t="shared" si="1"/>
        <v>44774</v>
      </c>
      <c r="K19" s="26">
        <f t="shared" si="1"/>
        <v>44805</v>
      </c>
      <c r="L19" s="26">
        <f t="shared" si="1"/>
        <v>44835</v>
      </c>
      <c r="M19" s="26">
        <f t="shared" si="1"/>
        <v>44866</v>
      </c>
      <c r="N19" s="382">
        <f t="shared" si="1"/>
        <v>44896</v>
      </c>
      <c r="O19" s="383">
        <f t="shared" si="1"/>
        <v>44927</v>
      </c>
      <c r="P19" s="26">
        <f t="shared" si="1"/>
        <v>44958</v>
      </c>
      <c r="Q19" s="26">
        <f t="shared" si="1"/>
        <v>44986</v>
      </c>
      <c r="R19" s="26">
        <f t="shared" si="1"/>
        <v>45017</v>
      </c>
      <c r="S19" s="26">
        <f t="shared" si="1"/>
        <v>45047</v>
      </c>
      <c r="T19" s="26">
        <f t="shared" si="1"/>
        <v>45078</v>
      </c>
      <c r="U19" s="26">
        <f t="shared" si="1"/>
        <v>45108</v>
      </c>
      <c r="V19" s="26">
        <f t="shared" si="1"/>
        <v>45139</v>
      </c>
      <c r="W19" s="26">
        <f t="shared" si="1"/>
        <v>45170</v>
      </c>
      <c r="X19" s="26">
        <f t="shared" si="1"/>
        <v>45200</v>
      </c>
      <c r="Y19" s="26">
        <f t="shared" si="1"/>
        <v>45231</v>
      </c>
      <c r="Z19" s="382">
        <f t="shared" si="1"/>
        <v>45261</v>
      </c>
      <c r="AA19" s="383">
        <f t="shared" si="1"/>
        <v>45292</v>
      </c>
      <c r="AB19" s="26">
        <f t="shared" si="1"/>
        <v>45323</v>
      </c>
      <c r="AC19" s="26">
        <f t="shared" si="1"/>
        <v>45352</v>
      </c>
      <c r="AD19" s="26">
        <f t="shared" si="1"/>
        <v>45383</v>
      </c>
      <c r="AE19" s="26">
        <f t="shared" si="1"/>
        <v>45413</v>
      </c>
      <c r="AF19" s="26">
        <f t="shared" si="1"/>
        <v>45444</v>
      </c>
      <c r="AG19" s="26">
        <f t="shared" si="1"/>
        <v>45474</v>
      </c>
      <c r="AH19" s="26">
        <f t="shared" si="1"/>
        <v>45505</v>
      </c>
      <c r="AI19" s="26">
        <f t="shared" si="1"/>
        <v>45536</v>
      </c>
      <c r="AJ19" s="26">
        <f t="shared" si="1"/>
        <v>45566</v>
      </c>
      <c r="AK19" s="26">
        <f t="shared" si="1"/>
        <v>45597</v>
      </c>
      <c r="AL19" s="382">
        <f t="shared" si="1"/>
        <v>45627</v>
      </c>
      <c r="AM19" s="383">
        <f t="shared" si="1"/>
        <v>45658</v>
      </c>
      <c r="AN19" s="26">
        <f t="shared" si="1"/>
        <v>45689</v>
      </c>
      <c r="AO19" s="26">
        <f t="shared" si="1"/>
        <v>45717</v>
      </c>
      <c r="AP19" s="26">
        <f t="shared" si="1"/>
        <v>45748</v>
      </c>
      <c r="AQ19" s="26">
        <f t="shared" si="1"/>
        <v>45778</v>
      </c>
      <c r="AR19" s="26">
        <f t="shared" si="1"/>
        <v>45809</v>
      </c>
      <c r="AS19" s="26">
        <f t="shared" si="1"/>
        <v>45839</v>
      </c>
      <c r="AT19" s="26">
        <f t="shared" si="1"/>
        <v>45870</v>
      </c>
      <c r="AU19" s="26">
        <f t="shared" si="1"/>
        <v>45901</v>
      </c>
      <c r="AV19" s="26">
        <f t="shared" si="1"/>
        <v>45931</v>
      </c>
      <c r="AW19" s="26">
        <f t="shared" si="1"/>
        <v>45962</v>
      </c>
      <c r="AX19" s="382">
        <f t="shared" si="1"/>
        <v>45992</v>
      </c>
      <c r="AY19" s="383">
        <f t="shared" si="1"/>
        <v>46023</v>
      </c>
      <c r="AZ19" s="26">
        <f t="shared" si="1"/>
        <v>46054</v>
      </c>
      <c r="BA19" s="26">
        <f t="shared" si="1"/>
        <v>46082</v>
      </c>
      <c r="BB19" s="26">
        <f t="shared" si="1"/>
        <v>46113</v>
      </c>
      <c r="BC19" s="26">
        <f t="shared" si="1"/>
        <v>46143</v>
      </c>
      <c r="BD19" s="26">
        <f t="shared" si="1"/>
        <v>46174</v>
      </c>
      <c r="BE19" s="26">
        <f t="shared" si="1"/>
        <v>46204</v>
      </c>
      <c r="BF19" s="26">
        <f t="shared" si="1"/>
        <v>46235</v>
      </c>
      <c r="BG19" s="26">
        <f t="shared" si="1"/>
        <v>46266</v>
      </c>
      <c r="BH19" s="26">
        <f t="shared" si="1"/>
        <v>46296</v>
      </c>
      <c r="BI19" s="26">
        <f t="shared" si="1"/>
        <v>46327</v>
      </c>
      <c r="BJ19" s="26">
        <f t="shared" si="1"/>
        <v>46357</v>
      </c>
    </row>
    <row r="20" spans="1:90" x14ac:dyDescent="0.25">
      <c r="A20" s="7"/>
      <c r="B20" s="16" t="s">
        <v>397</v>
      </c>
      <c r="C20" s="20">
        <f>pREFs!C17</f>
        <v>0</v>
      </c>
      <c r="D20" s="20">
        <f>pREFs!D17</f>
        <v>0</v>
      </c>
      <c r="E20" s="20">
        <f>pREFs!E17</f>
        <v>0</v>
      </c>
      <c r="F20" s="20">
        <f>pREFs!F17</f>
        <v>0</v>
      </c>
      <c r="G20" s="20">
        <f>pREFs!G17</f>
        <v>0</v>
      </c>
      <c r="H20" s="20">
        <f>pREFs!H17</f>
        <v>0</v>
      </c>
      <c r="I20" s="20">
        <f>pREFs!I17</f>
        <v>0</v>
      </c>
      <c r="J20" s="20">
        <f>pREFs!J17</f>
        <v>0</v>
      </c>
      <c r="K20" s="20">
        <f>pREFs!K17</f>
        <v>0</v>
      </c>
      <c r="L20" s="20">
        <f>pREFs!L17</f>
        <v>0</v>
      </c>
      <c r="M20" s="20">
        <f>pREFs!M17</f>
        <v>0</v>
      </c>
      <c r="N20" s="400">
        <f>pREFs!N17</f>
        <v>0</v>
      </c>
      <c r="O20" s="401">
        <f>pREFs!O17</f>
        <v>0</v>
      </c>
      <c r="P20" s="20">
        <f>pREFs!P17</f>
        <v>0</v>
      </c>
      <c r="Q20" s="20">
        <f>pREFs!Q17</f>
        <v>0</v>
      </c>
      <c r="R20" s="20">
        <f>pREFs!R17</f>
        <v>0</v>
      </c>
      <c r="S20" s="20">
        <f>pREFs!S17</f>
        <v>0</v>
      </c>
      <c r="T20" s="20">
        <f>pREFs!T17</f>
        <v>0</v>
      </c>
      <c r="U20" s="20">
        <f>pREFs!U17</f>
        <v>0</v>
      </c>
      <c r="V20" s="20">
        <f>pREFs!V17</f>
        <v>0</v>
      </c>
      <c r="W20" s="20">
        <f>pREFs!W17</f>
        <v>0</v>
      </c>
      <c r="X20" s="20">
        <f>pREFs!X17</f>
        <v>0</v>
      </c>
      <c r="Y20" s="20">
        <f>pREFs!Y17</f>
        <v>0</v>
      </c>
      <c r="Z20" s="400">
        <f>pREFs!Z17</f>
        <v>0</v>
      </c>
      <c r="AA20" s="401">
        <f>pREFs!AA17</f>
        <v>0</v>
      </c>
      <c r="AB20" s="20">
        <f>pREFs!AB17</f>
        <v>0</v>
      </c>
      <c r="AC20" s="20">
        <f>pREFs!AC17</f>
        <v>0</v>
      </c>
      <c r="AD20" s="20">
        <f>pREFs!AD17</f>
        <v>0</v>
      </c>
      <c r="AE20" s="20">
        <f>pREFs!AE17</f>
        <v>0</v>
      </c>
      <c r="AF20" s="20">
        <f>pREFs!AF17</f>
        <v>0</v>
      </c>
      <c r="AG20" s="20">
        <f>pREFs!AG17</f>
        <v>0</v>
      </c>
      <c r="AH20" s="20">
        <f>pREFs!AH17</f>
        <v>0</v>
      </c>
      <c r="AI20" s="20">
        <f>pREFs!AI17</f>
        <v>0</v>
      </c>
      <c r="AJ20" s="20">
        <f>pREFs!AJ17</f>
        <v>0</v>
      </c>
      <c r="AK20" s="20">
        <f>pREFs!AK17</f>
        <v>0</v>
      </c>
      <c r="AL20" s="400">
        <f>pREFs!AL17</f>
        <v>0</v>
      </c>
      <c r="AM20" s="401">
        <f>pREFs!AM17</f>
        <v>0</v>
      </c>
      <c r="AN20" s="20">
        <f>pREFs!AN17</f>
        <v>0</v>
      </c>
      <c r="AO20" s="20">
        <f>pREFs!AO17</f>
        <v>0</v>
      </c>
      <c r="AP20" s="20">
        <f>pREFs!AP17</f>
        <v>0</v>
      </c>
      <c r="AQ20" s="20">
        <f>pREFs!AQ17</f>
        <v>0</v>
      </c>
      <c r="AR20" s="20">
        <f>pREFs!AR17</f>
        <v>0</v>
      </c>
      <c r="AS20" s="20">
        <f>pREFs!AS17</f>
        <v>0</v>
      </c>
      <c r="AT20" s="20">
        <f>pREFs!AT17</f>
        <v>0</v>
      </c>
      <c r="AU20" s="20">
        <f>pREFs!AU17</f>
        <v>0</v>
      </c>
      <c r="AV20" s="20">
        <f>pREFs!AV17</f>
        <v>0</v>
      </c>
      <c r="AW20" s="20">
        <f>pREFs!AW17</f>
        <v>0</v>
      </c>
      <c r="AX20" s="400">
        <f>pREFs!AX17</f>
        <v>0</v>
      </c>
      <c r="AY20" s="401">
        <f>pREFs!AY17</f>
        <v>0</v>
      </c>
      <c r="AZ20" s="20">
        <f>pREFs!AZ17</f>
        <v>0</v>
      </c>
      <c r="BA20" s="20">
        <f>pREFs!BA17</f>
        <v>0</v>
      </c>
      <c r="BB20" s="20">
        <f>pREFs!BB17</f>
        <v>0</v>
      </c>
      <c r="BC20" s="20">
        <f>pREFs!BC17</f>
        <v>0</v>
      </c>
      <c r="BD20" s="20">
        <f>pREFs!BD17</f>
        <v>0</v>
      </c>
      <c r="BE20" s="20">
        <f>pREFs!BE17</f>
        <v>0</v>
      </c>
      <c r="BF20" s="20">
        <f>pREFs!BF17</f>
        <v>0</v>
      </c>
      <c r="BG20" s="20">
        <f>pREFs!BG17</f>
        <v>0</v>
      </c>
      <c r="BH20" s="20">
        <f>pREFs!BH17</f>
        <v>0</v>
      </c>
      <c r="BI20" s="20">
        <f>pREFs!BI17</f>
        <v>0</v>
      </c>
      <c r="BJ20" s="21">
        <f>pREFs!BJ17</f>
        <v>0</v>
      </c>
    </row>
    <row r="21" spans="1:90" x14ac:dyDescent="0.25">
      <c r="A21" s="7"/>
      <c r="B21" s="139" t="s">
        <v>203</v>
      </c>
      <c r="C21" s="20">
        <f>pREFs!C18</f>
        <v>0</v>
      </c>
      <c r="D21" s="20">
        <f>pREFs!D18</f>
        <v>0</v>
      </c>
      <c r="E21" s="20">
        <f>pREFs!E18</f>
        <v>0</v>
      </c>
      <c r="F21" s="20">
        <f>pREFs!F18</f>
        <v>0</v>
      </c>
      <c r="G21" s="20">
        <f>pREFs!G18</f>
        <v>0</v>
      </c>
      <c r="H21" s="20">
        <f>pREFs!H18</f>
        <v>0</v>
      </c>
      <c r="I21" s="20">
        <f>pREFs!I18</f>
        <v>0</v>
      </c>
      <c r="J21" s="20">
        <f>pREFs!J18</f>
        <v>0</v>
      </c>
      <c r="K21" s="20">
        <f>pREFs!K18</f>
        <v>0</v>
      </c>
      <c r="L21" s="20">
        <f>pREFs!L18</f>
        <v>0</v>
      </c>
      <c r="M21" s="20">
        <f>pREFs!M18</f>
        <v>0</v>
      </c>
      <c r="N21" s="400">
        <f>pREFs!N18</f>
        <v>0</v>
      </c>
      <c r="O21" s="401">
        <f>pREFs!O18</f>
        <v>0</v>
      </c>
      <c r="P21" s="20">
        <f>pREFs!P18</f>
        <v>0</v>
      </c>
      <c r="Q21" s="20">
        <f>pREFs!Q18</f>
        <v>0</v>
      </c>
      <c r="R21" s="20">
        <f>pREFs!R18</f>
        <v>0</v>
      </c>
      <c r="S21" s="20">
        <f>pREFs!S18</f>
        <v>0</v>
      </c>
      <c r="T21" s="20">
        <f>pREFs!T18</f>
        <v>0</v>
      </c>
      <c r="U21" s="20">
        <f>pREFs!U18</f>
        <v>0</v>
      </c>
      <c r="V21" s="20">
        <f>pREFs!V18</f>
        <v>0</v>
      </c>
      <c r="W21" s="20">
        <f>pREFs!W18</f>
        <v>0</v>
      </c>
      <c r="X21" s="20">
        <f>pREFs!X18</f>
        <v>0</v>
      </c>
      <c r="Y21" s="20">
        <f>pREFs!Y18</f>
        <v>0</v>
      </c>
      <c r="Z21" s="400">
        <f>pREFs!Z18</f>
        <v>0</v>
      </c>
      <c r="AA21" s="401">
        <f>pREFs!AA18</f>
        <v>0</v>
      </c>
      <c r="AB21" s="20">
        <f>pREFs!AB18</f>
        <v>0</v>
      </c>
      <c r="AC21" s="20">
        <f>pREFs!AC18</f>
        <v>0</v>
      </c>
      <c r="AD21" s="20">
        <f>pREFs!AD18</f>
        <v>0</v>
      </c>
      <c r="AE21" s="20">
        <f>pREFs!AE18</f>
        <v>0</v>
      </c>
      <c r="AF21" s="20">
        <f>pREFs!AF18</f>
        <v>0</v>
      </c>
      <c r="AG21" s="20">
        <f>pREFs!AG18</f>
        <v>0</v>
      </c>
      <c r="AH21" s="20">
        <f>pREFs!AH18</f>
        <v>0</v>
      </c>
      <c r="AI21" s="20">
        <f>pREFs!AI18</f>
        <v>0</v>
      </c>
      <c r="AJ21" s="20">
        <f>pREFs!AJ18</f>
        <v>0</v>
      </c>
      <c r="AK21" s="20">
        <f>pREFs!AK18</f>
        <v>0</v>
      </c>
      <c r="AL21" s="400">
        <f>pREFs!AL18</f>
        <v>0</v>
      </c>
      <c r="AM21" s="401">
        <f>pREFs!AM18</f>
        <v>0</v>
      </c>
      <c r="AN21" s="20">
        <f>pREFs!AN18</f>
        <v>0</v>
      </c>
      <c r="AO21" s="20">
        <f>pREFs!AO18</f>
        <v>0</v>
      </c>
      <c r="AP21" s="20">
        <f>pREFs!AP18</f>
        <v>0</v>
      </c>
      <c r="AQ21" s="20">
        <f>pREFs!AQ18</f>
        <v>0</v>
      </c>
      <c r="AR21" s="20">
        <f>pREFs!AR18</f>
        <v>0</v>
      </c>
      <c r="AS21" s="20">
        <f>pREFs!AS18</f>
        <v>0</v>
      </c>
      <c r="AT21" s="20">
        <f>pREFs!AT18</f>
        <v>0</v>
      </c>
      <c r="AU21" s="20">
        <f>pREFs!AU18</f>
        <v>0</v>
      </c>
      <c r="AV21" s="20">
        <f>pREFs!AV18</f>
        <v>0</v>
      </c>
      <c r="AW21" s="20">
        <f>pREFs!AW18</f>
        <v>0</v>
      </c>
      <c r="AX21" s="400">
        <f>pREFs!AX18</f>
        <v>0</v>
      </c>
      <c r="AY21" s="401">
        <f>pREFs!AY18</f>
        <v>0</v>
      </c>
      <c r="AZ21" s="20">
        <f>pREFs!AZ18</f>
        <v>0</v>
      </c>
      <c r="BA21" s="20">
        <f>pREFs!BA18</f>
        <v>0</v>
      </c>
      <c r="BB21" s="20">
        <f>pREFs!BB18</f>
        <v>0</v>
      </c>
      <c r="BC21" s="20">
        <f>pREFs!BC18</f>
        <v>0</v>
      </c>
      <c r="BD21" s="20">
        <f>pREFs!BD18</f>
        <v>0</v>
      </c>
      <c r="BE21" s="20">
        <f>pREFs!BE18</f>
        <v>0</v>
      </c>
      <c r="BF21" s="20">
        <f>pREFs!BF18</f>
        <v>0</v>
      </c>
      <c r="BG21" s="20">
        <f>pREFs!BG18</f>
        <v>0</v>
      </c>
      <c r="BH21" s="20">
        <f>pREFs!BH18</f>
        <v>0</v>
      </c>
      <c r="BI21" s="20">
        <f>pREFs!BI18</f>
        <v>0</v>
      </c>
      <c r="BJ21" s="140">
        <f>pREFs!BJ18</f>
        <v>0</v>
      </c>
    </row>
    <row r="22" spans="1:90" x14ac:dyDescent="0.25">
      <c r="A22" s="7"/>
      <c r="B22" s="139" t="s">
        <v>204</v>
      </c>
      <c r="C22" s="20">
        <f>pREFs!C19</f>
        <v>0</v>
      </c>
      <c r="D22" s="20">
        <f>pREFs!D19</f>
        <v>0</v>
      </c>
      <c r="E22" s="20">
        <f>pREFs!E19</f>
        <v>0</v>
      </c>
      <c r="F22" s="20">
        <f>pREFs!F19</f>
        <v>0</v>
      </c>
      <c r="G22" s="20">
        <f>pREFs!G19</f>
        <v>0</v>
      </c>
      <c r="H22" s="20">
        <f>pREFs!H19</f>
        <v>0</v>
      </c>
      <c r="I22" s="20">
        <f>pREFs!I19</f>
        <v>0</v>
      </c>
      <c r="J22" s="20">
        <f>pREFs!J19</f>
        <v>0</v>
      </c>
      <c r="K22" s="20">
        <f>pREFs!K19</f>
        <v>0</v>
      </c>
      <c r="L22" s="20">
        <f>pREFs!L19</f>
        <v>0</v>
      </c>
      <c r="M22" s="20">
        <f>pREFs!M19</f>
        <v>0</v>
      </c>
      <c r="N22" s="400">
        <f>pREFs!N19</f>
        <v>0</v>
      </c>
      <c r="O22" s="401">
        <f>pREFs!O19</f>
        <v>0</v>
      </c>
      <c r="P22" s="20">
        <f>pREFs!P19</f>
        <v>0</v>
      </c>
      <c r="Q22" s="20">
        <f>pREFs!Q19</f>
        <v>0</v>
      </c>
      <c r="R22" s="20">
        <f>pREFs!R19</f>
        <v>0</v>
      </c>
      <c r="S22" s="20">
        <f>pREFs!S19</f>
        <v>0</v>
      </c>
      <c r="T22" s="20">
        <f>pREFs!T19</f>
        <v>0</v>
      </c>
      <c r="U22" s="20">
        <f>pREFs!U19</f>
        <v>0</v>
      </c>
      <c r="V22" s="20">
        <f>pREFs!V19</f>
        <v>0</v>
      </c>
      <c r="W22" s="20">
        <f>pREFs!W19</f>
        <v>0</v>
      </c>
      <c r="X22" s="20">
        <f>pREFs!X19</f>
        <v>0</v>
      </c>
      <c r="Y22" s="20">
        <f>pREFs!Y19</f>
        <v>0</v>
      </c>
      <c r="Z22" s="400">
        <f>pREFs!Z19</f>
        <v>0</v>
      </c>
      <c r="AA22" s="401">
        <f>pREFs!AA19</f>
        <v>0</v>
      </c>
      <c r="AB22" s="20">
        <f>pREFs!AB19</f>
        <v>0</v>
      </c>
      <c r="AC22" s="20">
        <f>pREFs!AC19</f>
        <v>0</v>
      </c>
      <c r="AD22" s="20">
        <f>pREFs!AD19</f>
        <v>0</v>
      </c>
      <c r="AE22" s="20">
        <f>pREFs!AE19</f>
        <v>0</v>
      </c>
      <c r="AF22" s="20">
        <f>pREFs!AF19</f>
        <v>0</v>
      </c>
      <c r="AG22" s="20">
        <f>pREFs!AG19</f>
        <v>0</v>
      </c>
      <c r="AH22" s="20">
        <f>pREFs!AH19</f>
        <v>0</v>
      </c>
      <c r="AI22" s="20">
        <f>pREFs!AI19</f>
        <v>0</v>
      </c>
      <c r="AJ22" s="20">
        <f>pREFs!AJ19</f>
        <v>0</v>
      </c>
      <c r="AK22" s="20">
        <f>pREFs!AK19</f>
        <v>0</v>
      </c>
      <c r="AL22" s="400">
        <f>pREFs!AL19</f>
        <v>0</v>
      </c>
      <c r="AM22" s="401">
        <f>pREFs!AM19</f>
        <v>0</v>
      </c>
      <c r="AN22" s="20">
        <f>pREFs!AN19</f>
        <v>0</v>
      </c>
      <c r="AO22" s="20">
        <f>pREFs!AO19</f>
        <v>0</v>
      </c>
      <c r="AP22" s="20">
        <f>pREFs!AP19</f>
        <v>0</v>
      </c>
      <c r="AQ22" s="20">
        <f>pREFs!AQ19</f>
        <v>0</v>
      </c>
      <c r="AR22" s="20">
        <f>pREFs!AR19</f>
        <v>0</v>
      </c>
      <c r="AS22" s="20">
        <f>pREFs!AS19</f>
        <v>0</v>
      </c>
      <c r="AT22" s="20">
        <f>pREFs!AT19</f>
        <v>0</v>
      </c>
      <c r="AU22" s="20">
        <f>pREFs!AU19</f>
        <v>0</v>
      </c>
      <c r="AV22" s="20">
        <f>pREFs!AV19</f>
        <v>0</v>
      </c>
      <c r="AW22" s="20">
        <f>pREFs!AW19</f>
        <v>0</v>
      </c>
      <c r="AX22" s="400">
        <f>pREFs!AX19</f>
        <v>0</v>
      </c>
      <c r="AY22" s="401">
        <f>pREFs!AY19</f>
        <v>0</v>
      </c>
      <c r="AZ22" s="20">
        <f>pREFs!AZ19</f>
        <v>0</v>
      </c>
      <c r="BA22" s="20">
        <f>pREFs!BA19</f>
        <v>0</v>
      </c>
      <c r="BB22" s="20">
        <f>pREFs!BB19</f>
        <v>0</v>
      </c>
      <c r="BC22" s="20">
        <f>pREFs!BC19</f>
        <v>0</v>
      </c>
      <c r="BD22" s="20">
        <f>pREFs!BD19</f>
        <v>0</v>
      </c>
      <c r="BE22" s="20">
        <f>pREFs!BE19</f>
        <v>0</v>
      </c>
      <c r="BF22" s="20">
        <f>pREFs!BF19</f>
        <v>0</v>
      </c>
      <c r="BG22" s="20">
        <f>pREFs!BG19</f>
        <v>0</v>
      </c>
      <c r="BH22" s="20">
        <f>pREFs!BH19</f>
        <v>0</v>
      </c>
      <c r="BI22" s="20">
        <f>pREFs!BI19</f>
        <v>0</v>
      </c>
      <c r="BJ22" s="140">
        <f>pREFs!BJ19</f>
        <v>0</v>
      </c>
    </row>
    <row r="23" spans="1:90" x14ac:dyDescent="0.25">
      <c r="A23" s="7"/>
      <c r="B23" s="139" t="s">
        <v>205</v>
      </c>
      <c r="C23" s="20">
        <f>pREFs!C20</f>
        <v>0</v>
      </c>
      <c r="D23" s="20">
        <f>pREFs!D20</f>
        <v>0</v>
      </c>
      <c r="E23" s="20">
        <f>pREFs!E20</f>
        <v>0</v>
      </c>
      <c r="F23" s="20">
        <f>pREFs!F20</f>
        <v>0</v>
      </c>
      <c r="G23" s="20">
        <f>pREFs!G20</f>
        <v>0</v>
      </c>
      <c r="H23" s="20">
        <f>pREFs!H20</f>
        <v>0</v>
      </c>
      <c r="I23" s="20">
        <f>pREFs!I20</f>
        <v>0</v>
      </c>
      <c r="J23" s="20">
        <f>pREFs!J20</f>
        <v>0</v>
      </c>
      <c r="K23" s="20">
        <f>pREFs!K20</f>
        <v>0</v>
      </c>
      <c r="L23" s="20">
        <f>pREFs!L20</f>
        <v>0</v>
      </c>
      <c r="M23" s="20">
        <f>pREFs!M20</f>
        <v>0</v>
      </c>
      <c r="N23" s="400">
        <f>pREFs!N20</f>
        <v>0</v>
      </c>
      <c r="O23" s="401">
        <f>pREFs!O20</f>
        <v>0</v>
      </c>
      <c r="P23" s="20">
        <f>pREFs!P20</f>
        <v>0</v>
      </c>
      <c r="Q23" s="20">
        <f>pREFs!Q20</f>
        <v>0</v>
      </c>
      <c r="R23" s="20">
        <f>pREFs!R20</f>
        <v>0</v>
      </c>
      <c r="S23" s="20">
        <f>pREFs!S20</f>
        <v>0</v>
      </c>
      <c r="T23" s="20">
        <f>pREFs!T20</f>
        <v>0</v>
      </c>
      <c r="U23" s="20">
        <f>pREFs!U20</f>
        <v>0</v>
      </c>
      <c r="V23" s="20">
        <f>pREFs!V20</f>
        <v>0</v>
      </c>
      <c r="W23" s="20">
        <f>pREFs!W20</f>
        <v>0</v>
      </c>
      <c r="X23" s="20">
        <f>pREFs!X20</f>
        <v>0</v>
      </c>
      <c r="Y23" s="20">
        <f>pREFs!Y20</f>
        <v>0</v>
      </c>
      <c r="Z23" s="400">
        <f>pREFs!Z20</f>
        <v>0</v>
      </c>
      <c r="AA23" s="401">
        <f>pREFs!AA20</f>
        <v>0</v>
      </c>
      <c r="AB23" s="20">
        <f>pREFs!AB20</f>
        <v>0</v>
      </c>
      <c r="AC23" s="20">
        <f>pREFs!AC20</f>
        <v>0</v>
      </c>
      <c r="AD23" s="20">
        <f>pREFs!AD20</f>
        <v>0</v>
      </c>
      <c r="AE23" s="20">
        <f>pREFs!AE20</f>
        <v>0</v>
      </c>
      <c r="AF23" s="20">
        <f>pREFs!AF20</f>
        <v>0</v>
      </c>
      <c r="AG23" s="20">
        <f>pREFs!AG20</f>
        <v>0</v>
      </c>
      <c r="AH23" s="20">
        <f>pREFs!AH20</f>
        <v>0</v>
      </c>
      <c r="AI23" s="20">
        <f>pREFs!AI20</f>
        <v>0</v>
      </c>
      <c r="AJ23" s="20">
        <f>pREFs!AJ20</f>
        <v>0</v>
      </c>
      <c r="AK23" s="20">
        <f>pREFs!AK20</f>
        <v>0</v>
      </c>
      <c r="AL23" s="400">
        <f>pREFs!AL20</f>
        <v>0</v>
      </c>
      <c r="AM23" s="401">
        <f>pREFs!AM20</f>
        <v>0</v>
      </c>
      <c r="AN23" s="20">
        <f>pREFs!AN20</f>
        <v>0</v>
      </c>
      <c r="AO23" s="20">
        <f>pREFs!AO20</f>
        <v>0</v>
      </c>
      <c r="AP23" s="20">
        <f>pREFs!AP20</f>
        <v>0</v>
      </c>
      <c r="AQ23" s="20">
        <f>pREFs!AQ20</f>
        <v>0</v>
      </c>
      <c r="AR23" s="20">
        <f>pREFs!AR20</f>
        <v>0</v>
      </c>
      <c r="AS23" s="20">
        <f>pREFs!AS20</f>
        <v>0</v>
      </c>
      <c r="AT23" s="20">
        <f>pREFs!AT20</f>
        <v>0</v>
      </c>
      <c r="AU23" s="20">
        <f>pREFs!AU20</f>
        <v>0</v>
      </c>
      <c r="AV23" s="20">
        <f>pREFs!AV20</f>
        <v>0</v>
      </c>
      <c r="AW23" s="20">
        <f>pREFs!AW20</f>
        <v>0</v>
      </c>
      <c r="AX23" s="400">
        <f>pREFs!AX20</f>
        <v>0</v>
      </c>
      <c r="AY23" s="401">
        <f>pREFs!AY20</f>
        <v>0</v>
      </c>
      <c r="AZ23" s="20">
        <f>pREFs!AZ20</f>
        <v>0</v>
      </c>
      <c r="BA23" s="20">
        <f>pREFs!BA20</f>
        <v>0</v>
      </c>
      <c r="BB23" s="20">
        <f>pREFs!BB20</f>
        <v>0</v>
      </c>
      <c r="BC23" s="20">
        <f>pREFs!BC20</f>
        <v>0</v>
      </c>
      <c r="BD23" s="20">
        <f>pREFs!BD20</f>
        <v>0</v>
      </c>
      <c r="BE23" s="20">
        <f>pREFs!BE20</f>
        <v>0</v>
      </c>
      <c r="BF23" s="20">
        <f>pREFs!BF20</f>
        <v>0</v>
      </c>
      <c r="BG23" s="20">
        <f>pREFs!BG20</f>
        <v>0</v>
      </c>
      <c r="BH23" s="20">
        <f>pREFs!BH20</f>
        <v>0</v>
      </c>
      <c r="BI23" s="20">
        <f>pREFs!BI20</f>
        <v>0</v>
      </c>
      <c r="BJ23" s="140">
        <f>pREFs!BJ20</f>
        <v>0</v>
      </c>
    </row>
    <row r="24" spans="1:90" x14ac:dyDescent="0.25">
      <c r="A24" s="7"/>
      <c r="B24" s="25" t="s">
        <v>142</v>
      </c>
      <c r="C24" s="42">
        <f>pREFs!C21</f>
        <v>0</v>
      </c>
      <c r="D24" s="42">
        <f>pREFs!D21</f>
        <v>0</v>
      </c>
      <c r="E24" s="42">
        <f>pREFs!E21</f>
        <v>0</v>
      </c>
      <c r="F24" s="42">
        <f>pREFs!F21</f>
        <v>0</v>
      </c>
      <c r="G24" s="42">
        <f>pREFs!G21</f>
        <v>0</v>
      </c>
      <c r="H24" s="42">
        <f>pREFs!H21</f>
        <v>0</v>
      </c>
      <c r="I24" s="42">
        <f>pREFs!I21</f>
        <v>0</v>
      </c>
      <c r="J24" s="42">
        <f>pREFs!J21</f>
        <v>0</v>
      </c>
      <c r="K24" s="42">
        <f>pREFs!K21</f>
        <v>0</v>
      </c>
      <c r="L24" s="42">
        <f>pREFs!L21</f>
        <v>0</v>
      </c>
      <c r="M24" s="42">
        <f>pREFs!M21</f>
        <v>0</v>
      </c>
      <c r="N24" s="442">
        <f>pREFs!N21</f>
        <v>0</v>
      </c>
      <c r="O24" s="443">
        <f>pREFs!O21</f>
        <v>0</v>
      </c>
      <c r="P24" s="42">
        <f>pREFs!P21</f>
        <v>0</v>
      </c>
      <c r="Q24" s="42">
        <f>pREFs!Q21</f>
        <v>0</v>
      </c>
      <c r="R24" s="42">
        <f>pREFs!R21</f>
        <v>0</v>
      </c>
      <c r="S24" s="42">
        <f>pREFs!S21</f>
        <v>0</v>
      </c>
      <c r="T24" s="42">
        <f>pREFs!T21</f>
        <v>0</v>
      </c>
      <c r="U24" s="42">
        <f>pREFs!U21</f>
        <v>0</v>
      </c>
      <c r="V24" s="42">
        <f>pREFs!V21</f>
        <v>0</v>
      </c>
      <c r="W24" s="42">
        <f>pREFs!W21</f>
        <v>0</v>
      </c>
      <c r="X24" s="42">
        <f>pREFs!X21</f>
        <v>0</v>
      </c>
      <c r="Y24" s="42">
        <f>pREFs!Y21</f>
        <v>0</v>
      </c>
      <c r="Z24" s="442">
        <f>pREFs!Z21</f>
        <v>0</v>
      </c>
      <c r="AA24" s="443">
        <f>pREFs!AA21</f>
        <v>0</v>
      </c>
      <c r="AB24" s="42">
        <f>pREFs!AB21</f>
        <v>0</v>
      </c>
      <c r="AC24" s="42">
        <f>pREFs!AC21</f>
        <v>0</v>
      </c>
      <c r="AD24" s="42">
        <f>pREFs!AD21</f>
        <v>0</v>
      </c>
      <c r="AE24" s="42">
        <f>pREFs!AE21</f>
        <v>0</v>
      </c>
      <c r="AF24" s="42">
        <f>pREFs!AF21</f>
        <v>0</v>
      </c>
      <c r="AG24" s="42">
        <f>pREFs!AG21</f>
        <v>0</v>
      </c>
      <c r="AH24" s="42">
        <f>pREFs!AH21</f>
        <v>0</v>
      </c>
      <c r="AI24" s="42">
        <f>pREFs!AI21</f>
        <v>0</v>
      </c>
      <c r="AJ24" s="42">
        <f>pREFs!AJ21</f>
        <v>0</v>
      </c>
      <c r="AK24" s="42">
        <f>pREFs!AK21</f>
        <v>0</v>
      </c>
      <c r="AL24" s="442">
        <f>pREFs!AL21</f>
        <v>0</v>
      </c>
      <c r="AM24" s="443">
        <f>pREFs!AM21</f>
        <v>0</v>
      </c>
      <c r="AN24" s="42">
        <f>pREFs!AN21</f>
        <v>0</v>
      </c>
      <c r="AO24" s="42">
        <f>pREFs!AO21</f>
        <v>0</v>
      </c>
      <c r="AP24" s="42">
        <f>pREFs!AP21</f>
        <v>0</v>
      </c>
      <c r="AQ24" s="42">
        <f>pREFs!AQ21</f>
        <v>0</v>
      </c>
      <c r="AR24" s="42">
        <f>pREFs!AR21</f>
        <v>0</v>
      </c>
      <c r="AS24" s="42">
        <f>pREFs!AS21</f>
        <v>0</v>
      </c>
      <c r="AT24" s="42">
        <f>pREFs!AT21</f>
        <v>0</v>
      </c>
      <c r="AU24" s="42">
        <f>pREFs!AU21</f>
        <v>0</v>
      </c>
      <c r="AV24" s="42">
        <f>pREFs!AV21</f>
        <v>0</v>
      </c>
      <c r="AW24" s="42">
        <f>pREFs!AW21</f>
        <v>0</v>
      </c>
      <c r="AX24" s="442">
        <f>pREFs!AX21</f>
        <v>0</v>
      </c>
      <c r="AY24" s="443">
        <f>pREFs!AY21</f>
        <v>0</v>
      </c>
      <c r="AZ24" s="42">
        <f>pREFs!AZ21</f>
        <v>0</v>
      </c>
      <c r="BA24" s="42">
        <f>pREFs!BA21</f>
        <v>0</v>
      </c>
      <c r="BB24" s="42">
        <f>pREFs!BB21</f>
        <v>0</v>
      </c>
      <c r="BC24" s="42">
        <f>pREFs!BC21</f>
        <v>0</v>
      </c>
      <c r="BD24" s="42">
        <f>pREFs!BD21</f>
        <v>0</v>
      </c>
      <c r="BE24" s="42">
        <f>pREFs!BE21</f>
        <v>0</v>
      </c>
      <c r="BF24" s="42">
        <f>pREFs!BF21</f>
        <v>0</v>
      </c>
      <c r="BG24" s="42">
        <f>pREFs!BG21</f>
        <v>0</v>
      </c>
      <c r="BH24" s="42">
        <f>pREFs!BH21</f>
        <v>0</v>
      </c>
      <c r="BI24" s="42">
        <f>pREFs!BI21</f>
        <v>0</v>
      </c>
      <c r="BJ24" s="43">
        <f>pREFs!BJ21</f>
        <v>0</v>
      </c>
    </row>
    <row r="25" spans="1:90" x14ac:dyDescent="0.25">
      <c r="A25" s="7"/>
      <c r="B25" s="37" t="s">
        <v>147</v>
      </c>
      <c r="C25" s="18">
        <f>pREFs!C22</f>
        <v>0</v>
      </c>
      <c r="D25" s="18">
        <f>pREFs!D22</f>
        <v>0</v>
      </c>
      <c r="E25" s="18">
        <f>pREFs!E22</f>
        <v>0</v>
      </c>
      <c r="F25" s="18">
        <f>pREFs!F22</f>
        <v>0</v>
      </c>
      <c r="G25" s="18">
        <f>pREFs!G22</f>
        <v>0</v>
      </c>
      <c r="H25" s="18">
        <f>pREFs!H22</f>
        <v>0</v>
      </c>
      <c r="I25" s="18">
        <f>pREFs!I22</f>
        <v>0</v>
      </c>
      <c r="J25" s="18">
        <f>pREFs!J22</f>
        <v>0</v>
      </c>
      <c r="K25" s="18">
        <f>pREFs!K22</f>
        <v>0</v>
      </c>
      <c r="L25" s="18">
        <f>pREFs!L22</f>
        <v>0</v>
      </c>
      <c r="M25" s="18">
        <f>pREFs!M22</f>
        <v>0</v>
      </c>
      <c r="N25" s="402">
        <f>pREFs!N22</f>
        <v>0</v>
      </c>
      <c r="O25" s="403">
        <f>pREFs!O22</f>
        <v>0</v>
      </c>
      <c r="P25" s="18">
        <f>pREFs!P22</f>
        <v>0</v>
      </c>
      <c r="Q25" s="18">
        <f>pREFs!Q22</f>
        <v>0</v>
      </c>
      <c r="R25" s="18">
        <f>pREFs!R22</f>
        <v>0</v>
      </c>
      <c r="S25" s="18">
        <f>pREFs!S22</f>
        <v>0</v>
      </c>
      <c r="T25" s="18">
        <f>pREFs!T22</f>
        <v>0</v>
      </c>
      <c r="U25" s="18">
        <f>pREFs!U22</f>
        <v>0</v>
      </c>
      <c r="V25" s="18">
        <f>pREFs!V22</f>
        <v>0</v>
      </c>
      <c r="W25" s="18">
        <f>pREFs!W22</f>
        <v>0</v>
      </c>
      <c r="X25" s="18">
        <f>pREFs!X22</f>
        <v>0</v>
      </c>
      <c r="Y25" s="18">
        <f>pREFs!Y22</f>
        <v>0</v>
      </c>
      <c r="Z25" s="402">
        <f>pREFs!Z22</f>
        <v>0</v>
      </c>
      <c r="AA25" s="403">
        <f>pREFs!AA22</f>
        <v>0</v>
      </c>
      <c r="AB25" s="18">
        <f>pREFs!AB22</f>
        <v>0</v>
      </c>
      <c r="AC25" s="18">
        <f>pREFs!AC22</f>
        <v>0</v>
      </c>
      <c r="AD25" s="18">
        <f>pREFs!AD22</f>
        <v>0</v>
      </c>
      <c r="AE25" s="18">
        <f>pREFs!AE22</f>
        <v>0</v>
      </c>
      <c r="AF25" s="18">
        <f>pREFs!AF22</f>
        <v>0</v>
      </c>
      <c r="AG25" s="18">
        <f>pREFs!AG22</f>
        <v>0</v>
      </c>
      <c r="AH25" s="18">
        <f>pREFs!AH22</f>
        <v>0</v>
      </c>
      <c r="AI25" s="18">
        <f>pREFs!AI22</f>
        <v>0</v>
      </c>
      <c r="AJ25" s="18">
        <f>pREFs!AJ22</f>
        <v>0</v>
      </c>
      <c r="AK25" s="18">
        <f>pREFs!AK22</f>
        <v>0</v>
      </c>
      <c r="AL25" s="402">
        <f>pREFs!AL22</f>
        <v>0</v>
      </c>
      <c r="AM25" s="403">
        <f>pREFs!AM22</f>
        <v>0</v>
      </c>
      <c r="AN25" s="18">
        <f>pREFs!AN22</f>
        <v>0</v>
      </c>
      <c r="AO25" s="18">
        <f>pREFs!AO22</f>
        <v>0</v>
      </c>
      <c r="AP25" s="18">
        <f>pREFs!AP22</f>
        <v>0</v>
      </c>
      <c r="AQ25" s="18">
        <f>pREFs!AQ22</f>
        <v>0</v>
      </c>
      <c r="AR25" s="18">
        <f>pREFs!AR22</f>
        <v>0</v>
      </c>
      <c r="AS25" s="18">
        <f>pREFs!AS22</f>
        <v>0</v>
      </c>
      <c r="AT25" s="18">
        <f>pREFs!AT22</f>
        <v>0</v>
      </c>
      <c r="AU25" s="18">
        <f>pREFs!AU22</f>
        <v>0</v>
      </c>
      <c r="AV25" s="18">
        <f>pREFs!AV22</f>
        <v>0</v>
      </c>
      <c r="AW25" s="18">
        <f>pREFs!AW22</f>
        <v>0</v>
      </c>
      <c r="AX25" s="402">
        <f>pREFs!AX22</f>
        <v>0</v>
      </c>
      <c r="AY25" s="403">
        <f>pREFs!AY22</f>
        <v>0</v>
      </c>
      <c r="AZ25" s="18">
        <f>pREFs!AZ22</f>
        <v>0</v>
      </c>
      <c r="BA25" s="18">
        <f>pREFs!BA22</f>
        <v>0</v>
      </c>
      <c r="BB25" s="18">
        <f>pREFs!BB22</f>
        <v>0</v>
      </c>
      <c r="BC25" s="18">
        <f>pREFs!BC22</f>
        <v>0</v>
      </c>
      <c r="BD25" s="18">
        <f>pREFs!BD22</f>
        <v>0</v>
      </c>
      <c r="BE25" s="18">
        <f>pREFs!BE22</f>
        <v>0</v>
      </c>
      <c r="BF25" s="18">
        <f>pREFs!BF22</f>
        <v>0</v>
      </c>
      <c r="BG25" s="18">
        <f>pREFs!BG22</f>
        <v>0</v>
      </c>
      <c r="BH25" s="18">
        <f>pREFs!BH22</f>
        <v>0</v>
      </c>
      <c r="BI25" s="18">
        <f>pREFs!BI22</f>
        <v>0</v>
      </c>
      <c r="BJ25" s="19">
        <f>pREFs!BJ22</f>
        <v>0</v>
      </c>
    </row>
    <row r="26" spans="1:90" x14ac:dyDescent="0.25">
      <c r="A26" s="7"/>
      <c r="B26" s="37" t="s">
        <v>148</v>
      </c>
      <c r="C26" s="18">
        <f>pREFs!C23</f>
        <v>45</v>
      </c>
      <c r="D26" s="18">
        <f>pREFs!D23</f>
        <v>42</v>
      </c>
      <c r="E26" s="18">
        <f>pREFs!E23</f>
        <v>40</v>
      </c>
      <c r="F26" s="18">
        <f>pREFs!F23</f>
        <v>40</v>
      </c>
      <c r="G26" s="18">
        <f>pREFs!G23</f>
        <v>36</v>
      </c>
      <c r="H26" s="18">
        <f>pREFs!H23</f>
        <v>36</v>
      </c>
      <c r="I26" s="18">
        <f>pREFs!I23</f>
        <v>30</v>
      </c>
      <c r="J26" s="18">
        <f>pREFs!J23</f>
        <v>29</v>
      </c>
      <c r="K26" s="18">
        <f>pREFs!K23</f>
        <v>23</v>
      </c>
      <c r="L26" s="18">
        <f>pREFs!L23</f>
        <v>23</v>
      </c>
      <c r="M26" s="18">
        <f>pREFs!M23</f>
        <v>23</v>
      </c>
      <c r="N26" s="402">
        <f>pREFs!N23</f>
        <v>27</v>
      </c>
      <c r="O26" s="403">
        <f>pREFs!O23</f>
        <v>30</v>
      </c>
      <c r="P26" s="18">
        <f>pREFs!P23</f>
        <v>30</v>
      </c>
      <c r="Q26" s="18">
        <f>pREFs!Q23</f>
        <v>30</v>
      </c>
      <c r="R26" s="18">
        <f>pREFs!R23</f>
        <v>30</v>
      </c>
      <c r="S26" s="18">
        <f>pREFs!S23</f>
        <v>30</v>
      </c>
      <c r="T26" s="18">
        <f>pREFs!T23</f>
        <v>30</v>
      </c>
      <c r="U26" s="18">
        <f>pREFs!U23</f>
        <v>30</v>
      </c>
      <c r="V26" s="18">
        <f>pREFs!V23</f>
        <v>30</v>
      </c>
      <c r="W26" s="18">
        <f>pREFs!W23</f>
        <v>30</v>
      </c>
      <c r="X26" s="18">
        <f>pREFs!X23</f>
        <v>30</v>
      </c>
      <c r="Y26" s="18">
        <f>pREFs!Y23</f>
        <v>30</v>
      </c>
      <c r="Z26" s="402">
        <f>pREFs!Z23</f>
        <v>30</v>
      </c>
      <c r="AA26" s="403">
        <f>pREFs!AA23</f>
        <v>32</v>
      </c>
      <c r="AB26" s="18">
        <f>pREFs!AB23</f>
        <v>32</v>
      </c>
      <c r="AC26" s="18">
        <f>pREFs!AC23</f>
        <v>32</v>
      </c>
      <c r="AD26" s="18">
        <f>pREFs!AD23</f>
        <v>32</v>
      </c>
      <c r="AE26" s="18">
        <f>pREFs!AE23</f>
        <v>32</v>
      </c>
      <c r="AF26" s="18">
        <f>pREFs!AF23</f>
        <v>32</v>
      </c>
      <c r="AG26" s="18">
        <f>pREFs!AG23</f>
        <v>32</v>
      </c>
      <c r="AH26" s="18">
        <f>pREFs!AH23</f>
        <v>32</v>
      </c>
      <c r="AI26" s="18">
        <f>pREFs!AI23</f>
        <v>32</v>
      </c>
      <c r="AJ26" s="18">
        <f>pREFs!AJ23</f>
        <v>32</v>
      </c>
      <c r="AK26" s="18">
        <f>pREFs!AK23</f>
        <v>32</v>
      </c>
      <c r="AL26" s="402">
        <f>pREFs!AL23</f>
        <v>32</v>
      </c>
      <c r="AM26" s="403">
        <f>pREFs!AM23</f>
        <v>37</v>
      </c>
      <c r="AN26" s="18">
        <f>pREFs!AN23</f>
        <v>37</v>
      </c>
      <c r="AO26" s="18">
        <f>pREFs!AO23</f>
        <v>37</v>
      </c>
      <c r="AP26" s="18">
        <f>pREFs!AP23</f>
        <v>37</v>
      </c>
      <c r="AQ26" s="18">
        <f>pREFs!AQ23</f>
        <v>37</v>
      </c>
      <c r="AR26" s="18">
        <f>pREFs!AR23</f>
        <v>37</v>
      </c>
      <c r="AS26" s="18">
        <f>pREFs!AS23</f>
        <v>37</v>
      </c>
      <c r="AT26" s="18">
        <f>pREFs!AT23</f>
        <v>37</v>
      </c>
      <c r="AU26" s="18">
        <f>pREFs!AU23</f>
        <v>37</v>
      </c>
      <c r="AV26" s="18">
        <f>pREFs!AV23</f>
        <v>37</v>
      </c>
      <c r="AW26" s="18">
        <f>pREFs!AW23</f>
        <v>37</v>
      </c>
      <c r="AX26" s="402">
        <f>pREFs!AX23</f>
        <v>37</v>
      </c>
      <c r="AY26" s="403">
        <f>pREFs!AY23</f>
        <v>35</v>
      </c>
      <c r="AZ26" s="18">
        <f>pREFs!AZ23</f>
        <v>35</v>
      </c>
      <c r="BA26" s="18">
        <f>pREFs!BA23</f>
        <v>35</v>
      </c>
      <c r="BB26" s="18">
        <f>pREFs!BB23</f>
        <v>35</v>
      </c>
      <c r="BC26" s="18">
        <f>pREFs!BC23</f>
        <v>35</v>
      </c>
      <c r="BD26" s="18">
        <f>pREFs!BD23</f>
        <v>35</v>
      </c>
      <c r="BE26" s="18">
        <f>pREFs!BE23</f>
        <v>35</v>
      </c>
      <c r="BF26" s="18">
        <f>pREFs!BF23</f>
        <v>35</v>
      </c>
      <c r="BG26" s="18">
        <f>pREFs!BG23</f>
        <v>35</v>
      </c>
      <c r="BH26" s="18">
        <f>pREFs!BH23</f>
        <v>35</v>
      </c>
      <c r="BI26" s="18">
        <f>pREFs!BI23</f>
        <v>35</v>
      </c>
      <c r="BJ26" s="19">
        <f>pREFs!BJ23</f>
        <v>35</v>
      </c>
    </row>
    <row r="27" spans="1:90" ht="15.75" thickBot="1" x14ac:dyDescent="0.3">
      <c r="A27" s="7"/>
      <c r="B27" s="38" t="s">
        <v>149</v>
      </c>
      <c r="C27" s="23">
        <f>pREFs!C24</f>
        <v>175</v>
      </c>
      <c r="D27" s="23">
        <f>pREFs!D24</f>
        <v>200</v>
      </c>
      <c r="E27" s="23">
        <f>pREFs!E24</f>
        <v>190</v>
      </c>
      <c r="F27" s="23">
        <f>pREFs!F24</f>
        <v>179</v>
      </c>
      <c r="G27" s="23">
        <f>pREFs!G24</f>
        <v>180</v>
      </c>
      <c r="H27" s="23">
        <f>pREFs!H24</f>
        <v>180</v>
      </c>
      <c r="I27" s="23">
        <f>pREFs!I24</f>
        <v>175</v>
      </c>
      <c r="J27" s="23">
        <f>pREFs!J24</f>
        <v>175</v>
      </c>
      <c r="K27" s="23">
        <f>pREFs!K24</f>
        <v>156</v>
      </c>
      <c r="L27" s="23">
        <f>pREFs!L24</f>
        <v>155</v>
      </c>
      <c r="M27" s="23">
        <f>pREFs!M24</f>
        <v>155</v>
      </c>
      <c r="N27" s="404">
        <f>pREFs!N24</f>
        <v>160</v>
      </c>
      <c r="O27" s="405">
        <f>pREFs!O24</f>
        <v>160</v>
      </c>
      <c r="P27" s="23">
        <f>pREFs!P24</f>
        <v>160</v>
      </c>
      <c r="Q27" s="23">
        <f>pREFs!Q24</f>
        <v>160</v>
      </c>
      <c r="R27" s="23">
        <f>pREFs!R24</f>
        <v>160</v>
      </c>
      <c r="S27" s="23">
        <f>pREFs!S24</f>
        <v>160</v>
      </c>
      <c r="T27" s="23">
        <f>pREFs!T24</f>
        <v>160</v>
      </c>
      <c r="U27" s="23">
        <f>pREFs!U24</f>
        <v>160</v>
      </c>
      <c r="V27" s="23">
        <f>pREFs!V24</f>
        <v>160</v>
      </c>
      <c r="W27" s="23">
        <f>pREFs!W24</f>
        <v>160</v>
      </c>
      <c r="X27" s="23">
        <f>pREFs!X24</f>
        <v>160</v>
      </c>
      <c r="Y27" s="23">
        <f>pREFs!Y24</f>
        <v>160</v>
      </c>
      <c r="Z27" s="404">
        <f>pREFs!Z24</f>
        <v>160</v>
      </c>
      <c r="AA27" s="405">
        <f>pREFs!AA24</f>
        <v>165</v>
      </c>
      <c r="AB27" s="23">
        <f>pREFs!AB24</f>
        <v>165</v>
      </c>
      <c r="AC27" s="23">
        <f>pREFs!AC24</f>
        <v>165</v>
      </c>
      <c r="AD27" s="23">
        <f>pREFs!AD24</f>
        <v>165</v>
      </c>
      <c r="AE27" s="23">
        <f>pREFs!AE24</f>
        <v>165</v>
      </c>
      <c r="AF27" s="23">
        <f>pREFs!AF24</f>
        <v>165</v>
      </c>
      <c r="AG27" s="23">
        <f>pREFs!AG24</f>
        <v>165</v>
      </c>
      <c r="AH27" s="23">
        <f>pREFs!AH24</f>
        <v>165</v>
      </c>
      <c r="AI27" s="23">
        <f>pREFs!AI24</f>
        <v>165</v>
      </c>
      <c r="AJ27" s="23">
        <f>pREFs!AJ24</f>
        <v>165</v>
      </c>
      <c r="AK27" s="23">
        <f>pREFs!AK24</f>
        <v>165</v>
      </c>
      <c r="AL27" s="404">
        <f>pREFs!AL24</f>
        <v>165</v>
      </c>
      <c r="AM27" s="405">
        <f>pREFs!AM24</f>
        <v>120</v>
      </c>
      <c r="AN27" s="23">
        <f>pREFs!AN24</f>
        <v>120</v>
      </c>
      <c r="AO27" s="23">
        <f>pREFs!AO24</f>
        <v>120</v>
      </c>
      <c r="AP27" s="23">
        <f>pREFs!AP24</f>
        <v>120</v>
      </c>
      <c r="AQ27" s="23">
        <f>pREFs!AQ24</f>
        <v>120</v>
      </c>
      <c r="AR27" s="23">
        <f>pREFs!AR24</f>
        <v>120</v>
      </c>
      <c r="AS27" s="23">
        <f>pREFs!AS24</f>
        <v>120</v>
      </c>
      <c r="AT27" s="23">
        <f>pREFs!AT24</f>
        <v>120</v>
      </c>
      <c r="AU27" s="23">
        <f>pREFs!AU24</f>
        <v>120</v>
      </c>
      <c r="AV27" s="23">
        <f>pREFs!AV24</f>
        <v>120</v>
      </c>
      <c r="AW27" s="23">
        <f>pREFs!AW24</f>
        <v>120</v>
      </c>
      <c r="AX27" s="404">
        <f>pREFs!AX24</f>
        <v>120</v>
      </c>
      <c r="AY27" s="405">
        <f>pREFs!AY24</f>
        <v>115</v>
      </c>
      <c r="AZ27" s="23">
        <f>pREFs!AZ24</f>
        <v>115</v>
      </c>
      <c r="BA27" s="23">
        <f>pREFs!BA24</f>
        <v>115</v>
      </c>
      <c r="BB27" s="23">
        <f>pREFs!BB24</f>
        <v>115</v>
      </c>
      <c r="BC27" s="23">
        <f>pREFs!BC24</f>
        <v>115</v>
      </c>
      <c r="BD27" s="23">
        <f>pREFs!BD24</f>
        <v>115</v>
      </c>
      <c r="BE27" s="23">
        <f>pREFs!BE24</f>
        <v>115</v>
      </c>
      <c r="BF27" s="23">
        <f>pREFs!BF24</f>
        <v>115</v>
      </c>
      <c r="BG27" s="23">
        <f>pREFs!BG24</f>
        <v>115</v>
      </c>
      <c r="BH27" s="23">
        <f>pREFs!BH24</f>
        <v>115</v>
      </c>
      <c r="BI27" s="23">
        <f>pREFs!BI24</f>
        <v>115</v>
      </c>
      <c r="BJ27" s="24">
        <f>pREFs!BJ24</f>
        <v>115</v>
      </c>
    </row>
    <row r="28" spans="1:90" x14ac:dyDescent="0.25">
      <c r="B28" s="6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</row>
    <row r="29" spans="1:90" ht="15.75" thickBot="1" x14ac:dyDescent="0.3">
      <c r="A29" s="8"/>
      <c r="B29" s="35" t="s">
        <v>9</v>
      </c>
      <c r="C29" s="26">
        <f>C19</f>
        <v>44562</v>
      </c>
      <c r="D29" s="26">
        <f t="shared" ref="D29:BJ29" si="2">D19</f>
        <v>44593</v>
      </c>
      <c r="E29" s="26">
        <f t="shared" si="2"/>
        <v>44621</v>
      </c>
      <c r="F29" s="26">
        <f t="shared" si="2"/>
        <v>44652</v>
      </c>
      <c r="G29" s="26">
        <f t="shared" si="2"/>
        <v>44682</v>
      </c>
      <c r="H29" s="26">
        <f t="shared" si="2"/>
        <v>44713</v>
      </c>
      <c r="I29" s="26">
        <f t="shared" si="2"/>
        <v>44743</v>
      </c>
      <c r="J29" s="26">
        <f t="shared" si="2"/>
        <v>44774</v>
      </c>
      <c r="K29" s="26">
        <f t="shared" si="2"/>
        <v>44805</v>
      </c>
      <c r="L29" s="26">
        <f t="shared" si="2"/>
        <v>44835</v>
      </c>
      <c r="M29" s="26">
        <f t="shared" si="2"/>
        <v>44866</v>
      </c>
      <c r="N29" s="382">
        <f t="shared" si="2"/>
        <v>44896</v>
      </c>
      <c r="O29" s="383">
        <f t="shared" si="2"/>
        <v>44927</v>
      </c>
      <c r="P29" s="26">
        <f t="shared" si="2"/>
        <v>44958</v>
      </c>
      <c r="Q29" s="26">
        <f t="shared" si="2"/>
        <v>44986</v>
      </c>
      <c r="R29" s="26">
        <f t="shared" si="2"/>
        <v>45017</v>
      </c>
      <c r="S29" s="26">
        <f t="shared" si="2"/>
        <v>45047</v>
      </c>
      <c r="T29" s="26">
        <f t="shared" si="2"/>
        <v>45078</v>
      </c>
      <c r="U29" s="26">
        <f t="shared" si="2"/>
        <v>45108</v>
      </c>
      <c r="V29" s="26">
        <f t="shared" si="2"/>
        <v>45139</v>
      </c>
      <c r="W29" s="26">
        <f t="shared" si="2"/>
        <v>45170</v>
      </c>
      <c r="X29" s="26">
        <f t="shared" si="2"/>
        <v>45200</v>
      </c>
      <c r="Y29" s="26">
        <f t="shared" si="2"/>
        <v>45231</v>
      </c>
      <c r="Z29" s="382">
        <f t="shared" si="2"/>
        <v>45261</v>
      </c>
      <c r="AA29" s="383">
        <f t="shared" si="2"/>
        <v>45292</v>
      </c>
      <c r="AB29" s="26">
        <f t="shared" si="2"/>
        <v>45323</v>
      </c>
      <c r="AC29" s="26">
        <f t="shared" si="2"/>
        <v>45352</v>
      </c>
      <c r="AD29" s="26">
        <f t="shared" si="2"/>
        <v>45383</v>
      </c>
      <c r="AE29" s="26">
        <f t="shared" si="2"/>
        <v>45413</v>
      </c>
      <c r="AF29" s="26">
        <f t="shared" si="2"/>
        <v>45444</v>
      </c>
      <c r="AG29" s="26">
        <f t="shared" si="2"/>
        <v>45474</v>
      </c>
      <c r="AH29" s="26">
        <f t="shared" si="2"/>
        <v>45505</v>
      </c>
      <c r="AI29" s="26">
        <f t="shared" si="2"/>
        <v>45536</v>
      </c>
      <c r="AJ29" s="26">
        <f t="shared" si="2"/>
        <v>45566</v>
      </c>
      <c r="AK29" s="26">
        <f t="shared" si="2"/>
        <v>45597</v>
      </c>
      <c r="AL29" s="382">
        <f t="shared" si="2"/>
        <v>45627</v>
      </c>
      <c r="AM29" s="383">
        <f t="shared" si="2"/>
        <v>45658</v>
      </c>
      <c r="AN29" s="26">
        <f t="shared" si="2"/>
        <v>45689</v>
      </c>
      <c r="AO29" s="26">
        <f t="shared" si="2"/>
        <v>45717</v>
      </c>
      <c r="AP29" s="26">
        <f t="shared" si="2"/>
        <v>45748</v>
      </c>
      <c r="AQ29" s="26">
        <f t="shared" si="2"/>
        <v>45778</v>
      </c>
      <c r="AR29" s="26">
        <f t="shared" si="2"/>
        <v>45809</v>
      </c>
      <c r="AS29" s="26">
        <f t="shared" si="2"/>
        <v>45839</v>
      </c>
      <c r="AT29" s="26">
        <f t="shared" si="2"/>
        <v>45870</v>
      </c>
      <c r="AU29" s="26">
        <f t="shared" si="2"/>
        <v>45901</v>
      </c>
      <c r="AV29" s="26">
        <f t="shared" si="2"/>
        <v>45931</v>
      </c>
      <c r="AW29" s="26">
        <f t="shared" si="2"/>
        <v>45962</v>
      </c>
      <c r="AX29" s="382">
        <f t="shared" si="2"/>
        <v>45992</v>
      </c>
      <c r="AY29" s="383">
        <f t="shared" si="2"/>
        <v>46023</v>
      </c>
      <c r="AZ29" s="26">
        <f t="shared" si="2"/>
        <v>46054</v>
      </c>
      <c r="BA29" s="26">
        <f t="shared" si="2"/>
        <v>46082</v>
      </c>
      <c r="BB29" s="26">
        <f t="shared" si="2"/>
        <v>46113</v>
      </c>
      <c r="BC29" s="26">
        <f t="shared" si="2"/>
        <v>46143</v>
      </c>
      <c r="BD29" s="26">
        <f t="shared" si="2"/>
        <v>46174</v>
      </c>
      <c r="BE29" s="26">
        <f t="shared" si="2"/>
        <v>46204</v>
      </c>
      <c r="BF29" s="26">
        <f t="shared" si="2"/>
        <v>46235</v>
      </c>
      <c r="BG29" s="26">
        <f t="shared" si="2"/>
        <v>46266</v>
      </c>
      <c r="BH29" s="26">
        <f t="shared" si="2"/>
        <v>46296</v>
      </c>
      <c r="BI29" s="26">
        <f t="shared" si="2"/>
        <v>46327</v>
      </c>
      <c r="BJ29" s="26">
        <f t="shared" si="2"/>
        <v>46357</v>
      </c>
    </row>
    <row r="30" spans="1:90" ht="15" customHeight="1" x14ac:dyDescent="0.25">
      <c r="A30" s="7"/>
      <c r="B30" s="16" t="s">
        <v>44</v>
      </c>
      <c r="C30" s="20">
        <f>pREFs!C27</f>
        <v>62.91</v>
      </c>
      <c r="D30" s="20">
        <f>pREFs!D27</f>
        <v>55.7</v>
      </c>
      <c r="E30" s="20">
        <f>pREFs!E27</f>
        <v>55.7</v>
      </c>
      <c r="F30" s="20">
        <f>pREFs!F27</f>
        <v>55.7</v>
      </c>
      <c r="G30" s="20">
        <f>pREFs!G27</f>
        <v>55.7</v>
      </c>
      <c r="H30" s="20">
        <f>pREFs!H27</f>
        <v>55.71</v>
      </c>
      <c r="I30" s="20">
        <f>pREFs!I27</f>
        <v>66.319999999999993</v>
      </c>
      <c r="J30" s="20">
        <f>pREFs!J27</f>
        <v>76.900000000000006</v>
      </c>
      <c r="K30" s="20">
        <f>pREFs!K27</f>
        <v>56.08</v>
      </c>
      <c r="L30" s="20">
        <f>pREFs!L27</f>
        <v>55.7</v>
      </c>
      <c r="M30" s="20">
        <f>pREFs!M27</f>
        <v>55.7</v>
      </c>
      <c r="N30" s="400">
        <f>pREFs!N27</f>
        <v>0</v>
      </c>
      <c r="O30" s="401">
        <f>pREFs!O27</f>
        <v>0</v>
      </c>
      <c r="P30" s="20">
        <f>pREFs!P27</f>
        <v>0</v>
      </c>
      <c r="Q30" s="20">
        <f>pREFs!Q27</f>
        <v>0</v>
      </c>
      <c r="R30" s="20">
        <f>pREFs!R27</f>
        <v>0</v>
      </c>
      <c r="S30" s="20">
        <f>pREFs!S27</f>
        <v>0</v>
      </c>
      <c r="T30" s="20">
        <f>pREFs!T27</f>
        <v>0</v>
      </c>
      <c r="U30" s="20">
        <f>pREFs!U27</f>
        <v>0</v>
      </c>
      <c r="V30" s="20">
        <f>pREFs!V27</f>
        <v>0</v>
      </c>
      <c r="W30" s="20">
        <f>pREFs!W27</f>
        <v>0</v>
      </c>
      <c r="X30" s="20">
        <f>pREFs!X27</f>
        <v>0</v>
      </c>
      <c r="Y30" s="20">
        <f>pREFs!Y27</f>
        <v>0</v>
      </c>
      <c r="Z30" s="400">
        <f>pREFs!Z27</f>
        <v>0</v>
      </c>
      <c r="AA30" s="401">
        <f>pREFs!AA27</f>
        <v>0</v>
      </c>
      <c r="AB30" s="20">
        <f>pREFs!AB27</f>
        <v>0</v>
      </c>
      <c r="AC30" s="20">
        <f>pREFs!AC27</f>
        <v>0</v>
      </c>
      <c r="AD30" s="20">
        <f>pREFs!AD27</f>
        <v>0</v>
      </c>
      <c r="AE30" s="20">
        <f>pREFs!AE27</f>
        <v>0</v>
      </c>
      <c r="AF30" s="20">
        <f>pREFs!AF27</f>
        <v>0</v>
      </c>
      <c r="AG30" s="20">
        <f>pREFs!AG27</f>
        <v>0</v>
      </c>
      <c r="AH30" s="20">
        <f>pREFs!AH27</f>
        <v>0</v>
      </c>
      <c r="AI30" s="20">
        <f>pREFs!AI27</f>
        <v>0</v>
      </c>
      <c r="AJ30" s="20">
        <f>pREFs!AJ27</f>
        <v>0</v>
      </c>
      <c r="AK30" s="20">
        <f>pREFs!AK27</f>
        <v>0</v>
      </c>
      <c r="AL30" s="400">
        <f>pREFs!AL27</f>
        <v>0</v>
      </c>
      <c r="AM30" s="401">
        <f>pREFs!AM27</f>
        <v>0</v>
      </c>
      <c r="AN30" s="20">
        <f>pREFs!AN27</f>
        <v>0</v>
      </c>
      <c r="AO30" s="20">
        <f>pREFs!AO27</f>
        <v>0</v>
      </c>
      <c r="AP30" s="20">
        <f>pREFs!AP27</f>
        <v>0</v>
      </c>
      <c r="AQ30" s="20">
        <f>pREFs!AQ27</f>
        <v>0</v>
      </c>
      <c r="AR30" s="20">
        <f>pREFs!AR27</f>
        <v>0</v>
      </c>
      <c r="AS30" s="20">
        <f>pREFs!AS27</f>
        <v>0</v>
      </c>
      <c r="AT30" s="20">
        <f>pREFs!AT27</f>
        <v>0</v>
      </c>
      <c r="AU30" s="20">
        <f>pREFs!AU27</f>
        <v>0</v>
      </c>
      <c r="AV30" s="20">
        <f>pREFs!AV27</f>
        <v>0</v>
      </c>
      <c r="AW30" s="20">
        <f>pREFs!AW27</f>
        <v>0</v>
      </c>
      <c r="AX30" s="400">
        <f>pREFs!AX27</f>
        <v>0</v>
      </c>
      <c r="AY30" s="401">
        <f>pREFs!AY27</f>
        <v>0</v>
      </c>
      <c r="AZ30" s="20">
        <f>pREFs!AZ27</f>
        <v>0</v>
      </c>
      <c r="BA30" s="20">
        <f>pREFs!BA27</f>
        <v>0</v>
      </c>
      <c r="BB30" s="20">
        <f>pREFs!BB27</f>
        <v>0</v>
      </c>
      <c r="BC30" s="20">
        <f>pREFs!BC27</f>
        <v>0</v>
      </c>
      <c r="BD30" s="20">
        <f>pREFs!BD27</f>
        <v>0</v>
      </c>
      <c r="BE30" s="20">
        <f>pREFs!BE27</f>
        <v>0</v>
      </c>
      <c r="BF30" s="20">
        <f>pREFs!BF27</f>
        <v>0</v>
      </c>
      <c r="BG30" s="20">
        <f>pREFs!BG27</f>
        <v>0</v>
      </c>
      <c r="BH30" s="20">
        <f>pREFs!BH27</f>
        <v>0</v>
      </c>
      <c r="BI30" s="20">
        <f>pREFs!BI27</f>
        <v>0</v>
      </c>
      <c r="BJ30" s="21">
        <f>pREFs!BJ27</f>
        <v>0</v>
      </c>
      <c r="BL30" s="13"/>
      <c r="BM30" s="13"/>
      <c r="BN30" s="13"/>
      <c r="CK30" s="13"/>
      <c r="CL30" s="13"/>
    </row>
    <row r="31" spans="1:90" x14ac:dyDescent="0.25">
      <c r="A31" s="7"/>
      <c r="B31" s="17" t="s">
        <v>12</v>
      </c>
      <c r="C31" s="18">
        <f>pREFs!C28</f>
        <v>62.92</v>
      </c>
      <c r="D31" s="18">
        <f>pREFs!D28</f>
        <v>55.7</v>
      </c>
      <c r="E31" s="18">
        <f>pREFs!E28</f>
        <v>55.7</v>
      </c>
      <c r="F31" s="18">
        <f>pREFs!F28</f>
        <v>55.7</v>
      </c>
      <c r="G31" s="18">
        <f>pREFs!G28</f>
        <v>55.7</v>
      </c>
      <c r="H31" s="18">
        <f>pREFs!H28</f>
        <v>55.71</v>
      </c>
      <c r="I31" s="18">
        <f>pREFs!I28</f>
        <v>66.319999999999993</v>
      </c>
      <c r="J31" s="18">
        <f>pREFs!J28</f>
        <v>76.900000000000006</v>
      </c>
      <c r="K31" s="18">
        <f>pREFs!K28</f>
        <v>56.08</v>
      </c>
      <c r="L31" s="18">
        <f>pREFs!L28</f>
        <v>55.7</v>
      </c>
      <c r="M31" s="18">
        <f>pREFs!M28</f>
        <v>55.7</v>
      </c>
      <c r="N31" s="402">
        <f>pREFs!N28</f>
        <v>0</v>
      </c>
      <c r="O31" s="403">
        <f>pREFs!O28</f>
        <v>0</v>
      </c>
      <c r="P31" s="18">
        <f>pREFs!P28</f>
        <v>0</v>
      </c>
      <c r="Q31" s="18">
        <f>pREFs!Q28</f>
        <v>0</v>
      </c>
      <c r="R31" s="18">
        <f>pREFs!R28</f>
        <v>0</v>
      </c>
      <c r="S31" s="18">
        <f>pREFs!S28</f>
        <v>0</v>
      </c>
      <c r="T31" s="18">
        <f>pREFs!T28</f>
        <v>0</v>
      </c>
      <c r="U31" s="18">
        <f>pREFs!U28</f>
        <v>0</v>
      </c>
      <c r="V31" s="18">
        <f>pREFs!V28</f>
        <v>0</v>
      </c>
      <c r="W31" s="18">
        <f>pREFs!W28</f>
        <v>0</v>
      </c>
      <c r="X31" s="18">
        <f>pREFs!X28</f>
        <v>0</v>
      </c>
      <c r="Y31" s="18">
        <f>pREFs!Y28</f>
        <v>0</v>
      </c>
      <c r="Z31" s="402">
        <f>pREFs!Z28</f>
        <v>0</v>
      </c>
      <c r="AA31" s="403">
        <f>pREFs!AA28</f>
        <v>0</v>
      </c>
      <c r="AB31" s="18">
        <f>pREFs!AB28</f>
        <v>0</v>
      </c>
      <c r="AC31" s="18">
        <f>pREFs!AC28</f>
        <v>0</v>
      </c>
      <c r="AD31" s="18">
        <f>pREFs!AD28</f>
        <v>0</v>
      </c>
      <c r="AE31" s="18">
        <f>pREFs!AE28</f>
        <v>0</v>
      </c>
      <c r="AF31" s="18">
        <f>pREFs!AF28</f>
        <v>0</v>
      </c>
      <c r="AG31" s="18">
        <f>pREFs!AG28</f>
        <v>0</v>
      </c>
      <c r="AH31" s="18">
        <f>pREFs!AH28</f>
        <v>0</v>
      </c>
      <c r="AI31" s="18">
        <f>pREFs!AI28</f>
        <v>0</v>
      </c>
      <c r="AJ31" s="18">
        <f>pREFs!AJ28</f>
        <v>0</v>
      </c>
      <c r="AK31" s="18">
        <f>pREFs!AK28</f>
        <v>0</v>
      </c>
      <c r="AL31" s="402">
        <f>pREFs!AL28</f>
        <v>0</v>
      </c>
      <c r="AM31" s="403">
        <f>pREFs!AM28</f>
        <v>0</v>
      </c>
      <c r="AN31" s="18">
        <f>pREFs!AN28</f>
        <v>0</v>
      </c>
      <c r="AO31" s="18">
        <f>pREFs!AO28</f>
        <v>0</v>
      </c>
      <c r="AP31" s="18">
        <f>pREFs!AP28</f>
        <v>0</v>
      </c>
      <c r="AQ31" s="18">
        <f>pREFs!AQ28</f>
        <v>0</v>
      </c>
      <c r="AR31" s="18">
        <f>pREFs!AR28</f>
        <v>0</v>
      </c>
      <c r="AS31" s="18">
        <f>pREFs!AS28</f>
        <v>0</v>
      </c>
      <c r="AT31" s="18">
        <f>pREFs!AT28</f>
        <v>0</v>
      </c>
      <c r="AU31" s="18">
        <f>pREFs!AU28</f>
        <v>0</v>
      </c>
      <c r="AV31" s="18">
        <f>pREFs!AV28</f>
        <v>0</v>
      </c>
      <c r="AW31" s="18">
        <f>pREFs!AW28</f>
        <v>0</v>
      </c>
      <c r="AX31" s="402">
        <f>pREFs!AX28</f>
        <v>0</v>
      </c>
      <c r="AY31" s="403">
        <f>pREFs!AY28</f>
        <v>0</v>
      </c>
      <c r="AZ31" s="18">
        <f>pREFs!AZ28</f>
        <v>0</v>
      </c>
      <c r="BA31" s="18">
        <f>pREFs!BA28</f>
        <v>0</v>
      </c>
      <c r="BB31" s="18">
        <f>pREFs!BB28</f>
        <v>0</v>
      </c>
      <c r="BC31" s="18">
        <f>pREFs!BC28</f>
        <v>0</v>
      </c>
      <c r="BD31" s="18">
        <f>pREFs!BD28</f>
        <v>0</v>
      </c>
      <c r="BE31" s="18">
        <f>pREFs!BE28</f>
        <v>0</v>
      </c>
      <c r="BF31" s="18">
        <f>pREFs!BF28</f>
        <v>0</v>
      </c>
      <c r="BG31" s="18">
        <f>pREFs!BG28</f>
        <v>0</v>
      </c>
      <c r="BH31" s="18">
        <f>pREFs!BH28</f>
        <v>0</v>
      </c>
      <c r="BI31" s="18">
        <f>pREFs!BI28</f>
        <v>0</v>
      </c>
      <c r="BJ31" s="19">
        <f>pREFs!BJ28</f>
        <v>0</v>
      </c>
    </row>
    <row r="32" spans="1:90" x14ac:dyDescent="0.25">
      <c r="A32" s="7"/>
      <c r="B32" s="17" t="s">
        <v>13</v>
      </c>
      <c r="C32" s="18">
        <f>pREFs!C29</f>
        <v>57.22</v>
      </c>
      <c r="D32" s="18">
        <f>pREFs!D29</f>
        <v>55.7</v>
      </c>
      <c r="E32" s="18">
        <f>pREFs!E29</f>
        <v>55.7</v>
      </c>
      <c r="F32" s="18">
        <f>pREFs!F29</f>
        <v>55.7</v>
      </c>
      <c r="G32" s="18">
        <f>pREFs!G29</f>
        <v>55.7</v>
      </c>
      <c r="H32" s="18">
        <f>pREFs!H29</f>
        <v>55.71</v>
      </c>
      <c r="I32" s="18">
        <f>pREFs!I29</f>
        <v>66.319999999999993</v>
      </c>
      <c r="J32" s="18">
        <f>pREFs!J29</f>
        <v>76.900000000000006</v>
      </c>
      <c r="K32" s="18">
        <f>pREFs!K29</f>
        <v>56.08</v>
      </c>
      <c r="L32" s="18">
        <f>pREFs!L29</f>
        <v>55.7</v>
      </c>
      <c r="M32" s="18">
        <f>pREFs!M29</f>
        <v>55.7</v>
      </c>
      <c r="N32" s="402">
        <f>pREFs!N29</f>
        <v>0</v>
      </c>
      <c r="O32" s="403">
        <f>pREFs!O29</f>
        <v>0</v>
      </c>
      <c r="P32" s="18">
        <f>pREFs!P29</f>
        <v>0</v>
      </c>
      <c r="Q32" s="18">
        <f>pREFs!Q29</f>
        <v>0</v>
      </c>
      <c r="R32" s="18">
        <f>pREFs!R29</f>
        <v>0</v>
      </c>
      <c r="S32" s="18">
        <f>pREFs!S29</f>
        <v>0</v>
      </c>
      <c r="T32" s="18">
        <f>pREFs!T29</f>
        <v>0</v>
      </c>
      <c r="U32" s="18">
        <f>pREFs!U29</f>
        <v>0</v>
      </c>
      <c r="V32" s="18">
        <f>pREFs!V29</f>
        <v>0</v>
      </c>
      <c r="W32" s="18">
        <f>pREFs!W29</f>
        <v>0</v>
      </c>
      <c r="X32" s="18">
        <f>pREFs!X29</f>
        <v>0</v>
      </c>
      <c r="Y32" s="18">
        <f>pREFs!Y29</f>
        <v>0</v>
      </c>
      <c r="Z32" s="402">
        <f>pREFs!Z29</f>
        <v>0</v>
      </c>
      <c r="AA32" s="403">
        <f>pREFs!AA29</f>
        <v>0</v>
      </c>
      <c r="AB32" s="18">
        <f>pREFs!AB29</f>
        <v>0</v>
      </c>
      <c r="AC32" s="18">
        <f>pREFs!AC29</f>
        <v>0</v>
      </c>
      <c r="AD32" s="18">
        <f>pREFs!AD29</f>
        <v>0</v>
      </c>
      <c r="AE32" s="18">
        <f>pREFs!AE29</f>
        <v>0</v>
      </c>
      <c r="AF32" s="18">
        <f>pREFs!AF29</f>
        <v>0</v>
      </c>
      <c r="AG32" s="18">
        <f>pREFs!AG29</f>
        <v>0</v>
      </c>
      <c r="AH32" s="18">
        <f>pREFs!AH29</f>
        <v>0</v>
      </c>
      <c r="AI32" s="18">
        <f>pREFs!AI29</f>
        <v>0</v>
      </c>
      <c r="AJ32" s="18">
        <f>pREFs!AJ29</f>
        <v>0</v>
      </c>
      <c r="AK32" s="18">
        <f>pREFs!AK29</f>
        <v>0</v>
      </c>
      <c r="AL32" s="402">
        <f>pREFs!AL29</f>
        <v>0</v>
      </c>
      <c r="AM32" s="403">
        <f>pREFs!AM29</f>
        <v>0</v>
      </c>
      <c r="AN32" s="18">
        <f>pREFs!AN29</f>
        <v>0</v>
      </c>
      <c r="AO32" s="18">
        <f>pREFs!AO29</f>
        <v>0</v>
      </c>
      <c r="AP32" s="18">
        <f>pREFs!AP29</f>
        <v>0</v>
      </c>
      <c r="AQ32" s="18">
        <f>pREFs!AQ29</f>
        <v>0</v>
      </c>
      <c r="AR32" s="18">
        <f>pREFs!AR29</f>
        <v>0</v>
      </c>
      <c r="AS32" s="18">
        <f>pREFs!AS29</f>
        <v>0</v>
      </c>
      <c r="AT32" s="18">
        <f>pREFs!AT29</f>
        <v>0</v>
      </c>
      <c r="AU32" s="18">
        <f>pREFs!AU29</f>
        <v>0</v>
      </c>
      <c r="AV32" s="18">
        <f>pREFs!AV29</f>
        <v>0</v>
      </c>
      <c r="AW32" s="18">
        <f>pREFs!AW29</f>
        <v>0</v>
      </c>
      <c r="AX32" s="402">
        <f>pREFs!AX29</f>
        <v>0</v>
      </c>
      <c r="AY32" s="403">
        <f>pREFs!AY29</f>
        <v>0</v>
      </c>
      <c r="AZ32" s="18">
        <f>pREFs!AZ29</f>
        <v>0</v>
      </c>
      <c r="BA32" s="18">
        <f>pREFs!BA29</f>
        <v>0</v>
      </c>
      <c r="BB32" s="18">
        <f>pREFs!BB29</f>
        <v>0</v>
      </c>
      <c r="BC32" s="18">
        <f>pREFs!BC29</f>
        <v>0</v>
      </c>
      <c r="BD32" s="18">
        <f>pREFs!BD29</f>
        <v>0</v>
      </c>
      <c r="BE32" s="18">
        <f>pREFs!BE29</f>
        <v>0</v>
      </c>
      <c r="BF32" s="18">
        <f>pREFs!BF29</f>
        <v>0</v>
      </c>
      <c r="BG32" s="18">
        <f>pREFs!BG29</f>
        <v>0</v>
      </c>
      <c r="BH32" s="18">
        <f>pREFs!BH29</f>
        <v>0</v>
      </c>
      <c r="BI32" s="18">
        <f>pREFs!BI29</f>
        <v>0</v>
      </c>
      <c r="BJ32" s="19">
        <f>pREFs!BJ29</f>
        <v>0</v>
      </c>
    </row>
    <row r="33" spans="1:124" ht="15.75" thickBot="1" x14ac:dyDescent="0.3">
      <c r="A33" s="7"/>
      <c r="B33" s="22" t="s">
        <v>11</v>
      </c>
      <c r="C33" s="23">
        <f>pREFs!C30</f>
        <v>55.71</v>
      </c>
      <c r="D33" s="23">
        <f>pREFs!D30</f>
        <v>55.7</v>
      </c>
      <c r="E33" s="23">
        <f>pREFs!E30</f>
        <v>55.7</v>
      </c>
      <c r="F33" s="23">
        <f>pREFs!F30</f>
        <v>55.7</v>
      </c>
      <c r="G33" s="23">
        <f>pREFs!G30</f>
        <v>55.7</v>
      </c>
      <c r="H33" s="23">
        <f>pREFs!H30</f>
        <v>55.71</v>
      </c>
      <c r="I33" s="23">
        <f>pREFs!I30</f>
        <v>66.319999999999993</v>
      </c>
      <c r="J33" s="23">
        <f>pREFs!J30</f>
        <v>76.900000000000006</v>
      </c>
      <c r="K33" s="23">
        <f>pREFs!K30</f>
        <v>56.08</v>
      </c>
      <c r="L33" s="23">
        <f>pREFs!L30</f>
        <v>55.7</v>
      </c>
      <c r="M33" s="23">
        <f>pREFs!M30</f>
        <v>55.7</v>
      </c>
      <c r="N33" s="404">
        <f>pREFs!N30</f>
        <v>0</v>
      </c>
      <c r="O33" s="405">
        <f>pREFs!O30</f>
        <v>0</v>
      </c>
      <c r="P33" s="23">
        <f>pREFs!P30</f>
        <v>0</v>
      </c>
      <c r="Q33" s="23">
        <f>pREFs!Q30</f>
        <v>0</v>
      </c>
      <c r="R33" s="23">
        <f>pREFs!R30</f>
        <v>0</v>
      </c>
      <c r="S33" s="23">
        <f>pREFs!S30</f>
        <v>0</v>
      </c>
      <c r="T33" s="23">
        <f>pREFs!T30</f>
        <v>0</v>
      </c>
      <c r="U33" s="23">
        <f>pREFs!U30</f>
        <v>0</v>
      </c>
      <c r="V33" s="23">
        <f>pREFs!V30</f>
        <v>0</v>
      </c>
      <c r="W33" s="23">
        <f>pREFs!W30</f>
        <v>0</v>
      </c>
      <c r="X33" s="23">
        <f>pREFs!X30</f>
        <v>0</v>
      </c>
      <c r="Y33" s="23">
        <f>pREFs!Y30</f>
        <v>0</v>
      </c>
      <c r="Z33" s="404">
        <f>pREFs!Z30</f>
        <v>0</v>
      </c>
      <c r="AA33" s="405">
        <f>pREFs!AA30</f>
        <v>0</v>
      </c>
      <c r="AB33" s="23">
        <f>pREFs!AB30</f>
        <v>0</v>
      </c>
      <c r="AC33" s="23">
        <f>pREFs!AC30</f>
        <v>0</v>
      </c>
      <c r="AD33" s="23">
        <f>pREFs!AD30</f>
        <v>0</v>
      </c>
      <c r="AE33" s="23">
        <f>pREFs!AE30</f>
        <v>0</v>
      </c>
      <c r="AF33" s="23">
        <f>pREFs!AF30</f>
        <v>0</v>
      </c>
      <c r="AG33" s="23">
        <f>pREFs!AG30</f>
        <v>0</v>
      </c>
      <c r="AH33" s="23">
        <f>pREFs!AH30</f>
        <v>0</v>
      </c>
      <c r="AI33" s="23">
        <f>pREFs!AI30</f>
        <v>0</v>
      </c>
      <c r="AJ33" s="23">
        <f>pREFs!AJ30</f>
        <v>0</v>
      </c>
      <c r="AK33" s="23">
        <f>pREFs!AK30</f>
        <v>0</v>
      </c>
      <c r="AL33" s="404">
        <f>pREFs!AL30</f>
        <v>0</v>
      </c>
      <c r="AM33" s="405">
        <f>pREFs!AM30</f>
        <v>0</v>
      </c>
      <c r="AN33" s="23">
        <f>pREFs!AN30</f>
        <v>0</v>
      </c>
      <c r="AO33" s="23">
        <f>pREFs!AO30</f>
        <v>0</v>
      </c>
      <c r="AP33" s="23">
        <f>pREFs!AP30</f>
        <v>0</v>
      </c>
      <c r="AQ33" s="23">
        <f>pREFs!AQ30</f>
        <v>0</v>
      </c>
      <c r="AR33" s="23">
        <f>pREFs!AR30</f>
        <v>0</v>
      </c>
      <c r="AS33" s="23">
        <f>pREFs!AS30</f>
        <v>0</v>
      </c>
      <c r="AT33" s="23">
        <f>pREFs!AT30</f>
        <v>0</v>
      </c>
      <c r="AU33" s="23">
        <f>pREFs!AU30</f>
        <v>0</v>
      </c>
      <c r="AV33" s="23">
        <f>pREFs!AV30</f>
        <v>0</v>
      </c>
      <c r="AW33" s="23">
        <f>pREFs!AW30</f>
        <v>0</v>
      </c>
      <c r="AX33" s="404">
        <f>pREFs!AX30</f>
        <v>0</v>
      </c>
      <c r="AY33" s="405">
        <f>pREFs!AY30</f>
        <v>0</v>
      </c>
      <c r="AZ33" s="23">
        <f>pREFs!AZ30</f>
        <v>0</v>
      </c>
      <c r="BA33" s="23">
        <f>pREFs!BA30</f>
        <v>0</v>
      </c>
      <c r="BB33" s="23">
        <f>pREFs!BB30</f>
        <v>0</v>
      </c>
      <c r="BC33" s="23">
        <f>pREFs!BC30</f>
        <v>0</v>
      </c>
      <c r="BD33" s="23">
        <f>pREFs!BD30</f>
        <v>0</v>
      </c>
      <c r="BE33" s="23">
        <f>pREFs!BE30</f>
        <v>0</v>
      </c>
      <c r="BF33" s="23">
        <f>pREFs!BF30</f>
        <v>0</v>
      </c>
      <c r="BG33" s="23">
        <f>pREFs!BG30</f>
        <v>0</v>
      </c>
      <c r="BH33" s="23">
        <f>pREFs!BH30</f>
        <v>0</v>
      </c>
      <c r="BI33" s="23">
        <f>pREFs!BI30</f>
        <v>0</v>
      </c>
      <c r="BJ33" s="24">
        <f>pREFs!BJ30</f>
        <v>0</v>
      </c>
    </row>
    <row r="34" spans="1:124" x14ac:dyDescent="0.25">
      <c r="A34" s="7"/>
      <c r="B34" s="10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/>
      <c r="AZ34" s="14"/>
      <c r="BA34" s="14"/>
      <c r="BB34" s="14"/>
      <c r="BC34" s="14"/>
      <c r="BD34" s="14"/>
      <c r="BE34" s="14"/>
      <c r="BF34" s="14"/>
      <c r="BG34" s="14"/>
      <c r="BH34" s="14"/>
      <c r="BI34" s="14"/>
      <c r="BJ34" s="14"/>
    </row>
    <row r="35" spans="1:124" x14ac:dyDescent="0.25">
      <c r="A35" s="7"/>
      <c r="B35" s="79" t="s">
        <v>138</v>
      </c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/>
      <c r="AZ35" s="14"/>
      <c r="BA35" s="14"/>
      <c r="BB35" s="14"/>
      <c r="BC35" s="14"/>
      <c r="BD35" s="14"/>
      <c r="BE35" s="14"/>
      <c r="BF35" s="14"/>
      <c r="BG35" s="14"/>
      <c r="BH35" s="14"/>
      <c r="BI35" s="14"/>
      <c r="BJ35" s="14"/>
      <c r="BL35" s="79" t="s">
        <v>139</v>
      </c>
      <c r="BM35" s="14"/>
      <c r="BN35" s="14"/>
      <c r="BO35" s="14"/>
      <c r="BP35" s="14"/>
      <c r="BQ35" s="14"/>
      <c r="BR35" s="14"/>
      <c r="BS35" s="14"/>
      <c r="BT35" s="14"/>
      <c r="BU35" s="14"/>
      <c r="BV35" s="14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14"/>
      <c r="DQ35" s="14"/>
      <c r="DR35" s="14"/>
      <c r="DS35" s="14"/>
      <c r="DT35" s="14"/>
    </row>
    <row r="36" spans="1:124" ht="15.75" thickBot="1" x14ac:dyDescent="0.3">
      <c r="B36" s="35" t="s">
        <v>111</v>
      </c>
      <c r="C36" s="26">
        <f>C29</f>
        <v>44562</v>
      </c>
      <c r="D36" s="26">
        <f t="shared" ref="D36:BJ36" si="3">D29</f>
        <v>44593</v>
      </c>
      <c r="E36" s="26">
        <f t="shared" si="3"/>
        <v>44621</v>
      </c>
      <c r="F36" s="26">
        <f t="shared" si="3"/>
        <v>44652</v>
      </c>
      <c r="G36" s="26">
        <f t="shared" si="3"/>
        <v>44682</v>
      </c>
      <c r="H36" s="26">
        <f t="shared" si="3"/>
        <v>44713</v>
      </c>
      <c r="I36" s="26">
        <f t="shared" si="3"/>
        <v>44743</v>
      </c>
      <c r="J36" s="26">
        <f t="shared" si="3"/>
        <v>44774</v>
      </c>
      <c r="K36" s="26">
        <f t="shared" si="3"/>
        <v>44805</v>
      </c>
      <c r="L36" s="26">
        <f t="shared" si="3"/>
        <v>44835</v>
      </c>
      <c r="M36" s="26">
        <f t="shared" si="3"/>
        <v>44866</v>
      </c>
      <c r="N36" s="382">
        <f t="shared" si="3"/>
        <v>44896</v>
      </c>
      <c r="O36" s="383">
        <f t="shared" si="3"/>
        <v>44927</v>
      </c>
      <c r="P36" s="26">
        <f t="shared" si="3"/>
        <v>44958</v>
      </c>
      <c r="Q36" s="26">
        <f t="shared" si="3"/>
        <v>44986</v>
      </c>
      <c r="R36" s="26">
        <f t="shared" si="3"/>
        <v>45017</v>
      </c>
      <c r="S36" s="26">
        <f t="shared" si="3"/>
        <v>45047</v>
      </c>
      <c r="T36" s="26">
        <f t="shared" si="3"/>
        <v>45078</v>
      </c>
      <c r="U36" s="26">
        <f t="shared" si="3"/>
        <v>45108</v>
      </c>
      <c r="V36" s="26">
        <f t="shared" si="3"/>
        <v>45139</v>
      </c>
      <c r="W36" s="26">
        <f t="shared" si="3"/>
        <v>45170</v>
      </c>
      <c r="X36" s="26">
        <f t="shared" si="3"/>
        <v>45200</v>
      </c>
      <c r="Y36" s="26">
        <f t="shared" si="3"/>
        <v>45231</v>
      </c>
      <c r="Z36" s="382">
        <f t="shared" si="3"/>
        <v>45261</v>
      </c>
      <c r="AA36" s="383">
        <f t="shared" si="3"/>
        <v>45292</v>
      </c>
      <c r="AB36" s="26">
        <f t="shared" si="3"/>
        <v>45323</v>
      </c>
      <c r="AC36" s="26">
        <f t="shared" si="3"/>
        <v>45352</v>
      </c>
      <c r="AD36" s="26">
        <f t="shared" si="3"/>
        <v>45383</v>
      </c>
      <c r="AE36" s="26">
        <f t="shared" si="3"/>
        <v>45413</v>
      </c>
      <c r="AF36" s="26">
        <f t="shared" si="3"/>
        <v>45444</v>
      </c>
      <c r="AG36" s="26">
        <f t="shared" si="3"/>
        <v>45474</v>
      </c>
      <c r="AH36" s="26">
        <f t="shared" si="3"/>
        <v>45505</v>
      </c>
      <c r="AI36" s="26">
        <f t="shared" si="3"/>
        <v>45536</v>
      </c>
      <c r="AJ36" s="26">
        <f t="shared" si="3"/>
        <v>45566</v>
      </c>
      <c r="AK36" s="26">
        <f t="shared" si="3"/>
        <v>45597</v>
      </c>
      <c r="AL36" s="382">
        <f t="shared" si="3"/>
        <v>45627</v>
      </c>
      <c r="AM36" s="383">
        <f t="shared" si="3"/>
        <v>45658</v>
      </c>
      <c r="AN36" s="26">
        <f t="shared" si="3"/>
        <v>45689</v>
      </c>
      <c r="AO36" s="26">
        <f t="shared" si="3"/>
        <v>45717</v>
      </c>
      <c r="AP36" s="26">
        <f t="shared" si="3"/>
        <v>45748</v>
      </c>
      <c r="AQ36" s="26">
        <f t="shared" si="3"/>
        <v>45778</v>
      </c>
      <c r="AR36" s="26">
        <f t="shared" si="3"/>
        <v>45809</v>
      </c>
      <c r="AS36" s="26">
        <f t="shared" si="3"/>
        <v>45839</v>
      </c>
      <c r="AT36" s="26">
        <f t="shared" si="3"/>
        <v>45870</v>
      </c>
      <c r="AU36" s="26">
        <f t="shared" si="3"/>
        <v>45901</v>
      </c>
      <c r="AV36" s="26">
        <f t="shared" si="3"/>
        <v>45931</v>
      </c>
      <c r="AW36" s="26">
        <f t="shared" si="3"/>
        <v>45962</v>
      </c>
      <c r="AX36" s="382">
        <f t="shared" si="3"/>
        <v>45992</v>
      </c>
      <c r="AY36" s="383">
        <f t="shared" si="3"/>
        <v>46023</v>
      </c>
      <c r="AZ36" s="26">
        <f t="shared" si="3"/>
        <v>46054</v>
      </c>
      <c r="BA36" s="26">
        <f t="shared" si="3"/>
        <v>46082</v>
      </c>
      <c r="BB36" s="26">
        <f t="shared" si="3"/>
        <v>46113</v>
      </c>
      <c r="BC36" s="26">
        <f t="shared" si="3"/>
        <v>46143</v>
      </c>
      <c r="BD36" s="26">
        <f t="shared" si="3"/>
        <v>46174</v>
      </c>
      <c r="BE36" s="26">
        <f t="shared" si="3"/>
        <v>46204</v>
      </c>
      <c r="BF36" s="26">
        <f t="shared" si="3"/>
        <v>46235</v>
      </c>
      <c r="BG36" s="26">
        <f t="shared" si="3"/>
        <v>46266</v>
      </c>
      <c r="BH36" s="26">
        <f t="shared" si="3"/>
        <v>46296</v>
      </c>
      <c r="BI36" s="26">
        <f t="shared" si="3"/>
        <v>46327</v>
      </c>
      <c r="BJ36" s="26">
        <f t="shared" si="3"/>
        <v>46357</v>
      </c>
      <c r="BL36" s="35" t="s">
        <v>111</v>
      </c>
      <c r="BM36" s="26">
        <f>C36</f>
        <v>44562</v>
      </c>
      <c r="BN36" s="26">
        <f t="shared" ref="BN36:DT36" si="4">D36</f>
        <v>44593</v>
      </c>
      <c r="BO36" s="26">
        <f t="shared" si="4"/>
        <v>44621</v>
      </c>
      <c r="BP36" s="26">
        <f t="shared" si="4"/>
        <v>44652</v>
      </c>
      <c r="BQ36" s="26">
        <f t="shared" si="4"/>
        <v>44682</v>
      </c>
      <c r="BR36" s="26">
        <f t="shared" si="4"/>
        <v>44713</v>
      </c>
      <c r="BS36" s="26">
        <f t="shared" si="4"/>
        <v>44743</v>
      </c>
      <c r="BT36" s="26">
        <f t="shared" si="4"/>
        <v>44774</v>
      </c>
      <c r="BU36" s="26">
        <f t="shared" si="4"/>
        <v>44805</v>
      </c>
      <c r="BV36" s="26">
        <f t="shared" si="4"/>
        <v>44835</v>
      </c>
      <c r="BW36" s="26">
        <f t="shared" si="4"/>
        <v>44866</v>
      </c>
      <c r="BX36" s="382">
        <f t="shared" si="4"/>
        <v>44896</v>
      </c>
      <c r="BY36" s="383">
        <f t="shared" si="4"/>
        <v>44927</v>
      </c>
      <c r="BZ36" s="26">
        <f t="shared" si="4"/>
        <v>44958</v>
      </c>
      <c r="CA36" s="26">
        <f t="shared" si="4"/>
        <v>44986</v>
      </c>
      <c r="CB36" s="26">
        <f t="shared" si="4"/>
        <v>45017</v>
      </c>
      <c r="CC36" s="26">
        <f t="shared" si="4"/>
        <v>45047</v>
      </c>
      <c r="CD36" s="26">
        <f t="shared" si="4"/>
        <v>45078</v>
      </c>
      <c r="CE36" s="26">
        <f t="shared" si="4"/>
        <v>45108</v>
      </c>
      <c r="CF36" s="26">
        <f t="shared" si="4"/>
        <v>45139</v>
      </c>
      <c r="CG36" s="26">
        <f t="shared" si="4"/>
        <v>45170</v>
      </c>
      <c r="CH36" s="26">
        <f t="shared" si="4"/>
        <v>45200</v>
      </c>
      <c r="CI36" s="26">
        <f t="shared" si="4"/>
        <v>45231</v>
      </c>
      <c r="CJ36" s="382">
        <f t="shared" si="4"/>
        <v>45261</v>
      </c>
      <c r="CK36" s="383">
        <f t="shared" si="4"/>
        <v>45292</v>
      </c>
      <c r="CL36" s="26">
        <f t="shared" si="4"/>
        <v>45323</v>
      </c>
      <c r="CM36" s="26">
        <f t="shared" si="4"/>
        <v>45352</v>
      </c>
      <c r="CN36" s="26">
        <f t="shared" si="4"/>
        <v>45383</v>
      </c>
      <c r="CO36" s="26">
        <f t="shared" si="4"/>
        <v>45413</v>
      </c>
      <c r="CP36" s="26">
        <f t="shared" si="4"/>
        <v>45444</v>
      </c>
      <c r="CQ36" s="26">
        <f t="shared" si="4"/>
        <v>45474</v>
      </c>
      <c r="CR36" s="26">
        <f t="shared" si="4"/>
        <v>45505</v>
      </c>
      <c r="CS36" s="26">
        <f t="shared" si="4"/>
        <v>45536</v>
      </c>
      <c r="CT36" s="26">
        <f t="shared" si="4"/>
        <v>45566</v>
      </c>
      <c r="CU36" s="26">
        <f t="shared" si="4"/>
        <v>45597</v>
      </c>
      <c r="CV36" s="382">
        <f t="shared" si="4"/>
        <v>45627</v>
      </c>
      <c r="CW36" s="383">
        <f t="shared" si="4"/>
        <v>45658</v>
      </c>
      <c r="CX36" s="26">
        <f t="shared" si="4"/>
        <v>45689</v>
      </c>
      <c r="CY36" s="26">
        <f t="shared" si="4"/>
        <v>45717</v>
      </c>
      <c r="CZ36" s="26">
        <f t="shared" si="4"/>
        <v>45748</v>
      </c>
      <c r="DA36" s="26">
        <f t="shared" si="4"/>
        <v>45778</v>
      </c>
      <c r="DB36" s="26">
        <f t="shared" si="4"/>
        <v>45809</v>
      </c>
      <c r="DC36" s="26">
        <f t="shared" si="4"/>
        <v>45839</v>
      </c>
      <c r="DD36" s="26">
        <f t="shared" si="4"/>
        <v>45870</v>
      </c>
      <c r="DE36" s="26">
        <f t="shared" si="4"/>
        <v>45901</v>
      </c>
      <c r="DF36" s="26">
        <f t="shared" si="4"/>
        <v>45931</v>
      </c>
      <c r="DG36" s="26">
        <f t="shared" si="4"/>
        <v>45962</v>
      </c>
      <c r="DH36" s="382">
        <f t="shared" si="4"/>
        <v>45992</v>
      </c>
      <c r="DI36" s="383">
        <f t="shared" si="4"/>
        <v>46023</v>
      </c>
      <c r="DJ36" s="26">
        <f t="shared" si="4"/>
        <v>46054</v>
      </c>
      <c r="DK36" s="26">
        <f t="shared" si="4"/>
        <v>46082</v>
      </c>
      <c r="DL36" s="26">
        <f t="shared" si="4"/>
        <v>46113</v>
      </c>
      <c r="DM36" s="26">
        <f t="shared" si="4"/>
        <v>46143</v>
      </c>
      <c r="DN36" s="26">
        <f t="shared" si="4"/>
        <v>46174</v>
      </c>
      <c r="DO36" s="26">
        <f t="shared" si="4"/>
        <v>46204</v>
      </c>
      <c r="DP36" s="26">
        <f t="shared" si="4"/>
        <v>46235</v>
      </c>
      <c r="DQ36" s="26">
        <f t="shared" si="4"/>
        <v>46266</v>
      </c>
      <c r="DR36" s="26">
        <f t="shared" si="4"/>
        <v>46296</v>
      </c>
      <c r="DS36" s="26">
        <f t="shared" si="4"/>
        <v>46327</v>
      </c>
      <c r="DT36" s="26">
        <f t="shared" si="4"/>
        <v>46357</v>
      </c>
    </row>
    <row r="37" spans="1:124" x14ac:dyDescent="0.25">
      <c r="A37" s="7"/>
      <c r="B37" s="16" t="s">
        <v>44</v>
      </c>
      <c r="C37" s="20">
        <f>IF(C30=0,C10,C30)</f>
        <v>62.91</v>
      </c>
      <c r="D37" s="20">
        <f t="shared" ref="D37:BJ37" si="5">IF(D30=0,D10,D30)</f>
        <v>55.7</v>
      </c>
      <c r="E37" s="20">
        <f t="shared" si="5"/>
        <v>55.7</v>
      </c>
      <c r="F37" s="20">
        <f t="shared" si="5"/>
        <v>55.7</v>
      </c>
      <c r="G37" s="20">
        <f t="shared" si="5"/>
        <v>55.7</v>
      </c>
      <c r="H37" s="20">
        <f t="shared" si="5"/>
        <v>55.71</v>
      </c>
      <c r="I37" s="20">
        <f t="shared" si="5"/>
        <v>66.319999999999993</v>
      </c>
      <c r="J37" s="20">
        <f t="shared" si="5"/>
        <v>76.900000000000006</v>
      </c>
      <c r="K37" s="20">
        <f t="shared" si="5"/>
        <v>56.08</v>
      </c>
      <c r="L37" s="20">
        <f t="shared" si="5"/>
        <v>55.7</v>
      </c>
      <c r="M37" s="20">
        <f t="shared" si="5"/>
        <v>55.7</v>
      </c>
      <c r="N37" s="400">
        <f t="shared" si="5"/>
        <v>55.7</v>
      </c>
      <c r="O37" s="401">
        <f t="shared" si="5"/>
        <v>55.7</v>
      </c>
      <c r="P37" s="20">
        <f t="shared" si="5"/>
        <v>55.7</v>
      </c>
      <c r="Q37" s="20">
        <f t="shared" si="5"/>
        <v>55.7</v>
      </c>
      <c r="R37" s="20">
        <f t="shared" si="5"/>
        <v>55.7</v>
      </c>
      <c r="S37" s="20">
        <f t="shared" si="5"/>
        <v>55.7</v>
      </c>
      <c r="T37" s="20">
        <f t="shared" si="5"/>
        <v>55.874535369068141</v>
      </c>
      <c r="U37" s="20">
        <f t="shared" si="5"/>
        <v>59.54033706800562</v>
      </c>
      <c r="V37" s="20">
        <f t="shared" si="5"/>
        <v>59.54033706800562</v>
      </c>
      <c r="W37" s="20">
        <f t="shared" si="5"/>
        <v>59.54033706800562</v>
      </c>
      <c r="X37" s="20">
        <f t="shared" si="5"/>
        <v>62.087104564109552</v>
      </c>
      <c r="Y37" s="20">
        <f t="shared" si="5"/>
        <v>62.087104564109552</v>
      </c>
      <c r="Z37" s="400">
        <f t="shared" si="5"/>
        <v>62.087104564109552</v>
      </c>
      <c r="AA37" s="401">
        <f t="shared" si="5"/>
        <v>92.278761745078526</v>
      </c>
      <c r="AB37" s="20">
        <f t="shared" si="5"/>
        <v>92.278761745078526</v>
      </c>
      <c r="AC37" s="20">
        <f t="shared" si="5"/>
        <v>92.278761745078526</v>
      </c>
      <c r="AD37" s="20">
        <f t="shared" si="5"/>
        <v>92.278761745078526</v>
      </c>
      <c r="AE37" s="20">
        <f t="shared" si="5"/>
        <v>92.278761745078526</v>
      </c>
      <c r="AF37" s="20">
        <f t="shared" si="5"/>
        <v>92.278761745078526</v>
      </c>
      <c r="AG37" s="20">
        <f t="shared" si="5"/>
        <v>92.278761745078526</v>
      </c>
      <c r="AH37" s="20">
        <f t="shared" si="5"/>
        <v>92.278761745078526</v>
      </c>
      <c r="AI37" s="20">
        <f t="shared" si="5"/>
        <v>92.278761745078526</v>
      </c>
      <c r="AJ37" s="20">
        <f t="shared" si="5"/>
        <v>92.278761745078526</v>
      </c>
      <c r="AK37" s="20">
        <f t="shared" si="5"/>
        <v>92.278761745078526</v>
      </c>
      <c r="AL37" s="400">
        <f t="shared" si="5"/>
        <v>92.278761745078526</v>
      </c>
      <c r="AM37" s="401">
        <f t="shared" si="5"/>
        <v>112</v>
      </c>
      <c r="AN37" s="20">
        <f t="shared" si="5"/>
        <v>112</v>
      </c>
      <c r="AO37" s="20">
        <f t="shared" si="5"/>
        <v>112</v>
      </c>
      <c r="AP37" s="20">
        <f t="shared" si="5"/>
        <v>112</v>
      </c>
      <c r="AQ37" s="20">
        <f t="shared" si="5"/>
        <v>112</v>
      </c>
      <c r="AR37" s="20">
        <f t="shared" si="5"/>
        <v>112</v>
      </c>
      <c r="AS37" s="20">
        <f t="shared" si="5"/>
        <v>112</v>
      </c>
      <c r="AT37" s="20">
        <f t="shared" si="5"/>
        <v>112</v>
      </c>
      <c r="AU37" s="20">
        <f t="shared" si="5"/>
        <v>112</v>
      </c>
      <c r="AV37" s="20">
        <f t="shared" si="5"/>
        <v>112</v>
      </c>
      <c r="AW37" s="20">
        <f t="shared" si="5"/>
        <v>112</v>
      </c>
      <c r="AX37" s="400">
        <f t="shared" si="5"/>
        <v>112</v>
      </c>
      <c r="AY37" s="401">
        <f t="shared" si="5"/>
        <v>140.5</v>
      </c>
      <c r="AZ37" s="20">
        <f t="shared" si="5"/>
        <v>140.5</v>
      </c>
      <c r="BA37" s="20">
        <f t="shared" si="5"/>
        <v>140.5</v>
      </c>
      <c r="BB37" s="20">
        <f t="shared" si="5"/>
        <v>140.5</v>
      </c>
      <c r="BC37" s="20">
        <f t="shared" si="5"/>
        <v>140.5</v>
      </c>
      <c r="BD37" s="20">
        <f t="shared" si="5"/>
        <v>140.5</v>
      </c>
      <c r="BE37" s="20">
        <f t="shared" si="5"/>
        <v>140.5</v>
      </c>
      <c r="BF37" s="20">
        <f t="shared" si="5"/>
        <v>140.5</v>
      </c>
      <c r="BG37" s="20">
        <f t="shared" si="5"/>
        <v>140.5</v>
      </c>
      <c r="BH37" s="20">
        <f t="shared" si="5"/>
        <v>140.5</v>
      </c>
      <c r="BI37" s="20">
        <f t="shared" si="5"/>
        <v>140.5</v>
      </c>
      <c r="BJ37" s="21">
        <f t="shared" si="5"/>
        <v>140.5</v>
      </c>
      <c r="BL37" s="16" t="s">
        <v>44</v>
      </c>
      <c r="BM37" s="20">
        <f>IF(C30=0,C11,C30)</f>
        <v>62.91</v>
      </c>
      <c r="BN37" s="20">
        <f t="shared" ref="BN37:DT37" si="6">IF(D30=0,D11,D30)</f>
        <v>55.7</v>
      </c>
      <c r="BO37" s="20">
        <f t="shared" si="6"/>
        <v>55.7</v>
      </c>
      <c r="BP37" s="20">
        <f t="shared" si="6"/>
        <v>55.7</v>
      </c>
      <c r="BQ37" s="20">
        <f t="shared" si="6"/>
        <v>55.7</v>
      </c>
      <c r="BR37" s="20">
        <f t="shared" si="6"/>
        <v>55.71</v>
      </c>
      <c r="BS37" s="20">
        <f t="shared" si="6"/>
        <v>66.319999999999993</v>
      </c>
      <c r="BT37" s="20">
        <f t="shared" si="6"/>
        <v>76.900000000000006</v>
      </c>
      <c r="BU37" s="20">
        <f t="shared" si="6"/>
        <v>56.08</v>
      </c>
      <c r="BV37" s="20">
        <f t="shared" si="6"/>
        <v>55.7</v>
      </c>
      <c r="BW37" s="20">
        <f t="shared" si="6"/>
        <v>55.7</v>
      </c>
      <c r="BX37" s="400">
        <f t="shared" si="6"/>
        <v>78.400653594793155</v>
      </c>
      <c r="BY37" s="401">
        <f t="shared" si="6"/>
        <v>96.206580759134184</v>
      </c>
      <c r="BZ37" s="20">
        <f t="shared" si="6"/>
        <v>92.430648861364247</v>
      </c>
      <c r="CA37" s="20">
        <f t="shared" si="6"/>
        <v>89.053218420260009</v>
      </c>
      <c r="CB37" s="20">
        <f t="shared" si="6"/>
        <v>85.732008718771311</v>
      </c>
      <c r="CC37" s="20">
        <f t="shared" si="6"/>
        <v>86.223309628334476</v>
      </c>
      <c r="CD37" s="20">
        <f t="shared" si="6"/>
        <v>88.925464630931856</v>
      </c>
      <c r="CE37" s="20">
        <f t="shared" si="6"/>
        <v>94.759662931994384</v>
      </c>
      <c r="CF37" s="20">
        <f t="shared" si="6"/>
        <v>94.759662931994384</v>
      </c>
      <c r="CG37" s="20">
        <f t="shared" si="6"/>
        <v>94.759662931994384</v>
      </c>
      <c r="CH37" s="20">
        <f t="shared" si="6"/>
        <v>98.812895435890439</v>
      </c>
      <c r="CI37" s="20">
        <f t="shared" si="6"/>
        <v>98.812895435890439</v>
      </c>
      <c r="CJ37" s="400">
        <f t="shared" si="6"/>
        <v>98.812895435890439</v>
      </c>
      <c r="CK37" s="401">
        <f t="shared" si="6"/>
        <v>107.92123825492146</v>
      </c>
      <c r="CL37" s="20">
        <f t="shared" si="6"/>
        <v>107.92123825492146</v>
      </c>
      <c r="CM37" s="20">
        <f t="shared" si="6"/>
        <v>107.92123825492146</v>
      </c>
      <c r="CN37" s="20">
        <f t="shared" si="6"/>
        <v>107.92123825492146</v>
      </c>
      <c r="CO37" s="20">
        <f t="shared" si="6"/>
        <v>107.92123825492146</v>
      </c>
      <c r="CP37" s="20">
        <f t="shared" si="6"/>
        <v>107.92123825492146</v>
      </c>
      <c r="CQ37" s="20">
        <f t="shared" si="6"/>
        <v>107.92123825492146</v>
      </c>
      <c r="CR37" s="20">
        <f t="shared" si="6"/>
        <v>107.92123825492146</v>
      </c>
      <c r="CS37" s="20">
        <f t="shared" si="6"/>
        <v>107.92123825492146</v>
      </c>
      <c r="CT37" s="20">
        <f t="shared" si="6"/>
        <v>107.92123825492146</v>
      </c>
      <c r="CU37" s="20">
        <f t="shared" si="6"/>
        <v>107.92123825492146</v>
      </c>
      <c r="CV37" s="400">
        <f t="shared" si="6"/>
        <v>107.92123825492146</v>
      </c>
      <c r="CW37" s="401">
        <f t="shared" si="6"/>
        <v>112</v>
      </c>
      <c r="CX37" s="20">
        <f t="shared" si="6"/>
        <v>112</v>
      </c>
      <c r="CY37" s="20">
        <f t="shared" si="6"/>
        <v>112</v>
      </c>
      <c r="CZ37" s="20">
        <f t="shared" si="6"/>
        <v>112</v>
      </c>
      <c r="DA37" s="20">
        <f t="shared" si="6"/>
        <v>112</v>
      </c>
      <c r="DB37" s="20">
        <f t="shared" si="6"/>
        <v>112</v>
      </c>
      <c r="DC37" s="20">
        <f t="shared" si="6"/>
        <v>112</v>
      </c>
      <c r="DD37" s="20">
        <f t="shared" si="6"/>
        <v>112</v>
      </c>
      <c r="DE37" s="20">
        <f t="shared" si="6"/>
        <v>112</v>
      </c>
      <c r="DF37" s="20">
        <f t="shared" si="6"/>
        <v>112</v>
      </c>
      <c r="DG37" s="20">
        <f t="shared" si="6"/>
        <v>112</v>
      </c>
      <c r="DH37" s="400">
        <f t="shared" si="6"/>
        <v>112</v>
      </c>
      <c r="DI37" s="401">
        <f t="shared" si="6"/>
        <v>140.5</v>
      </c>
      <c r="DJ37" s="20">
        <f t="shared" si="6"/>
        <v>140.5</v>
      </c>
      <c r="DK37" s="20">
        <f t="shared" si="6"/>
        <v>140.5</v>
      </c>
      <c r="DL37" s="20">
        <f t="shared" si="6"/>
        <v>140.5</v>
      </c>
      <c r="DM37" s="20">
        <f t="shared" si="6"/>
        <v>140.5</v>
      </c>
      <c r="DN37" s="20">
        <f t="shared" si="6"/>
        <v>140.5</v>
      </c>
      <c r="DO37" s="20">
        <f t="shared" si="6"/>
        <v>140.5</v>
      </c>
      <c r="DP37" s="20">
        <f t="shared" si="6"/>
        <v>140.5</v>
      </c>
      <c r="DQ37" s="20">
        <f t="shared" si="6"/>
        <v>140.5</v>
      </c>
      <c r="DR37" s="20">
        <f t="shared" si="6"/>
        <v>140.5</v>
      </c>
      <c r="DS37" s="20">
        <f t="shared" si="6"/>
        <v>140.5</v>
      </c>
      <c r="DT37" s="21">
        <f t="shared" si="6"/>
        <v>140.5</v>
      </c>
    </row>
    <row r="38" spans="1:124" x14ac:dyDescent="0.25">
      <c r="A38" s="7"/>
      <c r="B38" s="17" t="str">
        <f>IF(B31="",(B10+B15),B31)</f>
        <v>S</v>
      </c>
      <c r="C38" s="18">
        <f>IF(C31=0,(C10+C15),C31)</f>
        <v>62.92</v>
      </c>
      <c r="D38" s="18">
        <f t="shared" ref="D38:BJ38" si="7">IF(D31=0,(D10+D15),D31)</f>
        <v>55.7</v>
      </c>
      <c r="E38" s="18">
        <f t="shared" si="7"/>
        <v>55.7</v>
      </c>
      <c r="F38" s="18">
        <f t="shared" si="7"/>
        <v>55.7</v>
      </c>
      <c r="G38" s="18">
        <f t="shared" si="7"/>
        <v>55.7</v>
      </c>
      <c r="H38" s="18">
        <f t="shared" si="7"/>
        <v>55.71</v>
      </c>
      <c r="I38" s="18">
        <f t="shared" si="7"/>
        <v>66.319999999999993</v>
      </c>
      <c r="J38" s="18">
        <f t="shared" si="7"/>
        <v>76.900000000000006</v>
      </c>
      <c r="K38" s="18">
        <f t="shared" si="7"/>
        <v>56.08</v>
      </c>
      <c r="L38" s="18">
        <f t="shared" si="7"/>
        <v>55.7</v>
      </c>
      <c r="M38" s="18">
        <f t="shared" si="7"/>
        <v>55.7</v>
      </c>
      <c r="N38" s="402">
        <f t="shared" si="7"/>
        <v>55.7</v>
      </c>
      <c r="O38" s="403">
        <f t="shared" si="7"/>
        <v>55.7</v>
      </c>
      <c r="P38" s="18">
        <f t="shared" si="7"/>
        <v>55.7</v>
      </c>
      <c r="Q38" s="18">
        <f t="shared" si="7"/>
        <v>55.7</v>
      </c>
      <c r="R38" s="18">
        <f t="shared" si="7"/>
        <v>55.7</v>
      </c>
      <c r="S38" s="18">
        <f t="shared" si="7"/>
        <v>55.7</v>
      </c>
      <c r="T38" s="18">
        <f t="shared" si="7"/>
        <v>55.874535369068141</v>
      </c>
      <c r="U38" s="18">
        <f t="shared" si="7"/>
        <v>59.54033706800562</v>
      </c>
      <c r="V38" s="18">
        <f t="shared" si="7"/>
        <v>59.54033706800562</v>
      </c>
      <c r="W38" s="18">
        <f t="shared" si="7"/>
        <v>59.54033706800562</v>
      </c>
      <c r="X38" s="18">
        <f t="shared" si="7"/>
        <v>62.087104564109552</v>
      </c>
      <c r="Y38" s="18">
        <f t="shared" si="7"/>
        <v>62.087104564109552</v>
      </c>
      <c r="Z38" s="402">
        <f t="shared" si="7"/>
        <v>62.087104564109552</v>
      </c>
      <c r="AA38" s="403">
        <f t="shared" si="7"/>
        <v>92.278761745078526</v>
      </c>
      <c r="AB38" s="18">
        <f t="shared" si="7"/>
        <v>92.278761745078526</v>
      </c>
      <c r="AC38" s="18">
        <f t="shared" si="7"/>
        <v>92.278761745078526</v>
      </c>
      <c r="AD38" s="18">
        <f t="shared" si="7"/>
        <v>92.278761745078526</v>
      </c>
      <c r="AE38" s="18">
        <f t="shared" si="7"/>
        <v>92.278761745078526</v>
      </c>
      <c r="AF38" s="18">
        <f t="shared" si="7"/>
        <v>92.278761745078526</v>
      </c>
      <c r="AG38" s="18">
        <f t="shared" si="7"/>
        <v>92.278761745078526</v>
      </c>
      <c r="AH38" s="18">
        <f t="shared" si="7"/>
        <v>92.278761745078526</v>
      </c>
      <c r="AI38" s="18">
        <f t="shared" si="7"/>
        <v>92.278761745078526</v>
      </c>
      <c r="AJ38" s="18">
        <f t="shared" si="7"/>
        <v>92.278761745078526</v>
      </c>
      <c r="AK38" s="18">
        <f t="shared" si="7"/>
        <v>92.278761745078526</v>
      </c>
      <c r="AL38" s="402">
        <f t="shared" si="7"/>
        <v>92.278761745078526</v>
      </c>
      <c r="AM38" s="403">
        <f t="shared" si="7"/>
        <v>112</v>
      </c>
      <c r="AN38" s="18">
        <f t="shared" si="7"/>
        <v>112</v>
      </c>
      <c r="AO38" s="18">
        <f t="shared" si="7"/>
        <v>112</v>
      </c>
      <c r="AP38" s="18">
        <f t="shared" si="7"/>
        <v>112</v>
      </c>
      <c r="AQ38" s="18">
        <f t="shared" si="7"/>
        <v>112</v>
      </c>
      <c r="AR38" s="18">
        <f t="shared" si="7"/>
        <v>112</v>
      </c>
      <c r="AS38" s="18">
        <f t="shared" si="7"/>
        <v>112</v>
      </c>
      <c r="AT38" s="18">
        <f t="shared" si="7"/>
        <v>112</v>
      </c>
      <c r="AU38" s="18">
        <f t="shared" si="7"/>
        <v>112</v>
      </c>
      <c r="AV38" s="18">
        <f t="shared" si="7"/>
        <v>112</v>
      </c>
      <c r="AW38" s="18">
        <f t="shared" si="7"/>
        <v>112</v>
      </c>
      <c r="AX38" s="402">
        <f t="shared" si="7"/>
        <v>112</v>
      </c>
      <c r="AY38" s="403">
        <f t="shared" si="7"/>
        <v>140.5</v>
      </c>
      <c r="AZ38" s="18">
        <f t="shared" si="7"/>
        <v>140.5</v>
      </c>
      <c r="BA38" s="18">
        <f t="shared" si="7"/>
        <v>140.5</v>
      </c>
      <c r="BB38" s="18">
        <f t="shared" si="7"/>
        <v>140.5</v>
      </c>
      <c r="BC38" s="18">
        <f t="shared" si="7"/>
        <v>140.5</v>
      </c>
      <c r="BD38" s="18">
        <f t="shared" si="7"/>
        <v>140.5</v>
      </c>
      <c r="BE38" s="18">
        <f t="shared" si="7"/>
        <v>140.5</v>
      </c>
      <c r="BF38" s="18">
        <f t="shared" si="7"/>
        <v>140.5</v>
      </c>
      <c r="BG38" s="18">
        <f t="shared" si="7"/>
        <v>140.5</v>
      </c>
      <c r="BH38" s="18">
        <f t="shared" si="7"/>
        <v>140.5</v>
      </c>
      <c r="BI38" s="18">
        <f t="shared" si="7"/>
        <v>140.5</v>
      </c>
      <c r="BJ38" s="19">
        <f t="shared" si="7"/>
        <v>140.5</v>
      </c>
      <c r="BL38" s="17" t="s">
        <v>12</v>
      </c>
      <c r="BM38" s="18">
        <f>IF(C31=0,(C11+C15),C31)</f>
        <v>62.92</v>
      </c>
      <c r="BN38" s="18">
        <f t="shared" ref="BN38:DT38" si="8">IF(D31=0,(D11+D15),D31)</f>
        <v>55.7</v>
      </c>
      <c r="BO38" s="18">
        <f t="shared" si="8"/>
        <v>55.7</v>
      </c>
      <c r="BP38" s="18">
        <f t="shared" si="8"/>
        <v>55.7</v>
      </c>
      <c r="BQ38" s="18">
        <f t="shared" si="8"/>
        <v>55.7</v>
      </c>
      <c r="BR38" s="18">
        <f t="shared" si="8"/>
        <v>55.71</v>
      </c>
      <c r="BS38" s="18">
        <f t="shared" si="8"/>
        <v>66.319999999999993</v>
      </c>
      <c r="BT38" s="18">
        <f t="shared" si="8"/>
        <v>76.900000000000006</v>
      </c>
      <c r="BU38" s="18">
        <f t="shared" si="8"/>
        <v>56.08</v>
      </c>
      <c r="BV38" s="18">
        <f t="shared" si="8"/>
        <v>55.7</v>
      </c>
      <c r="BW38" s="18">
        <f t="shared" si="8"/>
        <v>55.7</v>
      </c>
      <c r="BX38" s="402">
        <f t="shared" si="8"/>
        <v>78.400653594793155</v>
      </c>
      <c r="BY38" s="403">
        <f t="shared" si="8"/>
        <v>96.206580759134184</v>
      </c>
      <c r="BZ38" s="18">
        <f t="shared" si="8"/>
        <v>92.430648861364247</v>
      </c>
      <c r="CA38" s="18">
        <f t="shared" si="8"/>
        <v>89.053218420260009</v>
      </c>
      <c r="CB38" s="18">
        <f t="shared" si="8"/>
        <v>85.732008718771311</v>
      </c>
      <c r="CC38" s="18">
        <f t="shared" si="8"/>
        <v>86.223309628334476</v>
      </c>
      <c r="CD38" s="18">
        <f t="shared" si="8"/>
        <v>88.925464630931856</v>
      </c>
      <c r="CE38" s="18">
        <f t="shared" si="8"/>
        <v>94.759662931994384</v>
      </c>
      <c r="CF38" s="18">
        <f t="shared" si="8"/>
        <v>94.759662931994384</v>
      </c>
      <c r="CG38" s="18">
        <f t="shared" si="8"/>
        <v>94.759662931994384</v>
      </c>
      <c r="CH38" s="18">
        <f t="shared" si="8"/>
        <v>98.812895435890439</v>
      </c>
      <c r="CI38" s="18">
        <f t="shared" si="8"/>
        <v>98.812895435890439</v>
      </c>
      <c r="CJ38" s="402">
        <f t="shared" si="8"/>
        <v>98.812895435890439</v>
      </c>
      <c r="CK38" s="403">
        <f t="shared" si="8"/>
        <v>107.92123825492146</v>
      </c>
      <c r="CL38" s="18">
        <f t="shared" si="8"/>
        <v>107.92123825492146</v>
      </c>
      <c r="CM38" s="18">
        <f t="shared" si="8"/>
        <v>107.92123825492146</v>
      </c>
      <c r="CN38" s="18">
        <f t="shared" si="8"/>
        <v>107.92123825492146</v>
      </c>
      <c r="CO38" s="18">
        <f t="shared" si="8"/>
        <v>107.92123825492146</v>
      </c>
      <c r="CP38" s="18">
        <f t="shared" si="8"/>
        <v>107.92123825492146</v>
      </c>
      <c r="CQ38" s="18">
        <f t="shared" si="8"/>
        <v>107.92123825492146</v>
      </c>
      <c r="CR38" s="18">
        <f t="shared" si="8"/>
        <v>107.92123825492146</v>
      </c>
      <c r="CS38" s="18">
        <f t="shared" si="8"/>
        <v>107.92123825492146</v>
      </c>
      <c r="CT38" s="18">
        <f t="shared" si="8"/>
        <v>107.92123825492146</v>
      </c>
      <c r="CU38" s="18">
        <f t="shared" si="8"/>
        <v>107.92123825492146</v>
      </c>
      <c r="CV38" s="402">
        <f t="shared" si="8"/>
        <v>107.92123825492146</v>
      </c>
      <c r="CW38" s="403">
        <f t="shared" si="8"/>
        <v>112</v>
      </c>
      <c r="CX38" s="18">
        <f t="shared" si="8"/>
        <v>112</v>
      </c>
      <c r="CY38" s="18">
        <f t="shared" si="8"/>
        <v>112</v>
      </c>
      <c r="CZ38" s="18">
        <f t="shared" si="8"/>
        <v>112</v>
      </c>
      <c r="DA38" s="18">
        <f t="shared" si="8"/>
        <v>112</v>
      </c>
      <c r="DB38" s="18">
        <f t="shared" si="8"/>
        <v>112</v>
      </c>
      <c r="DC38" s="18">
        <f t="shared" si="8"/>
        <v>112</v>
      </c>
      <c r="DD38" s="18">
        <f t="shared" si="8"/>
        <v>112</v>
      </c>
      <c r="DE38" s="18">
        <f t="shared" si="8"/>
        <v>112</v>
      </c>
      <c r="DF38" s="18">
        <f t="shared" si="8"/>
        <v>112</v>
      </c>
      <c r="DG38" s="18">
        <f t="shared" si="8"/>
        <v>112</v>
      </c>
      <c r="DH38" s="402">
        <f t="shared" si="8"/>
        <v>112</v>
      </c>
      <c r="DI38" s="403">
        <f t="shared" si="8"/>
        <v>140.5</v>
      </c>
      <c r="DJ38" s="18">
        <f t="shared" si="8"/>
        <v>140.5</v>
      </c>
      <c r="DK38" s="18">
        <f t="shared" si="8"/>
        <v>140.5</v>
      </c>
      <c r="DL38" s="18">
        <f t="shared" si="8"/>
        <v>140.5</v>
      </c>
      <c r="DM38" s="18">
        <f t="shared" si="8"/>
        <v>140.5</v>
      </c>
      <c r="DN38" s="18">
        <f t="shared" si="8"/>
        <v>140.5</v>
      </c>
      <c r="DO38" s="18">
        <f t="shared" si="8"/>
        <v>140.5</v>
      </c>
      <c r="DP38" s="18">
        <f t="shared" si="8"/>
        <v>140.5</v>
      </c>
      <c r="DQ38" s="18">
        <f t="shared" si="8"/>
        <v>140.5</v>
      </c>
      <c r="DR38" s="18">
        <f t="shared" si="8"/>
        <v>140.5</v>
      </c>
      <c r="DS38" s="18">
        <f t="shared" si="8"/>
        <v>140.5</v>
      </c>
      <c r="DT38" s="19">
        <f t="shared" si="8"/>
        <v>140.5</v>
      </c>
    </row>
    <row r="39" spans="1:124" x14ac:dyDescent="0.25">
      <c r="A39" s="7"/>
      <c r="B39" s="17" t="str">
        <f>IF(B32="",(B10+B16),B32)</f>
        <v>NE</v>
      </c>
      <c r="C39" s="18">
        <f>IF(C32=0,(C10+C16),C32)</f>
        <v>57.22</v>
      </c>
      <c r="D39" s="18">
        <f t="shared" ref="D39:BJ39" si="9">IF(D32=0,(D10+D16),D32)</f>
        <v>55.7</v>
      </c>
      <c r="E39" s="18">
        <f t="shared" si="9"/>
        <v>55.7</v>
      </c>
      <c r="F39" s="18">
        <f t="shared" si="9"/>
        <v>55.7</v>
      </c>
      <c r="G39" s="18">
        <f t="shared" si="9"/>
        <v>55.7</v>
      </c>
      <c r="H39" s="18">
        <f t="shared" si="9"/>
        <v>55.71</v>
      </c>
      <c r="I39" s="18">
        <f t="shared" si="9"/>
        <v>66.319999999999993</v>
      </c>
      <c r="J39" s="18">
        <f t="shared" si="9"/>
        <v>76.900000000000006</v>
      </c>
      <c r="K39" s="18">
        <f t="shared" si="9"/>
        <v>56.08</v>
      </c>
      <c r="L39" s="18">
        <f t="shared" si="9"/>
        <v>55.7</v>
      </c>
      <c r="M39" s="18">
        <f t="shared" si="9"/>
        <v>55.7</v>
      </c>
      <c r="N39" s="402">
        <f t="shared" si="9"/>
        <v>55.7</v>
      </c>
      <c r="O39" s="403">
        <f t="shared" si="9"/>
        <v>55.7</v>
      </c>
      <c r="P39" s="18">
        <f t="shared" si="9"/>
        <v>55.7</v>
      </c>
      <c r="Q39" s="18">
        <f t="shared" si="9"/>
        <v>55.7</v>
      </c>
      <c r="R39" s="18">
        <f t="shared" si="9"/>
        <v>55.7</v>
      </c>
      <c r="S39" s="18">
        <f t="shared" si="9"/>
        <v>55.7</v>
      </c>
      <c r="T39" s="18">
        <f t="shared" si="9"/>
        <v>55.874535369068141</v>
      </c>
      <c r="U39" s="18">
        <f t="shared" si="9"/>
        <v>59.54033706800562</v>
      </c>
      <c r="V39" s="18">
        <f t="shared" si="9"/>
        <v>59.54033706800562</v>
      </c>
      <c r="W39" s="18">
        <f t="shared" si="9"/>
        <v>59.54033706800562</v>
      </c>
      <c r="X39" s="18">
        <f t="shared" si="9"/>
        <v>62.087104564109552</v>
      </c>
      <c r="Y39" s="18">
        <f t="shared" si="9"/>
        <v>62.087104564109552</v>
      </c>
      <c r="Z39" s="402">
        <f t="shared" si="9"/>
        <v>62.087104564109552</v>
      </c>
      <c r="AA39" s="403">
        <f t="shared" si="9"/>
        <v>92.278761745078526</v>
      </c>
      <c r="AB39" s="18">
        <f t="shared" si="9"/>
        <v>92.278761745078526</v>
      </c>
      <c r="AC39" s="18">
        <f t="shared" si="9"/>
        <v>92.278761745078526</v>
      </c>
      <c r="AD39" s="18">
        <f t="shared" si="9"/>
        <v>92.278761745078526</v>
      </c>
      <c r="AE39" s="18">
        <f t="shared" si="9"/>
        <v>92.278761745078526</v>
      </c>
      <c r="AF39" s="18">
        <f t="shared" si="9"/>
        <v>92.278761745078526</v>
      </c>
      <c r="AG39" s="18">
        <f t="shared" si="9"/>
        <v>92.278761745078526</v>
      </c>
      <c r="AH39" s="18">
        <f t="shared" si="9"/>
        <v>92.278761745078526</v>
      </c>
      <c r="AI39" s="18">
        <f t="shared" si="9"/>
        <v>92.278761745078526</v>
      </c>
      <c r="AJ39" s="18">
        <f t="shared" si="9"/>
        <v>92.278761745078526</v>
      </c>
      <c r="AK39" s="18">
        <f t="shared" si="9"/>
        <v>92.278761745078526</v>
      </c>
      <c r="AL39" s="402">
        <f t="shared" si="9"/>
        <v>92.278761745078526</v>
      </c>
      <c r="AM39" s="403">
        <f t="shared" si="9"/>
        <v>112</v>
      </c>
      <c r="AN39" s="18">
        <f t="shared" si="9"/>
        <v>112</v>
      </c>
      <c r="AO39" s="18">
        <f t="shared" si="9"/>
        <v>112</v>
      </c>
      <c r="AP39" s="18">
        <f t="shared" si="9"/>
        <v>112</v>
      </c>
      <c r="AQ39" s="18">
        <f t="shared" si="9"/>
        <v>112</v>
      </c>
      <c r="AR39" s="18">
        <f t="shared" si="9"/>
        <v>112</v>
      </c>
      <c r="AS39" s="18">
        <f t="shared" si="9"/>
        <v>112</v>
      </c>
      <c r="AT39" s="18">
        <f t="shared" si="9"/>
        <v>112</v>
      </c>
      <c r="AU39" s="18">
        <f t="shared" si="9"/>
        <v>112</v>
      </c>
      <c r="AV39" s="18">
        <f t="shared" si="9"/>
        <v>112</v>
      </c>
      <c r="AW39" s="18">
        <f t="shared" si="9"/>
        <v>112</v>
      </c>
      <c r="AX39" s="402">
        <f t="shared" si="9"/>
        <v>112</v>
      </c>
      <c r="AY39" s="403">
        <f t="shared" si="9"/>
        <v>140.5</v>
      </c>
      <c r="AZ39" s="18">
        <f t="shared" si="9"/>
        <v>140.5</v>
      </c>
      <c r="BA39" s="18">
        <f t="shared" si="9"/>
        <v>140.5</v>
      </c>
      <c r="BB39" s="18">
        <f t="shared" si="9"/>
        <v>140.5</v>
      </c>
      <c r="BC39" s="18">
        <f t="shared" si="9"/>
        <v>140.5</v>
      </c>
      <c r="BD39" s="18">
        <f t="shared" si="9"/>
        <v>140.5</v>
      </c>
      <c r="BE39" s="18">
        <f t="shared" si="9"/>
        <v>140.5</v>
      </c>
      <c r="BF39" s="18">
        <f t="shared" si="9"/>
        <v>140.5</v>
      </c>
      <c r="BG39" s="18">
        <f t="shared" si="9"/>
        <v>140.5</v>
      </c>
      <c r="BH39" s="18">
        <f t="shared" si="9"/>
        <v>140.5</v>
      </c>
      <c r="BI39" s="18">
        <f t="shared" si="9"/>
        <v>140.5</v>
      </c>
      <c r="BJ39" s="19">
        <f t="shared" si="9"/>
        <v>140.5</v>
      </c>
      <c r="BL39" s="17" t="s">
        <v>13</v>
      </c>
      <c r="BM39" s="18">
        <f>IF(C32=0,(C11+C16),C32)</f>
        <v>57.22</v>
      </c>
      <c r="BN39" s="18">
        <f t="shared" ref="BN39:DT39" si="10">IF(D32=0,(D11+D16),D32)</f>
        <v>55.7</v>
      </c>
      <c r="BO39" s="18">
        <f t="shared" si="10"/>
        <v>55.7</v>
      </c>
      <c r="BP39" s="18">
        <f t="shared" si="10"/>
        <v>55.7</v>
      </c>
      <c r="BQ39" s="18">
        <f t="shared" si="10"/>
        <v>55.7</v>
      </c>
      <c r="BR39" s="18">
        <f t="shared" si="10"/>
        <v>55.71</v>
      </c>
      <c r="BS39" s="18">
        <f t="shared" si="10"/>
        <v>66.319999999999993</v>
      </c>
      <c r="BT39" s="18">
        <f t="shared" si="10"/>
        <v>76.900000000000006</v>
      </c>
      <c r="BU39" s="18">
        <f t="shared" si="10"/>
        <v>56.08</v>
      </c>
      <c r="BV39" s="18">
        <f t="shared" si="10"/>
        <v>55.7</v>
      </c>
      <c r="BW39" s="18">
        <f t="shared" si="10"/>
        <v>55.7</v>
      </c>
      <c r="BX39" s="402">
        <f t="shared" si="10"/>
        <v>78.400653594793155</v>
      </c>
      <c r="BY39" s="403">
        <f t="shared" si="10"/>
        <v>96.206580759134184</v>
      </c>
      <c r="BZ39" s="18">
        <f t="shared" si="10"/>
        <v>92.430648861364247</v>
      </c>
      <c r="CA39" s="18">
        <f t="shared" si="10"/>
        <v>89.053218420260009</v>
      </c>
      <c r="CB39" s="18">
        <f t="shared" si="10"/>
        <v>85.732008718771311</v>
      </c>
      <c r="CC39" s="18">
        <f t="shared" si="10"/>
        <v>86.223309628334476</v>
      </c>
      <c r="CD39" s="18">
        <f t="shared" si="10"/>
        <v>88.925464630931856</v>
      </c>
      <c r="CE39" s="18">
        <f t="shared" si="10"/>
        <v>94.759662931994384</v>
      </c>
      <c r="CF39" s="18">
        <f t="shared" si="10"/>
        <v>94.759662931994384</v>
      </c>
      <c r="CG39" s="18">
        <f t="shared" si="10"/>
        <v>94.759662931994384</v>
      </c>
      <c r="CH39" s="18">
        <f t="shared" si="10"/>
        <v>98.812895435890439</v>
      </c>
      <c r="CI39" s="18">
        <f t="shared" si="10"/>
        <v>98.812895435890439</v>
      </c>
      <c r="CJ39" s="402">
        <f t="shared" si="10"/>
        <v>98.812895435890439</v>
      </c>
      <c r="CK39" s="403">
        <f t="shared" si="10"/>
        <v>107.92123825492146</v>
      </c>
      <c r="CL39" s="18">
        <f t="shared" si="10"/>
        <v>107.92123825492146</v>
      </c>
      <c r="CM39" s="18">
        <f t="shared" si="10"/>
        <v>107.92123825492146</v>
      </c>
      <c r="CN39" s="18">
        <f t="shared" si="10"/>
        <v>107.92123825492146</v>
      </c>
      <c r="CO39" s="18">
        <f t="shared" si="10"/>
        <v>107.92123825492146</v>
      </c>
      <c r="CP39" s="18">
        <f t="shared" si="10"/>
        <v>107.92123825492146</v>
      </c>
      <c r="CQ39" s="18">
        <f t="shared" si="10"/>
        <v>107.92123825492146</v>
      </c>
      <c r="CR39" s="18">
        <f t="shared" si="10"/>
        <v>107.92123825492146</v>
      </c>
      <c r="CS39" s="18">
        <f t="shared" si="10"/>
        <v>107.92123825492146</v>
      </c>
      <c r="CT39" s="18">
        <f t="shared" si="10"/>
        <v>107.92123825492146</v>
      </c>
      <c r="CU39" s="18">
        <f t="shared" si="10"/>
        <v>107.92123825492146</v>
      </c>
      <c r="CV39" s="402">
        <f t="shared" si="10"/>
        <v>107.92123825492146</v>
      </c>
      <c r="CW39" s="403">
        <f t="shared" si="10"/>
        <v>112</v>
      </c>
      <c r="CX39" s="18">
        <f t="shared" si="10"/>
        <v>112</v>
      </c>
      <c r="CY39" s="18">
        <f t="shared" si="10"/>
        <v>112</v>
      </c>
      <c r="CZ39" s="18">
        <f t="shared" si="10"/>
        <v>112</v>
      </c>
      <c r="DA39" s="18">
        <f t="shared" si="10"/>
        <v>112</v>
      </c>
      <c r="DB39" s="18">
        <f t="shared" si="10"/>
        <v>112</v>
      </c>
      <c r="DC39" s="18">
        <f t="shared" si="10"/>
        <v>112</v>
      </c>
      <c r="DD39" s="18">
        <f t="shared" si="10"/>
        <v>112</v>
      </c>
      <c r="DE39" s="18">
        <f t="shared" si="10"/>
        <v>112</v>
      </c>
      <c r="DF39" s="18">
        <f t="shared" si="10"/>
        <v>112</v>
      </c>
      <c r="DG39" s="18">
        <f t="shared" si="10"/>
        <v>112</v>
      </c>
      <c r="DH39" s="402">
        <f t="shared" si="10"/>
        <v>112</v>
      </c>
      <c r="DI39" s="403">
        <f t="shared" si="10"/>
        <v>140.5</v>
      </c>
      <c r="DJ39" s="18">
        <f t="shared" si="10"/>
        <v>140.5</v>
      </c>
      <c r="DK39" s="18">
        <f t="shared" si="10"/>
        <v>140.5</v>
      </c>
      <c r="DL39" s="18">
        <f t="shared" si="10"/>
        <v>140.5</v>
      </c>
      <c r="DM39" s="18">
        <f t="shared" si="10"/>
        <v>140.5</v>
      </c>
      <c r="DN39" s="18">
        <f t="shared" si="10"/>
        <v>140.5</v>
      </c>
      <c r="DO39" s="18">
        <f t="shared" si="10"/>
        <v>140.5</v>
      </c>
      <c r="DP39" s="18">
        <f t="shared" si="10"/>
        <v>140.5</v>
      </c>
      <c r="DQ39" s="18">
        <f t="shared" si="10"/>
        <v>140.5</v>
      </c>
      <c r="DR39" s="18">
        <f t="shared" si="10"/>
        <v>140.5</v>
      </c>
      <c r="DS39" s="18">
        <f t="shared" si="10"/>
        <v>140.5</v>
      </c>
      <c r="DT39" s="19">
        <f t="shared" si="10"/>
        <v>140.5</v>
      </c>
    </row>
    <row r="40" spans="1:124" ht="15.75" thickBot="1" x14ac:dyDescent="0.3">
      <c r="A40" s="7"/>
      <c r="B40" s="22" t="str">
        <f>IF(B33="",(B10+B17),B33)</f>
        <v>N</v>
      </c>
      <c r="C40" s="23">
        <f>IF(C33=0,(C10+C17),C33)</f>
        <v>55.71</v>
      </c>
      <c r="D40" s="23">
        <f t="shared" ref="D40:BJ40" si="11">IF(D33=0,(D10+D17),D33)</f>
        <v>55.7</v>
      </c>
      <c r="E40" s="23">
        <f t="shared" si="11"/>
        <v>55.7</v>
      </c>
      <c r="F40" s="23">
        <f t="shared" si="11"/>
        <v>55.7</v>
      </c>
      <c r="G40" s="23">
        <f t="shared" si="11"/>
        <v>55.7</v>
      </c>
      <c r="H40" s="23">
        <f t="shared" si="11"/>
        <v>55.71</v>
      </c>
      <c r="I40" s="23">
        <f t="shared" si="11"/>
        <v>66.319999999999993</v>
      </c>
      <c r="J40" s="23">
        <f t="shared" si="11"/>
        <v>76.900000000000006</v>
      </c>
      <c r="K40" s="23">
        <f t="shared" si="11"/>
        <v>56.08</v>
      </c>
      <c r="L40" s="23">
        <f t="shared" si="11"/>
        <v>55.7</v>
      </c>
      <c r="M40" s="23">
        <f t="shared" si="11"/>
        <v>55.7</v>
      </c>
      <c r="N40" s="404">
        <f t="shared" si="11"/>
        <v>55.7</v>
      </c>
      <c r="O40" s="405">
        <f t="shared" si="11"/>
        <v>55.7</v>
      </c>
      <c r="P40" s="23">
        <f t="shared" si="11"/>
        <v>55.7</v>
      </c>
      <c r="Q40" s="23">
        <f t="shared" si="11"/>
        <v>55.7</v>
      </c>
      <c r="R40" s="23">
        <f t="shared" si="11"/>
        <v>55.7</v>
      </c>
      <c r="S40" s="23">
        <f t="shared" si="11"/>
        <v>55.7</v>
      </c>
      <c r="T40" s="23">
        <f t="shared" si="11"/>
        <v>55.874535369068141</v>
      </c>
      <c r="U40" s="23">
        <f t="shared" si="11"/>
        <v>59.54033706800562</v>
      </c>
      <c r="V40" s="23">
        <f t="shared" si="11"/>
        <v>59.54033706800562</v>
      </c>
      <c r="W40" s="23">
        <f t="shared" si="11"/>
        <v>59.54033706800562</v>
      </c>
      <c r="X40" s="23">
        <f t="shared" si="11"/>
        <v>62.087104564109552</v>
      </c>
      <c r="Y40" s="23">
        <f t="shared" si="11"/>
        <v>62.087104564109552</v>
      </c>
      <c r="Z40" s="404">
        <f t="shared" si="11"/>
        <v>62.087104564109552</v>
      </c>
      <c r="AA40" s="405">
        <f t="shared" si="11"/>
        <v>92.278761745078526</v>
      </c>
      <c r="AB40" s="23">
        <f t="shared" si="11"/>
        <v>92.278761745078526</v>
      </c>
      <c r="AC40" s="23">
        <f t="shared" si="11"/>
        <v>92.278761745078526</v>
      </c>
      <c r="AD40" s="23">
        <f t="shared" si="11"/>
        <v>92.278761745078526</v>
      </c>
      <c r="AE40" s="23">
        <f t="shared" si="11"/>
        <v>92.278761745078526</v>
      </c>
      <c r="AF40" s="23">
        <f t="shared" si="11"/>
        <v>92.278761745078526</v>
      </c>
      <c r="AG40" s="23">
        <f t="shared" si="11"/>
        <v>92.278761745078526</v>
      </c>
      <c r="AH40" s="23">
        <f t="shared" si="11"/>
        <v>92.278761745078526</v>
      </c>
      <c r="AI40" s="23">
        <f t="shared" si="11"/>
        <v>92.278761745078526</v>
      </c>
      <c r="AJ40" s="23">
        <f t="shared" si="11"/>
        <v>92.278761745078526</v>
      </c>
      <c r="AK40" s="23">
        <f t="shared" si="11"/>
        <v>92.278761745078526</v>
      </c>
      <c r="AL40" s="404">
        <f t="shared" si="11"/>
        <v>92.278761745078526</v>
      </c>
      <c r="AM40" s="405">
        <f t="shared" si="11"/>
        <v>112</v>
      </c>
      <c r="AN40" s="23">
        <f t="shared" si="11"/>
        <v>112</v>
      </c>
      <c r="AO40" s="23">
        <f t="shared" si="11"/>
        <v>112</v>
      </c>
      <c r="AP40" s="23">
        <f t="shared" si="11"/>
        <v>112</v>
      </c>
      <c r="AQ40" s="23">
        <f t="shared" si="11"/>
        <v>112</v>
      </c>
      <c r="AR40" s="23">
        <f t="shared" si="11"/>
        <v>112</v>
      </c>
      <c r="AS40" s="23">
        <f t="shared" si="11"/>
        <v>112</v>
      </c>
      <c r="AT40" s="23">
        <f t="shared" si="11"/>
        <v>112</v>
      </c>
      <c r="AU40" s="23">
        <f t="shared" si="11"/>
        <v>112</v>
      </c>
      <c r="AV40" s="23">
        <f t="shared" si="11"/>
        <v>112</v>
      </c>
      <c r="AW40" s="23">
        <f t="shared" si="11"/>
        <v>112</v>
      </c>
      <c r="AX40" s="404">
        <f t="shared" si="11"/>
        <v>112</v>
      </c>
      <c r="AY40" s="405">
        <f t="shared" si="11"/>
        <v>140.5</v>
      </c>
      <c r="AZ40" s="23">
        <f t="shared" si="11"/>
        <v>140.5</v>
      </c>
      <c r="BA40" s="23">
        <f t="shared" si="11"/>
        <v>140.5</v>
      </c>
      <c r="BB40" s="23">
        <f t="shared" si="11"/>
        <v>140.5</v>
      </c>
      <c r="BC40" s="23">
        <f t="shared" si="11"/>
        <v>140.5</v>
      </c>
      <c r="BD40" s="23">
        <f t="shared" si="11"/>
        <v>140.5</v>
      </c>
      <c r="BE40" s="23">
        <f t="shared" si="11"/>
        <v>140.5</v>
      </c>
      <c r="BF40" s="23">
        <f t="shared" si="11"/>
        <v>140.5</v>
      </c>
      <c r="BG40" s="23">
        <f t="shared" si="11"/>
        <v>140.5</v>
      </c>
      <c r="BH40" s="23">
        <f t="shared" si="11"/>
        <v>140.5</v>
      </c>
      <c r="BI40" s="23">
        <f t="shared" si="11"/>
        <v>140.5</v>
      </c>
      <c r="BJ40" s="24">
        <f t="shared" si="11"/>
        <v>140.5</v>
      </c>
      <c r="BL40" s="22" t="s">
        <v>11</v>
      </c>
      <c r="BM40" s="23">
        <f>IF(C33=0,(C11+C17),C33)</f>
        <v>55.71</v>
      </c>
      <c r="BN40" s="23">
        <f t="shared" ref="BN40:DT40" si="12">IF(D33=0,(D11+D17),D33)</f>
        <v>55.7</v>
      </c>
      <c r="BO40" s="23">
        <f t="shared" si="12"/>
        <v>55.7</v>
      </c>
      <c r="BP40" s="23">
        <f t="shared" si="12"/>
        <v>55.7</v>
      </c>
      <c r="BQ40" s="23">
        <f t="shared" si="12"/>
        <v>55.7</v>
      </c>
      <c r="BR40" s="23">
        <f t="shared" si="12"/>
        <v>55.71</v>
      </c>
      <c r="BS40" s="23">
        <f t="shared" si="12"/>
        <v>66.319999999999993</v>
      </c>
      <c r="BT40" s="23">
        <f t="shared" si="12"/>
        <v>76.900000000000006</v>
      </c>
      <c r="BU40" s="23">
        <f t="shared" si="12"/>
        <v>56.08</v>
      </c>
      <c r="BV40" s="23">
        <f t="shared" si="12"/>
        <v>55.7</v>
      </c>
      <c r="BW40" s="23">
        <f t="shared" si="12"/>
        <v>55.7</v>
      </c>
      <c r="BX40" s="404">
        <f t="shared" si="12"/>
        <v>78.400653594793155</v>
      </c>
      <c r="BY40" s="405">
        <f t="shared" si="12"/>
        <v>96.206580759134184</v>
      </c>
      <c r="BZ40" s="23">
        <f t="shared" si="12"/>
        <v>92.430648861364247</v>
      </c>
      <c r="CA40" s="23">
        <f t="shared" si="12"/>
        <v>89.053218420260009</v>
      </c>
      <c r="CB40" s="23">
        <f t="shared" si="12"/>
        <v>85.732008718771311</v>
      </c>
      <c r="CC40" s="23">
        <f t="shared" si="12"/>
        <v>86.223309628334476</v>
      </c>
      <c r="CD40" s="23">
        <f t="shared" si="12"/>
        <v>88.925464630931856</v>
      </c>
      <c r="CE40" s="23">
        <f t="shared" si="12"/>
        <v>94.759662931994384</v>
      </c>
      <c r="CF40" s="23">
        <f t="shared" si="12"/>
        <v>94.759662931994384</v>
      </c>
      <c r="CG40" s="23">
        <f t="shared" si="12"/>
        <v>94.759662931994384</v>
      </c>
      <c r="CH40" s="23">
        <f t="shared" si="12"/>
        <v>98.812895435890439</v>
      </c>
      <c r="CI40" s="23">
        <f t="shared" si="12"/>
        <v>98.812895435890439</v>
      </c>
      <c r="CJ40" s="404">
        <f t="shared" si="12"/>
        <v>98.812895435890439</v>
      </c>
      <c r="CK40" s="405">
        <f t="shared" si="12"/>
        <v>107.92123825492146</v>
      </c>
      <c r="CL40" s="23">
        <f t="shared" si="12"/>
        <v>107.92123825492146</v>
      </c>
      <c r="CM40" s="23">
        <f t="shared" si="12"/>
        <v>107.92123825492146</v>
      </c>
      <c r="CN40" s="23">
        <f t="shared" si="12"/>
        <v>107.92123825492146</v>
      </c>
      <c r="CO40" s="23">
        <f t="shared" si="12"/>
        <v>107.92123825492146</v>
      </c>
      <c r="CP40" s="23">
        <f t="shared" si="12"/>
        <v>107.92123825492146</v>
      </c>
      <c r="CQ40" s="23">
        <f t="shared" si="12"/>
        <v>107.92123825492146</v>
      </c>
      <c r="CR40" s="23">
        <f t="shared" si="12"/>
        <v>107.92123825492146</v>
      </c>
      <c r="CS40" s="23">
        <f t="shared" si="12"/>
        <v>107.92123825492146</v>
      </c>
      <c r="CT40" s="23">
        <f t="shared" si="12"/>
        <v>107.92123825492146</v>
      </c>
      <c r="CU40" s="23">
        <f t="shared" si="12"/>
        <v>107.92123825492146</v>
      </c>
      <c r="CV40" s="404">
        <f t="shared" si="12"/>
        <v>107.92123825492146</v>
      </c>
      <c r="CW40" s="405">
        <f t="shared" si="12"/>
        <v>112</v>
      </c>
      <c r="CX40" s="23">
        <f t="shared" si="12"/>
        <v>112</v>
      </c>
      <c r="CY40" s="23">
        <f t="shared" si="12"/>
        <v>112</v>
      </c>
      <c r="CZ40" s="23">
        <f t="shared" si="12"/>
        <v>112</v>
      </c>
      <c r="DA40" s="23">
        <f t="shared" si="12"/>
        <v>112</v>
      </c>
      <c r="DB40" s="23">
        <f t="shared" si="12"/>
        <v>112</v>
      </c>
      <c r="DC40" s="23">
        <f t="shared" si="12"/>
        <v>112</v>
      </c>
      <c r="DD40" s="23">
        <f t="shared" si="12"/>
        <v>112</v>
      </c>
      <c r="DE40" s="23">
        <f t="shared" si="12"/>
        <v>112</v>
      </c>
      <c r="DF40" s="23">
        <f t="shared" si="12"/>
        <v>112</v>
      </c>
      <c r="DG40" s="23">
        <f t="shared" si="12"/>
        <v>112</v>
      </c>
      <c r="DH40" s="404">
        <f t="shared" si="12"/>
        <v>112</v>
      </c>
      <c r="DI40" s="405">
        <f t="shared" si="12"/>
        <v>140.5</v>
      </c>
      <c r="DJ40" s="23">
        <f t="shared" si="12"/>
        <v>140.5</v>
      </c>
      <c r="DK40" s="23">
        <f t="shared" si="12"/>
        <v>140.5</v>
      </c>
      <c r="DL40" s="23">
        <f t="shared" si="12"/>
        <v>140.5</v>
      </c>
      <c r="DM40" s="23">
        <f t="shared" si="12"/>
        <v>140.5</v>
      </c>
      <c r="DN40" s="23">
        <f t="shared" si="12"/>
        <v>140.5</v>
      </c>
      <c r="DO40" s="23">
        <f t="shared" si="12"/>
        <v>140.5</v>
      </c>
      <c r="DP40" s="23">
        <f t="shared" si="12"/>
        <v>140.5</v>
      </c>
      <c r="DQ40" s="23">
        <f t="shared" si="12"/>
        <v>140.5</v>
      </c>
      <c r="DR40" s="23">
        <f t="shared" si="12"/>
        <v>140.5</v>
      </c>
      <c r="DS40" s="23">
        <f t="shared" si="12"/>
        <v>140.5</v>
      </c>
      <c r="DT40" s="24">
        <f t="shared" si="12"/>
        <v>140.5</v>
      </c>
    </row>
    <row r="41" spans="1:124" x14ac:dyDescent="0.25">
      <c r="A41" s="7"/>
      <c r="B41" s="36" t="s">
        <v>99</v>
      </c>
      <c r="C41" s="20">
        <f>IF(RESULTADO!$F$148&lt;=C$36,(C$10+C$25),C37)</f>
        <v>62.91</v>
      </c>
      <c r="D41" s="20">
        <f>IF(RESULTADO!$F$148&lt;=D$36,(D$10+D$25),D37)</f>
        <v>55.7</v>
      </c>
      <c r="E41" s="20">
        <f>IF(RESULTADO!$F$148&lt;=E$36,(E$10+E$25),E37)</f>
        <v>55.7</v>
      </c>
      <c r="F41" s="20">
        <f>IF(RESULTADO!$F$148&lt;=F$36,(F$10+F$25),F37)</f>
        <v>55.7</v>
      </c>
      <c r="G41" s="20">
        <f>IF(RESULTADO!$F$148&lt;=G$36,(G$10+G$25),G37)</f>
        <v>55.7</v>
      </c>
      <c r="H41" s="20">
        <f>IF(RESULTADO!$F$148&lt;=H$36,(H$10+H$25),H37)</f>
        <v>55.71</v>
      </c>
      <c r="I41" s="20">
        <f>IF(RESULTADO!$F$148&lt;=I$36,(I$10+I$25),I37)</f>
        <v>66.319999999999993</v>
      </c>
      <c r="J41" s="20">
        <f>IF(RESULTADO!$F$148&lt;=J$36,(J$10+J$25),J37)</f>
        <v>76.900000000000006</v>
      </c>
      <c r="K41" s="20">
        <f>IF(RESULTADO!$F$148&lt;=K$36,(K$10+K$25),K37)</f>
        <v>56.08</v>
      </c>
      <c r="L41" s="20">
        <f>IF(RESULTADO!$F$148&lt;=L$36,(L$10+L$25),L37)</f>
        <v>55.7</v>
      </c>
      <c r="M41" s="20">
        <f>IF(RESULTADO!$F$148&lt;=M$36,(M$10+M$25),M37)</f>
        <v>55.7</v>
      </c>
      <c r="N41" s="400">
        <f>IF(RESULTADO!$F$148&lt;=N$36,(N$10+N$25),N37)</f>
        <v>55.7</v>
      </c>
      <c r="O41" s="401">
        <f>IF(RESULTADO!$F$148&lt;=O$36,(O$10+O$25),O37)</f>
        <v>55.7</v>
      </c>
      <c r="P41" s="20">
        <f>IF(RESULTADO!$F$148&lt;=P$36,(P$10+P$25),P37)</f>
        <v>55.7</v>
      </c>
      <c r="Q41" s="20">
        <f>IF(RESULTADO!$F$148&lt;=Q$36,(Q$10+Q$25),Q37)</f>
        <v>55.7</v>
      </c>
      <c r="R41" s="20">
        <f>IF(RESULTADO!$F$148&lt;=R$36,(R$10+R$25),R37)</f>
        <v>55.7</v>
      </c>
      <c r="S41" s="20">
        <f>IF(RESULTADO!$F$148&lt;=S$36,(S$10+S$25),S37)</f>
        <v>55.7</v>
      </c>
      <c r="T41" s="20">
        <f>IF(RESULTADO!$F$148&lt;=T$36,(T$10+T$25),T37)</f>
        <v>55.874535369068141</v>
      </c>
      <c r="U41" s="20">
        <f>IF(RESULTADO!$F$148&lt;=U$36,(U$10+U$25),U37)</f>
        <v>59.54033706800562</v>
      </c>
      <c r="V41" s="20">
        <f>IF(RESULTADO!$F$148&lt;=V$36,(V$10+V$25),V37)</f>
        <v>59.54033706800562</v>
      </c>
      <c r="W41" s="20">
        <f>IF(RESULTADO!$F$148&lt;=W$36,(W$10+W$25),W37)</f>
        <v>59.54033706800562</v>
      </c>
      <c r="X41" s="20">
        <f>IF(RESULTADO!$F$148&lt;=X$36,(X$10+X$25),X37)</f>
        <v>62.087104564109552</v>
      </c>
      <c r="Y41" s="20">
        <f>IF(RESULTADO!$F$148&lt;=Y$36,(Y$10+Y$25),Y37)</f>
        <v>62.087104564109552</v>
      </c>
      <c r="Z41" s="400">
        <f>IF(RESULTADO!$F$148&lt;=Z$36,(Z$10+Z$25),Z37)</f>
        <v>62.087104564109552</v>
      </c>
      <c r="AA41" s="401">
        <f>IF(RESULTADO!$F$148&lt;=AA$36,(AA$10+AA$25),AA37)</f>
        <v>92.278761745078526</v>
      </c>
      <c r="AB41" s="20">
        <f>IF(RESULTADO!$F$148&lt;=AB$36,(AB$10+AB$25),AB37)</f>
        <v>92.278761745078526</v>
      </c>
      <c r="AC41" s="20">
        <f>IF(RESULTADO!$F$148&lt;=AC$36,(AC$10+AC$25),AC37)</f>
        <v>92.278761745078526</v>
      </c>
      <c r="AD41" s="20">
        <f>IF(RESULTADO!$F$148&lt;=AD$36,(AD$10+AD$25),AD37)</f>
        <v>92.278761745078526</v>
      </c>
      <c r="AE41" s="20">
        <f>IF(RESULTADO!$F$148&lt;=AE$36,(AE$10+AE$25),AE37)</f>
        <v>92.278761745078526</v>
      </c>
      <c r="AF41" s="20">
        <f>IF(RESULTADO!$F$148&lt;=AF$36,(AF$10+AF$25),AF37)</f>
        <v>92.278761745078526</v>
      </c>
      <c r="AG41" s="20">
        <f>IF(RESULTADO!$F$148&lt;=AG$36,(AG$10+AG$25),AG37)</f>
        <v>92.278761745078526</v>
      </c>
      <c r="AH41" s="20">
        <f>IF(RESULTADO!$F$148&lt;=AH$36,(AH$10+AH$25),AH37)</f>
        <v>92.278761745078526</v>
      </c>
      <c r="AI41" s="20">
        <f>IF(RESULTADO!$F$148&lt;=AI$36,(AI$10+AI$25),AI37)</f>
        <v>92.278761745078526</v>
      </c>
      <c r="AJ41" s="20">
        <f>IF(RESULTADO!$F$148&lt;=AJ$36,(AJ$10+AJ$25),AJ37)</f>
        <v>92.278761745078526</v>
      </c>
      <c r="AK41" s="20">
        <f>IF(RESULTADO!$F$148&lt;=AK$36,(AK$10+AK$25),AK37)</f>
        <v>92.278761745078526</v>
      </c>
      <c r="AL41" s="400">
        <f>IF(RESULTADO!$F$148&lt;=AL$36,(AL$10+AL$25),AL37)</f>
        <v>92.278761745078526</v>
      </c>
      <c r="AM41" s="401">
        <f>IF(RESULTADO!$F$148&lt;=AM$36,(AM$10+AM$25),AM37)</f>
        <v>112</v>
      </c>
      <c r="AN41" s="20">
        <f>IF(RESULTADO!$F$148&lt;=AN$36,(AN$10+AN$25),AN37)</f>
        <v>112</v>
      </c>
      <c r="AO41" s="20">
        <f>IF(RESULTADO!$F$148&lt;=AO$36,(AO$10+AO$25),AO37)</f>
        <v>112</v>
      </c>
      <c r="AP41" s="20">
        <f>IF(RESULTADO!$F$148&lt;=AP$36,(AP$10+AP$25),AP37)</f>
        <v>112</v>
      </c>
      <c r="AQ41" s="20">
        <f>IF(RESULTADO!$F$148&lt;=AQ$36,(AQ$10+AQ$25),AQ37)</f>
        <v>112</v>
      </c>
      <c r="AR41" s="20">
        <f>IF(RESULTADO!$F$148&lt;=AR$36,(AR$10+AR$25),AR37)</f>
        <v>112</v>
      </c>
      <c r="AS41" s="20">
        <f>IF(RESULTADO!$F$148&lt;=AS$36,(AS$10+AS$25),AS37)</f>
        <v>112</v>
      </c>
      <c r="AT41" s="20">
        <f>IF(RESULTADO!$F$148&lt;=AT$36,(AT$10+AT$25),AT37)</f>
        <v>112</v>
      </c>
      <c r="AU41" s="20">
        <f>IF(RESULTADO!$F$148&lt;=AU$36,(AU$10+AU$25),AU37)</f>
        <v>112</v>
      </c>
      <c r="AV41" s="20">
        <f>IF(RESULTADO!$F$148&lt;=AV$36,(AV$10+AV$25),AV37)</f>
        <v>112</v>
      </c>
      <c r="AW41" s="20">
        <f>IF(RESULTADO!$F$148&lt;=AW$36,(AW$10+AW$25),AW37)</f>
        <v>112</v>
      </c>
      <c r="AX41" s="400">
        <f>IF(RESULTADO!$F$148&lt;=AX$36,(AX$10+AX$25),AX37)</f>
        <v>112</v>
      </c>
      <c r="AY41" s="401">
        <f>IF(RESULTADO!$F$148&lt;=AY$36,(AY$10+AY$25),AY37)</f>
        <v>140.5</v>
      </c>
      <c r="AZ41" s="20">
        <f>IF(RESULTADO!$F$148&lt;=AZ$36,(AZ$10+AZ$25),AZ37)</f>
        <v>140.5</v>
      </c>
      <c r="BA41" s="20">
        <f>IF(RESULTADO!$F$148&lt;=BA$36,(BA$10+BA$25),BA37)</f>
        <v>140.5</v>
      </c>
      <c r="BB41" s="20">
        <f>IF(RESULTADO!$F$148&lt;=BB$36,(BB$10+BB$25),BB37)</f>
        <v>140.5</v>
      </c>
      <c r="BC41" s="20">
        <f>IF(RESULTADO!$F$148&lt;=BC$36,(BC$10+BC$25),BC37)</f>
        <v>140.5</v>
      </c>
      <c r="BD41" s="20">
        <f>IF(RESULTADO!$F$148&lt;=BD$36,(BD$10+BD$25),BD37)</f>
        <v>140.5</v>
      </c>
      <c r="BE41" s="20">
        <f>IF(RESULTADO!$F$148&lt;=BE$36,(BE$10+BE$25),BE37)</f>
        <v>140.5</v>
      </c>
      <c r="BF41" s="20">
        <f>IF(RESULTADO!$F$148&lt;=BF$36,(BF$10+BF$25),BF37)</f>
        <v>140.5</v>
      </c>
      <c r="BG41" s="20">
        <f>IF(RESULTADO!$F$148&lt;=BG$36,(BG$10+BG$25),BG37)</f>
        <v>140.5</v>
      </c>
      <c r="BH41" s="20">
        <f>IF(RESULTADO!$F$148&lt;=BH$36,(BH$10+BH$25),BH37)</f>
        <v>140.5</v>
      </c>
      <c r="BI41" s="20">
        <f>IF(RESULTADO!$F$148&lt;=BI$36,(BI$10+BI$25),BI37)</f>
        <v>140.5</v>
      </c>
      <c r="BJ41" s="21">
        <f>IF(RESULTADO!$F$148&lt;=BJ$36,(BJ$10+BJ$25),BJ37)</f>
        <v>140.5</v>
      </c>
      <c r="BL41" s="36" t="s">
        <v>99</v>
      </c>
      <c r="BM41" s="20">
        <f>IF(RESULTADO!$F$148&lt;=BM$36,(C$11+C$25),BM37)</f>
        <v>62.91</v>
      </c>
      <c r="BN41" s="20">
        <f>IF(RESULTADO!$F$148&lt;=BN$36,(D$11+D$25),BN37)</f>
        <v>55.7</v>
      </c>
      <c r="BO41" s="20">
        <f>IF(RESULTADO!$F$148&lt;=BO$36,(E$11+E$25),BO37)</f>
        <v>55.7</v>
      </c>
      <c r="BP41" s="20">
        <f>IF(RESULTADO!$F$148&lt;=BP$36,(F$11+F$25),BP37)</f>
        <v>55.7</v>
      </c>
      <c r="BQ41" s="20">
        <f>IF(RESULTADO!$F$148&lt;=BQ$36,(G$11+G$25),BQ37)</f>
        <v>55.7</v>
      </c>
      <c r="BR41" s="20">
        <f>IF(RESULTADO!$F$148&lt;=BR$36,(H$11+H$25),BR37)</f>
        <v>55.71</v>
      </c>
      <c r="BS41" s="20">
        <f>IF(RESULTADO!$F$148&lt;=BS$36,(I$11+I$25),BS37)</f>
        <v>66.319999999999993</v>
      </c>
      <c r="BT41" s="20">
        <f>IF(RESULTADO!$F$148&lt;=BT$36,(J$11+J$25),BT37)</f>
        <v>76.900000000000006</v>
      </c>
      <c r="BU41" s="20">
        <f>IF(RESULTADO!$F$148&lt;=BU$36,(K$11+K$25),BU37)</f>
        <v>56.08</v>
      </c>
      <c r="BV41" s="20">
        <f>IF(RESULTADO!$F$148&lt;=BV$36,(L$11+L$25),BV37)</f>
        <v>55.7</v>
      </c>
      <c r="BW41" s="20">
        <f>IF(RESULTADO!$F$148&lt;=BW$36,(M$11+M$25),BW37)</f>
        <v>55.7</v>
      </c>
      <c r="BX41" s="400">
        <f>IF(RESULTADO!$F$148&lt;=BX$36,(N$11+N$25),BX37)</f>
        <v>78.400653594793155</v>
      </c>
      <c r="BY41" s="401">
        <f>IF(RESULTADO!$F$148&lt;=BY$36,(O$11+O$25),BY37)</f>
        <v>96.206580759134184</v>
      </c>
      <c r="BZ41" s="20">
        <f>IF(RESULTADO!$F$148&lt;=BZ$36,(P$11+P$25),BZ37)</f>
        <v>92.430648861364247</v>
      </c>
      <c r="CA41" s="20">
        <f>IF(RESULTADO!$F$148&lt;=CA$36,(Q$11+Q$25),CA37)</f>
        <v>89.053218420260009</v>
      </c>
      <c r="CB41" s="20">
        <f>IF(RESULTADO!$F$148&lt;=CB$36,(R$11+R$25),CB37)</f>
        <v>85.732008718771311</v>
      </c>
      <c r="CC41" s="20">
        <f>IF(RESULTADO!$F$148&lt;=CC$36,(S$11+S$25),CC37)</f>
        <v>86.223309628334476</v>
      </c>
      <c r="CD41" s="20">
        <f>IF(RESULTADO!$F$148&lt;=CD$36,(T$11+T$25),CD37)</f>
        <v>88.925464630931856</v>
      </c>
      <c r="CE41" s="20">
        <f>IF(RESULTADO!$F$148&lt;=CE$36,(U$11+U$25),CE37)</f>
        <v>94.759662931994384</v>
      </c>
      <c r="CF41" s="20">
        <f>IF(RESULTADO!$F$148&lt;=CF$36,(V$11+V$25),CF37)</f>
        <v>94.759662931994384</v>
      </c>
      <c r="CG41" s="20">
        <f>IF(RESULTADO!$F$148&lt;=CG$36,(W$11+W$25),CG37)</f>
        <v>94.759662931994384</v>
      </c>
      <c r="CH41" s="20">
        <f>IF(RESULTADO!$F$148&lt;=CH$36,(X$11+X$25),CH37)</f>
        <v>98.812895435890439</v>
      </c>
      <c r="CI41" s="20">
        <f>IF(RESULTADO!$F$148&lt;=CI$36,(Y$11+Y$25),CI37)</f>
        <v>98.812895435890439</v>
      </c>
      <c r="CJ41" s="400">
        <f>IF(RESULTADO!$F$148&lt;=CJ$36,(Z$11+Z$25),CJ37)</f>
        <v>98.812895435890439</v>
      </c>
      <c r="CK41" s="401">
        <f>IF(RESULTADO!$F$148&lt;=CK$36,(AA$11+AA$25),CK37)</f>
        <v>107.92123825492146</v>
      </c>
      <c r="CL41" s="20">
        <f>IF(RESULTADO!$F$148&lt;=CL$36,(AB$11+AB$25),CL37)</f>
        <v>107.92123825492146</v>
      </c>
      <c r="CM41" s="20">
        <f>IF(RESULTADO!$F$148&lt;=CM$36,(AC$11+AC$25),CM37)</f>
        <v>107.92123825492146</v>
      </c>
      <c r="CN41" s="20">
        <f>IF(RESULTADO!$F$148&lt;=CN$36,(AD$11+AD$25),CN37)</f>
        <v>107.92123825492146</v>
      </c>
      <c r="CO41" s="20">
        <f>IF(RESULTADO!$F$148&lt;=CO$36,(AE$11+AE$25),CO37)</f>
        <v>107.92123825492146</v>
      </c>
      <c r="CP41" s="20">
        <f>IF(RESULTADO!$F$148&lt;=CP$36,(AF$11+AF$25),CP37)</f>
        <v>107.92123825492146</v>
      </c>
      <c r="CQ41" s="20">
        <f>IF(RESULTADO!$F$148&lt;=CQ$36,(AG$11+AG$25),CQ37)</f>
        <v>107.92123825492146</v>
      </c>
      <c r="CR41" s="20">
        <f>IF(RESULTADO!$F$148&lt;=CR$36,(AH$11+AH$25),CR37)</f>
        <v>107.92123825492146</v>
      </c>
      <c r="CS41" s="20">
        <f>IF(RESULTADO!$F$148&lt;=CS$36,(AI$11+AI$25),CS37)</f>
        <v>107.92123825492146</v>
      </c>
      <c r="CT41" s="20">
        <f>IF(RESULTADO!$F$148&lt;=CT$36,(AJ$11+AJ$25),CT37)</f>
        <v>107.92123825492146</v>
      </c>
      <c r="CU41" s="20">
        <f>IF(RESULTADO!$F$148&lt;=CU$36,(AK$11+AK$25),CU37)</f>
        <v>107.92123825492146</v>
      </c>
      <c r="CV41" s="400">
        <f>IF(RESULTADO!$F$148&lt;=CV$36,(AL$11+AL$25),CV37)</f>
        <v>107.92123825492146</v>
      </c>
      <c r="CW41" s="401">
        <f>IF(RESULTADO!$F$148&lt;=CW$36,(AM$11+AM$25),CW37)</f>
        <v>112</v>
      </c>
      <c r="CX41" s="20">
        <f>IF(RESULTADO!$F$148&lt;=CX$36,(AN$11+AN$25),CX37)</f>
        <v>112</v>
      </c>
      <c r="CY41" s="20">
        <f>IF(RESULTADO!$F$148&lt;=CY$36,(AO$11+AO$25),CY37)</f>
        <v>112</v>
      </c>
      <c r="CZ41" s="20">
        <f>IF(RESULTADO!$F$148&lt;=CZ$36,(AP$11+AP$25),CZ37)</f>
        <v>112</v>
      </c>
      <c r="DA41" s="20">
        <f>IF(RESULTADO!$F$148&lt;=DA$36,(AQ$11+AQ$25),DA37)</f>
        <v>112</v>
      </c>
      <c r="DB41" s="20">
        <f>IF(RESULTADO!$F$148&lt;=DB$36,(AR$11+AR$25),DB37)</f>
        <v>112</v>
      </c>
      <c r="DC41" s="20">
        <f>IF(RESULTADO!$F$148&lt;=DC$36,(AS$11+AS$25),DC37)</f>
        <v>112</v>
      </c>
      <c r="DD41" s="20">
        <f>IF(RESULTADO!$F$148&lt;=DD$36,(AT$11+AT$25),DD37)</f>
        <v>112</v>
      </c>
      <c r="DE41" s="20">
        <f>IF(RESULTADO!$F$148&lt;=DE$36,(AU$11+AU$25),DE37)</f>
        <v>112</v>
      </c>
      <c r="DF41" s="20">
        <f>IF(RESULTADO!$F$148&lt;=DF$36,(AV$11+AV$25),DF37)</f>
        <v>112</v>
      </c>
      <c r="DG41" s="20">
        <f>IF(RESULTADO!$F$148&lt;=DG$36,(AW$11+AW$25),DG37)</f>
        <v>112</v>
      </c>
      <c r="DH41" s="400">
        <f>IF(RESULTADO!$F$148&lt;=DH$36,(AX$11+AX$25),DH37)</f>
        <v>112</v>
      </c>
      <c r="DI41" s="401">
        <f>IF(RESULTADO!$F$148&lt;=DI$36,(AY$11+AY$25),DI37)</f>
        <v>140.5</v>
      </c>
      <c r="DJ41" s="20">
        <f>IF(RESULTADO!$F$148&lt;=DJ$36,(AZ$11+AZ$25),DJ37)</f>
        <v>140.5</v>
      </c>
      <c r="DK41" s="20">
        <f>IF(RESULTADO!$F$148&lt;=DK$36,(BA$11+BA$25),DK37)</f>
        <v>140.5</v>
      </c>
      <c r="DL41" s="20">
        <f>IF(RESULTADO!$F$148&lt;=DL$36,(BB$11+BB$25),DL37)</f>
        <v>140.5</v>
      </c>
      <c r="DM41" s="20">
        <f>IF(RESULTADO!$F$148&lt;=DM$36,(BC$11+BC$25),DM37)</f>
        <v>140.5</v>
      </c>
      <c r="DN41" s="20">
        <f>IF(RESULTADO!$F$148&lt;=DN$36,(BD$11+BD$25),DN37)</f>
        <v>140.5</v>
      </c>
      <c r="DO41" s="20">
        <f>IF(RESULTADO!$F$148&lt;=DO$36,(BE$11+BE$25),DO37)</f>
        <v>140.5</v>
      </c>
      <c r="DP41" s="20">
        <f>IF(RESULTADO!$F$148&lt;=DP$36,(BF$11+BF$25),DP37)</f>
        <v>140.5</v>
      </c>
      <c r="DQ41" s="20">
        <f>IF(RESULTADO!$F$148&lt;=DQ$36,(BG$11+BG$25),DQ37)</f>
        <v>140.5</v>
      </c>
      <c r="DR41" s="20">
        <f>IF(RESULTADO!$F$148&lt;=DR$36,(BH$11+BH$25),DR37)</f>
        <v>140.5</v>
      </c>
      <c r="DS41" s="20">
        <f>IF(RESULTADO!$F$148&lt;=DS$36,(BI$11+BI$25),DS37)</f>
        <v>140.5</v>
      </c>
      <c r="DT41" s="21">
        <f>IF(RESULTADO!$F$148&lt;=DT$36,(BJ$11+BJ$25),DT37)</f>
        <v>140.5</v>
      </c>
    </row>
    <row r="42" spans="1:124" x14ac:dyDescent="0.25">
      <c r="A42" s="7"/>
      <c r="B42" s="37" t="s">
        <v>100</v>
      </c>
      <c r="C42" s="18">
        <f>IF(RESULTADO!$F$148&lt;=C$36,(C$10+C$25+C15),C38)</f>
        <v>62.92</v>
      </c>
      <c r="D42" s="18">
        <f>IF(RESULTADO!$F$148&lt;=D$36,(D$10+D$25+D15),D38)</f>
        <v>55.7</v>
      </c>
      <c r="E42" s="18">
        <f>IF(RESULTADO!$F$148&lt;=E$36,(E$10+E$25+E15),E38)</f>
        <v>55.7</v>
      </c>
      <c r="F42" s="18">
        <f>IF(RESULTADO!$F$148&lt;=F$36,(F$10+F$25+F15),F38)</f>
        <v>55.7</v>
      </c>
      <c r="G42" s="18">
        <f>IF(RESULTADO!$F$148&lt;=G$36,(G$10+G$25+G15),G38)</f>
        <v>55.7</v>
      </c>
      <c r="H42" s="18">
        <f>IF(RESULTADO!$F$148&lt;=H$36,(H$10+H$25+H15),H38)</f>
        <v>55.71</v>
      </c>
      <c r="I42" s="18">
        <f>IF(RESULTADO!$F$148&lt;=I$36,(I$10+I$25+I15),I38)</f>
        <v>66.319999999999993</v>
      </c>
      <c r="J42" s="18">
        <f>IF(RESULTADO!$F$148&lt;=J$36,(J$10+J$25+J15),J38)</f>
        <v>76.900000000000006</v>
      </c>
      <c r="K42" s="18">
        <f>IF(RESULTADO!$F$148&lt;=K$36,(K$10+K$25+K15),K38)</f>
        <v>56.08</v>
      </c>
      <c r="L42" s="18">
        <f>IF(RESULTADO!$F$148&lt;=L$36,(L$10+L$25+L15),L38)</f>
        <v>55.7</v>
      </c>
      <c r="M42" s="18">
        <f>IF(RESULTADO!$F$148&lt;=M$36,(M$10+M$25+M15),M38)</f>
        <v>55.7</v>
      </c>
      <c r="N42" s="402">
        <f>IF(RESULTADO!$F$148&lt;=N$36,(N$10+N$25+N15),N38)</f>
        <v>55.7</v>
      </c>
      <c r="O42" s="403">
        <f>IF(RESULTADO!$F$148&lt;=O$36,(O$10+O$25+O15),O38)</f>
        <v>55.7</v>
      </c>
      <c r="P42" s="18">
        <f>IF(RESULTADO!$F$148&lt;=P$36,(P$10+P$25+P15),P38)</f>
        <v>55.7</v>
      </c>
      <c r="Q42" s="18">
        <f>IF(RESULTADO!$F$148&lt;=Q$36,(Q$10+Q$25+Q15),Q38)</f>
        <v>55.7</v>
      </c>
      <c r="R42" s="18">
        <f>IF(RESULTADO!$F$148&lt;=R$36,(R$10+R$25+R15),R38)</f>
        <v>55.7</v>
      </c>
      <c r="S42" s="18">
        <f>IF(RESULTADO!$F$148&lt;=S$36,(S$10+S$25+S15),S38)</f>
        <v>55.7</v>
      </c>
      <c r="T42" s="18">
        <f>IF(RESULTADO!$F$148&lt;=T$36,(T$10+T$25+T15),T38)</f>
        <v>55.874535369068141</v>
      </c>
      <c r="U42" s="18">
        <f>IF(RESULTADO!$F$148&lt;=U$36,(U$10+U$25+U15),U38)</f>
        <v>59.54033706800562</v>
      </c>
      <c r="V42" s="18">
        <f>IF(RESULTADO!$F$148&lt;=V$36,(V$10+V$25+V15),V38)</f>
        <v>59.54033706800562</v>
      </c>
      <c r="W42" s="18">
        <f>IF(RESULTADO!$F$148&lt;=W$36,(W$10+W$25+W15),W38)</f>
        <v>59.54033706800562</v>
      </c>
      <c r="X42" s="18">
        <f>IF(RESULTADO!$F$148&lt;=X$36,(X$10+X$25+X15),X38)</f>
        <v>62.087104564109552</v>
      </c>
      <c r="Y42" s="18">
        <f>IF(RESULTADO!$F$148&lt;=Y$36,(Y$10+Y$25+Y15),Y38)</f>
        <v>62.087104564109552</v>
      </c>
      <c r="Z42" s="402">
        <f>IF(RESULTADO!$F$148&lt;=Z$36,(Z$10+Z$25+Z15),Z38)</f>
        <v>62.087104564109552</v>
      </c>
      <c r="AA42" s="403">
        <f>IF(RESULTADO!$F$148&lt;=AA$36,(AA$10+AA$25+AA15),AA38)</f>
        <v>92.278761745078526</v>
      </c>
      <c r="AB42" s="18">
        <f>IF(RESULTADO!$F$148&lt;=AB$36,(AB$10+AB$25+AB15),AB38)</f>
        <v>92.278761745078526</v>
      </c>
      <c r="AC42" s="18">
        <f>IF(RESULTADO!$F$148&lt;=AC$36,(AC$10+AC$25+AC15),AC38)</f>
        <v>92.278761745078526</v>
      </c>
      <c r="AD42" s="18">
        <f>IF(RESULTADO!$F$148&lt;=AD$36,(AD$10+AD$25+AD15),AD38)</f>
        <v>92.278761745078526</v>
      </c>
      <c r="AE42" s="18">
        <f>IF(RESULTADO!$F$148&lt;=AE$36,(AE$10+AE$25+AE15),AE38)</f>
        <v>92.278761745078526</v>
      </c>
      <c r="AF42" s="18">
        <f>IF(RESULTADO!$F$148&lt;=AF$36,(AF$10+AF$25+AF15),AF38)</f>
        <v>92.278761745078526</v>
      </c>
      <c r="AG42" s="18">
        <f>IF(RESULTADO!$F$148&lt;=AG$36,(AG$10+AG$25+AG15),AG38)</f>
        <v>92.278761745078526</v>
      </c>
      <c r="AH42" s="18">
        <f>IF(RESULTADO!$F$148&lt;=AH$36,(AH$10+AH$25+AH15),AH38)</f>
        <v>92.278761745078526</v>
      </c>
      <c r="AI42" s="18">
        <f>IF(RESULTADO!$F$148&lt;=AI$36,(AI$10+AI$25+AI15),AI38)</f>
        <v>92.278761745078526</v>
      </c>
      <c r="AJ42" s="18">
        <f>IF(RESULTADO!$F$148&lt;=AJ$36,(AJ$10+AJ$25+AJ15),AJ38)</f>
        <v>92.278761745078526</v>
      </c>
      <c r="AK42" s="18">
        <f>IF(RESULTADO!$F$148&lt;=AK$36,(AK$10+AK$25+AK15),AK38)</f>
        <v>92.278761745078526</v>
      </c>
      <c r="AL42" s="402">
        <f>IF(RESULTADO!$F$148&lt;=AL$36,(AL$10+AL$25+AL15),AL38)</f>
        <v>92.278761745078526</v>
      </c>
      <c r="AM42" s="403">
        <f>IF(RESULTADO!$F$148&lt;=AM$36,(AM$10+AM$25+AM15),AM38)</f>
        <v>112</v>
      </c>
      <c r="AN42" s="18">
        <f>IF(RESULTADO!$F$148&lt;=AN$36,(AN$10+AN$25+AN15),AN38)</f>
        <v>112</v>
      </c>
      <c r="AO42" s="18">
        <f>IF(RESULTADO!$F$148&lt;=AO$36,(AO$10+AO$25+AO15),AO38)</f>
        <v>112</v>
      </c>
      <c r="AP42" s="18">
        <f>IF(RESULTADO!$F$148&lt;=AP$36,(AP$10+AP$25+AP15),AP38)</f>
        <v>112</v>
      </c>
      <c r="AQ42" s="18">
        <f>IF(RESULTADO!$F$148&lt;=AQ$36,(AQ$10+AQ$25+AQ15),AQ38)</f>
        <v>112</v>
      </c>
      <c r="AR42" s="18">
        <f>IF(RESULTADO!$F$148&lt;=AR$36,(AR$10+AR$25+AR15),AR38)</f>
        <v>112</v>
      </c>
      <c r="AS42" s="18">
        <f>IF(RESULTADO!$F$148&lt;=AS$36,(AS$10+AS$25+AS15),AS38)</f>
        <v>112</v>
      </c>
      <c r="AT42" s="18">
        <f>IF(RESULTADO!$F$148&lt;=AT$36,(AT$10+AT$25+AT15),AT38)</f>
        <v>112</v>
      </c>
      <c r="AU42" s="18">
        <f>IF(RESULTADO!$F$148&lt;=AU$36,(AU$10+AU$25+AU15),AU38)</f>
        <v>112</v>
      </c>
      <c r="AV42" s="18">
        <f>IF(RESULTADO!$F$148&lt;=AV$36,(AV$10+AV$25+AV15),AV38)</f>
        <v>112</v>
      </c>
      <c r="AW42" s="18">
        <f>IF(RESULTADO!$F$148&lt;=AW$36,(AW$10+AW$25+AW15),AW38)</f>
        <v>112</v>
      </c>
      <c r="AX42" s="402">
        <f>IF(RESULTADO!$F$148&lt;=AX$36,(AX$10+AX$25+AX15),AX38)</f>
        <v>112</v>
      </c>
      <c r="AY42" s="403">
        <f>IF(RESULTADO!$F$148&lt;=AY$36,(AY$10+AY$25+AY15),AY38)</f>
        <v>140.5</v>
      </c>
      <c r="AZ42" s="18">
        <f>IF(RESULTADO!$F$148&lt;=AZ$36,(AZ$10+AZ$25+AZ15),AZ38)</f>
        <v>140.5</v>
      </c>
      <c r="BA42" s="18">
        <f>IF(RESULTADO!$F$148&lt;=BA$36,(BA$10+BA$25+BA15),BA38)</f>
        <v>140.5</v>
      </c>
      <c r="BB42" s="18">
        <f>IF(RESULTADO!$F$148&lt;=BB$36,(BB$10+BB$25+BB15),BB38)</f>
        <v>140.5</v>
      </c>
      <c r="BC42" s="18">
        <f>IF(RESULTADO!$F$148&lt;=BC$36,(BC$10+BC$25+BC15),BC38)</f>
        <v>140.5</v>
      </c>
      <c r="BD42" s="18">
        <f>IF(RESULTADO!$F$148&lt;=BD$36,(BD$10+BD$25+BD15),BD38)</f>
        <v>140.5</v>
      </c>
      <c r="BE42" s="18">
        <f>IF(RESULTADO!$F$148&lt;=BE$36,(BE$10+BE$25+BE15),BE38)</f>
        <v>140.5</v>
      </c>
      <c r="BF42" s="18">
        <f>IF(RESULTADO!$F$148&lt;=BF$36,(BF$10+BF$25+BF15),BF38)</f>
        <v>140.5</v>
      </c>
      <c r="BG42" s="18">
        <f>IF(RESULTADO!$F$148&lt;=BG$36,(BG$10+BG$25+BG15),BG38)</f>
        <v>140.5</v>
      </c>
      <c r="BH42" s="18">
        <f>IF(RESULTADO!$F$148&lt;=BH$36,(BH$10+BH$25+BH15),BH38)</f>
        <v>140.5</v>
      </c>
      <c r="BI42" s="18">
        <f>IF(RESULTADO!$F$148&lt;=BI$36,(BI$10+BI$25+BI15),BI38)</f>
        <v>140.5</v>
      </c>
      <c r="BJ42" s="19">
        <f>IF(RESULTADO!$F$148&lt;=BJ$36,(BJ$10+BJ$25+BJ15),BJ38)</f>
        <v>140.5</v>
      </c>
      <c r="BL42" s="37" t="s">
        <v>100</v>
      </c>
      <c r="BM42" s="18">
        <f>IF(RESULTADO!$F$148&lt;=BM$36,(C$11+C$25+C15),BM38)</f>
        <v>62.92</v>
      </c>
      <c r="BN42" s="18">
        <f>IF(RESULTADO!$F$148&lt;=BN$36,(D$11+D$25+D15),BN38)</f>
        <v>55.7</v>
      </c>
      <c r="BO42" s="18">
        <f>IF(RESULTADO!$F$148&lt;=BO$36,(E$11+E$25+E15),BO38)</f>
        <v>55.7</v>
      </c>
      <c r="BP42" s="18">
        <f>IF(RESULTADO!$F$148&lt;=BP$36,(F$11+F$25+F15),BP38)</f>
        <v>55.7</v>
      </c>
      <c r="BQ42" s="18">
        <f>IF(RESULTADO!$F$148&lt;=BQ$36,(G$11+G$25+G15),BQ38)</f>
        <v>55.7</v>
      </c>
      <c r="BR42" s="18">
        <f>IF(RESULTADO!$F$148&lt;=BR$36,(H$11+H$25+H15),BR38)</f>
        <v>55.71</v>
      </c>
      <c r="BS42" s="18">
        <f>IF(RESULTADO!$F$148&lt;=BS$36,(I$11+I$25+I15),BS38)</f>
        <v>66.319999999999993</v>
      </c>
      <c r="BT42" s="18">
        <f>IF(RESULTADO!$F$148&lt;=BT$36,(J$11+J$25+J15),BT38)</f>
        <v>76.900000000000006</v>
      </c>
      <c r="BU42" s="18">
        <f>IF(RESULTADO!$F$148&lt;=BU$36,(K$11+K$25+K15),BU38)</f>
        <v>56.08</v>
      </c>
      <c r="BV42" s="18">
        <f>IF(RESULTADO!$F$148&lt;=BV$36,(L$11+L$25+L15),BV38)</f>
        <v>55.7</v>
      </c>
      <c r="BW42" s="18">
        <f>IF(RESULTADO!$F$148&lt;=BW$36,(M$11+M$25+M15),BW38)</f>
        <v>55.7</v>
      </c>
      <c r="BX42" s="402">
        <f>IF(RESULTADO!$F$148&lt;=BX$36,(N$11+N$25+N15),BX38)</f>
        <v>78.400653594793155</v>
      </c>
      <c r="BY42" s="403">
        <f>IF(RESULTADO!$F$148&lt;=BY$36,(O$11+O$25+O15),BY38)</f>
        <v>96.206580759134184</v>
      </c>
      <c r="BZ42" s="18">
        <f>IF(RESULTADO!$F$148&lt;=BZ$36,(P$11+P$25+P15),BZ38)</f>
        <v>92.430648861364247</v>
      </c>
      <c r="CA42" s="18">
        <f>IF(RESULTADO!$F$148&lt;=CA$36,(Q$11+Q$25+Q15),CA38)</f>
        <v>89.053218420260009</v>
      </c>
      <c r="CB42" s="18">
        <f>IF(RESULTADO!$F$148&lt;=CB$36,(R$11+R$25+R15),CB38)</f>
        <v>85.732008718771311</v>
      </c>
      <c r="CC42" s="18">
        <f>IF(RESULTADO!$F$148&lt;=CC$36,(S$11+S$25+S15),CC38)</f>
        <v>86.223309628334476</v>
      </c>
      <c r="CD42" s="18">
        <f>IF(RESULTADO!$F$148&lt;=CD$36,(T$11+T$25+T15),CD38)</f>
        <v>88.925464630931856</v>
      </c>
      <c r="CE42" s="18">
        <f>IF(RESULTADO!$F$148&lt;=CE$36,(U$11+U$25+U15),CE38)</f>
        <v>94.759662931994384</v>
      </c>
      <c r="CF42" s="18">
        <f>IF(RESULTADO!$F$148&lt;=CF$36,(V$11+V$25+V15),CF38)</f>
        <v>94.759662931994384</v>
      </c>
      <c r="CG42" s="18">
        <f>IF(RESULTADO!$F$148&lt;=CG$36,(W$11+W$25+W15),CG38)</f>
        <v>94.759662931994384</v>
      </c>
      <c r="CH42" s="18">
        <f>IF(RESULTADO!$F$148&lt;=CH$36,(X$11+X$25+X15),CH38)</f>
        <v>98.812895435890439</v>
      </c>
      <c r="CI42" s="18">
        <f>IF(RESULTADO!$F$148&lt;=CI$36,(Y$11+Y$25+Y15),CI38)</f>
        <v>98.812895435890439</v>
      </c>
      <c r="CJ42" s="402">
        <f>IF(RESULTADO!$F$148&lt;=CJ$36,(Z$11+Z$25+Z15),CJ38)</f>
        <v>98.812895435890439</v>
      </c>
      <c r="CK42" s="403">
        <f>IF(RESULTADO!$F$148&lt;=CK$36,(AA$11+AA$25+AA15),CK38)</f>
        <v>107.92123825492146</v>
      </c>
      <c r="CL42" s="18">
        <f>IF(RESULTADO!$F$148&lt;=CL$36,(AB$11+AB$25+AB15),CL38)</f>
        <v>107.92123825492146</v>
      </c>
      <c r="CM42" s="18">
        <f>IF(RESULTADO!$F$148&lt;=CM$36,(AC$11+AC$25+AC15),CM38)</f>
        <v>107.92123825492146</v>
      </c>
      <c r="CN42" s="18">
        <f>IF(RESULTADO!$F$148&lt;=CN$36,(AD$11+AD$25+AD15),CN38)</f>
        <v>107.92123825492146</v>
      </c>
      <c r="CO42" s="18">
        <f>IF(RESULTADO!$F$148&lt;=CO$36,(AE$11+AE$25+AE15),CO38)</f>
        <v>107.92123825492146</v>
      </c>
      <c r="CP42" s="18">
        <f>IF(RESULTADO!$F$148&lt;=CP$36,(AF$11+AF$25+AF15),CP38)</f>
        <v>107.92123825492146</v>
      </c>
      <c r="CQ42" s="18">
        <f>IF(RESULTADO!$F$148&lt;=CQ$36,(AG$11+AG$25+AG15),CQ38)</f>
        <v>107.92123825492146</v>
      </c>
      <c r="CR42" s="18">
        <f>IF(RESULTADO!$F$148&lt;=CR$36,(AH$11+AH$25+AH15),CR38)</f>
        <v>107.92123825492146</v>
      </c>
      <c r="CS42" s="18">
        <f>IF(RESULTADO!$F$148&lt;=CS$36,(AI$11+AI$25+AI15),CS38)</f>
        <v>107.92123825492146</v>
      </c>
      <c r="CT42" s="18">
        <f>IF(RESULTADO!$F$148&lt;=CT$36,(AJ$11+AJ$25+AJ15),CT38)</f>
        <v>107.92123825492146</v>
      </c>
      <c r="CU42" s="18">
        <f>IF(RESULTADO!$F$148&lt;=CU$36,(AK$11+AK$25+AK15),CU38)</f>
        <v>107.92123825492146</v>
      </c>
      <c r="CV42" s="402">
        <f>IF(RESULTADO!$F$148&lt;=CV$36,(AL$11+AL$25+AL15),CV38)</f>
        <v>107.92123825492146</v>
      </c>
      <c r="CW42" s="403">
        <f>IF(RESULTADO!$F$148&lt;=CW$36,(AM$11+AM$25+AM15),CW38)</f>
        <v>112</v>
      </c>
      <c r="CX42" s="18">
        <f>IF(RESULTADO!$F$148&lt;=CX$36,(AN$11+AN$25+AN15),CX38)</f>
        <v>112</v>
      </c>
      <c r="CY42" s="18">
        <f>IF(RESULTADO!$F$148&lt;=CY$36,(AO$11+AO$25+AO15),CY38)</f>
        <v>112</v>
      </c>
      <c r="CZ42" s="18">
        <f>IF(RESULTADO!$F$148&lt;=CZ$36,(AP$11+AP$25+AP15),CZ38)</f>
        <v>112</v>
      </c>
      <c r="DA42" s="18">
        <f>IF(RESULTADO!$F$148&lt;=DA$36,(AQ$11+AQ$25+AQ15),DA38)</f>
        <v>112</v>
      </c>
      <c r="DB42" s="18">
        <f>IF(RESULTADO!$F$148&lt;=DB$36,(AR$11+AR$25+AR15),DB38)</f>
        <v>112</v>
      </c>
      <c r="DC42" s="18">
        <f>IF(RESULTADO!$F$148&lt;=DC$36,(AS$11+AS$25+AS15),DC38)</f>
        <v>112</v>
      </c>
      <c r="DD42" s="18">
        <f>IF(RESULTADO!$F$148&lt;=DD$36,(AT$11+AT$25+AT15),DD38)</f>
        <v>112</v>
      </c>
      <c r="DE42" s="18">
        <f>IF(RESULTADO!$F$148&lt;=DE$36,(AU$11+AU$25+AU15),DE38)</f>
        <v>112</v>
      </c>
      <c r="DF42" s="18">
        <f>IF(RESULTADO!$F$148&lt;=DF$36,(AV$11+AV$25+AV15),DF38)</f>
        <v>112</v>
      </c>
      <c r="DG42" s="18">
        <f>IF(RESULTADO!$F$148&lt;=DG$36,(AW$11+AW$25+AW15),DG38)</f>
        <v>112</v>
      </c>
      <c r="DH42" s="402">
        <f>IF(RESULTADO!$F$148&lt;=DH$36,(AX$11+AX$25+AX15),DH38)</f>
        <v>112</v>
      </c>
      <c r="DI42" s="403">
        <f>IF(RESULTADO!$F$148&lt;=DI$36,(AY$11+AY$25+AY15),DI38)</f>
        <v>140.5</v>
      </c>
      <c r="DJ42" s="18">
        <f>IF(RESULTADO!$F$148&lt;=DJ$36,(AZ$11+AZ$25+AZ15),DJ38)</f>
        <v>140.5</v>
      </c>
      <c r="DK42" s="18">
        <f>IF(RESULTADO!$F$148&lt;=DK$36,(BA$11+BA$25+BA15),DK38)</f>
        <v>140.5</v>
      </c>
      <c r="DL42" s="18">
        <f>IF(RESULTADO!$F$148&lt;=DL$36,(BB$11+BB$25+BB15),DL38)</f>
        <v>140.5</v>
      </c>
      <c r="DM42" s="18">
        <f>IF(RESULTADO!$F$148&lt;=DM$36,(BC$11+BC$25+BC15),DM38)</f>
        <v>140.5</v>
      </c>
      <c r="DN42" s="18">
        <f>IF(RESULTADO!$F$148&lt;=DN$36,(BD$11+BD$25+BD15),DN38)</f>
        <v>140.5</v>
      </c>
      <c r="DO42" s="18">
        <f>IF(RESULTADO!$F$148&lt;=DO$36,(BE$11+BE$25+BE15),DO38)</f>
        <v>140.5</v>
      </c>
      <c r="DP42" s="18">
        <f>IF(RESULTADO!$F$148&lt;=DP$36,(BF$11+BF$25+BF15),DP38)</f>
        <v>140.5</v>
      </c>
      <c r="DQ42" s="18">
        <f>IF(RESULTADO!$F$148&lt;=DQ$36,(BG$11+BG$25+BG15),DQ38)</f>
        <v>140.5</v>
      </c>
      <c r="DR42" s="18">
        <f>IF(RESULTADO!$F$148&lt;=DR$36,(BH$11+BH$25+BH15),DR38)</f>
        <v>140.5</v>
      </c>
      <c r="DS42" s="18">
        <f>IF(RESULTADO!$F$148&lt;=DS$36,(BI$11+BI$25+BI15),DS38)</f>
        <v>140.5</v>
      </c>
      <c r="DT42" s="19">
        <f>IF(RESULTADO!$F$148&lt;=DT$36,(BJ$11+BJ$25+BJ15),DT38)</f>
        <v>140.5</v>
      </c>
    </row>
    <row r="43" spans="1:124" x14ac:dyDescent="0.25">
      <c r="A43" s="7"/>
      <c r="B43" s="37" t="s">
        <v>101</v>
      </c>
      <c r="C43" s="18">
        <f>IF(RESULTADO!$F$148&lt;=C$36,(C$10+C$25+C16),C39)</f>
        <v>57.22</v>
      </c>
      <c r="D43" s="18">
        <f>IF(RESULTADO!$F$148&lt;=D$36,(D$10+D$25+D16),D39)</f>
        <v>55.7</v>
      </c>
      <c r="E43" s="18">
        <f>IF(RESULTADO!$F$148&lt;=E$36,(E$10+E$25+E16),E39)</f>
        <v>55.7</v>
      </c>
      <c r="F43" s="18">
        <f>IF(RESULTADO!$F$148&lt;=F$36,(F$10+F$25+F16),F39)</f>
        <v>55.7</v>
      </c>
      <c r="G43" s="18">
        <f>IF(RESULTADO!$F$148&lt;=G$36,(G$10+G$25+G16),G39)</f>
        <v>55.7</v>
      </c>
      <c r="H43" s="18">
        <f>IF(RESULTADO!$F$148&lt;=H$36,(H$10+H$25+H16),H39)</f>
        <v>55.71</v>
      </c>
      <c r="I43" s="18">
        <f>IF(RESULTADO!$F$148&lt;=I$36,(I$10+I$25+I16),I39)</f>
        <v>66.319999999999993</v>
      </c>
      <c r="J43" s="18">
        <f>IF(RESULTADO!$F$148&lt;=J$36,(J$10+J$25+J16),J39)</f>
        <v>76.900000000000006</v>
      </c>
      <c r="K43" s="18">
        <f>IF(RESULTADO!$F$148&lt;=K$36,(K$10+K$25+K16),K39)</f>
        <v>56.08</v>
      </c>
      <c r="L43" s="18">
        <f>IF(RESULTADO!$F$148&lt;=L$36,(L$10+L$25+L16),L39)</f>
        <v>55.7</v>
      </c>
      <c r="M43" s="18">
        <f>IF(RESULTADO!$F$148&lt;=M$36,(M$10+M$25+M16),M39)</f>
        <v>55.7</v>
      </c>
      <c r="N43" s="402">
        <f>IF(RESULTADO!$F$148&lt;=N$36,(N$10+N$25+N16),N39)</f>
        <v>55.7</v>
      </c>
      <c r="O43" s="403">
        <f>IF(RESULTADO!$F$148&lt;=O$36,(O$10+O$25+O16),O39)</f>
        <v>55.7</v>
      </c>
      <c r="P43" s="18">
        <f>IF(RESULTADO!$F$148&lt;=P$36,(P$10+P$25+P16),P39)</f>
        <v>55.7</v>
      </c>
      <c r="Q43" s="18">
        <f>IF(RESULTADO!$F$148&lt;=Q$36,(Q$10+Q$25+Q16),Q39)</f>
        <v>55.7</v>
      </c>
      <c r="R43" s="18">
        <f>IF(RESULTADO!$F$148&lt;=R$36,(R$10+R$25+R16),R39)</f>
        <v>55.7</v>
      </c>
      <c r="S43" s="18">
        <f>IF(RESULTADO!$F$148&lt;=S$36,(S$10+S$25+S16),S39)</f>
        <v>55.7</v>
      </c>
      <c r="T43" s="18">
        <f>IF(RESULTADO!$F$148&lt;=T$36,(T$10+T$25+T16),T39)</f>
        <v>55.874535369068141</v>
      </c>
      <c r="U43" s="18">
        <f>IF(RESULTADO!$F$148&lt;=U$36,(U$10+U$25+U16),U39)</f>
        <v>59.54033706800562</v>
      </c>
      <c r="V43" s="18">
        <f>IF(RESULTADO!$F$148&lt;=V$36,(V$10+V$25+V16),V39)</f>
        <v>59.54033706800562</v>
      </c>
      <c r="W43" s="18">
        <f>IF(RESULTADO!$F$148&lt;=W$36,(W$10+W$25+W16),W39)</f>
        <v>59.54033706800562</v>
      </c>
      <c r="X43" s="18">
        <f>IF(RESULTADO!$F$148&lt;=X$36,(X$10+X$25+X16),X39)</f>
        <v>62.087104564109552</v>
      </c>
      <c r="Y43" s="18">
        <f>IF(RESULTADO!$F$148&lt;=Y$36,(Y$10+Y$25+Y16),Y39)</f>
        <v>62.087104564109552</v>
      </c>
      <c r="Z43" s="402">
        <f>IF(RESULTADO!$F$148&lt;=Z$36,(Z$10+Z$25+Z16),Z39)</f>
        <v>62.087104564109552</v>
      </c>
      <c r="AA43" s="403">
        <f>IF(RESULTADO!$F$148&lt;=AA$36,(AA$10+AA$25+AA16),AA39)</f>
        <v>92.278761745078526</v>
      </c>
      <c r="AB43" s="18">
        <f>IF(RESULTADO!$F$148&lt;=AB$36,(AB$10+AB$25+AB16),AB39)</f>
        <v>92.278761745078526</v>
      </c>
      <c r="AC43" s="18">
        <f>IF(RESULTADO!$F$148&lt;=AC$36,(AC$10+AC$25+AC16),AC39)</f>
        <v>92.278761745078526</v>
      </c>
      <c r="AD43" s="18">
        <f>IF(RESULTADO!$F$148&lt;=AD$36,(AD$10+AD$25+AD16),AD39)</f>
        <v>92.278761745078526</v>
      </c>
      <c r="AE43" s="18">
        <f>IF(RESULTADO!$F$148&lt;=AE$36,(AE$10+AE$25+AE16),AE39)</f>
        <v>92.278761745078526</v>
      </c>
      <c r="AF43" s="18">
        <f>IF(RESULTADO!$F$148&lt;=AF$36,(AF$10+AF$25+AF16),AF39)</f>
        <v>92.278761745078526</v>
      </c>
      <c r="AG43" s="18">
        <f>IF(RESULTADO!$F$148&lt;=AG$36,(AG$10+AG$25+AG16),AG39)</f>
        <v>92.278761745078526</v>
      </c>
      <c r="AH43" s="18">
        <f>IF(RESULTADO!$F$148&lt;=AH$36,(AH$10+AH$25+AH16),AH39)</f>
        <v>92.278761745078526</v>
      </c>
      <c r="AI43" s="18">
        <f>IF(RESULTADO!$F$148&lt;=AI$36,(AI$10+AI$25+AI16),AI39)</f>
        <v>92.278761745078526</v>
      </c>
      <c r="AJ43" s="18">
        <f>IF(RESULTADO!$F$148&lt;=AJ$36,(AJ$10+AJ$25+AJ16),AJ39)</f>
        <v>92.278761745078526</v>
      </c>
      <c r="AK43" s="18">
        <f>IF(RESULTADO!$F$148&lt;=AK$36,(AK$10+AK$25+AK16),AK39)</f>
        <v>92.278761745078526</v>
      </c>
      <c r="AL43" s="402">
        <f>IF(RESULTADO!$F$148&lt;=AL$36,(AL$10+AL$25+AL16),AL39)</f>
        <v>92.278761745078526</v>
      </c>
      <c r="AM43" s="403">
        <f>IF(RESULTADO!$F$148&lt;=AM$36,(AM$10+AM$25+AM16),AM39)</f>
        <v>112</v>
      </c>
      <c r="AN43" s="18">
        <f>IF(RESULTADO!$F$148&lt;=AN$36,(AN$10+AN$25+AN16),AN39)</f>
        <v>112</v>
      </c>
      <c r="AO43" s="18">
        <f>IF(RESULTADO!$F$148&lt;=AO$36,(AO$10+AO$25+AO16),AO39)</f>
        <v>112</v>
      </c>
      <c r="AP43" s="18">
        <f>IF(RESULTADO!$F$148&lt;=AP$36,(AP$10+AP$25+AP16),AP39)</f>
        <v>112</v>
      </c>
      <c r="AQ43" s="18">
        <f>IF(RESULTADO!$F$148&lt;=AQ$36,(AQ$10+AQ$25+AQ16),AQ39)</f>
        <v>112</v>
      </c>
      <c r="AR43" s="18">
        <f>IF(RESULTADO!$F$148&lt;=AR$36,(AR$10+AR$25+AR16),AR39)</f>
        <v>112</v>
      </c>
      <c r="AS43" s="18">
        <f>IF(RESULTADO!$F$148&lt;=AS$36,(AS$10+AS$25+AS16),AS39)</f>
        <v>112</v>
      </c>
      <c r="AT43" s="18">
        <f>IF(RESULTADO!$F$148&lt;=AT$36,(AT$10+AT$25+AT16),AT39)</f>
        <v>112</v>
      </c>
      <c r="AU43" s="18">
        <f>IF(RESULTADO!$F$148&lt;=AU$36,(AU$10+AU$25+AU16),AU39)</f>
        <v>112</v>
      </c>
      <c r="AV43" s="18">
        <f>IF(RESULTADO!$F$148&lt;=AV$36,(AV$10+AV$25+AV16),AV39)</f>
        <v>112</v>
      </c>
      <c r="AW43" s="18">
        <f>IF(RESULTADO!$F$148&lt;=AW$36,(AW$10+AW$25+AW16),AW39)</f>
        <v>112</v>
      </c>
      <c r="AX43" s="402">
        <f>IF(RESULTADO!$F$148&lt;=AX$36,(AX$10+AX$25+AX16),AX39)</f>
        <v>112</v>
      </c>
      <c r="AY43" s="403">
        <f>IF(RESULTADO!$F$148&lt;=AY$36,(AY$10+AY$25+AY16),AY39)</f>
        <v>140.5</v>
      </c>
      <c r="AZ43" s="18">
        <f>IF(RESULTADO!$F$148&lt;=AZ$36,(AZ$10+AZ$25+AZ16),AZ39)</f>
        <v>140.5</v>
      </c>
      <c r="BA43" s="18">
        <f>IF(RESULTADO!$F$148&lt;=BA$36,(BA$10+BA$25+BA16),BA39)</f>
        <v>140.5</v>
      </c>
      <c r="BB43" s="18">
        <f>IF(RESULTADO!$F$148&lt;=BB$36,(BB$10+BB$25+BB16),BB39)</f>
        <v>140.5</v>
      </c>
      <c r="BC43" s="18">
        <f>IF(RESULTADO!$F$148&lt;=BC$36,(BC$10+BC$25+BC16),BC39)</f>
        <v>140.5</v>
      </c>
      <c r="BD43" s="18">
        <f>IF(RESULTADO!$F$148&lt;=BD$36,(BD$10+BD$25+BD16),BD39)</f>
        <v>140.5</v>
      </c>
      <c r="BE43" s="18">
        <f>IF(RESULTADO!$F$148&lt;=BE$36,(BE$10+BE$25+BE16),BE39)</f>
        <v>140.5</v>
      </c>
      <c r="BF43" s="18">
        <f>IF(RESULTADO!$F$148&lt;=BF$36,(BF$10+BF$25+BF16),BF39)</f>
        <v>140.5</v>
      </c>
      <c r="BG43" s="18">
        <f>IF(RESULTADO!$F$148&lt;=BG$36,(BG$10+BG$25+BG16),BG39)</f>
        <v>140.5</v>
      </c>
      <c r="BH43" s="18">
        <f>IF(RESULTADO!$F$148&lt;=BH$36,(BH$10+BH$25+BH16),BH39)</f>
        <v>140.5</v>
      </c>
      <c r="BI43" s="18">
        <f>IF(RESULTADO!$F$148&lt;=BI$36,(BI$10+BI$25+BI16),BI39)</f>
        <v>140.5</v>
      </c>
      <c r="BJ43" s="19">
        <f>IF(RESULTADO!$F$148&lt;=BJ$36,(BJ$10+BJ$25+BJ16),BJ39)</f>
        <v>140.5</v>
      </c>
      <c r="BL43" s="37" t="s">
        <v>101</v>
      </c>
      <c r="BM43" s="18">
        <f>IF(RESULTADO!$F$148&lt;=BM$36,(C$11+C$25+C16),BM39)</f>
        <v>57.22</v>
      </c>
      <c r="BN43" s="18">
        <f>IF(RESULTADO!$F$148&lt;=BN$36,(D$11+D$25+D16),BN39)</f>
        <v>55.7</v>
      </c>
      <c r="BO43" s="18">
        <f>IF(RESULTADO!$F$148&lt;=BO$36,(E$11+E$25+E16),BO39)</f>
        <v>55.7</v>
      </c>
      <c r="BP43" s="18">
        <f>IF(RESULTADO!$F$148&lt;=BP$36,(F$11+F$25+F16),BP39)</f>
        <v>55.7</v>
      </c>
      <c r="BQ43" s="18">
        <f>IF(RESULTADO!$F$148&lt;=BQ$36,(G$11+G$25+G16),BQ39)</f>
        <v>55.7</v>
      </c>
      <c r="BR43" s="18">
        <f>IF(RESULTADO!$F$148&lt;=BR$36,(H$11+H$25+H16),BR39)</f>
        <v>55.71</v>
      </c>
      <c r="BS43" s="18">
        <f>IF(RESULTADO!$F$148&lt;=BS$36,(I$11+I$25+I16),BS39)</f>
        <v>66.319999999999993</v>
      </c>
      <c r="BT43" s="18">
        <f>IF(RESULTADO!$F$148&lt;=BT$36,(J$11+J$25+J16),BT39)</f>
        <v>76.900000000000006</v>
      </c>
      <c r="BU43" s="18">
        <f>IF(RESULTADO!$F$148&lt;=BU$36,(K$11+K$25+K16),BU39)</f>
        <v>56.08</v>
      </c>
      <c r="BV43" s="18">
        <f>IF(RESULTADO!$F$148&lt;=BV$36,(L$11+L$25+L16),BV39)</f>
        <v>55.7</v>
      </c>
      <c r="BW43" s="18">
        <f>IF(RESULTADO!$F$148&lt;=BW$36,(M$11+M$25+M16),BW39)</f>
        <v>55.7</v>
      </c>
      <c r="BX43" s="402">
        <f>IF(RESULTADO!$F$148&lt;=BX$36,(N$11+N$25+N16),BX39)</f>
        <v>78.400653594793155</v>
      </c>
      <c r="BY43" s="403">
        <f>IF(RESULTADO!$F$148&lt;=BY$36,(O$11+O$25+O16),BY39)</f>
        <v>96.206580759134184</v>
      </c>
      <c r="BZ43" s="18">
        <f>IF(RESULTADO!$F$148&lt;=BZ$36,(P$11+P$25+P16),BZ39)</f>
        <v>92.430648861364247</v>
      </c>
      <c r="CA43" s="18">
        <f>IF(RESULTADO!$F$148&lt;=CA$36,(Q$11+Q$25+Q16),CA39)</f>
        <v>89.053218420260009</v>
      </c>
      <c r="CB43" s="18">
        <f>IF(RESULTADO!$F$148&lt;=CB$36,(R$11+R$25+R16),CB39)</f>
        <v>85.732008718771311</v>
      </c>
      <c r="CC43" s="18">
        <f>IF(RESULTADO!$F$148&lt;=CC$36,(S$11+S$25+S16),CC39)</f>
        <v>86.223309628334476</v>
      </c>
      <c r="CD43" s="18">
        <f>IF(RESULTADO!$F$148&lt;=CD$36,(T$11+T$25+T16),CD39)</f>
        <v>88.925464630931856</v>
      </c>
      <c r="CE43" s="18">
        <f>IF(RESULTADO!$F$148&lt;=CE$36,(U$11+U$25+U16),CE39)</f>
        <v>94.759662931994384</v>
      </c>
      <c r="CF43" s="18">
        <f>IF(RESULTADO!$F$148&lt;=CF$36,(V$11+V$25+V16),CF39)</f>
        <v>94.759662931994384</v>
      </c>
      <c r="CG43" s="18">
        <f>IF(RESULTADO!$F$148&lt;=CG$36,(W$11+W$25+W16),CG39)</f>
        <v>94.759662931994384</v>
      </c>
      <c r="CH43" s="18">
        <f>IF(RESULTADO!$F$148&lt;=CH$36,(X$11+X$25+X16),CH39)</f>
        <v>98.812895435890439</v>
      </c>
      <c r="CI43" s="18">
        <f>IF(RESULTADO!$F$148&lt;=CI$36,(Y$11+Y$25+Y16),CI39)</f>
        <v>98.812895435890439</v>
      </c>
      <c r="CJ43" s="402">
        <f>IF(RESULTADO!$F$148&lt;=CJ$36,(Z$11+Z$25+Z16),CJ39)</f>
        <v>98.812895435890439</v>
      </c>
      <c r="CK43" s="403">
        <f>IF(RESULTADO!$F$148&lt;=CK$36,(AA$11+AA$25+AA16),CK39)</f>
        <v>107.92123825492146</v>
      </c>
      <c r="CL43" s="18">
        <f>IF(RESULTADO!$F$148&lt;=CL$36,(AB$11+AB$25+AB16),CL39)</f>
        <v>107.92123825492146</v>
      </c>
      <c r="CM43" s="18">
        <f>IF(RESULTADO!$F$148&lt;=CM$36,(AC$11+AC$25+AC16),CM39)</f>
        <v>107.92123825492146</v>
      </c>
      <c r="CN43" s="18">
        <f>IF(RESULTADO!$F$148&lt;=CN$36,(AD$11+AD$25+AD16),CN39)</f>
        <v>107.92123825492146</v>
      </c>
      <c r="CO43" s="18">
        <f>IF(RESULTADO!$F$148&lt;=CO$36,(AE$11+AE$25+AE16),CO39)</f>
        <v>107.92123825492146</v>
      </c>
      <c r="CP43" s="18">
        <f>IF(RESULTADO!$F$148&lt;=CP$36,(AF$11+AF$25+AF16),CP39)</f>
        <v>107.92123825492146</v>
      </c>
      <c r="CQ43" s="18">
        <f>IF(RESULTADO!$F$148&lt;=CQ$36,(AG$11+AG$25+AG16),CQ39)</f>
        <v>107.92123825492146</v>
      </c>
      <c r="CR43" s="18">
        <f>IF(RESULTADO!$F$148&lt;=CR$36,(AH$11+AH$25+AH16),CR39)</f>
        <v>107.92123825492146</v>
      </c>
      <c r="CS43" s="18">
        <f>IF(RESULTADO!$F$148&lt;=CS$36,(AI$11+AI$25+AI16),CS39)</f>
        <v>107.92123825492146</v>
      </c>
      <c r="CT43" s="18">
        <f>IF(RESULTADO!$F$148&lt;=CT$36,(AJ$11+AJ$25+AJ16),CT39)</f>
        <v>107.92123825492146</v>
      </c>
      <c r="CU43" s="18">
        <f>IF(RESULTADO!$F$148&lt;=CU$36,(AK$11+AK$25+AK16),CU39)</f>
        <v>107.92123825492146</v>
      </c>
      <c r="CV43" s="402">
        <f>IF(RESULTADO!$F$148&lt;=CV$36,(AL$11+AL$25+AL16),CV39)</f>
        <v>107.92123825492146</v>
      </c>
      <c r="CW43" s="403">
        <f>IF(RESULTADO!$F$148&lt;=CW$36,(AM$11+AM$25+AM16),CW39)</f>
        <v>112</v>
      </c>
      <c r="CX43" s="18">
        <f>IF(RESULTADO!$F$148&lt;=CX$36,(AN$11+AN$25+AN16),CX39)</f>
        <v>112</v>
      </c>
      <c r="CY43" s="18">
        <f>IF(RESULTADO!$F$148&lt;=CY$36,(AO$11+AO$25+AO16),CY39)</f>
        <v>112</v>
      </c>
      <c r="CZ43" s="18">
        <f>IF(RESULTADO!$F$148&lt;=CZ$36,(AP$11+AP$25+AP16),CZ39)</f>
        <v>112</v>
      </c>
      <c r="DA43" s="18">
        <f>IF(RESULTADO!$F$148&lt;=DA$36,(AQ$11+AQ$25+AQ16),DA39)</f>
        <v>112</v>
      </c>
      <c r="DB43" s="18">
        <f>IF(RESULTADO!$F$148&lt;=DB$36,(AR$11+AR$25+AR16),DB39)</f>
        <v>112</v>
      </c>
      <c r="DC43" s="18">
        <f>IF(RESULTADO!$F$148&lt;=DC$36,(AS$11+AS$25+AS16),DC39)</f>
        <v>112</v>
      </c>
      <c r="DD43" s="18">
        <f>IF(RESULTADO!$F$148&lt;=DD$36,(AT$11+AT$25+AT16),DD39)</f>
        <v>112</v>
      </c>
      <c r="DE43" s="18">
        <f>IF(RESULTADO!$F$148&lt;=DE$36,(AU$11+AU$25+AU16),DE39)</f>
        <v>112</v>
      </c>
      <c r="DF43" s="18">
        <f>IF(RESULTADO!$F$148&lt;=DF$36,(AV$11+AV$25+AV16),DF39)</f>
        <v>112</v>
      </c>
      <c r="DG43" s="18">
        <f>IF(RESULTADO!$F$148&lt;=DG$36,(AW$11+AW$25+AW16),DG39)</f>
        <v>112</v>
      </c>
      <c r="DH43" s="402">
        <f>IF(RESULTADO!$F$148&lt;=DH$36,(AX$11+AX$25+AX16),DH39)</f>
        <v>112</v>
      </c>
      <c r="DI43" s="403">
        <f>IF(RESULTADO!$F$148&lt;=DI$36,(AY$11+AY$25+AY16),DI39)</f>
        <v>140.5</v>
      </c>
      <c r="DJ43" s="18">
        <f>IF(RESULTADO!$F$148&lt;=DJ$36,(AZ$11+AZ$25+AZ16),DJ39)</f>
        <v>140.5</v>
      </c>
      <c r="DK43" s="18">
        <f>IF(RESULTADO!$F$148&lt;=DK$36,(BA$11+BA$25+BA16),DK39)</f>
        <v>140.5</v>
      </c>
      <c r="DL43" s="18">
        <f>IF(RESULTADO!$F$148&lt;=DL$36,(BB$11+BB$25+BB16),DL39)</f>
        <v>140.5</v>
      </c>
      <c r="DM43" s="18">
        <f>IF(RESULTADO!$F$148&lt;=DM$36,(BC$11+BC$25+BC16),DM39)</f>
        <v>140.5</v>
      </c>
      <c r="DN43" s="18">
        <f>IF(RESULTADO!$F$148&lt;=DN$36,(BD$11+BD$25+BD16),DN39)</f>
        <v>140.5</v>
      </c>
      <c r="DO43" s="18">
        <f>IF(RESULTADO!$F$148&lt;=DO$36,(BE$11+BE$25+BE16),DO39)</f>
        <v>140.5</v>
      </c>
      <c r="DP43" s="18">
        <f>IF(RESULTADO!$F$148&lt;=DP$36,(BF$11+BF$25+BF16),DP39)</f>
        <v>140.5</v>
      </c>
      <c r="DQ43" s="18">
        <f>IF(RESULTADO!$F$148&lt;=DQ$36,(BG$11+BG$25+BG16),DQ39)</f>
        <v>140.5</v>
      </c>
      <c r="DR43" s="18">
        <f>IF(RESULTADO!$F$148&lt;=DR$36,(BH$11+BH$25+BH16),DR39)</f>
        <v>140.5</v>
      </c>
      <c r="DS43" s="18">
        <f>IF(RESULTADO!$F$148&lt;=DS$36,(BI$11+BI$25+BI16),DS39)</f>
        <v>140.5</v>
      </c>
      <c r="DT43" s="19">
        <f>IF(RESULTADO!$F$148&lt;=DT$36,(BJ$11+BJ$25+BJ16),DT39)</f>
        <v>140.5</v>
      </c>
    </row>
    <row r="44" spans="1:124" ht="15.75" thickBot="1" x14ac:dyDescent="0.3">
      <c r="A44" s="7"/>
      <c r="B44" s="38" t="s">
        <v>102</v>
      </c>
      <c r="C44" s="23">
        <f>IF(RESULTADO!$F$148&lt;=C$36,(C$10+C$25+C17),C40)</f>
        <v>55.71</v>
      </c>
      <c r="D44" s="23">
        <f>IF(RESULTADO!$F$148&lt;=D$36,(D$10+D$25+D17),D40)</f>
        <v>55.7</v>
      </c>
      <c r="E44" s="23">
        <f>IF(RESULTADO!$F$148&lt;=E$36,(E$10+E$25+E17),E40)</f>
        <v>55.7</v>
      </c>
      <c r="F44" s="23">
        <f>IF(RESULTADO!$F$148&lt;=F$36,(F$10+F$25+F17),F40)</f>
        <v>55.7</v>
      </c>
      <c r="G44" s="23">
        <f>IF(RESULTADO!$F$148&lt;=G$36,(G$10+G$25+G17),G40)</f>
        <v>55.7</v>
      </c>
      <c r="H44" s="23">
        <f>IF(RESULTADO!$F$148&lt;=H$36,(H$10+H$25+H17),H40)</f>
        <v>55.71</v>
      </c>
      <c r="I44" s="23">
        <f>IF(RESULTADO!$F$148&lt;=I$36,(I$10+I$25+I17),I40)</f>
        <v>66.319999999999993</v>
      </c>
      <c r="J44" s="23">
        <f>IF(RESULTADO!$F$148&lt;=J$36,(J$10+J$25+J17),J40)</f>
        <v>76.900000000000006</v>
      </c>
      <c r="K44" s="23">
        <f>IF(RESULTADO!$F$148&lt;=K$36,(K$10+K$25+K17),K40)</f>
        <v>56.08</v>
      </c>
      <c r="L44" s="23">
        <f>IF(RESULTADO!$F$148&lt;=L$36,(L$10+L$25+L17),L40)</f>
        <v>55.7</v>
      </c>
      <c r="M44" s="23">
        <f>IF(RESULTADO!$F$148&lt;=M$36,(M$10+M$25+M17),M40)</f>
        <v>55.7</v>
      </c>
      <c r="N44" s="404">
        <f>IF(RESULTADO!$F$148&lt;=N$36,(N$10+N$25+N17),N40)</f>
        <v>55.7</v>
      </c>
      <c r="O44" s="405">
        <f>IF(RESULTADO!$F$148&lt;=O$36,(O$10+O$25+O17),O40)</f>
        <v>55.7</v>
      </c>
      <c r="P44" s="23">
        <f>IF(RESULTADO!$F$148&lt;=P$36,(P$10+P$25+P17),P40)</f>
        <v>55.7</v>
      </c>
      <c r="Q44" s="23">
        <f>IF(RESULTADO!$F$148&lt;=Q$36,(Q$10+Q$25+Q17),Q40)</f>
        <v>55.7</v>
      </c>
      <c r="R44" s="23">
        <f>IF(RESULTADO!$F$148&lt;=R$36,(R$10+R$25+R17),R40)</f>
        <v>55.7</v>
      </c>
      <c r="S44" s="23">
        <f>IF(RESULTADO!$F$148&lt;=S$36,(S$10+S$25+S17),S40)</f>
        <v>55.7</v>
      </c>
      <c r="T44" s="23">
        <f>IF(RESULTADO!$F$148&lt;=T$36,(T$10+T$25+T17),T40)</f>
        <v>55.874535369068141</v>
      </c>
      <c r="U44" s="23">
        <f>IF(RESULTADO!$F$148&lt;=U$36,(U$10+U$25+U17),U40)</f>
        <v>59.54033706800562</v>
      </c>
      <c r="V44" s="23">
        <f>IF(RESULTADO!$F$148&lt;=V$36,(V$10+V$25+V17),V40)</f>
        <v>59.54033706800562</v>
      </c>
      <c r="W44" s="23">
        <f>IF(RESULTADO!$F$148&lt;=W$36,(W$10+W$25+W17),W40)</f>
        <v>59.54033706800562</v>
      </c>
      <c r="X44" s="23">
        <f>IF(RESULTADO!$F$148&lt;=X$36,(X$10+X$25+X17),X40)</f>
        <v>62.087104564109552</v>
      </c>
      <c r="Y44" s="23">
        <f>IF(RESULTADO!$F$148&lt;=Y$36,(Y$10+Y$25+Y17),Y40)</f>
        <v>62.087104564109552</v>
      </c>
      <c r="Z44" s="404">
        <f>IF(RESULTADO!$F$148&lt;=Z$36,(Z$10+Z$25+Z17),Z40)</f>
        <v>62.087104564109552</v>
      </c>
      <c r="AA44" s="405">
        <f>IF(RESULTADO!$F$148&lt;=AA$36,(AA$10+AA$25+AA17),AA40)</f>
        <v>92.278761745078526</v>
      </c>
      <c r="AB44" s="23">
        <f>IF(RESULTADO!$F$148&lt;=AB$36,(AB$10+AB$25+AB17),AB40)</f>
        <v>92.278761745078526</v>
      </c>
      <c r="AC44" s="23">
        <f>IF(RESULTADO!$F$148&lt;=AC$36,(AC$10+AC$25+AC17),AC40)</f>
        <v>92.278761745078526</v>
      </c>
      <c r="AD44" s="23">
        <f>IF(RESULTADO!$F$148&lt;=AD$36,(AD$10+AD$25+AD17),AD40)</f>
        <v>92.278761745078526</v>
      </c>
      <c r="AE44" s="23">
        <f>IF(RESULTADO!$F$148&lt;=AE$36,(AE$10+AE$25+AE17),AE40)</f>
        <v>92.278761745078526</v>
      </c>
      <c r="AF44" s="23">
        <f>IF(RESULTADO!$F$148&lt;=AF$36,(AF$10+AF$25+AF17),AF40)</f>
        <v>92.278761745078526</v>
      </c>
      <c r="AG44" s="23">
        <f>IF(RESULTADO!$F$148&lt;=AG$36,(AG$10+AG$25+AG17),AG40)</f>
        <v>92.278761745078526</v>
      </c>
      <c r="AH44" s="23">
        <f>IF(RESULTADO!$F$148&lt;=AH$36,(AH$10+AH$25+AH17),AH40)</f>
        <v>92.278761745078526</v>
      </c>
      <c r="AI44" s="23">
        <f>IF(RESULTADO!$F$148&lt;=AI$36,(AI$10+AI$25+AI17),AI40)</f>
        <v>92.278761745078526</v>
      </c>
      <c r="AJ44" s="23">
        <f>IF(RESULTADO!$F$148&lt;=AJ$36,(AJ$10+AJ$25+AJ17),AJ40)</f>
        <v>92.278761745078526</v>
      </c>
      <c r="AK44" s="23">
        <f>IF(RESULTADO!$F$148&lt;=AK$36,(AK$10+AK$25+AK17),AK40)</f>
        <v>92.278761745078526</v>
      </c>
      <c r="AL44" s="404">
        <f>IF(RESULTADO!$F$148&lt;=AL$36,(AL$10+AL$25+AL17),AL40)</f>
        <v>92.278761745078526</v>
      </c>
      <c r="AM44" s="405">
        <f>IF(RESULTADO!$F$148&lt;=AM$36,(AM$10+AM$25+AM17),AM40)</f>
        <v>112</v>
      </c>
      <c r="AN44" s="23">
        <f>IF(RESULTADO!$F$148&lt;=AN$36,(AN$10+AN$25+AN17),AN40)</f>
        <v>112</v>
      </c>
      <c r="AO44" s="23">
        <f>IF(RESULTADO!$F$148&lt;=AO$36,(AO$10+AO$25+AO17),AO40)</f>
        <v>112</v>
      </c>
      <c r="AP44" s="23">
        <f>IF(RESULTADO!$F$148&lt;=AP$36,(AP$10+AP$25+AP17),AP40)</f>
        <v>112</v>
      </c>
      <c r="AQ44" s="23">
        <f>IF(RESULTADO!$F$148&lt;=AQ$36,(AQ$10+AQ$25+AQ17),AQ40)</f>
        <v>112</v>
      </c>
      <c r="AR44" s="23">
        <f>IF(RESULTADO!$F$148&lt;=AR$36,(AR$10+AR$25+AR17),AR40)</f>
        <v>112</v>
      </c>
      <c r="AS44" s="23">
        <f>IF(RESULTADO!$F$148&lt;=AS$36,(AS$10+AS$25+AS17),AS40)</f>
        <v>112</v>
      </c>
      <c r="AT44" s="23">
        <f>IF(RESULTADO!$F$148&lt;=AT$36,(AT$10+AT$25+AT17),AT40)</f>
        <v>112</v>
      </c>
      <c r="AU44" s="23">
        <f>IF(RESULTADO!$F$148&lt;=AU$36,(AU$10+AU$25+AU17),AU40)</f>
        <v>112</v>
      </c>
      <c r="AV44" s="23">
        <f>IF(RESULTADO!$F$148&lt;=AV$36,(AV$10+AV$25+AV17),AV40)</f>
        <v>112</v>
      </c>
      <c r="AW44" s="23">
        <f>IF(RESULTADO!$F$148&lt;=AW$36,(AW$10+AW$25+AW17),AW40)</f>
        <v>112</v>
      </c>
      <c r="AX44" s="404">
        <f>IF(RESULTADO!$F$148&lt;=AX$36,(AX$10+AX$25+AX17),AX40)</f>
        <v>112</v>
      </c>
      <c r="AY44" s="405">
        <f>IF(RESULTADO!$F$148&lt;=AY$36,(AY$10+AY$25+AY17),AY40)</f>
        <v>140.5</v>
      </c>
      <c r="AZ44" s="23">
        <f>IF(RESULTADO!$F$148&lt;=AZ$36,(AZ$10+AZ$25+AZ17),AZ40)</f>
        <v>140.5</v>
      </c>
      <c r="BA44" s="23">
        <f>IF(RESULTADO!$F$148&lt;=BA$36,(BA$10+BA$25+BA17),BA40)</f>
        <v>140.5</v>
      </c>
      <c r="BB44" s="23">
        <f>IF(RESULTADO!$F$148&lt;=BB$36,(BB$10+BB$25+BB17),BB40)</f>
        <v>140.5</v>
      </c>
      <c r="BC44" s="23">
        <f>IF(RESULTADO!$F$148&lt;=BC$36,(BC$10+BC$25+BC17),BC40)</f>
        <v>140.5</v>
      </c>
      <c r="BD44" s="23">
        <f>IF(RESULTADO!$F$148&lt;=BD$36,(BD$10+BD$25+BD17),BD40)</f>
        <v>140.5</v>
      </c>
      <c r="BE44" s="23">
        <f>IF(RESULTADO!$F$148&lt;=BE$36,(BE$10+BE$25+BE17),BE40)</f>
        <v>140.5</v>
      </c>
      <c r="BF44" s="23">
        <f>IF(RESULTADO!$F$148&lt;=BF$36,(BF$10+BF$25+BF17),BF40)</f>
        <v>140.5</v>
      </c>
      <c r="BG44" s="23">
        <f>IF(RESULTADO!$F$148&lt;=BG$36,(BG$10+BG$25+BG17),BG40)</f>
        <v>140.5</v>
      </c>
      <c r="BH44" s="23">
        <f>IF(RESULTADO!$F$148&lt;=BH$36,(BH$10+BH$25+BH17),BH40)</f>
        <v>140.5</v>
      </c>
      <c r="BI44" s="23">
        <f>IF(RESULTADO!$F$148&lt;=BI$36,(BI$10+BI$25+BI17),BI40)</f>
        <v>140.5</v>
      </c>
      <c r="BJ44" s="24">
        <f>IF(RESULTADO!$F$148&lt;=BJ$36,(BJ$10+BJ$25+BJ17),BJ40)</f>
        <v>140.5</v>
      </c>
      <c r="BL44" s="38" t="s">
        <v>102</v>
      </c>
      <c r="BM44" s="23">
        <f>IF(RESULTADO!$F$148&lt;=BM$36,(C$11+C$25+C17),BM40)</f>
        <v>55.71</v>
      </c>
      <c r="BN44" s="23">
        <f>IF(RESULTADO!$F$148&lt;=BN$36,(D$11+D$25+D17),BN40)</f>
        <v>55.7</v>
      </c>
      <c r="BO44" s="23">
        <f>IF(RESULTADO!$F$148&lt;=BO$36,(E$11+E$25+E17),BO40)</f>
        <v>55.7</v>
      </c>
      <c r="BP44" s="23">
        <f>IF(RESULTADO!$F$148&lt;=BP$36,(F$11+F$25+F17),BP40)</f>
        <v>55.7</v>
      </c>
      <c r="BQ44" s="23">
        <f>IF(RESULTADO!$F$148&lt;=BQ$36,(G$11+G$25+G17),BQ40)</f>
        <v>55.7</v>
      </c>
      <c r="BR44" s="23">
        <f>IF(RESULTADO!$F$148&lt;=BR$36,(H$11+H$25+H17),BR40)</f>
        <v>55.71</v>
      </c>
      <c r="BS44" s="23">
        <f>IF(RESULTADO!$F$148&lt;=BS$36,(I$11+I$25+I17),BS40)</f>
        <v>66.319999999999993</v>
      </c>
      <c r="BT44" s="23">
        <f>IF(RESULTADO!$F$148&lt;=BT$36,(J$11+J$25+J17),BT40)</f>
        <v>76.900000000000006</v>
      </c>
      <c r="BU44" s="23">
        <f>IF(RESULTADO!$F$148&lt;=BU$36,(K$11+K$25+K17),BU40)</f>
        <v>56.08</v>
      </c>
      <c r="BV44" s="23">
        <f>IF(RESULTADO!$F$148&lt;=BV$36,(L$11+L$25+L17),BV40)</f>
        <v>55.7</v>
      </c>
      <c r="BW44" s="23">
        <f>IF(RESULTADO!$F$148&lt;=BW$36,(M$11+M$25+M17),BW40)</f>
        <v>55.7</v>
      </c>
      <c r="BX44" s="404">
        <f>IF(RESULTADO!$F$148&lt;=BX$36,(N$11+N$25+N17),BX40)</f>
        <v>78.400653594793155</v>
      </c>
      <c r="BY44" s="405">
        <f>IF(RESULTADO!$F$148&lt;=BY$36,(O$11+O$25+O17),BY40)</f>
        <v>96.206580759134184</v>
      </c>
      <c r="BZ44" s="23">
        <f>IF(RESULTADO!$F$148&lt;=BZ$36,(P$11+P$25+P17),BZ40)</f>
        <v>92.430648861364247</v>
      </c>
      <c r="CA44" s="23">
        <f>IF(RESULTADO!$F$148&lt;=CA$36,(Q$11+Q$25+Q17),CA40)</f>
        <v>89.053218420260009</v>
      </c>
      <c r="CB44" s="23">
        <f>IF(RESULTADO!$F$148&lt;=CB$36,(R$11+R$25+R17),CB40)</f>
        <v>85.732008718771311</v>
      </c>
      <c r="CC44" s="23">
        <f>IF(RESULTADO!$F$148&lt;=CC$36,(S$11+S$25+S17),CC40)</f>
        <v>86.223309628334476</v>
      </c>
      <c r="CD44" s="23">
        <f>IF(RESULTADO!$F$148&lt;=CD$36,(T$11+T$25+T17),CD40)</f>
        <v>88.925464630931856</v>
      </c>
      <c r="CE44" s="23">
        <f>IF(RESULTADO!$F$148&lt;=CE$36,(U$11+U$25+U17),CE40)</f>
        <v>94.759662931994384</v>
      </c>
      <c r="CF44" s="23">
        <f>IF(RESULTADO!$F$148&lt;=CF$36,(V$11+V$25+V17),CF40)</f>
        <v>94.759662931994384</v>
      </c>
      <c r="CG44" s="23">
        <f>IF(RESULTADO!$F$148&lt;=CG$36,(W$11+W$25+W17),CG40)</f>
        <v>94.759662931994384</v>
      </c>
      <c r="CH44" s="23">
        <f>IF(RESULTADO!$F$148&lt;=CH$36,(X$11+X$25+X17),CH40)</f>
        <v>98.812895435890439</v>
      </c>
      <c r="CI44" s="23">
        <f>IF(RESULTADO!$F$148&lt;=CI$36,(Y$11+Y$25+Y17),CI40)</f>
        <v>98.812895435890439</v>
      </c>
      <c r="CJ44" s="404">
        <f>IF(RESULTADO!$F$148&lt;=CJ$36,(Z$11+Z$25+Z17),CJ40)</f>
        <v>98.812895435890439</v>
      </c>
      <c r="CK44" s="405">
        <f>IF(RESULTADO!$F$148&lt;=CK$36,(AA$11+AA$25+AA17),CK40)</f>
        <v>107.92123825492146</v>
      </c>
      <c r="CL44" s="23">
        <f>IF(RESULTADO!$F$148&lt;=CL$36,(AB$11+AB$25+AB17),CL40)</f>
        <v>107.92123825492146</v>
      </c>
      <c r="CM44" s="23">
        <f>IF(RESULTADO!$F$148&lt;=CM$36,(AC$11+AC$25+AC17),CM40)</f>
        <v>107.92123825492146</v>
      </c>
      <c r="CN44" s="23">
        <f>IF(RESULTADO!$F$148&lt;=CN$36,(AD$11+AD$25+AD17),CN40)</f>
        <v>107.92123825492146</v>
      </c>
      <c r="CO44" s="23">
        <f>IF(RESULTADO!$F$148&lt;=CO$36,(AE$11+AE$25+AE17),CO40)</f>
        <v>107.92123825492146</v>
      </c>
      <c r="CP44" s="23">
        <f>IF(RESULTADO!$F$148&lt;=CP$36,(AF$11+AF$25+AF17),CP40)</f>
        <v>107.92123825492146</v>
      </c>
      <c r="CQ44" s="23">
        <f>IF(RESULTADO!$F$148&lt;=CQ$36,(AG$11+AG$25+AG17),CQ40)</f>
        <v>107.92123825492146</v>
      </c>
      <c r="CR44" s="23">
        <f>IF(RESULTADO!$F$148&lt;=CR$36,(AH$11+AH$25+AH17),CR40)</f>
        <v>107.92123825492146</v>
      </c>
      <c r="CS44" s="23">
        <f>IF(RESULTADO!$F$148&lt;=CS$36,(AI$11+AI$25+AI17),CS40)</f>
        <v>107.92123825492146</v>
      </c>
      <c r="CT44" s="23">
        <f>IF(RESULTADO!$F$148&lt;=CT$36,(AJ$11+AJ$25+AJ17),CT40)</f>
        <v>107.92123825492146</v>
      </c>
      <c r="CU44" s="23">
        <f>IF(RESULTADO!$F$148&lt;=CU$36,(AK$11+AK$25+AK17),CU40)</f>
        <v>107.92123825492146</v>
      </c>
      <c r="CV44" s="404">
        <f>IF(RESULTADO!$F$148&lt;=CV$36,(AL$11+AL$25+AL17),CV40)</f>
        <v>107.92123825492146</v>
      </c>
      <c r="CW44" s="405">
        <f>IF(RESULTADO!$F$148&lt;=CW$36,(AM$11+AM$25+AM17),CW40)</f>
        <v>112</v>
      </c>
      <c r="CX44" s="23">
        <f>IF(RESULTADO!$F$148&lt;=CX$36,(AN$11+AN$25+AN17),CX40)</f>
        <v>112</v>
      </c>
      <c r="CY44" s="23">
        <f>IF(RESULTADO!$F$148&lt;=CY$36,(AO$11+AO$25+AO17),CY40)</f>
        <v>112</v>
      </c>
      <c r="CZ44" s="23">
        <f>IF(RESULTADO!$F$148&lt;=CZ$36,(AP$11+AP$25+AP17),CZ40)</f>
        <v>112</v>
      </c>
      <c r="DA44" s="23">
        <f>IF(RESULTADO!$F$148&lt;=DA$36,(AQ$11+AQ$25+AQ17),DA40)</f>
        <v>112</v>
      </c>
      <c r="DB44" s="23">
        <f>IF(RESULTADO!$F$148&lt;=DB$36,(AR$11+AR$25+AR17),DB40)</f>
        <v>112</v>
      </c>
      <c r="DC44" s="23">
        <f>IF(RESULTADO!$F$148&lt;=DC$36,(AS$11+AS$25+AS17),DC40)</f>
        <v>112</v>
      </c>
      <c r="DD44" s="23">
        <f>IF(RESULTADO!$F$148&lt;=DD$36,(AT$11+AT$25+AT17),DD40)</f>
        <v>112</v>
      </c>
      <c r="DE44" s="23">
        <f>IF(RESULTADO!$F$148&lt;=DE$36,(AU$11+AU$25+AU17),DE40)</f>
        <v>112</v>
      </c>
      <c r="DF44" s="23">
        <f>IF(RESULTADO!$F$148&lt;=DF$36,(AV$11+AV$25+AV17),DF40)</f>
        <v>112</v>
      </c>
      <c r="DG44" s="23">
        <f>IF(RESULTADO!$F$148&lt;=DG$36,(AW$11+AW$25+AW17),DG40)</f>
        <v>112</v>
      </c>
      <c r="DH44" s="404">
        <f>IF(RESULTADO!$F$148&lt;=DH$36,(AX$11+AX$25+AX17),DH40)</f>
        <v>112</v>
      </c>
      <c r="DI44" s="405">
        <f>IF(RESULTADO!$F$148&lt;=DI$36,(AY$11+AY$25+AY17),DI40)</f>
        <v>140.5</v>
      </c>
      <c r="DJ44" s="23">
        <f>IF(RESULTADO!$F$148&lt;=DJ$36,(AZ$11+AZ$25+AZ17),DJ40)</f>
        <v>140.5</v>
      </c>
      <c r="DK44" s="23">
        <f>IF(RESULTADO!$F$148&lt;=DK$36,(BA$11+BA$25+BA17),DK40)</f>
        <v>140.5</v>
      </c>
      <c r="DL44" s="23">
        <f>IF(RESULTADO!$F$148&lt;=DL$36,(BB$11+BB$25+BB17),DL40)</f>
        <v>140.5</v>
      </c>
      <c r="DM44" s="23">
        <f>IF(RESULTADO!$F$148&lt;=DM$36,(BC$11+BC$25+BC17),DM40)</f>
        <v>140.5</v>
      </c>
      <c r="DN44" s="23">
        <f>IF(RESULTADO!$F$148&lt;=DN$36,(BD$11+BD$25+BD17),DN40)</f>
        <v>140.5</v>
      </c>
      <c r="DO44" s="23">
        <f>IF(RESULTADO!$F$148&lt;=DO$36,(BE$11+BE$25+BE17),DO40)</f>
        <v>140.5</v>
      </c>
      <c r="DP44" s="23">
        <f>IF(RESULTADO!$F$148&lt;=DP$36,(BF$11+BF$25+BF17),DP40)</f>
        <v>140.5</v>
      </c>
      <c r="DQ44" s="23">
        <f>IF(RESULTADO!$F$148&lt;=DQ$36,(BG$11+BG$25+BG17),DQ40)</f>
        <v>140.5</v>
      </c>
      <c r="DR44" s="23">
        <f>IF(RESULTADO!$F$148&lt;=DR$36,(BH$11+BH$25+BH17),DR40)</f>
        <v>140.5</v>
      </c>
      <c r="DS44" s="23">
        <f>IF(RESULTADO!$F$148&lt;=DS$36,(BI$11+BI$25+BI17),DS40)</f>
        <v>140.5</v>
      </c>
      <c r="DT44" s="24">
        <f>IF(RESULTADO!$F$148&lt;=DT$36,(BJ$11+BJ$25+BJ17),DT40)</f>
        <v>140.5</v>
      </c>
    </row>
    <row r="45" spans="1:124" x14ac:dyDescent="0.25">
      <c r="A45" s="7"/>
      <c r="B45" s="36" t="s">
        <v>103</v>
      </c>
      <c r="C45" s="20">
        <f>IF(RESULTADO!$F$148&lt;=C$36,(C$10+C$26),C37)</f>
        <v>62.91</v>
      </c>
      <c r="D45" s="20">
        <f>IF(RESULTADO!$F$148&lt;=D$36,(D$10+D$26),D37)</f>
        <v>55.7</v>
      </c>
      <c r="E45" s="20">
        <f>IF(RESULTADO!$F$148&lt;=E$36,(E$10+E$26),E37)</f>
        <v>55.7</v>
      </c>
      <c r="F45" s="20">
        <f>IF(RESULTADO!$F$148&lt;=F$36,(F$10+F$26),F37)</f>
        <v>55.7</v>
      </c>
      <c r="G45" s="20">
        <f>IF(RESULTADO!$F$148&lt;=G$36,(G$10+G$26),G37)</f>
        <v>55.7</v>
      </c>
      <c r="H45" s="20">
        <f>IF(RESULTADO!$F$148&lt;=H$36,(H$10+H$26),H37)</f>
        <v>55.71</v>
      </c>
      <c r="I45" s="20">
        <f>IF(RESULTADO!$F$148&lt;=I$36,(I$10+I$26),I37)</f>
        <v>66.319999999999993</v>
      </c>
      <c r="J45" s="20">
        <f>IF(RESULTADO!$F$148&lt;=J$36,(J$10+J$26),J37)</f>
        <v>76.900000000000006</v>
      </c>
      <c r="K45" s="20">
        <f>IF(RESULTADO!$F$148&lt;=K$36,(K$10+K$26),K37)</f>
        <v>56.08</v>
      </c>
      <c r="L45" s="20">
        <f>IF(RESULTADO!$F$148&lt;=L$36,(L$10+L$26),L37)</f>
        <v>55.7</v>
      </c>
      <c r="M45" s="20">
        <f>IF(RESULTADO!$F$148&lt;=M$36,(M$10+M$26),M37)</f>
        <v>55.7</v>
      </c>
      <c r="N45" s="400">
        <f>IF(RESULTADO!$F$148&lt;=N$36,(N$10+N$26),N37)</f>
        <v>82.7</v>
      </c>
      <c r="O45" s="401">
        <f>IF(RESULTADO!$F$148&lt;=O$36,(O$10+O$26),O37)</f>
        <v>85.7</v>
      </c>
      <c r="P45" s="20">
        <f>IF(RESULTADO!$F$148&lt;=P$36,(P$10+P$26),P37)</f>
        <v>85.7</v>
      </c>
      <c r="Q45" s="20">
        <f>IF(RESULTADO!$F$148&lt;=Q$36,(Q$10+Q$26),Q37)</f>
        <v>85.7</v>
      </c>
      <c r="R45" s="20">
        <f>IF(RESULTADO!$F$148&lt;=R$36,(R$10+R$26),R37)</f>
        <v>85.7</v>
      </c>
      <c r="S45" s="20">
        <f>IF(RESULTADO!$F$148&lt;=S$36,(S$10+S$26),S37)</f>
        <v>85.7</v>
      </c>
      <c r="T45" s="20">
        <f>IF(RESULTADO!$F$148&lt;=T$36,(T$10+T$26),T37)</f>
        <v>85.874535369068141</v>
      </c>
      <c r="U45" s="20">
        <f>IF(RESULTADO!$F$148&lt;=U$36,(U$10+U$26),U37)</f>
        <v>89.540337068005613</v>
      </c>
      <c r="V45" s="20">
        <f>IF(RESULTADO!$F$148&lt;=V$36,(V$10+V$26),V37)</f>
        <v>89.540337068005613</v>
      </c>
      <c r="W45" s="20">
        <f>IF(RESULTADO!$F$148&lt;=W$36,(W$10+W$26),W37)</f>
        <v>89.540337068005613</v>
      </c>
      <c r="X45" s="20">
        <f>IF(RESULTADO!$F$148&lt;=X$36,(X$10+X$26),X37)</f>
        <v>92.087104564109552</v>
      </c>
      <c r="Y45" s="20">
        <f>IF(RESULTADO!$F$148&lt;=Y$36,(Y$10+Y$26),Y37)</f>
        <v>92.087104564109552</v>
      </c>
      <c r="Z45" s="400">
        <f>IF(RESULTADO!$F$148&lt;=Z$36,(Z$10+Z$26),Z37)</f>
        <v>92.087104564109552</v>
      </c>
      <c r="AA45" s="401">
        <f>IF(RESULTADO!$F$148&lt;=AA$36,(AA$10+AA$26),AA37)</f>
        <v>124.27876174507853</v>
      </c>
      <c r="AB45" s="20">
        <f>IF(RESULTADO!$F$148&lt;=AB$36,(AB$10+AB$26),AB37)</f>
        <v>124.27876174507853</v>
      </c>
      <c r="AC45" s="20">
        <f>IF(RESULTADO!$F$148&lt;=AC$36,(AC$10+AC$26),AC37)</f>
        <v>124.27876174507853</v>
      </c>
      <c r="AD45" s="20">
        <f>IF(RESULTADO!$F$148&lt;=AD$36,(AD$10+AD$26),AD37)</f>
        <v>124.27876174507853</v>
      </c>
      <c r="AE45" s="20">
        <f>IF(RESULTADO!$F$148&lt;=AE$36,(AE$10+AE$26),AE37)</f>
        <v>124.27876174507853</v>
      </c>
      <c r="AF45" s="20">
        <f>IF(RESULTADO!$F$148&lt;=AF$36,(AF$10+AF$26),AF37)</f>
        <v>124.27876174507853</v>
      </c>
      <c r="AG45" s="20">
        <f>IF(RESULTADO!$F$148&lt;=AG$36,(AG$10+AG$26),AG37)</f>
        <v>124.27876174507853</v>
      </c>
      <c r="AH45" s="20">
        <f>IF(RESULTADO!$F$148&lt;=AH$36,(AH$10+AH$26),AH37)</f>
        <v>124.27876174507853</v>
      </c>
      <c r="AI45" s="20">
        <f>IF(RESULTADO!$F$148&lt;=AI$36,(AI$10+AI$26),AI37)</f>
        <v>124.27876174507853</v>
      </c>
      <c r="AJ45" s="20">
        <f>IF(RESULTADO!$F$148&lt;=AJ$36,(AJ$10+AJ$26),AJ37)</f>
        <v>124.27876174507853</v>
      </c>
      <c r="AK45" s="20">
        <f>IF(RESULTADO!$F$148&lt;=AK$36,(AK$10+AK$26),AK37)</f>
        <v>124.27876174507853</v>
      </c>
      <c r="AL45" s="400">
        <f>IF(RESULTADO!$F$148&lt;=AL$36,(AL$10+AL$26),AL37)</f>
        <v>124.27876174507853</v>
      </c>
      <c r="AM45" s="401">
        <f>IF(RESULTADO!$F$148&lt;=AM$36,(AM$10+AM$26),AM37)</f>
        <v>149</v>
      </c>
      <c r="AN45" s="20">
        <f>IF(RESULTADO!$F$148&lt;=AN$36,(AN$10+AN$26),AN37)</f>
        <v>149</v>
      </c>
      <c r="AO45" s="20">
        <f>IF(RESULTADO!$F$148&lt;=AO$36,(AO$10+AO$26),AO37)</f>
        <v>149</v>
      </c>
      <c r="AP45" s="20">
        <f>IF(RESULTADO!$F$148&lt;=AP$36,(AP$10+AP$26),AP37)</f>
        <v>149</v>
      </c>
      <c r="AQ45" s="20">
        <f>IF(RESULTADO!$F$148&lt;=AQ$36,(AQ$10+AQ$26),AQ37)</f>
        <v>149</v>
      </c>
      <c r="AR45" s="20">
        <f>IF(RESULTADO!$F$148&lt;=AR$36,(AR$10+AR$26),AR37)</f>
        <v>149</v>
      </c>
      <c r="AS45" s="20">
        <f>IF(RESULTADO!$F$148&lt;=AS$36,(AS$10+AS$26),AS37)</f>
        <v>149</v>
      </c>
      <c r="AT45" s="20">
        <f>IF(RESULTADO!$F$148&lt;=AT$36,(AT$10+AT$26),AT37)</f>
        <v>149</v>
      </c>
      <c r="AU45" s="20">
        <f>IF(RESULTADO!$F$148&lt;=AU$36,(AU$10+AU$26),AU37)</f>
        <v>149</v>
      </c>
      <c r="AV45" s="20">
        <f>IF(RESULTADO!$F$148&lt;=AV$36,(AV$10+AV$26),AV37)</f>
        <v>149</v>
      </c>
      <c r="AW45" s="20">
        <f>IF(RESULTADO!$F$148&lt;=AW$36,(AW$10+AW$26),AW37)</f>
        <v>149</v>
      </c>
      <c r="AX45" s="400">
        <f>IF(RESULTADO!$F$148&lt;=AX$36,(AX$10+AX$26),AX37)</f>
        <v>149</v>
      </c>
      <c r="AY45" s="401">
        <f>IF(RESULTADO!$F$148&lt;=AY$36,(AY$10+AY$26),AY37)</f>
        <v>175.5</v>
      </c>
      <c r="AZ45" s="20">
        <f>IF(RESULTADO!$F$148&lt;=AZ$36,(AZ$10+AZ$26),AZ37)</f>
        <v>175.5</v>
      </c>
      <c r="BA45" s="20">
        <f>IF(RESULTADO!$F$148&lt;=BA$36,(BA$10+BA$26),BA37)</f>
        <v>175.5</v>
      </c>
      <c r="BB45" s="20">
        <f>IF(RESULTADO!$F$148&lt;=BB$36,(BB$10+BB$26),BB37)</f>
        <v>175.5</v>
      </c>
      <c r="BC45" s="20">
        <f>IF(RESULTADO!$F$148&lt;=BC$36,(BC$10+BC$26),BC37)</f>
        <v>175.5</v>
      </c>
      <c r="BD45" s="20">
        <f>IF(RESULTADO!$F$148&lt;=BD$36,(BD$10+BD$26),BD37)</f>
        <v>175.5</v>
      </c>
      <c r="BE45" s="20">
        <f>IF(RESULTADO!$F$148&lt;=BE$36,(BE$10+BE$26),BE37)</f>
        <v>175.5</v>
      </c>
      <c r="BF45" s="20">
        <f>IF(RESULTADO!$F$148&lt;=BF$36,(BF$10+BF$26),BF37)</f>
        <v>175.5</v>
      </c>
      <c r="BG45" s="20">
        <f>IF(RESULTADO!$F$148&lt;=BG$36,(BG$10+BG$26),BG37)</f>
        <v>175.5</v>
      </c>
      <c r="BH45" s="20">
        <f>IF(RESULTADO!$F$148&lt;=BH$36,(BH$10+BH$26),BH37)</f>
        <v>175.5</v>
      </c>
      <c r="BI45" s="20">
        <f>IF(RESULTADO!$F$148&lt;=BI$36,(BI$10+BI$26),BI37)</f>
        <v>175.5</v>
      </c>
      <c r="BJ45" s="21">
        <f>IF(RESULTADO!$F$148&lt;=BJ$36,(BJ$10+BJ$26),BJ37)</f>
        <v>175.5</v>
      </c>
      <c r="BL45" s="36" t="s">
        <v>103</v>
      </c>
      <c r="BM45" s="20">
        <f>IF(RESULTADO!$F$148&lt;=BM$36,(C$11+C$26),BM37)</f>
        <v>62.91</v>
      </c>
      <c r="BN45" s="20">
        <f>IF(RESULTADO!$F$148&lt;=BN$36,(D$11+D$26),BN37)</f>
        <v>55.7</v>
      </c>
      <c r="BO45" s="20">
        <f>IF(RESULTADO!$F$148&lt;=BO$36,(E$11+E$26),BO37)</f>
        <v>55.7</v>
      </c>
      <c r="BP45" s="20">
        <f>IF(RESULTADO!$F$148&lt;=BP$36,(F$11+F$26),BP37)</f>
        <v>55.7</v>
      </c>
      <c r="BQ45" s="20">
        <f>IF(RESULTADO!$F$148&lt;=BQ$36,(G$11+G$26),BQ37)</f>
        <v>55.7</v>
      </c>
      <c r="BR45" s="20">
        <f>IF(RESULTADO!$F$148&lt;=BR$36,(H$11+H$26),BR37)</f>
        <v>55.71</v>
      </c>
      <c r="BS45" s="20">
        <f>IF(RESULTADO!$F$148&lt;=BS$36,(I$11+I$26),BS37)</f>
        <v>66.319999999999993</v>
      </c>
      <c r="BT45" s="20">
        <f>IF(RESULTADO!$F$148&lt;=BT$36,(J$11+J$26),BT37)</f>
        <v>76.900000000000006</v>
      </c>
      <c r="BU45" s="20">
        <f>IF(RESULTADO!$F$148&lt;=BU$36,(K$11+K$26),BU37)</f>
        <v>56.08</v>
      </c>
      <c r="BV45" s="20">
        <f>IF(RESULTADO!$F$148&lt;=BV$36,(L$11+L$26),BV37)</f>
        <v>55.7</v>
      </c>
      <c r="BW45" s="20">
        <f>IF(RESULTADO!$F$148&lt;=BW$36,(M$11+M$26),BW37)</f>
        <v>55.7</v>
      </c>
      <c r="BX45" s="400">
        <f>IF(RESULTADO!$F$148&lt;=BX$36,(N$11+N$26),BX37)</f>
        <v>105.40065359479316</v>
      </c>
      <c r="BY45" s="401">
        <f>IF(RESULTADO!$F$148&lt;=BY$36,(O$11+O$26),BY37)</f>
        <v>126.20658075913418</v>
      </c>
      <c r="BZ45" s="20">
        <f>IF(RESULTADO!$F$148&lt;=BZ$36,(P$11+P$26),BZ37)</f>
        <v>122.43064886136425</v>
      </c>
      <c r="CA45" s="20">
        <f>IF(RESULTADO!$F$148&lt;=CA$36,(Q$11+Q$26),CA37)</f>
        <v>119.05321842026001</v>
      </c>
      <c r="CB45" s="20">
        <f>IF(RESULTADO!$F$148&lt;=CB$36,(R$11+R$26),CB37)</f>
        <v>115.73200871877131</v>
      </c>
      <c r="CC45" s="20">
        <f>IF(RESULTADO!$F$148&lt;=CC$36,(S$11+S$26),CC37)</f>
        <v>116.22330962833448</v>
      </c>
      <c r="CD45" s="20">
        <f>IF(RESULTADO!$F$148&lt;=CD$36,(T$11+T$26),CD37)</f>
        <v>118.92546463093186</v>
      </c>
      <c r="CE45" s="20">
        <f>IF(RESULTADO!$F$148&lt;=CE$36,(U$11+U$26),CE37)</f>
        <v>124.75966293199438</v>
      </c>
      <c r="CF45" s="20">
        <f>IF(RESULTADO!$F$148&lt;=CF$36,(V$11+V$26),CF37)</f>
        <v>124.75966293199438</v>
      </c>
      <c r="CG45" s="20">
        <f>IF(RESULTADO!$F$148&lt;=CG$36,(W$11+W$26),CG37)</f>
        <v>124.75966293199438</v>
      </c>
      <c r="CH45" s="20">
        <f>IF(RESULTADO!$F$148&lt;=CH$36,(X$11+X$26),CH37)</f>
        <v>128.81289543589043</v>
      </c>
      <c r="CI45" s="20">
        <f>IF(RESULTADO!$F$148&lt;=CI$36,(Y$11+Y$26),CI37)</f>
        <v>128.81289543589043</v>
      </c>
      <c r="CJ45" s="400">
        <f>IF(RESULTADO!$F$148&lt;=CJ$36,(Z$11+Z$26),CJ37)</f>
        <v>128.81289543589043</v>
      </c>
      <c r="CK45" s="401">
        <f>IF(RESULTADO!$F$148&lt;=CK$36,(AA$11+AA$26),CK37)</f>
        <v>139.92123825492146</v>
      </c>
      <c r="CL45" s="20">
        <f>IF(RESULTADO!$F$148&lt;=CL$36,(AB$11+AB$26),CL37)</f>
        <v>139.92123825492146</v>
      </c>
      <c r="CM45" s="20">
        <f>IF(RESULTADO!$F$148&lt;=CM$36,(AC$11+AC$26),CM37)</f>
        <v>139.92123825492146</v>
      </c>
      <c r="CN45" s="20">
        <f>IF(RESULTADO!$F$148&lt;=CN$36,(AD$11+AD$26),CN37)</f>
        <v>139.92123825492146</v>
      </c>
      <c r="CO45" s="20">
        <f>IF(RESULTADO!$F$148&lt;=CO$36,(AE$11+AE$26),CO37)</f>
        <v>139.92123825492146</v>
      </c>
      <c r="CP45" s="20">
        <f>IF(RESULTADO!$F$148&lt;=CP$36,(AF$11+AF$26),CP37)</f>
        <v>139.92123825492146</v>
      </c>
      <c r="CQ45" s="20">
        <f>IF(RESULTADO!$F$148&lt;=CQ$36,(AG$11+AG$26),CQ37)</f>
        <v>139.92123825492146</v>
      </c>
      <c r="CR45" s="20">
        <f>IF(RESULTADO!$F$148&lt;=CR$36,(AH$11+AH$26),CR37)</f>
        <v>139.92123825492146</v>
      </c>
      <c r="CS45" s="20">
        <f>IF(RESULTADO!$F$148&lt;=CS$36,(AI$11+AI$26),CS37)</f>
        <v>139.92123825492146</v>
      </c>
      <c r="CT45" s="20">
        <f>IF(RESULTADO!$F$148&lt;=CT$36,(AJ$11+AJ$26),CT37)</f>
        <v>139.92123825492146</v>
      </c>
      <c r="CU45" s="20">
        <f>IF(RESULTADO!$F$148&lt;=CU$36,(AK$11+AK$26),CU37)</f>
        <v>139.92123825492146</v>
      </c>
      <c r="CV45" s="400">
        <f>IF(RESULTADO!$F$148&lt;=CV$36,(AL$11+AL$26),CV37)</f>
        <v>139.92123825492146</v>
      </c>
      <c r="CW45" s="401">
        <f>IF(RESULTADO!$F$148&lt;=CW$36,(AM$11+AM$26),CW37)</f>
        <v>149</v>
      </c>
      <c r="CX45" s="20">
        <f>IF(RESULTADO!$F$148&lt;=CX$36,(AN$11+AN$26),CX37)</f>
        <v>149</v>
      </c>
      <c r="CY45" s="20">
        <f>IF(RESULTADO!$F$148&lt;=CY$36,(AO$11+AO$26),CY37)</f>
        <v>149</v>
      </c>
      <c r="CZ45" s="20">
        <f>IF(RESULTADO!$F$148&lt;=CZ$36,(AP$11+AP$26),CZ37)</f>
        <v>149</v>
      </c>
      <c r="DA45" s="20">
        <f>IF(RESULTADO!$F$148&lt;=DA$36,(AQ$11+AQ$26),DA37)</f>
        <v>149</v>
      </c>
      <c r="DB45" s="20">
        <f>IF(RESULTADO!$F$148&lt;=DB$36,(AR$11+AR$26),DB37)</f>
        <v>149</v>
      </c>
      <c r="DC45" s="20">
        <f>IF(RESULTADO!$F$148&lt;=DC$36,(AS$11+AS$26),DC37)</f>
        <v>149</v>
      </c>
      <c r="DD45" s="20">
        <f>IF(RESULTADO!$F$148&lt;=DD$36,(AT$11+AT$26),DD37)</f>
        <v>149</v>
      </c>
      <c r="DE45" s="20">
        <f>IF(RESULTADO!$F$148&lt;=DE$36,(AU$11+AU$26),DE37)</f>
        <v>149</v>
      </c>
      <c r="DF45" s="20">
        <f>IF(RESULTADO!$F$148&lt;=DF$36,(AV$11+AV$26),DF37)</f>
        <v>149</v>
      </c>
      <c r="DG45" s="20">
        <f>IF(RESULTADO!$F$148&lt;=DG$36,(AW$11+AW$26),DG37)</f>
        <v>149</v>
      </c>
      <c r="DH45" s="400">
        <f>IF(RESULTADO!$F$148&lt;=DH$36,(AX$11+AX$26),DH37)</f>
        <v>149</v>
      </c>
      <c r="DI45" s="401">
        <f>IF(RESULTADO!$F$148&lt;=DI$36,(AY$11+AY$26),DI37)</f>
        <v>175.5</v>
      </c>
      <c r="DJ45" s="20">
        <f>IF(RESULTADO!$F$148&lt;=DJ$36,(AZ$11+AZ$26),DJ37)</f>
        <v>175.5</v>
      </c>
      <c r="DK45" s="20">
        <f>IF(RESULTADO!$F$148&lt;=DK$36,(BA$11+BA$26),DK37)</f>
        <v>175.5</v>
      </c>
      <c r="DL45" s="20">
        <f>IF(RESULTADO!$F$148&lt;=DL$36,(BB$11+BB$26),DL37)</f>
        <v>175.5</v>
      </c>
      <c r="DM45" s="20">
        <f>IF(RESULTADO!$F$148&lt;=DM$36,(BC$11+BC$26),DM37)</f>
        <v>175.5</v>
      </c>
      <c r="DN45" s="20">
        <f>IF(RESULTADO!$F$148&lt;=DN$36,(BD$11+BD$26),DN37)</f>
        <v>175.5</v>
      </c>
      <c r="DO45" s="20">
        <f>IF(RESULTADO!$F$148&lt;=DO$36,(BE$11+BE$26),DO37)</f>
        <v>175.5</v>
      </c>
      <c r="DP45" s="20">
        <f>IF(RESULTADO!$F$148&lt;=DP$36,(BF$11+BF$26),DP37)</f>
        <v>175.5</v>
      </c>
      <c r="DQ45" s="20">
        <f>IF(RESULTADO!$F$148&lt;=DQ$36,(BG$11+BG$26),DQ37)</f>
        <v>175.5</v>
      </c>
      <c r="DR45" s="20">
        <f>IF(RESULTADO!$F$148&lt;=DR$36,(BH$11+BH$26),DR37)</f>
        <v>175.5</v>
      </c>
      <c r="DS45" s="20">
        <f>IF(RESULTADO!$F$148&lt;=DS$36,(BI$11+BI$26),DS37)</f>
        <v>175.5</v>
      </c>
      <c r="DT45" s="21">
        <f>IF(RESULTADO!$F$148&lt;=DT$36,(BJ$11+BJ$26),DT37)</f>
        <v>175.5</v>
      </c>
    </row>
    <row r="46" spans="1:124" x14ac:dyDescent="0.25">
      <c r="A46" s="7"/>
      <c r="B46" s="37" t="s">
        <v>104</v>
      </c>
      <c r="C46" s="18">
        <f>IF(RESULTADO!$F$148&lt;=C$36,(C$10+C$26+C15),C38)</f>
        <v>62.92</v>
      </c>
      <c r="D46" s="18">
        <f>IF(RESULTADO!$F$148&lt;=D$36,(D$10+D$26+D15),D38)</f>
        <v>55.7</v>
      </c>
      <c r="E46" s="18">
        <f>IF(RESULTADO!$F$148&lt;=E$36,(E$10+E$26+E15),E38)</f>
        <v>55.7</v>
      </c>
      <c r="F46" s="18">
        <f>IF(RESULTADO!$F$148&lt;=F$36,(F$10+F$26+F15),F38)</f>
        <v>55.7</v>
      </c>
      <c r="G46" s="18">
        <f>IF(RESULTADO!$F$148&lt;=G$36,(G$10+G$26+G15),G38)</f>
        <v>55.7</v>
      </c>
      <c r="H46" s="18">
        <f>IF(RESULTADO!$F$148&lt;=H$36,(H$10+H$26+H15),H38)</f>
        <v>55.71</v>
      </c>
      <c r="I46" s="18">
        <f>IF(RESULTADO!$F$148&lt;=I$36,(I$10+I$26+I15),I38)</f>
        <v>66.319999999999993</v>
      </c>
      <c r="J46" s="18">
        <f>IF(RESULTADO!$F$148&lt;=J$36,(J$10+J$26+J15),J38)</f>
        <v>76.900000000000006</v>
      </c>
      <c r="K46" s="18">
        <f>IF(RESULTADO!$F$148&lt;=K$36,(K$10+K$26+K15),K38)</f>
        <v>56.08</v>
      </c>
      <c r="L46" s="18">
        <f>IF(RESULTADO!$F$148&lt;=L$36,(L$10+L$26+L15),L38)</f>
        <v>55.7</v>
      </c>
      <c r="M46" s="18">
        <f>IF(RESULTADO!$F$148&lt;=M$36,(M$10+M$26+M15),M38)</f>
        <v>55.7</v>
      </c>
      <c r="N46" s="402">
        <f>IF(RESULTADO!$F$148&lt;=N$36,(N$10+N$26+N15),N38)</f>
        <v>82.7</v>
      </c>
      <c r="O46" s="403">
        <f>IF(RESULTADO!$F$148&lt;=O$36,(O$10+O$26+O15),O38)</f>
        <v>85.7</v>
      </c>
      <c r="P46" s="18">
        <f>IF(RESULTADO!$F$148&lt;=P$36,(P$10+P$26+P15),P38)</f>
        <v>85.7</v>
      </c>
      <c r="Q46" s="18">
        <f>IF(RESULTADO!$F$148&lt;=Q$36,(Q$10+Q$26+Q15),Q38)</f>
        <v>85.7</v>
      </c>
      <c r="R46" s="18">
        <f>IF(RESULTADO!$F$148&lt;=R$36,(R$10+R$26+R15),R38)</f>
        <v>85.7</v>
      </c>
      <c r="S46" s="18">
        <f>IF(RESULTADO!$F$148&lt;=S$36,(S$10+S$26+S15),S38)</f>
        <v>85.7</v>
      </c>
      <c r="T46" s="18">
        <f>IF(RESULTADO!$F$148&lt;=T$36,(T$10+T$26+T15),T38)</f>
        <v>85.874535369068141</v>
      </c>
      <c r="U46" s="18">
        <f>IF(RESULTADO!$F$148&lt;=U$36,(U$10+U$26+U15),U38)</f>
        <v>89.540337068005613</v>
      </c>
      <c r="V46" s="18">
        <f>IF(RESULTADO!$F$148&lt;=V$36,(V$10+V$26+V15),V38)</f>
        <v>89.540337068005613</v>
      </c>
      <c r="W46" s="18">
        <f>IF(RESULTADO!$F$148&lt;=W$36,(W$10+W$26+W15),W38)</f>
        <v>89.540337068005613</v>
      </c>
      <c r="X46" s="18">
        <f>IF(RESULTADO!$F$148&lt;=X$36,(X$10+X$26+X15),X38)</f>
        <v>92.087104564109552</v>
      </c>
      <c r="Y46" s="18">
        <f>IF(RESULTADO!$F$148&lt;=Y$36,(Y$10+Y$26+Y15),Y38)</f>
        <v>92.087104564109552</v>
      </c>
      <c r="Z46" s="402">
        <f>IF(RESULTADO!$F$148&lt;=Z$36,(Z$10+Z$26+Z15),Z38)</f>
        <v>92.087104564109552</v>
      </c>
      <c r="AA46" s="403">
        <f>IF(RESULTADO!$F$148&lt;=AA$36,(AA$10+AA$26+AA15),AA38)</f>
        <v>124.27876174507853</v>
      </c>
      <c r="AB46" s="18">
        <f>IF(RESULTADO!$F$148&lt;=AB$36,(AB$10+AB$26+AB15),AB38)</f>
        <v>124.27876174507853</v>
      </c>
      <c r="AC46" s="18">
        <f>IF(RESULTADO!$F$148&lt;=AC$36,(AC$10+AC$26+AC15),AC38)</f>
        <v>124.27876174507853</v>
      </c>
      <c r="AD46" s="18">
        <f>IF(RESULTADO!$F$148&lt;=AD$36,(AD$10+AD$26+AD15),AD38)</f>
        <v>124.27876174507853</v>
      </c>
      <c r="AE46" s="18">
        <f>IF(RESULTADO!$F$148&lt;=AE$36,(AE$10+AE$26+AE15),AE38)</f>
        <v>124.27876174507853</v>
      </c>
      <c r="AF46" s="18">
        <f>IF(RESULTADO!$F$148&lt;=AF$36,(AF$10+AF$26+AF15),AF38)</f>
        <v>124.27876174507853</v>
      </c>
      <c r="AG46" s="18">
        <f>IF(RESULTADO!$F$148&lt;=AG$36,(AG$10+AG$26+AG15),AG38)</f>
        <v>124.27876174507853</v>
      </c>
      <c r="AH46" s="18">
        <f>IF(RESULTADO!$F$148&lt;=AH$36,(AH$10+AH$26+AH15),AH38)</f>
        <v>124.27876174507853</v>
      </c>
      <c r="AI46" s="18">
        <f>IF(RESULTADO!$F$148&lt;=AI$36,(AI$10+AI$26+AI15),AI38)</f>
        <v>124.27876174507853</v>
      </c>
      <c r="AJ46" s="18">
        <f>IF(RESULTADO!$F$148&lt;=AJ$36,(AJ$10+AJ$26+AJ15),AJ38)</f>
        <v>124.27876174507853</v>
      </c>
      <c r="AK46" s="18">
        <f>IF(RESULTADO!$F$148&lt;=AK$36,(AK$10+AK$26+AK15),AK38)</f>
        <v>124.27876174507853</v>
      </c>
      <c r="AL46" s="402">
        <f>IF(RESULTADO!$F$148&lt;=AL$36,(AL$10+AL$26+AL15),AL38)</f>
        <v>124.27876174507853</v>
      </c>
      <c r="AM46" s="403">
        <f>IF(RESULTADO!$F$148&lt;=AM$36,(AM$10+AM$26+AM15),AM38)</f>
        <v>149</v>
      </c>
      <c r="AN46" s="18">
        <f>IF(RESULTADO!$F$148&lt;=AN$36,(AN$10+AN$26+AN15),AN38)</f>
        <v>149</v>
      </c>
      <c r="AO46" s="18">
        <f>IF(RESULTADO!$F$148&lt;=AO$36,(AO$10+AO$26+AO15),AO38)</f>
        <v>149</v>
      </c>
      <c r="AP46" s="18">
        <f>IF(RESULTADO!$F$148&lt;=AP$36,(AP$10+AP$26+AP15),AP38)</f>
        <v>149</v>
      </c>
      <c r="AQ46" s="18">
        <f>IF(RESULTADO!$F$148&lt;=AQ$36,(AQ$10+AQ$26+AQ15),AQ38)</f>
        <v>149</v>
      </c>
      <c r="AR46" s="18">
        <f>IF(RESULTADO!$F$148&lt;=AR$36,(AR$10+AR$26+AR15),AR38)</f>
        <v>149</v>
      </c>
      <c r="AS46" s="18">
        <f>IF(RESULTADO!$F$148&lt;=AS$36,(AS$10+AS$26+AS15),AS38)</f>
        <v>149</v>
      </c>
      <c r="AT46" s="18">
        <f>IF(RESULTADO!$F$148&lt;=AT$36,(AT$10+AT$26+AT15),AT38)</f>
        <v>149</v>
      </c>
      <c r="AU46" s="18">
        <f>IF(RESULTADO!$F$148&lt;=AU$36,(AU$10+AU$26+AU15),AU38)</f>
        <v>149</v>
      </c>
      <c r="AV46" s="18">
        <f>IF(RESULTADO!$F$148&lt;=AV$36,(AV$10+AV$26+AV15),AV38)</f>
        <v>149</v>
      </c>
      <c r="AW46" s="18">
        <f>IF(RESULTADO!$F$148&lt;=AW$36,(AW$10+AW$26+AW15),AW38)</f>
        <v>149</v>
      </c>
      <c r="AX46" s="402">
        <f>IF(RESULTADO!$F$148&lt;=AX$36,(AX$10+AX$26+AX15),AX38)</f>
        <v>149</v>
      </c>
      <c r="AY46" s="403">
        <f>IF(RESULTADO!$F$148&lt;=AY$36,(AY$10+AY$26+AY15),AY38)</f>
        <v>175.5</v>
      </c>
      <c r="AZ46" s="18">
        <f>IF(RESULTADO!$F$148&lt;=AZ$36,(AZ$10+AZ$26+AZ15),AZ38)</f>
        <v>175.5</v>
      </c>
      <c r="BA46" s="18">
        <f>IF(RESULTADO!$F$148&lt;=BA$36,(BA$10+BA$26+BA15),BA38)</f>
        <v>175.5</v>
      </c>
      <c r="BB46" s="18">
        <f>IF(RESULTADO!$F$148&lt;=BB$36,(BB$10+BB$26+BB15),BB38)</f>
        <v>175.5</v>
      </c>
      <c r="BC46" s="18">
        <f>IF(RESULTADO!$F$148&lt;=BC$36,(BC$10+BC$26+BC15),BC38)</f>
        <v>175.5</v>
      </c>
      <c r="BD46" s="18">
        <f>IF(RESULTADO!$F$148&lt;=BD$36,(BD$10+BD$26+BD15),BD38)</f>
        <v>175.5</v>
      </c>
      <c r="BE46" s="18">
        <f>IF(RESULTADO!$F$148&lt;=BE$36,(BE$10+BE$26+BE15),BE38)</f>
        <v>175.5</v>
      </c>
      <c r="BF46" s="18">
        <f>IF(RESULTADO!$F$148&lt;=BF$36,(BF$10+BF$26+BF15),BF38)</f>
        <v>175.5</v>
      </c>
      <c r="BG46" s="18">
        <f>IF(RESULTADO!$F$148&lt;=BG$36,(BG$10+BG$26+BG15),BG38)</f>
        <v>175.5</v>
      </c>
      <c r="BH46" s="18">
        <f>IF(RESULTADO!$F$148&lt;=BH$36,(BH$10+BH$26+BH15),BH38)</f>
        <v>175.5</v>
      </c>
      <c r="BI46" s="18">
        <f>IF(RESULTADO!$F$148&lt;=BI$36,(BI$10+BI$26+BI15),BI38)</f>
        <v>175.5</v>
      </c>
      <c r="BJ46" s="19">
        <f>IF(RESULTADO!$F$148&lt;=BJ$36,(BJ$10+BJ$26+BJ15),BJ38)</f>
        <v>175.5</v>
      </c>
      <c r="BL46" s="37" t="s">
        <v>104</v>
      </c>
      <c r="BM46" s="18">
        <f>IF(RESULTADO!$F$148&lt;=BM$36,(C$11+C$26+C15),BM38)</f>
        <v>62.92</v>
      </c>
      <c r="BN46" s="18">
        <f>IF(RESULTADO!$F$148&lt;=BN$36,(D$11+D$26+D15),BN38)</f>
        <v>55.7</v>
      </c>
      <c r="BO46" s="18">
        <f>IF(RESULTADO!$F$148&lt;=BO$36,(E$11+E$26+E15),BO38)</f>
        <v>55.7</v>
      </c>
      <c r="BP46" s="18">
        <f>IF(RESULTADO!$F$148&lt;=BP$36,(F$11+F$26+F15),BP38)</f>
        <v>55.7</v>
      </c>
      <c r="BQ46" s="18">
        <f>IF(RESULTADO!$F$148&lt;=BQ$36,(G$11+G$26+G15),BQ38)</f>
        <v>55.7</v>
      </c>
      <c r="BR46" s="18">
        <f>IF(RESULTADO!$F$148&lt;=BR$36,(H$11+H$26+H15),BR38)</f>
        <v>55.71</v>
      </c>
      <c r="BS46" s="18">
        <f>IF(RESULTADO!$F$148&lt;=BS$36,(I$11+I$26+I15),BS38)</f>
        <v>66.319999999999993</v>
      </c>
      <c r="BT46" s="18">
        <f>IF(RESULTADO!$F$148&lt;=BT$36,(J$11+J$26+J15),BT38)</f>
        <v>76.900000000000006</v>
      </c>
      <c r="BU46" s="18">
        <f>IF(RESULTADO!$F$148&lt;=BU$36,(K$11+K$26+K15),BU38)</f>
        <v>56.08</v>
      </c>
      <c r="BV46" s="18">
        <f>IF(RESULTADO!$F$148&lt;=BV$36,(L$11+L$26+L15),BV38)</f>
        <v>55.7</v>
      </c>
      <c r="BW46" s="18">
        <f>IF(RESULTADO!$F$148&lt;=BW$36,(M$11+M$26+M15),BW38)</f>
        <v>55.7</v>
      </c>
      <c r="BX46" s="402">
        <f>IF(RESULTADO!$F$148&lt;=BX$36,(N$11+N$26+N15),BX38)</f>
        <v>105.40065359479316</v>
      </c>
      <c r="BY46" s="403">
        <f>IF(RESULTADO!$F$148&lt;=BY$36,(O$11+O$26+O15),BY38)</f>
        <v>126.20658075913418</v>
      </c>
      <c r="BZ46" s="18">
        <f>IF(RESULTADO!$F$148&lt;=BZ$36,(P$11+P$26+P15),BZ38)</f>
        <v>122.43064886136425</v>
      </c>
      <c r="CA46" s="18">
        <f>IF(RESULTADO!$F$148&lt;=CA$36,(Q$11+Q$26+Q15),CA38)</f>
        <v>119.05321842026001</v>
      </c>
      <c r="CB46" s="18">
        <f>IF(RESULTADO!$F$148&lt;=CB$36,(R$11+R$26+R15),CB38)</f>
        <v>115.73200871877131</v>
      </c>
      <c r="CC46" s="18">
        <f>IF(RESULTADO!$F$148&lt;=CC$36,(S$11+S$26+S15),CC38)</f>
        <v>116.22330962833448</v>
      </c>
      <c r="CD46" s="18">
        <f>IF(RESULTADO!$F$148&lt;=CD$36,(T$11+T$26+T15),CD38)</f>
        <v>118.92546463093186</v>
      </c>
      <c r="CE46" s="18">
        <f>IF(RESULTADO!$F$148&lt;=CE$36,(U$11+U$26+U15),CE38)</f>
        <v>124.75966293199438</v>
      </c>
      <c r="CF46" s="18">
        <f>IF(RESULTADO!$F$148&lt;=CF$36,(V$11+V$26+V15),CF38)</f>
        <v>124.75966293199438</v>
      </c>
      <c r="CG46" s="18">
        <f>IF(RESULTADO!$F$148&lt;=CG$36,(W$11+W$26+W15),CG38)</f>
        <v>124.75966293199438</v>
      </c>
      <c r="CH46" s="18">
        <f>IF(RESULTADO!$F$148&lt;=CH$36,(X$11+X$26+X15),CH38)</f>
        <v>128.81289543589043</v>
      </c>
      <c r="CI46" s="18">
        <f>IF(RESULTADO!$F$148&lt;=CI$36,(Y$11+Y$26+Y15),CI38)</f>
        <v>128.81289543589043</v>
      </c>
      <c r="CJ46" s="402">
        <f>IF(RESULTADO!$F$148&lt;=CJ$36,(Z$11+Z$26+Z15),CJ38)</f>
        <v>128.81289543589043</v>
      </c>
      <c r="CK46" s="403">
        <f>IF(RESULTADO!$F$148&lt;=CK$36,(AA$11+AA$26+AA15),CK38)</f>
        <v>139.92123825492146</v>
      </c>
      <c r="CL46" s="18">
        <f>IF(RESULTADO!$F$148&lt;=CL$36,(AB$11+AB$26+AB15),CL38)</f>
        <v>139.92123825492146</v>
      </c>
      <c r="CM46" s="18">
        <f>IF(RESULTADO!$F$148&lt;=CM$36,(AC$11+AC$26+AC15),CM38)</f>
        <v>139.92123825492146</v>
      </c>
      <c r="CN46" s="18">
        <f>IF(RESULTADO!$F$148&lt;=CN$36,(AD$11+AD$26+AD15),CN38)</f>
        <v>139.92123825492146</v>
      </c>
      <c r="CO46" s="18">
        <f>IF(RESULTADO!$F$148&lt;=CO$36,(AE$11+AE$26+AE15),CO38)</f>
        <v>139.92123825492146</v>
      </c>
      <c r="CP46" s="18">
        <f>IF(RESULTADO!$F$148&lt;=CP$36,(AF$11+AF$26+AF15),CP38)</f>
        <v>139.92123825492146</v>
      </c>
      <c r="CQ46" s="18">
        <f>IF(RESULTADO!$F$148&lt;=CQ$36,(AG$11+AG$26+AG15),CQ38)</f>
        <v>139.92123825492146</v>
      </c>
      <c r="CR46" s="18">
        <f>IF(RESULTADO!$F$148&lt;=CR$36,(AH$11+AH$26+AH15),CR38)</f>
        <v>139.92123825492146</v>
      </c>
      <c r="CS46" s="18">
        <f>IF(RESULTADO!$F$148&lt;=CS$36,(AI$11+AI$26+AI15),CS38)</f>
        <v>139.92123825492146</v>
      </c>
      <c r="CT46" s="18">
        <f>IF(RESULTADO!$F$148&lt;=CT$36,(AJ$11+AJ$26+AJ15),CT38)</f>
        <v>139.92123825492146</v>
      </c>
      <c r="CU46" s="18">
        <f>IF(RESULTADO!$F$148&lt;=CU$36,(AK$11+AK$26+AK15),CU38)</f>
        <v>139.92123825492146</v>
      </c>
      <c r="CV46" s="402">
        <f>IF(RESULTADO!$F$148&lt;=CV$36,(AL$11+AL$26+AL15),CV38)</f>
        <v>139.92123825492146</v>
      </c>
      <c r="CW46" s="403">
        <f>IF(RESULTADO!$F$148&lt;=CW$36,(AM$11+AM$26+AM15),CW38)</f>
        <v>149</v>
      </c>
      <c r="CX46" s="18">
        <f>IF(RESULTADO!$F$148&lt;=CX$36,(AN$11+AN$26+AN15),CX38)</f>
        <v>149</v>
      </c>
      <c r="CY46" s="18">
        <f>IF(RESULTADO!$F$148&lt;=CY$36,(AO$11+AO$26+AO15),CY38)</f>
        <v>149</v>
      </c>
      <c r="CZ46" s="18">
        <f>IF(RESULTADO!$F$148&lt;=CZ$36,(AP$11+AP$26+AP15),CZ38)</f>
        <v>149</v>
      </c>
      <c r="DA46" s="18">
        <f>IF(RESULTADO!$F$148&lt;=DA$36,(AQ$11+AQ$26+AQ15),DA38)</f>
        <v>149</v>
      </c>
      <c r="DB46" s="18">
        <f>IF(RESULTADO!$F$148&lt;=DB$36,(AR$11+AR$26+AR15),DB38)</f>
        <v>149</v>
      </c>
      <c r="DC46" s="18">
        <f>IF(RESULTADO!$F$148&lt;=DC$36,(AS$11+AS$26+AS15),DC38)</f>
        <v>149</v>
      </c>
      <c r="DD46" s="18">
        <f>IF(RESULTADO!$F$148&lt;=DD$36,(AT$11+AT$26+AT15),DD38)</f>
        <v>149</v>
      </c>
      <c r="DE46" s="18">
        <f>IF(RESULTADO!$F$148&lt;=DE$36,(AU$11+AU$26+AU15),DE38)</f>
        <v>149</v>
      </c>
      <c r="DF46" s="18">
        <f>IF(RESULTADO!$F$148&lt;=DF$36,(AV$11+AV$26+AV15),DF38)</f>
        <v>149</v>
      </c>
      <c r="DG46" s="18">
        <f>IF(RESULTADO!$F$148&lt;=DG$36,(AW$11+AW$26+AW15),DG38)</f>
        <v>149</v>
      </c>
      <c r="DH46" s="402">
        <f>IF(RESULTADO!$F$148&lt;=DH$36,(AX$11+AX$26+AX15),DH38)</f>
        <v>149</v>
      </c>
      <c r="DI46" s="403">
        <f>IF(RESULTADO!$F$148&lt;=DI$36,(AY$11+AY$26+AY15),DI38)</f>
        <v>175.5</v>
      </c>
      <c r="DJ46" s="18">
        <f>IF(RESULTADO!$F$148&lt;=DJ$36,(AZ$11+AZ$26+AZ15),DJ38)</f>
        <v>175.5</v>
      </c>
      <c r="DK46" s="18">
        <f>IF(RESULTADO!$F$148&lt;=DK$36,(BA$11+BA$26+BA15),DK38)</f>
        <v>175.5</v>
      </c>
      <c r="DL46" s="18">
        <f>IF(RESULTADO!$F$148&lt;=DL$36,(BB$11+BB$26+BB15),DL38)</f>
        <v>175.5</v>
      </c>
      <c r="DM46" s="18">
        <f>IF(RESULTADO!$F$148&lt;=DM$36,(BC$11+BC$26+BC15),DM38)</f>
        <v>175.5</v>
      </c>
      <c r="DN46" s="18">
        <f>IF(RESULTADO!$F$148&lt;=DN$36,(BD$11+BD$26+BD15),DN38)</f>
        <v>175.5</v>
      </c>
      <c r="DO46" s="18">
        <f>IF(RESULTADO!$F$148&lt;=DO$36,(BE$11+BE$26+BE15),DO38)</f>
        <v>175.5</v>
      </c>
      <c r="DP46" s="18">
        <f>IF(RESULTADO!$F$148&lt;=DP$36,(BF$11+BF$26+BF15),DP38)</f>
        <v>175.5</v>
      </c>
      <c r="DQ46" s="18">
        <f>IF(RESULTADO!$F$148&lt;=DQ$36,(BG$11+BG$26+BG15),DQ38)</f>
        <v>175.5</v>
      </c>
      <c r="DR46" s="18">
        <f>IF(RESULTADO!$F$148&lt;=DR$36,(BH$11+BH$26+BH15),DR38)</f>
        <v>175.5</v>
      </c>
      <c r="DS46" s="18">
        <f>IF(RESULTADO!$F$148&lt;=DS$36,(BI$11+BI$26+BI15),DS38)</f>
        <v>175.5</v>
      </c>
      <c r="DT46" s="19">
        <f>IF(RESULTADO!$F$148&lt;=DT$36,(BJ$11+BJ$26+BJ15),DT38)</f>
        <v>175.5</v>
      </c>
    </row>
    <row r="47" spans="1:124" x14ac:dyDescent="0.25">
      <c r="A47" s="7"/>
      <c r="B47" s="37" t="s">
        <v>105</v>
      </c>
      <c r="C47" s="18">
        <f>IF(RESULTADO!$F$148&lt;=C$36,(C$10+C$26+C16),C39)</f>
        <v>57.22</v>
      </c>
      <c r="D47" s="18">
        <f>IF(RESULTADO!$F$148&lt;=D$36,(D$10+D$26+D16),D39)</f>
        <v>55.7</v>
      </c>
      <c r="E47" s="18">
        <f>IF(RESULTADO!$F$148&lt;=E$36,(E$10+E$26+E16),E39)</f>
        <v>55.7</v>
      </c>
      <c r="F47" s="18">
        <f>IF(RESULTADO!$F$148&lt;=F$36,(F$10+F$26+F16),F39)</f>
        <v>55.7</v>
      </c>
      <c r="G47" s="18">
        <f>IF(RESULTADO!$F$148&lt;=G$36,(G$10+G$26+G16),G39)</f>
        <v>55.7</v>
      </c>
      <c r="H47" s="18">
        <f>IF(RESULTADO!$F$148&lt;=H$36,(H$10+H$26+H16),H39)</f>
        <v>55.71</v>
      </c>
      <c r="I47" s="18">
        <f>IF(RESULTADO!$F$148&lt;=I$36,(I$10+I$26+I16),I39)</f>
        <v>66.319999999999993</v>
      </c>
      <c r="J47" s="18">
        <f>IF(RESULTADO!$F$148&lt;=J$36,(J$10+J$26+J16),J39)</f>
        <v>76.900000000000006</v>
      </c>
      <c r="K47" s="18">
        <f>IF(RESULTADO!$F$148&lt;=K$36,(K$10+K$26+K16),K39)</f>
        <v>56.08</v>
      </c>
      <c r="L47" s="18">
        <f>IF(RESULTADO!$F$148&lt;=L$36,(L$10+L$26+L16),L39)</f>
        <v>55.7</v>
      </c>
      <c r="M47" s="18">
        <f>IF(RESULTADO!$F$148&lt;=M$36,(M$10+M$26+M16),M39)</f>
        <v>55.7</v>
      </c>
      <c r="N47" s="402">
        <f>IF(RESULTADO!$F$148&lt;=N$36,(N$10+N$26+N16),N39)</f>
        <v>82.7</v>
      </c>
      <c r="O47" s="403">
        <f>IF(RESULTADO!$F$148&lt;=O$36,(O$10+O$26+O16),O39)</f>
        <v>85.7</v>
      </c>
      <c r="P47" s="18">
        <f>IF(RESULTADO!$F$148&lt;=P$36,(P$10+P$26+P16),P39)</f>
        <v>85.7</v>
      </c>
      <c r="Q47" s="18">
        <f>IF(RESULTADO!$F$148&lt;=Q$36,(Q$10+Q$26+Q16),Q39)</f>
        <v>85.7</v>
      </c>
      <c r="R47" s="18">
        <f>IF(RESULTADO!$F$148&lt;=R$36,(R$10+R$26+R16),R39)</f>
        <v>85.7</v>
      </c>
      <c r="S47" s="18">
        <f>IF(RESULTADO!$F$148&lt;=S$36,(S$10+S$26+S16),S39)</f>
        <v>85.7</v>
      </c>
      <c r="T47" s="18">
        <f>IF(RESULTADO!$F$148&lt;=T$36,(T$10+T$26+T16),T39)</f>
        <v>85.874535369068141</v>
      </c>
      <c r="U47" s="18">
        <f>IF(RESULTADO!$F$148&lt;=U$36,(U$10+U$26+U16),U39)</f>
        <v>89.540337068005613</v>
      </c>
      <c r="V47" s="18">
        <f>IF(RESULTADO!$F$148&lt;=V$36,(V$10+V$26+V16),V39)</f>
        <v>89.540337068005613</v>
      </c>
      <c r="W47" s="18">
        <f>IF(RESULTADO!$F$148&lt;=W$36,(W$10+W$26+W16),W39)</f>
        <v>89.540337068005613</v>
      </c>
      <c r="X47" s="18">
        <f>IF(RESULTADO!$F$148&lt;=X$36,(X$10+X$26+X16),X39)</f>
        <v>92.087104564109552</v>
      </c>
      <c r="Y47" s="18">
        <f>IF(RESULTADO!$F$148&lt;=Y$36,(Y$10+Y$26+Y16),Y39)</f>
        <v>92.087104564109552</v>
      </c>
      <c r="Z47" s="402">
        <f>IF(RESULTADO!$F$148&lt;=Z$36,(Z$10+Z$26+Z16),Z39)</f>
        <v>92.087104564109552</v>
      </c>
      <c r="AA47" s="403">
        <f>IF(RESULTADO!$F$148&lt;=AA$36,(AA$10+AA$26+AA16),AA39)</f>
        <v>124.27876174507853</v>
      </c>
      <c r="AB47" s="18">
        <f>IF(RESULTADO!$F$148&lt;=AB$36,(AB$10+AB$26+AB16),AB39)</f>
        <v>124.27876174507853</v>
      </c>
      <c r="AC47" s="18">
        <f>IF(RESULTADO!$F$148&lt;=AC$36,(AC$10+AC$26+AC16),AC39)</f>
        <v>124.27876174507853</v>
      </c>
      <c r="AD47" s="18">
        <f>IF(RESULTADO!$F$148&lt;=AD$36,(AD$10+AD$26+AD16),AD39)</f>
        <v>124.27876174507853</v>
      </c>
      <c r="AE47" s="18">
        <f>IF(RESULTADO!$F$148&lt;=AE$36,(AE$10+AE$26+AE16),AE39)</f>
        <v>124.27876174507853</v>
      </c>
      <c r="AF47" s="18">
        <f>IF(RESULTADO!$F$148&lt;=AF$36,(AF$10+AF$26+AF16),AF39)</f>
        <v>124.27876174507853</v>
      </c>
      <c r="AG47" s="18">
        <f>IF(RESULTADO!$F$148&lt;=AG$36,(AG$10+AG$26+AG16),AG39)</f>
        <v>124.27876174507853</v>
      </c>
      <c r="AH47" s="18">
        <f>IF(RESULTADO!$F$148&lt;=AH$36,(AH$10+AH$26+AH16),AH39)</f>
        <v>124.27876174507853</v>
      </c>
      <c r="AI47" s="18">
        <f>IF(RESULTADO!$F$148&lt;=AI$36,(AI$10+AI$26+AI16),AI39)</f>
        <v>124.27876174507853</v>
      </c>
      <c r="AJ47" s="18">
        <f>IF(RESULTADO!$F$148&lt;=AJ$36,(AJ$10+AJ$26+AJ16),AJ39)</f>
        <v>124.27876174507853</v>
      </c>
      <c r="AK47" s="18">
        <f>IF(RESULTADO!$F$148&lt;=AK$36,(AK$10+AK$26+AK16),AK39)</f>
        <v>124.27876174507853</v>
      </c>
      <c r="AL47" s="402">
        <f>IF(RESULTADO!$F$148&lt;=AL$36,(AL$10+AL$26+AL16),AL39)</f>
        <v>124.27876174507853</v>
      </c>
      <c r="AM47" s="403">
        <f>IF(RESULTADO!$F$148&lt;=AM$36,(AM$10+AM$26+AM16),AM39)</f>
        <v>149</v>
      </c>
      <c r="AN47" s="18">
        <f>IF(RESULTADO!$F$148&lt;=AN$36,(AN$10+AN$26+AN16),AN39)</f>
        <v>149</v>
      </c>
      <c r="AO47" s="18">
        <f>IF(RESULTADO!$F$148&lt;=AO$36,(AO$10+AO$26+AO16),AO39)</f>
        <v>149</v>
      </c>
      <c r="AP47" s="18">
        <f>IF(RESULTADO!$F$148&lt;=AP$36,(AP$10+AP$26+AP16),AP39)</f>
        <v>149</v>
      </c>
      <c r="AQ47" s="18">
        <f>IF(RESULTADO!$F$148&lt;=AQ$36,(AQ$10+AQ$26+AQ16),AQ39)</f>
        <v>149</v>
      </c>
      <c r="AR47" s="18">
        <f>IF(RESULTADO!$F$148&lt;=AR$36,(AR$10+AR$26+AR16),AR39)</f>
        <v>149</v>
      </c>
      <c r="AS47" s="18">
        <f>IF(RESULTADO!$F$148&lt;=AS$36,(AS$10+AS$26+AS16),AS39)</f>
        <v>149</v>
      </c>
      <c r="AT47" s="18">
        <f>IF(RESULTADO!$F$148&lt;=AT$36,(AT$10+AT$26+AT16),AT39)</f>
        <v>149</v>
      </c>
      <c r="AU47" s="18">
        <f>IF(RESULTADO!$F$148&lt;=AU$36,(AU$10+AU$26+AU16),AU39)</f>
        <v>149</v>
      </c>
      <c r="AV47" s="18">
        <f>IF(RESULTADO!$F$148&lt;=AV$36,(AV$10+AV$26+AV16),AV39)</f>
        <v>149</v>
      </c>
      <c r="AW47" s="18">
        <f>IF(RESULTADO!$F$148&lt;=AW$36,(AW$10+AW$26+AW16),AW39)</f>
        <v>149</v>
      </c>
      <c r="AX47" s="402">
        <f>IF(RESULTADO!$F$148&lt;=AX$36,(AX$10+AX$26+AX16),AX39)</f>
        <v>149</v>
      </c>
      <c r="AY47" s="403">
        <f>IF(RESULTADO!$F$148&lt;=AY$36,(AY$10+AY$26+AY16),AY39)</f>
        <v>175.5</v>
      </c>
      <c r="AZ47" s="18">
        <f>IF(RESULTADO!$F$148&lt;=AZ$36,(AZ$10+AZ$26+AZ16),AZ39)</f>
        <v>175.5</v>
      </c>
      <c r="BA47" s="18">
        <f>IF(RESULTADO!$F$148&lt;=BA$36,(BA$10+BA$26+BA16),BA39)</f>
        <v>175.5</v>
      </c>
      <c r="BB47" s="18">
        <f>IF(RESULTADO!$F$148&lt;=BB$36,(BB$10+BB$26+BB16),BB39)</f>
        <v>175.5</v>
      </c>
      <c r="BC47" s="18">
        <f>IF(RESULTADO!$F$148&lt;=BC$36,(BC$10+BC$26+BC16),BC39)</f>
        <v>175.5</v>
      </c>
      <c r="BD47" s="18">
        <f>IF(RESULTADO!$F$148&lt;=BD$36,(BD$10+BD$26+BD16),BD39)</f>
        <v>175.5</v>
      </c>
      <c r="BE47" s="18">
        <f>IF(RESULTADO!$F$148&lt;=BE$36,(BE$10+BE$26+BE16),BE39)</f>
        <v>175.5</v>
      </c>
      <c r="BF47" s="18">
        <f>IF(RESULTADO!$F$148&lt;=BF$36,(BF$10+BF$26+BF16),BF39)</f>
        <v>175.5</v>
      </c>
      <c r="BG47" s="18">
        <f>IF(RESULTADO!$F$148&lt;=BG$36,(BG$10+BG$26+BG16),BG39)</f>
        <v>175.5</v>
      </c>
      <c r="BH47" s="18">
        <f>IF(RESULTADO!$F$148&lt;=BH$36,(BH$10+BH$26+BH16),BH39)</f>
        <v>175.5</v>
      </c>
      <c r="BI47" s="18">
        <f>IF(RESULTADO!$F$148&lt;=BI$36,(BI$10+BI$26+BI16),BI39)</f>
        <v>175.5</v>
      </c>
      <c r="BJ47" s="19">
        <f>IF(RESULTADO!$F$148&lt;=BJ$36,(BJ$10+BJ$26+BJ16),BJ39)</f>
        <v>175.5</v>
      </c>
      <c r="BL47" s="37" t="s">
        <v>105</v>
      </c>
      <c r="BM47" s="18">
        <f>IF(RESULTADO!$F$148&lt;=BM$36,(C$11+C$26+C16),BM39)</f>
        <v>57.22</v>
      </c>
      <c r="BN47" s="18">
        <f>IF(RESULTADO!$F$148&lt;=BN$36,(D$11+D$26+D16),BN39)</f>
        <v>55.7</v>
      </c>
      <c r="BO47" s="18">
        <f>IF(RESULTADO!$F$148&lt;=BO$36,(E$11+E$26+E16),BO39)</f>
        <v>55.7</v>
      </c>
      <c r="BP47" s="18">
        <f>IF(RESULTADO!$F$148&lt;=BP$36,(F$11+F$26+F16),BP39)</f>
        <v>55.7</v>
      </c>
      <c r="BQ47" s="18">
        <f>IF(RESULTADO!$F$148&lt;=BQ$36,(G$11+G$26+G16),BQ39)</f>
        <v>55.7</v>
      </c>
      <c r="BR47" s="18">
        <f>IF(RESULTADO!$F$148&lt;=BR$36,(H$11+H$26+H16),BR39)</f>
        <v>55.71</v>
      </c>
      <c r="BS47" s="18">
        <f>IF(RESULTADO!$F$148&lt;=BS$36,(I$11+I$26+I16),BS39)</f>
        <v>66.319999999999993</v>
      </c>
      <c r="BT47" s="18">
        <f>IF(RESULTADO!$F$148&lt;=BT$36,(J$11+J$26+J16),BT39)</f>
        <v>76.900000000000006</v>
      </c>
      <c r="BU47" s="18">
        <f>IF(RESULTADO!$F$148&lt;=BU$36,(K$11+K$26+K16),BU39)</f>
        <v>56.08</v>
      </c>
      <c r="BV47" s="18">
        <f>IF(RESULTADO!$F$148&lt;=BV$36,(L$11+L$26+L16),BV39)</f>
        <v>55.7</v>
      </c>
      <c r="BW47" s="18">
        <f>IF(RESULTADO!$F$148&lt;=BW$36,(M$11+M$26+M16),BW39)</f>
        <v>55.7</v>
      </c>
      <c r="BX47" s="402">
        <f>IF(RESULTADO!$F$148&lt;=BX$36,(N$11+N$26+N16),BX39)</f>
        <v>105.40065359479316</v>
      </c>
      <c r="BY47" s="403">
        <f>IF(RESULTADO!$F$148&lt;=BY$36,(O$11+O$26+O16),BY39)</f>
        <v>126.20658075913418</v>
      </c>
      <c r="BZ47" s="18">
        <f>IF(RESULTADO!$F$148&lt;=BZ$36,(P$11+P$26+P16),BZ39)</f>
        <v>122.43064886136425</v>
      </c>
      <c r="CA47" s="18">
        <f>IF(RESULTADO!$F$148&lt;=CA$36,(Q$11+Q$26+Q16),CA39)</f>
        <v>119.05321842026001</v>
      </c>
      <c r="CB47" s="18">
        <f>IF(RESULTADO!$F$148&lt;=CB$36,(R$11+R$26+R16),CB39)</f>
        <v>115.73200871877131</v>
      </c>
      <c r="CC47" s="18">
        <f>IF(RESULTADO!$F$148&lt;=CC$36,(S$11+S$26+S16),CC39)</f>
        <v>116.22330962833448</v>
      </c>
      <c r="CD47" s="18">
        <f>IF(RESULTADO!$F$148&lt;=CD$36,(T$11+T$26+T16),CD39)</f>
        <v>118.92546463093186</v>
      </c>
      <c r="CE47" s="18">
        <f>IF(RESULTADO!$F$148&lt;=CE$36,(U$11+U$26+U16),CE39)</f>
        <v>124.75966293199438</v>
      </c>
      <c r="CF47" s="18">
        <f>IF(RESULTADO!$F$148&lt;=CF$36,(V$11+V$26+V16),CF39)</f>
        <v>124.75966293199438</v>
      </c>
      <c r="CG47" s="18">
        <f>IF(RESULTADO!$F$148&lt;=CG$36,(W$11+W$26+W16),CG39)</f>
        <v>124.75966293199438</v>
      </c>
      <c r="CH47" s="18">
        <f>IF(RESULTADO!$F$148&lt;=CH$36,(X$11+X$26+X16),CH39)</f>
        <v>128.81289543589043</v>
      </c>
      <c r="CI47" s="18">
        <f>IF(RESULTADO!$F$148&lt;=CI$36,(Y$11+Y$26+Y16),CI39)</f>
        <v>128.81289543589043</v>
      </c>
      <c r="CJ47" s="402">
        <f>IF(RESULTADO!$F$148&lt;=CJ$36,(Z$11+Z$26+Z16),CJ39)</f>
        <v>128.81289543589043</v>
      </c>
      <c r="CK47" s="403">
        <f>IF(RESULTADO!$F$148&lt;=CK$36,(AA$11+AA$26+AA16),CK39)</f>
        <v>139.92123825492146</v>
      </c>
      <c r="CL47" s="18">
        <f>IF(RESULTADO!$F$148&lt;=CL$36,(AB$11+AB$26+AB16),CL39)</f>
        <v>139.92123825492146</v>
      </c>
      <c r="CM47" s="18">
        <f>IF(RESULTADO!$F$148&lt;=CM$36,(AC$11+AC$26+AC16),CM39)</f>
        <v>139.92123825492146</v>
      </c>
      <c r="CN47" s="18">
        <f>IF(RESULTADO!$F$148&lt;=CN$36,(AD$11+AD$26+AD16),CN39)</f>
        <v>139.92123825492146</v>
      </c>
      <c r="CO47" s="18">
        <f>IF(RESULTADO!$F$148&lt;=CO$36,(AE$11+AE$26+AE16),CO39)</f>
        <v>139.92123825492146</v>
      </c>
      <c r="CP47" s="18">
        <f>IF(RESULTADO!$F$148&lt;=CP$36,(AF$11+AF$26+AF16),CP39)</f>
        <v>139.92123825492146</v>
      </c>
      <c r="CQ47" s="18">
        <f>IF(RESULTADO!$F$148&lt;=CQ$36,(AG$11+AG$26+AG16),CQ39)</f>
        <v>139.92123825492146</v>
      </c>
      <c r="CR47" s="18">
        <f>IF(RESULTADO!$F$148&lt;=CR$36,(AH$11+AH$26+AH16),CR39)</f>
        <v>139.92123825492146</v>
      </c>
      <c r="CS47" s="18">
        <f>IF(RESULTADO!$F$148&lt;=CS$36,(AI$11+AI$26+AI16),CS39)</f>
        <v>139.92123825492146</v>
      </c>
      <c r="CT47" s="18">
        <f>IF(RESULTADO!$F$148&lt;=CT$36,(AJ$11+AJ$26+AJ16),CT39)</f>
        <v>139.92123825492146</v>
      </c>
      <c r="CU47" s="18">
        <f>IF(RESULTADO!$F$148&lt;=CU$36,(AK$11+AK$26+AK16),CU39)</f>
        <v>139.92123825492146</v>
      </c>
      <c r="CV47" s="402">
        <f>IF(RESULTADO!$F$148&lt;=CV$36,(AL$11+AL$26+AL16),CV39)</f>
        <v>139.92123825492146</v>
      </c>
      <c r="CW47" s="403">
        <f>IF(RESULTADO!$F$148&lt;=CW$36,(AM$11+AM$26+AM16),CW39)</f>
        <v>149</v>
      </c>
      <c r="CX47" s="18">
        <f>IF(RESULTADO!$F$148&lt;=CX$36,(AN$11+AN$26+AN16),CX39)</f>
        <v>149</v>
      </c>
      <c r="CY47" s="18">
        <f>IF(RESULTADO!$F$148&lt;=CY$36,(AO$11+AO$26+AO16),CY39)</f>
        <v>149</v>
      </c>
      <c r="CZ47" s="18">
        <f>IF(RESULTADO!$F$148&lt;=CZ$36,(AP$11+AP$26+AP16),CZ39)</f>
        <v>149</v>
      </c>
      <c r="DA47" s="18">
        <f>IF(RESULTADO!$F$148&lt;=DA$36,(AQ$11+AQ$26+AQ16),DA39)</f>
        <v>149</v>
      </c>
      <c r="DB47" s="18">
        <f>IF(RESULTADO!$F$148&lt;=DB$36,(AR$11+AR$26+AR16),DB39)</f>
        <v>149</v>
      </c>
      <c r="DC47" s="18">
        <f>IF(RESULTADO!$F$148&lt;=DC$36,(AS$11+AS$26+AS16),DC39)</f>
        <v>149</v>
      </c>
      <c r="DD47" s="18">
        <f>IF(RESULTADO!$F$148&lt;=DD$36,(AT$11+AT$26+AT16),DD39)</f>
        <v>149</v>
      </c>
      <c r="DE47" s="18">
        <f>IF(RESULTADO!$F$148&lt;=DE$36,(AU$11+AU$26+AU16),DE39)</f>
        <v>149</v>
      </c>
      <c r="DF47" s="18">
        <f>IF(RESULTADO!$F$148&lt;=DF$36,(AV$11+AV$26+AV16),DF39)</f>
        <v>149</v>
      </c>
      <c r="DG47" s="18">
        <f>IF(RESULTADO!$F$148&lt;=DG$36,(AW$11+AW$26+AW16),DG39)</f>
        <v>149</v>
      </c>
      <c r="DH47" s="402">
        <f>IF(RESULTADO!$F$148&lt;=DH$36,(AX$11+AX$26+AX16),DH39)</f>
        <v>149</v>
      </c>
      <c r="DI47" s="403">
        <f>IF(RESULTADO!$F$148&lt;=DI$36,(AY$11+AY$26+AY16),DI39)</f>
        <v>175.5</v>
      </c>
      <c r="DJ47" s="18">
        <f>IF(RESULTADO!$F$148&lt;=DJ$36,(AZ$11+AZ$26+AZ16),DJ39)</f>
        <v>175.5</v>
      </c>
      <c r="DK47" s="18">
        <f>IF(RESULTADO!$F$148&lt;=DK$36,(BA$11+BA$26+BA16),DK39)</f>
        <v>175.5</v>
      </c>
      <c r="DL47" s="18">
        <f>IF(RESULTADO!$F$148&lt;=DL$36,(BB$11+BB$26+BB16),DL39)</f>
        <v>175.5</v>
      </c>
      <c r="DM47" s="18">
        <f>IF(RESULTADO!$F$148&lt;=DM$36,(BC$11+BC$26+BC16),DM39)</f>
        <v>175.5</v>
      </c>
      <c r="DN47" s="18">
        <f>IF(RESULTADO!$F$148&lt;=DN$36,(BD$11+BD$26+BD16),DN39)</f>
        <v>175.5</v>
      </c>
      <c r="DO47" s="18">
        <f>IF(RESULTADO!$F$148&lt;=DO$36,(BE$11+BE$26+BE16),DO39)</f>
        <v>175.5</v>
      </c>
      <c r="DP47" s="18">
        <f>IF(RESULTADO!$F$148&lt;=DP$36,(BF$11+BF$26+BF16),DP39)</f>
        <v>175.5</v>
      </c>
      <c r="DQ47" s="18">
        <f>IF(RESULTADO!$F$148&lt;=DQ$36,(BG$11+BG$26+BG16),DQ39)</f>
        <v>175.5</v>
      </c>
      <c r="DR47" s="18">
        <f>IF(RESULTADO!$F$148&lt;=DR$36,(BH$11+BH$26+BH16),DR39)</f>
        <v>175.5</v>
      </c>
      <c r="DS47" s="18">
        <f>IF(RESULTADO!$F$148&lt;=DS$36,(BI$11+BI$26+BI16),DS39)</f>
        <v>175.5</v>
      </c>
      <c r="DT47" s="19">
        <f>IF(RESULTADO!$F$148&lt;=DT$36,(BJ$11+BJ$26+BJ16),DT39)</f>
        <v>175.5</v>
      </c>
    </row>
    <row r="48" spans="1:124" ht="15.75" thickBot="1" x14ac:dyDescent="0.3">
      <c r="A48" s="7"/>
      <c r="B48" s="38" t="s">
        <v>106</v>
      </c>
      <c r="C48" s="23">
        <f>IF(RESULTADO!$F$148&lt;=C$36,(C$10+C$26+C17),C40)</f>
        <v>55.71</v>
      </c>
      <c r="D48" s="23">
        <f>IF(RESULTADO!$F$148&lt;=D$36,(D$10+D$26+D17),D40)</f>
        <v>55.7</v>
      </c>
      <c r="E48" s="23">
        <f>IF(RESULTADO!$F$148&lt;=E$36,(E$10+E$26+E17),E40)</f>
        <v>55.7</v>
      </c>
      <c r="F48" s="23">
        <f>IF(RESULTADO!$F$148&lt;=F$36,(F$10+F$26+F17),F40)</f>
        <v>55.7</v>
      </c>
      <c r="G48" s="23">
        <f>IF(RESULTADO!$F$148&lt;=G$36,(G$10+G$26+G17),G40)</f>
        <v>55.7</v>
      </c>
      <c r="H48" s="23">
        <f>IF(RESULTADO!$F$148&lt;=H$36,(H$10+H$26+H17),H40)</f>
        <v>55.71</v>
      </c>
      <c r="I48" s="23">
        <f>IF(RESULTADO!$F$148&lt;=I$36,(I$10+I$26+I17),I40)</f>
        <v>66.319999999999993</v>
      </c>
      <c r="J48" s="23">
        <f>IF(RESULTADO!$F$148&lt;=J$36,(J$10+J$26+J17),J40)</f>
        <v>76.900000000000006</v>
      </c>
      <c r="K48" s="23">
        <f>IF(RESULTADO!$F$148&lt;=K$36,(K$10+K$26+K17),K40)</f>
        <v>56.08</v>
      </c>
      <c r="L48" s="23">
        <f>IF(RESULTADO!$F$148&lt;=L$36,(L$10+L$26+L17),L40)</f>
        <v>55.7</v>
      </c>
      <c r="M48" s="23">
        <f>IF(RESULTADO!$F$148&lt;=M$36,(M$10+M$26+M17),M40)</f>
        <v>55.7</v>
      </c>
      <c r="N48" s="404">
        <f>IF(RESULTADO!$F$148&lt;=N$36,(N$10+N$26+N17),N40)</f>
        <v>82.7</v>
      </c>
      <c r="O48" s="405">
        <f>IF(RESULTADO!$F$148&lt;=O$36,(O$10+O$26+O17),O40)</f>
        <v>85.7</v>
      </c>
      <c r="P48" s="23">
        <f>IF(RESULTADO!$F$148&lt;=P$36,(P$10+P$26+P17),P40)</f>
        <v>85.7</v>
      </c>
      <c r="Q48" s="23">
        <f>IF(RESULTADO!$F$148&lt;=Q$36,(Q$10+Q$26+Q17),Q40)</f>
        <v>85.7</v>
      </c>
      <c r="R48" s="23">
        <f>IF(RESULTADO!$F$148&lt;=R$36,(R$10+R$26+R17),R40)</f>
        <v>85.7</v>
      </c>
      <c r="S48" s="23">
        <f>IF(RESULTADO!$F$148&lt;=S$36,(S$10+S$26+S17),S40)</f>
        <v>85.7</v>
      </c>
      <c r="T48" s="23">
        <f>IF(RESULTADO!$F$148&lt;=T$36,(T$10+T$26+T17),T40)</f>
        <v>85.874535369068141</v>
      </c>
      <c r="U48" s="23">
        <f>IF(RESULTADO!$F$148&lt;=U$36,(U$10+U$26+U17),U40)</f>
        <v>89.540337068005613</v>
      </c>
      <c r="V48" s="23">
        <f>IF(RESULTADO!$F$148&lt;=V$36,(V$10+V$26+V17),V40)</f>
        <v>89.540337068005613</v>
      </c>
      <c r="W48" s="23">
        <f>IF(RESULTADO!$F$148&lt;=W$36,(W$10+W$26+W17),W40)</f>
        <v>89.540337068005613</v>
      </c>
      <c r="X48" s="23">
        <f>IF(RESULTADO!$F$148&lt;=X$36,(X$10+X$26+X17),X40)</f>
        <v>92.087104564109552</v>
      </c>
      <c r="Y48" s="23">
        <f>IF(RESULTADO!$F$148&lt;=Y$36,(Y$10+Y$26+Y17),Y40)</f>
        <v>92.087104564109552</v>
      </c>
      <c r="Z48" s="404">
        <f>IF(RESULTADO!$F$148&lt;=Z$36,(Z$10+Z$26+Z17),Z40)</f>
        <v>92.087104564109552</v>
      </c>
      <c r="AA48" s="405">
        <f>IF(RESULTADO!$F$148&lt;=AA$36,(AA$10+AA$26+AA17),AA40)</f>
        <v>124.27876174507853</v>
      </c>
      <c r="AB48" s="23">
        <f>IF(RESULTADO!$F$148&lt;=AB$36,(AB$10+AB$26+AB17),AB40)</f>
        <v>124.27876174507853</v>
      </c>
      <c r="AC48" s="23">
        <f>IF(RESULTADO!$F$148&lt;=AC$36,(AC$10+AC$26+AC17),AC40)</f>
        <v>124.27876174507853</v>
      </c>
      <c r="AD48" s="23">
        <f>IF(RESULTADO!$F$148&lt;=AD$36,(AD$10+AD$26+AD17),AD40)</f>
        <v>124.27876174507853</v>
      </c>
      <c r="AE48" s="23">
        <f>IF(RESULTADO!$F$148&lt;=AE$36,(AE$10+AE$26+AE17),AE40)</f>
        <v>124.27876174507853</v>
      </c>
      <c r="AF48" s="23">
        <f>IF(RESULTADO!$F$148&lt;=AF$36,(AF$10+AF$26+AF17),AF40)</f>
        <v>124.27876174507853</v>
      </c>
      <c r="AG48" s="23">
        <f>IF(RESULTADO!$F$148&lt;=AG$36,(AG$10+AG$26+AG17),AG40)</f>
        <v>124.27876174507853</v>
      </c>
      <c r="AH48" s="23">
        <f>IF(RESULTADO!$F$148&lt;=AH$36,(AH$10+AH$26+AH17),AH40)</f>
        <v>124.27876174507853</v>
      </c>
      <c r="AI48" s="23">
        <f>IF(RESULTADO!$F$148&lt;=AI$36,(AI$10+AI$26+AI17),AI40)</f>
        <v>124.27876174507853</v>
      </c>
      <c r="AJ48" s="23">
        <f>IF(RESULTADO!$F$148&lt;=AJ$36,(AJ$10+AJ$26+AJ17),AJ40)</f>
        <v>124.27876174507853</v>
      </c>
      <c r="AK48" s="23">
        <f>IF(RESULTADO!$F$148&lt;=AK$36,(AK$10+AK$26+AK17),AK40)</f>
        <v>124.27876174507853</v>
      </c>
      <c r="AL48" s="404">
        <f>IF(RESULTADO!$F$148&lt;=AL$36,(AL$10+AL$26+AL17),AL40)</f>
        <v>124.27876174507853</v>
      </c>
      <c r="AM48" s="405">
        <f>IF(RESULTADO!$F$148&lt;=AM$36,(AM$10+AM$26+AM17),AM40)</f>
        <v>149</v>
      </c>
      <c r="AN48" s="23">
        <f>IF(RESULTADO!$F$148&lt;=AN$36,(AN$10+AN$26+AN17),AN40)</f>
        <v>149</v>
      </c>
      <c r="AO48" s="23">
        <f>IF(RESULTADO!$F$148&lt;=AO$36,(AO$10+AO$26+AO17),AO40)</f>
        <v>149</v>
      </c>
      <c r="AP48" s="23">
        <f>IF(RESULTADO!$F$148&lt;=AP$36,(AP$10+AP$26+AP17),AP40)</f>
        <v>149</v>
      </c>
      <c r="AQ48" s="23">
        <f>IF(RESULTADO!$F$148&lt;=AQ$36,(AQ$10+AQ$26+AQ17),AQ40)</f>
        <v>149</v>
      </c>
      <c r="AR48" s="23">
        <f>IF(RESULTADO!$F$148&lt;=AR$36,(AR$10+AR$26+AR17),AR40)</f>
        <v>149</v>
      </c>
      <c r="AS48" s="23">
        <f>IF(RESULTADO!$F$148&lt;=AS$36,(AS$10+AS$26+AS17),AS40)</f>
        <v>149</v>
      </c>
      <c r="AT48" s="23">
        <f>IF(RESULTADO!$F$148&lt;=AT$36,(AT$10+AT$26+AT17),AT40)</f>
        <v>149</v>
      </c>
      <c r="AU48" s="23">
        <f>IF(RESULTADO!$F$148&lt;=AU$36,(AU$10+AU$26+AU17),AU40)</f>
        <v>149</v>
      </c>
      <c r="AV48" s="23">
        <f>IF(RESULTADO!$F$148&lt;=AV$36,(AV$10+AV$26+AV17),AV40)</f>
        <v>149</v>
      </c>
      <c r="AW48" s="23">
        <f>IF(RESULTADO!$F$148&lt;=AW$36,(AW$10+AW$26+AW17),AW40)</f>
        <v>149</v>
      </c>
      <c r="AX48" s="404">
        <f>IF(RESULTADO!$F$148&lt;=AX$36,(AX$10+AX$26+AX17),AX40)</f>
        <v>149</v>
      </c>
      <c r="AY48" s="405">
        <f>IF(RESULTADO!$F$148&lt;=AY$36,(AY$10+AY$26+AY17),AY40)</f>
        <v>175.5</v>
      </c>
      <c r="AZ48" s="23">
        <f>IF(RESULTADO!$F$148&lt;=AZ$36,(AZ$10+AZ$26+AZ17),AZ40)</f>
        <v>175.5</v>
      </c>
      <c r="BA48" s="23">
        <f>IF(RESULTADO!$F$148&lt;=BA$36,(BA$10+BA$26+BA17),BA40)</f>
        <v>175.5</v>
      </c>
      <c r="BB48" s="23">
        <f>IF(RESULTADO!$F$148&lt;=BB$36,(BB$10+BB$26+BB17),BB40)</f>
        <v>175.5</v>
      </c>
      <c r="BC48" s="23">
        <f>IF(RESULTADO!$F$148&lt;=BC$36,(BC$10+BC$26+BC17),BC40)</f>
        <v>175.5</v>
      </c>
      <c r="BD48" s="23">
        <f>IF(RESULTADO!$F$148&lt;=BD$36,(BD$10+BD$26+BD17),BD40)</f>
        <v>175.5</v>
      </c>
      <c r="BE48" s="23">
        <f>IF(RESULTADO!$F$148&lt;=BE$36,(BE$10+BE$26+BE17),BE40)</f>
        <v>175.5</v>
      </c>
      <c r="BF48" s="23">
        <f>IF(RESULTADO!$F$148&lt;=BF$36,(BF$10+BF$26+BF17),BF40)</f>
        <v>175.5</v>
      </c>
      <c r="BG48" s="23">
        <f>IF(RESULTADO!$F$148&lt;=BG$36,(BG$10+BG$26+BG17),BG40)</f>
        <v>175.5</v>
      </c>
      <c r="BH48" s="23">
        <f>IF(RESULTADO!$F$148&lt;=BH$36,(BH$10+BH$26+BH17),BH40)</f>
        <v>175.5</v>
      </c>
      <c r="BI48" s="23">
        <f>IF(RESULTADO!$F$148&lt;=BI$36,(BI$10+BI$26+BI17),BI40)</f>
        <v>175.5</v>
      </c>
      <c r="BJ48" s="24">
        <f>IF(RESULTADO!$F$148&lt;=BJ$36,(BJ$10+BJ$26+BJ17),BJ40)</f>
        <v>175.5</v>
      </c>
      <c r="BL48" s="38" t="s">
        <v>106</v>
      </c>
      <c r="BM48" s="23">
        <f>IF(RESULTADO!$F$148&lt;=BM$36,(C$11+C$26+C17),BM40)</f>
        <v>55.71</v>
      </c>
      <c r="BN48" s="23">
        <f>IF(RESULTADO!$F$148&lt;=BN$36,(D$11+D$26+D17),BN40)</f>
        <v>55.7</v>
      </c>
      <c r="BO48" s="23">
        <f>IF(RESULTADO!$F$148&lt;=BO$36,(E$11+E$26+E17),BO40)</f>
        <v>55.7</v>
      </c>
      <c r="BP48" s="23">
        <f>IF(RESULTADO!$F$148&lt;=BP$36,(F$11+F$26+F17),BP40)</f>
        <v>55.7</v>
      </c>
      <c r="BQ48" s="23">
        <f>IF(RESULTADO!$F$148&lt;=BQ$36,(G$11+G$26+G17),BQ40)</f>
        <v>55.7</v>
      </c>
      <c r="BR48" s="23">
        <f>IF(RESULTADO!$F$148&lt;=BR$36,(H$11+H$26+H17),BR40)</f>
        <v>55.71</v>
      </c>
      <c r="BS48" s="23">
        <f>IF(RESULTADO!$F$148&lt;=BS$36,(I$11+I$26+I17),BS40)</f>
        <v>66.319999999999993</v>
      </c>
      <c r="BT48" s="23">
        <f>IF(RESULTADO!$F$148&lt;=BT$36,(J$11+J$26+J17),BT40)</f>
        <v>76.900000000000006</v>
      </c>
      <c r="BU48" s="23">
        <f>IF(RESULTADO!$F$148&lt;=BU$36,(K$11+K$26+K17),BU40)</f>
        <v>56.08</v>
      </c>
      <c r="BV48" s="23">
        <f>IF(RESULTADO!$F$148&lt;=BV$36,(L$11+L$26+L17),BV40)</f>
        <v>55.7</v>
      </c>
      <c r="BW48" s="23">
        <f>IF(RESULTADO!$F$148&lt;=BW$36,(M$11+M$26+M17),BW40)</f>
        <v>55.7</v>
      </c>
      <c r="BX48" s="404">
        <f>IF(RESULTADO!$F$148&lt;=BX$36,(N$11+N$26+N17),BX40)</f>
        <v>105.40065359479316</v>
      </c>
      <c r="BY48" s="405">
        <f>IF(RESULTADO!$F$148&lt;=BY$36,(O$11+O$26+O17),BY40)</f>
        <v>126.20658075913418</v>
      </c>
      <c r="BZ48" s="23">
        <f>IF(RESULTADO!$F$148&lt;=BZ$36,(P$11+P$26+P17),BZ40)</f>
        <v>122.43064886136425</v>
      </c>
      <c r="CA48" s="23">
        <f>IF(RESULTADO!$F$148&lt;=CA$36,(Q$11+Q$26+Q17),CA40)</f>
        <v>119.05321842026001</v>
      </c>
      <c r="CB48" s="23">
        <f>IF(RESULTADO!$F$148&lt;=CB$36,(R$11+R$26+R17),CB40)</f>
        <v>115.73200871877131</v>
      </c>
      <c r="CC48" s="23">
        <f>IF(RESULTADO!$F$148&lt;=CC$36,(S$11+S$26+S17),CC40)</f>
        <v>116.22330962833448</v>
      </c>
      <c r="CD48" s="23">
        <f>IF(RESULTADO!$F$148&lt;=CD$36,(T$11+T$26+T17),CD40)</f>
        <v>118.92546463093186</v>
      </c>
      <c r="CE48" s="23">
        <f>IF(RESULTADO!$F$148&lt;=CE$36,(U$11+U$26+U17),CE40)</f>
        <v>124.75966293199438</v>
      </c>
      <c r="CF48" s="23">
        <f>IF(RESULTADO!$F$148&lt;=CF$36,(V$11+V$26+V17),CF40)</f>
        <v>124.75966293199438</v>
      </c>
      <c r="CG48" s="23">
        <f>IF(RESULTADO!$F$148&lt;=CG$36,(W$11+W$26+W17),CG40)</f>
        <v>124.75966293199438</v>
      </c>
      <c r="CH48" s="23">
        <f>IF(RESULTADO!$F$148&lt;=CH$36,(X$11+X$26+X17),CH40)</f>
        <v>128.81289543589043</v>
      </c>
      <c r="CI48" s="23">
        <f>IF(RESULTADO!$F$148&lt;=CI$36,(Y$11+Y$26+Y17),CI40)</f>
        <v>128.81289543589043</v>
      </c>
      <c r="CJ48" s="404">
        <f>IF(RESULTADO!$F$148&lt;=CJ$36,(Z$11+Z$26+Z17),CJ40)</f>
        <v>128.81289543589043</v>
      </c>
      <c r="CK48" s="405">
        <f>IF(RESULTADO!$F$148&lt;=CK$36,(AA$11+AA$26+AA17),CK40)</f>
        <v>139.92123825492146</v>
      </c>
      <c r="CL48" s="23">
        <f>IF(RESULTADO!$F$148&lt;=CL$36,(AB$11+AB$26+AB17),CL40)</f>
        <v>139.92123825492146</v>
      </c>
      <c r="CM48" s="23">
        <f>IF(RESULTADO!$F$148&lt;=CM$36,(AC$11+AC$26+AC17),CM40)</f>
        <v>139.92123825492146</v>
      </c>
      <c r="CN48" s="23">
        <f>IF(RESULTADO!$F$148&lt;=CN$36,(AD$11+AD$26+AD17),CN40)</f>
        <v>139.92123825492146</v>
      </c>
      <c r="CO48" s="23">
        <f>IF(RESULTADO!$F$148&lt;=CO$36,(AE$11+AE$26+AE17),CO40)</f>
        <v>139.92123825492146</v>
      </c>
      <c r="CP48" s="23">
        <f>IF(RESULTADO!$F$148&lt;=CP$36,(AF$11+AF$26+AF17),CP40)</f>
        <v>139.92123825492146</v>
      </c>
      <c r="CQ48" s="23">
        <f>IF(RESULTADO!$F$148&lt;=CQ$36,(AG$11+AG$26+AG17),CQ40)</f>
        <v>139.92123825492146</v>
      </c>
      <c r="CR48" s="23">
        <f>IF(RESULTADO!$F$148&lt;=CR$36,(AH$11+AH$26+AH17),CR40)</f>
        <v>139.92123825492146</v>
      </c>
      <c r="CS48" s="23">
        <f>IF(RESULTADO!$F$148&lt;=CS$36,(AI$11+AI$26+AI17),CS40)</f>
        <v>139.92123825492146</v>
      </c>
      <c r="CT48" s="23">
        <f>IF(RESULTADO!$F$148&lt;=CT$36,(AJ$11+AJ$26+AJ17),CT40)</f>
        <v>139.92123825492146</v>
      </c>
      <c r="CU48" s="23">
        <f>IF(RESULTADO!$F$148&lt;=CU$36,(AK$11+AK$26+AK17),CU40)</f>
        <v>139.92123825492146</v>
      </c>
      <c r="CV48" s="404">
        <f>IF(RESULTADO!$F$148&lt;=CV$36,(AL$11+AL$26+AL17),CV40)</f>
        <v>139.92123825492146</v>
      </c>
      <c r="CW48" s="405">
        <f>IF(RESULTADO!$F$148&lt;=CW$36,(AM$11+AM$26+AM17),CW40)</f>
        <v>149</v>
      </c>
      <c r="CX48" s="23">
        <f>IF(RESULTADO!$F$148&lt;=CX$36,(AN$11+AN$26+AN17),CX40)</f>
        <v>149</v>
      </c>
      <c r="CY48" s="23">
        <f>IF(RESULTADO!$F$148&lt;=CY$36,(AO$11+AO$26+AO17),CY40)</f>
        <v>149</v>
      </c>
      <c r="CZ48" s="23">
        <f>IF(RESULTADO!$F$148&lt;=CZ$36,(AP$11+AP$26+AP17),CZ40)</f>
        <v>149</v>
      </c>
      <c r="DA48" s="23">
        <f>IF(RESULTADO!$F$148&lt;=DA$36,(AQ$11+AQ$26+AQ17),DA40)</f>
        <v>149</v>
      </c>
      <c r="DB48" s="23">
        <f>IF(RESULTADO!$F$148&lt;=DB$36,(AR$11+AR$26+AR17),DB40)</f>
        <v>149</v>
      </c>
      <c r="DC48" s="23">
        <f>IF(RESULTADO!$F$148&lt;=DC$36,(AS$11+AS$26+AS17),DC40)</f>
        <v>149</v>
      </c>
      <c r="DD48" s="23">
        <f>IF(RESULTADO!$F$148&lt;=DD$36,(AT$11+AT$26+AT17),DD40)</f>
        <v>149</v>
      </c>
      <c r="DE48" s="23">
        <f>IF(RESULTADO!$F$148&lt;=DE$36,(AU$11+AU$26+AU17),DE40)</f>
        <v>149</v>
      </c>
      <c r="DF48" s="23">
        <f>IF(RESULTADO!$F$148&lt;=DF$36,(AV$11+AV$26+AV17),DF40)</f>
        <v>149</v>
      </c>
      <c r="DG48" s="23">
        <f>IF(RESULTADO!$F$148&lt;=DG$36,(AW$11+AW$26+AW17),DG40)</f>
        <v>149</v>
      </c>
      <c r="DH48" s="404">
        <f>IF(RESULTADO!$F$148&lt;=DH$36,(AX$11+AX$26+AX17),DH40)</f>
        <v>149</v>
      </c>
      <c r="DI48" s="405">
        <f>IF(RESULTADO!$F$148&lt;=DI$36,(AY$11+AY$26+AY17),DI40)</f>
        <v>175.5</v>
      </c>
      <c r="DJ48" s="23">
        <f>IF(RESULTADO!$F$148&lt;=DJ$36,(AZ$11+AZ$26+AZ17),DJ40)</f>
        <v>175.5</v>
      </c>
      <c r="DK48" s="23">
        <f>IF(RESULTADO!$F$148&lt;=DK$36,(BA$11+BA$26+BA17),DK40)</f>
        <v>175.5</v>
      </c>
      <c r="DL48" s="23">
        <f>IF(RESULTADO!$F$148&lt;=DL$36,(BB$11+BB$26+BB17),DL40)</f>
        <v>175.5</v>
      </c>
      <c r="DM48" s="23">
        <f>IF(RESULTADO!$F$148&lt;=DM$36,(BC$11+BC$26+BC17),DM40)</f>
        <v>175.5</v>
      </c>
      <c r="DN48" s="23">
        <f>IF(RESULTADO!$F$148&lt;=DN$36,(BD$11+BD$26+BD17),DN40)</f>
        <v>175.5</v>
      </c>
      <c r="DO48" s="23">
        <f>IF(RESULTADO!$F$148&lt;=DO$36,(BE$11+BE$26+BE17),DO40)</f>
        <v>175.5</v>
      </c>
      <c r="DP48" s="23">
        <f>IF(RESULTADO!$F$148&lt;=DP$36,(BF$11+BF$26+BF17),DP40)</f>
        <v>175.5</v>
      </c>
      <c r="DQ48" s="23">
        <f>IF(RESULTADO!$F$148&lt;=DQ$36,(BG$11+BG$26+BG17),DQ40)</f>
        <v>175.5</v>
      </c>
      <c r="DR48" s="23">
        <f>IF(RESULTADO!$F$148&lt;=DR$36,(BH$11+BH$26+BH17),DR40)</f>
        <v>175.5</v>
      </c>
      <c r="DS48" s="23">
        <f>IF(RESULTADO!$F$148&lt;=DS$36,(BI$11+BI$26+BI17),DS40)</f>
        <v>175.5</v>
      </c>
      <c r="DT48" s="24">
        <f>IF(RESULTADO!$F$148&lt;=DT$36,(BJ$11+BJ$26+BJ17),DT40)</f>
        <v>175.5</v>
      </c>
    </row>
    <row r="49" spans="1:124" x14ac:dyDescent="0.25">
      <c r="A49" s="7"/>
      <c r="B49" s="36" t="s">
        <v>107</v>
      </c>
      <c r="C49" s="20">
        <f>IF(RESULTADO!$F$148&lt;=C$36,(C$10+C$27),C37)</f>
        <v>62.91</v>
      </c>
      <c r="D49" s="20">
        <f>IF(RESULTADO!$F$148&lt;=D$36,(D$10+D$27),D37)</f>
        <v>55.7</v>
      </c>
      <c r="E49" s="20">
        <f>IF(RESULTADO!$F$148&lt;=E$36,(E$10+E$27),E37)</f>
        <v>55.7</v>
      </c>
      <c r="F49" s="20">
        <f>IF(RESULTADO!$F$148&lt;=F$36,(F$10+F$27),F37)</f>
        <v>55.7</v>
      </c>
      <c r="G49" s="20">
        <f>IF(RESULTADO!$F$148&lt;=G$36,(G$10+G$27),G37)</f>
        <v>55.7</v>
      </c>
      <c r="H49" s="20">
        <f>IF(RESULTADO!$F$148&lt;=H$36,(H$10+H$27),H37)</f>
        <v>55.71</v>
      </c>
      <c r="I49" s="20">
        <f>IF(RESULTADO!$F$148&lt;=I$36,(I$10+I$27),I37)</f>
        <v>66.319999999999993</v>
      </c>
      <c r="J49" s="20">
        <f>IF(RESULTADO!$F$148&lt;=J$36,(J$10+J$27),J37)</f>
        <v>76.900000000000006</v>
      </c>
      <c r="K49" s="20">
        <f>IF(RESULTADO!$F$148&lt;=K$36,(K$10+K$27),K37)</f>
        <v>56.08</v>
      </c>
      <c r="L49" s="20">
        <f>IF(RESULTADO!$F$148&lt;=L$36,(L$10+L$27),L37)</f>
        <v>55.7</v>
      </c>
      <c r="M49" s="20">
        <f>IF(RESULTADO!$F$148&lt;=M$36,(M$10+M$27),M37)</f>
        <v>55.7</v>
      </c>
      <c r="N49" s="400">
        <f>IF(RESULTADO!$F$148&lt;=N$36,(N$10+N$27),N37)</f>
        <v>215.7</v>
      </c>
      <c r="O49" s="401">
        <f>IF(RESULTADO!$F$148&lt;=O$36,(O$10+O$27),O37)</f>
        <v>215.7</v>
      </c>
      <c r="P49" s="20">
        <f>IF(RESULTADO!$F$148&lt;=P$36,(P$10+P$27),P37)</f>
        <v>215.7</v>
      </c>
      <c r="Q49" s="20">
        <f>IF(RESULTADO!$F$148&lt;=Q$36,(Q$10+Q$27),Q37)</f>
        <v>215.7</v>
      </c>
      <c r="R49" s="20">
        <f>IF(RESULTADO!$F$148&lt;=R$36,(R$10+R$27),R37)</f>
        <v>215.7</v>
      </c>
      <c r="S49" s="20">
        <f>IF(RESULTADO!$F$148&lt;=S$36,(S$10+S$27),S37)</f>
        <v>215.7</v>
      </c>
      <c r="T49" s="20">
        <f>IF(RESULTADO!$F$148&lt;=T$36,(T$10+T$27),T37)</f>
        <v>215.87453536906816</v>
      </c>
      <c r="U49" s="20">
        <f>IF(RESULTADO!$F$148&lt;=U$36,(U$10+U$27),U37)</f>
        <v>219.54033706800561</v>
      </c>
      <c r="V49" s="20">
        <f>IF(RESULTADO!$F$148&lt;=V$36,(V$10+V$27),V37)</f>
        <v>219.54033706800561</v>
      </c>
      <c r="W49" s="20">
        <f>IF(RESULTADO!$F$148&lt;=W$36,(W$10+W$27),W37)</f>
        <v>219.54033706800561</v>
      </c>
      <c r="X49" s="20">
        <f>IF(RESULTADO!$F$148&lt;=X$36,(X$10+X$27),X37)</f>
        <v>222.08710456410955</v>
      </c>
      <c r="Y49" s="20">
        <f>IF(RESULTADO!$F$148&lt;=Y$36,(Y$10+Y$27),Y37)</f>
        <v>222.08710456410955</v>
      </c>
      <c r="Z49" s="400">
        <f>IF(RESULTADO!$F$148&lt;=Z$36,(Z$10+Z$27),Z37)</f>
        <v>222.08710456410955</v>
      </c>
      <c r="AA49" s="401">
        <f>IF(RESULTADO!$F$148&lt;=AA$36,(AA$10+AA$27),AA37)</f>
        <v>257.27876174507855</v>
      </c>
      <c r="AB49" s="20">
        <f>IF(RESULTADO!$F$148&lt;=AB$36,(AB$10+AB$27),AB37)</f>
        <v>257.27876174507855</v>
      </c>
      <c r="AC49" s="20">
        <f>IF(RESULTADO!$F$148&lt;=AC$36,(AC$10+AC$27),AC37)</f>
        <v>257.27876174507855</v>
      </c>
      <c r="AD49" s="20">
        <f>IF(RESULTADO!$F$148&lt;=AD$36,(AD$10+AD$27),AD37)</f>
        <v>257.27876174507855</v>
      </c>
      <c r="AE49" s="20">
        <f>IF(RESULTADO!$F$148&lt;=AE$36,(AE$10+AE$27),AE37)</f>
        <v>257.27876174507855</v>
      </c>
      <c r="AF49" s="20">
        <f>IF(RESULTADO!$F$148&lt;=AF$36,(AF$10+AF$27),AF37)</f>
        <v>257.27876174507855</v>
      </c>
      <c r="AG49" s="20">
        <f>IF(RESULTADO!$F$148&lt;=AG$36,(AG$10+AG$27),AG37)</f>
        <v>257.27876174507855</v>
      </c>
      <c r="AH49" s="20">
        <f>IF(RESULTADO!$F$148&lt;=AH$36,(AH$10+AH$27),AH37)</f>
        <v>257.27876174507855</v>
      </c>
      <c r="AI49" s="20">
        <f>IF(RESULTADO!$F$148&lt;=AI$36,(AI$10+AI$27),AI37)</f>
        <v>257.27876174507855</v>
      </c>
      <c r="AJ49" s="20">
        <f>IF(RESULTADO!$F$148&lt;=AJ$36,(AJ$10+AJ$27),AJ37)</f>
        <v>257.27876174507855</v>
      </c>
      <c r="AK49" s="20">
        <f>IF(RESULTADO!$F$148&lt;=AK$36,(AK$10+AK$27),AK37)</f>
        <v>257.27876174507855</v>
      </c>
      <c r="AL49" s="400">
        <f>IF(RESULTADO!$F$148&lt;=AL$36,(AL$10+AL$27),AL37)</f>
        <v>257.27876174507855</v>
      </c>
      <c r="AM49" s="401">
        <f>IF(RESULTADO!$F$148&lt;=AM$36,(AM$10+AM$27),AM37)</f>
        <v>232</v>
      </c>
      <c r="AN49" s="20">
        <f>IF(RESULTADO!$F$148&lt;=AN$36,(AN$10+AN$27),AN37)</f>
        <v>232</v>
      </c>
      <c r="AO49" s="20">
        <f>IF(RESULTADO!$F$148&lt;=AO$36,(AO$10+AO$27),AO37)</f>
        <v>232</v>
      </c>
      <c r="AP49" s="20">
        <f>IF(RESULTADO!$F$148&lt;=AP$36,(AP$10+AP$27),AP37)</f>
        <v>232</v>
      </c>
      <c r="AQ49" s="20">
        <f>IF(RESULTADO!$F$148&lt;=AQ$36,(AQ$10+AQ$27),AQ37)</f>
        <v>232</v>
      </c>
      <c r="AR49" s="20">
        <f>IF(RESULTADO!$F$148&lt;=AR$36,(AR$10+AR$27),AR37)</f>
        <v>232</v>
      </c>
      <c r="AS49" s="20">
        <f>IF(RESULTADO!$F$148&lt;=AS$36,(AS$10+AS$27),AS37)</f>
        <v>232</v>
      </c>
      <c r="AT49" s="20">
        <f>IF(RESULTADO!$F$148&lt;=AT$36,(AT$10+AT$27),AT37)</f>
        <v>232</v>
      </c>
      <c r="AU49" s="20">
        <f>IF(RESULTADO!$F$148&lt;=AU$36,(AU$10+AU$27),AU37)</f>
        <v>232</v>
      </c>
      <c r="AV49" s="20">
        <f>IF(RESULTADO!$F$148&lt;=AV$36,(AV$10+AV$27),AV37)</f>
        <v>232</v>
      </c>
      <c r="AW49" s="20">
        <f>IF(RESULTADO!$F$148&lt;=AW$36,(AW$10+AW$27),AW37)</f>
        <v>232</v>
      </c>
      <c r="AX49" s="400">
        <f>IF(RESULTADO!$F$148&lt;=AX$36,(AX$10+AX$27),AX37)</f>
        <v>232</v>
      </c>
      <c r="AY49" s="401">
        <f>IF(RESULTADO!$F$148&lt;=AY$36,(AY$10+AY$27),AY37)</f>
        <v>255.5</v>
      </c>
      <c r="AZ49" s="20">
        <f>IF(RESULTADO!$F$148&lt;=AZ$36,(AZ$10+AZ$27),AZ37)</f>
        <v>255.5</v>
      </c>
      <c r="BA49" s="20">
        <f>IF(RESULTADO!$F$148&lt;=BA$36,(BA$10+BA$27),BA37)</f>
        <v>255.5</v>
      </c>
      <c r="BB49" s="20">
        <f>IF(RESULTADO!$F$148&lt;=BB$36,(BB$10+BB$27),BB37)</f>
        <v>255.5</v>
      </c>
      <c r="BC49" s="20">
        <f>IF(RESULTADO!$F$148&lt;=BC$36,(BC$10+BC$27),BC37)</f>
        <v>255.5</v>
      </c>
      <c r="BD49" s="20">
        <f>IF(RESULTADO!$F$148&lt;=BD$36,(BD$10+BD$27),BD37)</f>
        <v>255.5</v>
      </c>
      <c r="BE49" s="20">
        <f>IF(RESULTADO!$F$148&lt;=BE$36,(BE$10+BE$27),BE37)</f>
        <v>255.5</v>
      </c>
      <c r="BF49" s="20">
        <f>IF(RESULTADO!$F$148&lt;=BF$36,(BF$10+BF$27),BF37)</f>
        <v>255.5</v>
      </c>
      <c r="BG49" s="20">
        <f>IF(RESULTADO!$F$148&lt;=BG$36,(BG$10+BG$27),BG37)</f>
        <v>255.5</v>
      </c>
      <c r="BH49" s="20">
        <f>IF(RESULTADO!$F$148&lt;=BH$36,(BH$10+BH$27),BH37)</f>
        <v>255.5</v>
      </c>
      <c r="BI49" s="20">
        <f>IF(RESULTADO!$F$148&lt;=BI$36,(BI$10+BI$27),BI37)</f>
        <v>255.5</v>
      </c>
      <c r="BJ49" s="21">
        <f>IF(RESULTADO!$F$148&lt;=BJ$36,(BJ$10+BJ$27),BJ37)</f>
        <v>255.5</v>
      </c>
      <c r="BL49" s="36" t="s">
        <v>107</v>
      </c>
      <c r="BM49" s="20">
        <f>IF(RESULTADO!$F$148&lt;=BM$36,(C$11+C$27),BM37)</f>
        <v>62.91</v>
      </c>
      <c r="BN49" s="20">
        <f>IF(RESULTADO!$F$148&lt;=BN$36,(D$11+D$27),BN37)</f>
        <v>55.7</v>
      </c>
      <c r="BO49" s="20">
        <f>IF(RESULTADO!$F$148&lt;=BO$36,(E$11+E$27),BO37)</f>
        <v>55.7</v>
      </c>
      <c r="BP49" s="20">
        <f>IF(RESULTADO!$F$148&lt;=BP$36,(F$11+F$27),BP37)</f>
        <v>55.7</v>
      </c>
      <c r="BQ49" s="20">
        <f>IF(RESULTADO!$F$148&lt;=BQ$36,(G$11+G$27),BQ37)</f>
        <v>55.7</v>
      </c>
      <c r="BR49" s="20">
        <f>IF(RESULTADO!$F$148&lt;=BR$36,(H$11+H$27),BR37)</f>
        <v>55.71</v>
      </c>
      <c r="BS49" s="20">
        <f>IF(RESULTADO!$F$148&lt;=BS$36,(I$11+I$27),BS37)</f>
        <v>66.319999999999993</v>
      </c>
      <c r="BT49" s="20">
        <f>IF(RESULTADO!$F$148&lt;=BT$36,(J$11+J$27),BT37)</f>
        <v>76.900000000000006</v>
      </c>
      <c r="BU49" s="20">
        <f>IF(RESULTADO!$F$148&lt;=BU$36,(K$11+K$27),BU37)</f>
        <v>56.08</v>
      </c>
      <c r="BV49" s="20">
        <f>IF(RESULTADO!$F$148&lt;=BV$36,(L$11+L$27),BV37)</f>
        <v>55.7</v>
      </c>
      <c r="BW49" s="20">
        <f>IF(RESULTADO!$F$148&lt;=BW$36,(M$11+M$27),BW37)</f>
        <v>55.7</v>
      </c>
      <c r="BX49" s="400">
        <f>IF(RESULTADO!$F$148&lt;=BX$36,(N$11+N$27),BX37)</f>
        <v>238.40065359479314</v>
      </c>
      <c r="BY49" s="401">
        <f>IF(RESULTADO!$F$148&lt;=BY$36,(O$11+O$27),BY37)</f>
        <v>256.20658075913417</v>
      </c>
      <c r="BZ49" s="20">
        <f>IF(RESULTADO!$F$148&lt;=BZ$36,(P$11+P$27),BZ37)</f>
        <v>252.43064886136426</v>
      </c>
      <c r="CA49" s="20">
        <f>IF(RESULTADO!$F$148&lt;=CA$36,(Q$11+Q$27),CA37)</f>
        <v>249.05321842026001</v>
      </c>
      <c r="CB49" s="20">
        <f>IF(RESULTADO!$F$148&lt;=CB$36,(R$11+R$27),CB37)</f>
        <v>245.73200871877131</v>
      </c>
      <c r="CC49" s="20">
        <f>IF(RESULTADO!$F$148&lt;=CC$36,(S$11+S$27),CC37)</f>
        <v>246.22330962833448</v>
      </c>
      <c r="CD49" s="20">
        <f>IF(RESULTADO!$F$148&lt;=CD$36,(T$11+T$27),CD37)</f>
        <v>248.92546463093186</v>
      </c>
      <c r="CE49" s="20">
        <f>IF(RESULTADO!$F$148&lt;=CE$36,(U$11+U$27),CE37)</f>
        <v>254.7596629319944</v>
      </c>
      <c r="CF49" s="20">
        <f>IF(RESULTADO!$F$148&lt;=CF$36,(V$11+V$27),CF37)</f>
        <v>254.7596629319944</v>
      </c>
      <c r="CG49" s="20">
        <f>IF(RESULTADO!$F$148&lt;=CG$36,(W$11+W$27),CG37)</f>
        <v>254.7596629319944</v>
      </c>
      <c r="CH49" s="20">
        <f>IF(RESULTADO!$F$148&lt;=CH$36,(X$11+X$27),CH37)</f>
        <v>258.81289543589043</v>
      </c>
      <c r="CI49" s="20">
        <f>IF(RESULTADO!$F$148&lt;=CI$36,(Y$11+Y$27),CI37)</f>
        <v>258.81289543589043</v>
      </c>
      <c r="CJ49" s="400">
        <f>IF(RESULTADO!$F$148&lt;=CJ$36,(Z$11+Z$27),CJ37)</f>
        <v>258.81289543589043</v>
      </c>
      <c r="CK49" s="401">
        <f>IF(RESULTADO!$F$148&lt;=CK$36,(AA$11+AA$27),CK37)</f>
        <v>272.92123825492149</v>
      </c>
      <c r="CL49" s="20">
        <f>IF(RESULTADO!$F$148&lt;=CL$36,(AB$11+AB$27),CL37)</f>
        <v>272.92123825492149</v>
      </c>
      <c r="CM49" s="20">
        <f>IF(RESULTADO!$F$148&lt;=CM$36,(AC$11+AC$27),CM37)</f>
        <v>272.92123825492149</v>
      </c>
      <c r="CN49" s="20">
        <f>IF(RESULTADO!$F$148&lt;=CN$36,(AD$11+AD$27),CN37)</f>
        <v>272.92123825492149</v>
      </c>
      <c r="CO49" s="20">
        <f>IF(RESULTADO!$F$148&lt;=CO$36,(AE$11+AE$27),CO37)</f>
        <v>272.92123825492149</v>
      </c>
      <c r="CP49" s="20">
        <f>IF(RESULTADO!$F$148&lt;=CP$36,(AF$11+AF$27),CP37)</f>
        <v>272.92123825492149</v>
      </c>
      <c r="CQ49" s="20">
        <f>IF(RESULTADO!$F$148&lt;=CQ$36,(AG$11+AG$27),CQ37)</f>
        <v>272.92123825492149</v>
      </c>
      <c r="CR49" s="20">
        <f>IF(RESULTADO!$F$148&lt;=CR$36,(AH$11+AH$27),CR37)</f>
        <v>272.92123825492149</v>
      </c>
      <c r="CS49" s="20">
        <f>IF(RESULTADO!$F$148&lt;=CS$36,(AI$11+AI$27),CS37)</f>
        <v>272.92123825492149</v>
      </c>
      <c r="CT49" s="20">
        <f>IF(RESULTADO!$F$148&lt;=CT$36,(AJ$11+AJ$27),CT37)</f>
        <v>272.92123825492149</v>
      </c>
      <c r="CU49" s="20">
        <f>IF(RESULTADO!$F$148&lt;=CU$36,(AK$11+AK$27),CU37)</f>
        <v>272.92123825492149</v>
      </c>
      <c r="CV49" s="400">
        <f>IF(RESULTADO!$F$148&lt;=CV$36,(AL$11+AL$27),CV37)</f>
        <v>272.92123825492149</v>
      </c>
      <c r="CW49" s="401">
        <f>IF(RESULTADO!$F$148&lt;=CW$36,(AM$11+AM$27),CW37)</f>
        <v>232</v>
      </c>
      <c r="CX49" s="20">
        <f>IF(RESULTADO!$F$148&lt;=CX$36,(AN$11+AN$27),CX37)</f>
        <v>232</v>
      </c>
      <c r="CY49" s="20">
        <f>IF(RESULTADO!$F$148&lt;=CY$36,(AO$11+AO$27),CY37)</f>
        <v>232</v>
      </c>
      <c r="CZ49" s="20">
        <f>IF(RESULTADO!$F$148&lt;=CZ$36,(AP$11+AP$27),CZ37)</f>
        <v>232</v>
      </c>
      <c r="DA49" s="20">
        <f>IF(RESULTADO!$F$148&lt;=DA$36,(AQ$11+AQ$27),DA37)</f>
        <v>232</v>
      </c>
      <c r="DB49" s="20">
        <f>IF(RESULTADO!$F$148&lt;=DB$36,(AR$11+AR$27),DB37)</f>
        <v>232</v>
      </c>
      <c r="DC49" s="20">
        <f>IF(RESULTADO!$F$148&lt;=DC$36,(AS$11+AS$27),DC37)</f>
        <v>232</v>
      </c>
      <c r="DD49" s="20">
        <f>IF(RESULTADO!$F$148&lt;=DD$36,(AT$11+AT$27),DD37)</f>
        <v>232</v>
      </c>
      <c r="DE49" s="20">
        <f>IF(RESULTADO!$F$148&lt;=DE$36,(AU$11+AU$27),DE37)</f>
        <v>232</v>
      </c>
      <c r="DF49" s="20">
        <f>IF(RESULTADO!$F$148&lt;=DF$36,(AV$11+AV$27),DF37)</f>
        <v>232</v>
      </c>
      <c r="DG49" s="20">
        <f>IF(RESULTADO!$F$148&lt;=DG$36,(AW$11+AW$27),DG37)</f>
        <v>232</v>
      </c>
      <c r="DH49" s="400">
        <f>IF(RESULTADO!$F$148&lt;=DH$36,(AX$11+AX$27),DH37)</f>
        <v>232</v>
      </c>
      <c r="DI49" s="401">
        <f>IF(RESULTADO!$F$148&lt;=DI$36,(AY$11+AY$27),DI37)</f>
        <v>255.5</v>
      </c>
      <c r="DJ49" s="20">
        <f>IF(RESULTADO!$F$148&lt;=DJ$36,(AZ$11+AZ$27),DJ37)</f>
        <v>255.5</v>
      </c>
      <c r="DK49" s="20">
        <f>IF(RESULTADO!$F$148&lt;=DK$36,(BA$11+BA$27),DK37)</f>
        <v>255.5</v>
      </c>
      <c r="DL49" s="20">
        <f>IF(RESULTADO!$F$148&lt;=DL$36,(BB$11+BB$27),DL37)</f>
        <v>255.5</v>
      </c>
      <c r="DM49" s="20">
        <f>IF(RESULTADO!$F$148&lt;=DM$36,(BC$11+BC$27),DM37)</f>
        <v>255.5</v>
      </c>
      <c r="DN49" s="20">
        <f>IF(RESULTADO!$F$148&lt;=DN$36,(BD$11+BD$27),DN37)</f>
        <v>255.5</v>
      </c>
      <c r="DO49" s="20">
        <f>IF(RESULTADO!$F$148&lt;=DO$36,(BE$11+BE$27),DO37)</f>
        <v>255.5</v>
      </c>
      <c r="DP49" s="20">
        <f>IF(RESULTADO!$F$148&lt;=DP$36,(BF$11+BF$27),DP37)</f>
        <v>255.5</v>
      </c>
      <c r="DQ49" s="20">
        <f>IF(RESULTADO!$F$148&lt;=DQ$36,(BG$11+BG$27),DQ37)</f>
        <v>255.5</v>
      </c>
      <c r="DR49" s="20">
        <f>IF(RESULTADO!$F$148&lt;=DR$36,(BH$11+BH$27),DR37)</f>
        <v>255.5</v>
      </c>
      <c r="DS49" s="20">
        <f>IF(RESULTADO!$F$148&lt;=DS$36,(BI$11+BI$27),DS37)</f>
        <v>255.5</v>
      </c>
      <c r="DT49" s="21">
        <f>IF(RESULTADO!$F$148&lt;=DT$36,(BJ$11+BJ$27),DT37)</f>
        <v>255.5</v>
      </c>
    </row>
    <row r="50" spans="1:124" x14ac:dyDescent="0.25">
      <c r="A50" s="7"/>
      <c r="B50" s="37" t="s">
        <v>108</v>
      </c>
      <c r="C50" s="18">
        <f>IF(RESULTADO!$F$148&lt;=C$36,(C$10+C$27+C15),C38)</f>
        <v>62.92</v>
      </c>
      <c r="D50" s="18">
        <f>IF(RESULTADO!$F$148&lt;=D$36,(D$10+D$27+D15),D38)</f>
        <v>55.7</v>
      </c>
      <c r="E50" s="18">
        <f>IF(RESULTADO!$F$148&lt;=E$36,(E$10+E$27+E15),E38)</f>
        <v>55.7</v>
      </c>
      <c r="F50" s="18">
        <f>IF(RESULTADO!$F$148&lt;=F$36,(F$10+F$27+F15),F38)</f>
        <v>55.7</v>
      </c>
      <c r="G50" s="18">
        <f>IF(RESULTADO!$F$148&lt;=G$36,(G$10+G$27+G15),G38)</f>
        <v>55.7</v>
      </c>
      <c r="H50" s="18">
        <f>IF(RESULTADO!$F$148&lt;=H$36,(H$10+H$27+H15),H38)</f>
        <v>55.71</v>
      </c>
      <c r="I50" s="18">
        <f>IF(RESULTADO!$F$148&lt;=I$36,(I$10+I$27+I15),I38)</f>
        <v>66.319999999999993</v>
      </c>
      <c r="J50" s="18">
        <f>IF(RESULTADO!$F$148&lt;=J$36,(J$10+J$27+J15),J38)</f>
        <v>76.900000000000006</v>
      </c>
      <c r="K50" s="18">
        <f>IF(RESULTADO!$F$148&lt;=K$36,(K$10+K$27+K15),K38)</f>
        <v>56.08</v>
      </c>
      <c r="L50" s="18">
        <f>IF(RESULTADO!$F$148&lt;=L$36,(L$10+L$27+L15),L38)</f>
        <v>55.7</v>
      </c>
      <c r="M50" s="18">
        <f>IF(RESULTADO!$F$148&lt;=M$36,(M$10+M$27+M15),M38)</f>
        <v>55.7</v>
      </c>
      <c r="N50" s="402">
        <f>IF(RESULTADO!$F$148&lt;=N$36,(N$10+N$27+N15),N38)</f>
        <v>215.7</v>
      </c>
      <c r="O50" s="403">
        <f>IF(RESULTADO!$F$148&lt;=O$36,(O$10+O$27+O15),O38)</f>
        <v>215.7</v>
      </c>
      <c r="P50" s="18">
        <f>IF(RESULTADO!$F$148&lt;=P$36,(P$10+P$27+P15),P38)</f>
        <v>215.7</v>
      </c>
      <c r="Q50" s="18">
        <f>IF(RESULTADO!$F$148&lt;=Q$36,(Q$10+Q$27+Q15),Q38)</f>
        <v>215.7</v>
      </c>
      <c r="R50" s="18">
        <f>IF(RESULTADO!$F$148&lt;=R$36,(R$10+R$27+R15),R38)</f>
        <v>215.7</v>
      </c>
      <c r="S50" s="18">
        <f>IF(RESULTADO!$F$148&lt;=S$36,(S$10+S$27+S15),S38)</f>
        <v>215.7</v>
      </c>
      <c r="T50" s="18">
        <f>IF(RESULTADO!$F$148&lt;=T$36,(T$10+T$27+T15),T38)</f>
        <v>215.87453536906816</v>
      </c>
      <c r="U50" s="18">
        <f>IF(RESULTADO!$F$148&lt;=U$36,(U$10+U$27+U15),U38)</f>
        <v>219.54033706800561</v>
      </c>
      <c r="V50" s="18">
        <f>IF(RESULTADO!$F$148&lt;=V$36,(V$10+V$27+V15),V38)</f>
        <v>219.54033706800561</v>
      </c>
      <c r="W50" s="18">
        <f>IF(RESULTADO!$F$148&lt;=W$36,(W$10+W$27+W15),W38)</f>
        <v>219.54033706800561</v>
      </c>
      <c r="X50" s="18">
        <f>IF(RESULTADO!$F$148&lt;=X$36,(X$10+X$27+X15),X38)</f>
        <v>222.08710456410955</v>
      </c>
      <c r="Y50" s="18">
        <f>IF(RESULTADO!$F$148&lt;=Y$36,(Y$10+Y$27+Y15),Y38)</f>
        <v>222.08710456410955</v>
      </c>
      <c r="Z50" s="402">
        <f>IF(RESULTADO!$F$148&lt;=Z$36,(Z$10+Z$27+Z15),Z38)</f>
        <v>222.08710456410955</v>
      </c>
      <c r="AA50" s="403">
        <f>IF(RESULTADO!$F$148&lt;=AA$36,(AA$10+AA$27+AA15),AA38)</f>
        <v>257.27876174507855</v>
      </c>
      <c r="AB50" s="18">
        <f>IF(RESULTADO!$F$148&lt;=AB$36,(AB$10+AB$27+AB15),AB38)</f>
        <v>257.27876174507855</v>
      </c>
      <c r="AC50" s="18">
        <f>IF(RESULTADO!$F$148&lt;=AC$36,(AC$10+AC$27+AC15),AC38)</f>
        <v>257.27876174507855</v>
      </c>
      <c r="AD50" s="18">
        <f>IF(RESULTADO!$F$148&lt;=AD$36,(AD$10+AD$27+AD15),AD38)</f>
        <v>257.27876174507855</v>
      </c>
      <c r="AE50" s="18">
        <f>IF(RESULTADO!$F$148&lt;=AE$36,(AE$10+AE$27+AE15),AE38)</f>
        <v>257.27876174507855</v>
      </c>
      <c r="AF50" s="18">
        <f>IF(RESULTADO!$F$148&lt;=AF$36,(AF$10+AF$27+AF15),AF38)</f>
        <v>257.27876174507855</v>
      </c>
      <c r="AG50" s="18">
        <f>IF(RESULTADO!$F$148&lt;=AG$36,(AG$10+AG$27+AG15),AG38)</f>
        <v>257.27876174507855</v>
      </c>
      <c r="AH50" s="18">
        <f>IF(RESULTADO!$F$148&lt;=AH$36,(AH$10+AH$27+AH15),AH38)</f>
        <v>257.27876174507855</v>
      </c>
      <c r="AI50" s="18">
        <f>IF(RESULTADO!$F$148&lt;=AI$36,(AI$10+AI$27+AI15),AI38)</f>
        <v>257.27876174507855</v>
      </c>
      <c r="AJ50" s="18">
        <f>IF(RESULTADO!$F$148&lt;=AJ$36,(AJ$10+AJ$27+AJ15),AJ38)</f>
        <v>257.27876174507855</v>
      </c>
      <c r="AK50" s="18">
        <f>IF(RESULTADO!$F$148&lt;=AK$36,(AK$10+AK$27+AK15),AK38)</f>
        <v>257.27876174507855</v>
      </c>
      <c r="AL50" s="402">
        <f>IF(RESULTADO!$F$148&lt;=AL$36,(AL$10+AL$27+AL15),AL38)</f>
        <v>257.27876174507855</v>
      </c>
      <c r="AM50" s="403">
        <f>IF(RESULTADO!$F$148&lt;=AM$36,(AM$10+AM$27+AM15),AM38)</f>
        <v>232</v>
      </c>
      <c r="AN50" s="18">
        <f>IF(RESULTADO!$F$148&lt;=AN$36,(AN$10+AN$27+AN15),AN38)</f>
        <v>232</v>
      </c>
      <c r="AO50" s="18">
        <f>IF(RESULTADO!$F$148&lt;=AO$36,(AO$10+AO$27+AO15),AO38)</f>
        <v>232</v>
      </c>
      <c r="AP50" s="18">
        <f>IF(RESULTADO!$F$148&lt;=AP$36,(AP$10+AP$27+AP15),AP38)</f>
        <v>232</v>
      </c>
      <c r="AQ50" s="18">
        <f>IF(RESULTADO!$F$148&lt;=AQ$36,(AQ$10+AQ$27+AQ15),AQ38)</f>
        <v>232</v>
      </c>
      <c r="AR50" s="18">
        <f>IF(RESULTADO!$F$148&lt;=AR$36,(AR$10+AR$27+AR15),AR38)</f>
        <v>232</v>
      </c>
      <c r="AS50" s="18">
        <f>IF(RESULTADO!$F$148&lt;=AS$36,(AS$10+AS$27+AS15),AS38)</f>
        <v>232</v>
      </c>
      <c r="AT50" s="18">
        <f>IF(RESULTADO!$F$148&lt;=AT$36,(AT$10+AT$27+AT15),AT38)</f>
        <v>232</v>
      </c>
      <c r="AU50" s="18">
        <f>IF(RESULTADO!$F$148&lt;=AU$36,(AU$10+AU$27+AU15),AU38)</f>
        <v>232</v>
      </c>
      <c r="AV50" s="18">
        <f>IF(RESULTADO!$F$148&lt;=AV$36,(AV$10+AV$27+AV15),AV38)</f>
        <v>232</v>
      </c>
      <c r="AW50" s="18">
        <f>IF(RESULTADO!$F$148&lt;=AW$36,(AW$10+AW$27+AW15),AW38)</f>
        <v>232</v>
      </c>
      <c r="AX50" s="402">
        <f>IF(RESULTADO!$F$148&lt;=AX$36,(AX$10+AX$27+AX15),AX38)</f>
        <v>232</v>
      </c>
      <c r="AY50" s="403">
        <f>IF(RESULTADO!$F$148&lt;=AY$36,(AY$10+AY$27+AY15),AY38)</f>
        <v>255.5</v>
      </c>
      <c r="AZ50" s="18">
        <f>IF(RESULTADO!$F$148&lt;=AZ$36,(AZ$10+AZ$27+AZ15),AZ38)</f>
        <v>255.5</v>
      </c>
      <c r="BA50" s="18">
        <f>IF(RESULTADO!$F$148&lt;=BA$36,(BA$10+BA$27+BA15),BA38)</f>
        <v>255.5</v>
      </c>
      <c r="BB50" s="18">
        <f>IF(RESULTADO!$F$148&lt;=BB$36,(BB$10+BB$27+BB15),BB38)</f>
        <v>255.5</v>
      </c>
      <c r="BC50" s="18">
        <f>IF(RESULTADO!$F$148&lt;=BC$36,(BC$10+BC$27+BC15),BC38)</f>
        <v>255.5</v>
      </c>
      <c r="BD50" s="18">
        <f>IF(RESULTADO!$F$148&lt;=BD$36,(BD$10+BD$27+BD15),BD38)</f>
        <v>255.5</v>
      </c>
      <c r="BE50" s="18">
        <f>IF(RESULTADO!$F$148&lt;=BE$36,(BE$10+BE$27+BE15),BE38)</f>
        <v>255.5</v>
      </c>
      <c r="BF50" s="18">
        <f>IF(RESULTADO!$F$148&lt;=BF$36,(BF$10+BF$27+BF15),BF38)</f>
        <v>255.5</v>
      </c>
      <c r="BG50" s="18">
        <f>IF(RESULTADO!$F$148&lt;=BG$36,(BG$10+BG$27+BG15),BG38)</f>
        <v>255.5</v>
      </c>
      <c r="BH50" s="18">
        <f>IF(RESULTADO!$F$148&lt;=BH$36,(BH$10+BH$27+BH15),BH38)</f>
        <v>255.5</v>
      </c>
      <c r="BI50" s="18">
        <f>IF(RESULTADO!$F$148&lt;=BI$36,(BI$10+BI$27+BI15),BI38)</f>
        <v>255.5</v>
      </c>
      <c r="BJ50" s="19">
        <f>IF(RESULTADO!$F$148&lt;=BJ$36,(BJ$10+BJ$27+BJ15),BJ38)</f>
        <v>255.5</v>
      </c>
      <c r="BL50" s="37" t="s">
        <v>108</v>
      </c>
      <c r="BM50" s="18">
        <f>IF(RESULTADO!$F$148&lt;=BM$36,(C$11+C$27+C15),BM38)</f>
        <v>62.92</v>
      </c>
      <c r="BN50" s="18">
        <f>IF(RESULTADO!$F$148&lt;=BN$36,(D$11+D$27+D15),BN38)</f>
        <v>55.7</v>
      </c>
      <c r="BO50" s="18">
        <f>IF(RESULTADO!$F$148&lt;=BO$36,(E$11+E$27+E15),BO38)</f>
        <v>55.7</v>
      </c>
      <c r="BP50" s="18">
        <f>IF(RESULTADO!$F$148&lt;=BP$36,(F$11+F$27+F15),BP38)</f>
        <v>55.7</v>
      </c>
      <c r="BQ50" s="18">
        <f>IF(RESULTADO!$F$148&lt;=BQ$36,(G$11+G$27+G15),BQ38)</f>
        <v>55.7</v>
      </c>
      <c r="BR50" s="18">
        <f>IF(RESULTADO!$F$148&lt;=BR$36,(H$11+H$27+H15),BR38)</f>
        <v>55.71</v>
      </c>
      <c r="BS50" s="18">
        <f>IF(RESULTADO!$F$148&lt;=BS$36,(I$11+I$27+I15),BS38)</f>
        <v>66.319999999999993</v>
      </c>
      <c r="BT50" s="18">
        <f>IF(RESULTADO!$F$148&lt;=BT$36,(J$11+J$27+J15),BT38)</f>
        <v>76.900000000000006</v>
      </c>
      <c r="BU50" s="18">
        <f>IF(RESULTADO!$F$148&lt;=BU$36,(K$11+K$27+K15),BU38)</f>
        <v>56.08</v>
      </c>
      <c r="BV50" s="18">
        <f>IF(RESULTADO!$F$148&lt;=BV$36,(L$11+L$27+L15),BV38)</f>
        <v>55.7</v>
      </c>
      <c r="BW50" s="18">
        <f>IF(RESULTADO!$F$148&lt;=BW$36,(M$11+M$27+M15),BW38)</f>
        <v>55.7</v>
      </c>
      <c r="BX50" s="402">
        <f>IF(RESULTADO!$F$148&lt;=BX$36,(N$11+N$27+N15),BX38)</f>
        <v>238.40065359479314</v>
      </c>
      <c r="BY50" s="403">
        <f>IF(RESULTADO!$F$148&lt;=BY$36,(O$11+O$27+O15),BY38)</f>
        <v>256.20658075913417</v>
      </c>
      <c r="BZ50" s="18">
        <f>IF(RESULTADO!$F$148&lt;=BZ$36,(P$11+P$27+P15),BZ38)</f>
        <v>252.43064886136426</v>
      </c>
      <c r="CA50" s="18">
        <f>IF(RESULTADO!$F$148&lt;=CA$36,(Q$11+Q$27+Q15),CA38)</f>
        <v>249.05321842026001</v>
      </c>
      <c r="CB50" s="18">
        <f>IF(RESULTADO!$F$148&lt;=CB$36,(R$11+R$27+R15),CB38)</f>
        <v>245.73200871877131</v>
      </c>
      <c r="CC50" s="18">
        <f>IF(RESULTADO!$F$148&lt;=CC$36,(S$11+S$27+S15),CC38)</f>
        <v>246.22330962833448</v>
      </c>
      <c r="CD50" s="18">
        <f>IF(RESULTADO!$F$148&lt;=CD$36,(T$11+T$27+T15),CD38)</f>
        <v>248.92546463093186</v>
      </c>
      <c r="CE50" s="18">
        <f>IF(RESULTADO!$F$148&lt;=CE$36,(U$11+U$27+U15),CE38)</f>
        <v>254.7596629319944</v>
      </c>
      <c r="CF50" s="18">
        <f>IF(RESULTADO!$F$148&lt;=CF$36,(V$11+V$27+V15),CF38)</f>
        <v>254.7596629319944</v>
      </c>
      <c r="CG50" s="18">
        <f>IF(RESULTADO!$F$148&lt;=CG$36,(W$11+W$27+W15),CG38)</f>
        <v>254.7596629319944</v>
      </c>
      <c r="CH50" s="18">
        <f>IF(RESULTADO!$F$148&lt;=CH$36,(X$11+X$27+X15),CH38)</f>
        <v>258.81289543589043</v>
      </c>
      <c r="CI50" s="18">
        <f>IF(RESULTADO!$F$148&lt;=CI$36,(Y$11+Y$27+Y15),CI38)</f>
        <v>258.81289543589043</v>
      </c>
      <c r="CJ50" s="402">
        <f>IF(RESULTADO!$F$148&lt;=CJ$36,(Z$11+Z$27+Z15),CJ38)</f>
        <v>258.81289543589043</v>
      </c>
      <c r="CK50" s="403">
        <f>IF(RESULTADO!$F$148&lt;=CK$36,(AA$11+AA$27+AA15),CK38)</f>
        <v>272.92123825492149</v>
      </c>
      <c r="CL50" s="18">
        <f>IF(RESULTADO!$F$148&lt;=CL$36,(AB$11+AB$27+AB15),CL38)</f>
        <v>272.92123825492149</v>
      </c>
      <c r="CM50" s="18">
        <f>IF(RESULTADO!$F$148&lt;=CM$36,(AC$11+AC$27+AC15),CM38)</f>
        <v>272.92123825492149</v>
      </c>
      <c r="CN50" s="18">
        <f>IF(RESULTADO!$F$148&lt;=CN$36,(AD$11+AD$27+AD15),CN38)</f>
        <v>272.92123825492149</v>
      </c>
      <c r="CO50" s="18">
        <f>IF(RESULTADO!$F$148&lt;=CO$36,(AE$11+AE$27+AE15),CO38)</f>
        <v>272.92123825492149</v>
      </c>
      <c r="CP50" s="18">
        <f>IF(RESULTADO!$F$148&lt;=CP$36,(AF$11+AF$27+AF15),CP38)</f>
        <v>272.92123825492149</v>
      </c>
      <c r="CQ50" s="18">
        <f>IF(RESULTADO!$F$148&lt;=CQ$36,(AG$11+AG$27+AG15),CQ38)</f>
        <v>272.92123825492149</v>
      </c>
      <c r="CR50" s="18">
        <f>IF(RESULTADO!$F$148&lt;=CR$36,(AH$11+AH$27+AH15),CR38)</f>
        <v>272.92123825492149</v>
      </c>
      <c r="CS50" s="18">
        <f>IF(RESULTADO!$F$148&lt;=CS$36,(AI$11+AI$27+AI15),CS38)</f>
        <v>272.92123825492149</v>
      </c>
      <c r="CT50" s="18">
        <f>IF(RESULTADO!$F$148&lt;=CT$36,(AJ$11+AJ$27+AJ15),CT38)</f>
        <v>272.92123825492149</v>
      </c>
      <c r="CU50" s="18">
        <f>IF(RESULTADO!$F$148&lt;=CU$36,(AK$11+AK$27+AK15),CU38)</f>
        <v>272.92123825492149</v>
      </c>
      <c r="CV50" s="402">
        <f>IF(RESULTADO!$F$148&lt;=CV$36,(AL$11+AL$27+AL15),CV38)</f>
        <v>272.92123825492149</v>
      </c>
      <c r="CW50" s="403">
        <f>IF(RESULTADO!$F$148&lt;=CW$36,(AM$11+AM$27+AM15),CW38)</f>
        <v>232</v>
      </c>
      <c r="CX50" s="18">
        <f>IF(RESULTADO!$F$148&lt;=CX$36,(AN$11+AN$27+AN15),CX38)</f>
        <v>232</v>
      </c>
      <c r="CY50" s="18">
        <f>IF(RESULTADO!$F$148&lt;=CY$36,(AO$11+AO$27+AO15),CY38)</f>
        <v>232</v>
      </c>
      <c r="CZ50" s="18">
        <f>IF(RESULTADO!$F$148&lt;=CZ$36,(AP$11+AP$27+AP15),CZ38)</f>
        <v>232</v>
      </c>
      <c r="DA50" s="18">
        <f>IF(RESULTADO!$F$148&lt;=DA$36,(AQ$11+AQ$27+AQ15),DA38)</f>
        <v>232</v>
      </c>
      <c r="DB50" s="18">
        <f>IF(RESULTADO!$F$148&lt;=DB$36,(AR$11+AR$27+AR15),DB38)</f>
        <v>232</v>
      </c>
      <c r="DC50" s="18">
        <f>IF(RESULTADO!$F$148&lt;=DC$36,(AS$11+AS$27+AS15),DC38)</f>
        <v>232</v>
      </c>
      <c r="DD50" s="18">
        <f>IF(RESULTADO!$F$148&lt;=DD$36,(AT$11+AT$27+AT15),DD38)</f>
        <v>232</v>
      </c>
      <c r="DE50" s="18">
        <f>IF(RESULTADO!$F$148&lt;=DE$36,(AU$11+AU$27+AU15),DE38)</f>
        <v>232</v>
      </c>
      <c r="DF50" s="18">
        <f>IF(RESULTADO!$F$148&lt;=DF$36,(AV$11+AV$27+AV15),DF38)</f>
        <v>232</v>
      </c>
      <c r="DG50" s="18">
        <f>IF(RESULTADO!$F$148&lt;=DG$36,(AW$11+AW$27+AW15),DG38)</f>
        <v>232</v>
      </c>
      <c r="DH50" s="402">
        <f>IF(RESULTADO!$F$148&lt;=DH$36,(AX$11+AX$27+AX15),DH38)</f>
        <v>232</v>
      </c>
      <c r="DI50" s="403">
        <f>IF(RESULTADO!$F$148&lt;=DI$36,(AY$11+AY$27+AY15),DI38)</f>
        <v>255.5</v>
      </c>
      <c r="DJ50" s="18">
        <f>IF(RESULTADO!$F$148&lt;=DJ$36,(AZ$11+AZ$27+AZ15),DJ38)</f>
        <v>255.5</v>
      </c>
      <c r="DK50" s="18">
        <f>IF(RESULTADO!$F$148&lt;=DK$36,(BA$11+BA$27+BA15),DK38)</f>
        <v>255.5</v>
      </c>
      <c r="DL50" s="18">
        <f>IF(RESULTADO!$F$148&lt;=DL$36,(BB$11+BB$27+BB15),DL38)</f>
        <v>255.5</v>
      </c>
      <c r="DM50" s="18">
        <f>IF(RESULTADO!$F$148&lt;=DM$36,(BC$11+BC$27+BC15),DM38)</f>
        <v>255.5</v>
      </c>
      <c r="DN50" s="18">
        <f>IF(RESULTADO!$F$148&lt;=DN$36,(BD$11+BD$27+BD15),DN38)</f>
        <v>255.5</v>
      </c>
      <c r="DO50" s="18">
        <f>IF(RESULTADO!$F$148&lt;=DO$36,(BE$11+BE$27+BE15),DO38)</f>
        <v>255.5</v>
      </c>
      <c r="DP50" s="18">
        <f>IF(RESULTADO!$F$148&lt;=DP$36,(BF$11+BF$27+BF15),DP38)</f>
        <v>255.5</v>
      </c>
      <c r="DQ50" s="18">
        <f>IF(RESULTADO!$F$148&lt;=DQ$36,(BG$11+BG$27+BG15),DQ38)</f>
        <v>255.5</v>
      </c>
      <c r="DR50" s="18">
        <f>IF(RESULTADO!$F$148&lt;=DR$36,(BH$11+BH$27+BH15),DR38)</f>
        <v>255.5</v>
      </c>
      <c r="DS50" s="18">
        <f>IF(RESULTADO!$F$148&lt;=DS$36,(BI$11+BI$27+BI15),DS38)</f>
        <v>255.5</v>
      </c>
      <c r="DT50" s="19">
        <f>IF(RESULTADO!$F$148&lt;=DT$36,(BJ$11+BJ$27+BJ15),DT38)</f>
        <v>255.5</v>
      </c>
    </row>
    <row r="51" spans="1:124" x14ac:dyDescent="0.25">
      <c r="A51" s="7"/>
      <c r="B51" s="37" t="s">
        <v>109</v>
      </c>
      <c r="C51" s="18">
        <f>IF(RESULTADO!$F$148&lt;=C$36,(C$10+C$27+C16),C39)</f>
        <v>57.22</v>
      </c>
      <c r="D51" s="18">
        <f>IF(RESULTADO!$F$148&lt;=D$36,(D$10+D$27+D16),D39)</f>
        <v>55.7</v>
      </c>
      <c r="E51" s="18">
        <f>IF(RESULTADO!$F$148&lt;=E$36,(E$10+E$27+E16),E39)</f>
        <v>55.7</v>
      </c>
      <c r="F51" s="18">
        <f>IF(RESULTADO!$F$148&lt;=F$36,(F$10+F$27+F16),F39)</f>
        <v>55.7</v>
      </c>
      <c r="G51" s="18">
        <f>IF(RESULTADO!$F$148&lt;=G$36,(G$10+G$27+G16),G39)</f>
        <v>55.7</v>
      </c>
      <c r="H51" s="18">
        <f>IF(RESULTADO!$F$148&lt;=H$36,(H$10+H$27+H16),H39)</f>
        <v>55.71</v>
      </c>
      <c r="I51" s="18">
        <f>IF(RESULTADO!$F$148&lt;=I$36,(I$10+I$27+I16),I39)</f>
        <v>66.319999999999993</v>
      </c>
      <c r="J51" s="18">
        <f>IF(RESULTADO!$F$148&lt;=J$36,(J$10+J$27+J16),J39)</f>
        <v>76.900000000000006</v>
      </c>
      <c r="K51" s="18">
        <f>IF(RESULTADO!$F$148&lt;=K$36,(K$10+K$27+K16),K39)</f>
        <v>56.08</v>
      </c>
      <c r="L51" s="18">
        <f>IF(RESULTADO!$F$148&lt;=L$36,(L$10+L$27+L16),L39)</f>
        <v>55.7</v>
      </c>
      <c r="M51" s="18">
        <f>IF(RESULTADO!$F$148&lt;=M$36,(M$10+M$27+M16),M39)</f>
        <v>55.7</v>
      </c>
      <c r="N51" s="402">
        <f>IF(RESULTADO!$F$148&lt;=N$36,(N$10+N$27+N16),N39)</f>
        <v>215.7</v>
      </c>
      <c r="O51" s="403">
        <f>IF(RESULTADO!$F$148&lt;=O$36,(O$10+O$27+O16),O39)</f>
        <v>215.7</v>
      </c>
      <c r="P51" s="18">
        <f>IF(RESULTADO!$F$148&lt;=P$36,(P$10+P$27+P16),P39)</f>
        <v>215.7</v>
      </c>
      <c r="Q51" s="18">
        <f>IF(RESULTADO!$F$148&lt;=Q$36,(Q$10+Q$27+Q16),Q39)</f>
        <v>215.7</v>
      </c>
      <c r="R51" s="18">
        <f>IF(RESULTADO!$F$148&lt;=R$36,(R$10+R$27+R16),R39)</f>
        <v>215.7</v>
      </c>
      <c r="S51" s="18">
        <f>IF(RESULTADO!$F$148&lt;=S$36,(S$10+S$27+S16),S39)</f>
        <v>215.7</v>
      </c>
      <c r="T51" s="18">
        <f>IF(RESULTADO!$F$148&lt;=T$36,(T$10+T$27+T16),T39)</f>
        <v>215.87453536906816</v>
      </c>
      <c r="U51" s="18">
        <f>IF(RESULTADO!$F$148&lt;=U$36,(U$10+U$27+U16),U39)</f>
        <v>219.54033706800561</v>
      </c>
      <c r="V51" s="18">
        <f>IF(RESULTADO!$F$148&lt;=V$36,(V$10+V$27+V16),V39)</f>
        <v>219.54033706800561</v>
      </c>
      <c r="W51" s="18">
        <f>IF(RESULTADO!$F$148&lt;=W$36,(W$10+W$27+W16),W39)</f>
        <v>219.54033706800561</v>
      </c>
      <c r="X51" s="18">
        <f>IF(RESULTADO!$F$148&lt;=X$36,(X$10+X$27+X16),X39)</f>
        <v>222.08710456410955</v>
      </c>
      <c r="Y51" s="18">
        <f>IF(RESULTADO!$F$148&lt;=Y$36,(Y$10+Y$27+Y16),Y39)</f>
        <v>222.08710456410955</v>
      </c>
      <c r="Z51" s="402">
        <f>IF(RESULTADO!$F$148&lt;=Z$36,(Z$10+Z$27+Z16),Z39)</f>
        <v>222.08710456410955</v>
      </c>
      <c r="AA51" s="403">
        <f>IF(RESULTADO!$F$148&lt;=AA$36,(AA$10+AA$27+AA16),AA39)</f>
        <v>257.27876174507855</v>
      </c>
      <c r="AB51" s="18">
        <f>IF(RESULTADO!$F$148&lt;=AB$36,(AB$10+AB$27+AB16),AB39)</f>
        <v>257.27876174507855</v>
      </c>
      <c r="AC51" s="18">
        <f>IF(RESULTADO!$F$148&lt;=AC$36,(AC$10+AC$27+AC16),AC39)</f>
        <v>257.27876174507855</v>
      </c>
      <c r="AD51" s="18">
        <f>IF(RESULTADO!$F$148&lt;=AD$36,(AD$10+AD$27+AD16),AD39)</f>
        <v>257.27876174507855</v>
      </c>
      <c r="AE51" s="18">
        <f>IF(RESULTADO!$F$148&lt;=AE$36,(AE$10+AE$27+AE16),AE39)</f>
        <v>257.27876174507855</v>
      </c>
      <c r="AF51" s="18">
        <f>IF(RESULTADO!$F$148&lt;=AF$36,(AF$10+AF$27+AF16),AF39)</f>
        <v>257.27876174507855</v>
      </c>
      <c r="AG51" s="18">
        <f>IF(RESULTADO!$F$148&lt;=AG$36,(AG$10+AG$27+AG16),AG39)</f>
        <v>257.27876174507855</v>
      </c>
      <c r="AH51" s="18">
        <f>IF(RESULTADO!$F$148&lt;=AH$36,(AH$10+AH$27+AH16),AH39)</f>
        <v>257.27876174507855</v>
      </c>
      <c r="AI51" s="18">
        <f>IF(RESULTADO!$F$148&lt;=AI$36,(AI$10+AI$27+AI16),AI39)</f>
        <v>257.27876174507855</v>
      </c>
      <c r="AJ51" s="18">
        <f>IF(RESULTADO!$F$148&lt;=AJ$36,(AJ$10+AJ$27+AJ16),AJ39)</f>
        <v>257.27876174507855</v>
      </c>
      <c r="AK51" s="18">
        <f>IF(RESULTADO!$F$148&lt;=AK$36,(AK$10+AK$27+AK16),AK39)</f>
        <v>257.27876174507855</v>
      </c>
      <c r="AL51" s="402">
        <f>IF(RESULTADO!$F$148&lt;=AL$36,(AL$10+AL$27+AL16),AL39)</f>
        <v>257.27876174507855</v>
      </c>
      <c r="AM51" s="403">
        <f>IF(RESULTADO!$F$148&lt;=AM$36,(AM$10+AM$27+AM16),AM39)</f>
        <v>232</v>
      </c>
      <c r="AN51" s="18">
        <f>IF(RESULTADO!$F$148&lt;=AN$36,(AN$10+AN$27+AN16),AN39)</f>
        <v>232</v>
      </c>
      <c r="AO51" s="18">
        <f>IF(RESULTADO!$F$148&lt;=AO$36,(AO$10+AO$27+AO16),AO39)</f>
        <v>232</v>
      </c>
      <c r="AP51" s="18">
        <f>IF(RESULTADO!$F$148&lt;=AP$36,(AP$10+AP$27+AP16),AP39)</f>
        <v>232</v>
      </c>
      <c r="AQ51" s="18">
        <f>IF(RESULTADO!$F$148&lt;=AQ$36,(AQ$10+AQ$27+AQ16),AQ39)</f>
        <v>232</v>
      </c>
      <c r="AR51" s="18">
        <f>IF(RESULTADO!$F$148&lt;=AR$36,(AR$10+AR$27+AR16),AR39)</f>
        <v>232</v>
      </c>
      <c r="AS51" s="18">
        <f>IF(RESULTADO!$F$148&lt;=AS$36,(AS$10+AS$27+AS16),AS39)</f>
        <v>232</v>
      </c>
      <c r="AT51" s="18">
        <f>IF(RESULTADO!$F$148&lt;=AT$36,(AT$10+AT$27+AT16),AT39)</f>
        <v>232</v>
      </c>
      <c r="AU51" s="18">
        <f>IF(RESULTADO!$F$148&lt;=AU$36,(AU$10+AU$27+AU16),AU39)</f>
        <v>232</v>
      </c>
      <c r="AV51" s="18">
        <f>IF(RESULTADO!$F$148&lt;=AV$36,(AV$10+AV$27+AV16),AV39)</f>
        <v>232</v>
      </c>
      <c r="AW51" s="18">
        <f>IF(RESULTADO!$F$148&lt;=AW$36,(AW$10+AW$27+AW16),AW39)</f>
        <v>232</v>
      </c>
      <c r="AX51" s="402">
        <f>IF(RESULTADO!$F$148&lt;=AX$36,(AX$10+AX$27+AX16),AX39)</f>
        <v>232</v>
      </c>
      <c r="AY51" s="403">
        <f>IF(RESULTADO!$F$148&lt;=AY$36,(AY$10+AY$27+AY16),AY39)</f>
        <v>255.5</v>
      </c>
      <c r="AZ51" s="18">
        <f>IF(RESULTADO!$F$148&lt;=AZ$36,(AZ$10+AZ$27+AZ16),AZ39)</f>
        <v>255.5</v>
      </c>
      <c r="BA51" s="18">
        <f>IF(RESULTADO!$F$148&lt;=BA$36,(BA$10+BA$27+BA16),BA39)</f>
        <v>255.5</v>
      </c>
      <c r="BB51" s="18">
        <f>IF(RESULTADO!$F$148&lt;=BB$36,(BB$10+BB$27+BB16),BB39)</f>
        <v>255.5</v>
      </c>
      <c r="BC51" s="18">
        <f>IF(RESULTADO!$F$148&lt;=BC$36,(BC$10+BC$27+BC16),BC39)</f>
        <v>255.5</v>
      </c>
      <c r="BD51" s="18">
        <f>IF(RESULTADO!$F$148&lt;=BD$36,(BD$10+BD$27+BD16),BD39)</f>
        <v>255.5</v>
      </c>
      <c r="BE51" s="18">
        <f>IF(RESULTADO!$F$148&lt;=BE$36,(BE$10+BE$27+BE16),BE39)</f>
        <v>255.5</v>
      </c>
      <c r="BF51" s="18">
        <f>IF(RESULTADO!$F$148&lt;=BF$36,(BF$10+BF$27+BF16),BF39)</f>
        <v>255.5</v>
      </c>
      <c r="BG51" s="18">
        <f>IF(RESULTADO!$F$148&lt;=BG$36,(BG$10+BG$27+BG16),BG39)</f>
        <v>255.5</v>
      </c>
      <c r="BH51" s="18">
        <f>IF(RESULTADO!$F$148&lt;=BH$36,(BH$10+BH$27+BH16),BH39)</f>
        <v>255.5</v>
      </c>
      <c r="BI51" s="18">
        <f>IF(RESULTADO!$F$148&lt;=BI$36,(BI$10+BI$27+BI16),BI39)</f>
        <v>255.5</v>
      </c>
      <c r="BJ51" s="19">
        <f>IF(RESULTADO!$F$148&lt;=BJ$36,(BJ$10+BJ$27+BJ16),BJ39)</f>
        <v>255.5</v>
      </c>
      <c r="BL51" s="37" t="s">
        <v>109</v>
      </c>
      <c r="BM51" s="18">
        <f>IF(RESULTADO!$F$148&lt;=BM$36,(C$11+C$27+C16),BM39)</f>
        <v>57.22</v>
      </c>
      <c r="BN51" s="18">
        <f>IF(RESULTADO!$F$148&lt;=BN$36,(D$11+D$27+D16),BN39)</f>
        <v>55.7</v>
      </c>
      <c r="BO51" s="18">
        <f>IF(RESULTADO!$F$148&lt;=BO$36,(E$11+E$27+E16),BO39)</f>
        <v>55.7</v>
      </c>
      <c r="BP51" s="18">
        <f>IF(RESULTADO!$F$148&lt;=BP$36,(F$11+F$27+F16),BP39)</f>
        <v>55.7</v>
      </c>
      <c r="BQ51" s="18">
        <f>IF(RESULTADO!$F$148&lt;=BQ$36,(G$11+G$27+G16),BQ39)</f>
        <v>55.7</v>
      </c>
      <c r="BR51" s="18">
        <f>IF(RESULTADO!$F$148&lt;=BR$36,(H$11+H$27+H16),BR39)</f>
        <v>55.71</v>
      </c>
      <c r="BS51" s="18">
        <f>IF(RESULTADO!$F$148&lt;=BS$36,(I$11+I$27+I16),BS39)</f>
        <v>66.319999999999993</v>
      </c>
      <c r="BT51" s="18">
        <f>IF(RESULTADO!$F$148&lt;=BT$36,(J$11+J$27+J16),BT39)</f>
        <v>76.900000000000006</v>
      </c>
      <c r="BU51" s="18">
        <f>IF(RESULTADO!$F$148&lt;=BU$36,(K$11+K$27+K16),BU39)</f>
        <v>56.08</v>
      </c>
      <c r="BV51" s="18">
        <f>IF(RESULTADO!$F$148&lt;=BV$36,(L$11+L$27+L16),BV39)</f>
        <v>55.7</v>
      </c>
      <c r="BW51" s="18">
        <f>IF(RESULTADO!$F$148&lt;=BW$36,(M$11+M$27+M16),BW39)</f>
        <v>55.7</v>
      </c>
      <c r="BX51" s="402">
        <f>IF(RESULTADO!$F$148&lt;=BX$36,(N$11+N$27+N16),BX39)</f>
        <v>238.40065359479314</v>
      </c>
      <c r="BY51" s="403">
        <f>IF(RESULTADO!$F$148&lt;=BY$36,(O$11+O$27+O16),BY39)</f>
        <v>256.20658075913417</v>
      </c>
      <c r="BZ51" s="18">
        <f>IF(RESULTADO!$F$148&lt;=BZ$36,(P$11+P$27+P16),BZ39)</f>
        <v>252.43064886136426</v>
      </c>
      <c r="CA51" s="18">
        <f>IF(RESULTADO!$F$148&lt;=CA$36,(Q$11+Q$27+Q16),CA39)</f>
        <v>249.05321842026001</v>
      </c>
      <c r="CB51" s="18">
        <f>IF(RESULTADO!$F$148&lt;=CB$36,(R$11+R$27+R16),CB39)</f>
        <v>245.73200871877131</v>
      </c>
      <c r="CC51" s="18">
        <f>IF(RESULTADO!$F$148&lt;=CC$36,(S$11+S$27+S16),CC39)</f>
        <v>246.22330962833448</v>
      </c>
      <c r="CD51" s="18">
        <f>IF(RESULTADO!$F$148&lt;=CD$36,(T$11+T$27+T16),CD39)</f>
        <v>248.92546463093186</v>
      </c>
      <c r="CE51" s="18">
        <f>IF(RESULTADO!$F$148&lt;=CE$36,(U$11+U$27+U16),CE39)</f>
        <v>254.7596629319944</v>
      </c>
      <c r="CF51" s="18">
        <f>IF(RESULTADO!$F$148&lt;=CF$36,(V$11+V$27+V16),CF39)</f>
        <v>254.7596629319944</v>
      </c>
      <c r="CG51" s="18">
        <f>IF(RESULTADO!$F$148&lt;=CG$36,(W$11+W$27+W16),CG39)</f>
        <v>254.7596629319944</v>
      </c>
      <c r="CH51" s="18">
        <f>IF(RESULTADO!$F$148&lt;=CH$36,(X$11+X$27+X16),CH39)</f>
        <v>258.81289543589043</v>
      </c>
      <c r="CI51" s="18">
        <f>IF(RESULTADO!$F$148&lt;=CI$36,(Y$11+Y$27+Y16),CI39)</f>
        <v>258.81289543589043</v>
      </c>
      <c r="CJ51" s="402">
        <f>IF(RESULTADO!$F$148&lt;=CJ$36,(Z$11+Z$27+Z16),CJ39)</f>
        <v>258.81289543589043</v>
      </c>
      <c r="CK51" s="403">
        <f>IF(RESULTADO!$F$148&lt;=CK$36,(AA$11+AA$27+AA16),CK39)</f>
        <v>272.92123825492149</v>
      </c>
      <c r="CL51" s="18">
        <f>IF(RESULTADO!$F$148&lt;=CL$36,(AB$11+AB$27+AB16),CL39)</f>
        <v>272.92123825492149</v>
      </c>
      <c r="CM51" s="18">
        <f>IF(RESULTADO!$F$148&lt;=CM$36,(AC$11+AC$27+AC16),CM39)</f>
        <v>272.92123825492149</v>
      </c>
      <c r="CN51" s="18">
        <f>IF(RESULTADO!$F$148&lt;=CN$36,(AD$11+AD$27+AD16),CN39)</f>
        <v>272.92123825492149</v>
      </c>
      <c r="CO51" s="18">
        <f>IF(RESULTADO!$F$148&lt;=CO$36,(AE$11+AE$27+AE16),CO39)</f>
        <v>272.92123825492149</v>
      </c>
      <c r="CP51" s="18">
        <f>IF(RESULTADO!$F$148&lt;=CP$36,(AF$11+AF$27+AF16),CP39)</f>
        <v>272.92123825492149</v>
      </c>
      <c r="CQ51" s="18">
        <f>IF(RESULTADO!$F$148&lt;=CQ$36,(AG$11+AG$27+AG16),CQ39)</f>
        <v>272.92123825492149</v>
      </c>
      <c r="CR51" s="18">
        <f>IF(RESULTADO!$F$148&lt;=CR$36,(AH$11+AH$27+AH16),CR39)</f>
        <v>272.92123825492149</v>
      </c>
      <c r="CS51" s="18">
        <f>IF(RESULTADO!$F$148&lt;=CS$36,(AI$11+AI$27+AI16),CS39)</f>
        <v>272.92123825492149</v>
      </c>
      <c r="CT51" s="18">
        <f>IF(RESULTADO!$F$148&lt;=CT$36,(AJ$11+AJ$27+AJ16),CT39)</f>
        <v>272.92123825492149</v>
      </c>
      <c r="CU51" s="18">
        <f>IF(RESULTADO!$F$148&lt;=CU$36,(AK$11+AK$27+AK16),CU39)</f>
        <v>272.92123825492149</v>
      </c>
      <c r="CV51" s="402">
        <f>IF(RESULTADO!$F$148&lt;=CV$36,(AL$11+AL$27+AL16),CV39)</f>
        <v>272.92123825492149</v>
      </c>
      <c r="CW51" s="403">
        <f>IF(RESULTADO!$F$148&lt;=CW$36,(AM$11+AM$27+AM16),CW39)</f>
        <v>232</v>
      </c>
      <c r="CX51" s="18">
        <f>IF(RESULTADO!$F$148&lt;=CX$36,(AN$11+AN$27+AN16),CX39)</f>
        <v>232</v>
      </c>
      <c r="CY51" s="18">
        <f>IF(RESULTADO!$F$148&lt;=CY$36,(AO$11+AO$27+AO16),CY39)</f>
        <v>232</v>
      </c>
      <c r="CZ51" s="18">
        <f>IF(RESULTADO!$F$148&lt;=CZ$36,(AP$11+AP$27+AP16),CZ39)</f>
        <v>232</v>
      </c>
      <c r="DA51" s="18">
        <f>IF(RESULTADO!$F$148&lt;=DA$36,(AQ$11+AQ$27+AQ16),DA39)</f>
        <v>232</v>
      </c>
      <c r="DB51" s="18">
        <f>IF(RESULTADO!$F$148&lt;=DB$36,(AR$11+AR$27+AR16),DB39)</f>
        <v>232</v>
      </c>
      <c r="DC51" s="18">
        <f>IF(RESULTADO!$F$148&lt;=DC$36,(AS$11+AS$27+AS16),DC39)</f>
        <v>232</v>
      </c>
      <c r="DD51" s="18">
        <f>IF(RESULTADO!$F$148&lt;=DD$36,(AT$11+AT$27+AT16),DD39)</f>
        <v>232</v>
      </c>
      <c r="DE51" s="18">
        <f>IF(RESULTADO!$F$148&lt;=DE$36,(AU$11+AU$27+AU16),DE39)</f>
        <v>232</v>
      </c>
      <c r="DF51" s="18">
        <f>IF(RESULTADO!$F$148&lt;=DF$36,(AV$11+AV$27+AV16),DF39)</f>
        <v>232</v>
      </c>
      <c r="DG51" s="18">
        <f>IF(RESULTADO!$F$148&lt;=DG$36,(AW$11+AW$27+AW16),DG39)</f>
        <v>232</v>
      </c>
      <c r="DH51" s="402">
        <f>IF(RESULTADO!$F$148&lt;=DH$36,(AX$11+AX$27+AX16),DH39)</f>
        <v>232</v>
      </c>
      <c r="DI51" s="403">
        <f>IF(RESULTADO!$F$148&lt;=DI$36,(AY$11+AY$27+AY16),DI39)</f>
        <v>255.5</v>
      </c>
      <c r="DJ51" s="18">
        <f>IF(RESULTADO!$F$148&lt;=DJ$36,(AZ$11+AZ$27+AZ16),DJ39)</f>
        <v>255.5</v>
      </c>
      <c r="DK51" s="18">
        <f>IF(RESULTADO!$F$148&lt;=DK$36,(BA$11+BA$27+BA16),DK39)</f>
        <v>255.5</v>
      </c>
      <c r="DL51" s="18">
        <f>IF(RESULTADO!$F$148&lt;=DL$36,(BB$11+BB$27+BB16),DL39)</f>
        <v>255.5</v>
      </c>
      <c r="DM51" s="18">
        <f>IF(RESULTADO!$F$148&lt;=DM$36,(BC$11+BC$27+BC16),DM39)</f>
        <v>255.5</v>
      </c>
      <c r="DN51" s="18">
        <f>IF(RESULTADO!$F$148&lt;=DN$36,(BD$11+BD$27+BD16),DN39)</f>
        <v>255.5</v>
      </c>
      <c r="DO51" s="18">
        <f>IF(RESULTADO!$F$148&lt;=DO$36,(BE$11+BE$27+BE16),DO39)</f>
        <v>255.5</v>
      </c>
      <c r="DP51" s="18">
        <f>IF(RESULTADO!$F$148&lt;=DP$36,(BF$11+BF$27+BF16),DP39)</f>
        <v>255.5</v>
      </c>
      <c r="DQ51" s="18">
        <f>IF(RESULTADO!$F$148&lt;=DQ$36,(BG$11+BG$27+BG16),DQ39)</f>
        <v>255.5</v>
      </c>
      <c r="DR51" s="18">
        <f>IF(RESULTADO!$F$148&lt;=DR$36,(BH$11+BH$27+BH16),DR39)</f>
        <v>255.5</v>
      </c>
      <c r="DS51" s="18">
        <f>IF(RESULTADO!$F$148&lt;=DS$36,(BI$11+BI$27+BI16),DS39)</f>
        <v>255.5</v>
      </c>
      <c r="DT51" s="19">
        <f>IF(RESULTADO!$F$148&lt;=DT$36,(BJ$11+BJ$27+BJ16),DT39)</f>
        <v>255.5</v>
      </c>
    </row>
    <row r="52" spans="1:124" ht="15.75" thickBot="1" x14ac:dyDescent="0.3">
      <c r="A52" s="7"/>
      <c r="B52" s="38" t="s">
        <v>110</v>
      </c>
      <c r="C52" s="23">
        <f>IF(RESULTADO!$F$148&lt;=C$36,(C$10+C$27+C17),C40)</f>
        <v>55.71</v>
      </c>
      <c r="D52" s="23">
        <f>IF(RESULTADO!$F$148&lt;=D$36,(D$10+D$27+D17),D40)</f>
        <v>55.7</v>
      </c>
      <c r="E52" s="23">
        <f>IF(RESULTADO!$F$148&lt;=E$36,(E$10+E$27+E17),E40)</f>
        <v>55.7</v>
      </c>
      <c r="F52" s="23">
        <f>IF(RESULTADO!$F$148&lt;=F$36,(F$10+F$27+F17),F40)</f>
        <v>55.7</v>
      </c>
      <c r="G52" s="23">
        <f>IF(RESULTADO!$F$148&lt;=G$36,(G$10+G$27+G17),G40)</f>
        <v>55.7</v>
      </c>
      <c r="H52" s="23">
        <f>IF(RESULTADO!$F$148&lt;=H$36,(H$10+H$27+H17),H40)</f>
        <v>55.71</v>
      </c>
      <c r="I52" s="23">
        <f>IF(RESULTADO!$F$148&lt;=I$36,(I$10+I$27+I17),I40)</f>
        <v>66.319999999999993</v>
      </c>
      <c r="J52" s="23">
        <f>IF(RESULTADO!$F$148&lt;=J$36,(J$10+J$27+J17),J40)</f>
        <v>76.900000000000006</v>
      </c>
      <c r="K52" s="23">
        <f>IF(RESULTADO!$F$148&lt;=K$36,(K$10+K$27+K17),K40)</f>
        <v>56.08</v>
      </c>
      <c r="L52" s="23">
        <f>IF(RESULTADO!$F$148&lt;=L$36,(L$10+L$27+L17),L40)</f>
        <v>55.7</v>
      </c>
      <c r="M52" s="23">
        <f>IF(RESULTADO!$F$148&lt;=M$36,(M$10+M$27+M17),M40)</f>
        <v>55.7</v>
      </c>
      <c r="N52" s="404">
        <f>IF(RESULTADO!$F$148&lt;=N$36,(N$10+N$27+N17),N40)</f>
        <v>215.7</v>
      </c>
      <c r="O52" s="405">
        <f>IF(RESULTADO!$F$148&lt;=O$36,(O$10+O$27+O17),O40)</f>
        <v>215.7</v>
      </c>
      <c r="P52" s="23">
        <f>IF(RESULTADO!$F$148&lt;=P$36,(P$10+P$27+P17),P40)</f>
        <v>215.7</v>
      </c>
      <c r="Q52" s="23">
        <f>IF(RESULTADO!$F$148&lt;=Q$36,(Q$10+Q$27+Q17),Q40)</f>
        <v>215.7</v>
      </c>
      <c r="R52" s="23">
        <f>IF(RESULTADO!$F$148&lt;=R$36,(R$10+R$27+R17),R40)</f>
        <v>215.7</v>
      </c>
      <c r="S52" s="23">
        <f>IF(RESULTADO!$F$148&lt;=S$36,(S$10+S$27+S17),S40)</f>
        <v>215.7</v>
      </c>
      <c r="T52" s="23">
        <f>IF(RESULTADO!$F$148&lt;=T$36,(T$10+T$27+T17),T40)</f>
        <v>215.87453536906816</v>
      </c>
      <c r="U52" s="23">
        <f>IF(RESULTADO!$F$148&lt;=U$36,(U$10+U$27+U17),U40)</f>
        <v>219.54033706800561</v>
      </c>
      <c r="V52" s="23">
        <f>IF(RESULTADO!$F$148&lt;=V$36,(V$10+V$27+V17),V40)</f>
        <v>219.54033706800561</v>
      </c>
      <c r="W52" s="23">
        <f>IF(RESULTADO!$F$148&lt;=W$36,(W$10+W$27+W17),W40)</f>
        <v>219.54033706800561</v>
      </c>
      <c r="X52" s="23">
        <f>IF(RESULTADO!$F$148&lt;=X$36,(X$10+X$27+X17),X40)</f>
        <v>222.08710456410955</v>
      </c>
      <c r="Y52" s="23">
        <f>IF(RESULTADO!$F$148&lt;=Y$36,(Y$10+Y$27+Y17),Y40)</f>
        <v>222.08710456410955</v>
      </c>
      <c r="Z52" s="404">
        <f>IF(RESULTADO!$F$148&lt;=Z$36,(Z$10+Z$27+Z17),Z40)</f>
        <v>222.08710456410955</v>
      </c>
      <c r="AA52" s="405">
        <f>IF(RESULTADO!$F$148&lt;=AA$36,(AA$10+AA$27+AA17),AA40)</f>
        <v>257.27876174507855</v>
      </c>
      <c r="AB52" s="23">
        <f>IF(RESULTADO!$F$148&lt;=AB$36,(AB$10+AB$27+AB17),AB40)</f>
        <v>257.27876174507855</v>
      </c>
      <c r="AC52" s="23">
        <f>IF(RESULTADO!$F$148&lt;=AC$36,(AC$10+AC$27+AC17),AC40)</f>
        <v>257.27876174507855</v>
      </c>
      <c r="AD52" s="23">
        <f>IF(RESULTADO!$F$148&lt;=AD$36,(AD$10+AD$27+AD17),AD40)</f>
        <v>257.27876174507855</v>
      </c>
      <c r="AE52" s="23">
        <f>IF(RESULTADO!$F$148&lt;=AE$36,(AE$10+AE$27+AE17),AE40)</f>
        <v>257.27876174507855</v>
      </c>
      <c r="AF52" s="23">
        <f>IF(RESULTADO!$F$148&lt;=AF$36,(AF$10+AF$27+AF17),AF40)</f>
        <v>257.27876174507855</v>
      </c>
      <c r="AG52" s="23">
        <f>IF(RESULTADO!$F$148&lt;=AG$36,(AG$10+AG$27+AG17),AG40)</f>
        <v>257.27876174507855</v>
      </c>
      <c r="AH52" s="23">
        <f>IF(RESULTADO!$F$148&lt;=AH$36,(AH$10+AH$27+AH17),AH40)</f>
        <v>257.27876174507855</v>
      </c>
      <c r="AI52" s="23">
        <f>IF(RESULTADO!$F$148&lt;=AI$36,(AI$10+AI$27+AI17),AI40)</f>
        <v>257.27876174507855</v>
      </c>
      <c r="AJ52" s="23">
        <f>IF(RESULTADO!$F$148&lt;=AJ$36,(AJ$10+AJ$27+AJ17),AJ40)</f>
        <v>257.27876174507855</v>
      </c>
      <c r="AK52" s="23">
        <f>IF(RESULTADO!$F$148&lt;=AK$36,(AK$10+AK$27+AK17),AK40)</f>
        <v>257.27876174507855</v>
      </c>
      <c r="AL52" s="404">
        <f>IF(RESULTADO!$F$148&lt;=AL$36,(AL$10+AL$27+AL17),AL40)</f>
        <v>257.27876174507855</v>
      </c>
      <c r="AM52" s="405">
        <f>IF(RESULTADO!$F$148&lt;=AM$36,(AM$10+AM$27+AM17),AM40)</f>
        <v>232</v>
      </c>
      <c r="AN52" s="23">
        <f>IF(RESULTADO!$F$148&lt;=AN$36,(AN$10+AN$27+AN17),AN40)</f>
        <v>232</v>
      </c>
      <c r="AO52" s="23">
        <f>IF(RESULTADO!$F$148&lt;=AO$36,(AO$10+AO$27+AO17),AO40)</f>
        <v>232</v>
      </c>
      <c r="AP52" s="23">
        <f>IF(RESULTADO!$F$148&lt;=AP$36,(AP$10+AP$27+AP17),AP40)</f>
        <v>232</v>
      </c>
      <c r="AQ52" s="23">
        <f>IF(RESULTADO!$F$148&lt;=AQ$36,(AQ$10+AQ$27+AQ17),AQ40)</f>
        <v>232</v>
      </c>
      <c r="AR52" s="23">
        <f>IF(RESULTADO!$F$148&lt;=AR$36,(AR$10+AR$27+AR17),AR40)</f>
        <v>232</v>
      </c>
      <c r="AS52" s="23">
        <f>IF(RESULTADO!$F$148&lt;=AS$36,(AS$10+AS$27+AS17),AS40)</f>
        <v>232</v>
      </c>
      <c r="AT52" s="23">
        <f>IF(RESULTADO!$F$148&lt;=AT$36,(AT$10+AT$27+AT17),AT40)</f>
        <v>232</v>
      </c>
      <c r="AU52" s="23">
        <f>IF(RESULTADO!$F$148&lt;=AU$36,(AU$10+AU$27+AU17),AU40)</f>
        <v>232</v>
      </c>
      <c r="AV52" s="23">
        <f>IF(RESULTADO!$F$148&lt;=AV$36,(AV$10+AV$27+AV17),AV40)</f>
        <v>232</v>
      </c>
      <c r="AW52" s="23">
        <f>IF(RESULTADO!$F$148&lt;=AW$36,(AW$10+AW$27+AW17),AW40)</f>
        <v>232</v>
      </c>
      <c r="AX52" s="404">
        <f>IF(RESULTADO!$F$148&lt;=AX$36,(AX$10+AX$27+AX17),AX40)</f>
        <v>232</v>
      </c>
      <c r="AY52" s="405">
        <f>IF(RESULTADO!$F$148&lt;=AY$36,(AY$10+AY$27+AY17),AY40)</f>
        <v>255.5</v>
      </c>
      <c r="AZ52" s="23">
        <f>IF(RESULTADO!$F$148&lt;=AZ$36,(AZ$10+AZ$27+AZ17),AZ40)</f>
        <v>255.5</v>
      </c>
      <c r="BA52" s="23">
        <f>IF(RESULTADO!$F$148&lt;=BA$36,(BA$10+BA$27+BA17),BA40)</f>
        <v>255.5</v>
      </c>
      <c r="BB52" s="23">
        <f>IF(RESULTADO!$F$148&lt;=BB$36,(BB$10+BB$27+BB17),BB40)</f>
        <v>255.5</v>
      </c>
      <c r="BC52" s="23">
        <f>IF(RESULTADO!$F$148&lt;=BC$36,(BC$10+BC$27+BC17),BC40)</f>
        <v>255.5</v>
      </c>
      <c r="BD52" s="23">
        <f>IF(RESULTADO!$F$148&lt;=BD$36,(BD$10+BD$27+BD17),BD40)</f>
        <v>255.5</v>
      </c>
      <c r="BE52" s="23">
        <f>IF(RESULTADO!$F$148&lt;=BE$36,(BE$10+BE$27+BE17),BE40)</f>
        <v>255.5</v>
      </c>
      <c r="BF52" s="23">
        <f>IF(RESULTADO!$F$148&lt;=BF$36,(BF$10+BF$27+BF17),BF40)</f>
        <v>255.5</v>
      </c>
      <c r="BG52" s="23">
        <f>IF(RESULTADO!$F$148&lt;=BG$36,(BG$10+BG$27+BG17),BG40)</f>
        <v>255.5</v>
      </c>
      <c r="BH52" s="23">
        <f>IF(RESULTADO!$F$148&lt;=BH$36,(BH$10+BH$27+BH17),BH40)</f>
        <v>255.5</v>
      </c>
      <c r="BI52" s="23">
        <f>IF(RESULTADO!$F$148&lt;=BI$36,(BI$10+BI$27+BI17),BI40)</f>
        <v>255.5</v>
      </c>
      <c r="BJ52" s="24">
        <f>IF(RESULTADO!$F$148&lt;=BJ$36,(BJ$10+BJ$27+BJ17),BJ40)</f>
        <v>255.5</v>
      </c>
      <c r="BL52" s="38" t="s">
        <v>110</v>
      </c>
      <c r="BM52" s="23">
        <f>IF(RESULTADO!$F$148&lt;=BM$36,(C$11+C$27+C17),BM40)</f>
        <v>55.71</v>
      </c>
      <c r="BN52" s="23">
        <f>IF(RESULTADO!$F$148&lt;=BN$36,(D$11+D$27+D17),BN40)</f>
        <v>55.7</v>
      </c>
      <c r="BO52" s="23">
        <f>IF(RESULTADO!$F$148&lt;=BO$36,(E$11+E$27+E17),BO40)</f>
        <v>55.7</v>
      </c>
      <c r="BP52" s="23">
        <f>IF(RESULTADO!$F$148&lt;=BP$36,(F$11+F$27+F17),BP40)</f>
        <v>55.7</v>
      </c>
      <c r="BQ52" s="23">
        <f>IF(RESULTADO!$F$148&lt;=BQ$36,(G$11+G$27+G17),BQ40)</f>
        <v>55.7</v>
      </c>
      <c r="BR52" s="23">
        <f>IF(RESULTADO!$F$148&lt;=BR$36,(H$11+H$27+H17),BR40)</f>
        <v>55.71</v>
      </c>
      <c r="BS52" s="23">
        <f>IF(RESULTADO!$F$148&lt;=BS$36,(I$11+I$27+I17),BS40)</f>
        <v>66.319999999999993</v>
      </c>
      <c r="BT52" s="23">
        <f>IF(RESULTADO!$F$148&lt;=BT$36,(J$11+J$27+J17),BT40)</f>
        <v>76.900000000000006</v>
      </c>
      <c r="BU52" s="23">
        <f>IF(RESULTADO!$F$148&lt;=BU$36,(K$11+K$27+K17),BU40)</f>
        <v>56.08</v>
      </c>
      <c r="BV52" s="23">
        <f>IF(RESULTADO!$F$148&lt;=BV$36,(L$11+L$27+L17),BV40)</f>
        <v>55.7</v>
      </c>
      <c r="BW52" s="23">
        <f>IF(RESULTADO!$F$148&lt;=BW$36,(M$11+M$27+M17),BW40)</f>
        <v>55.7</v>
      </c>
      <c r="BX52" s="404">
        <f>IF(RESULTADO!$F$148&lt;=BX$36,(N$11+N$27+N17),BX40)</f>
        <v>238.40065359479314</v>
      </c>
      <c r="BY52" s="405">
        <f>IF(RESULTADO!$F$148&lt;=BY$36,(O$11+O$27+O17),BY40)</f>
        <v>256.20658075913417</v>
      </c>
      <c r="BZ52" s="23">
        <f>IF(RESULTADO!$F$148&lt;=BZ$36,(P$11+P$27+P17),BZ40)</f>
        <v>252.43064886136426</v>
      </c>
      <c r="CA52" s="23">
        <f>IF(RESULTADO!$F$148&lt;=CA$36,(Q$11+Q$27+Q17),CA40)</f>
        <v>249.05321842026001</v>
      </c>
      <c r="CB52" s="23">
        <f>IF(RESULTADO!$F$148&lt;=CB$36,(R$11+R$27+R17),CB40)</f>
        <v>245.73200871877131</v>
      </c>
      <c r="CC52" s="23">
        <f>IF(RESULTADO!$F$148&lt;=CC$36,(S$11+S$27+S17),CC40)</f>
        <v>246.22330962833448</v>
      </c>
      <c r="CD52" s="23">
        <f>IF(RESULTADO!$F$148&lt;=CD$36,(T$11+T$27+T17),CD40)</f>
        <v>248.92546463093186</v>
      </c>
      <c r="CE52" s="23">
        <f>IF(RESULTADO!$F$148&lt;=CE$36,(U$11+U$27+U17),CE40)</f>
        <v>254.7596629319944</v>
      </c>
      <c r="CF52" s="23">
        <f>IF(RESULTADO!$F$148&lt;=CF$36,(V$11+V$27+V17),CF40)</f>
        <v>254.7596629319944</v>
      </c>
      <c r="CG52" s="23">
        <f>IF(RESULTADO!$F$148&lt;=CG$36,(W$11+W$27+W17),CG40)</f>
        <v>254.7596629319944</v>
      </c>
      <c r="CH52" s="23">
        <f>IF(RESULTADO!$F$148&lt;=CH$36,(X$11+X$27+X17),CH40)</f>
        <v>258.81289543589043</v>
      </c>
      <c r="CI52" s="23">
        <f>IF(RESULTADO!$F$148&lt;=CI$36,(Y$11+Y$27+Y17),CI40)</f>
        <v>258.81289543589043</v>
      </c>
      <c r="CJ52" s="404">
        <f>IF(RESULTADO!$F$148&lt;=CJ$36,(Z$11+Z$27+Z17),CJ40)</f>
        <v>258.81289543589043</v>
      </c>
      <c r="CK52" s="405">
        <f>IF(RESULTADO!$F$148&lt;=CK$36,(AA$11+AA$27+AA17),CK40)</f>
        <v>272.92123825492149</v>
      </c>
      <c r="CL52" s="23">
        <f>IF(RESULTADO!$F$148&lt;=CL$36,(AB$11+AB$27+AB17),CL40)</f>
        <v>272.92123825492149</v>
      </c>
      <c r="CM52" s="23">
        <f>IF(RESULTADO!$F$148&lt;=CM$36,(AC$11+AC$27+AC17),CM40)</f>
        <v>272.92123825492149</v>
      </c>
      <c r="CN52" s="23">
        <f>IF(RESULTADO!$F$148&lt;=CN$36,(AD$11+AD$27+AD17),CN40)</f>
        <v>272.92123825492149</v>
      </c>
      <c r="CO52" s="23">
        <f>IF(RESULTADO!$F$148&lt;=CO$36,(AE$11+AE$27+AE17),CO40)</f>
        <v>272.92123825492149</v>
      </c>
      <c r="CP52" s="23">
        <f>IF(RESULTADO!$F$148&lt;=CP$36,(AF$11+AF$27+AF17),CP40)</f>
        <v>272.92123825492149</v>
      </c>
      <c r="CQ52" s="23">
        <f>IF(RESULTADO!$F$148&lt;=CQ$36,(AG$11+AG$27+AG17),CQ40)</f>
        <v>272.92123825492149</v>
      </c>
      <c r="CR52" s="23">
        <f>IF(RESULTADO!$F$148&lt;=CR$36,(AH$11+AH$27+AH17),CR40)</f>
        <v>272.92123825492149</v>
      </c>
      <c r="CS52" s="23">
        <f>IF(RESULTADO!$F$148&lt;=CS$36,(AI$11+AI$27+AI17),CS40)</f>
        <v>272.92123825492149</v>
      </c>
      <c r="CT52" s="23">
        <f>IF(RESULTADO!$F$148&lt;=CT$36,(AJ$11+AJ$27+AJ17),CT40)</f>
        <v>272.92123825492149</v>
      </c>
      <c r="CU52" s="23">
        <f>IF(RESULTADO!$F$148&lt;=CU$36,(AK$11+AK$27+AK17),CU40)</f>
        <v>272.92123825492149</v>
      </c>
      <c r="CV52" s="404">
        <f>IF(RESULTADO!$F$148&lt;=CV$36,(AL$11+AL$27+AL17),CV40)</f>
        <v>272.92123825492149</v>
      </c>
      <c r="CW52" s="405">
        <f>IF(RESULTADO!$F$148&lt;=CW$36,(AM$11+AM$27+AM17),CW40)</f>
        <v>232</v>
      </c>
      <c r="CX52" s="23">
        <f>IF(RESULTADO!$F$148&lt;=CX$36,(AN$11+AN$27+AN17),CX40)</f>
        <v>232</v>
      </c>
      <c r="CY52" s="23">
        <f>IF(RESULTADO!$F$148&lt;=CY$36,(AO$11+AO$27+AO17),CY40)</f>
        <v>232</v>
      </c>
      <c r="CZ52" s="23">
        <f>IF(RESULTADO!$F$148&lt;=CZ$36,(AP$11+AP$27+AP17),CZ40)</f>
        <v>232</v>
      </c>
      <c r="DA52" s="23">
        <f>IF(RESULTADO!$F$148&lt;=DA$36,(AQ$11+AQ$27+AQ17),DA40)</f>
        <v>232</v>
      </c>
      <c r="DB52" s="23">
        <f>IF(RESULTADO!$F$148&lt;=DB$36,(AR$11+AR$27+AR17),DB40)</f>
        <v>232</v>
      </c>
      <c r="DC52" s="23">
        <f>IF(RESULTADO!$F$148&lt;=DC$36,(AS$11+AS$27+AS17),DC40)</f>
        <v>232</v>
      </c>
      <c r="DD52" s="23">
        <f>IF(RESULTADO!$F$148&lt;=DD$36,(AT$11+AT$27+AT17),DD40)</f>
        <v>232</v>
      </c>
      <c r="DE52" s="23">
        <f>IF(RESULTADO!$F$148&lt;=DE$36,(AU$11+AU$27+AU17),DE40)</f>
        <v>232</v>
      </c>
      <c r="DF52" s="23">
        <f>IF(RESULTADO!$F$148&lt;=DF$36,(AV$11+AV$27+AV17),DF40)</f>
        <v>232</v>
      </c>
      <c r="DG52" s="23">
        <f>IF(RESULTADO!$F$148&lt;=DG$36,(AW$11+AW$27+AW17),DG40)</f>
        <v>232</v>
      </c>
      <c r="DH52" s="404">
        <f>IF(RESULTADO!$F$148&lt;=DH$36,(AX$11+AX$27+AX17),DH40)</f>
        <v>232</v>
      </c>
      <c r="DI52" s="405">
        <f>IF(RESULTADO!$F$148&lt;=DI$36,(AY$11+AY$27+AY17),DI40)</f>
        <v>255.5</v>
      </c>
      <c r="DJ52" s="23">
        <f>IF(RESULTADO!$F$148&lt;=DJ$36,(AZ$11+AZ$27+AZ17),DJ40)</f>
        <v>255.5</v>
      </c>
      <c r="DK52" s="23">
        <f>IF(RESULTADO!$F$148&lt;=DK$36,(BA$11+BA$27+BA17),DK40)</f>
        <v>255.5</v>
      </c>
      <c r="DL52" s="23">
        <f>IF(RESULTADO!$F$148&lt;=DL$36,(BB$11+BB$27+BB17),DL40)</f>
        <v>255.5</v>
      </c>
      <c r="DM52" s="23">
        <f>IF(RESULTADO!$F$148&lt;=DM$36,(BC$11+BC$27+BC17),DM40)</f>
        <v>255.5</v>
      </c>
      <c r="DN52" s="23">
        <f>IF(RESULTADO!$F$148&lt;=DN$36,(BD$11+BD$27+BD17),DN40)</f>
        <v>255.5</v>
      </c>
      <c r="DO52" s="23">
        <f>IF(RESULTADO!$F$148&lt;=DO$36,(BE$11+BE$27+BE17),DO40)</f>
        <v>255.5</v>
      </c>
      <c r="DP52" s="23">
        <f>IF(RESULTADO!$F$148&lt;=DP$36,(BF$11+BF$27+BF17),DP40)</f>
        <v>255.5</v>
      </c>
      <c r="DQ52" s="23">
        <f>IF(RESULTADO!$F$148&lt;=DQ$36,(BG$11+BG$27+BG17),DQ40)</f>
        <v>255.5</v>
      </c>
      <c r="DR52" s="23">
        <f>IF(RESULTADO!$F$148&lt;=DR$36,(BH$11+BH$27+BH17),DR40)</f>
        <v>255.5</v>
      </c>
      <c r="DS52" s="23">
        <f>IF(RESULTADO!$F$148&lt;=DS$36,(BI$11+BI$27+BI17),DS40)</f>
        <v>255.5</v>
      </c>
      <c r="DT52" s="24">
        <f>IF(RESULTADO!$F$148&lt;=DT$36,(BJ$11+BJ$27+BJ17),DT40)</f>
        <v>255.5</v>
      </c>
    </row>
    <row r="53" spans="1:124" x14ac:dyDescent="0.25">
      <c r="A53" s="7"/>
      <c r="B53" s="36" t="s">
        <v>122</v>
      </c>
      <c r="C53" s="20">
        <f>+IF(RESULTADO!$C$102&lt;&gt;0,0,C45-C41)</f>
        <v>0</v>
      </c>
      <c r="D53" s="20">
        <f>+IF(RESULTADO!$C$102&lt;&gt;0,0,D45-D41)</f>
        <v>0</v>
      </c>
      <c r="E53" s="20">
        <f>+IF(RESULTADO!$C$102&lt;&gt;0,0,E45-E41)</f>
        <v>0</v>
      </c>
      <c r="F53" s="20">
        <f>+IF(RESULTADO!$C$102&lt;&gt;0,0,F45-F41)</f>
        <v>0</v>
      </c>
      <c r="G53" s="20">
        <f>+IF(RESULTADO!$C$102&lt;&gt;0,0,G45-G41)</f>
        <v>0</v>
      </c>
      <c r="H53" s="20">
        <f>+IF(RESULTADO!$C$102&lt;&gt;0,0,H45-H41)</f>
        <v>0</v>
      </c>
      <c r="I53" s="20">
        <f>+IF(RESULTADO!$C$102&lt;&gt;0,0,I45-I41)</f>
        <v>0</v>
      </c>
      <c r="J53" s="20">
        <f>+IF(RESULTADO!$C$102&lt;&gt;0,0,J45-J41)</f>
        <v>0</v>
      </c>
      <c r="K53" s="20">
        <f>+IF(RESULTADO!$C$102&lt;&gt;0,0,K45-K41)</f>
        <v>0</v>
      </c>
      <c r="L53" s="20">
        <f>+IF(RESULTADO!$C$102&lt;&gt;0,0,L45-L41)</f>
        <v>0</v>
      </c>
      <c r="M53" s="20">
        <f>+IF(RESULTADO!$C$102&lt;&gt;0,0,M45-M41)</f>
        <v>0</v>
      </c>
      <c r="N53" s="400">
        <f>+IF(RESULTADO!$C$102&lt;&gt;0,0,N45-N41)</f>
        <v>27</v>
      </c>
      <c r="O53" s="401">
        <f>+IF(RESULTADO!$C$102&lt;&gt;0,0,O45-O41)</f>
        <v>30</v>
      </c>
      <c r="P53" s="20">
        <f>+IF(RESULTADO!$C$102&lt;&gt;0,0,P45-P41)</f>
        <v>30</v>
      </c>
      <c r="Q53" s="20">
        <f>+IF(RESULTADO!$C$102&lt;&gt;0,0,Q45-Q41)</f>
        <v>30</v>
      </c>
      <c r="R53" s="20">
        <f>+IF(RESULTADO!$C$102&lt;&gt;0,0,R45-R41)</f>
        <v>30</v>
      </c>
      <c r="S53" s="20">
        <f>+IF(RESULTADO!$C$102&lt;&gt;0,0,S45-S41)</f>
        <v>30</v>
      </c>
      <c r="T53" s="20">
        <f>+IF(RESULTADO!$C$102&lt;&gt;0,0,T45-T41)</f>
        <v>30</v>
      </c>
      <c r="U53" s="20">
        <f>+IF(RESULTADO!$C$102&lt;&gt;0,0,U45-U41)</f>
        <v>29.999999999999993</v>
      </c>
      <c r="V53" s="20">
        <f>+IF(RESULTADO!$C$102&lt;&gt;0,0,V45-V41)</f>
        <v>29.999999999999993</v>
      </c>
      <c r="W53" s="20">
        <f>+IF(RESULTADO!$C$102&lt;&gt;0,0,W45-W41)</f>
        <v>29.999999999999993</v>
      </c>
      <c r="X53" s="20">
        <f>+IF(RESULTADO!$C$102&lt;&gt;0,0,X45-X41)</f>
        <v>30</v>
      </c>
      <c r="Y53" s="20">
        <f>+IF(RESULTADO!$C$102&lt;&gt;0,0,Y45-Y41)</f>
        <v>30</v>
      </c>
      <c r="Z53" s="400">
        <f>+IF(RESULTADO!$C$102&lt;&gt;0,0,Z45-Z41)</f>
        <v>30</v>
      </c>
      <c r="AA53" s="401">
        <f>+IF(RESULTADO!$C$102&lt;&gt;0,0,AA45-AA41)</f>
        <v>32</v>
      </c>
      <c r="AB53" s="20">
        <f>+IF(RESULTADO!$C$102&lt;&gt;0,0,AB45-AB41)</f>
        <v>32</v>
      </c>
      <c r="AC53" s="20">
        <f>+IF(RESULTADO!$C$102&lt;&gt;0,0,AC45-AC41)</f>
        <v>32</v>
      </c>
      <c r="AD53" s="20">
        <f>+IF(RESULTADO!$C$102&lt;&gt;0,0,AD45-AD41)</f>
        <v>32</v>
      </c>
      <c r="AE53" s="20">
        <f>+IF(RESULTADO!$C$102&lt;&gt;0,0,AE45-AE41)</f>
        <v>32</v>
      </c>
      <c r="AF53" s="20">
        <f>+IF(RESULTADO!$C$102&lt;&gt;0,0,AF45-AF41)</f>
        <v>32</v>
      </c>
      <c r="AG53" s="20">
        <f>+IF(RESULTADO!$C$102&lt;&gt;0,0,AG45-AG41)</f>
        <v>32</v>
      </c>
      <c r="AH53" s="20">
        <f>+IF(RESULTADO!$C$102&lt;&gt;0,0,AH45-AH41)</f>
        <v>32</v>
      </c>
      <c r="AI53" s="20">
        <f>+IF(RESULTADO!$C$102&lt;&gt;0,0,AI45-AI41)</f>
        <v>32</v>
      </c>
      <c r="AJ53" s="20">
        <f>+IF(RESULTADO!$C$102&lt;&gt;0,0,AJ45-AJ41)</f>
        <v>32</v>
      </c>
      <c r="AK53" s="20">
        <f>+IF(RESULTADO!$C$102&lt;&gt;0,0,AK45-AK41)</f>
        <v>32</v>
      </c>
      <c r="AL53" s="400">
        <f>+IF(RESULTADO!$C$102&lt;&gt;0,0,AL45-AL41)</f>
        <v>32</v>
      </c>
      <c r="AM53" s="401">
        <f>+IF(RESULTADO!$C$102&lt;&gt;0,0,AM45-AM41)</f>
        <v>37</v>
      </c>
      <c r="AN53" s="20">
        <f>+IF(RESULTADO!$C$102&lt;&gt;0,0,AN45-AN41)</f>
        <v>37</v>
      </c>
      <c r="AO53" s="20">
        <f>+IF(RESULTADO!$C$102&lt;&gt;0,0,AO45-AO41)</f>
        <v>37</v>
      </c>
      <c r="AP53" s="20">
        <f>+IF(RESULTADO!$C$102&lt;&gt;0,0,AP45-AP41)</f>
        <v>37</v>
      </c>
      <c r="AQ53" s="20">
        <f>+IF(RESULTADO!$C$102&lt;&gt;0,0,AQ45-AQ41)</f>
        <v>37</v>
      </c>
      <c r="AR53" s="20">
        <f>+IF(RESULTADO!$C$102&lt;&gt;0,0,AR45-AR41)</f>
        <v>37</v>
      </c>
      <c r="AS53" s="20">
        <f>+IF(RESULTADO!$C$102&lt;&gt;0,0,AS45-AS41)</f>
        <v>37</v>
      </c>
      <c r="AT53" s="20">
        <f>+IF(RESULTADO!$C$102&lt;&gt;0,0,AT45-AT41)</f>
        <v>37</v>
      </c>
      <c r="AU53" s="20">
        <f>+IF(RESULTADO!$C$102&lt;&gt;0,0,AU45-AU41)</f>
        <v>37</v>
      </c>
      <c r="AV53" s="20">
        <f>+IF(RESULTADO!$C$102&lt;&gt;0,0,AV45-AV41)</f>
        <v>37</v>
      </c>
      <c r="AW53" s="20">
        <f>+IF(RESULTADO!$C$102&lt;&gt;0,0,AW45-AW41)</f>
        <v>37</v>
      </c>
      <c r="AX53" s="400">
        <f>+IF(RESULTADO!$C$102&lt;&gt;0,0,AX45-AX41)</f>
        <v>37</v>
      </c>
      <c r="AY53" s="401">
        <f>+IF(RESULTADO!$C$102&lt;&gt;0,0,AY45-AY41)</f>
        <v>35</v>
      </c>
      <c r="AZ53" s="20">
        <f>+IF(RESULTADO!$C$102&lt;&gt;0,0,AZ45-AZ41)</f>
        <v>35</v>
      </c>
      <c r="BA53" s="20">
        <f>+IF(RESULTADO!$C$102&lt;&gt;0,0,BA45-BA41)</f>
        <v>35</v>
      </c>
      <c r="BB53" s="20">
        <f>+IF(RESULTADO!$C$102&lt;&gt;0,0,BB45-BB41)</f>
        <v>35</v>
      </c>
      <c r="BC53" s="20">
        <f>+IF(RESULTADO!$C$102&lt;&gt;0,0,BC45-BC41)</f>
        <v>35</v>
      </c>
      <c r="BD53" s="20">
        <f>+IF(RESULTADO!$C$102&lt;&gt;0,0,BD45-BD41)</f>
        <v>35</v>
      </c>
      <c r="BE53" s="20">
        <f>+IF(RESULTADO!$C$102&lt;&gt;0,0,BE45-BE41)</f>
        <v>35</v>
      </c>
      <c r="BF53" s="20">
        <f>+IF(RESULTADO!$C$102&lt;&gt;0,0,BF45-BF41)</f>
        <v>35</v>
      </c>
      <c r="BG53" s="20">
        <f>+IF(RESULTADO!$C$102&lt;&gt;0,0,BG45-BG41)</f>
        <v>35</v>
      </c>
      <c r="BH53" s="20">
        <f>+IF(RESULTADO!$C$102&lt;&gt;0,0,BH45-BH41)</f>
        <v>35</v>
      </c>
      <c r="BI53" s="20">
        <f>+IF(RESULTADO!$C$102&lt;&gt;0,0,BI45-BI41)</f>
        <v>35</v>
      </c>
      <c r="BJ53" s="21">
        <f>+IF(RESULTADO!$C$102&lt;&gt;0,0,BJ45-BJ41)</f>
        <v>35</v>
      </c>
      <c r="BL53" s="36" t="s">
        <v>122</v>
      </c>
      <c r="BM53" s="20">
        <f>+IF(RESULTADO!$C$102&lt;&gt;0,0,BM45-BM41)</f>
        <v>0</v>
      </c>
      <c r="BN53" s="20">
        <f>+IF(RESULTADO!$C$102&lt;&gt;0,0,BN45-BN41)</f>
        <v>0</v>
      </c>
      <c r="BO53" s="20">
        <f>+IF(RESULTADO!$C$102&lt;&gt;0,0,BO45-BO41)</f>
        <v>0</v>
      </c>
      <c r="BP53" s="20">
        <f>+IF(RESULTADO!$C$102&lt;&gt;0,0,BP45-BP41)</f>
        <v>0</v>
      </c>
      <c r="BQ53" s="20">
        <f>+IF(RESULTADO!$C$102&lt;&gt;0,0,BQ45-BQ41)</f>
        <v>0</v>
      </c>
      <c r="BR53" s="20">
        <f>+IF(RESULTADO!$C$102&lt;&gt;0,0,BR45-BR41)</f>
        <v>0</v>
      </c>
      <c r="BS53" s="20">
        <f>+IF(RESULTADO!$C$102&lt;&gt;0,0,BS45-BS41)</f>
        <v>0</v>
      </c>
      <c r="BT53" s="20">
        <f>+IF(RESULTADO!$C$102&lt;&gt;0,0,BT45-BT41)</f>
        <v>0</v>
      </c>
      <c r="BU53" s="20">
        <f>+IF(RESULTADO!$C$102&lt;&gt;0,0,BU45-BU41)</f>
        <v>0</v>
      </c>
      <c r="BV53" s="20">
        <f>+IF(RESULTADO!$C$102&lt;&gt;0,0,BV45-BV41)</f>
        <v>0</v>
      </c>
      <c r="BW53" s="20">
        <f>+IF(RESULTADO!$C$102&lt;&gt;0,0,BW45-BW41)</f>
        <v>0</v>
      </c>
      <c r="BX53" s="400">
        <f>+IF(RESULTADO!$C$102&lt;&gt;0,0,BX45-BX41)</f>
        <v>27</v>
      </c>
      <c r="BY53" s="401">
        <f>+IF(RESULTADO!$C$102&lt;&gt;0,0,BY45-BY41)</f>
        <v>30</v>
      </c>
      <c r="BZ53" s="20">
        <f>+IF(RESULTADO!$C$102&lt;&gt;0,0,BZ45-BZ41)</f>
        <v>30</v>
      </c>
      <c r="CA53" s="20">
        <f>+IF(RESULTADO!$C$102&lt;&gt;0,0,CA45-CA41)</f>
        <v>30</v>
      </c>
      <c r="CB53" s="20">
        <f>+IF(RESULTADO!$C$102&lt;&gt;0,0,CB45-CB41)</f>
        <v>30</v>
      </c>
      <c r="CC53" s="20">
        <f>+IF(RESULTADO!$C$102&lt;&gt;0,0,CC45-CC41)</f>
        <v>30</v>
      </c>
      <c r="CD53" s="20">
        <f>+IF(RESULTADO!$C$102&lt;&gt;0,0,CD45-CD41)</f>
        <v>30</v>
      </c>
      <c r="CE53" s="20">
        <f>+IF(RESULTADO!$C$102&lt;&gt;0,0,CE45-CE41)</f>
        <v>30</v>
      </c>
      <c r="CF53" s="20">
        <f>+IF(RESULTADO!$C$102&lt;&gt;0,0,CF45-CF41)</f>
        <v>30</v>
      </c>
      <c r="CG53" s="20">
        <f>+IF(RESULTADO!$C$102&lt;&gt;0,0,CG45-CG41)</f>
        <v>30</v>
      </c>
      <c r="CH53" s="20">
        <f>+IF(RESULTADO!$C$102&lt;&gt;0,0,CH45-CH41)</f>
        <v>29.999999999999986</v>
      </c>
      <c r="CI53" s="20">
        <f>+IF(RESULTADO!$C$102&lt;&gt;0,0,CI45-CI41)</f>
        <v>29.999999999999986</v>
      </c>
      <c r="CJ53" s="400">
        <f>+IF(RESULTADO!$C$102&lt;&gt;0,0,CJ45-CJ41)</f>
        <v>29.999999999999986</v>
      </c>
      <c r="CK53" s="401">
        <f>+IF(RESULTADO!$C$102&lt;&gt;0,0,CK45-CK41)</f>
        <v>32</v>
      </c>
      <c r="CL53" s="20">
        <f>+IF(RESULTADO!$C$102&lt;&gt;0,0,CL45-CL41)</f>
        <v>32</v>
      </c>
      <c r="CM53" s="20">
        <f>+IF(RESULTADO!$C$102&lt;&gt;0,0,CM45-CM41)</f>
        <v>32</v>
      </c>
      <c r="CN53" s="20">
        <f>+IF(RESULTADO!$C$102&lt;&gt;0,0,CN45-CN41)</f>
        <v>32</v>
      </c>
      <c r="CO53" s="20">
        <f>+IF(RESULTADO!$C$102&lt;&gt;0,0,CO45-CO41)</f>
        <v>32</v>
      </c>
      <c r="CP53" s="20">
        <f>+IF(RESULTADO!$C$102&lt;&gt;0,0,CP45-CP41)</f>
        <v>32</v>
      </c>
      <c r="CQ53" s="20">
        <f>+IF(RESULTADO!$C$102&lt;&gt;0,0,CQ45-CQ41)</f>
        <v>32</v>
      </c>
      <c r="CR53" s="20">
        <f>+IF(RESULTADO!$C$102&lt;&gt;0,0,CR45-CR41)</f>
        <v>32</v>
      </c>
      <c r="CS53" s="20">
        <f>+IF(RESULTADO!$C$102&lt;&gt;0,0,CS45-CS41)</f>
        <v>32</v>
      </c>
      <c r="CT53" s="20">
        <f>+IF(RESULTADO!$C$102&lt;&gt;0,0,CT45-CT41)</f>
        <v>32</v>
      </c>
      <c r="CU53" s="20">
        <f>+IF(RESULTADO!$C$102&lt;&gt;0,0,CU45-CU41)</f>
        <v>32</v>
      </c>
      <c r="CV53" s="400">
        <f>+IF(RESULTADO!$C$102&lt;&gt;0,0,CV45-CV41)</f>
        <v>32</v>
      </c>
      <c r="CW53" s="401">
        <f>+IF(RESULTADO!$C$102&lt;&gt;0,0,CW45-CW41)</f>
        <v>37</v>
      </c>
      <c r="CX53" s="20">
        <f>+IF(RESULTADO!$C$102&lt;&gt;0,0,CX45-CX41)</f>
        <v>37</v>
      </c>
      <c r="CY53" s="20">
        <f>+IF(RESULTADO!$C$102&lt;&gt;0,0,CY45-CY41)</f>
        <v>37</v>
      </c>
      <c r="CZ53" s="20">
        <f>+IF(RESULTADO!$C$102&lt;&gt;0,0,CZ45-CZ41)</f>
        <v>37</v>
      </c>
      <c r="DA53" s="20">
        <f>+IF(RESULTADO!$C$102&lt;&gt;0,0,DA45-DA41)</f>
        <v>37</v>
      </c>
      <c r="DB53" s="20">
        <f>+IF(RESULTADO!$C$102&lt;&gt;0,0,DB45-DB41)</f>
        <v>37</v>
      </c>
      <c r="DC53" s="20">
        <f>+IF(RESULTADO!$C$102&lt;&gt;0,0,DC45-DC41)</f>
        <v>37</v>
      </c>
      <c r="DD53" s="20">
        <f>+IF(RESULTADO!$C$102&lt;&gt;0,0,DD45-DD41)</f>
        <v>37</v>
      </c>
      <c r="DE53" s="20">
        <f>+IF(RESULTADO!$C$102&lt;&gt;0,0,DE45-DE41)</f>
        <v>37</v>
      </c>
      <c r="DF53" s="20">
        <f>+IF(RESULTADO!$C$102&lt;&gt;0,0,DF45-DF41)</f>
        <v>37</v>
      </c>
      <c r="DG53" s="20">
        <f>+IF(RESULTADO!$C$102&lt;&gt;0,0,DG45-DG41)</f>
        <v>37</v>
      </c>
      <c r="DH53" s="400">
        <f>+IF(RESULTADO!$C$102&lt;&gt;0,0,DH45-DH41)</f>
        <v>37</v>
      </c>
      <c r="DI53" s="401">
        <f>+IF(RESULTADO!$C$102&lt;&gt;0,0,DI45-DI41)</f>
        <v>35</v>
      </c>
      <c r="DJ53" s="20">
        <f>+IF(RESULTADO!$C$102&lt;&gt;0,0,DJ45-DJ41)</f>
        <v>35</v>
      </c>
      <c r="DK53" s="20">
        <f>+IF(RESULTADO!$C$102&lt;&gt;0,0,DK45-DK41)</f>
        <v>35</v>
      </c>
      <c r="DL53" s="20">
        <f>+IF(RESULTADO!$C$102&lt;&gt;0,0,DL45-DL41)</f>
        <v>35</v>
      </c>
      <c r="DM53" s="20">
        <f>+IF(RESULTADO!$C$102&lt;&gt;0,0,DM45-DM41)</f>
        <v>35</v>
      </c>
      <c r="DN53" s="20">
        <f>+IF(RESULTADO!$C$102&lt;&gt;0,0,DN45-DN41)</f>
        <v>35</v>
      </c>
      <c r="DO53" s="20">
        <f>+IF(RESULTADO!$C$102&lt;&gt;0,0,DO45-DO41)</f>
        <v>35</v>
      </c>
      <c r="DP53" s="20">
        <f>+IF(RESULTADO!$C$102&lt;&gt;0,0,DP45-DP41)</f>
        <v>35</v>
      </c>
      <c r="DQ53" s="20">
        <f>+IF(RESULTADO!$C$102&lt;&gt;0,0,DQ45-DQ41)</f>
        <v>35</v>
      </c>
      <c r="DR53" s="20">
        <f>+IF(RESULTADO!$C$102&lt;&gt;0,0,DR45-DR41)</f>
        <v>35</v>
      </c>
      <c r="DS53" s="20">
        <f>+IF(RESULTADO!$C$102&lt;&gt;0,0,DS45-DS41)</f>
        <v>35</v>
      </c>
      <c r="DT53" s="21">
        <f>+IF(RESULTADO!$C$102&lt;&gt;0,0,DT45-DT41)</f>
        <v>35</v>
      </c>
    </row>
    <row r="54" spans="1:124" x14ac:dyDescent="0.25">
      <c r="A54" s="7"/>
      <c r="B54" s="37" t="s">
        <v>123</v>
      </c>
      <c r="C54" s="18">
        <f>+IF(RESULTADO!$C$102&lt;&gt;0,0,C46-C42)</f>
        <v>0</v>
      </c>
      <c r="D54" s="18">
        <f>+IF(RESULTADO!$C$102&lt;&gt;0,0,D46-D42)</f>
        <v>0</v>
      </c>
      <c r="E54" s="18">
        <f>+IF(RESULTADO!$C$102&lt;&gt;0,0,E46-E42)</f>
        <v>0</v>
      </c>
      <c r="F54" s="18">
        <f>+IF(RESULTADO!$C$102&lt;&gt;0,0,F46-F42)</f>
        <v>0</v>
      </c>
      <c r="G54" s="18">
        <f>+IF(RESULTADO!$C$102&lt;&gt;0,0,G46-G42)</f>
        <v>0</v>
      </c>
      <c r="H54" s="18">
        <f>+IF(RESULTADO!$C$102&lt;&gt;0,0,H46-H42)</f>
        <v>0</v>
      </c>
      <c r="I54" s="18">
        <f>+IF(RESULTADO!$C$102&lt;&gt;0,0,I46-I42)</f>
        <v>0</v>
      </c>
      <c r="J54" s="18">
        <f>+IF(RESULTADO!$C$102&lt;&gt;0,0,J46-J42)</f>
        <v>0</v>
      </c>
      <c r="K54" s="18">
        <f>+IF(RESULTADO!$C$102&lt;&gt;0,0,K46-K42)</f>
        <v>0</v>
      </c>
      <c r="L54" s="18">
        <f>+IF(RESULTADO!$C$102&lt;&gt;0,0,L46-L42)</f>
        <v>0</v>
      </c>
      <c r="M54" s="18">
        <f>+IF(RESULTADO!$C$102&lt;&gt;0,0,M46-M42)</f>
        <v>0</v>
      </c>
      <c r="N54" s="402">
        <f>+IF(RESULTADO!$C$102&lt;&gt;0,0,N46-N42)</f>
        <v>27</v>
      </c>
      <c r="O54" s="403">
        <f>+IF(RESULTADO!$C$102&lt;&gt;0,0,O46-O42)</f>
        <v>30</v>
      </c>
      <c r="P54" s="18">
        <f>+IF(RESULTADO!$C$102&lt;&gt;0,0,P46-P42)</f>
        <v>30</v>
      </c>
      <c r="Q54" s="18">
        <f>+IF(RESULTADO!$C$102&lt;&gt;0,0,Q46-Q42)</f>
        <v>30</v>
      </c>
      <c r="R54" s="18">
        <f>+IF(RESULTADO!$C$102&lt;&gt;0,0,R46-R42)</f>
        <v>30</v>
      </c>
      <c r="S54" s="18">
        <f>+IF(RESULTADO!$C$102&lt;&gt;0,0,S46-S42)</f>
        <v>30</v>
      </c>
      <c r="T54" s="18">
        <f>+IF(RESULTADO!$C$102&lt;&gt;0,0,T46-T42)</f>
        <v>30</v>
      </c>
      <c r="U54" s="18">
        <f>+IF(RESULTADO!$C$102&lt;&gt;0,0,U46-U42)</f>
        <v>29.999999999999993</v>
      </c>
      <c r="V54" s="18">
        <f>+IF(RESULTADO!$C$102&lt;&gt;0,0,V46-V42)</f>
        <v>29.999999999999993</v>
      </c>
      <c r="W54" s="18">
        <f>+IF(RESULTADO!$C$102&lt;&gt;0,0,W46-W42)</f>
        <v>29.999999999999993</v>
      </c>
      <c r="X54" s="18">
        <f>+IF(RESULTADO!$C$102&lt;&gt;0,0,X46-X42)</f>
        <v>30</v>
      </c>
      <c r="Y54" s="18">
        <f>+IF(RESULTADO!$C$102&lt;&gt;0,0,Y46-Y42)</f>
        <v>30</v>
      </c>
      <c r="Z54" s="402">
        <f>+IF(RESULTADO!$C$102&lt;&gt;0,0,Z46-Z42)</f>
        <v>30</v>
      </c>
      <c r="AA54" s="403">
        <f>+IF(RESULTADO!$C$102&lt;&gt;0,0,AA46-AA42)</f>
        <v>32</v>
      </c>
      <c r="AB54" s="18">
        <f>+IF(RESULTADO!$C$102&lt;&gt;0,0,AB46-AB42)</f>
        <v>32</v>
      </c>
      <c r="AC54" s="18">
        <f>+IF(RESULTADO!$C$102&lt;&gt;0,0,AC46-AC42)</f>
        <v>32</v>
      </c>
      <c r="AD54" s="18">
        <f>+IF(RESULTADO!$C$102&lt;&gt;0,0,AD46-AD42)</f>
        <v>32</v>
      </c>
      <c r="AE54" s="18">
        <f>+IF(RESULTADO!$C$102&lt;&gt;0,0,AE46-AE42)</f>
        <v>32</v>
      </c>
      <c r="AF54" s="18">
        <f>+IF(RESULTADO!$C$102&lt;&gt;0,0,AF46-AF42)</f>
        <v>32</v>
      </c>
      <c r="AG54" s="18">
        <f>+IF(RESULTADO!$C$102&lt;&gt;0,0,AG46-AG42)</f>
        <v>32</v>
      </c>
      <c r="AH54" s="18">
        <f>+IF(RESULTADO!$C$102&lt;&gt;0,0,AH46-AH42)</f>
        <v>32</v>
      </c>
      <c r="AI54" s="18">
        <f>+IF(RESULTADO!$C$102&lt;&gt;0,0,AI46-AI42)</f>
        <v>32</v>
      </c>
      <c r="AJ54" s="18">
        <f>+IF(RESULTADO!$C$102&lt;&gt;0,0,AJ46-AJ42)</f>
        <v>32</v>
      </c>
      <c r="AK54" s="18">
        <f>+IF(RESULTADO!$C$102&lt;&gt;0,0,AK46-AK42)</f>
        <v>32</v>
      </c>
      <c r="AL54" s="402">
        <f>+IF(RESULTADO!$C$102&lt;&gt;0,0,AL46-AL42)</f>
        <v>32</v>
      </c>
      <c r="AM54" s="403">
        <f>+IF(RESULTADO!$C$102&lt;&gt;0,0,AM46-AM42)</f>
        <v>37</v>
      </c>
      <c r="AN54" s="18">
        <f>+IF(RESULTADO!$C$102&lt;&gt;0,0,AN46-AN42)</f>
        <v>37</v>
      </c>
      <c r="AO54" s="18">
        <f>+IF(RESULTADO!$C$102&lt;&gt;0,0,AO46-AO42)</f>
        <v>37</v>
      </c>
      <c r="AP54" s="18">
        <f>+IF(RESULTADO!$C$102&lt;&gt;0,0,AP46-AP42)</f>
        <v>37</v>
      </c>
      <c r="AQ54" s="18">
        <f>+IF(RESULTADO!$C$102&lt;&gt;0,0,AQ46-AQ42)</f>
        <v>37</v>
      </c>
      <c r="AR54" s="18">
        <f>+IF(RESULTADO!$C$102&lt;&gt;0,0,AR46-AR42)</f>
        <v>37</v>
      </c>
      <c r="AS54" s="18">
        <f>+IF(RESULTADO!$C$102&lt;&gt;0,0,AS46-AS42)</f>
        <v>37</v>
      </c>
      <c r="AT54" s="18">
        <f>+IF(RESULTADO!$C$102&lt;&gt;0,0,AT46-AT42)</f>
        <v>37</v>
      </c>
      <c r="AU54" s="18">
        <f>+IF(RESULTADO!$C$102&lt;&gt;0,0,AU46-AU42)</f>
        <v>37</v>
      </c>
      <c r="AV54" s="18">
        <f>+IF(RESULTADO!$C$102&lt;&gt;0,0,AV46-AV42)</f>
        <v>37</v>
      </c>
      <c r="AW54" s="18">
        <f>+IF(RESULTADO!$C$102&lt;&gt;0,0,AW46-AW42)</f>
        <v>37</v>
      </c>
      <c r="AX54" s="402">
        <f>+IF(RESULTADO!$C$102&lt;&gt;0,0,AX46-AX42)</f>
        <v>37</v>
      </c>
      <c r="AY54" s="403">
        <f>+IF(RESULTADO!$C$102&lt;&gt;0,0,AY46-AY42)</f>
        <v>35</v>
      </c>
      <c r="AZ54" s="18">
        <f>+IF(RESULTADO!$C$102&lt;&gt;0,0,AZ46-AZ42)</f>
        <v>35</v>
      </c>
      <c r="BA54" s="18">
        <f>+IF(RESULTADO!$C$102&lt;&gt;0,0,BA46-BA42)</f>
        <v>35</v>
      </c>
      <c r="BB54" s="18">
        <f>+IF(RESULTADO!$C$102&lt;&gt;0,0,BB46-BB42)</f>
        <v>35</v>
      </c>
      <c r="BC54" s="18">
        <f>+IF(RESULTADO!$C$102&lt;&gt;0,0,BC46-BC42)</f>
        <v>35</v>
      </c>
      <c r="BD54" s="18">
        <f>+IF(RESULTADO!$C$102&lt;&gt;0,0,BD46-BD42)</f>
        <v>35</v>
      </c>
      <c r="BE54" s="18">
        <f>+IF(RESULTADO!$C$102&lt;&gt;0,0,BE46-BE42)</f>
        <v>35</v>
      </c>
      <c r="BF54" s="18">
        <f>+IF(RESULTADO!$C$102&lt;&gt;0,0,BF46-BF42)</f>
        <v>35</v>
      </c>
      <c r="BG54" s="18">
        <f>+IF(RESULTADO!$C$102&lt;&gt;0,0,BG46-BG42)</f>
        <v>35</v>
      </c>
      <c r="BH54" s="18">
        <f>+IF(RESULTADO!$C$102&lt;&gt;0,0,BH46-BH42)</f>
        <v>35</v>
      </c>
      <c r="BI54" s="18">
        <f>+IF(RESULTADO!$C$102&lt;&gt;0,0,BI46-BI42)</f>
        <v>35</v>
      </c>
      <c r="BJ54" s="19">
        <f>+IF(RESULTADO!$C$102&lt;&gt;0,0,BJ46-BJ42)</f>
        <v>35</v>
      </c>
      <c r="BL54" s="37" t="s">
        <v>123</v>
      </c>
      <c r="BM54" s="18">
        <f>+IF(RESULTADO!$C$102&lt;&gt;0,0,BM46-BM42)</f>
        <v>0</v>
      </c>
      <c r="BN54" s="18">
        <f>+IF(RESULTADO!$C$102&lt;&gt;0,0,BN46-BN42)</f>
        <v>0</v>
      </c>
      <c r="BO54" s="18">
        <f>+IF(RESULTADO!$C$102&lt;&gt;0,0,BO46-BO42)</f>
        <v>0</v>
      </c>
      <c r="BP54" s="18">
        <f>+IF(RESULTADO!$C$102&lt;&gt;0,0,BP46-BP42)</f>
        <v>0</v>
      </c>
      <c r="BQ54" s="18">
        <f>+IF(RESULTADO!$C$102&lt;&gt;0,0,BQ46-BQ42)</f>
        <v>0</v>
      </c>
      <c r="BR54" s="18">
        <f>+IF(RESULTADO!$C$102&lt;&gt;0,0,BR46-BR42)</f>
        <v>0</v>
      </c>
      <c r="BS54" s="18">
        <f>+IF(RESULTADO!$C$102&lt;&gt;0,0,BS46-BS42)</f>
        <v>0</v>
      </c>
      <c r="BT54" s="18">
        <f>+IF(RESULTADO!$C$102&lt;&gt;0,0,BT46-BT42)</f>
        <v>0</v>
      </c>
      <c r="BU54" s="18">
        <f>+IF(RESULTADO!$C$102&lt;&gt;0,0,BU46-BU42)</f>
        <v>0</v>
      </c>
      <c r="BV54" s="18">
        <f>+IF(RESULTADO!$C$102&lt;&gt;0,0,BV46-BV42)</f>
        <v>0</v>
      </c>
      <c r="BW54" s="18">
        <f>+IF(RESULTADO!$C$102&lt;&gt;0,0,BW46-BW42)</f>
        <v>0</v>
      </c>
      <c r="BX54" s="402">
        <f>+IF(RESULTADO!$C$102&lt;&gt;0,0,BX46-BX42)</f>
        <v>27</v>
      </c>
      <c r="BY54" s="403">
        <f>+IF(RESULTADO!$C$102&lt;&gt;0,0,BY46-BY42)</f>
        <v>30</v>
      </c>
      <c r="BZ54" s="18">
        <f>+IF(RESULTADO!$C$102&lt;&gt;0,0,BZ46-BZ42)</f>
        <v>30</v>
      </c>
      <c r="CA54" s="18">
        <f>+IF(RESULTADO!$C$102&lt;&gt;0,0,CA46-CA42)</f>
        <v>30</v>
      </c>
      <c r="CB54" s="18">
        <f>+IF(RESULTADO!$C$102&lt;&gt;0,0,CB46-CB42)</f>
        <v>30</v>
      </c>
      <c r="CC54" s="18">
        <f>+IF(RESULTADO!$C$102&lt;&gt;0,0,CC46-CC42)</f>
        <v>30</v>
      </c>
      <c r="CD54" s="18">
        <f>+IF(RESULTADO!$C$102&lt;&gt;0,0,CD46-CD42)</f>
        <v>30</v>
      </c>
      <c r="CE54" s="18">
        <f>+IF(RESULTADO!$C$102&lt;&gt;0,0,CE46-CE42)</f>
        <v>30</v>
      </c>
      <c r="CF54" s="18">
        <f>+IF(RESULTADO!$C$102&lt;&gt;0,0,CF46-CF42)</f>
        <v>30</v>
      </c>
      <c r="CG54" s="18">
        <f>+IF(RESULTADO!$C$102&lt;&gt;0,0,CG46-CG42)</f>
        <v>30</v>
      </c>
      <c r="CH54" s="18">
        <f>+IF(RESULTADO!$C$102&lt;&gt;0,0,CH46-CH42)</f>
        <v>29.999999999999986</v>
      </c>
      <c r="CI54" s="18">
        <f>+IF(RESULTADO!$C$102&lt;&gt;0,0,CI46-CI42)</f>
        <v>29.999999999999986</v>
      </c>
      <c r="CJ54" s="402">
        <f>+IF(RESULTADO!$C$102&lt;&gt;0,0,CJ46-CJ42)</f>
        <v>29.999999999999986</v>
      </c>
      <c r="CK54" s="403">
        <f>+IF(RESULTADO!$C$102&lt;&gt;0,0,CK46-CK42)</f>
        <v>32</v>
      </c>
      <c r="CL54" s="18">
        <f>+IF(RESULTADO!$C$102&lt;&gt;0,0,CL46-CL42)</f>
        <v>32</v>
      </c>
      <c r="CM54" s="18">
        <f>+IF(RESULTADO!$C$102&lt;&gt;0,0,CM46-CM42)</f>
        <v>32</v>
      </c>
      <c r="CN54" s="18">
        <f>+IF(RESULTADO!$C$102&lt;&gt;0,0,CN46-CN42)</f>
        <v>32</v>
      </c>
      <c r="CO54" s="18">
        <f>+IF(RESULTADO!$C$102&lt;&gt;0,0,CO46-CO42)</f>
        <v>32</v>
      </c>
      <c r="CP54" s="18">
        <f>+IF(RESULTADO!$C$102&lt;&gt;0,0,CP46-CP42)</f>
        <v>32</v>
      </c>
      <c r="CQ54" s="18">
        <f>+IF(RESULTADO!$C$102&lt;&gt;0,0,CQ46-CQ42)</f>
        <v>32</v>
      </c>
      <c r="CR54" s="18">
        <f>+IF(RESULTADO!$C$102&lt;&gt;0,0,CR46-CR42)</f>
        <v>32</v>
      </c>
      <c r="CS54" s="18">
        <f>+IF(RESULTADO!$C$102&lt;&gt;0,0,CS46-CS42)</f>
        <v>32</v>
      </c>
      <c r="CT54" s="18">
        <f>+IF(RESULTADO!$C$102&lt;&gt;0,0,CT46-CT42)</f>
        <v>32</v>
      </c>
      <c r="CU54" s="18">
        <f>+IF(RESULTADO!$C$102&lt;&gt;0,0,CU46-CU42)</f>
        <v>32</v>
      </c>
      <c r="CV54" s="402">
        <f>+IF(RESULTADO!$C$102&lt;&gt;0,0,CV46-CV42)</f>
        <v>32</v>
      </c>
      <c r="CW54" s="403">
        <f>+IF(RESULTADO!$C$102&lt;&gt;0,0,CW46-CW42)</f>
        <v>37</v>
      </c>
      <c r="CX54" s="18">
        <f>+IF(RESULTADO!$C$102&lt;&gt;0,0,CX46-CX42)</f>
        <v>37</v>
      </c>
      <c r="CY54" s="18">
        <f>+IF(RESULTADO!$C$102&lt;&gt;0,0,CY46-CY42)</f>
        <v>37</v>
      </c>
      <c r="CZ54" s="18">
        <f>+IF(RESULTADO!$C$102&lt;&gt;0,0,CZ46-CZ42)</f>
        <v>37</v>
      </c>
      <c r="DA54" s="18">
        <f>+IF(RESULTADO!$C$102&lt;&gt;0,0,DA46-DA42)</f>
        <v>37</v>
      </c>
      <c r="DB54" s="18">
        <f>+IF(RESULTADO!$C$102&lt;&gt;0,0,DB46-DB42)</f>
        <v>37</v>
      </c>
      <c r="DC54" s="18">
        <f>+IF(RESULTADO!$C$102&lt;&gt;0,0,DC46-DC42)</f>
        <v>37</v>
      </c>
      <c r="DD54" s="18">
        <f>+IF(RESULTADO!$C$102&lt;&gt;0,0,DD46-DD42)</f>
        <v>37</v>
      </c>
      <c r="DE54" s="18">
        <f>+IF(RESULTADO!$C$102&lt;&gt;0,0,DE46-DE42)</f>
        <v>37</v>
      </c>
      <c r="DF54" s="18">
        <f>+IF(RESULTADO!$C$102&lt;&gt;0,0,DF46-DF42)</f>
        <v>37</v>
      </c>
      <c r="DG54" s="18">
        <f>+IF(RESULTADO!$C$102&lt;&gt;0,0,DG46-DG42)</f>
        <v>37</v>
      </c>
      <c r="DH54" s="402">
        <f>+IF(RESULTADO!$C$102&lt;&gt;0,0,DH46-DH42)</f>
        <v>37</v>
      </c>
      <c r="DI54" s="403">
        <f>+IF(RESULTADO!$C$102&lt;&gt;0,0,DI46-DI42)</f>
        <v>35</v>
      </c>
      <c r="DJ54" s="18">
        <f>+IF(RESULTADO!$C$102&lt;&gt;0,0,DJ46-DJ42)</f>
        <v>35</v>
      </c>
      <c r="DK54" s="18">
        <f>+IF(RESULTADO!$C$102&lt;&gt;0,0,DK46-DK42)</f>
        <v>35</v>
      </c>
      <c r="DL54" s="18">
        <f>+IF(RESULTADO!$C$102&lt;&gt;0,0,DL46-DL42)</f>
        <v>35</v>
      </c>
      <c r="DM54" s="18">
        <f>+IF(RESULTADO!$C$102&lt;&gt;0,0,DM46-DM42)</f>
        <v>35</v>
      </c>
      <c r="DN54" s="18">
        <f>+IF(RESULTADO!$C$102&lt;&gt;0,0,DN46-DN42)</f>
        <v>35</v>
      </c>
      <c r="DO54" s="18">
        <f>+IF(RESULTADO!$C$102&lt;&gt;0,0,DO46-DO42)</f>
        <v>35</v>
      </c>
      <c r="DP54" s="18">
        <f>+IF(RESULTADO!$C$102&lt;&gt;0,0,DP46-DP42)</f>
        <v>35</v>
      </c>
      <c r="DQ54" s="18">
        <f>+IF(RESULTADO!$C$102&lt;&gt;0,0,DQ46-DQ42)</f>
        <v>35</v>
      </c>
      <c r="DR54" s="18">
        <f>+IF(RESULTADO!$C$102&lt;&gt;0,0,DR46-DR42)</f>
        <v>35</v>
      </c>
      <c r="DS54" s="18">
        <f>+IF(RESULTADO!$C$102&lt;&gt;0,0,DS46-DS42)</f>
        <v>35</v>
      </c>
      <c r="DT54" s="19">
        <f>+IF(RESULTADO!$C$102&lt;&gt;0,0,DT46-DT42)</f>
        <v>35</v>
      </c>
    </row>
    <row r="55" spans="1:124" x14ac:dyDescent="0.25">
      <c r="A55" s="7"/>
      <c r="B55" s="37" t="s">
        <v>124</v>
      </c>
      <c r="C55" s="18">
        <f>+IF(RESULTADO!$C$102&lt;&gt;0,0,C47-C43)</f>
        <v>0</v>
      </c>
      <c r="D55" s="18">
        <f>+IF(RESULTADO!$C$102&lt;&gt;0,0,D47-D43)</f>
        <v>0</v>
      </c>
      <c r="E55" s="18">
        <f>+IF(RESULTADO!$C$102&lt;&gt;0,0,E47-E43)</f>
        <v>0</v>
      </c>
      <c r="F55" s="18">
        <f>+IF(RESULTADO!$C$102&lt;&gt;0,0,F47-F43)</f>
        <v>0</v>
      </c>
      <c r="G55" s="18">
        <f>+IF(RESULTADO!$C$102&lt;&gt;0,0,G47-G43)</f>
        <v>0</v>
      </c>
      <c r="H55" s="18">
        <f>+IF(RESULTADO!$C$102&lt;&gt;0,0,H47-H43)</f>
        <v>0</v>
      </c>
      <c r="I55" s="18">
        <f>+IF(RESULTADO!$C$102&lt;&gt;0,0,I47-I43)</f>
        <v>0</v>
      </c>
      <c r="J55" s="18">
        <f>+IF(RESULTADO!$C$102&lt;&gt;0,0,J47-J43)</f>
        <v>0</v>
      </c>
      <c r="K55" s="18">
        <f>+IF(RESULTADO!$C$102&lt;&gt;0,0,K47-K43)</f>
        <v>0</v>
      </c>
      <c r="L55" s="18">
        <f>+IF(RESULTADO!$C$102&lt;&gt;0,0,L47-L43)</f>
        <v>0</v>
      </c>
      <c r="M55" s="18">
        <f>+IF(RESULTADO!$C$102&lt;&gt;0,0,M47-M43)</f>
        <v>0</v>
      </c>
      <c r="N55" s="402">
        <f>+IF(RESULTADO!$C$102&lt;&gt;0,0,N47-N43)</f>
        <v>27</v>
      </c>
      <c r="O55" s="403">
        <f>+IF(RESULTADO!$C$102&lt;&gt;0,0,O47-O43)</f>
        <v>30</v>
      </c>
      <c r="P55" s="18">
        <f>+IF(RESULTADO!$C$102&lt;&gt;0,0,P47-P43)</f>
        <v>30</v>
      </c>
      <c r="Q55" s="18">
        <f>+IF(RESULTADO!$C$102&lt;&gt;0,0,Q47-Q43)</f>
        <v>30</v>
      </c>
      <c r="R55" s="18">
        <f>+IF(RESULTADO!$C$102&lt;&gt;0,0,R47-R43)</f>
        <v>30</v>
      </c>
      <c r="S55" s="18">
        <f>+IF(RESULTADO!$C$102&lt;&gt;0,0,S47-S43)</f>
        <v>30</v>
      </c>
      <c r="T55" s="18">
        <f>+IF(RESULTADO!$C$102&lt;&gt;0,0,T47-T43)</f>
        <v>30</v>
      </c>
      <c r="U55" s="18">
        <f>+IF(RESULTADO!$C$102&lt;&gt;0,0,U47-U43)</f>
        <v>29.999999999999993</v>
      </c>
      <c r="V55" s="18">
        <f>+IF(RESULTADO!$C$102&lt;&gt;0,0,V47-V43)</f>
        <v>29.999999999999993</v>
      </c>
      <c r="W55" s="18">
        <f>+IF(RESULTADO!$C$102&lt;&gt;0,0,W47-W43)</f>
        <v>29.999999999999993</v>
      </c>
      <c r="X55" s="18">
        <f>+IF(RESULTADO!$C$102&lt;&gt;0,0,X47-X43)</f>
        <v>30</v>
      </c>
      <c r="Y55" s="18">
        <f>+IF(RESULTADO!$C$102&lt;&gt;0,0,Y47-Y43)</f>
        <v>30</v>
      </c>
      <c r="Z55" s="402">
        <f>+IF(RESULTADO!$C$102&lt;&gt;0,0,Z47-Z43)</f>
        <v>30</v>
      </c>
      <c r="AA55" s="403">
        <f>+IF(RESULTADO!$C$102&lt;&gt;0,0,AA47-AA43)</f>
        <v>32</v>
      </c>
      <c r="AB55" s="18">
        <f>+IF(RESULTADO!$C$102&lt;&gt;0,0,AB47-AB43)</f>
        <v>32</v>
      </c>
      <c r="AC55" s="18">
        <f>+IF(RESULTADO!$C$102&lt;&gt;0,0,AC47-AC43)</f>
        <v>32</v>
      </c>
      <c r="AD55" s="18">
        <f>+IF(RESULTADO!$C$102&lt;&gt;0,0,AD47-AD43)</f>
        <v>32</v>
      </c>
      <c r="AE55" s="18">
        <f>+IF(RESULTADO!$C$102&lt;&gt;0,0,AE47-AE43)</f>
        <v>32</v>
      </c>
      <c r="AF55" s="18">
        <f>+IF(RESULTADO!$C$102&lt;&gt;0,0,AF47-AF43)</f>
        <v>32</v>
      </c>
      <c r="AG55" s="18">
        <f>+IF(RESULTADO!$C$102&lt;&gt;0,0,AG47-AG43)</f>
        <v>32</v>
      </c>
      <c r="AH55" s="18">
        <f>+IF(RESULTADO!$C$102&lt;&gt;0,0,AH47-AH43)</f>
        <v>32</v>
      </c>
      <c r="AI55" s="18">
        <f>+IF(RESULTADO!$C$102&lt;&gt;0,0,AI47-AI43)</f>
        <v>32</v>
      </c>
      <c r="AJ55" s="18">
        <f>+IF(RESULTADO!$C$102&lt;&gt;0,0,AJ47-AJ43)</f>
        <v>32</v>
      </c>
      <c r="AK55" s="18">
        <f>+IF(RESULTADO!$C$102&lt;&gt;0,0,AK47-AK43)</f>
        <v>32</v>
      </c>
      <c r="AL55" s="402">
        <f>+IF(RESULTADO!$C$102&lt;&gt;0,0,AL47-AL43)</f>
        <v>32</v>
      </c>
      <c r="AM55" s="403">
        <f>+IF(RESULTADO!$C$102&lt;&gt;0,0,AM47-AM43)</f>
        <v>37</v>
      </c>
      <c r="AN55" s="18">
        <f>+IF(RESULTADO!$C$102&lt;&gt;0,0,AN47-AN43)</f>
        <v>37</v>
      </c>
      <c r="AO55" s="18">
        <f>+IF(RESULTADO!$C$102&lt;&gt;0,0,AO47-AO43)</f>
        <v>37</v>
      </c>
      <c r="AP55" s="18">
        <f>+IF(RESULTADO!$C$102&lt;&gt;0,0,AP47-AP43)</f>
        <v>37</v>
      </c>
      <c r="AQ55" s="18">
        <f>+IF(RESULTADO!$C$102&lt;&gt;0,0,AQ47-AQ43)</f>
        <v>37</v>
      </c>
      <c r="AR55" s="18">
        <f>+IF(RESULTADO!$C$102&lt;&gt;0,0,AR47-AR43)</f>
        <v>37</v>
      </c>
      <c r="AS55" s="18">
        <f>+IF(RESULTADO!$C$102&lt;&gt;0,0,AS47-AS43)</f>
        <v>37</v>
      </c>
      <c r="AT55" s="18">
        <f>+IF(RESULTADO!$C$102&lt;&gt;0,0,AT47-AT43)</f>
        <v>37</v>
      </c>
      <c r="AU55" s="18">
        <f>+IF(RESULTADO!$C$102&lt;&gt;0,0,AU47-AU43)</f>
        <v>37</v>
      </c>
      <c r="AV55" s="18">
        <f>+IF(RESULTADO!$C$102&lt;&gt;0,0,AV47-AV43)</f>
        <v>37</v>
      </c>
      <c r="AW55" s="18">
        <f>+IF(RESULTADO!$C$102&lt;&gt;0,0,AW47-AW43)</f>
        <v>37</v>
      </c>
      <c r="AX55" s="402">
        <f>+IF(RESULTADO!$C$102&lt;&gt;0,0,AX47-AX43)</f>
        <v>37</v>
      </c>
      <c r="AY55" s="403">
        <f>+IF(RESULTADO!$C$102&lt;&gt;0,0,AY47-AY43)</f>
        <v>35</v>
      </c>
      <c r="AZ55" s="18">
        <f>+IF(RESULTADO!$C$102&lt;&gt;0,0,AZ47-AZ43)</f>
        <v>35</v>
      </c>
      <c r="BA55" s="18">
        <f>+IF(RESULTADO!$C$102&lt;&gt;0,0,BA47-BA43)</f>
        <v>35</v>
      </c>
      <c r="BB55" s="18">
        <f>+IF(RESULTADO!$C$102&lt;&gt;0,0,BB47-BB43)</f>
        <v>35</v>
      </c>
      <c r="BC55" s="18">
        <f>+IF(RESULTADO!$C$102&lt;&gt;0,0,BC47-BC43)</f>
        <v>35</v>
      </c>
      <c r="BD55" s="18">
        <f>+IF(RESULTADO!$C$102&lt;&gt;0,0,BD47-BD43)</f>
        <v>35</v>
      </c>
      <c r="BE55" s="18">
        <f>+IF(RESULTADO!$C$102&lt;&gt;0,0,BE47-BE43)</f>
        <v>35</v>
      </c>
      <c r="BF55" s="18">
        <f>+IF(RESULTADO!$C$102&lt;&gt;0,0,BF47-BF43)</f>
        <v>35</v>
      </c>
      <c r="BG55" s="18">
        <f>+IF(RESULTADO!$C$102&lt;&gt;0,0,BG47-BG43)</f>
        <v>35</v>
      </c>
      <c r="BH55" s="18">
        <f>+IF(RESULTADO!$C$102&lt;&gt;0,0,BH47-BH43)</f>
        <v>35</v>
      </c>
      <c r="BI55" s="18">
        <f>+IF(RESULTADO!$C$102&lt;&gt;0,0,BI47-BI43)</f>
        <v>35</v>
      </c>
      <c r="BJ55" s="19">
        <f>+IF(RESULTADO!$C$102&lt;&gt;0,0,BJ47-BJ43)</f>
        <v>35</v>
      </c>
      <c r="BL55" s="37" t="s">
        <v>124</v>
      </c>
      <c r="BM55" s="18">
        <f>+IF(RESULTADO!$C$102&lt;&gt;0,0,BM47-BM43)</f>
        <v>0</v>
      </c>
      <c r="BN55" s="18">
        <f>+IF(RESULTADO!$C$102&lt;&gt;0,0,BN47-BN43)</f>
        <v>0</v>
      </c>
      <c r="BO55" s="18">
        <f>+IF(RESULTADO!$C$102&lt;&gt;0,0,BO47-BO43)</f>
        <v>0</v>
      </c>
      <c r="BP55" s="18">
        <f>+IF(RESULTADO!$C$102&lt;&gt;0,0,BP47-BP43)</f>
        <v>0</v>
      </c>
      <c r="BQ55" s="18">
        <f>+IF(RESULTADO!$C$102&lt;&gt;0,0,BQ47-BQ43)</f>
        <v>0</v>
      </c>
      <c r="BR55" s="18">
        <f>+IF(RESULTADO!$C$102&lt;&gt;0,0,BR47-BR43)</f>
        <v>0</v>
      </c>
      <c r="BS55" s="18">
        <f>+IF(RESULTADO!$C$102&lt;&gt;0,0,BS47-BS43)</f>
        <v>0</v>
      </c>
      <c r="BT55" s="18">
        <f>+IF(RESULTADO!$C$102&lt;&gt;0,0,BT47-BT43)</f>
        <v>0</v>
      </c>
      <c r="BU55" s="18">
        <f>+IF(RESULTADO!$C$102&lt;&gt;0,0,BU47-BU43)</f>
        <v>0</v>
      </c>
      <c r="BV55" s="18">
        <f>+IF(RESULTADO!$C$102&lt;&gt;0,0,BV47-BV43)</f>
        <v>0</v>
      </c>
      <c r="BW55" s="18">
        <f>+IF(RESULTADO!$C$102&lt;&gt;0,0,BW47-BW43)</f>
        <v>0</v>
      </c>
      <c r="BX55" s="402">
        <f>+IF(RESULTADO!$C$102&lt;&gt;0,0,BX47-BX43)</f>
        <v>27</v>
      </c>
      <c r="BY55" s="403">
        <f>+IF(RESULTADO!$C$102&lt;&gt;0,0,BY47-BY43)</f>
        <v>30</v>
      </c>
      <c r="BZ55" s="18">
        <f>+IF(RESULTADO!$C$102&lt;&gt;0,0,BZ47-BZ43)</f>
        <v>30</v>
      </c>
      <c r="CA55" s="18">
        <f>+IF(RESULTADO!$C$102&lt;&gt;0,0,CA47-CA43)</f>
        <v>30</v>
      </c>
      <c r="CB55" s="18">
        <f>+IF(RESULTADO!$C$102&lt;&gt;0,0,CB47-CB43)</f>
        <v>30</v>
      </c>
      <c r="CC55" s="18">
        <f>+IF(RESULTADO!$C$102&lt;&gt;0,0,CC47-CC43)</f>
        <v>30</v>
      </c>
      <c r="CD55" s="18">
        <f>+IF(RESULTADO!$C$102&lt;&gt;0,0,CD47-CD43)</f>
        <v>30</v>
      </c>
      <c r="CE55" s="18">
        <f>+IF(RESULTADO!$C$102&lt;&gt;0,0,CE47-CE43)</f>
        <v>30</v>
      </c>
      <c r="CF55" s="18">
        <f>+IF(RESULTADO!$C$102&lt;&gt;0,0,CF47-CF43)</f>
        <v>30</v>
      </c>
      <c r="CG55" s="18">
        <f>+IF(RESULTADO!$C$102&lt;&gt;0,0,CG47-CG43)</f>
        <v>30</v>
      </c>
      <c r="CH55" s="18">
        <f>+IF(RESULTADO!$C$102&lt;&gt;0,0,CH47-CH43)</f>
        <v>29.999999999999986</v>
      </c>
      <c r="CI55" s="18">
        <f>+IF(RESULTADO!$C$102&lt;&gt;0,0,CI47-CI43)</f>
        <v>29.999999999999986</v>
      </c>
      <c r="CJ55" s="402">
        <f>+IF(RESULTADO!$C$102&lt;&gt;0,0,CJ47-CJ43)</f>
        <v>29.999999999999986</v>
      </c>
      <c r="CK55" s="403">
        <f>+IF(RESULTADO!$C$102&lt;&gt;0,0,CK47-CK43)</f>
        <v>32</v>
      </c>
      <c r="CL55" s="18">
        <f>+IF(RESULTADO!$C$102&lt;&gt;0,0,CL47-CL43)</f>
        <v>32</v>
      </c>
      <c r="CM55" s="18">
        <f>+IF(RESULTADO!$C$102&lt;&gt;0,0,CM47-CM43)</f>
        <v>32</v>
      </c>
      <c r="CN55" s="18">
        <f>+IF(RESULTADO!$C$102&lt;&gt;0,0,CN47-CN43)</f>
        <v>32</v>
      </c>
      <c r="CO55" s="18">
        <f>+IF(RESULTADO!$C$102&lt;&gt;0,0,CO47-CO43)</f>
        <v>32</v>
      </c>
      <c r="CP55" s="18">
        <f>+IF(RESULTADO!$C$102&lt;&gt;0,0,CP47-CP43)</f>
        <v>32</v>
      </c>
      <c r="CQ55" s="18">
        <f>+IF(RESULTADO!$C$102&lt;&gt;0,0,CQ47-CQ43)</f>
        <v>32</v>
      </c>
      <c r="CR55" s="18">
        <f>+IF(RESULTADO!$C$102&lt;&gt;0,0,CR47-CR43)</f>
        <v>32</v>
      </c>
      <c r="CS55" s="18">
        <f>+IF(RESULTADO!$C$102&lt;&gt;0,0,CS47-CS43)</f>
        <v>32</v>
      </c>
      <c r="CT55" s="18">
        <f>+IF(RESULTADO!$C$102&lt;&gt;0,0,CT47-CT43)</f>
        <v>32</v>
      </c>
      <c r="CU55" s="18">
        <f>+IF(RESULTADO!$C$102&lt;&gt;0,0,CU47-CU43)</f>
        <v>32</v>
      </c>
      <c r="CV55" s="402">
        <f>+IF(RESULTADO!$C$102&lt;&gt;0,0,CV47-CV43)</f>
        <v>32</v>
      </c>
      <c r="CW55" s="403">
        <f>+IF(RESULTADO!$C$102&lt;&gt;0,0,CW47-CW43)</f>
        <v>37</v>
      </c>
      <c r="CX55" s="18">
        <f>+IF(RESULTADO!$C$102&lt;&gt;0,0,CX47-CX43)</f>
        <v>37</v>
      </c>
      <c r="CY55" s="18">
        <f>+IF(RESULTADO!$C$102&lt;&gt;0,0,CY47-CY43)</f>
        <v>37</v>
      </c>
      <c r="CZ55" s="18">
        <f>+IF(RESULTADO!$C$102&lt;&gt;0,0,CZ47-CZ43)</f>
        <v>37</v>
      </c>
      <c r="DA55" s="18">
        <f>+IF(RESULTADO!$C$102&lt;&gt;0,0,DA47-DA43)</f>
        <v>37</v>
      </c>
      <c r="DB55" s="18">
        <f>+IF(RESULTADO!$C$102&lt;&gt;0,0,DB47-DB43)</f>
        <v>37</v>
      </c>
      <c r="DC55" s="18">
        <f>+IF(RESULTADO!$C$102&lt;&gt;0,0,DC47-DC43)</f>
        <v>37</v>
      </c>
      <c r="DD55" s="18">
        <f>+IF(RESULTADO!$C$102&lt;&gt;0,0,DD47-DD43)</f>
        <v>37</v>
      </c>
      <c r="DE55" s="18">
        <f>+IF(RESULTADO!$C$102&lt;&gt;0,0,DE47-DE43)</f>
        <v>37</v>
      </c>
      <c r="DF55" s="18">
        <f>+IF(RESULTADO!$C$102&lt;&gt;0,0,DF47-DF43)</f>
        <v>37</v>
      </c>
      <c r="DG55" s="18">
        <f>+IF(RESULTADO!$C$102&lt;&gt;0,0,DG47-DG43)</f>
        <v>37</v>
      </c>
      <c r="DH55" s="402">
        <f>+IF(RESULTADO!$C$102&lt;&gt;0,0,DH47-DH43)</f>
        <v>37</v>
      </c>
      <c r="DI55" s="403">
        <f>+IF(RESULTADO!$C$102&lt;&gt;0,0,DI47-DI43)</f>
        <v>35</v>
      </c>
      <c r="DJ55" s="18">
        <f>+IF(RESULTADO!$C$102&lt;&gt;0,0,DJ47-DJ43)</f>
        <v>35</v>
      </c>
      <c r="DK55" s="18">
        <f>+IF(RESULTADO!$C$102&lt;&gt;0,0,DK47-DK43)</f>
        <v>35</v>
      </c>
      <c r="DL55" s="18">
        <f>+IF(RESULTADO!$C$102&lt;&gt;0,0,DL47-DL43)</f>
        <v>35</v>
      </c>
      <c r="DM55" s="18">
        <f>+IF(RESULTADO!$C$102&lt;&gt;0,0,DM47-DM43)</f>
        <v>35</v>
      </c>
      <c r="DN55" s="18">
        <f>+IF(RESULTADO!$C$102&lt;&gt;0,0,DN47-DN43)</f>
        <v>35</v>
      </c>
      <c r="DO55" s="18">
        <f>+IF(RESULTADO!$C$102&lt;&gt;0,0,DO47-DO43)</f>
        <v>35</v>
      </c>
      <c r="DP55" s="18">
        <f>+IF(RESULTADO!$C$102&lt;&gt;0,0,DP47-DP43)</f>
        <v>35</v>
      </c>
      <c r="DQ55" s="18">
        <f>+IF(RESULTADO!$C$102&lt;&gt;0,0,DQ47-DQ43)</f>
        <v>35</v>
      </c>
      <c r="DR55" s="18">
        <f>+IF(RESULTADO!$C$102&lt;&gt;0,0,DR47-DR43)</f>
        <v>35</v>
      </c>
      <c r="DS55" s="18">
        <f>+IF(RESULTADO!$C$102&lt;&gt;0,0,DS47-DS43)</f>
        <v>35</v>
      </c>
      <c r="DT55" s="19">
        <f>+IF(RESULTADO!$C$102&lt;&gt;0,0,DT47-DT43)</f>
        <v>35</v>
      </c>
    </row>
    <row r="56" spans="1:124" ht="15.75" thickBot="1" x14ac:dyDescent="0.3">
      <c r="A56" s="7"/>
      <c r="B56" s="38" t="s">
        <v>125</v>
      </c>
      <c r="C56" s="23">
        <f>+IF(RESULTADO!$C$102&lt;&gt;0,0,C48-C44)</f>
        <v>0</v>
      </c>
      <c r="D56" s="23">
        <f>+IF(RESULTADO!$C$102&lt;&gt;0,0,D48-D44)</f>
        <v>0</v>
      </c>
      <c r="E56" s="23">
        <f>+IF(RESULTADO!$C$102&lt;&gt;0,0,E48-E44)</f>
        <v>0</v>
      </c>
      <c r="F56" s="23">
        <f>+IF(RESULTADO!$C$102&lt;&gt;0,0,F48-F44)</f>
        <v>0</v>
      </c>
      <c r="G56" s="23">
        <f>+IF(RESULTADO!$C$102&lt;&gt;0,0,G48-G44)</f>
        <v>0</v>
      </c>
      <c r="H56" s="23">
        <f>+IF(RESULTADO!$C$102&lt;&gt;0,0,H48-H44)</f>
        <v>0</v>
      </c>
      <c r="I56" s="23">
        <f>+IF(RESULTADO!$C$102&lt;&gt;0,0,I48-I44)</f>
        <v>0</v>
      </c>
      <c r="J56" s="23">
        <f>+IF(RESULTADO!$C$102&lt;&gt;0,0,J48-J44)</f>
        <v>0</v>
      </c>
      <c r="K56" s="23">
        <f>+IF(RESULTADO!$C$102&lt;&gt;0,0,K48-K44)</f>
        <v>0</v>
      </c>
      <c r="L56" s="23">
        <f>+IF(RESULTADO!$C$102&lt;&gt;0,0,L48-L44)</f>
        <v>0</v>
      </c>
      <c r="M56" s="23">
        <f>+IF(RESULTADO!$C$102&lt;&gt;0,0,M48-M44)</f>
        <v>0</v>
      </c>
      <c r="N56" s="404">
        <f>+IF(RESULTADO!$C$102&lt;&gt;0,0,N48-N44)</f>
        <v>27</v>
      </c>
      <c r="O56" s="405">
        <f>+IF(RESULTADO!$C$102&lt;&gt;0,0,O48-O44)</f>
        <v>30</v>
      </c>
      <c r="P56" s="23">
        <f>+IF(RESULTADO!$C$102&lt;&gt;0,0,P48-P44)</f>
        <v>30</v>
      </c>
      <c r="Q56" s="23">
        <f>+IF(RESULTADO!$C$102&lt;&gt;0,0,Q48-Q44)</f>
        <v>30</v>
      </c>
      <c r="R56" s="23">
        <f>+IF(RESULTADO!$C$102&lt;&gt;0,0,R48-R44)</f>
        <v>30</v>
      </c>
      <c r="S56" s="23">
        <f>+IF(RESULTADO!$C$102&lt;&gt;0,0,S48-S44)</f>
        <v>30</v>
      </c>
      <c r="T56" s="23">
        <f>+IF(RESULTADO!$C$102&lt;&gt;0,0,T48-T44)</f>
        <v>30</v>
      </c>
      <c r="U56" s="23">
        <f>+IF(RESULTADO!$C$102&lt;&gt;0,0,U48-U44)</f>
        <v>29.999999999999993</v>
      </c>
      <c r="V56" s="23">
        <f>+IF(RESULTADO!$C$102&lt;&gt;0,0,V48-V44)</f>
        <v>29.999999999999993</v>
      </c>
      <c r="W56" s="23">
        <f>+IF(RESULTADO!$C$102&lt;&gt;0,0,W48-W44)</f>
        <v>29.999999999999993</v>
      </c>
      <c r="X56" s="23">
        <f>+IF(RESULTADO!$C$102&lt;&gt;0,0,X48-X44)</f>
        <v>30</v>
      </c>
      <c r="Y56" s="23">
        <f>+IF(RESULTADO!$C$102&lt;&gt;0,0,Y48-Y44)</f>
        <v>30</v>
      </c>
      <c r="Z56" s="404">
        <f>+IF(RESULTADO!$C$102&lt;&gt;0,0,Z48-Z44)</f>
        <v>30</v>
      </c>
      <c r="AA56" s="405">
        <f>+IF(RESULTADO!$C$102&lt;&gt;0,0,AA48-AA44)</f>
        <v>32</v>
      </c>
      <c r="AB56" s="23">
        <f>+IF(RESULTADO!$C$102&lt;&gt;0,0,AB48-AB44)</f>
        <v>32</v>
      </c>
      <c r="AC56" s="23">
        <f>+IF(RESULTADO!$C$102&lt;&gt;0,0,AC48-AC44)</f>
        <v>32</v>
      </c>
      <c r="AD56" s="23">
        <f>+IF(RESULTADO!$C$102&lt;&gt;0,0,AD48-AD44)</f>
        <v>32</v>
      </c>
      <c r="AE56" s="23">
        <f>+IF(RESULTADO!$C$102&lt;&gt;0,0,AE48-AE44)</f>
        <v>32</v>
      </c>
      <c r="AF56" s="23">
        <f>+IF(RESULTADO!$C$102&lt;&gt;0,0,AF48-AF44)</f>
        <v>32</v>
      </c>
      <c r="AG56" s="23">
        <f>+IF(RESULTADO!$C$102&lt;&gt;0,0,AG48-AG44)</f>
        <v>32</v>
      </c>
      <c r="AH56" s="23">
        <f>+IF(RESULTADO!$C$102&lt;&gt;0,0,AH48-AH44)</f>
        <v>32</v>
      </c>
      <c r="AI56" s="23">
        <f>+IF(RESULTADO!$C$102&lt;&gt;0,0,AI48-AI44)</f>
        <v>32</v>
      </c>
      <c r="AJ56" s="23">
        <f>+IF(RESULTADO!$C$102&lt;&gt;0,0,AJ48-AJ44)</f>
        <v>32</v>
      </c>
      <c r="AK56" s="23">
        <f>+IF(RESULTADO!$C$102&lt;&gt;0,0,AK48-AK44)</f>
        <v>32</v>
      </c>
      <c r="AL56" s="404">
        <f>+IF(RESULTADO!$C$102&lt;&gt;0,0,AL48-AL44)</f>
        <v>32</v>
      </c>
      <c r="AM56" s="405">
        <f>+IF(RESULTADO!$C$102&lt;&gt;0,0,AM48-AM44)</f>
        <v>37</v>
      </c>
      <c r="AN56" s="23">
        <f>+IF(RESULTADO!$C$102&lt;&gt;0,0,AN48-AN44)</f>
        <v>37</v>
      </c>
      <c r="AO56" s="23">
        <f>+IF(RESULTADO!$C$102&lt;&gt;0,0,AO48-AO44)</f>
        <v>37</v>
      </c>
      <c r="AP56" s="23">
        <f>+IF(RESULTADO!$C$102&lt;&gt;0,0,AP48-AP44)</f>
        <v>37</v>
      </c>
      <c r="AQ56" s="23">
        <f>+IF(RESULTADO!$C$102&lt;&gt;0,0,AQ48-AQ44)</f>
        <v>37</v>
      </c>
      <c r="AR56" s="23">
        <f>+IF(RESULTADO!$C$102&lt;&gt;0,0,AR48-AR44)</f>
        <v>37</v>
      </c>
      <c r="AS56" s="23">
        <f>+IF(RESULTADO!$C$102&lt;&gt;0,0,AS48-AS44)</f>
        <v>37</v>
      </c>
      <c r="AT56" s="23">
        <f>+IF(RESULTADO!$C$102&lt;&gt;0,0,AT48-AT44)</f>
        <v>37</v>
      </c>
      <c r="AU56" s="23">
        <f>+IF(RESULTADO!$C$102&lt;&gt;0,0,AU48-AU44)</f>
        <v>37</v>
      </c>
      <c r="AV56" s="23">
        <f>+IF(RESULTADO!$C$102&lt;&gt;0,0,AV48-AV44)</f>
        <v>37</v>
      </c>
      <c r="AW56" s="23">
        <f>+IF(RESULTADO!$C$102&lt;&gt;0,0,AW48-AW44)</f>
        <v>37</v>
      </c>
      <c r="AX56" s="404">
        <f>+IF(RESULTADO!$C$102&lt;&gt;0,0,AX48-AX44)</f>
        <v>37</v>
      </c>
      <c r="AY56" s="405">
        <f>+IF(RESULTADO!$C$102&lt;&gt;0,0,AY48-AY44)</f>
        <v>35</v>
      </c>
      <c r="AZ56" s="23">
        <f>+IF(RESULTADO!$C$102&lt;&gt;0,0,AZ48-AZ44)</f>
        <v>35</v>
      </c>
      <c r="BA56" s="23">
        <f>+IF(RESULTADO!$C$102&lt;&gt;0,0,BA48-BA44)</f>
        <v>35</v>
      </c>
      <c r="BB56" s="23">
        <f>+IF(RESULTADO!$C$102&lt;&gt;0,0,BB48-BB44)</f>
        <v>35</v>
      </c>
      <c r="BC56" s="23">
        <f>+IF(RESULTADO!$C$102&lt;&gt;0,0,BC48-BC44)</f>
        <v>35</v>
      </c>
      <c r="BD56" s="23">
        <f>+IF(RESULTADO!$C$102&lt;&gt;0,0,BD48-BD44)</f>
        <v>35</v>
      </c>
      <c r="BE56" s="23">
        <f>+IF(RESULTADO!$C$102&lt;&gt;0,0,BE48-BE44)</f>
        <v>35</v>
      </c>
      <c r="BF56" s="23">
        <f>+IF(RESULTADO!$C$102&lt;&gt;0,0,BF48-BF44)</f>
        <v>35</v>
      </c>
      <c r="BG56" s="23">
        <f>+IF(RESULTADO!$C$102&lt;&gt;0,0,BG48-BG44)</f>
        <v>35</v>
      </c>
      <c r="BH56" s="23">
        <f>+IF(RESULTADO!$C$102&lt;&gt;0,0,BH48-BH44)</f>
        <v>35</v>
      </c>
      <c r="BI56" s="23">
        <f>+IF(RESULTADO!$C$102&lt;&gt;0,0,BI48-BI44)</f>
        <v>35</v>
      </c>
      <c r="BJ56" s="24">
        <f>+IF(RESULTADO!$C$102&lt;&gt;0,0,BJ48-BJ44)</f>
        <v>35</v>
      </c>
      <c r="BL56" s="38" t="s">
        <v>125</v>
      </c>
      <c r="BM56" s="23">
        <f>+IF(RESULTADO!$C$102&lt;&gt;0,0,BM48-BM44)</f>
        <v>0</v>
      </c>
      <c r="BN56" s="23">
        <f>+IF(RESULTADO!$C$102&lt;&gt;0,0,BN48-BN44)</f>
        <v>0</v>
      </c>
      <c r="BO56" s="23">
        <f>+IF(RESULTADO!$C$102&lt;&gt;0,0,BO48-BO44)</f>
        <v>0</v>
      </c>
      <c r="BP56" s="23">
        <f>+IF(RESULTADO!$C$102&lt;&gt;0,0,BP48-BP44)</f>
        <v>0</v>
      </c>
      <c r="BQ56" s="23">
        <f>+IF(RESULTADO!$C$102&lt;&gt;0,0,BQ48-BQ44)</f>
        <v>0</v>
      </c>
      <c r="BR56" s="23">
        <f>+IF(RESULTADO!$C$102&lt;&gt;0,0,BR48-BR44)</f>
        <v>0</v>
      </c>
      <c r="BS56" s="23">
        <f>+IF(RESULTADO!$C$102&lt;&gt;0,0,BS48-BS44)</f>
        <v>0</v>
      </c>
      <c r="BT56" s="23">
        <f>+IF(RESULTADO!$C$102&lt;&gt;0,0,BT48-BT44)</f>
        <v>0</v>
      </c>
      <c r="BU56" s="23">
        <f>+IF(RESULTADO!$C$102&lt;&gt;0,0,BU48-BU44)</f>
        <v>0</v>
      </c>
      <c r="BV56" s="23">
        <f>+IF(RESULTADO!$C$102&lt;&gt;0,0,BV48-BV44)</f>
        <v>0</v>
      </c>
      <c r="BW56" s="23">
        <f>+IF(RESULTADO!$C$102&lt;&gt;0,0,BW48-BW44)</f>
        <v>0</v>
      </c>
      <c r="BX56" s="404">
        <f>+IF(RESULTADO!$C$102&lt;&gt;0,0,BX48-BX44)</f>
        <v>27</v>
      </c>
      <c r="BY56" s="405">
        <f>+IF(RESULTADO!$C$102&lt;&gt;0,0,BY48-BY44)</f>
        <v>30</v>
      </c>
      <c r="BZ56" s="23">
        <f>+IF(RESULTADO!$C$102&lt;&gt;0,0,BZ48-BZ44)</f>
        <v>30</v>
      </c>
      <c r="CA56" s="23">
        <f>+IF(RESULTADO!$C$102&lt;&gt;0,0,CA48-CA44)</f>
        <v>30</v>
      </c>
      <c r="CB56" s="23">
        <f>+IF(RESULTADO!$C$102&lt;&gt;0,0,CB48-CB44)</f>
        <v>30</v>
      </c>
      <c r="CC56" s="23">
        <f>+IF(RESULTADO!$C$102&lt;&gt;0,0,CC48-CC44)</f>
        <v>30</v>
      </c>
      <c r="CD56" s="23">
        <f>+IF(RESULTADO!$C$102&lt;&gt;0,0,CD48-CD44)</f>
        <v>30</v>
      </c>
      <c r="CE56" s="23">
        <f>+IF(RESULTADO!$C$102&lt;&gt;0,0,CE48-CE44)</f>
        <v>30</v>
      </c>
      <c r="CF56" s="23">
        <f>+IF(RESULTADO!$C$102&lt;&gt;0,0,CF48-CF44)</f>
        <v>30</v>
      </c>
      <c r="CG56" s="23">
        <f>+IF(RESULTADO!$C$102&lt;&gt;0,0,CG48-CG44)</f>
        <v>30</v>
      </c>
      <c r="CH56" s="23">
        <f>+IF(RESULTADO!$C$102&lt;&gt;0,0,CH48-CH44)</f>
        <v>29.999999999999986</v>
      </c>
      <c r="CI56" s="23">
        <f>+IF(RESULTADO!$C$102&lt;&gt;0,0,CI48-CI44)</f>
        <v>29.999999999999986</v>
      </c>
      <c r="CJ56" s="404">
        <f>+IF(RESULTADO!$C$102&lt;&gt;0,0,CJ48-CJ44)</f>
        <v>29.999999999999986</v>
      </c>
      <c r="CK56" s="405">
        <f>+IF(RESULTADO!$C$102&lt;&gt;0,0,CK48-CK44)</f>
        <v>32</v>
      </c>
      <c r="CL56" s="23">
        <f>+IF(RESULTADO!$C$102&lt;&gt;0,0,CL48-CL44)</f>
        <v>32</v>
      </c>
      <c r="CM56" s="23">
        <f>+IF(RESULTADO!$C$102&lt;&gt;0,0,CM48-CM44)</f>
        <v>32</v>
      </c>
      <c r="CN56" s="23">
        <f>+IF(RESULTADO!$C$102&lt;&gt;0,0,CN48-CN44)</f>
        <v>32</v>
      </c>
      <c r="CO56" s="23">
        <f>+IF(RESULTADO!$C$102&lt;&gt;0,0,CO48-CO44)</f>
        <v>32</v>
      </c>
      <c r="CP56" s="23">
        <f>+IF(RESULTADO!$C$102&lt;&gt;0,0,CP48-CP44)</f>
        <v>32</v>
      </c>
      <c r="CQ56" s="23">
        <f>+IF(RESULTADO!$C$102&lt;&gt;0,0,CQ48-CQ44)</f>
        <v>32</v>
      </c>
      <c r="CR56" s="23">
        <f>+IF(RESULTADO!$C$102&lt;&gt;0,0,CR48-CR44)</f>
        <v>32</v>
      </c>
      <c r="CS56" s="23">
        <f>+IF(RESULTADO!$C$102&lt;&gt;0,0,CS48-CS44)</f>
        <v>32</v>
      </c>
      <c r="CT56" s="23">
        <f>+IF(RESULTADO!$C$102&lt;&gt;0,0,CT48-CT44)</f>
        <v>32</v>
      </c>
      <c r="CU56" s="23">
        <f>+IF(RESULTADO!$C$102&lt;&gt;0,0,CU48-CU44)</f>
        <v>32</v>
      </c>
      <c r="CV56" s="404">
        <f>+IF(RESULTADO!$C$102&lt;&gt;0,0,CV48-CV44)</f>
        <v>32</v>
      </c>
      <c r="CW56" s="405">
        <f>+IF(RESULTADO!$C$102&lt;&gt;0,0,CW48-CW44)</f>
        <v>37</v>
      </c>
      <c r="CX56" s="23">
        <f>+IF(RESULTADO!$C$102&lt;&gt;0,0,CX48-CX44)</f>
        <v>37</v>
      </c>
      <c r="CY56" s="23">
        <f>+IF(RESULTADO!$C$102&lt;&gt;0,0,CY48-CY44)</f>
        <v>37</v>
      </c>
      <c r="CZ56" s="23">
        <f>+IF(RESULTADO!$C$102&lt;&gt;0,0,CZ48-CZ44)</f>
        <v>37</v>
      </c>
      <c r="DA56" s="23">
        <f>+IF(RESULTADO!$C$102&lt;&gt;0,0,DA48-DA44)</f>
        <v>37</v>
      </c>
      <c r="DB56" s="23">
        <f>+IF(RESULTADO!$C$102&lt;&gt;0,0,DB48-DB44)</f>
        <v>37</v>
      </c>
      <c r="DC56" s="23">
        <f>+IF(RESULTADO!$C$102&lt;&gt;0,0,DC48-DC44)</f>
        <v>37</v>
      </c>
      <c r="DD56" s="23">
        <f>+IF(RESULTADO!$C$102&lt;&gt;0,0,DD48-DD44)</f>
        <v>37</v>
      </c>
      <c r="DE56" s="23">
        <f>+IF(RESULTADO!$C$102&lt;&gt;0,0,DE48-DE44)</f>
        <v>37</v>
      </c>
      <c r="DF56" s="23">
        <f>+IF(RESULTADO!$C$102&lt;&gt;0,0,DF48-DF44)</f>
        <v>37</v>
      </c>
      <c r="DG56" s="23">
        <f>+IF(RESULTADO!$C$102&lt;&gt;0,0,DG48-DG44)</f>
        <v>37</v>
      </c>
      <c r="DH56" s="404">
        <f>+IF(RESULTADO!$C$102&lt;&gt;0,0,DH48-DH44)</f>
        <v>37</v>
      </c>
      <c r="DI56" s="405">
        <f>+IF(RESULTADO!$C$102&lt;&gt;0,0,DI48-DI44)</f>
        <v>35</v>
      </c>
      <c r="DJ56" s="23">
        <f>+IF(RESULTADO!$C$102&lt;&gt;0,0,DJ48-DJ44)</f>
        <v>35</v>
      </c>
      <c r="DK56" s="23">
        <f>+IF(RESULTADO!$C$102&lt;&gt;0,0,DK48-DK44)</f>
        <v>35</v>
      </c>
      <c r="DL56" s="23">
        <f>+IF(RESULTADO!$C$102&lt;&gt;0,0,DL48-DL44)</f>
        <v>35</v>
      </c>
      <c r="DM56" s="23">
        <f>+IF(RESULTADO!$C$102&lt;&gt;0,0,DM48-DM44)</f>
        <v>35</v>
      </c>
      <c r="DN56" s="23">
        <f>+IF(RESULTADO!$C$102&lt;&gt;0,0,DN48-DN44)</f>
        <v>35</v>
      </c>
      <c r="DO56" s="23">
        <f>+IF(RESULTADO!$C$102&lt;&gt;0,0,DO48-DO44)</f>
        <v>35</v>
      </c>
      <c r="DP56" s="23">
        <f>+IF(RESULTADO!$C$102&lt;&gt;0,0,DP48-DP44)</f>
        <v>35</v>
      </c>
      <c r="DQ56" s="23">
        <f>+IF(RESULTADO!$C$102&lt;&gt;0,0,DQ48-DQ44)</f>
        <v>35</v>
      </c>
      <c r="DR56" s="23">
        <f>+IF(RESULTADO!$C$102&lt;&gt;0,0,DR48-DR44)</f>
        <v>35</v>
      </c>
      <c r="DS56" s="23">
        <f>+IF(RESULTADO!$C$102&lt;&gt;0,0,DS48-DS44)</f>
        <v>35</v>
      </c>
      <c r="DT56" s="24">
        <f>+IF(RESULTADO!$C$102&lt;&gt;0,0,DT48-DT44)</f>
        <v>35</v>
      </c>
    </row>
    <row r="57" spans="1:124" x14ac:dyDescent="0.25">
      <c r="A57" s="7"/>
      <c r="B57" s="36" t="s">
        <v>126</v>
      </c>
      <c r="C57" s="20">
        <f>+IF(RESULTADO!$C$103&lt;&gt;0,0,C49-C41)</f>
        <v>0</v>
      </c>
      <c r="D57" s="20">
        <f>+IF(RESULTADO!$C$103&lt;&gt;0,0,D49-D41)</f>
        <v>0</v>
      </c>
      <c r="E57" s="20">
        <f>+IF(RESULTADO!$C$103&lt;&gt;0,0,E49-E41)</f>
        <v>0</v>
      </c>
      <c r="F57" s="20">
        <f>+IF(RESULTADO!$C$103&lt;&gt;0,0,F49-F41)</f>
        <v>0</v>
      </c>
      <c r="G57" s="20">
        <f>+IF(RESULTADO!$C$103&lt;&gt;0,0,G49-G41)</f>
        <v>0</v>
      </c>
      <c r="H57" s="20">
        <f>+IF(RESULTADO!$C$103&lt;&gt;0,0,H49-H41)</f>
        <v>0</v>
      </c>
      <c r="I57" s="20">
        <f>+IF(RESULTADO!$C$103&lt;&gt;0,0,I49-I41)</f>
        <v>0</v>
      </c>
      <c r="J57" s="20">
        <f>+IF(RESULTADO!$C$103&lt;&gt;0,0,J49-J41)</f>
        <v>0</v>
      </c>
      <c r="K57" s="20">
        <f>+IF(RESULTADO!$C$103&lt;&gt;0,0,K49-K41)</f>
        <v>0</v>
      </c>
      <c r="L57" s="20">
        <f>+IF(RESULTADO!$C$103&lt;&gt;0,0,L49-L41)</f>
        <v>0</v>
      </c>
      <c r="M57" s="20">
        <f>+IF(RESULTADO!$C$103&lt;&gt;0,0,M49-M41)</f>
        <v>0</v>
      </c>
      <c r="N57" s="400">
        <f>+IF(RESULTADO!$C$103&lt;&gt;0,0,N49-N41)</f>
        <v>160</v>
      </c>
      <c r="O57" s="401">
        <f>+IF(RESULTADO!$C$103&lt;&gt;0,0,O49-O41)</f>
        <v>160</v>
      </c>
      <c r="P57" s="20">
        <f>+IF(RESULTADO!$C$103&lt;&gt;0,0,P49-P41)</f>
        <v>160</v>
      </c>
      <c r="Q57" s="20">
        <f>+IF(RESULTADO!$C$103&lt;&gt;0,0,Q49-Q41)</f>
        <v>160</v>
      </c>
      <c r="R57" s="20">
        <f>+IF(RESULTADO!$C$103&lt;&gt;0,0,R49-R41)</f>
        <v>160</v>
      </c>
      <c r="S57" s="20">
        <f>+IF(RESULTADO!$C$103&lt;&gt;0,0,S49-S41)</f>
        <v>160</v>
      </c>
      <c r="T57" s="20">
        <f>+IF(RESULTADO!$C$103&lt;&gt;0,0,T49-T41)</f>
        <v>160</v>
      </c>
      <c r="U57" s="20">
        <f>+IF(RESULTADO!$C$103&lt;&gt;0,0,U49-U41)</f>
        <v>160</v>
      </c>
      <c r="V57" s="20">
        <f>+IF(RESULTADO!$C$103&lt;&gt;0,0,V49-V41)</f>
        <v>160</v>
      </c>
      <c r="W57" s="20">
        <f>+IF(RESULTADO!$C$103&lt;&gt;0,0,W49-W41)</f>
        <v>160</v>
      </c>
      <c r="X57" s="20">
        <f>+IF(RESULTADO!$C$103&lt;&gt;0,0,X49-X41)</f>
        <v>160</v>
      </c>
      <c r="Y57" s="20">
        <f>+IF(RESULTADO!$C$103&lt;&gt;0,0,Y49-Y41)</f>
        <v>160</v>
      </c>
      <c r="Z57" s="400">
        <f>+IF(RESULTADO!$C$103&lt;&gt;0,0,Z49-Z41)</f>
        <v>160</v>
      </c>
      <c r="AA57" s="401">
        <f>+IF(RESULTADO!$C$103&lt;&gt;0,0,AA49-AA41)</f>
        <v>165.00000000000003</v>
      </c>
      <c r="AB57" s="20">
        <f>+IF(RESULTADO!$C$103&lt;&gt;0,0,AB49-AB41)</f>
        <v>165.00000000000003</v>
      </c>
      <c r="AC57" s="20">
        <f>+IF(RESULTADO!$C$103&lt;&gt;0,0,AC49-AC41)</f>
        <v>165.00000000000003</v>
      </c>
      <c r="AD57" s="20">
        <f>+IF(RESULTADO!$C$103&lt;&gt;0,0,AD49-AD41)</f>
        <v>165.00000000000003</v>
      </c>
      <c r="AE57" s="20">
        <f>+IF(RESULTADO!$C$103&lt;&gt;0,0,AE49-AE41)</f>
        <v>165.00000000000003</v>
      </c>
      <c r="AF57" s="20">
        <f>+IF(RESULTADO!$C$103&lt;&gt;0,0,AF49-AF41)</f>
        <v>165.00000000000003</v>
      </c>
      <c r="AG57" s="20">
        <f>+IF(RESULTADO!$C$103&lt;&gt;0,0,AG49-AG41)</f>
        <v>165.00000000000003</v>
      </c>
      <c r="AH57" s="20">
        <f>+IF(RESULTADO!$C$103&lt;&gt;0,0,AH49-AH41)</f>
        <v>165.00000000000003</v>
      </c>
      <c r="AI57" s="20">
        <f>+IF(RESULTADO!$C$103&lt;&gt;0,0,AI49-AI41)</f>
        <v>165.00000000000003</v>
      </c>
      <c r="AJ57" s="20">
        <f>+IF(RESULTADO!$C$103&lt;&gt;0,0,AJ49-AJ41)</f>
        <v>165.00000000000003</v>
      </c>
      <c r="AK57" s="20">
        <f>+IF(RESULTADO!$C$103&lt;&gt;0,0,AK49-AK41)</f>
        <v>165.00000000000003</v>
      </c>
      <c r="AL57" s="400">
        <f>+IF(RESULTADO!$C$103&lt;&gt;0,0,AL49-AL41)</f>
        <v>165.00000000000003</v>
      </c>
      <c r="AM57" s="401">
        <f>+IF(RESULTADO!$C$103&lt;&gt;0,0,AM49-AM41)</f>
        <v>120</v>
      </c>
      <c r="AN57" s="20">
        <f>+IF(RESULTADO!$C$103&lt;&gt;0,0,AN49-AN41)</f>
        <v>120</v>
      </c>
      <c r="AO57" s="20">
        <f>+IF(RESULTADO!$C$103&lt;&gt;0,0,AO49-AO41)</f>
        <v>120</v>
      </c>
      <c r="AP57" s="20">
        <f>+IF(RESULTADO!$C$103&lt;&gt;0,0,AP49-AP41)</f>
        <v>120</v>
      </c>
      <c r="AQ57" s="20">
        <f>+IF(RESULTADO!$C$103&lt;&gt;0,0,AQ49-AQ41)</f>
        <v>120</v>
      </c>
      <c r="AR57" s="20">
        <f>+IF(RESULTADO!$C$103&lt;&gt;0,0,AR49-AR41)</f>
        <v>120</v>
      </c>
      <c r="AS57" s="20">
        <f>+IF(RESULTADO!$C$103&lt;&gt;0,0,AS49-AS41)</f>
        <v>120</v>
      </c>
      <c r="AT57" s="20">
        <f>+IF(RESULTADO!$C$103&lt;&gt;0,0,AT49-AT41)</f>
        <v>120</v>
      </c>
      <c r="AU57" s="20">
        <f>+IF(RESULTADO!$C$103&lt;&gt;0,0,AU49-AU41)</f>
        <v>120</v>
      </c>
      <c r="AV57" s="20">
        <f>+IF(RESULTADO!$C$103&lt;&gt;0,0,AV49-AV41)</f>
        <v>120</v>
      </c>
      <c r="AW57" s="20">
        <f>+IF(RESULTADO!$C$103&lt;&gt;0,0,AW49-AW41)</f>
        <v>120</v>
      </c>
      <c r="AX57" s="400">
        <f>+IF(RESULTADO!$C$103&lt;&gt;0,0,AX49-AX41)</f>
        <v>120</v>
      </c>
      <c r="AY57" s="401">
        <f>+IF(RESULTADO!$C$103&lt;&gt;0,0,AY49-AY41)</f>
        <v>115</v>
      </c>
      <c r="AZ57" s="20">
        <f>+IF(RESULTADO!$C$103&lt;&gt;0,0,AZ49-AZ41)</f>
        <v>115</v>
      </c>
      <c r="BA57" s="20">
        <f>+IF(RESULTADO!$C$103&lt;&gt;0,0,BA49-BA41)</f>
        <v>115</v>
      </c>
      <c r="BB57" s="20">
        <f>+IF(RESULTADO!$C$103&lt;&gt;0,0,BB49-BB41)</f>
        <v>115</v>
      </c>
      <c r="BC57" s="20">
        <f>+IF(RESULTADO!$C$103&lt;&gt;0,0,BC49-BC41)</f>
        <v>115</v>
      </c>
      <c r="BD57" s="20">
        <f>+IF(RESULTADO!$C$103&lt;&gt;0,0,BD49-BD41)</f>
        <v>115</v>
      </c>
      <c r="BE57" s="20">
        <f>+IF(RESULTADO!$C$103&lt;&gt;0,0,BE49-BE41)</f>
        <v>115</v>
      </c>
      <c r="BF57" s="20">
        <f>+IF(RESULTADO!$C$103&lt;&gt;0,0,BF49-BF41)</f>
        <v>115</v>
      </c>
      <c r="BG57" s="20">
        <f>+IF(RESULTADO!$C$103&lt;&gt;0,0,BG49-BG41)</f>
        <v>115</v>
      </c>
      <c r="BH57" s="20">
        <f>+IF(RESULTADO!$C$103&lt;&gt;0,0,BH49-BH41)</f>
        <v>115</v>
      </c>
      <c r="BI57" s="20">
        <f>+IF(RESULTADO!$C$103&lt;&gt;0,0,BI49-BI41)</f>
        <v>115</v>
      </c>
      <c r="BJ57" s="21">
        <f>+IF(RESULTADO!$C$103&lt;&gt;0,0,BJ49-BJ41)</f>
        <v>115</v>
      </c>
      <c r="BL57" s="36" t="s">
        <v>126</v>
      </c>
      <c r="BM57" s="20">
        <f>+IF(RESULTADO!$C$103&lt;&gt;0,0,BM49-BM41)</f>
        <v>0</v>
      </c>
      <c r="BN57" s="20">
        <f>+IF(RESULTADO!$C$103&lt;&gt;0,0,BN49-BN41)</f>
        <v>0</v>
      </c>
      <c r="BO57" s="20">
        <f>+IF(RESULTADO!$C$103&lt;&gt;0,0,BO49-BO41)</f>
        <v>0</v>
      </c>
      <c r="BP57" s="20">
        <f>+IF(RESULTADO!$C$103&lt;&gt;0,0,BP49-BP41)</f>
        <v>0</v>
      </c>
      <c r="BQ57" s="20">
        <f>+IF(RESULTADO!$C$103&lt;&gt;0,0,BQ49-BQ41)</f>
        <v>0</v>
      </c>
      <c r="BR57" s="20">
        <f>+IF(RESULTADO!$C$103&lt;&gt;0,0,BR49-BR41)</f>
        <v>0</v>
      </c>
      <c r="BS57" s="20">
        <f>+IF(RESULTADO!$C$103&lt;&gt;0,0,BS49-BS41)</f>
        <v>0</v>
      </c>
      <c r="BT57" s="20">
        <f>+IF(RESULTADO!$C$103&lt;&gt;0,0,BT49-BT41)</f>
        <v>0</v>
      </c>
      <c r="BU57" s="20">
        <f>+IF(RESULTADO!$C$103&lt;&gt;0,0,BU49-BU41)</f>
        <v>0</v>
      </c>
      <c r="BV57" s="20">
        <f>+IF(RESULTADO!$C$103&lt;&gt;0,0,BV49-BV41)</f>
        <v>0</v>
      </c>
      <c r="BW57" s="20">
        <f>+IF(RESULTADO!$C$103&lt;&gt;0,0,BW49-BW41)</f>
        <v>0</v>
      </c>
      <c r="BX57" s="400">
        <f>+IF(RESULTADO!$C$103&lt;&gt;0,0,BX49-BX41)</f>
        <v>160</v>
      </c>
      <c r="BY57" s="401">
        <f>+IF(RESULTADO!$C$103&lt;&gt;0,0,BY49-BY41)</f>
        <v>160</v>
      </c>
      <c r="BZ57" s="20">
        <f>+IF(RESULTADO!$C$103&lt;&gt;0,0,BZ49-BZ41)</f>
        <v>160</v>
      </c>
      <c r="CA57" s="20">
        <f>+IF(RESULTADO!$C$103&lt;&gt;0,0,CA49-CA41)</f>
        <v>160</v>
      </c>
      <c r="CB57" s="20">
        <f>+IF(RESULTADO!$C$103&lt;&gt;0,0,CB49-CB41)</f>
        <v>160</v>
      </c>
      <c r="CC57" s="20">
        <f>+IF(RESULTADO!$C$103&lt;&gt;0,0,CC49-CC41)</f>
        <v>160</v>
      </c>
      <c r="CD57" s="20">
        <f>+IF(RESULTADO!$C$103&lt;&gt;0,0,CD49-CD41)</f>
        <v>160</v>
      </c>
      <c r="CE57" s="20">
        <f>+IF(RESULTADO!$C$103&lt;&gt;0,0,CE49-CE41)</f>
        <v>160</v>
      </c>
      <c r="CF57" s="20">
        <f>+IF(RESULTADO!$C$103&lt;&gt;0,0,CF49-CF41)</f>
        <v>160</v>
      </c>
      <c r="CG57" s="20">
        <f>+IF(RESULTADO!$C$103&lt;&gt;0,0,CG49-CG41)</f>
        <v>160</v>
      </c>
      <c r="CH57" s="20">
        <f>+IF(RESULTADO!$C$103&lt;&gt;0,0,CH49-CH41)</f>
        <v>160</v>
      </c>
      <c r="CI57" s="20">
        <f>+IF(RESULTADO!$C$103&lt;&gt;0,0,CI49-CI41)</f>
        <v>160</v>
      </c>
      <c r="CJ57" s="400">
        <f>+IF(RESULTADO!$C$103&lt;&gt;0,0,CJ49-CJ41)</f>
        <v>160</v>
      </c>
      <c r="CK57" s="401">
        <f>+IF(RESULTADO!$C$103&lt;&gt;0,0,CK49-CK41)</f>
        <v>165.00000000000003</v>
      </c>
      <c r="CL57" s="20">
        <f>+IF(RESULTADO!$C$103&lt;&gt;0,0,CL49-CL41)</f>
        <v>165.00000000000003</v>
      </c>
      <c r="CM57" s="20">
        <f>+IF(RESULTADO!$C$103&lt;&gt;0,0,CM49-CM41)</f>
        <v>165.00000000000003</v>
      </c>
      <c r="CN57" s="20">
        <f>+IF(RESULTADO!$C$103&lt;&gt;0,0,CN49-CN41)</f>
        <v>165.00000000000003</v>
      </c>
      <c r="CO57" s="20">
        <f>+IF(RESULTADO!$C$103&lt;&gt;0,0,CO49-CO41)</f>
        <v>165.00000000000003</v>
      </c>
      <c r="CP57" s="20">
        <f>+IF(RESULTADO!$C$103&lt;&gt;0,0,CP49-CP41)</f>
        <v>165.00000000000003</v>
      </c>
      <c r="CQ57" s="20">
        <f>+IF(RESULTADO!$C$103&lt;&gt;0,0,CQ49-CQ41)</f>
        <v>165.00000000000003</v>
      </c>
      <c r="CR57" s="20">
        <f>+IF(RESULTADO!$C$103&lt;&gt;0,0,CR49-CR41)</f>
        <v>165.00000000000003</v>
      </c>
      <c r="CS57" s="20">
        <f>+IF(RESULTADO!$C$103&lt;&gt;0,0,CS49-CS41)</f>
        <v>165.00000000000003</v>
      </c>
      <c r="CT57" s="20">
        <f>+IF(RESULTADO!$C$103&lt;&gt;0,0,CT49-CT41)</f>
        <v>165.00000000000003</v>
      </c>
      <c r="CU57" s="20">
        <f>+IF(RESULTADO!$C$103&lt;&gt;0,0,CU49-CU41)</f>
        <v>165.00000000000003</v>
      </c>
      <c r="CV57" s="400">
        <f>+IF(RESULTADO!$C$103&lt;&gt;0,0,CV49-CV41)</f>
        <v>165.00000000000003</v>
      </c>
      <c r="CW57" s="401">
        <f>+IF(RESULTADO!$C$103&lt;&gt;0,0,CW49-CW41)</f>
        <v>120</v>
      </c>
      <c r="CX57" s="20">
        <f>+IF(RESULTADO!$C$103&lt;&gt;0,0,CX49-CX41)</f>
        <v>120</v>
      </c>
      <c r="CY57" s="20">
        <f>+IF(RESULTADO!$C$103&lt;&gt;0,0,CY49-CY41)</f>
        <v>120</v>
      </c>
      <c r="CZ57" s="20">
        <f>+IF(RESULTADO!$C$103&lt;&gt;0,0,CZ49-CZ41)</f>
        <v>120</v>
      </c>
      <c r="DA57" s="20">
        <f>+IF(RESULTADO!$C$103&lt;&gt;0,0,DA49-DA41)</f>
        <v>120</v>
      </c>
      <c r="DB57" s="20">
        <f>+IF(RESULTADO!$C$103&lt;&gt;0,0,DB49-DB41)</f>
        <v>120</v>
      </c>
      <c r="DC57" s="20">
        <f>+IF(RESULTADO!$C$103&lt;&gt;0,0,DC49-DC41)</f>
        <v>120</v>
      </c>
      <c r="DD57" s="20">
        <f>+IF(RESULTADO!$C$103&lt;&gt;0,0,DD49-DD41)</f>
        <v>120</v>
      </c>
      <c r="DE57" s="20">
        <f>+IF(RESULTADO!$C$103&lt;&gt;0,0,DE49-DE41)</f>
        <v>120</v>
      </c>
      <c r="DF57" s="20">
        <f>+IF(RESULTADO!$C$103&lt;&gt;0,0,DF49-DF41)</f>
        <v>120</v>
      </c>
      <c r="DG57" s="20">
        <f>+IF(RESULTADO!$C$103&lt;&gt;0,0,DG49-DG41)</f>
        <v>120</v>
      </c>
      <c r="DH57" s="400">
        <f>+IF(RESULTADO!$C$103&lt;&gt;0,0,DH49-DH41)</f>
        <v>120</v>
      </c>
      <c r="DI57" s="401">
        <f>+IF(RESULTADO!$C$103&lt;&gt;0,0,DI49-DI41)</f>
        <v>115</v>
      </c>
      <c r="DJ57" s="20">
        <f>+IF(RESULTADO!$C$103&lt;&gt;0,0,DJ49-DJ41)</f>
        <v>115</v>
      </c>
      <c r="DK57" s="20">
        <f>+IF(RESULTADO!$C$103&lt;&gt;0,0,DK49-DK41)</f>
        <v>115</v>
      </c>
      <c r="DL57" s="20">
        <f>+IF(RESULTADO!$C$103&lt;&gt;0,0,DL49-DL41)</f>
        <v>115</v>
      </c>
      <c r="DM57" s="20">
        <f>+IF(RESULTADO!$C$103&lt;&gt;0,0,DM49-DM41)</f>
        <v>115</v>
      </c>
      <c r="DN57" s="20">
        <f>+IF(RESULTADO!$C$103&lt;&gt;0,0,DN49-DN41)</f>
        <v>115</v>
      </c>
      <c r="DO57" s="20">
        <f>+IF(RESULTADO!$C$103&lt;&gt;0,0,DO49-DO41)</f>
        <v>115</v>
      </c>
      <c r="DP57" s="20">
        <f>+IF(RESULTADO!$C$103&lt;&gt;0,0,DP49-DP41)</f>
        <v>115</v>
      </c>
      <c r="DQ57" s="20">
        <f>+IF(RESULTADO!$C$103&lt;&gt;0,0,DQ49-DQ41)</f>
        <v>115</v>
      </c>
      <c r="DR57" s="20">
        <f>+IF(RESULTADO!$C$103&lt;&gt;0,0,DR49-DR41)</f>
        <v>115</v>
      </c>
      <c r="DS57" s="20">
        <f>+IF(RESULTADO!$C$103&lt;&gt;0,0,DS49-DS41)</f>
        <v>115</v>
      </c>
      <c r="DT57" s="21">
        <f>+IF(RESULTADO!$C$103&lt;&gt;0,0,DT49-DT41)</f>
        <v>115</v>
      </c>
    </row>
    <row r="58" spans="1:124" x14ac:dyDescent="0.25">
      <c r="A58" s="7"/>
      <c r="B58" s="37" t="s">
        <v>127</v>
      </c>
      <c r="C58" s="18">
        <f>+IF(RESULTADO!$C$103&lt;&gt;0,0,C50-C42)</f>
        <v>0</v>
      </c>
      <c r="D58" s="18">
        <f>+IF(RESULTADO!$C$103&lt;&gt;0,0,D50-D42)</f>
        <v>0</v>
      </c>
      <c r="E58" s="18">
        <f>+IF(RESULTADO!$C$103&lt;&gt;0,0,E50-E42)</f>
        <v>0</v>
      </c>
      <c r="F58" s="18">
        <f>+IF(RESULTADO!$C$103&lt;&gt;0,0,F50-F42)</f>
        <v>0</v>
      </c>
      <c r="G58" s="18">
        <f>+IF(RESULTADO!$C$103&lt;&gt;0,0,G50-G42)</f>
        <v>0</v>
      </c>
      <c r="H58" s="18">
        <f>+IF(RESULTADO!$C$103&lt;&gt;0,0,H50-H42)</f>
        <v>0</v>
      </c>
      <c r="I58" s="18">
        <f>+IF(RESULTADO!$C$103&lt;&gt;0,0,I50-I42)</f>
        <v>0</v>
      </c>
      <c r="J58" s="18">
        <f>+IF(RESULTADO!$C$103&lt;&gt;0,0,J50-J42)</f>
        <v>0</v>
      </c>
      <c r="K58" s="18">
        <f>+IF(RESULTADO!$C$103&lt;&gt;0,0,K50-K42)</f>
        <v>0</v>
      </c>
      <c r="L58" s="18">
        <f>+IF(RESULTADO!$C$103&lt;&gt;0,0,L50-L42)</f>
        <v>0</v>
      </c>
      <c r="M58" s="18">
        <f>+IF(RESULTADO!$C$103&lt;&gt;0,0,M50-M42)</f>
        <v>0</v>
      </c>
      <c r="N58" s="402">
        <f>+IF(RESULTADO!$C$103&lt;&gt;0,0,N50-N42)</f>
        <v>160</v>
      </c>
      <c r="O58" s="403">
        <f>+IF(RESULTADO!$C$103&lt;&gt;0,0,O50-O42)</f>
        <v>160</v>
      </c>
      <c r="P58" s="18">
        <f>+IF(RESULTADO!$C$103&lt;&gt;0,0,P50-P42)</f>
        <v>160</v>
      </c>
      <c r="Q58" s="18">
        <f>+IF(RESULTADO!$C$103&lt;&gt;0,0,Q50-Q42)</f>
        <v>160</v>
      </c>
      <c r="R58" s="18">
        <f>+IF(RESULTADO!$C$103&lt;&gt;0,0,R50-R42)</f>
        <v>160</v>
      </c>
      <c r="S58" s="18">
        <f>+IF(RESULTADO!$C$103&lt;&gt;0,0,S50-S42)</f>
        <v>160</v>
      </c>
      <c r="T58" s="18">
        <f>+IF(RESULTADO!$C$103&lt;&gt;0,0,T50-T42)</f>
        <v>160</v>
      </c>
      <c r="U58" s="18">
        <f>+IF(RESULTADO!$C$103&lt;&gt;0,0,U50-U42)</f>
        <v>160</v>
      </c>
      <c r="V58" s="18">
        <f>+IF(RESULTADO!$C$103&lt;&gt;0,0,V50-V42)</f>
        <v>160</v>
      </c>
      <c r="W58" s="18">
        <f>+IF(RESULTADO!$C$103&lt;&gt;0,0,W50-W42)</f>
        <v>160</v>
      </c>
      <c r="X58" s="18">
        <f>+IF(RESULTADO!$C$103&lt;&gt;0,0,X50-X42)</f>
        <v>160</v>
      </c>
      <c r="Y58" s="18">
        <f>+IF(RESULTADO!$C$103&lt;&gt;0,0,Y50-Y42)</f>
        <v>160</v>
      </c>
      <c r="Z58" s="402">
        <f>+IF(RESULTADO!$C$103&lt;&gt;0,0,Z50-Z42)</f>
        <v>160</v>
      </c>
      <c r="AA58" s="403">
        <f>+IF(RESULTADO!$C$103&lt;&gt;0,0,AA50-AA42)</f>
        <v>165.00000000000003</v>
      </c>
      <c r="AB58" s="18">
        <f>+IF(RESULTADO!$C$103&lt;&gt;0,0,AB50-AB42)</f>
        <v>165.00000000000003</v>
      </c>
      <c r="AC58" s="18">
        <f>+IF(RESULTADO!$C$103&lt;&gt;0,0,AC50-AC42)</f>
        <v>165.00000000000003</v>
      </c>
      <c r="AD58" s="18">
        <f>+IF(RESULTADO!$C$103&lt;&gt;0,0,AD50-AD42)</f>
        <v>165.00000000000003</v>
      </c>
      <c r="AE58" s="18">
        <f>+IF(RESULTADO!$C$103&lt;&gt;0,0,AE50-AE42)</f>
        <v>165.00000000000003</v>
      </c>
      <c r="AF58" s="18">
        <f>+IF(RESULTADO!$C$103&lt;&gt;0,0,AF50-AF42)</f>
        <v>165.00000000000003</v>
      </c>
      <c r="AG58" s="18">
        <f>+IF(RESULTADO!$C$103&lt;&gt;0,0,AG50-AG42)</f>
        <v>165.00000000000003</v>
      </c>
      <c r="AH58" s="18">
        <f>+IF(RESULTADO!$C$103&lt;&gt;0,0,AH50-AH42)</f>
        <v>165.00000000000003</v>
      </c>
      <c r="AI58" s="18">
        <f>+IF(RESULTADO!$C$103&lt;&gt;0,0,AI50-AI42)</f>
        <v>165.00000000000003</v>
      </c>
      <c r="AJ58" s="18">
        <f>+IF(RESULTADO!$C$103&lt;&gt;0,0,AJ50-AJ42)</f>
        <v>165.00000000000003</v>
      </c>
      <c r="AK58" s="18">
        <f>+IF(RESULTADO!$C$103&lt;&gt;0,0,AK50-AK42)</f>
        <v>165.00000000000003</v>
      </c>
      <c r="AL58" s="402">
        <f>+IF(RESULTADO!$C$103&lt;&gt;0,0,AL50-AL42)</f>
        <v>165.00000000000003</v>
      </c>
      <c r="AM58" s="403">
        <f>+IF(RESULTADO!$C$103&lt;&gt;0,0,AM50-AM42)</f>
        <v>120</v>
      </c>
      <c r="AN58" s="18">
        <f>+IF(RESULTADO!$C$103&lt;&gt;0,0,AN50-AN42)</f>
        <v>120</v>
      </c>
      <c r="AO58" s="18">
        <f>+IF(RESULTADO!$C$103&lt;&gt;0,0,AO50-AO42)</f>
        <v>120</v>
      </c>
      <c r="AP58" s="18">
        <f>+IF(RESULTADO!$C$103&lt;&gt;0,0,AP50-AP42)</f>
        <v>120</v>
      </c>
      <c r="AQ58" s="18">
        <f>+IF(RESULTADO!$C$103&lt;&gt;0,0,AQ50-AQ42)</f>
        <v>120</v>
      </c>
      <c r="AR58" s="18">
        <f>+IF(RESULTADO!$C$103&lt;&gt;0,0,AR50-AR42)</f>
        <v>120</v>
      </c>
      <c r="AS58" s="18">
        <f>+IF(RESULTADO!$C$103&lt;&gt;0,0,AS50-AS42)</f>
        <v>120</v>
      </c>
      <c r="AT58" s="18">
        <f>+IF(RESULTADO!$C$103&lt;&gt;0,0,AT50-AT42)</f>
        <v>120</v>
      </c>
      <c r="AU58" s="18">
        <f>+IF(RESULTADO!$C$103&lt;&gt;0,0,AU50-AU42)</f>
        <v>120</v>
      </c>
      <c r="AV58" s="18">
        <f>+IF(RESULTADO!$C$103&lt;&gt;0,0,AV50-AV42)</f>
        <v>120</v>
      </c>
      <c r="AW58" s="18">
        <f>+IF(RESULTADO!$C$103&lt;&gt;0,0,AW50-AW42)</f>
        <v>120</v>
      </c>
      <c r="AX58" s="402">
        <f>+IF(RESULTADO!$C$103&lt;&gt;0,0,AX50-AX42)</f>
        <v>120</v>
      </c>
      <c r="AY58" s="403">
        <f>+IF(RESULTADO!$C$103&lt;&gt;0,0,AY50-AY42)</f>
        <v>115</v>
      </c>
      <c r="AZ58" s="18">
        <f>+IF(RESULTADO!$C$103&lt;&gt;0,0,AZ50-AZ42)</f>
        <v>115</v>
      </c>
      <c r="BA58" s="18">
        <f>+IF(RESULTADO!$C$103&lt;&gt;0,0,BA50-BA42)</f>
        <v>115</v>
      </c>
      <c r="BB58" s="18">
        <f>+IF(RESULTADO!$C$103&lt;&gt;0,0,BB50-BB42)</f>
        <v>115</v>
      </c>
      <c r="BC58" s="18">
        <f>+IF(RESULTADO!$C$103&lt;&gt;0,0,BC50-BC42)</f>
        <v>115</v>
      </c>
      <c r="BD58" s="18">
        <f>+IF(RESULTADO!$C$103&lt;&gt;0,0,BD50-BD42)</f>
        <v>115</v>
      </c>
      <c r="BE58" s="18">
        <f>+IF(RESULTADO!$C$103&lt;&gt;0,0,BE50-BE42)</f>
        <v>115</v>
      </c>
      <c r="BF58" s="18">
        <f>+IF(RESULTADO!$C$103&lt;&gt;0,0,BF50-BF42)</f>
        <v>115</v>
      </c>
      <c r="BG58" s="18">
        <f>+IF(RESULTADO!$C$103&lt;&gt;0,0,BG50-BG42)</f>
        <v>115</v>
      </c>
      <c r="BH58" s="18">
        <f>+IF(RESULTADO!$C$103&lt;&gt;0,0,BH50-BH42)</f>
        <v>115</v>
      </c>
      <c r="BI58" s="18">
        <f>+IF(RESULTADO!$C$103&lt;&gt;0,0,BI50-BI42)</f>
        <v>115</v>
      </c>
      <c r="BJ58" s="19">
        <f>+IF(RESULTADO!$C$103&lt;&gt;0,0,BJ50-BJ42)</f>
        <v>115</v>
      </c>
      <c r="BL58" s="37" t="s">
        <v>127</v>
      </c>
      <c r="BM58" s="18">
        <f>+IF(RESULTADO!$C$103&lt;&gt;0,0,BM50-BM42)</f>
        <v>0</v>
      </c>
      <c r="BN58" s="18">
        <f>+IF(RESULTADO!$C$103&lt;&gt;0,0,BN50-BN42)</f>
        <v>0</v>
      </c>
      <c r="BO58" s="18">
        <f>+IF(RESULTADO!$C$103&lt;&gt;0,0,BO50-BO42)</f>
        <v>0</v>
      </c>
      <c r="BP58" s="18">
        <f>+IF(RESULTADO!$C$103&lt;&gt;0,0,BP50-BP42)</f>
        <v>0</v>
      </c>
      <c r="BQ58" s="18">
        <f>+IF(RESULTADO!$C$103&lt;&gt;0,0,BQ50-BQ42)</f>
        <v>0</v>
      </c>
      <c r="BR58" s="18">
        <f>+IF(RESULTADO!$C$103&lt;&gt;0,0,BR50-BR42)</f>
        <v>0</v>
      </c>
      <c r="BS58" s="18">
        <f>+IF(RESULTADO!$C$103&lt;&gt;0,0,BS50-BS42)</f>
        <v>0</v>
      </c>
      <c r="BT58" s="18">
        <f>+IF(RESULTADO!$C$103&lt;&gt;0,0,BT50-BT42)</f>
        <v>0</v>
      </c>
      <c r="BU58" s="18">
        <f>+IF(RESULTADO!$C$103&lt;&gt;0,0,BU50-BU42)</f>
        <v>0</v>
      </c>
      <c r="BV58" s="18">
        <f>+IF(RESULTADO!$C$103&lt;&gt;0,0,BV50-BV42)</f>
        <v>0</v>
      </c>
      <c r="BW58" s="18">
        <f>+IF(RESULTADO!$C$103&lt;&gt;0,0,BW50-BW42)</f>
        <v>0</v>
      </c>
      <c r="BX58" s="402">
        <f>+IF(RESULTADO!$C$103&lt;&gt;0,0,BX50-BX42)</f>
        <v>160</v>
      </c>
      <c r="BY58" s="403">
        <f>+IF(RESULTADO!$C$103&lt;&gt;0,0,BY50-BY42)</f>
        <v>160</v>
      </c>
      <c r="BZ58" s="18">
        <f>+IF(RESULTADO!$C$103&lt;&gt;0,0,BZ50-BZ42)</f>
        <v>160</v>
      </c>
      <c r="CA58" s="18">
        <f>+IF(RESULTADO!$C$103&lt;&gt;0,0,CA50-CA42)</f>
        <v>160</v>
      </c>
      <c r="CB58" s="18">
        <f>+IF(RESULTADO!$C$103&lt;&gt;0,0,CB50-CB42)</f>
        <v>160</v>
      </c>
      <c r="CC58" s="18">
        <f>+IF(RESULTADO!$C$103&lt;&gt;0,0,CC50-CC42)</f>
        <v>160</v>
      </c>
      <c r="CD58" s="18">
        <f>+IF(RESULTADO!$C$103&lt;&gt;0,0,CD50-CD42)</f>
        <v>160</v>
      </c>
      <c r="CE58" s="18">
        <f>+IF(RESULTADO!$C$103&lt;&gt;0,0,CE50-CE42)</f>
        <v>160</v>
      </c>
      <c r="CF58" s="18">
        <f>+IF(RESULTADO!$C$103&lt;&gt;0,0,CF50-CF42)</f>
        <v>160</v>
      </c>
      <c r="CG58" s="18">
        <f>+IF(RESULTADO!$C$103&lt;&gt;0,0,CG50-CG42)</f>
        <v>160</v>
      </c>
      <c r="CH58" s="18">
        <f>+IF(RESULTADO!$C$103&lt;&gt;0,0,CH50-CH42)</f>
        <v>160</v>
      </c>
      <c r="CI58" s="18">
        <f>+IF(RESULTADO!$C$103&lt;&gt;0,0,CI50-CI42)</f>
        <v>160</v>
      </c>
      <c r="CJ58" s="402">
        <f>+IF(RESULTADO!$C$103&lt;&gt;0,0,CJ50-CJ42)</f>
        <v>160</v>
      </c>
      <c r="CK58" s="403">
        <f>+IF(RESULTADO!$C$103&lt;&gt;0,0,CK50-CK42)</f>
        <v>165.00000000000003</v>
      </c>
      <c r="CL58" s="18">
        <f>+IF(RESULTADO!$C$103&lt;&gt;0,0,CL50-CL42)</f>
        <v>165.00000000000003</v>
      </c>
      <c r="CM58" s="18">
        <f>+IF(RESULTADO!$C$103&lt;&gt;0,0,CM50-CM42)</f>
        <v>165.00000000000003</v>
      </c>
      <c r="CN58" s="18">
        <f>+IF(RESULTADO!$C$103&lt;&gt;0,0,CN50-CN42)</f>
        <v>165.00000000000003</v>
      </c>
      <c r="CO58" s="18">
        <f>+IF(RESULTADO!$C$103&lt;&gt;0,0,CO50-CO42)</f>
        <v>165.00000000000003</v>
      </c>
      <c r="CP58" s="18">
        <f>+IF(RESULTADO!$C$103&lt;&gt;0,0,CP50-CP42)</f>
        <v>165.00000000000003</v>
      </c>
      <c r="CQ58" s="18">
        <f>+IF(RESULTADO!$C$103&lt;&gt;0,0,CQ50-CQ42)</f>
        <v>165.00000000000003</v>
      </c>
      <c r="CR58" s="18">
        <f>+IF(RESULTADO!$C$103&lt;&gt;0,0,CR50-CR42)</f>
        <v>165.00000000000003</v>
      </c>
      <c r="CS58" s="18">
        <f>+IF(RESULTADO!$C$103&lt;&gt;0,0,CS50-CS42)</f>
        <v>165.00000000000003</v>
      </c>
      <c r="CT58" s="18">
        <f>+IF(RESULTADO!$C$103&lt;&gt;0,0,CT50-CT42)</f>
        <v>165.00000000000003</v>
      </c>
      <c r="CU58" s="18">
        <f>+IF(RESULTADO!$C$103&lt;&gt;0,0,CU50-CU42)</f>
        <v>165.00000000000003</v>
      </c>
      <c r="CV58" s="402">
        <f>+IF(RESULTADO!$C$103&lt;&gt;0,0,CV50-CV42)</f>
        <v>165.00000000000003</v>
      </c>
      <c r="CW58" s="403">
        <f>+IF(RESULTADO!$C$103&lt;&gt;0,0,CW50-CW42)</f>
        <v>120</v>
      </c>
      <c r="CX58" s="18">
        <f>+IF(RESULTADO!$C$103&lt;&gt;0,0,CX50-CX42)</f>
        <v>120</v>
      </c>
      <c r="CY58" s="18">
        <f>+IF(RESULTADO!$C$103&lt;&gt;0,0,CY50-CY42)</f>
        <v>120</v>
      </c>
      <c r="CZ58" s="18">
        <f>+IF(RESULTADO!$C$103&lt;&gt;0,0,CZ50-CZ42)</f>
        <v>120</v>
      </c>
      <c r="DA58" s="18">
        <f>+IF(RESULTADO!$C$103&lt;&gt;0,0,DA50-DA42)</f>
        <v>120</v>
      </c>
      <c r="DB58" s="18">
        <f>+IF(RESULTADO!$C$103&lt;&gt;0,0,DB50-DB42)</f>
        <v>120</v>
      </c>
      <c r="DC58" s="18">
        <f>+IF(RESULTADO!$C$103&lt;&gt;0,0,DC50-DC42)</f>
        <v>120</v>
      </c>
      <c r="DD58" s="18">
        <f>+IF(RESULTADO!$C$103&lt;&gt;0,0,DD50-DD42)</f>
        <v>120</v>
      </c>
      <c r="DE58" s="18">
        <f>+IF(RESULTADO!$C$103&lt;&gt;0,0,DE50-DE42)</f>
        <v>120</v>
      </c>
      <c r="DF58" s="18">
        <f>+IF(RESULTADO!$C$103&lt;&gt;0,0,DF50-DF42)</f>
        <v>120</v>
      </c>
      <c r="DG58" s="18">
        <f>+IF(RESULTADO!$C$103&lt;&gt;0,0,DG50-DG42)</f>
        <v>120</v>
      </c>
      <c r="DH58" s="402">
        <f>+IF(RESULTADO!$C$103&lt;&gt;0,0,DH50-DH42)</f>
        <v>120</v>
      </c>
      <c r="DI58" s="403">
        <f>+IF(RESULTADO!$C$103&lt;&gt;0,0,DI50-DI42)</f>
        <v>115</v>
      </c>
      <c r="DJ58" s="18">
        <f>+IF(RESULTADO!$C$103&lt;&gt;0,0,DJ50-DJ42)</f>
        <v>115</v>
      </c>
      <c r="DK58" s="18">
        <f>+IF(RESULTADO!$C$103&lt;&gt;0,0,DK50-DK42)</f>
        <v>115</v>
      </c>
      <c r="DL58" s="18">
        <f>+IF(RESULTADO!$C$103&lt;&gt;0,0,DL50-DL42)</f>
        <v>115</v>
      </c>
      <c r="DM58" s="18">
        <f>+IF(RESULTADO!$C$103&lt;&gt;0,0,DM50-DM42)</f>
        <v>115</v>
      </c>
      <c r="DN58" s="18">
        <f>+IF(RESULTADO!$C$103&lt;&gt;0,0,DN50-DN42)</f>
        <v>115</v>
      </c>
      <c r="DO58" s="18">
        <f>+IF(RESULTADO!$C$103&lt;&gt;0,0,DO50-DO42)</f>
        <v>115</v>
      </c>
      <c r="DP58" s="18">
        <f>+IF(RESULTADO!$C$103&lt;&gt;0,0,DP50-DP42)</f>
        <v>115</v>
      </c>
      <c r="DQ58" s="18">
        <f>+IF(RESULTADO!$C$103&lt;&gt;0,0,DQ50-DQ42)</f>
        <v>115</v>
      </c>
      <c r="DR58" s="18">
        <f>+IF(RESULTADO!$C$103&lt;&gt;0,0,DR50-DR42)</f>
        <v>115</v>
      </c>
      <c r="DS58" s="18">
        <f>+IF(RESULTADO!$C$103&lt;&gt;0,0,DS50-DS42)</f>
        <v>115</v>
      </c>
      <c r="DT58" s="19">
        <f>+IF(RESULTADO!$C$103&lt;&gt;0,0,DT50-DT42)</f>
        <v>115</v>
      </c>
    </row>
    <row r="59" spans="1:124" x14ac:dyDescent="0.25">
      <c r="A59" s="7"/>
      <c r="B59" s="37" t="s">
        <v>128</v>
      </c>
      <c r="C59" s="18">
        <f>+IF(RESULTADO!$C$103&lt;&gt;0,0,C51-C43)</f>
        <v>0</v>
      </c>
      <c r="D59" s="18">
        <f>+IF(RESULTADO!$C$103&lt;&gt;0,0,D51-D43)</f>
        <v>0</v>
      </c>
      <c r="E59" s="18">
        <f>+IF(RESULTADO!$C$103&lt;&gt;0,0,E51-E43)</f>
        <v>0</v>
      </c>
      <c r="F59" s="18">
        <f>+IF(RESULTADO!$C$103&lt;&gt;0,0,F51-F43)</f>
        <v>0</v>
      </c>
      <c r="G59" s="18">
        <f>+IF(RESULTADO!$C$103&lt;&gt;0,0,G51-G43)</f>
        <v>0</v>
      </c>
      <c r="H59" s="18">
        <f>+IF(RESULTADO!$C$103&lt;&gt;0,0,H51-H43)</f>
        <v>0</v>
      </c>
      <c r="I59" s="18">
        <f>+IF(RESULTADO!$C$103&lt;&gt;0,0,I51-I43)</f>
        <v>0</v>
      </c>
      <c r="J59" s="18">
        <f>+IF(RESULTADO!$C$103&lt;&gt;0,0,J51-J43)</f>
        <v>0</v>
      </c>
      <c r="K59" s="18">
        <f>+IF(RESULTADO!$C$103&lt;&gt;0,0,K51-K43)</f>
        <v>0</v>
      </c>
      <c r="L59" s="18">
        <f>+IF(RESULTADO!$C$103&lt;&gt;0,0,L51-L43)</f>
        <v>0</v>
      </c>
      <c r="M59" s="18">
        <f>+IF(RESULTADO!$C$103&lt;&gt;0,0,M51-M43)</f>
        <v>0</v>
      </c>
      <c r="N59" s="402">
        <f>+IF(RESULTADO!$C$103&lt;&gt;0,0,N51-N43)</f>
        <v>160</v>
      </c>
      <c r="O59" s="403">
        <f>+IF(RESULTADO!$C$103&lt;&gt;0,0,O51-O43)</f>
        <v>160</v>
      </c>
      <c r="P59" s="18">
        <f>+IF(RESULTADO!$C$103&lt;&gt;0,0,P51-P43)</f>
        <v>160</v>
      </c>
      <c r="Q59" s="18">
        <f>+IF(RESULTADO!$C$103&lt;&gt;0,0,Q51-Q43)</f>
        <v>160</v>
      </c>
      <c r="R59" s="18">
        <f>+IF(RESULTADO!$C$103&lt;&gt;0,0,R51-R43)</f>
        <v>160</v>
      </c>
      <c r="S59" s="18">
        <f>+IF(RESULTADO!$C$103&lt;&gt;0,0,S51-S43)</f>
        <v>160</v>
      </c>
      <c r="T59" s="18">
        <f>+IF(RESULTADO!$C$103&lt;&gt;0,0,T51-T43)</f>
        <v>160</v>
      </c>
      <c r="U59" s="18">
        <f>+IF(RESULTADO!$C$103&lt;&gt;0,0,U51-U43)</f>
        <v>160</v>
      </c>
      <c r="V59" s="18">
        <f>+IF(RESULTADO!$C$103&lt;&gt;0,0,V51-V43)</f>
        <v>160</v>
      </c>
      <c r="W59" s="18">
        <f>+IF(RESULTADO!$C$103&lt;&gt;0,0,W51-W43)</f>
        <v>160</v>
      </c>
      <c r="X59" s="18">
        <f>+IF(RESULTADO!$C$103&lt;&gt;0,0,X51-X43)</f>
        <v>160</v>
      </c>
      <c r="Y59" s="18">
        <f>+IF(RESULTADO!$C$103&lt;&gt;0,0,Y51-Y43)</f>
        <v>160</v>
      </c>
      <c r="Z59" s="402">
        <f>+IF(RESULTADO!$C$103&lt;&gt;0,0,Z51-Z43)</f>
        <v>160</v>
      </c>
      <c r="AA59" s="403">
        <f>+IF(RESULTADO!$C$103&lt;&gt;0,0,AA51-AA43)</f>
        <v>165.00000000000003</v>
      </c>
      <c r="AB59" s="18">
        <f>+IF(RESULTADO!$C$103&lt;&gt;0,0,AB51-AB43)</f>
        <v>165.00000000000003</v>
      </c>
      <c r="AC59" s="18">
        <f>+IF(RESULTADO!$C$103&lt;&gt;0,0,AC51-AC43)</f>
        <v>165.00000000000003</v>
      </c>
      <c r="AD59" s="18">
        <f>+IF(RESULTADO!$C$103&lt;&gt;0,0,AD51-AD43)</f>
        <v>165.00000000000003</v>
      </c>
      <c r="AE59" s="18">
        <f>+IF(RESULTADO!$C$103&lt;&gt;0,0,AE51-AE43)</f>
        <v>165.00000000000003</v>
      </c>
      <c r="AF59" s="18">
        <f>+IF(RESULTADO!$C$103&lt;&gt;0,0,AF51-AF43)</f>
        <v>165.00000000000003</v>
      </c>
      <c r="AG59" s="18">
        <f>+IF(RESULTADO!$C$103&lt;&gt;0,0,AG51-AG43)</f>
        <v>165.00000000000003</v>
      </c>
      <c r="AH59" s="18">
        <f>+IF(RESULTADO!$C$103&lt;&gt;0,0,AH51-AH43)</f>
        <v>165.00000000000003</v>
      </c>
      <c r="AI59" s="18">
        <f>+IF(RESULTADO!$C$103&lt;&gt;0,0,AI51-AI43)</f>
        <v>165.00000000000003</v>
      </c>
      <c r="AJ59" s="18">
        <f>+IF(RESULTADO!$C$103&lt;&gt;0,0,AJ51-AJ43)</f>
        <v>165.00000000000003</v>
      </c>
      <c r="AK59" s="18">
        <f>+IF(RESULTADO!$C$103&lt;&gt;0,0,AK51-AK43)</f>
        <v>165.00000000000003</v>
      </c>
      <c r="AL59" s="402">
        <f>+IF(RESULTADO!$C$103&lt;&gt;0,0,AL51-AL43)</f>
        <v>165.00000000000003</v>
      </c>
      <c r="AM59" s="403">
        <f>+IF(RESULTADO!$C$103&lt;&gt;0,0,AM51-AM43)</f>
        <v>120</v>
      </c>
      <c r="AN59" s="18">
        <f>+IF(RESULTADO!$C$103&lt;&gt;0,0,AN51-AN43)</f>
        <v>120</v>
      </c>
      <c r="AO59" s="18">
        <f>+IF(RESULTADO!$C$103&lt;&gt;0,0,AO51-AO43)</f>
        <v>120</v>
      </c>
      <c r="AP59" s="18">
        <f>+IF(RESULTADO!$C$103&lt;&gt;0,0,AP51-AP43)</f>
        <v>120</v>
      </c>
      <c r="AQ59" s="18">
        <f>+IF(RESULTADO!$C$103&lt;&gt;0,0,AQ51-AQ43)</f>
        <v>120</v>
      </c>
      <c r="AR59" s="18">
        <f>+IF(RESULTADO!$C$103&lt;&gt;0,0,AR51-AR43)</f>
        <v>120</v>
      </c>
      <c r="AS59" s="18">
        <f>+IF(RESULTADO!$C$103&lt;&gt;0,0,AS51-AS43)</f>
        <v>120</v>
      </c>
      <c r="AT59" s="18">
        <f>+IF(RESULTADO!$C$103&lt;&gt;0,0,AT51-AT43)</f>
        <v>120</v>
      </c>
      <c r="AU59" s="18">
        <f>+IF(RESULTADO!$C$103&lt;&gt;0,0,AU51-AU43)</f>
        <v>120</v>
      </c>
      <c r="AV59" s="18">
        <f>+IF(RESULTADO!$C$103&lt;&gt;0,0,AV51-AV43)</f>
        <v>120</v>
      </c>
      <c r="AW59" s="18">
        <f>+IF(RESULTADO!$C$103&lt;&gt;0,0,AW51-AW43)</f>
        <v>120</v>
      </c>
      <c r="AX59" s="402">
        <f>+IF(RESULTADO!$C$103&lt;&gt;0,0,AX51-AX43)</f>
        <v>120</v>
      </c>
      <c r="AY59" s="403">
        <f>+IF(RESULTADO!$C$103&lt;&gt;0,0,AY51-AY43)</f>
        <v>115</v>
      </c>
      <c r="AZ59" s="18">
        <f>+IF(RESULTADO!$C$103&lt;&gt;0,0,AZ51-AZ43)</f>
        <v>115</v>
      </c>
      <c r="BA59" s="18">
        <f>+IF(RESULTADO!$C$103&lt;&gt;0,0,BA51-BA43)</f>
        <v>115</v>
      </c>
      <c r="BB59" s="18">
        <f>+IF(RESULTADO!$C$103&lt;&gt;0,0,BB51-BB43)</f>
        <v>115</v>
      </c>
      <c r="BC59" s="18">
        <f>+IF(RESULTADO!$C$103&lt;&gt;0,0,BC51-BC43)</f>
        <v>115</v>
      </c>
      <c r="BD59" s="18">
        <f>+IF(RESULTADO!$C$103&lt;&gt;0,0,BD51-BD43)</f>
        <v>115</v>
      </c>
      <c r="BE59" s="18">
        <f>+IF(RESULTADO!$C$103&lt;&gt;0,0,BE51-BE43)</f>
        <v>115</v>
      </c>
      <c r="BF59" s="18">
        <f>+IF(RESULTADO!$C$103&lt;&gt;0,0,BF51-BF43)</f>
        <v>115</v>
      </c>
      <c r="BG59" s="18">
        <f>+IF(RESULTADO!$C$103&lt;&gt;0,0,BG51-BG43)</f>
        <v>115</v>
      </c>
      <c r="BH59" s="18">
        <f>+IF(RESULTADO!$C$103&lt;&gt;0,0,BH51-BH43)</f>
        <v>115</v>
      </c>
      <c r="BI59" s="18">
        <f>+IF(RESULTADO!$C$103&lt;&gt;0,0,BI51-BI43)</f>
        <v>115</v>
      </c>
      <c r="BJ59" s="19">
        <f>+IF(RESULTADO!$C$103&lt;&gt;0,0,BJ51-BJ43)</f>
        <v>115</v>
      </c>
      <c r="BL59" s="37" t="s">
        <v>128</v>
      </c>
      <c r="BM59" s="18">
        <f>+IF(RESULTADO!$C$103&lt;&gt;0,0,BM51-BM43)</f>
        <v>0</v>
      </c>
      <c r="BN59" s="18">
        <f>+IF(RESULTADO!$C$103&lt;&gt;0,0,BN51-BN43)</f>
        <v>0</v>
      </c>
      <c r="BO59" s="18">
        <f>+IF(RESULTADO!$C$103&lt;&gt;0,0,BO51-BO43)</f>
        <v>0</v>
      </c>
      <c r="BP59" s="18">
        <f>+IF(RESULTADO!$C$103&lt;&gt;0,0,BP51-BP43)</f>
        <v>0</v>
      </c>
      <c r="BQ59" s="18">
        <f>+IF(RESULTADO!$C$103&lt;&gt;0,0,BQ51-BQ43)</f>
        <v>0</v>
      </c>
      <c r="BR59" s="18">
        <f>+IF(RESULTADO!$C$103&lt;&gt;0,0,BR51-BR43)</f>
        <v>0</v>
      </c>
      <c r="BS59" s="18">
        <f>+IF(RESULTADO!$C$103&lt;&gt;0,0,BS51-BS43)</f>
        <v>0</v>
      </c>
      <c r="BT59" s="18">
        <f>+IF(RESULTADO!$C$103&lt;&gt;0,0,BT51-BT43)</f>
        <v>0</v>
      </c>
      <c r="BU59" s="18">
        <f>+IF(RESULTADO!$C$103&lt;&gt;0,0,BU51-BU43)</f>
        <v>0</v>
      </c>
      <c r="BV59" s="18">
        <f>+IF(RESULTADO!$C$103&lt;&gt;0,0,BV51-BV43)</f>
        <v>0</v>
      </c>
      <c r="BW59" s="18">
        <f>+IF(RESULTADO!$C$103&lt;&gt;0,0,BW51-BW43)</f>
        <v>0</v>
      </c>
      <c r="BX59" s="402">
        <f>+IF(RESULTADO!$C$103&lt;&gt;0,0,BX51-BX43)</f>
        <v>160</v>
      </c>
      <c r="BY59" s="403">
        <f>+IF(RESULTADO!$C$103&lt;&gt;0,0,BY51-BY43)</f>
        <v>160</v>
      </c>
      <c r="BZ59" s="18">
        <f>+IF(RESULTADO!$C$103&lt;&gt;0,0,BZ51-BZ43)</f>
        <v>160</v>
      </c>
      <c r="CA59" s="18">
        <f>+IF(RESULTADO!$C$103&lt;&gt;0,0,CA51-CA43)</f>
        <v>160</v>
      </c>
      <c r="CB59" s="18">
        <f>+IF(RESULTADO!$C$103&lt;&gt;0,0,CB51-CB43)</f>
        <v>160</v>
      </c>
      <c r="CC59" s="18">
        <f>+IF(RESULTADO!$C$103&lt;&gt;0,0,CC51-CC43)</f>
        <v>160</v>
      </c>
      <c r="CD59" s="18">
        <f>+IF(RESULTADO!$C$103&lt;&gt;0,0,CD51-CD43)</f>
        <v>160</v>
      </c>
      <c r="CE59" s="18">
        <f>+IF(RESULTADO!$C$103&lt;&gt;0,0,CE51-CE43)</f>
        <v>160</v>
      </c>
      <c r="CF59" s="18">
        <f>+IF(RESULTADO!$C$103&lt;&gt;0,0,CF51-CF43)</f>
        <v>160</v>
      </c>
      <c r="CG59" s="18">
        <f>+IF(RESULTADO!$C$103&lt;&gt;0,0,CG51-CG43)</f>
        <v>160</v>
      </c>
      <c r="CH59" s="18">
        <f>+IF(RESULTADO!$C$103&lt;&gt;0,0,CH51-CH43)</f>
        <v>160</v>
      </c>
      <c r="CI59" s="18">
        <f>+IF(RESULTADO!$C$103&lt;&gt;0,0,CI51-CI43)</f>
        <v>160</v>
      </c>
      <c r="CJ59" s="402">
        <f>+IF(RESULTADO!$C$103&lt;&gt;0,0,CJ51-CJ43)</f>
        <v>160</v>
      </c>
      <c r="CK59" s="403">
        <f>+IF(RESULTADO!$C$103&lt;&gt;0,0,CK51-CK43)</f>
        <v>165.00000000000003</v>
      </c>
      <c r="CL59" s="18">
        <f>+IF(RESULTADO!$C$103&lt;&gt;0,0,CL51-CL43)</f>
        <v>165.00000000000003</v>
      </c>
      <c r="CM59" s="18">
        <f>+IF(RESULTADO!$C$103&lt;&gt;0,0,CM51-CM43)</f>
        <v>165.00000000000003</v>
      </c>
      <c r="CN59" s="18">
        <f>+IF(RESULTADO!$C$103&lt;&gt;0,0,CN51-CN43)</f>
        <v>165.00000000000003</v>
      </c>
      <c r="CO59" s="18">
        <f>+IF(RESULTADO!$C$103&lt;&gt;0,0,CO51-CO43)</f>
        <v>165.00000000000003</v>
      </c>
      <c r="CP59" s="18">
        <f>+IF(RESULTADO!$C$103&lt;&gt;0,0,CP51-CP43)</f>
        <v>165.00000000000003</v>
      </c>
      <c r="CQ59" s="18">
        <f>+IF(RESULTADO!$C$103&lt;&gt;0,0,CQ51-CQ43)</f>
        <v>165.00000000000003</v>
      </c>
      <c r="CR59" s="18">
        <f>+IF(RESULTADO!$C$103&lt;&gt;0,0,CR51-CR43)</f>
        <v>165.00000000000003</v>
      </c>
      <c r="CS59" s="18">
        <f>+IF(RESULTADO!$C$103&lt;&gt;0,0,CS51-CS43)</f>
        <v>165.00000000000003</v>
      </c>
      <c r="CT59" s="18">
        <f>+IF(RESULTADO!$C$103&lt;&gt;0,0,CT51-CT43)</f>
        <v>165.00000000000003</v>
      </c>
      <c r="CU59" s="18">
        <f>+IF(RESULTADO!$C$103&lt;&gt;0,0,CU51-CU43)</f>
        <v>165.00000000000003</v>
      </c>
      <c r="CV59" s="402">
        <f>+IF(RESULTADO!$C$103&lt;&gt;0,0,CV51-CV43)</f>
        <v>165.00000000000003</v>
      </c>
      <c r="CW59" s="403">
        <f>+IF(RESULTADO!$C$103&lt;&gt;0,0,CW51-CW43)</f>
        <v>120</v>
      </c>
      <c r="CX59" s="18">
        <f>+IF(RESULTADO!$C$103&lt;&gt;0,0,CX51-CX43)</f>
        <v>120</v>
      </c>
      <c r="CY59" s="18">
        <f>+IF(RESULTADO!$C$103&lt;&gt;0,0,CY51-CY43)</f>
        <v>120</v>
      </c>
      <c r="CZ59" s="18">
        <f>+IF(RESULTADO!$C$103&lt;&gt;0,0,CZ51-CZ43)</f>
        <v>120</v>
      </c>
      <c r="DA59" s="18">
        <f>+IF(RESULTADO!$C$103&lt;&gt;0,0,DA51-DA43)</f>
        <v>120</v>
      </c>
      <c r="DB59" s="18">
        <f>+IF(RESULTADO!$C$103&lt;&gt;0,0,DB51-DB43)</f>
        <v>120</v>
      </c>
      <c r="DC59" s="18">
        <f>+IF(RESULTADO!$C$103&lt;&gt;0,0,DC51-DC43)</f>
        <v>120</v>
      </c>
      <c r="DD59" s="18">
        <f>+IF(RESULTADO!$C$103&lt;&gt;0,0,DD51-DD43)</f>
        <v>120</v>
      </c>
      <c r="DE59" s="18">
        <f>+IF(RESULTADO!$C$103&lt;&gt;0,0,DE51-DE43)</f>
        <v>120</v>
      </c>
      <c r="DF59" s="18">
        <f>+IF(RESULTADO!$C$103&lt;&gt;0,0,DF51-DF43)</f>
        <v>120</v>
      </c>
      <c r="DG59" s="18">
        <f>+IF(RESULTADO!$C$103&lt;&gt;0,0,DG51-DG43)</f>
        <v>120</v>
      </c>
      <c r="DH59" s="402">
        <f>+IF(RESULTADO!$C$103&lt;&gt;0,0,DH51-DH43)</f>
        <v>120</v>
      </c>
      <c r="DI59" s="403">
        <f>+IF(RESULTADO!$C$103&lt;&gt;0,0,DI51-DI43)</f>
        <v>115</v>
      </c>
      <c r="DJ59" s="18">
        <f>+IF(RESULTADO!$C$103&lt;&gt;0,0,DJ51-DJ43)</f>
        <v>115</v>
      </c>
      <c r="DK59" s="18">
        <f>+IF(RESULTADO!$C$103&lt;&gt;0,0,DK51-DK43)</f>
        <v>115</v>
      </c>
      <c r="DL59" s="18">
        <f>+IF(RESULTADO!$C$103&lt;&gt;0,0,DL51-DL43)</f>
        <v>115</v>
      </c>
      <c r="DM59" s="18">
        <f>+IF(RESULTADO!$C$103&lt;&gt;0,0,DM51-DM43)</f>
        <v>115</v>
      </c>
      <c r="DN59" s="18">
        <f>+IF(RESULTADO!$C$103&lt;&gt;0,0,DN51-DN43)</f>
        <v>115</v>
      </c>
      <c r="DO59" s="18">
        <f>+IF(RESULTADO!$C$103&lt;&gt;0,0,DO51-DO43)</f>
        <v>115</v>
      </c>
      <c r="DP59" s="18">
        <f>+IF(RESULTADO!$C$103&lt;&gt;0,0,DP51-DP43)</f>
        <v>115</v>
      </c>
      <c r="DQ59" s="18">
        <f>+IF(RESULTADO!$C$103&lt;&gt;0,0,DQ51-DQ43)</f>
        <v>115</v>
      </c>
      <c r="DR59" s="18">
        <f>+IF(RESULTADO!$C$103&lt;&gt;0,0,DR51-DR43)</f>
        <v>115</v>
      </c>
      <c r="DS59" s="18">
        <f>+IF(RESULTADO!$C$103&lt;&gt;0,0,DS51-DS43)</f>
        <v>115</v>
      </c>
      <c r="DT59" s="19">
        <f>+IF(RESULTADO!$C$103&lt;&gt;0,0,DT51-DT43)</f>
        <v>115</v>
      </c>
    </row>
    <row r="60" spans="1:124" ht="15.75" thickBot="1" x14ac:dyDescent="0.3">
      <c r="A60" s="7"/>
      <c r="B60" s="38" t="s">
        <v>129</v>
      </c>
      <c r="C60" s="23">
        <f>+IF(RESULTADO!$C$103&lt;&gt;0,0,C52-C44)</f>
        <v>0</v>
      </c>
      <c r="D60" s="23">
        <f>+IF(RESULTADO!$C$103&lt;&gt;0,0,D52-D44)</f>
        <v>0</v>
      </c>
      <c r="E60" s="23">
        <f>+IF(RESULTADO!$C$103&lt;&gt;0,0,E52-E44)</f>
        <v>0</v>
      </c>
      <c r="F60" s="23">
        <f>+IF(RESULTADO!$C$103&lt;&gt;0,0,F52-F44)</f>
        <v>0</v>
      </c>
      <c r="G60" s="23">
        <f>+IF(RESULTADO!$C$103&lt;&gt;0,0,G52-G44)</f>
        <v>0</v>
      </c>
      <c r="H60" s="23">
        <f>+IF(RESULTADO!$C$103&lt;&gt;0,0,H52-H44)</f>
        <v>0</v>
      </c>
      <c r="I60" s="23">
        <f>+IF(RESULTADO!$C$103&lt;&gt;0,0,I52-I44)</f>
        <v>0</v>
      </c>
      <c r="J60" s="23">
        <f>+IF(RESULTADO!$C$103&lt;&gt;0,0,J52-J44)</f>
        <v>0</v>
      </c>
      <c r="K60" s="23">
        <f>+IF(RESULTADO!$C$103&lt;&gt;0,0,K52-K44)</f>
        <v>0</v>
      </c>
      <c r="L60" s="23">
        <f>+IF(RESULTADO!$C$103&lt;&gt;0,0,L52-L44)</f>
        <v>0</v>
      </c>
      <c r="M60" s="23">
        <f>+IF(RESULTADO!$C$103&lt;&gt;0,0,M52-M44)</f>
        <v>0</v>
      </c>
      <c r="N60" s="404">
        <f>+IF(RESULTADO!$C$103&lt;&gt;0,0,N52-N44)</f>
        <v>160</v>
      </c>
      <c r="O60" s="405">
        <f>+IF(RESULTADO!$C$103&lt;&gt;0,0,O52-O44)</f>
        <v>160</v>
      </c>
      <c r="P60" s="23">
        <f>+IF(RESULTADO!$C$103&lt;&gt;0,0,P52-P44)</f>
        <v>160</v>
      </c>
      <c r="Q60" s="23">
        <f>+IF(RESULTADO!$C$103&lt;&gt;0,0,Q52-Q44)</f>
        <v>160</v>
      </c>
      <c r="R60" s="23">
        <f>+IF(RESULTADO!$C$103&lt;&gt;0,0,R52-R44)</f>
        <v>160</v>
      </c>
      <c r="S60" s="23">
        <f>+IF(RESULTADO!$C$103&lt;&gt;0,0,S52-S44)</f>
        <v>160</v>
      </c>
      <c r="T60" s="23">
        <f>+IF(RESULTADO!$C$103&lt;&gt;0,0,T52-T44)</f>
        <v>160</v>
      </c>
      <c r="U60" s="23">
        <f>+IF(RESULTADO!$C$103&lt;&gt;0,0,U52-U44)</f>
        <v>160</v>
      </c>
      <c r="V60" s="23">
        <f>+IF(RESULTADO!$C$103&lt;&gt;0,0,V52-V44)</f>
        <v>160</v>
      </c>
      <c r="W60" s="23">
        <f>+IF(RESULTADO!$C$103&lt;&gt;0,0,W52-W44)</f>
        <v>160</v>
      </c>
      <c r="X60" s="23">
        <f>+IF(RESULTADO!$C$103&lt;&gt;0,0,X52-X44)</f>
        <v>160</v>
      </c>
      <c r="Y60" s="23">
        <f>+IF(RESULTADO!$C$103&lt;&gt;0,0,Y52-Y44)</f>
        <v>160</v>
      </c>
      <c r="Z60" s="404">
        <f>+IF(RESULTADO!$C$103&lt;&gt;0,0,Z52-Z44)</f>
        <v>160</v>
      </c>
      <c r="AA60" s="405">
        <f>+IF(RESULTADO!$C$103&lt;&gt;0,0,AA52-AA44)</f>
        <v>165.00000000000003</v>
      </c>
      <c r="AB60" s="23">
        <f>+IF(RESULTADO!$C$103&lt;&gt;0,0,AB52-AB44)</f>
        <v>165.00000000000003</v>
      </c>
      <c r="AC60" s="23">
        <f>+IF(RESULTADO!$C$103&lt;&gt;0,0,AC52-AC44)</f>
        <v>165.00000000000003</v>
      </c>
      <c r="AD60" s="23">
        <f>+IF(RESULTADO!$C$103&lt;&gt;0,0,AD52-AD44)</f>
        <v>165.00000000000003</v>
      </c>
      <c r="AE60" s="23">
        <f>+IF(RESULTADO!$C$103&lt;&gt;0,0,AE52-AE44)</f>
        <v>165.00000000000003</v>
      </c>
      <c r="AF60" s="23">
        <f>+IF(RESULTADO!$C$103&lt;&gt;0,0,AF52-AF44)</f>
        <v>165.00000000000003</v>
      </c>
      <c r="AG60" s="23">
        <f>+IF(RESULTADO!$C$103&lt;&gt;0,0,AG52-AG44)</f>
        <v>165.00000000000003</v>
      </c>
      <c r="AH60" s="23">
        <f>+IF(RESULTADO!$C$103&lt;&gt;0,0,AH52-AH44)</f>
        <v>165.00000000000003</v>
      </c>
      <c r="AI60" s="23">
        <f>+IF(RESULTADO!$C$103&lt;&gt;0,0,AI52-AI44)</f>
        <v>165.00000000000003</v>
      </c>
      <c r="AJ60" s="23">
        <f>+IF(RESULTADO!$C$103&lt;&gt;0,0,AJ52-AJ44)</f>
        <v>165.00000000000003</v>
      </c>
      <c r="AK60" s="23">
        <f>+IF(RESULTADO!$C$103&lt;&gt;0,0,AK52-AK44)</f>
        <v>165.00000000000003</v>
      </c>
      <c r="AL60" s="404">
        <f>+IF(RESULTADO!$C$103&lt;&gt;0,0,AL52-AL44)</f>
        <v>165.00000000000003</v>
      </c>
      <c r="AM60" s="405">
        <f>+IF(RESULTADO!$C$103&lt;&gt;0,0,AM52-AM44)</f>
        <v>120</v>
      </c>
      <c r="AN60" s="23">
        <f>+IF(RESULTADO!$C$103&lt;&gt;0,0,AN52-AN44)</f>
        <v>120</v>
      </c>
      <c r="AO60" s="23">
        <f>+IF(RESULTADO!$C$103&lt;&gt;0,0,AO52-AO44)</f>
        <v>120</v>
      </c>
      <c r="AP60" s="23">
        <f>+IF(RESULTADO!$C$103&lt;&gt;0,0,AP52-AP44)</f>
        <v>120</v>
      </c>
      <c r="AQ60" s="23">
        <f>+IF(RESULTADO!$C$103&lt;&gt;0,0,AQ52-AQ44)</f>
        <v>120</v>
      </c>
      <c r="AR60" s="23">
        <f>+IF(RESULTADO!$C$103&lt;&gt;0,0,AR52-AR44)</f>
        <v>120</v>
      </c>
      <c r="AS60" s="23">
        <f>+IF(RESULTADO!$C$103&lt;&gt;0,0,AS52-AS44)</f>
        <v>120</v>
      </c>
      <c r="AT60" s="23">
        <f>+IF(RESULTADO!$C$103&lt;&gt;0,0,AT52-AT44)</f>
        <v>120</v>
      </c>
      <c r="AU60" s="23">
        <f>+IF(RESULTADO!$C$103&lt;&gt;0,0,AU52-AU44)</f>
        <v>120</v>
      </c>
      <c r="AV60" s="23">
        <f>+IF(RESULTADO!$C$103&lt;&gt;0,0,AV52-AV44)</f>
        <v>120</v>
      </c>
      <c r="AW60" s="23">
        <f>+IF(RESULTADO!$C$103&lt;&gt;0,0,AW52-AW44)</f>
        <v>120</v>
      </c>
      <c r="AX60" s="404">
        <f>+IF(RESULTADO!$C$103&lt;&gt;0,0,AX52-AX44)</f>
        <v>120</v>
      </c>
      <c r="AY60" s="405">
        <f>+IF(RESULTADO!$C$103&lt;&gt;0,0,AY52-AY44)</f>
        <v>115</v>
      </c>
      <c r="AZ60" s="23">
        <f>+IF(RESULTADO!$C$103&lt;&gt;0,0,AZ52-AZ44)</f>
        <v>115</v>
      </c>
      <c r="BA60" s="23">
        <f>+IF(RESULTADO!$C$103&lt;&gt;0,0,BA52-BA44)</f>
        <v>115</v>
      </c>
      <c r="BB60" s="23">
        <f>+IF(RESULTADO!$C$103&lt;&gt;0,0,BB52-BB44)</f>
        <v>115</v>
      </c>
      <c r="BC60" s="23">
        <f>+IF(RESULTADO!$C$103&lt;&gt;0,0,BC52-BC44)</f>
        <v>115</v>
      </c>
      <c r="BD60" s="23">
        <f>+IF(RESULTADO!$C$103&lt;&gt;0,0,BD52-BD44)</f>
        <v>115</v>
      </c>
      <c r="BE60" s="23">
        <f>+IF(RESULTADO!$C$103&lt;&gt;0,0,BE52-BE44)</f>
        <v>115</v>
      </c>
      <c r="BF60" s="23">
        <f>+IF(RESULTADO!$C$103&lt;&gt;0,0,BF52-BF44)</f>
        <v>115</v>
      </c>
      <c r="BG60" s="23">
        <f>+IF(RESULTADO!$C$103&lt;&gt;0,0,BG52-BG44)</f>
        <v>115</v>
      </c>
      <c r="BH60" s="23">
        <f>+IF(RESULTADO!$C$103&lt;&gt;0,0,BH52-BH44)</f>
        <v>115</v>
      </c>
      <c r="BI60" s="23">
        <f>+IF(RESULTADO!$C$103&lt;&gt;0,0,BI52-BI44)</f>
        <v>115</v>
      </c>
      <c r="BJ60" s="24">
        <f>+IF(RESULTADO!$C$103&lt;&gt;0,0,BJ52-BJ44)</f>
        <v>115</v>
      </c>
      <c r="BL60" s="38" t="s">
        <v>129</v>
      </c>
      <c r="BM60" s="23">
        <f>+IF(RESULTADO!$C$103&lt;&gt;0,0,BM52-BM44)</f>
        <v>0</v>
      </c>
      <c r="BN60" s="23">
        <f>+IF(RESULTADO!$C$103&lt;&gt;0,0,BN52-BN44)</f>
        <v>0</v>
      </c>
      <c r="BO60" s="23">
        <f>+IF(RESULTADO!$C$103&lt;&gt;0,0,BO52-BO44)</f>
        <v>0</v>
      </c>
      <c r="BP60" s="23">
        <f>+IF(RESULTADO!$C$103&lt;&gt;0,0,BP52-BP44)</f>
        <v>0</v>
      </c>
      <c r="BQ60" s="23">
        <f>+IF(RESULTADO!$C$103&lt;&gt;0,0,BQ52-BQ44)</f>
        <v>0</v>
      </c>
      <c r="BR60" s="23">
        <f>+IF(RESULTADO!$C$103&lt;&gt;0,0,BR52-BR44)</f>
        <v>0</v>
      </c>
      <c r="BS60" s="23">
        <f>+IF(RESULTADO!$C$103&lt;&gt;0,0,BS52-BS44)</f>
        <v>0</v>
      </c>
      <c r="BT60" s="23">
        <f>+IF(RESULTADO!$C$103&lt;&gt;0,0,BT52-BT44)</f>
        <v>0</v>
      </c>
      <c r="BU60" s="23">
        <f>+IF(RESULTADO!$C$103&lt;&gt;0,0,BU52-BU44)</f>
        <v>0</v>
      </c>
      <c r="BV60" s="23">
        <f>+IF(RESULTADO!$C$103&lt;&gt;0,0,BV52-BV44)</f>
        <v>0</v>
      </c>
      <c r="BW60" s="23">
        <f>+IF(RESULTADO!$C$103&lt;&gt;0,0,BW52-BW44)</f>
        <v>0</v>
      </c>
      <c r="BX60" s="404">
        <f>+IF(RESULTADO!$C$103&lt;&gt;0,0,BX52-BX44)</f>
        <v>160</v>
      </c>
      <c r="BY60" s="405">
        <f>+IF(RESULTADO!$C$103&lt;&gt;0,0,BY52-BY44)</f>
        <v>160</v>
      </c>
      <c r="BZ60" s="23">
        <f>+IF(RESULTADO!$C$103&lt;&gt;0,0,BZ52-BZ44)</f>
        <v>160</v>
      </c>
      <c r="CA60" s="23">
        <f>+IF(RESULTADO!$C$103&lt;&gt;0,0,CA52-CA44)</f>
        <v>160</v>
      </c>
      <c r="CB60" s="23">
        <f>+IF(RESULTADO!$C$103&lt;&gt;0,0,CB52-CB44)</f>
        <v>160</v>
      </c>
      <c r="CC60" s="23">
        <f>+IF(RESULTADO!$C$103&lt;&gt;0,0,CC52-CC44)</f>
        <v>160</v>
      </c>
      <c r="CD60" s="23">
        <f>+IF(RESULTADO!$C$103&lt;&gt;0,0,CD52-CD44)</f>
        <v>160</v>
      </c>
      <c r="CE60" s="23">
        <f>+IF(RESULTADO!$C$103&lt;&gt;0,0,CE52-CE44)</f>
        <v>160</v>
      </c>
      <c r="CF60" s="23">
        <f>+IF(RESULTADO!$C$103&lt;&gt;0,0,CF52-CF44)</f>
        <v>160</v>
      </c>
      <c r="CG60" s="23">
        <f>+IF(RESULTADO!$C$103&lt;&gt;0,0,CG52-CG44)</f>
        <v>160</v>
      </c>
      <c r="CH60" s="23">
        <f>+IF(RESULTADO!$C$103&lt;&gt;0,0,CH52-CH44)</f>
        <v>160</v>
      </c>
      <c r="CI60" s="23">
        <f>+IF(RESULTADO!$C$103&lt;&gt;0,0,CI52-CI44)</f>
        <v>160</v>
      </c>
      <c r="CJ60" s="404">
        <f>+IF(RESULTADO!$C$103&lt;&gt;0,0,CJ52-CJ44)</f>
        <v>160</v>
      </c>
      <c r="CK60" s="405">
        <f>+IF(RESULTADO!$C$103&lt;&gt;0,0,CK52-CK44)</f>
        <v>165.00000000000003</v>
      </c>
      <c r="CL60" s="23">
        <f>+IF(RESULTADO!$C$103&lt;&gt;0,0,CL52-CL44)</f>
        <v>165.00000000000003</v>
      </c>
      <c r="CM60" s="23">
        <f>+IF(RESULTADO!$C$103&lt;&gt;0,0,CM52-CM44)</f>
        <v>165.00000000000003</v>
      </c>
      <c r="CN60" s="23">
        <f>+IF(RESULTADO!$C$103&lt;&gt;0,0,CN52-CN44)</f>
        <v>165.00000000000003</v>
      </c>
      <c r="CO60" s="23">
        <f>+IF(RESULTADO!$C$103&lt;&gt;0,0,CO52-CO44)</f>
        <v>165.00000000000003</v>
      </c>
      <c r="CP60" s="23">
        <f>+IF(RESULTADO!$C$103&lt;&gt;0,0,CP52-CP44)</f>
        <v>165.00000000000003</v>
      </c>
      <c r="CQ60" s="23">
        <f>+IF(RESULTADO!$C$103&lt;&gt;0,0,CQ52-CQ44)</f>
        <v>165.00000000000003</v>
      </c>
      <c r="CR60" s="23">
        <f>+IF(RESULTADO!$C$103&lt;&gt;0,0,CR52-CR44)</f>
        <v>165.00000000000003</v>
      </c>
      <c r="CS60" s="23">
        <f>+IF(RESULTADO!$C$103&lt;&gt;0,0,CS52-CS44)</f>
        <v>165.00000000000003</v>
      </c>
      <c r="CT60" s="23">
        <f>+IF(RESULTADO!$C$103&lt;&gt;0,0,CT52-CT44)</f>
        <v>165.00000000000003</v>
      </c>
      <c r="CU60" s="23">
        <f>+IF(RESULTADO!$C$103&lt;&gt;0,0,CU52-CU44)</f>
        <v>165.00000000000003</v>
      </c>
      <c r="CV60" s="404">
        <f>+IF(RESULTADO!$C$103&lt;&gt;0,0,CV52-CV44)</f>
        <v>165.00000000000003</v>
      </c>
      <c r="CW60" s="405">
        <f>+IF(RESULTADO!$C$103&lt;&gt;0,0,CW52-CW44)</f>
        <v>120</v>
      </c>
      <c r="CX60" s="23">
        <f>+IF(RESULTADO!$C$103&lt;&gt;0,0,CX52-CX44)</f>
        <v>120</v>
      </c>
      <c r="CY60" s="23">
        <f>+IF(RESULTADO!$C$103&lt;&gt;0,0,CY52-CY44)</f>
        <v>120</v>
      </c>
      <c r="CZ60" s="23">
        <f>+IF(RESULTADO!$C$103&lt;&gt;0,0,CZ52-CZ44)</f>
        <v>120</v>
      </c>
      <c r="DA60" s="23">
        <f>+IF(RESULTADO!$C$103&lt;&gt;0,0,DA52-DA44)</f>
        <v>120</v>
      </c>
      <c r="DB60" s="23">
        <f>+IF(RESULTADO!$C$103&lt;&gt;0,0,DB52-DB44)</f>
        <v>120</v>
      </c>
      <c r="DC60" s="23">
        <f>+IF(RESULTADO!$C$103&lt;&gt;0,0,DC52-DC44)</f>
        <v>120</v>
      </c>
      <c r="DD60" s="23">
        <f>+IF(RESULTADO!$C$103&lt;&gt;0,0,DD52-DD44)</f>
        <v>120</v>
      </c>
      <c r="DE60" s="23">
        <f>+IF(RESULTADO!$C$103&lt;&gt;0,0,DE52-DE44)</f>
        <v>120</v>
      </c>
      <c r="DF60" s="23">
        <f>+IF(RESULTADO!$C$103&lt;&gt;0,0,DF52-DF44)</f>
        <v>120</v>
      </c>
      <c r="DG60" s="23">
        <f>+IF(RESULTADO!$C$103&lt;&gt;0,0,DG52-DG44)</f>
        <v>120</v>
      </c>
      <c r="DH60" s="404">
        <f>+IF(RESULTADO!$C$103&lt;&gt;0,0,DH52-DH44)</f>
        <v>120</v>
      </c>
      <c r="DI60" s="405">
        <f>+IF(RESULTADO!$C$103&lt;&gt;0,0,DI52-DI44)</f>
        <v>115</v>
      </c>
      <c r="DJ60" s="23">
        <f>+IF(RESULTADO!$C$103&lt;&gt;0,0,DJ52-DJ44)</f>
        <v>115</v>
      </c>
      <c r="DK60" s="23">
        <f>+IF(RESULTADO!$C$103&lt;&gt;0,0,DK52-DK44)</f>
        <v>115</v>
      </c>
      <c r="DL60" s="23">
        <f>+IF(RESULTADO!$C$103&lt;&gt;0,0,DL52-DL44)</f>
        <v>115</v>
      </c>
      <c r="DM60" s="23">
        <f>+IF(RESULTADO!$C$103&lt;&gt;0,0,DM52-DM44)</f>
        <v>115</v>
      </c>
      <c r="DN60" s="23">
        <f>+IF(RESULTADO!$C$103&lt;&gt;0,0,DN52-DN44)</f>
        <v>115</v>
      </c>
      <c r="DO60" s="23">
        <f>+IF(RESULTADO!$C$103&lt;&gt;0,0,DO52-DO44)</f>
        <v>115</v>
      </c>
      <c r="DP60" s="23">
        <f>+IF(RESULTADO!$C$103&lt;&gt;0,0,DP52-DP44)</f>
        <v>115</v>
      </c>
      <c r="DQ60" s="23">
        <f>+IF(RESULTADO!$C$103&lt;&gt;0,0,DQ52-DQ44)</f>
        <v>115</v>
      </c>
      <c r="DR60" s="23">
        <f>+IF(RESULTADO!$C$103&lt;&gt;0,0,DR52-DR44)</f>
        <v>115</v>
      </c>
      <c r="DS60" s="23">
        <f>+IF(RESULTADO!$C$103&lt;&gt;0,0,DS52-DS44)</f>
        <v>115</v>
      </c>
      <c r="DT60" s="24">
        <f>+IF(RESULTADO!$C$103&lt;&gt;0,0,DT52-DT44)</f>
        <v>115</v>
      </c>
    </row>
    <row r="62" spans="1:124" ht="15.75" thickBot="1" x14ac:dyDescent="0.3">
      <c r="B62" s="35" t="s">
        <v>112</v>
      </c>
      <c r="C62" s="26">
        <f>C36</f>
        <v>44562</v>
      </c>
      <c r="D62" s="26">
        <f t="shared" ref="D62:BJ62" si="13">D36</f>
        <v>44593</v>
      </c>
      <c r="E62" s="26">
        <f t="shared" si="13"/>
        <v>44621</v>
      </c>
      <c r="F62" s="26">
        <f t="shared" si="13"/>
        <v>44652</v>
      </c>
      <c r="G62" s="26">
        <f t="shared" si="13"/>
        <v>44682</v>
      </c>
      <c r="H62" s="26">
        <f t="shared" si="13"/>
        <v>44713</v>
      </c>
      <c r="I62" s="26">
        <f t="shared" si="13"/>
        <v>44743</v>
      </c>
      <c r="J62" s="26">
        <f t="shared" si="13"/>
        <v>44774</v>
      </c>
      <c r="K62" s="26">
        <f t="shared" si="13"/>
        <v>44805</v>
      </c>
      <c r="L62" s="26">
        <f t="shared" si="13"/>
        <v>44835</v>
      </c>
      <c r="M62" s="26">
        <f t="shared" si="13"/>
        <v>44866</v>
      </c>
      <c r="N62" s="382">
        <f t="shared" si="13"/>
        <v>44896</v>
      </c>
      <c r="O62" s="383">
        <f t="shared" si="13"/>
        <v>44927</v>
      </c>
      <c r="P62" s="26">
        <f t="shared" si="13"/>
        <v>44958</v>
      </c>
      <c r="Q62" s="26">
        <f t="shared" si="13"/>
        <v>44986</v>
      </c>
      <c r="R62" s="26">
        <f t="shared" si="13"/>
        <v>45017</v>
      </c>
      <c r="S62" s="26">
        <f t="shared" si="13"/>
        <v>45047</v>
      </c>
      <c r="T62" s="26">
        <f t="shared" si="13"/>
        <v>45078</v>
      </c>
      <c r="U62" s="26">
        <f t="shared" si="13"/>
        <v>45108</v>
      </c>
      <c r="V62" s="26">
        <f t="shared" si="13"/>
        <v>45139</v>
      </c>
      <c r="W62" s="26">
        <f t="shared" si="13"/>
        <v>45170</v>
      </c>
      <c r="X62" s="26">
        <f t="shared" si="13"/>
        <v>45200</v>
      </c>
      <c r="Y62" s="26">
        <f t="shared" si="13"/>
        <v>45231</v>
      </c>
      <c r="Z62" s="382">
        <f t="shared" si="13"/>
        <v>45261</v>
      </c>
      <c r="AA62" s="383">
        <f t="shared" si="13"/>
        <v>45292</v>
      </c>
      <c r="AB62" s="26">
        <f t="shared" si="13"/>
        <v>45323</v>
      </c>
      <c r="AC62" s="26">
        <f t="shared" si="13"/>
        <v>45352</v>
      </c>
      <c r="AD62" s="26">
        <f t="shared" si="13"/>
        <v>45383</v>
      </c>
      <c r="AE62" s="26">
        <f t="shared" si="13"/>
        <v>45413</v>
      </c>
      <c r="AF62" s="26">
        <f t="shared" si="13"/>
        <v>45444</v>
      </c>
      <c r="AG62" s="26">
        <f t="shared" si="13"/>
        <v>45474</v>
      </c>
      <c r="AH62" s="26">
        <f t="shared" si="13"/>
        <v>45505</v>
      </c>
      <c r="AI62" s="26">
        <f t="shared" si="13"/>
        <v>45536</v>
      </c>
      <c r="AJ62" s="26">
        <f t="shared" si="13"/>
        <v>45566</v>
      </c>
      <c r="AK62" s="26">
        <f t="shared" si="13"/>
        <v>45597</v>
      </c>
      <c r="AL62" s="382">
        <f t="shared" si="13"/>
        <v>45627</v>
      </c>
      <c r="AM62" s="383">
        <f t="shared" si="13"/>
        <v>45658</v>
      </c>
      <c r="AN62" s="26">
        <f t="shared" si="13"/>
        <v>45689</v>
      </c>
      <c r="AO62" s="26">
        <f t="shared" si="13"/>
        <v>45717</v>
      </c>
      <c r="AP62" s="26">
        <f t="shared" si="13"/>
        <v>45748</v>
      </c>
      <c r="AQ62" s="26">
        <f t="shared" si="13"/>
        <v>45778</v>
      </c>
      <c r="AR62" s="26">
        <f t="shared" si="13"/>
        <v>45809</v>
      </c>
      <c r="AS62" s="26">
        <f t="shared" si="13"/>
        <v>45839</v>
      </c>
      <c r="AT62" s="26">
        <f t="shared" si="13"/>
        <v>45870</v>
      </c>
      <c r="AU62" s="26">
        <f t="shared" si="13"/>
        <v>45901</v>
      </c>
      <c r="AV62" s="26">
        <f t="shared" si="13"/>
        <v>45931</v>
      </c>
      <c r="AW62" s="26">
        <f t="shared" si="13"/>
        <v>45962</v>
      </c>
      <c r="AX62" s="382">
        <f t="shared" si="13"/>
        <v>45992</v>
      </c>
      <c r="AY62" s="383">
        <f t="shared" si="13"/>
        <v>46023</v>
      </c>
      <c r="AZ62" s="26">
        <f t="shared" si="13"/>
        <v>46054</v>
      </c>
      <c r="BA62" s="26">
        <f t="shared" si="13"/>
        <v>46082</v>
      </c>
      <c r="BB62" s="26">
        <f t="shared" si="13"/>
        <v>46113</v>
      </c>
      <c r="BC62" s="26">
        <f t="shared" si="13"/>
        <v>46143</v>
      </c>
      <c r="BD62" s="26">
        <f t="shared" si="13"/>
        <v>46174</v>
      </c>
      <c r="BE62" s="26">
        <f t="shared" si="13"/>
        <v>46204</v>
      </c>
      <c r="BF62" s="26">
        <f t="shared" si="13"/>
        <v>46235</v>
      </c>
      <c r="BG62" s="26">
        <f t="shared" si="13"/>
        <v>46266</v>
      </c>
      <c r="BH62" s="26">
        <f t="shared" si="13"/>
        <v>46296</v>
      </c>
      <c r="BI62" s="26">
        <f t="shared" si="13"/>
        <v>46327</v>
      </c>
      <c r="BJ62" s="26">
        <f t="shared" si="13"/>
        <v>46357</v>
      </c>
      <c r="BL62" s="35" t="s">
        <v>112</v>
      </c>
      <c r="BM62" s="26">
        <f>BM36</f>
        <v>44562</v>
      </c>
      <c r="BN62" s="26">
        <f t="shared" ref="BN62:DT62" si="14">BN36</f>
        <v>44593</v>
      </c>
      <c r="BO62" s="26">
        <f t="shared" si="14"/>
        <v>44621</v>
      </c>
      <c r="BP62" s="26">
        <f t="shared" si="14"/>
        <v>44652</v>
      </c>
      <c r="BQ62" s="26">
        <f t="shared" si="14"/>
        <v>44682</v>
      </c>
      <c r="BR62" s="26">
        <f t="shared" si="14"/>
        <v>44713</v>
      </c>
      <c r="BS62" s="26">
        <f t="shared" si="14"/>
        <v>44743</v>
      </c>
      <c r="BT62" s="26">
        <f t="shared" si="14"/>
        <v>44774</v>
      </c>
      <c r="BU62" s="26">
        <f t="shared" si="14"/>
        <v>44805</v>
      </c>
      <c r="BV62" s="26">
        <f t="shared" si="14"/>
        <v>44835</v>
      </c>
      <c r="BW62" s="26">
        <f t="shared" si="14"/>
        <v>44866</v>
      </c>
      <c r="BX62" s="382">
        <f t="shared" si="14"/>
        <v>44896</v>
      </c>
      <c r="BY62" s="383">
        <f t="shared" si="14"/>
        <v>44927</v>
      </c>
      <c r="BZ62" s="26">
        <f t="shared" si="14"/>
        <v>44958</v>
      </c>
      <c r="CA62" s="26">
        <f t="shared" si="14"/>
        <v>44986</v>
      </c>
      <c r="CB62" s="26">
        <f t="shared" si="14"/>
        <v>45017</v>
      </c>
      <c r="CC62" s="26">
        <f t="shared" si="14"/>
        <v>45047</v>
      </c>
      <c r="CD62" s="26">
        <f t="shared" si="14"/>
        <v>45078</v>
      </c>
      <c r="CE62" s="26">
        <f t="shared" si="14"/>
        <v>45108</v>
      </c>
      <c r="CF62" s="26">
        <f t="shared" si="14"/>
        <v>45139</v>
      </c>
      <c r="CG62" s="26">
        <f t="shared" si="14"/>
        <v>45170</v>
      </c>
      <c r="CH62" s="26">
        <f t="shared" si="14"/>
        <v>45200</v>
      </c>
      <c r="CI62" s="26">
        <f t="shared" si="14"/>
        <v>45231</v>
      </c>
      <c r="CJ62" s="382">
        <f t="shared" si="14"/>
        <v>45261</v>
      </c>
      <c r="CK62" s="383">
        <f t="shared" si="14"/>
        <v>45292</v>
      </c>
      <c r="CL62" s="26">
        <f t="shared" si="14"/>
        <v>45323</v>
      </c>
      <c r="CM62" s="26">
        <f t="shared" si="14"/>
        <v>45352</v>
      </c>
      <c r="CN62" s="26">
        <f t="shared" si="14"/>
        <v>45383</v>
      </c>
      <c r="CO62" s="26">
        <f t="shared" si="14"/>
        <v>45413</v>
      </c>
      <c r="CP62" s="26">
        <f t="shared" si="14"/>
        <v>45444</v>
      </c>
      <c r="CQ62" s="26">
        <f t="shared" si="14"/>
        <v>45474</v>
      </c>
      <c r="CR62" s="26">
        <f t="shared" si="14"/>
        <v>45505</v>
      </c>
      <c r="CS62" s="26">
        <f t="shared" si="14"/>
        <v>45536</v>
      </c>
      <c r="CT62" s="26">
        <f t="shared" si="14"/>
        <v>45566</v>
      </c>
      <c r="CU62" s="26">
        <f t="shared" si="14"/>
        <v>45597</v>
      </c>
      <c r="CV62" s="382">
        <f t="shared" si="14"/>
        <v>45627</v>
      </c>
      <c r="CW62" s="383">
        <f t="shared" si="14"/>
        <v>45658</v>
      </c>
      <c r="CX62" s="26">
        <f t="shared" si="14"/>
        <v>45689</v>
      </c>
      <c r="CY62" s="26">
        <f t="shared" si="14"/>
        <v>45717</v>
      </c>
      <c r="CZ62" s="26">
        <f t="shared" si="14"/>
        <v>45748</v>
      </c>
      <c r="DA62" s="26">
        <f t="shared" si="14"/>
        <v>45778</v>
      </c>
      <c r="DB62" s="26">
        <f t="shared" si="14"/>
        <v>45809</v>
      </c>
      <c r="DC62" s="26">
        <f t="shared" si="14"/>
        <v>45839</v>
      </c>
      <c r="DD62" s="26">
        <f t="shared" si="14"/>
        <v>45870</v>
      </c>
      <c r="DE62" s="26">
        <f t="shared" si="14"/>
        <v>45901</v>
      </c>
      <c r="DF62" s="26">
        <f t="shared" si="14"/>
        <v>45931</v>
      </c>
      <c r="DG62" s="26">
        <f t="shared" si="14"/>
        <v>45962</v>
      </c>
      <c r="DH62" s="382">
        <f t="shared" si="14"/>
        <v>45992</v>
      </c>
      <c r="DI62" s="383">
        <f t="shared" si="14"/>
        <v>46023</v>
      </c>
      <c r="DJ62" s="26">
        <f t="shared" si="14"/>
        <v>46054</v>
      </c>
      <c r="DK62" s="26">
        <f t="shared" si="14"/>
        <v>46082</v>
      </c>
      <c r="DL62" s="26">
        <f t="shared" si="14"/>
        <v>46113</v>
      </c>
      <c r="DM62" s="26">
        <f t="shared" si="14"/>
        <v>46143</v>
      </c>
      <c r="DN62" s="26">
        <f t="shared" si="14"/>
        <v>46174</v>
      </c>
      <c r="DO62" s="26">
        <f t="shared" si="14"/>
        <v>46204</v>
      </c>
      <c r="DP62" s="26">
        <f t="shared" si="14"/>
        <v>46235</v>
      </c>
      <c r="DQ62" s="26">
        <f t="shared" si="14"/>
        <v>46266</v>
      </c>
      <c r="DR62" s="26">
        <f t="shared" si="14"/>
        <v>46296</v>
      </c>
      <c r="DS62" s="26">
        <f t="shared" si="14"/>
        <v>46327</v>
      </c>
      <c r="DT62" s="26">
        <f t="shared" si="14"/>
        <v>46357</v>
      </c>
    </row>
    <row r="63" spans="1:124" x14ac:dyDescent="0.25">
      <c r="A63" s="7"/>
      <c r="B63" s="16" t="s">
        <v>95</v>
      </c>
      <c r="C63" s="20">
        <f>IF(C30=0,0,0)</f>
        <v>0</v>
      </c>
      <c r="D63" s="20">
        <f t="shared" ref="D63:BJ63" si="15">IF(D30=0,0,0)</f>
        <v>0</v>
      </c>
      <c r="E63" s="20">
        <f t="shared" si="15"/>
        <v>0</v>
      </c>
      <c r="F63" s="20">
        <f t="shared" si="15"/>
        <v>0</v>
      </c>
      <c r="G63" s="20">
        <f t="shared" si="15"/>
        <v>0</v>
      </c>
      <c r="H63" s="20">
        <f t="shared" si="15"/>
        <v>0</v>
      </c>
      <c r="I63" s="20">
        <f t="shared" si="15"/>
        <v>0</v>
      </c>
      <c r="J63" s="20">
        <f t="shared" si="15"/>
        <v>0</v>
      </c>
      <c r="K63" s="20">
        <f t="shared" si="15"/>
        <v>0</v>
      </c>
      <c r="L63" s="20">
        <f t="shared" si="15"/>
        <v>0</v>
      </c>
      <c r="M63" s="20">
        <f t="shared" si="15"/>
        <v>0</v>
      </c>
      <c r="N63" s="400">
        <f t="shared" si="15"/>
        <v>0</v>
      </c>
      <c r="O63" s="401">
        <f t="shared" si="15"/>
        <v>0</v>
      </c>
      <c r="P63" s="20">
        <f t="shared" si="15"/>
        <v>0</v>
      </c>
      <c r="Q63" s="20">
        <f t="shared" si="15"/>
        <v>0</v>
      </c>
      <c r="R63" s="20">
        <f t="shared" si="15"/>
        <v>0</v>
      </c>
      <c r="S63" s="20">
        <f t="shared" si="15"/>
        <v>0</v>
      </c>
      <c r="T63" s="20">
        <f t="shared" si="15"/>
        <v>0</v>
      </c>
      <c r="U63" s="20">
        <f t="shared" si="15"/>
        <v>0</v>
      </c>
      <c r="V63" s="20">
        <f t="shared" si="15"/>
        <v>0</v>
      </c>
      <c r="W63" s="20">
        <f t="shared" si="15"/>
        <v>0</v>
      </c>
      <c r="X63" s="20">
        <f t="shared" si="15"/>
        <v>0</v>
      </c>
      <c r="Y63" s="20">
        <f t="shared" si="15"/>
        <v>0</v>
      </c>
      <c r="Z63" s="400">
        <f t="shared" si="15"/>
        <v>0</v>
      </c>
      <c r="AA63" s="401">
        <f t="shared" si="15"/>
        <v>0</v>
      </c>
      <c r="AB63" s="20">
        <f t="shared" si="15"/>
        <v>0</v>
      </c>
      <c r="AC63" s="20">
        <f t="shared" si="15"/>
        <v>0</v>
      </c>
      <c r="AD63" s="20">
        <f t="shared" si="15"/>
        <v>0</v>
      </c>
      <c r="AE63" s="20">
        <f t="shared" si="15"/>
        <v>0</v>
      </c>
      <c r="AF63" s="20">
        <f t="shared" si="15"/>
        <v>0</v>
      </c>
      <c r="AG63" s="20">
        <f t="shared" si="15"/>
        <v>0</v>
      </c>
      <c r="AH63" s="20">
        <f t="shared" si="15"/>
        <v>0</v>
      </c>
      <c r="AI63" s="20">
        <f t="shared" si="15"/>
        <v>0</v>
      </c>
      <c r="AJ63" s="20">
        <f t="shared" si="15"/>
        <v>0</v>
      </c>
      <c r="AK63" s="20">
        <f t="shared" si="15"/>
        <v>0</v>
      </c>
      <c r="AL63" s="400">
        <f t="shared" si="15"/>
        <v>0</v>
      </c>
      <c r="AM63" s="401">
        <f t="shared" si="15"/>
        <v>0</v>
      </c>
      <c r="AN63" s="20">
        <f t="shared" si="15"/>
        <v>0</v>
      </c>
      <c r="AO63" s="20">
        <f t="shared" si="15"/>
        <v>0</v>
      </c>
      <c r="AP63" s="20">
        <f t="shared" si="15"/>
        <v>0</v>
      </c>
      <c r="AQ63" s="20">
        <f t="shared" si="15"/>
        <v>0</v>
      </c>
      <c r="AR63" s="20">
        <f t="shared" si="15"/>
        <v>0</v>
      </c>
      <c r="AS63" s="20">
        <f t="shared" si="15"/>
        <v>0</v>
      </c>
      <c r="AT63" s="20">
        <f t="shared" si="15"/>
        <v>0</v>
      </c>
      <c r="AU63" s="20">
        <f t="shared" si="15"/>
        <v>0</v>
      </c>
      <c r="AV63" s="20">
        <f t="shared" si="15"/>
        <v>0</v>
      </c>
      <c r="AW63" s="20">
        <f t="shared" si="15"/>
        <v>0</v>
      </c>
      <c r="AX63" s="400">
        <f t="shared" si="15"/>
        <v>0</v>
      </c>
      <c r="AY63" s="401">
        <f t="shared" si="15"/>
        <v>0</v>
      </c>
      <c r="AZ63" s="20">
        <f t="shared" si="15"/>
        <v>0</v>
      </c>
      <c r="BA63" s="20">
        <f t="shared" si="15"/>
        <v>0</v>
      </c>
      <c r="BB63" s="20">
        <f t="shared" si="15"/>
        <v>0</v>
      </c>
      <c r="BC63" s="20">
        <f t="shared" si="15"/>
        <v>0</v>
      </c>
      <c r="BD63" s="20">
        <f t="shared" si="15"/>
        <v>0</v>
      </c>
      <c r="BE63" s="20">
        <f t="shared" si="15"/>
        <v>0</v>
      </c>
      <c r="BF63" s="20">
        <f t="shared" si="15"/>
        <v>0</v>
      </c>
      <c r="BG63" s="20">
        <f t="shared" si="15"/>
        <v>0</v>
      </c>
      <c r="BH63" s="20">
        <f t="shared" si="15"/>
        <v>0</v>
      </c>
      <c r="BI63" s="20">
        <f t="shared" si="15"/>
        <v>0</v>
      </c>
      <c r="BJ63" s="21">
        <f t="shared" si="15"/>
        <v>0</v>
      </c>
      <c r="BL63" s="16" t="s">
        <v>95</v>
      </c>
      <c r="BM63" s="20">
        <f>IF(C30=0,0,0)</f>
        <v>0</v>
      </c>
      <c r="BN63" s="20">
        <f t="shared" ref="BN63:DT63" si="16">IF(D30=0,0,0)</f>
        <v>0</v>
      </c>
      <c r="BO63" s="20">
        <f t="shared" si="16"/>
        <v>0</v>
      </c>
      <c r="BP63" s="20">
        <f t="shared" si="16"/>
        <v>0</v>
      </c>
      <c r="BQ63" s="20">
        <f t="shared" si="16"/>
        <v>0</v>
      </c>
      <c r="BR63" s="20">
        <f t="shared" si="16"/>
        <v>0</v>
      </c>
      <c r="BS63" s="20">
        <f t="shared" si="16"/>
        <v>0</v>
      </c>
      <c r="BT63" s="20">
        <f t="shared" si="16"/>
        <v>0</v>
      </c>
      <c r="BU63" s="20">
        <f t="shared" si="16"/>
        <v>0</v>
      </c>
      <c r="BV63" s="20">
        <f t="shared" si="16"/>
        <v>0</v>
      </c>
      <c r="BW63" s="20">
        <f t="shared" si="16"/>
        <v>0</v>
      </c>
      <c r="BX63" s="400">
        <f t="shared" si="16"/>
        <v>0</v>
      </c>
      <c r="BY63" s="401">
        <f t="shared" si="16"/>
        <v>0</v>
      </c>
      <c r="BZ63" s="20">
        <f t="shared" si="16"/>
        <v>0</v>
      </c>
      <c r="CA63" s="20">
        <f t="shared" si="16"/>
        <v>0</v>
      </c>
      <c r="CB63" s="20">
        <f t="shared" si="16"/>
        <v>0</v>
      </c>
      <c r="CC63" s="20">
        <f t="shared" si="16"/>
        <v>0</v>
      </c>
      <c r="CD63" s="20">
        <f t="shared" si="16"/>
        <v>0</v>
      </c>
      <c r="CE63" s="20">
        <f t="shared" si="16"/>
        <v>0</v>
      </c>
      <c r="CF63" s="20">
        <f t="shared" si="16"/>
        <v>0</v>
      </c>
      <c r="CG63" s="20">
        <f t="shared" si="16"/>
        <v>0</v>
      </c>
      <c r="CH63" s="20">
        <f t="shared" si="16"/>
        <v>0</v>
      </c>
      <c r="CI63" s="20">
        <f t="shared" si="16"/>
        <v>0</v>
      </c>
      <c r="CJ63" s="400">
        <f t="shared" si="16"/>
        <v>0</v>
      </c>
      <c r="CK63" s="401">
        <f t="shared" si="16"/>
        <v>0</v>
      </c>
      <c r="CL63" s="20">
        <f t="shared" si="16"/>
        <v>0</v>
      </c>
      <c r="CM63" s="20">
        <f t="shared" si="16"/>
        <v>0</v>
      </c>
      <c r="CN63" s="20">
        <f t="shared" si="16"/>
        <v>0</v>
      </c>
      <c r="CO63" s="20">
        <f t="shared" si="16"/>
        <v>0</v>
      </c>
      <c r="CP63" s="20">
        <f t="shared" si="16"/>
        <v>0</v>
      </c>
      <c r="CQ63" s="20">
        <f t="shared" si="16"/>
        <v>0</v>
      </c>
      <c r="CR63" s="20">
        <f t="shared" si="16"/>
        <v>0</v>
      </c>
      <c r="CS63" s="20">
        <f t="shared" si="16"/>
        <v>0</v>
      </c>
      <c r="CT63" s="20">
        <f t="shared" si="16"/>
        <v>0</v>
      </c>
      <c r="CU63" s="20">
        <f t="shared" si="16"/>
        <v>0</v>
      </c>
      <c r="CV63" s="400">
        <f t="shared" si="16"/>
        <v>0</v>
      </c>
      <c r="CW63" s="401">
        <f t="shared" si="16"/>
        <v>0</v>
      </c>
      <c r="CX63" s="20">
        <f t="shared" si="16"/>
        <v>0</v>
      </c>
      <c r="CY63" s="20">
        <f t="shared" si="16"/>
        <v>0</v>
      </c>
      <c r="CZ63" s="20">
        <f t="shared" si="16"/>
        <v>0</v>
      </c>
      <c r="DA63" s="20">
        <f t="shared" si="16"/>
        <v>0</v>
      </c>
      <c r="DB63" s="20">
        <f t="shared" si="16"/>
        <v>0</v>
      </c>
      <c r="DC63" s="20">
        <f t="shared" si="16"/>
        <v>0</v>
      </c>
      <c r="DD63" s="20">
        <f t="shared" si="16"/>
        <v>0</v>
      </c>
      <c r="DE63" s="20">
        <f t="shared" si="16"/>
        <v>0</v>
      </c>
      <c r="DF63" s="20">
        <f t="shared" si="16"/>
        <v>0</v>
      </c>
      <c r="DG63" s="20">
        <f t="shared" si="16"/>
        <v>0</v>
      </c>
      <c r="DH63" s="400">
        <f t="shared" si="16"/>
        <v>0</v>
      </c>
      <c r="DI63" s="401">
        <f t="shared" si="16"/>
        <v>0</v>
      </c>
      <c r="DJ63" s="20">
        <f t="shared" si="16"/>
        <v>0</v>
      </c>
      <c r="DK63" s="20">
        <f t="shared" si="16"/>
        <v>0</v>
      </c>
      <c r="DL63" s="20">
        <f t="shared" si="16"/>
        <v>0</v>
      </c>
      <c r="DM63" s="20">
        <f t="shared" si="16"/>
        <v>0</v>
      </c>
      <c r="DN63" s="20">
        <f t="shared" si="16"/>
        <v>0</v>
      </c>
      <c r="DO63" s="20">
        <f t="shared" si="16"/>
        <v>0</v>
      </c>
      <c r="DP63" s="20">
        <f t="shared" si="16"/>
        <v>0</v>
      </c>
      <c r="DQ63" s="20">
        <f t="shared" si="16"/>
        <v>0</v>
      </c>
      <c r="DR63" s="20">
        <f t="shared" si="16"/>
        <v>0</v>
      </c>
      <c r="DS63" s="20">
        <f t="shared" si="16"/>
        <v>0</v>
      </c>
      <c r="DT63" s="21">
        <f t="shared" si="16"/>
        <v>0</v>
      </c>
    </row>
    <row r="64" spans="1:124" x14ac:dyDescent="0.25">
      <c r="A64" s="7"/>
      <c r="B64" s="17" t="s">
        <v>96</v>
      </c>
      <c r="C64" s="18">
        <f>IF(C31=0,0,0)</f>
        <v>0</v>
      </c>
      <c r="D64" s="18">
        <f t="shared" ref="D64:BJ64" si="17">IF(D31=0,0,0)</f>
        <v>0</v>
      </c>
      <c r="E64" s="18">
        <f t="shared" si="17"/>
        <v>0</v>
      </c>
      <c r="F64" s="18">
        <f t="shared" si="17"/>
        <v>0</v>
      </c>
      <c r="G64" s="18">
        <f t="shared" si="17"/>
        <v>0</v>
      </c>
      <c r="H64" s="18">
        <f t="shared" si="17"/>
        <v>0</v>
      </c>
      <c r="I64" s="18">
        <f t="shared" si="17"/>
        <v>0</v>
      </c>
      <c r="J64" s="18">
        <f t="shared" si="17"/>
        <v>0</v>
      </c>
      <c r="K64" s="18">
        <f t="shared" si="17"/>
        <v>0</v>
      </c>
      <c r="L64" s="18">
        <f t="shared" si="17"/>
        <v>0</v>
      </c>
      <c r="M64" s="18">
        <f t="shared" si="17"/>
        <v>0</v>
      </c>
      <c r="N64" s="402">
        <f t="shared" si="17"/>
        <v>0</v>
      </c>
      <c r="O64" s="403">
        <f t="shared" si="17"/>
        <v>0</v>
      </c>
      <c r="P64" s="18">
        <f t="shared" si="17"/>
        <v>0</v>
      </c>
      <c r="Q64" s="18">
        <f t="shared" si="17"/>
        <v>0</v>
      </c>
      <c r="R64" s="18">
        <f t="shared" si="17"/>
        <v>0</v>
      </c>
      <c r="S64" s="18">
        <f t="shared" si="17"/>
        <v>0</v>
      </c>
      <c r="T64" s="18">
        <f t="shared" si="17"/>
        <v>0</v>
      </c>
      <c r="U64" s="18">
        <f t="shared" si="17"/>
        <v>0</v>
      </c>
      <c r="V64" s="18">
        <f t="shared" si="17"/>
        <v>0</v>
      </c>
      <c r="W64" s="18">
        <f t="shared" si="17"/>
        <v>0</v>
      </c>
      <c r="X64" s="18">
        <f t="shared" si="17"/>
        <v>0</v>
      </c>
      <c r="Y64" s="18">
        <f t="shared" si="17"/>
        <v>0</v>
      </c>
      <c r="Z64" s="402">
        <f t="shared" si="17"/>
        <v>0</v>
      </c>
      <c r="AA64" s="403">
        <f t="shared" si="17"/>
        <v>0</v>
      </c>
      <c r="AB64" s="18">
        <f t="shared" si="17"/>
        <v>0</v>
      </c>
      <c r="AC64" s="18">
        <f t="shared" si="17"/>
        <v>0</v>
      </c>
      <c r="AD64" s="18">
        <f t="shared" si="17"/>
        <v>0</v>
      </c>
      <c r="AE64" s="18">
        <f t="shared" si="17"/>
        <v>0</v>
      </c>
      <c r="AF64" s="18">
        <f t="shared" si="17"/>
        <v>0</v>
      </c>
      <c r="AG64" s="18">
        <f t="shared" si="17"/>
        <v>0</v>
      </c>
      <c r="AH64" s="18">
        <f t="shared" si="17"/>
        <v>0</v>
      </c>
      <c r="AI64" s="18">
        <f t="shared" si="17"/>
        <v>0</v>
      </c>
      <c r="AJ64" s="18">
        <f t="shared" si="17"/>
        <v>0</v>
      </c>
      <c r="AK64" s="18">
        <f t="shared" si="17"/>
        <v>0</v>
      </c>
      <c r="AL64" s="402">
        <f t="shared" si="17"/>
        <v>0</v>
      </c>
      <c r="AM64" s="403">
        <f t="shared" si="17"/>
        <v>0</v>
      </c>
      <c r="AN64" s="18">
        <f t="shared" si="17"/>
        <v>0</v>
      </c>
      <c r="AO64" s="18">
        <f t="shared" si="17"/>
        <v>0</v>
      </c>
      <c r="AP64" s="18">
        <f t="shared" si="17"/>
        <v>0</v>
      </c>
      <c r="AQ64" s="18">
        <f t="shared" si="17"/>
        <v>0</v>
      </c>
      <c r="AR64" s="18">
        <f t="shared" si="17"/>
        <v>0</v>
      </c>
      <c r="AS64" s="18">
        <f t="shared" si="17"/>
        <v>0</v>
      </c>
      <c r="AT64" s="18">
        <f t="shared" si="17"/>
        <v>0</v>
      </c>
      <c r="AU64" s="18">
        <f t="shared" si="17"/>
        <v>0</v>
      </c>
      <c r="AV64" s="18">
        <f t="shared" si="17"/>
        <v>0</v>
      </c>
      <c r="AW64" s="18">
        <f t="shared" si="17"/>
        <v>0</v>
      </c>
      <c r="AX64" s="402">
        <f t="shared" si="17"/>
        <v>0</v>
      </c>
      <c r="AY64" s="403">
        <f t="shared" si="17"/>
        <v>0</v>
      </c>
      <c r="AZ64" s="18">
        <f t="shared" si="17"/>
        <v>0</v>
      </c>
      <c r="BA64" s="18">
        <f t="shared" si="17"/>
        <v>0</v>
      </c>
      <c r="BB64" s="18">
        <f t="shared" si="17"/>
        <v>0</v>
      </c>
      <c r="BC64" s="18">
        <f t="shared" si="17"/>
        <v>0</v>
      </c>
      <c r="BD64" s="18">
        <f t="shared" si="17"/>
        <v>0</v>
      </c>
      <c r="BE64" s="18">
        <f t="shared" si="17"/>
        <v>0</v>
      </c>
      <c r="BF64" s="18">
        <f t="shared" si="17"/>
        <v>0</v>
      </c>
      <c r="BG64" s="18">
        <f t="shared" si="17"/>
        <v>0</v>
      </c>
      <c r="BH64" s="18">
        <f t="shared" si="17"/>
        <v>0</v>
      </c>
      <c r="BI64" s="18">
        <f t="shared" si="17"/>
        <v>0</v>
      </c>
      <c r="BJ64" s="19">
        <f t="shared" si="17"/>
        <v>0</v>
      </c>
      <c r="BL64" s="17" t="s">
        <v>96</v>
      </c>
      <c r="BM64" s="18">
        <f>IF(C31=0,0,0)</f>
        <v>0</v>
      </c>
      <c r="BN64" s="18">
        <f t="shared" ref="BN64:DT64" si="18">IF(D31=0,0,0)</f>
        <v>0</v>
      </c>
      <c r="BO64" s="18">
        <f t="shared" si="18"/>
        <v>0</v>
      </c>
      <c r="BP64" s="18">
        <f t="shared" si="18"/>
        <v>0</v>
      </c>
      <c r="BQ64" s="18">
        <f t="shared" si="18"/>
        <v>0</v>
      </c>
      <c r="BR64" s="18">
        <f t="shared" si="18"/>
        <v>0</v>
      </c>
      <c r="BS64" s="18">
        <f t="shared" si="18"/>
        <v>0</v>
      </c>
      <c r="BT64" s="18">
        <f t="shared" si="18"/>
        <v>0</v>
      </c>
      <c r="BU64" s="18">
        <f t="shared" si="18"/>
        <v>0</v>
      </c>
      <c r="BV64" s="18">
        <f t="shared" si="18"/>
        <v>0</v>
      </c>
      <c r="BW64" s="18">
        <f t="shared" si="18"/>
        <v>0</v>
      </c>
      <c r="BX64" s="402">
        <f t="shared" si="18"/>
        <v>0</v>
      </c>
      <c r="BY64" s="403">
        <f t="shared" si="18"/>
        <v>0</v>
      </c>
      <c r="BZ64" s="18">
        <f t="shared" si="18"/>
        <v>0</v>
      </c>
      <c r="CA64" s="18">
        <f t="shared" si="18"/>
        <v>0</v>
      </c>
      <c r="CB64" s="18">
        <f t="shared" si="18"/>
        <v>0</v>
      </c>
      <c r="CC64" s="18">
        <f t="shared" si="18"/>
        <v>0</v>
      </c>
      <c r="CD64" s="18">
        <f t="shared" si="18"/>
        <v>0</v>
      </c>
      <c r="CE64" s="18">
        <f t="shared" si="18"/>
        <v>0</v>
      </c>
      <c r="CF64" s="18">
        <f t="shared" si="18"/>
        <v>0</v>
      </c>
      <c r="CG64" s="18">
        <f t="shared" si="18"/>
        <v>0</v>
      </c>
      <c r="CH64" s="18">
        <f t="shared" si="18"/>
        <v>0</v>
      </c>
      <c r="CI64" s="18">
        <f t="shared" si="18"/>
        <v>0</v>
      </c>
      <c r="CJ64" s="402">
        <f t="shared" si="18"/>
        <v>0</v>
      </c>
      <c r="CK64" s="403">
        <f t="shared" si="18"/>
        <v>0</v>
      </c>
      <c r="CL64" s="18">
        <f t="shared" si="18"/>
        <v>0</v>
      </c>
      <c r="CM64" s="18">
        <f t="shared" si="18"/>
        <v>0</v>
      </c>
      <c r="CN64" s="18">
        <f t="shared" si="18"/>
        <v>0</v>
      </c>
      <c r="CO64" s="18">
        <f t="shared" si="18"/>
        <v>0</v>
      </c>
      <c r="CP64" s="18">
        <f t="shared" si="18"/>
        <v>0</v>
      </c>
      <c r="CQ64" s="18">
        <f t="shared" si="18"/>
        <v>0</v>
      </c>
      <c r="CR64" s="18">
        <f t="shared" si="18"/>
        <v>0</v>
      </c>
      <c r="CS64" s="18">
        <f t="shared" si="18"/>
        <v>0</v>
      </c>
      <c r="CT64" s="18">
        <f t="shared" si="18"/>
        <v>0</v>
      </c>
      <c r="CU64" s="18">
        <f t="shared" si="18"/>
        <v>0</v>
      </c>
      <c r="CV64" s="402">
        <f t="shared" si="18"/>
        <v>0</v>
      </c>
      <c r="CW64" s="403">
        <f t="shared" si="18"/>
        <v>0</v>
      </c>
      <c r="CX64" s="18">
        <f t="shared" si="18"/>
        <v>0</v>
      </c>
      <c r="CY64" s="18">
        <f t="shared" si="18"/>
        <v>0</v>
      </c>
      <c r="CZ64" s="18">
        <f t="shared" si="18"/>
        <v>0</v>
      </c>
      <c r="DA64" s="18">
        <f t="shared" si="18"/>
        <v>0</v>
      </c>
      <c r="DB64" s="18">
        <f t="shared" si="18"/>
        <v>0</v>
      </c>
      <c r="DC64" s="18">
        <f t="shared" si="18"/>
        <v>0</v>
      </c>
      <c r="DD64" s="18">
        <f t="shared" si="18"/>
        <v>0</v>
      </c>
      <c r="DE64" s="18">
        <f t="shared" si="18"/>
        <v>0</v>
      </c>
      <c r="DF64" s="18">
        <f t="shared" si="18"/>
        <v>0</v>
      </c>
      <c r="DG64" s="18">
        <f t="shared" si="18"/>
        <v>0</v>
      </c>
      <c r="DH64" s="402">
        <f t="shared" si="18"/>
        <v>0</v>
      </c>
      <c r="DI64" s="403">
        <f t="shared" si="18"/>
        <v>0</v>
      </c>
      <c r="DJ64" s="18">
        <f t="shared" si="18"/>
        <v>0</v>
      </c>
      <c r="DK64" s="18">
        <f t="shared" si="18"/>
        <v>0</v>
      </c>
      <c r="DL64" s="18">
        <f t="shared" si="18"/>
        <v>0</v>
      </c>
      <c r="DM64" s="18">
        <f t="shared" si="18"/>
        <v>0</v>
      </c>
      <c r="DN64" s="18">
        <f t="shared" si="18"/>
        <v>0</v>
      </c>
      <c r="DO64" s="18">
        <f t="shared" si="18"/>
        <v>0</v>
      </c>
      <c r="DP64" s="18">
        <f t="shared" si="18"/>
        <v>0</v>
      </c>
      <c r="DQ64" s="18">
        <f t="shared" si="18"/>
        <v>0</v>
      </c>
      <c r="DR64" s="18">
        <f t="shared" si="18"/>
        <v>0</v>
      </c>
      <c r="DS64" s="18">
        <f t="shared" si="18"/>
        <v>0</v>
      </c>
      <c r="DT64" s="19">
        <f t="shared" si="18"/>
        <v>0</v>
      </c>
    </row>
    <row r="65" spans="1:124" x14ac:dyDescent="0.25">
      <c r="A65" s="7"/>
      <c r="B65" s="17" t="s">
        <v>97</v>
      </c>
      <c r="C65" s="18">
        <f>IF(C32=0,0,0)</f>
        <v>0</v>
      </c>
      <c r="D65" s="18">
        <f t="shared" ref="D65:BJ65" si="19">IF(D32=0,0,0)</f>
        <v>0</v>
      </c>
      <c r="E65" s="18">
        <f t="shared" si="19"/>
        <v>0</v>
      </c>
      <c r="F65" s="18">
        <f t="shared" si="19"/>
        <v>0</v>
      </c>
      <c r="G65" s="18">
        <f t="shared" si="19"/>
        <v>0</v>
      </c>
      <c r="H65" s="18">
        <f t="shared" si="19"/>
        <v>0</v>
      </c>
      <c r="I65" s="18">
        <f t="shared" si="19"/>
        <v>0</v>
      </c>
      <c r="J65" s="18">
        <f t="shared" si="19"/>
        <v>0</v>
      </c>
      <c r="K65" s="18">
        <f t="shared" si="19"/>
        <v>0</v>
      </c>
      <c r="L65" s="18">
        <f t="shared" si="19"/>
        <v>0</v>
      </c>
      <c r="M65" s="18">
        <f t="shared" si="19"/>
        <v>0</v>
      </c>
      <c r="N65" s="402">
        <f t="shared" si="19"/>
        <v>0</v>
      </c>
      <c r="O65" s="403">
        <f t="shared" si="19"/>
        <v>0</v>
      </c>
      <c r="P65" s="18">
        <f t="shared" si="19"/>
        <v>0</v>
      </c>
      <c r="Q65" s="18">
        <f t="shared" si="19"/>
        <v>0</v>
      </c>
      <c r="R65" s="18">
        <f t="shared" si="19"/>
        <v>0</v>
      </c>
      <c r="S65" s="18">
        <f t="shared" si="19"/>
        <v>0</v>
      </c>
      <c r="T65" s="18">
        <f t="shared" si="19"/>
        <v>0</v>
      </c>
      <c r="U65" s="18">
        <f t="shared" si="19"/>
        <v>0</v>
      </c>
      <c r="V65" s="18">
        <f t="shared" si="19"/>
        <v>0</v>
      </c>
      <c r="W65" s="18">
        <f t="shared" si="19"/>
        <v>0</v>
      </c>
      <c r="X65" s="18">
        <f t="shared" si="19"/>
        <v>0</v>
      </c>
      <c r="Y65" s="18">
        <f t="shared" si="19"/>
        <v>0</v>
      </c>
      <c r="Z65" s="402">
        <f t="shared" si="19"/>
        <v>0</v>
      </c>
      <c r="AA65" s="403">
        <f t="shared" si="19"/>
        <v>0</v>
      </c>
      <c r="AB65" s="18">
        <f t="shared" si="19"/>
        <v>0</v>
      </c>
      <c r="AC65" s="18">
        <f t="shared" si="19"/>
        <v>0</v>
      </c>
      <c r="AD65" s="18">
        <f t="shared" si="19"/>
        <v>0</v>
      </c>
      <c r="AE65" s="18">
        <f t="shared" si="19"/>
        <v>0</v>
      </c>
      <c r="AF65" s="18">
        <f t="shared" si="19"/>
        <v>0</v>
      </c>
      <c r="AG65" s="18">
        <f t="shared" si="19"/>
        <v>0</v>
      </c>
      <c r="AH65" s="18">
        <f t="shared" si="19"/>
        <v>0</v>
      </c>
      <c r="AI65" s="18">
        <f t="shared" si="19"/>
        <v>0</v>
      </c>
      <c r="AJ65" s="18">
        <f t="shared" si="19"/>
        <v>0</v>
      </c>
      <c r="AK65" s="18">
        <f t="shared" si="19"/>
        <v>0</v>
      </c>
      <c r="AL65" s="402">
        <f t="shared" si="19"/>
        <v>0</v>
      </c>
      <c r="AM65" s="403">
        <f t="shared" si="19"/>
        <v>0</v>
      </c>
      <c r="AN65" s="18">
        <f t="shared" si="19"/>
        <v>0</v>
      </c>
      <c r="AO65" s="18">
        <f t="shared" si="19"/>
        <v>0</v>
      </c>
      <c r="AP65" s="18">
        <f t="shared" si="19"/>
        <v>0</v>
      </c>
      <c r="AQ65" s="18">
        <f t="shared" si="19"/>
        <v>0</v>
      </c>
      <c r="AR65" s="18">
        <f t="shared" si="19"/>
        <v>0</v>
      </c>
      <c r="AS65" s="18">
        <f t="shared" si="19"/>
        <v>0</v>
      </c>
      <c r="AT65" s="18">
        <f t="shared" si="19"/>
        <v>0</v>
      </c>
      <c r="AU65" s="18">
        <f t="shared" si="19"/>
        <v>0</v>
      </c>
      <c r="AV65" s="18">
        <f t="shared" si="19"/>
        <v>0</v>
      </c>
      <c r="AW65" s="18">
        <f t="shared" si="19"/>
        <v>0</v>
      </c>
      <c r="AX65" s="402">
        <f t="shared" si="19"/>
        <v>0</v>
      </c>
      <c r="AY65" s="403">
        <f t="shared" si="19"/>
        <v>0</v>
      </c>
      <c r="AZ65" s="18">
        <f t="shared" si="19"/>
        <v>0</v>
      </c>
      <c r="BA65" s="18">
        <f t="shared" si="19"/>
        <v>0</v>
      </c>
      <c r="BB65" s="18">
        <f t="shared" si="19"/>
        <v>0</v>
      </c>
      <c r="BC65" s="18">
        <f t="shared" si="19"/>
        <v>0</v>
      </c>
      <c r="BD65" s="18">
        <f t="shared" si="19"/>
        <v>0</v>
      </c>
      <c r="BE65" s="18">
        <f t="shared" si="19"/>
        <v>0</v>
      </c>
      <c r="BF65" s="18">
        <f t="shared" si="19"/>
        <v>0</v>
      </c>
      <c r="BG65" s="18">
        <f t="shared" si="19"/>
        <v>0</v>
      </c>
      <c r="BH65" s="18">
        <f t="shared" si="19"/>
        <v>0</v>
      </c>
      <c r="BI65" s="18">
        <f t="shared" si="19"/>
        <v>0</v>
      </c>
      <c r="BJ65" s="19">
        <f t="shared" si="19"/>
        <v>0</v>
      </c>
      <c r="BL65" s="17" t="s">
        <v>97</v>
      </c>
      <c r="BM65" s="18">
        <f>IF(C32=0,0,0)</f>
        <v>0</v>
      </c>
      <c r="BN65" s="18">
        <f t="shared" ref="BN65:DT65" si="20">IF(D32=0,0,0)</f>
        <v>0</v>
      </c>
      <c r="BO65" s="18">
        <f t="shared" si="20"/>
        <v>0</v>
      </c>
      <c r="BP65" s="18">
        <f t="shared" si="20"/>
        <v>0</v>
      </c>
      <c r="BQ65" s="18">
        <f t="shared" si="20"/>
        <v>0</v>
      </c>
      <c r="BR65" s="18">
        <f t="shared" si="20"/>
        <v>0</v>
      </c>
      <c r="BS65" s="18">
        <f t="shared" si="20"/>
        <v>0</v>
      </c>
      <c r="BT65" s="18">
        <f t="shared" si="20"/>
        <v>0</v>
      </c>
      <c r="BU65" s="18">
        <f t="shared" si="20"/>
        <v>0</v>
      </c>
      <c r="BV65" s="18">
        <f t="shared" si="20"/>
        <v>0</v>
      </c>
      <c r="BW65" s="18">
        <f t="shared" si="20"/>
        <v>0</v>
      </c>
      <c r="BX65" s="402">
        <f t="shared" si="20"/>
        <v>0</v>
      </c>
      <c r="BY65" s="403">
        <f t="shared" si="20"/>
        <v>0</v>
      </c>
      <c r="BZ65" s="18">
        <f t="shared" si="20"/>
        <v>0</v>
      </c>
      <c r="CA65" s="18">
        <f t="shared" si="20"/>
        <v>0</v>
      </c>
      <c r="CB65" s="18">
        <f t="shared" si="20"/>
        <v>0</v>
      </c>
      <c r="CC65" s="18">
        <f t="shared" si="20"/>
        <v>0</v>
      </c>
      <c r="CD65" s="18">
        <f t="shared" si="20"/>
        <v>0</v>
      </c>
      <c r="CE65" s="18">
        <f t="shared" si="20"/>
        <v>0</v>
      </c>
      <c r="CF65" s="18">
        <f t="shared" si="20"/>
        <v>0</v>
      </c>
      <c r="CG65" s="18">
        <f t="shared" si="20"/>
        <v>0</v>
      </c>
      <c r="CH65" s="18">
        <f t="shared" si="20"/>
        <v>0</v>
      </c>
      <c r="CI65" s="18">
        <f t="shared" si="20"/>
        <v>0</v>
      </c>
      <c r="CJ65" s="402">
        <f t="shared" si="20"/>
        <v>0</v>
      </c>
      <c r="CK65" s="403">
        <f t="shared" si="20"/>
        <v>0</v>
      </c>
      <c r="CL65" s="18">
        <f t="shared" si="20"/>
        <v>0</v>
      </c>
      <c r="CM65" s="18">
        <f t="shared" si="20"/>
        <v>0</v>
      </c>
      <c r="CN65" s="18">
        <f t="shared" si="20"/>
        <v>0</v>
      </c>
      <c r="CO65" s="18">
        <f t="shared" si="20"/>
        <v>0</v>
      </c>
      <c r="CP65" s="18">
        <f t="shared" si="20"/>
        <v>0</v>
      </c>
      <c r="CQ65" s="18">
        <f t="shared" si="20"/>
        <v>0</v>
      </c>
      <c r="CR65" s="18">
        <f t="shared" si="20"/>
        <v>0</v>
      </c>
      <c r="CS65" s="18">
        <f t="shared" si="20"/>
        <v>0</v>
      </c>
      <c r="CT65" s="18">
        <f t="shared" si="20"/>
        <v>0</v>
      </c>
      <c r="CU65" s="18">
        <f t="shared" si="20"/>
        <v>0</v>
      </c>
      <c r="CV65" s="402">
        <f t="shared" si="20"/>
        <v>0</v>
      </c>
      <c r="CW65" s="403">
        <f t="shared" si="20"/>
        <v>0</v>
      </c>
      <c r="CX65" s="18">
        <f t="shared" si="20"/>
        <v>0</v>
      </c>
      <c r="CY65" s="18">
        <f t="shared" si="20"/>
        <v>0</v>
      </c>
      <c r="CZ65" s="18">
        <f t="shared" si="20"/>
        <v>0</v>
      </c>
      <c r="DA65" s="18">
        <f t="shared" si="20"/>
        <v>0</v>
      </c>
      <c r="DB65" s="18">
        <f t="shared" si="20"/>
        <v>0</v>
      </c>
      <c r="DC65" s="18">
        <f t="shared" si="20"/>
        <v>0</v>
      </c>
      <c r="DD65" s="18">
        <f t="shared" si="20"/>
        <v>0</v>
      </c>
      <c r="DE65" s="18">
        <f t="shared" si="20"/>
        <v>0</v>
      </c>
      <c r="DF65" s="18">
        <f t="shared" si="20"/>
        <v>0</v>
      </c>
      <c r="DG65" s="18">
        <f t="shared" si="20"/>
        <v>0</v>
      </c>
      <c r="DH65" s="402">
        <f t="shared" si="20"/>
        <v>0</v>
      </c>
      <c r="DI65" s="403">
        <f t="shared" si="20"/>
        <v>0</v>
      </c>
      <c r="DJ65" s="18">
        <f t="shared" si="20"/>
        <v>0</v>
      </c>
      <c r="DK65" s="18">
        <f t="shared" si="20"/>
        <v>0</v>
      </c>
      <c r="DL65" s="18">
        <f t="shared" si="20"/>
        <v>0</v>
      </c>
      <c r="DM65" s="18">
        <f t="shared" si="20"/>
        <v>0</v>
      </c>
      <c r="DN65" s="18">
        <f t="shared" si="20"/>
        <v>0</v>
      </c>
      <c r="DO65" s="18">
        <f t="shared" si="20"/>
        <v>0</v>
      </c>
      <c r="DP65" s="18">
        <f t="shared" si="20"/>
        <v>0</v>
      </c>
      <c r="DQ65" s="18">
        <f t="shared" si="20"/>
        <v>0</v>
      </c>
      <c r="DR65" s="18">
        <f t="shared" si="20"/>
        <v>0</v>
      </c>
      <c r="DS65" s="18">
        <f t="shared" si="20"/>
        <v>0</v>
      </c>
      <c r="DT65" s="19">
        <f t="shared" si="20"/>
        <v>0</v>
      </c>
    </row>
    <row r="66" spans="1:124" ht="15.75" thickBot="1" x14ac:dyDescent="0.3">
      <c r="A66" s="7"/>
      <c r="B66" s="22" t="s">
        <v>98</v>
      </c>
      <c r="C66" s="23">
        <f>IF(C33=0,0,0)</f>
        <v>0</v>
      </c>
      <c r="D66" s="23">
        <f t="shared" ref="D66:BJ66" si="21">IF(D33=0,0,0)</f>
        <v>0</v>
      </c>
      <c r="E66" s="23">
        <f t="shared" si="21"/>
        <v>0</v>
      </c>
      <c r="F66" s="23">
        <f t="shared" si="21"/>
        <v>0</v>
      </c>
      <c r="G66" s="23">
        <f t="shared" si="21"/>
        <v>0</v>
      </c>
      <c r="H66" s="23">
        <f t="shared" si="21"/>
        <v>0</v>
      </c>
      <c r="I66" s="23">
        <f t="shared" si="21"/>
        <v>0</v>
      </c>
      <c r="J66" s="23">
        <f t="shared" si="21"/>
        <v>0</v>
      </c>
      <c r="K66" s="23">
        <f t="shared" si="21"/>
        <v>0</v>
      </c>
      <c r="L66" s="23">
        <f t="shared" si="21"/>
        <v>0</v>
      </c>
      <c r="M66" s="23">
        <f t="shared" si="21"/>
        <v>0</v>
      </c>
      <c r="N66" s="404">
        <f t="shared" si="21"/>
        <v>0</v>
      </c>
      <c r="O66" s="405">
        <f t="shared" si="21"/>
        <v>0</v>
      </c>
      <c r="P66" s="23">
        <f t="shared" si="21"/>
        <v>0</v>
      </c>
      <c r="Q66" s="23">
        <f t="shared" si="21"/>
        <v>0</v>
      </c>
      <c r="R66" s="23">
        <f t="shared" si="21"/>
        <v>0</v>
      </c>
      <c r="S66" s="23">
        <f t="shared" si="21"/>
        <v>0</v>
      </c>
      <c r="T66" s="23">
        <f t="shared" si="21"/>
        <v>0</v>
      </c>
      <c r="U66" s="23">
        <f t="shared" si="21"/>
        <v>0</v>
      </c>
      <c r="V66" s="23">
        <f t="shared" si="21"/>
        <v>0</v>
      </c>
      <c r="W66" s="23">
        <f t="shared" si="21"/>
        <v>0</v>
      </c>
      <c r="X66" s="23">
        <f t="shared" si="21"/>
        <v>0</v>
      </c>
      <c r="Y66" s="23">
        <f t="shared" si="21"/>
        <v>0</v>
      </c>
      <c r="Z66" s="404">
        <f t="shared" si="21"/>
        <v>0</v>
      </c>
      <c r="AA66" s="405">
        <f t="shared" si="21"/>
        <v>0</v>
      </c>
      <c r="AB66" s="23">
        <f t="shared" si="21"/>
        <v>0</v>
      </c>
      <c r="AC66" s="23">
        <f t="shared" si="21"/>
        <v>0</v>
      </c>
      <c r="AD66" s="23">
        <f t="shared" si="21"/>
        <v>0</v>
      </c>
      <c r="AE66" s="23">
        <f t="shared" si="21"/>
        <v>0</v>
      </c>
      <c r="AF66" s="23">
        <f t="shared" si="21"/>
        <v>0</v>
      </c>
      <c r="AG66" s="23">
        <f t="shared" si="21"/>
        <v>0</v>
      </c>
      <c r="AH66" s="23">
        <f t="shared" si="21"/>
        <v>0</v>
      </c>
      <c r="AI66" s="23">
        <f t="shared" si="21"/>
        <v>0</v>
      </c>
      <c r="AJ66" s="23">
        <f t="shared" si="21"/>
        <v>0</v>
      </c>
      <c r="AK66" s="23">
        <f t="shared" si="21"/>
        <v>0</v>
      </c>
      <c r="AL66" s="404">
        <f t="shared" si="21"/>
        <v>0</v>
      </c>
      <c r="AM66" s="405">
        <f t="shared" si="21"/>
        <v>0</v>
      </c>
      <c r="AN66" s="23">
        <f t="shared" si="21"/>
        <v>0</v>
      </c>
      <c r="AO66" s="23">
        <f t="shared" si="21"/>
        <v>0</v>
      </c>
      <c r="AP66" s="23">
        <f t="shared" si="21"/>
        <v>0</v>
      </c>
      <c r="AQ66" s="23">
        <f t="shared" si="21"/>
        <v>0</v>
      </c>
      <c r="AR66" s="23">
        <f t="shared" si="21"/>
        <v>0</v>
      </c>
      <c r="AS66" s="23">
        <f t="shared" si="21"/>
        <v>0</v>
      </c>
      <c r="AT66" s="23">
        <f t="shared" si="21"/>
        <v>0</v>
      </c>
      <c r="AU66" s="23">
        <f t="shared" si="21"/>
        <v>0</v>
      </c>
      <c r="AV66" s="23">
        <f t="shared" si="21"/>
        <v>0</v>
      </c>
      <c r="AW66" s="23">
        <f t="shared" si="21"/>
        <v>0</v>
      </c>
      <c r="AX66" s="404">
        <f t="shared" si="21"/>
        <v>0</v>
      </c>
      <c r="AY66" s="405">
        <f t="shared" si="21"/>
        <v>0</v>
      </c>
      <c r="AZ66" s="23">
        <f t="shared" si="21"/>
        <v>0</v>
      </c>
      <c r="BA66" s="23">
        <f t="shared" si="21"/>
        <v>0</v>
      </c>
      <c r="BB66" s="23">
        <f t="shared" si="21"/>
        <v>0</v>
      </c>
      <c r="BC66" s="23">
        <f t="shared" si="21"/>
        <v>0</v>
      </c>
      <c r="BD66" s="23">
        <f t="shared" si="21"/>
        <v>0</v>
      </c>
      <c r="BE66" s="23">
        <f t="shared" si="21"/>
        <v>0</v>
      </c>
      <c r="BF66" s="23">
        <f t="shared" si="21"/>
        <v>0</v>
      </c>
      <c r="BG66" s="23">
        <f t="shared" si="21"/>
        <v>0</v>
      </c>
      <c r="BH66" s="23">
        <f t="shared" si="21"/>
        <v>0</v>
      </c>
      <c r="BI66" s="23">
        <f t="shared" si="21"/>
        <v>0</v>
      </c>
      <c r="BJ66" s="24">
        <f t="shared" si="21"/>
        <v>0</v>
      </c>
      <c r="BL66" s="22" t="s">
        <v>98</v>
      </c>
      <c r="BM66" s="23">
        <f>IF(C33=0,0,0)</f>
        <v>0</v>
      </c>
      <c r="BN66" s="23">
        <f t="shared" ref="BN66:DT66" si="22">IF(D33=0,0,0)</f>
        <v>0</v>
      </c>
      <c r="BO66" s="23">
        <f t="shared" si="22"/>
        <v>0</v>
      </c>
      <c r="BP66" s="23">
        <f t="shared" si="22"/>
        <v>0</v>
      </c>
      <c r="BQ66" s="23">
        <f t="shared" si="22"/>
        <v>0</v>
      </c>
      <c r="BR66" s="23">
        <f t="shared" si="22"/>
        <v>0</v>
      </c>
      <c r="BS66" s="23">
        <f t="shared" si="22"/>
        <v>0</v>
      </c>
      <c r="BT66" s="23">
        <f t="shared" si="22"/>
        <v>0</v>
      </c>
      <c r="BU66" s="23">
        <f t="shared" si="22"/>
        <v>0</v>
      </c>
      <c r="BV66" s="23">
        <f t="shared" si="22"/>
        <v>0</v>
      </c>
      <c r="BW66" s="23">
        <f t="shared" si="22"/>
        <v>0</v>
      </c>
      <c r="BX66" s="404">
        <f t="shared" si="22"/>
        <v>0</v>
      </c>
      <c r="BY66" s="405">
        <f t="shared" si="22"/>
        <v>0</v>
      </c>
      <c r="BZ66" s="23">
        <f t="shared" si="22"/>
        <v>0</v>
      </c>
      <c r="CA66" s="23">
        <f t="shared" si="22"/>
        <v>0</v>
      </c>
      <c r="CB66" s="23">
        <f t="shared" si="22"/>
        <v>0</v>
      </c>
      <c r="CC66" s="23">
        <f t="shared" si="22"/>
        <v>0</v>
      </c>
      <c r="CD66" s="23">
        <f t="shared" si="22"/>
        <v>0</v>
      </c>
      <c r="CE66" s="23">
        <f t="shared" si="22"/>
        <v>0</v>
      </c>
      <c r="CF66" s="23">
        <f t="shared" si="22"/>
        <v>0</v>
      </c>
      <c r="CG66" s="23">
        <f t="shared" si="22"/>
        <v>0</v>
      </c>
      <c r="CH66" s="23">
        <f t="shared" si="22"/>
        <v>0</v>
      </c>
      <c r="CI66" s="23">
        <f t="shared" si="22"/>
        <v>0</v>
      </c>
      <c r="CJ66" s="404">
        <f t="shared" si="22"/>
        <v>0</v>
      </c>
      <c r="CK66" s="405">
        <f t="shared" si="22"/>
        <v>0</v>
      </c>
      <c r="CL66" s="23">
        <f t="shared" si="22"/>
        <v>0</v>
      </c>
      <c r="CM66" s="23">
        <f t="shared" si="22"/>
        <v>0</v>
      </c>
      <c r="CN66" s="23">
        <f t="shared" si="22"/>
        <v>0</v>
      </c>
      <c r="CO66" s="23">
        <f t="shared" si="22"/>
        <v>0</v>
      </c>
      <c r="CP66" s="23">
        <f t="shared" si="22"/>
        <v>0</v>
      </c>
      <c r="CQ66" s="23">
        <f t="shared" si="22"/>
        <v>0</v>
      </c>
      <c r="CR66" s="23">
        <f t="shared" si="22"/>
        <v>0</v>
      </c>
      <c r="CS66" s="23">
        <f t="shared" si="22"/>
        <v>0</v>
      </c>
      <c r="CT66" s="23">
        <f t="shared" si="22"/>
        <v>0</v>
      </c>
      <c r="CU66" s="23">
        <f t="shared" si="22"/>
        <v>0</v>
      </c>
      <c r="CV66" s="404">
        <f t="shared" si="22"/>
        <v>0</v>
      </c>
      <c r="CW66" s="405">
        <f t="shared" si="22"/>
        <v>0</v>
      </c>
      <c r="CX66" s="23">
        <f t="shared" si="22"/>
        <v>0</v>
      </c>
      <c r="CY66" s="23">
        <f t="shared" si="22"/>
        <v>0</v>
      </c>
      <c r="CZ66" s="23">
        <f t="shared" si="22"/>
        <v>0</v>
      </c>
      <c r="DA66" s="23">
        <f t="shared" si="22"/>
        <v>0</v>
      </c>
      <c r="DB66" s="23">
        <f t="shared" si="22"/>
        <v>0</v>
      </c>
      <c r="DC66" s="23">
        <f t="shared" si="22"/>
        <v>0</v>
      </c>
      <c r="DD66" s="23">
        <f t="shared" si="22"/>
        <v>0</v>
      </c>
      <c r="DE66" s="23">
        <f t="shared" si="22"/>
        <v>0</v>
      </c>
      <c r="DF66" s="23">
        <f t="shared" si="22"/>
        <v>0</v>
      </c>
      <c r="DG66" s="23">
        <f t="shared" si="22"/>
        <v>0</v>
      </c>
      <c r="DH66" s="404">
        <f t="shared" si="22"/>
        <v>0</v>
      </c>
      <c r="DI66" s="405">
        <f t="shared" si="22"/>
        <v>0</v>
      </c>
      <c r="DJ66" s="23">
        <f t="shared" si="22"/>
        <v>0</v>
      </c>
      <c r="DK66" s="23">
        <f t="shared" si="22"/>
        <v>0</v>
      </c>
      <c r="DL66" s="23">
        <f t="shared" si="22"/>
        <v>0</v>
      </c>
      <c r="DM66" s="23">
        <f t="shared" si="22"/>
        <v>0</v>
      </c>
      <c r="DN66" s="23">
        <f t="shared" si="22"/>
        <v>0</v>
      </c>
      <c r="DO66" s="23">
        <f t="shared" si="22"/>
        <v>0</v>
      </c>
      <c r="DP66" s="23">
        <f t="shared" si="22"/>
        <v>0</v>
      </c>
      <c r="DQ66" s="23">
        <f t="shared" si="22"/>
        <v>0</v>
      </c>
      <c r="DR66" s="23">
        <f t="shared" si="22"/>
        <v>0</v>
      </c>
      <c r="DS66" s="23">
        <f t="shared" si="22"/>
        <v>0</v>
      </c>
      <c r="DT66" s="24">
        <f t="shared" si="22"/>
        <v>0</v>
      </c>
    </row>
    <row r="67" spans="1:124" x14ac:dyDescent="0.25">
      <c r="A67" s="7"/>
      <c r="B67" s="36" t="s">
        <v>99</v>
      </c>
      <c r="C67" s="20">
        <f>IF(RESULTADO!$F$148&lt;=C$62,(C$25),0)</f>
        <v>0</v>
      </c>
      <c r="D67" s="20">
        <f>IF(RESULTADO!$F$148&lt;=D$62,(D$25),0)</f>
        <v>0</v>
      </c>
      <c r="E67" s="20">
        <f>IF(RESULTADO!$F$148&lt;=E$62,(E$25),0)</f>
        <v>0</v>
      </c>
      <c r="F67" s="20">
        <f>IF(RESULTADO!$F$148&lt;=F$62,(F$25),0)</f>
        <v>0</v>
      </c>
      <c r="G67" s="20">
        <f>IF(RESULTADO!$F$148&lt;=G$62,(G$25),0)</f>
        <v>0</v>
      </c>
      <c r="H67" s="20">
        <f>IF(RESULTADO!$F$148&lt;=H$62,(H$25),0)</f>
        <v>0</v>
      </c>
      <c r="I67" s="20">
        <f>IF(RESULTADO!$F$148&lt;=I$62,(I$25),0)</f>
        <v>0</v>
      </c>
      <c r="J67" s="20">
        <f>IF(RESULTADO!$F$148&lt;=J$62,(J$25),0)</f>
        <v>0</v>
      </c>
      <c r="K67" s="20">
        <f>IF(RESULTADO!$F$148&lt;=K$62,(K$25),0)</f>
        <v>0</v>
      </c>
      <c r="L67" s="20">
        <f>IF(RESULTADO!$F$148&lt;=L$62,(L$25),0)</f>
        <v>0</v>
      </c>
      <c r="M67" s="20">
        <f>IF(RESULTADO!$F$148&lt;=M$62,(M$25),0)</f>
        <v>0</v>
      </c>
      <c r="N67" s="400">
        <f>IF(RESULTADO!$F$148&lt;=N$62,(N$25),0)</f>
        <v>0</v>
      </c>
      <c r="O67" s="401">
        <f>IF(RESULTADO!$F$148&lt;=O$62,(O$25),0)</f>
        <v>0</v>
      </c>
      <c r="P67" s="20">
        <f>IF(RESULTADO!$F$148&lt;=P$62,(P$25),0)</f>
        <v>0</v>
      </c>
      <c r="Q67" s="20">
        <f>IF(RESULTADO!$F$148&lt;=Q$62,(Q$25),0)</f>
        <v>0</v>
      </c>
      <c r="R67" s="20">
        <f>IF(RESULTADO!$F$148&lt;=R$62,(R$25),0)</f>
        <v>0</v>
      </c>
      <c r="S67" s="20">
        <f>IF(RESULTADO!$F$148&lt;=S$62,(S$25),0)</f>
        <v>0</v>
      </c>
      <c r="T67" s="20">
        <f>IF(RESULTADO!$F$148&lt;=T$62,(T$25),0)</f>
        <v>0</v>
      </c>
      <c r="U67" s="20">
        <f>IF(RESULTADO!$F$148&lt;=U$62,(U$25),0)</f>
        <v>0</v>
      </c>
      <c r="V67" s="20">
        <f>IF(RESULTADO!$F$148&lt;=V$62,(V$25),0)</f>
        <v>0</v>
      </c>
      <c r="W67" s="20">
        <f>IF(RESULTADO!$F$148&lt;=W$62,(W$25),0)</f>
        <v>0</v>
      </c>
      <c r="X67" s="20">
        <f>IF(RESULTADO!$F$148&lt;=X$62,(X$25),0)</f>
        <v>0</v>
      </c>
      <c r="Y67" s="20">
        <f>IF(RESULTADO!$F$148&lt;=Y$62,(Y$25),0)</f>
        <v>0</v>
      </c>
      <c r="Z67" s="400">
        <f>IF(RESULTADO!$F$148&lt;=Z$62,(Z$25),0)</f>
        <v>0</v>
      </c>
      <c r="AA67" s="401">
        <f>IF(RESULTADO!$F$148&lt;=AA$62,(AA$25),0)</f>
        <v>0</v>
      </c>
      <c r="AB67" s="20">
        <f>IF(RESULTADO!$F$148&lt;=AB$62,(AB$25),0)</f>
        <v>0</v>
      </c>
      <c r="AC67" s="20">
        <f>IF(RESULTADO!$F$148&lt;=AC$62,(AC$25),0)</f>
        <v>0</v>
      </c>
      <c r="AD67" s="20">
        <f>IF(RESULTADO!$F$148&lt;=AD$62,(AD$25),0)</f>
        <v>0</v>
      </c>
      <c r="AE67" s="20">
        <f>IF(RESULTADO!$F$148&lt;=AE$62,(AE$25),0)</f>
        <v>0</v>
      </c>
      <c r="AF67" s="20">
        <f>IF(RESULTADO!$F$148&lt;=AF$62,(AF$25),0)</f>
        <v>0</v>
      </c>
      <c r="AG67" s="20">
        <f>IF(RESULTADO!$F$148&lt;=AG$62,(AG$25),0)</f>
        <v>0</v>
      </c>
      <c r="AH67" s="20">
        <f>IF(RESULTADO!$F$148&lt;=AH$62,(AH$25),0)</f>
        <v>0</v>
      </c>
      <c r="AI67" s="20">
        <f>IF(RESULTADO!$F$148&lt;=AI$62,(AI$25),0)</f>
        <v>0</v>
      </c>
      <c r="AJ67" s="20">
        <f>IF(RESULTADO!$F$148&lt;=AJ$62,(AJ$25),0)</f>
        <v>0</v>
      </c>
      <c r="AK67" s="20">
        <f>IF(RESULTADO!$F$148&lt;=AK$62,(AK$25),0)</f>
        <v>0</v>
      </c>
      <c r="AL67" s="400">
        <f>IF(RESULTADO!$F$148&lt;=AL$62,(AL$25),0)</f>
        <v>0</v>
      </c>
      <c r="AM67" s="401">
        <f>IF(RESULTADO!$F$148&lt;=AM$62,(AM$25),0)</f>
        <v>0</v>
      </c>
      <c r="AN67" s="20">
        <f>IF(RESULTADO!$F$148&lt;=AN$62,(AN$25),0)</f>
        <v>0</v>
      </c>
      <c r="AO67" s="20">
        <f>IF(RESULTADO!$F$148&lt;=AO$62,(AO$25),0)</f>
        <v>0</v>
      </c>
      <c r="AP67" s="20">
        <f>IF(RESULTADO!$F$148&lt;=AP$62,(AP$25),0)</f>
        <v>0</v>
      </c>
      <c r="AQ67" s="20">
        <f>IF(RESULTADO!$F$148&lt;=AQ$62,(AQ$25),0)</f>
        <v>0</v>
      </c>
      <c r="AR67" s="20">
        <f>IF(RESULTADO!$F$148&lt;=AR$62,(AR$25),0)</f>
        <v>0</v>
      </c>
      <c r="AS67" s="20">
        <f>IF(RESULTADO!$F$148&lt;=AS$62,(AS$25),0)</f>
        <v>0</v>
      </c>
      <c r="AT67" s="20">
        <f>IF(RESULTADO!$F$148&lt;=AT$62,(AT$25),0)</f>
        <v>0</v>
      </c>
      <c r="AU67" s="20">
        <f>IF(RESULTADO!$F$148&lt;=AU$62,(AU$25),0)</f>
        <v>0</v>
      </c>
      <c r="AV67" s="20">
        <f>IF(RESULTADO!$F$148&lt;=AV$62,(AV$25),0)</f>
        <v>0</v>
      </c>
      <c r="AW67" s="20">
        <f>IF(RESULTADO!$F$148&lt;=AW$62,(AW$25),0)</f>
        <v>0</v>
      </c>
      <c r="AX67" s="400">
        <f>IF(RESULTADO!$F$148&lt;=AX$62,(AX$25),0)</f>
        <v>0</v>
      </c>
      <c r="AY67" s="401">
        <f>IF(RESULTADO!$F$148&lt;=AY$62,(AY$25),0)</f>
        <v>0</v>
      </c>
      <c r="AZ67" s="20">
        <f>IF(RESULTADO!$F$148&lt;=AZ$62,(AZ$25),0)</f>
        <v>0</v>
      </c>
      <c r="BA67" s="20">
        <f>IF(RESULTADO!$F$148&lt;=BA$62,(BA$25),0)</f>
        <v>0</v>
      </c>
      <c r="BB67" s="20">
        <f>IF(RESULTADO!$F$148&lt;=BB$62,(BB$25),0)</f>
        <v>0</v>
      </c>
      <c r="BC67" s="20">
        <f>IF(RESULTADO!$F$148&lt;=BC$62,(BC$25),0)</f>
        <v>0</v>
      </c>
      <c r="BD67" s="20">
        <f>IF(RESULTADO!$F$148&lt;=BD$62,(BD$25),0)</f>
        <v>0</v>
      </c>
      <c r="BE67" s="20">
        <f>IF(RESULTADO!$F$148&lt;=BE$62,(BE$25),0)</f>
        <v>0</v>
      </c>
      <c r="BF67" s="20">
        <f>IF(RESULTADO!$F$148&lt;=BF$62,(BF$25),0)</f>
        <v>0</v>
      </c>
      <c r="BG67" s="20">
        <f>IF(RESULTADO!$F$148&lt;=BG$62,(BG$25),0)</f>
        <v>0</v>
      </c>
      <c r="BH67" s="20">
        <f>IF(RESULTADO!$F$148&lt;=BH$62,(BH$25),0)</f>
        <v>0</v>
      </c>
      <c r="BI67" s="20">
        <f>IF(RESULTADO!$F$148&lt;=BI$62,(BI$25),0)</f>
        <v>0</v>
      </c>
      <c r="BJ67" s="21">
        <f>IF(RESULTADO!$F$148&lt;=BJ$62,(BJ$25),0)</f>
        <v>0</v>
      </c>
      <c r="BL67" s="36" t="s">
        <v>99</v>
      </c>
      <c r="BM67" s="20">
        <f>IF(RESULTADO!$F$148&lt;=BM$62,(C$25),0)</f>
        <v>0</v>
      </c>
      <c r="BN67" s="20">
        <f>IF(RESULTADO!$F$148&lt;=BN$62,(D$25),0)</f>
        <v>0</v>
      </c>
      <c r="BO67" s="20">
        <f>IF(RESULTADO!$F$148&lt;=BO$62,(E$25),0)</f>
        <v>0</v>
      </c>
      <c r="BP67" s="20">
        <f>IF(RESULTADO!$F$148&lt;=BP$62,(F$25),0)</f>
        <v>0</v>
      </c>
      <c r="BQ67" s="20">
        <f>IF(RESULTADO!$F$148&lt;=BQ$62,(G$25),0)</f>
        <v>0</v>
      </c>
      <c r="BR67" s="20">
        <f>IF(RESULTADO!$F$148&lt;=BR$62,(H$25),0)</f>
        <v>0</v>
      </c>
      <c r="BS67" s="20">
        <f>IF(RESULTADO!$F$148&lt;=BS$62,(I$25),0)</f>
        <v>0</v>
      </c>
      <c r="BT67" s="20">
        <f>IF(RESULTADO!$F$148&lt;=BT$62,(J$25),0)</f>
        <v>0</v>
      </c>
      <c r="BU67" s="20">
        <f>IF(RESULTADO!$F$148&lt;=BU$62,(K$25),0)</f>
        <v>0</v>
      </c>
      <c r="BV67" s="20">
        <f>IF(RESULTADO!$F$148&lt;=BV$62,(L$25),0)</f>
        <v>0</v>
      </c>
      <c r="BW67" s="20">
        <f>IF(RESULTADO!$F$148&lt;=BW$62,(M$25),0)</f>
        <v>0</v>
      </c>
      <c r="BX67" s="400">
        <f>IF(RESULTADO!$F$148&lt;=BX$62,(N$25),0)</f>
        <v>0</v>
      </c>
      <c r="BY67" s="401">
        <f>IF(RESULTADO!$F$148&lt;=BY$62,(O$25),0)</f>
        <v>0</v>
      </c>
      <c r="BZ67" s="20">
        <f>IF(RESULTADO!$F$148&lt;=BZ$62,(P$25),0)</f>
        <v>0</v>
      </c>
      <c r="CA67" s="20">
        <f>IF(RESULTADO!$F$148&lt;=CA$62,(Q$25),0)</f>
        <v>0</v>
      </c>
      <c r="CB67" s="20">
        <f>IF(RESULTADO!$F$148&lt;=CB$62,(R$25),0)</f>
        <v>0</v>
      </c>
      <c r="CC67" s="20">
        <f>IF(RESULTADO!$F$148&lt;=CC$62,(S$25),0)</f>
        <v>0</v>
      </c>
      <c r="CD67" s="20">
        <f>IF(RESULTADO!$F$148&lt;=CD$62,(T$25),0)</f>
        <v>0</v>
      </c>
      <c r="CE67" s="20">
        <f>IF(RESULTADO!$F$148&lt;=CE$62,(U$25),0)</f>
        <v>0</v>
      </c>
      <c r="CF67" s="20">
        <f>IF(RESULTADO!$F$148&lt;=CF$62,(V$25),0)</f>
        <v>0</v>
      </c>
      <c r="CG67" s="20">
        <f>IF(RESULTADO!$F$148&lt;=CG$62,(W$25),0)</f>
        <v>0</v>
      </c>
      <c r="CH67" s="20">
        <f>IF(RESULTADO!$F$148&lt;=CH$62,(X$25),0)</f>
        <v>0</v>
      </c>
      <c r="CI67" s="20">
        <f>IF(RESULTADO!$F$148&lt;=CI$62,(Y$25),0)</f>
        <v>0</v>
      </c>
      <c r="CJ67" s="400">
        <f>IF(RESULTADO!$F$148&lt;=CJ$62,(Z$25),0)</f>
        <v>0</v>
      </c>
      <c r="CK67" s="401">
        <f>IF(RESULTADO!$F$148&lt;=CK$62,(AA$25),0)</f>
        <v>0</v>
      </c>
      <c r="CL67" s="20">
        <f>IF(RESULTADO!$F$148&lt;=CL$62,(AB$25),0)</f>
        <v>0</v>
      </c>
      <c r="CM67" s="20">
        <f>IF(RESULTADO!$F$148&lt;=CM$62,(AC$25),0)</f>
        <v>0</v>
      </c>
      <c r="CN67" s="20">
        <f>IF(RESULTADO!$F$148&lt;=CN$62,(AD$25),0)</f>
        <v>0</v>
      </c>
      <c r="CO67" s="20">
        <f>IF(RESULTADO!$F$148&lt;=CO$62,(AE$25),0)</f>
        <v>0</v>
      </c>
      <c r="CP67" s="20">
        <f>IF(RESULTADO!$F$148&lt;=CP$62,(AF$25),0)</f>
        <v>0</v>
      </c>
      <c r="CQ67" s="20">
        <f>IF(RESULTADO!$F$148&lt;=CQ$62,(AG$25),0)</f>
        <v>0</v>
      </c>
      <c r="CR67" s="20">
        <f>IF(RESULTADO!$F$148&lt;=CR$62,(AH$25),0)</f>
        <v>0</v>
      </c>
      <c r="CS67" s="20">
        <f>IF(RESULTADO!$F$148&lt;=CS$62,(AI$25),0)</f>
        <v>0</v>
      </c>
      <c r="CT67" s="20">
        <f>IF(RESULTADO!$F$148&lt;=CT$62,(AJ$25),0)</f>
        <v>0</v>
      </c>
      <c r="CU67" s="20">
        <f>IF(RESULTADO!$F$148&lt;=CU$62,(AK$25),0)</f>
        <v>0</v>
      </c>
      <c r="CV67" s="400">
        <f>IF(RESULTADO!$F$148&lt;=CV$62,(AL$25),0)</f>
        <v>0</v>
      </c>
      <c r="CW67" s="401">
        <f>IF(RESULTADO!$F$148&lt;=CW$62,(AM$25),0)</f>
        <v>0</v>
      </c>
      <c r="CX67" s="20">
        <f>IF(RESULTADO!$F$148&lt;=CX$62,(AN$25),0)</f>
        <v>0</v>
      </c>
      <c r="CY67" s="20">
        <f>IF(RESULTADO!$F$148&lt;=CY$62,(AO$25),0)</f>
        <v>0</v>
      </c>
      <c r="CZ67" s="20">
        <f>IF(RESULTADO!$F$148&lt;=CZ$62,(AP$25),0)</f>
        <v>0</v>
      </c>
      <c r="DA67" s="20">
        <f>IF(RESULTADO!$F$148&lt;=DA$62,(AQ$25),0)</f>
        <v>0</v>
      </c>
      <c r="DB67" s="20">
        <f>IF(RESULTADO!$F$148&lt;=DB$62,(AR$25),0)</f>
        <v>0</v>
      </c>
      <c r="DC67" s="20">
        <f>IF(RESULTADO!$F$148&lt;=DC$62,(AS$25),0)</f>
        <v>0</v>
      </c>
      <c r="DD67" s="20">
        <f>IF(RESULTADO!$F$148&lt;=DD$62,(AT$25),0)</f>
        <v>0</v>
      </c>
      <c r="DE67" s="20">
        <f>IF(RESULTADO!$F$148&lt;=DE$62,(AU$25),0)</f>
        <v>0</v>
      </c>
      <c r="DF67" s="20">
        <f>IF(RESULTADO!$F$148&lt;=DF$62,(AV$25),0)</f>
        <v>0</v>
      </c>
      <c r="DG67" s="20">
        <f>IF(RESULTADO!$F$148&lt;=DG$62,(AW$25),0)</f>
        <v>0</v>
      </c>
      <c r="DH67" s="400">
        <f>IF(RESULTADO!$F$148&lt;=DH$62,(AX$25),0)</f>
        <v>0</v>
      </c>
      <c r="DI67" s="401">
        <f>IF(RESULTADO!$F$148&lt;=DI$62,(AY$25),0)</f>
        <v>0</v>
      </c>
      <c r="DJ67" s="20">
        <f>IF(RESULTADO!$F$148&lt;=DJ$62,(AZ$25),0)</f>
        <v>0</v>
      </c>
      <c r="DK67" s="20">
        <f>IF(RESULTADO!$F$148&lt;=DK$62,(BA$25),0)</f>
        <v>0</v>
      </c>
      <c r="DL67" s="20">
        <f>IF(RESULTADO!$F$148&lt;=DL$62,(BB$25),0)</f>
        <v>0</v>
      </c>
      <c r="DM67" s="20">
        <f>IF(RESULTADO!$F$148&lt;=DM$62,(BC$25),0)</f>
        <v>0</v>
      </c>
      <c r="DN67" s="20">
        <f>IF(RESULTADO!$F$148&lt;=DN$62,(BD$25),0)</f>
        <v>0</v>
      </c>
      <c r="DO67" s="20">
        <f>IF(RESULTADO!$F$148&lt;=DO$62,(BE$25),0)</f>
        <v>0</v>
      </c>
      <c r="DP67" s="20">
        <f>IF(RESULTADO!$F$148&lt;=DP$62,(BF$25),0)</f>
        <v>0</v>
      </c>
      <c r="DQ67" s="20">
        <f>IF(RESULTADO!$F$148&lt;=DQ$62,(BG$25),0)</f>
        <v>0</v>
      </c>
      <c r="DR67" s="20">
        <f>IF(RESULTADO!$F$148&lt;=DR$62,(BH$25),0)</f>
        <v>0</v>
      </c>
      <c r="DS67" s="20">
        <f>IF(RESULTADO!$F$148&lt;=DS$62,(BI$25),0)</f>
        <v>0</v>
      </c>
      <c r="DT67" s="21">
        <f>IF(RESULTADO!$F$148&lt;=DT$62,(BJ$25),0)</f>
        <v>0</v>
      </c>
    </row>
    <row r="68" spans="1:124" x14ac:dyDescent="0.25">
      <c r="A68" s="7"/>
      <c r="B68" s="37" t="s">
        <v>100</v>
      </c>
      <c r="C68" s="18">
        <f>IF(RESULTADO!$F$148&lt;=C$62,(C$25),0)</f>
        <v>0</v>
      </c>
      <c r="D68" s="18">
        <f>IF(RESULTADO!$F$148&lt;=D$62,(D$25),0)</f>
        <v>0</v>
      </c>
      <c r="E68" s="18">
        <f>IF(RESULTADO!$F$148&lt;=E$62,(E$25),0)</f>
        <v>0</v>
      </c>
      <c r="F68" s="18">
        <f>IF(RESULTADO!$F$148&lt;=F$62,(F$25),0)</f>
        <v>0</v>
      </c>
      <c r="G68" s="18">
        <f>IF(RESULTADO!$F$148&lt;=G$62,(G$25),0)</f>
        <v>0</v>
      </c>
      <c r="H68" s="18">
        <f>IF(RESULTADO!$F$148&lt;=H$62,(H$25),0)</f>
        <v>0</v>
      </c>
      <c r="I68" s="18">
        <f>IF(RESULTADO!$F$148&lt;=I$62,(I$25),0)</f>
        <v>0</v>
      </c>
      <c r="J68" s="18">
        <f>IF(RESULTADO!$F$148&lt;=J$62,(J$25),0)</f>
        <v>0</v>
      </c>
      <c r="K68" s="18">
        <f>IF(RESULTADO!$F$148&lt;=K$62,(K$25),0)</f>
        <v>0</v>
      </c>
      <c r="L68" s="18">
        <f>IF(RESULTADO!$F$148&lt;=L$62,(L$25),0)</f>
        <v>0</v>
      </c>
      <c r="M68" s="18">
        <f>IF(RESULTADO!$F$148&lt;=M$62,(M$25),0)</f>
        <v>0</v>
      </c>
      <c r="N68" s="402">
        <f>IF(RESULTADO!$F$148&lt;=N$62,(N$25),0)</f>
        <v>0</v>
      </c>
      <c r="O68" s="403">
        <f>IF(RESULTADO!$F$148&lt;=O$62,(O$25),0)</f>
        <v>0</v>
      </c>
      <c r="P68" s="18">
        <f>IF(RESULTADO!$F$148&lt;=P$62,(P$25),0)</f>
        <v>0</v>
      </c>
      <c r="Q68" s="18">
        <f>IF(RESULTADO!$F$148&lt;=Q$62,(Q$25),0)</f>
        <v>0</v>
      </c>
      <c r="R68" s="18">
        <f>IF(RESULTADO!$F$148&lt;=R$62,(R$25),0)</f>
        <v>0</v>
      </c>
      <c r="S68" s="18">
        <f>IF(RESULTADO!$F$148&lt;=S$62,(S$25),0)</f>
        <v>0</v>
      </c>
      <c r="T68" s="18">
        <f>IF(RESULTADO!$F$148&lt;=T$62,(T$25),0)</f>
        <v>0</v>
      </c>
      <c r="U68" s="18">
        <f>IF(RESULTADO!$F$148&lt;=U$62,(U$25),0)</f>
        <v>0</v>
      </c>
      <c r="V68" s="18">
        <f>IF(RESULTADO!$F$148&lt;=V$62,(V$25),0)</f>
        <v>0</v>
      </c>
      <c r="W68" s="18">
        <f>IF(RESULTADO!$F$148&lt;=W$62,(W$25),0)</f>
        <v>0</v>
      </c>
      <c r="X68" s="18">
        <f>IF(RESULTADO!$F$148&lt;=X$62,(X$25),0)</f>
        <v>0</v>
      </c>
      <c r="Y68" s="18">
        <f>IF(RESULTADO!$F$148&lt;=Y$62,(Y$25),0)</f>
        <v>0</v>
      </c>
      <c r="Z68" s="402">
        <f>IF(RESULTADO!$F$148&lt;=Z$62,(Z$25),0)</f>
        <v>0</v>
      </c>
      <c r="AA68" s="403">
        <f>IF(RESULTADO!$F$148&lt;=AA$62,(AA$25),0)</f>
        <v>0</v>
      </c>
      <c r="AB68" s="18">
        <f>IF(RESULTADO!$F$148&lt;=AB$62,(AB$25),0)</f>
        <v>0</v>
      </c>
      <c r="AC68" s="18">
        <f>IF(RESULTADO!$F$148&lt;=AC$62,(AC$25),0)</f>
        <v>0</v>
      </c>
      <c r="AD68" s="18">
        <f>IF(RESULTADO!$F$148&lt;=AD$62,(AD$25),0)</f>
        <v>0</v>
      </c>
      <c r="AE68" s="18">
        <f>IF(RESULTADO!$F$148&lt;=AE$62,(AE$25),0)</f>
        <v>0</v>
      </c>
      <c r="AF68" s="18">
        <f>IF(RESULTADO!$F$148&lt;=AF$62,(AF$25),0)</f>
        <v>0</v>
      </c>
      <c r="AG68" s="18">
        <f>IF(RESULTADO!$F$148&lt;=AG$62,(AG$25),0)</f>
        <v>0</v>
      </c>
      <c r="AH68" s="18">
        <f>IF(RESULTADO!$F$148&lt;=AH$62,(AH$25),0)</f>
        <v>0</v>
      </c>
      <c r="AI68" s="18">
        <f>IF(RESULTADO!$F$148&lt;=AI$62,(AI$25),0)</f>
        <v>0</v>
      </c>
      <c r="AJ68" s="18">
        <f>IF(RESULTADO!$F$148&lt;=AJ$62,(AJ$25),0)</f>
        <v>0</v>
      </c>
      <c r="AK68" s="18">
        <f>IF(RESULTADO!$F$148&lt;=AK$62,(AK$25),0)</f>
        <v>0</v>
      </c>
      <c r="AL68" s="402">
        <f>IF(RESULTADO!$F$148&lt;=AL$62,(AL$25),0)</f>
        <v>0</v>
      </c>
      <c r="AM68" s="403">
        <f>IF(RESULTADO!$F$148&lt;=AM$62,(AM$25),0)</f>
        <v>0</v>
      </c>
      <c r="AN68" s="18">
        <f>IF(RESULTADO!$F$148&lt;=AN$62,(AN$25),0)</f>
        <v>0</v>
      </c>
      <c r="AO68" s="18">
        <f>IF(RESULTADO!$F$148&lt;=AO$62,(AO$25),0)</f>
        <v>0</v>
      </c>
      <c r="AP68" s="18">
        <f>IF(RESULTADO!$F$148&lt;=AP$62,(AP$25),0)</f>
        <v>0</v>
      </c>
      <c r="AQ68" s="18">
        <f>IF(RESULTADO!$F$148&lt;=AQ$62,(AQ$25),0)</f>
        <v>0</v>
      </c>
      <c r="AR68" s="18">
        <f>IF(RESULTADO!$F$148&lt;=AR$62,(AR$25),0)</f>
        <v>0</v>
      </c>
      <c r="AS68" s="18">
        <f>IF(RESULTADO!$F$148&lt;=AS$62,(AS$25),0)</f>
        <v>0</v>
      </c>
      <c r="AT68" s="18">
        <f>IF(RESULTADO!$F$148&lt;=AT$62,(AT$25),0)</f>
        <v>0</v>
      </c>
      <c r="AU68" s="18">
        <f>IF(RESULTADO!$F$148&lt;=AU$62,(AU$25),0)</f>
        <v>0</v>
      </c>
      <c r="AV68" s="18">
        <f>IF(RESULTADO!$F$148&lt;=AV$62,(AV$25),0)</f>
        <v>0</v>
      </c>
      <c r="AW68" s="18">
        <f>IF(RESULTADO!$F$148&lt;=AW$62,(AW$25),0)</f>
        <v>0</v>
      </c>
      <c r="AX68" s="402">
        <f>IF(RESULTADO!$F$148&lt;=AX$62,(AX$25),0)</f>
        <v>0</v>
      </c>
      <c r="AY68" s="403">
        <f>IF(RESULTADO!$F$148&lt;=AY$62,(AY$25),0)</f>
        <v>0</v>
      </c>
      <c r="AZ68" s="18">
        <f>IF(RESULTADO!$F$148&lt;=AZ$62,(AZ$25),0)</f>
        <v>0</v>
      </c>
      <c r="BA68" s="18">
        <f>IF(RESULTADO!$F$148&lt;=BA$62,(BA$25),0)</f>
        <v>0</v>
      </c>
      <c r="BB68" s="18">
        <f>IF(RESULTADO!$F$148&lt;=BB$62,(BB$25),0)</f>
        <v>0</v>
      </c>
      <c r="BC68" s="18">
        <f>IF(RESULTADO!$F$148&lt;=BC$62,(BC$25),0)</f>
        <v>0</v>
      </c>
      <c r="BD68" s="18">
        <f>IF(RESULTADO!$F$148&lt;=BD$62,(BD$25),0)</f>
        <v>0</v>
      </c>
      <c r="BE68" s="18">
        <f>IF(RESULTADO!$F$148&lt;=BE$62,(BE$25),0)</f>
        <v>0</v>
      </c>
      <c r="BF68" s="18">
        <f>IF(RESULTADO!$F$148&lt;=BF$62,(BF$25),0)</f>
        <v>0</v>
      </c>
      <c r="BG68" s="18">
        <f>IF(RESULTADO!$F$148&lt;=BG$62,(BG$25),0)</f>
        <v>0</v>
      </c>
      <c r="BH68" s="18">
        <f>IF(RESULTADO!$F$148&lt;=BH$62,(BH$25),0)</f>
        <v>0</v>
      </c>
      <c r="BI68" s="18">
        <f>IF(RESULTADO!$F$148&lt;=BI$62,(BI$25),0)</f>
        <v>0</v>
      </c>
      <c r="BJ68" s="19">
        <f>IF(RESULTADO!$F$148&lt;=BJ$62,(BJ$25),0)</f>
        <v>0</v>
      </c>
      <c r="BL68" s="37" t="s">
        <v>100</v>
      </c>
      <c r="BM68" s="18">
        <f>IF(RESULTADO!$F$148&lt;=BM$62,(C$25),0)</f>
        <v>0</v>
      </c>
      <c r="BN68" s="18">
        <f>IF(RESULTADO!$F$148&lt;=BN$62,(D$25),0)</f>
        <v>0</v>
      </c>
      <c r="BO68" s="18">
        <f>IF(RESULTADO!$F$148&lt;=BO$62,(E$25),0)</f>
        <v>0</v>
      </c>
      <c r="BP68" s="18">
        <f>IF(RESULTADO!$F$148&lt;=BP$62,(F$25),0)</f>
        <v>0</v>
      </c>
      <c r="BQ68" s="18">
        <f>IF(RESULTADO!$F$148&lt;=BQ$62,(G$25),0)</f>
        <v>0</v>
      </c>
      <c r="BR68" s="18">
        <f>IF(RESULTADO!$F$148&lt;=BR$62,(H$25),0)</f>
        <v>0</v>
      </c>
      <c r="BS68" s="18">
        <f>IF(RESULTADO!$F$148&lt;=BS$62,(I$25),0)</f>
        <v>0</v>
      </c>
      <c r="BT68" s="18">
        <f>IF(RESULTADO!$F$148&lt;=BT$62,(J$25),0)</f>
        <v>0</v>
      </c>
      <c r="BU68" s="18">
        <f>IF(RESULTADO!$F$148&lt;=BU$62,(K$25),0)</f>
        <v>0</v>
      </c>
      <c r="BV68" s="18">
        <f>IF(RESULTADO!$F$148&lt;=BV$62,(L$25),0)</f>
        <v>0</v>
      </c>
      <c r="BW68" s="18">
        <f>IF(RESULTADO!$F$148&lt;=BW$62,(M$25),0)</f>
        <v>0</v>
      </c>
      <c r="BX68" s="402">
        <f>IF(RESULTADO!$F$148&lt;=BX$62,(N$25),0)</f>
        <v>0</v>
      </c>
      <c r="BY68" s="403">
        <f>IF(RESULTADO!$F$148&lt;=BY$62,(O$25),0)</f>
        <v>0</v>
      </c>
      <c r="BZ68" s="18">
        <f>IF(RESULTADO!$F$148&lt;=BZ$62,(P$25),0)</f>
        <v>0</v>
      </c>
      <c r="CA68" s="18">
        <f>IF(RESULTADO!$F$148&lt;=CA$62,(Q$25),0)</f>
        <v>0</v>
      </c>
      <c r="CB68" s="18">
        <f>IF(RESULTADO!$F$148&lt;=CB$62,(R$25),0)</f>
        <v>0</v>
      </c>
      <c r="CC68" s="18">
        <f>IF(RESULTADO!$F$148&lt;=CC$62,(S$25),0)</f>
        <v>0</v>
      </c>
      <c r="CD68" s="18">
        <f>IF(RESULTADO!$F$148&lt;=CD$62,(T$25),0)</f>
        <v>0</v>
      </c>
      <c r="CE68" s="18">
        <f>IF(RESULTADO!$F$148&lt;=CE$62,(U$25),0)</f>
        <v>0</v>
      </c>
      <c r="CF68" s="18">
        <f>IF(RESULTADO!$F$148&lt;=CF$62,(V$25),0)</f>
        <v>0</v>
      </c>
      <c r="CG68" s="18">
        <f>IF(RESULTADO!$F$148&lt;=CG$62,(W$25),0)</f>
        <v>0</v>
      </c>
      <c r="CH68" s="18">
        <f>IF(RESULTADO!$F$148&lt;=CH$62,(X$25),0)</f>
        <v>0</v>
      </c>
      <c r="CI68" s="18">
        <f>IF(RESULTADO!$F$148&lt;=CI$62,(Y$25),0)</f>
        <v>0</v>
      </c>
      <c r="CJ68" s="402">
        <f>IF(RESULTADO!$F$148&lt;=CJ$62,(Z$25),0)</f>
        <v>0</v>
      </c>
      <c r="CK68" s="403">
        <f>IF(RESULTADO!$F$148&lt;=CK$62,(AA$25),0)</f>
        <v>0</v>
      </c>
      <c r="CL68" s="18">
        <f>IF(RESULTADO!$F$148&lt;=CL$62,(AB$25),0)</f>
        <v>0</v>
      </c>
      <c r="CM68" s="18">
        <f>IF(RESULTADO!$F$148&lt;=CM$62,(AC$25),0)</f>
        <v>0</v>
      </c>
      <c r="CN68" s="18">
        <f>IF(RESULTADO!$F$148&lt;=CN$62,(AD$25),0)</f>
        <v>0</v>
      </c>
      <c r="CO68" s="18">
        <f>IF(RESULTADO!$F$148&lt;=CO$62,(AE$25),0)</f>
        <v>0</v>
      </c>
      <c r="CP68" s="18">
        <f>IF(RESULTADO!$F$148&lt;=CP$62,(AF$25),0)</f>
        <v>0</v>
      </c>
      <c r="CQ68" s="18">
        <f>IF(RESULTADO!$F$148&lt;=CQ$62,(AG$25),0)</f>
        <v>0</v>
      </c>
      <c r="CR68" s="18">
        <f>IF(RESULTADO!$F$148&lt;=CR$62,(AH$25),0)</f>
        <v>0</v>
      </c>
      <c r="CS68" s="18">
        <f>IF(RESULTADO!$F$148&lt;=CS$62,(AI$25),0)</f>
        <v>0</v>
      </c>
      <c r="CT68" s="18">
        <f>IF(RESULTADO!$F$148&lt;=CT$62,(AJ$25),0)</f>
        <v>0</v>
      </c>
      <c r="CU68" s="18">
        <f>IF(RESULTADO!$F$148&lt;=CU$62,(AK$25),0)</f>
        <v>0</v>
      </c>
      <c r="CV68" s="402">
        <f>IF(RESULTADO!$F$148&lt;=CV$62,(AL$25),0)</f>
        <v>0</v>
      </c>
      <c r="CW68" s="403">
        <f>IF(RESULTADO!$F$148&lt;=CW$62,(AM$25),0)</f>
        <v>0</v>
      </c>
      <c r="CX68" s="18">
        <f>IF(RESULTADO!$F$148&lt;=CX$62,(AN$25),0)</f>
        <v>0</v>
      </c>
      <c r="CY68" s="18">
        <f>IF(RESULTADO!$F$148&lt;=CY$62,(AO$25),0)</f>
        <v>0</v>
      </c>
      <c r="CZ68" s="18">
        <f>IF(RESULTADO!$F$148&lt;=CZ$62,(AP$25),0)</f>
        <v>0</v>
      </c>
      <c r="DA68" s="18">
        <f>IF(RESULTADO!$F$148&lt;=DA$62,(AQ$25),0)</f>
        <v>0</v>
      </c>
      <c r="DB68" s="18">
        <f>IF(RESULTADO!$F$148&lt;=DB$62,(AR$25),0)</f>
        <v>0</v>
      </c>
      <c r="DC68" s="18">
        <f>IF(RESULTADO!$F$148&lt;=DC$62,(AS$25),0)</f>
        <v>0</v>
      </c>
      <c r="DD68" s="18">
        <f>IF(RESULTADO!$F$148&lt;=DD$62,(AT$25),0)</f>
        <v>0</v>
      </c>
      <c r="DE68" s="18">
        <f>IF(RESULTADO!$F$148&lt;=DE$62,(AU$25),0)</f>
        <v>0</v>
      </c>
      <c r="DF68" s="18">
        <f>IF(RESULTADO!$F$148&lt;=DF$62,(AV$25),0)</f>
        <v>0</v>
      </c>
      <c r="DG68" s="18">
        <f>IF(RESULTADO!$F$148&lt;=DG$62,(AW$25),0)</f>
        <v>0</v>
      </c>
      <c r="DH68" s="402">
        <f>IF(RESULTADO!$F$148&lt;=DH$62,(AX$25),0)</f>
        <v>0</v>
      </c>
      <c r="DI68" s="403">
        <f>IF(RESULTADO!$F$148&lt;=DI$62,(AY$25),0)</f>
        <v>0</v>
      </c>
      <c r="DJ68" s="18">
        <f>IF(RESULTADO!$F$148&lt;=DJ$62,(AZ$25),0)</f>
        <v>0</v>
      </c>
      <c r="DK68" s="18">
        <f>IF(RESULTADO!$F$148&lt;=DK$62,(BA$25),0)</f>
        <v>0</v>
      </c>
      <c r="DL68" s="18">
        <f>IF(RESULTADO!$F$148&lt;=DL$62,(BB$25),0)</f>
        <v>0</v>
      </c>
      <c r="DM68" s="18">
        <f>IF(RESULTADO!$F$148&lt;=DM$62,(BC$25),0)</f>
        <v>0</v>
      </c>
      <c r="DN68" s="18">
        <f>IF(RESULTADO!$F$148&lt;=DN$62,(BD$25),0)</f>
        <v>0</v>
      </c>
      <c r="DO68" s="18">
        <f>IF(RESULTADO!$F$148&lt;=DO$62,(BE$25),0)</f>
        <v>0</v>
      </c>
      <c r="DP68" s="18">
        <f>IF(RESULTADO!$F$148&lt;=DP$62,(BF$25),0)</f>
        <v>0</v>
      </c>
      <c r="DQ68" s="18">
        <f>IF(RESULTADO!$F$148&lt;=DQ$62,(BG$25),0)</f>
        <v>0</v>
      </c>
      <c r="DR68" s="18">
        <f>IF(RESULTADO!$F$148&lt;=DR$62,(BH$25),0)</f>
        <v>0</v>
      </c>
      <c r="DS68" s="18">
        <f>IF(RESULTADO!$F$148&lt;=DS$62,(BI$25),0)</f>
        <v>0</v>
      </c>
      <c r="DT68" s="19">
        <f>IF(RESULTADO!$F$148&lt;=DT$62,(BJ$25),0)</f>
        <v>0</v>
      </c>
    </row>
    <row r="69" spans="1:124" x14ac:dyDescent="0.25">
      <c r="A69" s="7"/>
      <c r="B69" s="37" t="s">
        <v>101</v>
      </c>
      <c r="C69" s="18">
        <f>IF(RESULTADO!$F$148&lt;=C$62,(C$25),0)</f>
        <v>0</v>
      </c>
      <c r="D69" s="18">
        <f>IF(RESULTADO!$F$148&lt;=D$62,(D$25),0)</f>
        <v>0</v>
      </c>
      <c r="E69" s="18">
        <f>IF(RESULTADO!$F$148&lt;=E$62,(E$25),0)</f>
        <v>0</v>
      </c>
      <c r="F69" s="18">
        <f>IF(RESULTADO!$F$148&lt;=F$62,(F$25),0)</f>
        <v>0</v>
      </c>
      <c r="G69" s="18">
        <f>IF(RESULTADO!$F$148&lt;=G$62,(G$25),0)</f>
        <v>0</v>
      </c>
      <c r="H69" s="18">
        <f>IF(RESULTADO!$F$148&lt;=H$62,(H$25),0)</f>
        <v>0</v>
      </c>
      <c r="I69" s="18">
        <f>IF(RESULTADO!$F$148&lt;=I$62,(I$25),0)</f>
        <v>0</v>
      </c>
      <c r="J69" s="18">
        <f>IF(RESULTADO!$F$148&lt;=J$62,(J$25),0)</f>
        <v>0</v>
      </c>
      <c r="K69" s="18">
        <f>IF(RESULTADO!$F$148&lt;=K$62,(K$25),0)</f>
        <v>0</v>
      </c>
      <c r="L69" s="18">
        <f>IF(RESULTADO!$F$148&lt;=L$62,(L$25),0)</f>
        <v>0</v>
      </c>
      <c r="M69" s="18">
        <f>IF(RESULTADO!$F$148&lt;=M$62,(M$25),0)</f>
        <v>0</v>
      </c>
      <c r="N69" s="402">
        <f>IF(RESULTADO!$F$148&lt;=N$62,(N$25),0)</f>
        <v>0</v>
      </c>
      <c r="O69" s="403">
        <f>IF(RESULTADO!$F$148&lt;=O$62,(O$25),0)</f>
        <v>0</v>
      </c>
      <c r="P69" s="18">
        <f>IF(RESULTADO!$F$148&lt;=P$62,(P$25),0)</f>
        <v>0</v>
      </c>
      <c r="Q69" s="18">
        <f>IF(RESULTADO!$F$148&lt;=Q$62,(Q$25),0)</f>
        <v>0</v>
      </c>
      <c r="R69" s="18">
        <f>IF(RESULTADO!$F$148&lt;=R$62,(R$25),0)</f>
        <v>0</v>
      </c>
      <c r="S69" s="18">
        <f>IF(RESULTADO!$F$148&lt;=S$62,(S$25),0)</f>
        <v>0</v>
      </c>
      <c r="T69" s="18">
        <f>IF(RESULTADO!$F$148&lt;=T$62,(T$25),0)</f>
        <v>0</v>
      </c>
      <c r="U69" s="18">
        <f>IF(RESULTADO!$F$148&lt;=U$62,(U$25),0)</f>
        <v>0</v>
      </c>
      <c r="V69" s="18">
        <f>IF(RESULTADO!$F$148&lt;=V$62,(V$25),0)</f>
        <v>0</v>
      </c>
      <c r="W69" s="18">
        <f>IF(RESULTADO!$F$148&lt;=W$62,(W$25),0)</f>
        <v>0</v>
      </c>
      <c r="X69" s="18">
        <f>IF(RESULTADO!$F$148&lt;=X$62,(X$25),0)</f>
        <v>0</v>
      </c>
      <c r="Y69" s="18">
        <f>IF(RESULTADO!$F$148&lt;=Y$62,(Y$25),0)</f>
        <v>0</v>
      </c>
      <c r="Z69" s="402">
        <f>IF(RESULTADO!$F$148&lt;=Z$62,(Z$25),0)</f>
        <v>0</v>
      </c>
      <c r="AA69" s="403">
        <f>IF(RESULTADO!$F$148&lt;=AA$62,(AA$25),0)</f>
        <v>0</v>
      </c>
      <c r="AB69" s="18">
        <f>IF(RESULTADO!$F$148&lt;=AB$62,(AB$25),0)</f>
        <v>0</v>
      </c>
      <c r="AC69" s="18">
        <f>IF(RESULTADO!$F$148&lt;=AC$62,(AC$25),0)</f>
        <v>0</v>
      </c>
      <c r="AD69" s="18">
        <f>IF(RESULTADO!$F$148&lt;=AD$62,(AD$25),0)</f>
        <v>0</v>
      </c>
      <c r="AE69" s="18">
        <f>IF(RESULTADO!$F$148&lt;=AE$62,(AE$25),0)</f>
        <v>0</v>
      </c>
      <c r="AF69" s="18">
        <f>IF(RESULTADO!$F$148&lt;=AF$62,(AF$25),0)</f>
        <v>0</v>
      </c>
      <c r="AG69" s="18">
        <f>IF(RESULTADO!$F$148&lt;=AG$62,(AG$25),0)</f>
        <v>0</v>
      </c>
      <c r="AH69" s="18">
        <f>IF(RESULTADO!$F$148&lt;=AH$62,(AH$25),0)</f>
        <v>0</v>
      </c>
      <c r="AI69" s="18">
        <f>IF(RESULTADO!$F$148&lt;=AI$62,(AI$25),0)</f>
        <v>0</v>
      </c>
      <c r="AJ69" s="18">
        <f>IF(RESULTADO!$F$148&lt;=AJ$62,(AJ$25),0)</f>
        <v>0</v>
      </c>
      <c r="AK69" s="18">
        <f>IF(RESULTADO!$F$148&lt;=AK$62,(AK$25),0)</f>
        <v>0</v>
      </c>
      <c r="AL69" s="402">
        <f>IF(RESULTADO!$F$148&lt;=AL$62,(AL$25),0)</f>
        <v>0</v>
      </c>
      <c r="AM69" s="403">
        <f>IF(RESULTADO!$F$148&lt;=AM$62,(AM$25),0)</f>
        <v>0</v>
      </c>
      <c r="AN69" s="18">
        <f>IF(RESULTADO!$F$148&lt;=AN$62,(AN$25),0)</f>
        <v>0</v>
      </c>
      <c r="AO69" s="18">
        <f>IF(RESULTADO!$F$148&lt;=AO$62,(AO$25),0)</f>
        <v>0</v>
      </c>
      <c r="AP69" s="18">
        <f>IF(RESULTADO!$F$148&lt;=AP$62,(AP$25),0)</f>
        <v>0</v>
      </c>
      <c r="AQ69" s="18">
        <f>IF(RESULTADO!$F$148&lt;=AQ$62,(AQ$25),0)</f>
        <v>0</v>
      </c>
      <c r="AR69" s="18">
        <f>IF(RESULTADO!$F$148&lt;=AR$62,(AR$25),0)</f>
        <v>0</v>
      </c>
      <c r="AS69" s="18">
        <f>IF(RESULTADO!$F$148&lt;=AS$62,(AS$25),0)</f>
        <v>0</v>
      </c>
      <c r="AT69" s="18">
        <f>IF(RESULTADO!$F$148&lt;=AT$62,(AT$25),0)</f>
        <v>0</v>
      </c>
      <c r="AU69" s="18">
        <f>IF(RESULTADO!$F$148&lt;=AU$62,(AU$25),0)</f>
        <v>0</v>
      </c>
      <c r="AV69" s="18">
        <f>IF(RESULTADO!$F$148&lt;=AV$62,(AV$25),0)</f>
        <v>0</v>
      </c>
      <c r="AW69" s="18">
        <f>IF(RESULTADO!$F$148&lt;=AW$62,(AW$25),0)</f>
        <v>0</v>
      </c>
      <c r="AX69" s="402">
        <f>IF(RESULTADO!$F$148&lt;=AX$62,(AX$25),0)</f>
        <v>0</v>
      </c>
      <c r="AY69" s="403">
        <f>IF(RESULTADO!$F$148&lt;=AY$62,(AY$25),0)</f>
        <v>0</v>
      </c>
      <c r="AZ69" s="18">
        <f>IF(RESULTADO!$F$148&lt;=AZ$62,(AZ$25),0)</f>
        <v>0</v>
      </c>
      <c r="BA69" s="18">
        <f>IF(RESULTADO!$F$148&lt;=BA$62,(BA$25),0)</f>
        <v>0</v>
      </c>
      <c r="BB69" s="18">
        <f>IF(RESULTADO!$F$148&lt;=BB$62,(BB$25),0)</f>
        <v>0</v>
      </c>
      <c r="BC69" s="18">
        <f>IF(RESULTADO!$F$148&lt;=BC$62,(BC$25),0)</f>
        <v>0</v>
      </c>
      <c r="BD69" s="18">
        <f>IF(RESULTADO!$F$148&lt;=BD$62,(BD$25),0)</f>
        <v>0</v>
      </c>
      <c r="BE69" s="18">
        <f>IF(RESULTADO!$F$148&lt;=BE$62,(BE$25),0)</f>
        <v>0</v>
      </c>
      <c r="BF69" s="18">
        <f>IF(RESULTADO!$F$148&lt;=BF$62,(BF$25),0)</f>
        <v>0</v>
      </c>
      <c r="BG69" s="18">
        <f>IF(RESULTADO!$F$148&lt;=BG$62,(BG$25),0)</f>
        <v>0</v>
      </c>
      <c r="BH69" s="18">
        <f>IF(RESULTADO!$F$148&lt;=BH$62,(BH$25),0)</f>
        <v>0</v>
      </c>
      <c r="BI69" s="18">
        <f>IF(RESULTADO!$F$148&lt;=BI$62,(BI$25),0)</f>
        <v>0</v>
      </c>
      <c r="BJ69" s="19">
        <f>IF(RESULTADO!$F$148&lt;=BJ$62,(BJ$25),0)</f>
        <v>0</v>
      </c>
      <c r="BL69" s="37" t="s">
        <v>101</v>
      </c>
      <c r="BM69" s="18">
        <f>IF(RESULTADO!$F$148&lt;=BM$62,(C$25),0)</f>
        <v>0</v>
      </c>
      <c r="BN69" s="18">
        <f>IF(RESULTADO!$F$148&lt;=BN$62,(D$25),0)</f>
        <v>0</v>
      </c>
      <c r="BO69" s="18">
        <f>IF(RESULTADO!$F$148&lt;=BO$62,(E$25),0)</f>
        <v>0</v>
      </c>
      <c r="BP69" s="18">
        <f>IF(RESULTADO!$F$148&lt;=BP$62,(F$25),0)</f>
        <v>0</v>
      </c>
      <c r="BQ69" s="18">
        <f>IF(RESULTADO!$F$148&lt;=BQ$62,(G$25),0)</f>
        <v>0</v>
      </c>
      <c r="BR69" s="18">
        <f>IF(RESULTADO!$F$148&lt;=BR$62,(H$25),0)</f>
        <v>0</v>
      </c>
      <c r="BS69" s="18">
        <f>IF(RESULTADO!$F$148&lt;=BS$62,(I$25),0)</f>
        <v>0</v>
      </c>
      <c r="BT69" s="18">
        <f>IF(RESULTADO!$F$148&lt;=BT$62,(J$25),0)</f>
        <v>0</v>
      </c>
      <c r="BU69" s="18">
        <f>IF(RESULTADO!$F$148&lt;=BU$62,(K$25),0)</f>
        <v>0</v>
      </c>
      <c r="BV69" s="18">
        <f>IF(RESULTADO!$F$148&lt;=BV$62,(L$25),0)</f>
        <v>0</v>
      </c>
      <c r="BW69" s="18">
        <f>IF(RESULTADO!$F$148&lt;=BW$62,(M$25),0)</f>
        <v>0</v>
      </c>
      <c r="BX69" s="402">
        <f>IF(RESULTADO!$F$148&lt;=BX$62,(N$25),0)</f>
        <v>0</v>
      </c>
      <c r="BY69" s="403">
        <f>IF(RESULTADO!$F$148&lt;=BY$62,(O$25),0)</f>
        <v>0</v>
      </c>
      <c r="BZ69" s="18">
        <f>IF(RESULTADO!$F$148&lt;=BZ$62,(P$25),0)</f>
        <v>0</v>
      </c>
      <c r="CA69" s="18">
        <f>IF(RESULTADO!$F$148&lt;=CA$62,(Q$25),0)</f>
        <v>0</v>
      </c>
      <c r="CB69" s="18">
        <f>IF(RESULTADO!$F$148&lt;=CB$62,(R$25),0)</f>
        <v>0</v>
      </c>
      <c r="CC69" s="18">
        <f>IF(RESULTADO!$F$148&lt;=CC$62,(S$25),0)</f>
        <v>0</v>
      </c>
      <c r="CD69" s="18">
        <f>IF(RESULTADO!$F$148&lt;=CD$62,(T$25),0)</f>
        <v>0</v>
      </c>
      <c r="CE69" s="18">
        <f>IF(RESULTADO!$F$148&lt;=CE$62,(U$25),0)</f>
        <v>0</v>
      </c>
      <c r="CF69" s="18">
        <f>IF(RESULTADO!$F$148&lt;=CF$62,(V$25),0)</f>
        <v>0</v>
      </c>
      <c r="CG69" s="18">
        <f>IF(RESULTADO!$F$148&lt;=CG$62,(W$25),0)</f>
        <v>0</v>
      </c>
      <c r="CH69" s="18">
        <f>IF(RESULTADO!$F$148&lt;=CH$62,(X$25),0)</f>
        <v>0</v>
      </c>
      <c r="CI69" s="18">
        <f>IF(RESULTADO!$F$148&lt;=CI$62,(Y$25),0)</f>
        <v>0</v>
      </c>
      <c r="CJ69" s="402">
        <f>IF(RESULTADO!$F$148&lt;=CJ$62,(Z$25),0)</f>
        <v>0</v>
      </c>
      <c r="CK69" s="403">
        <f>IF(RESULTADO!$F$148&lt;=CK$62,(AA$25),0)</f>
        <v>0</v>
      </c>
      <c r="CL69" s="18">
        <f>IF(RESULTADO!$F$148&lt;=CL$62,(AB$25),0)</f>
        <v>0</v>
      </c>
      <c r="CM69" s="18">
        <f>IF(RESULTADO!$F$148&lt;=CM$62,(AC$25),0)</f>
        <v>0</v>
      </c>
      <c r="CN69" s="18">
        <f>IF(RESULTADO!$F$148&lt;=CN$62,(AD$25),0)</f>
        <v>0</v>
      </c>
      <c r="CO69" s="18">
        <f>IF(RESULTADO!$F$148&lt;=CO$62,(AE$25),0)</f>
        <v>0</v>
      </c>
      <c r="CP69" s="18">
        <f>IF(RESULTADO!$F$148&lt;=CP$62,(AF$25),0)</f>
        <v>0</v>
      </c>
      <c r="CQ69" s="18">
        <f>IF(RESULTADO!$F$148&lt;=CQ$62,(AG$25),0)</f>
        <v>0</v>
      </c>
      <c r="CR69" s="18">
        <f>IF(RESULTADO!$F$148&lt;=CR$62,(AH$25),0)</f>
        <v>0</v>
      </c>
      <c r="CS69" s="18">
        <f>IF(RESULTADO!$F$148&lt;=CS$62,(AI$25),0)</f>
        <v>0</v>
      </c>
      <c r="CT69" s="18">
        <f>IF(RESULTADO!$F$148&lt;=CT$62,(AJ$25),0)</f>
        <v>0</v>
      </c>
      <c r="CU69" s="18">
        <f>IF(RESULTADO!$F$148&lt;=CU$62,(AK$25),0)</f>
        <v>0</v>
      </c>
      <c r="CV69" s="402">
        <f>IF(RESULTADO!$F$148&lt;=CV$62,(AL$25),0)</f>
        <v>0</v>
      </c>
      <c r="CW69" s="403">
        <f>IF(RESULTADO!$F$148&lt;=CW$62,(AM$25),0)</f>
        <v>0</v>
      </c>
      <c r="CX69" s="18">
        <f>IF(RESULTADO!$F$148&lt;=CX$62,(AN$25),0)</f>
        <v>0</v>
      </c>
      <c r="CY69" s="18">
        <f>IF(RESULTADO!$F$148&lt;=CY$62,(AO$25),0)</f>
        <v>0</v>
      </c>
      <c r="CZ69" s="18">
        <f>IF(RESULTADO!$F$148&lt;=CZ$62,(AP$25),0)</f>
        <v>0</v>
      </c>
      <c r="DA69" s="18">
        <f>IF(RESULTADO!$F$148&lt;=DA$62,(AQ$25),0)</f>
        <v>0</v>
      </c>
      <c r="DB69" s="18">
        <f>IF(RESULTADO!$F$148&lt;=DB$62,(AR$25),0)</f>
        <v>0</v>
      </c>
      <c r="DC69" s="18">
        <f>IF(RESULTADO!$F$148&lt;=DC$62,(AS$25),0)</f>
        <v>0</v>
      </c>
      <c r="DD69" s="18">
        <f>IF(RESULTADO!$F$148&lt;=DD$62,(AT$25),0)</f>
        <v>0</v>
      </c>
      <c r="DE69" s="18">
        <f>IF(RESULTADO!$F$148&lt;=DE$62,(AU$25),0)</f>
        <v>0</v>
      </c>
      <c r="DF69" s="18">
        <f>IF(RESULTADO!$F$148&lt;=DF$62,(AV$25),0)</f>
        <v>0</v>
      </c>
      <c r="DG69" s="18">
        <f>IF(RESULTADO!$F$148&lt;=DG$62,(AW$25),0)</f>
        <v>0</v>
      </c>
      <c r="DH69" s="402">
        <f>IF(RESULTADO!$F$148&lt;=DH$62,(AX$25),0)</f>
        <v>0</v>
      </c>
      <c r="DI69" s="403">
        <f>IF(RESULTADO!$F$148&lt;=DI$62,(AY$25),0)</f>
        <v>0</v>
      </c>
      <c r="DJ69" s="18">
        <f>IF(RESULTADO!$F$148&lt;=DJ$62,(AZ$25),0)</f>
        <v>0</v>
      </c>
      <c r="DK69" s="18">
        <f>IF(RESULTADO!$F$148&lt;=DK$62,(BA$25),0)</f>
        <v>0</v>
      </c>
      <c r="DL69" s="18">
        <f>IF(RESULTADO!$F$148&lt;=DL$62,(BB$25),0)</f>
        <v>0</v>
      </c>
      <c r="DM69" s="18">
        <f>IF(RESULTADO!$F$148&lt;=DM$62,(BC$25),0)</f>
        <v>0</v>
      </c>
      <c r="DN69" s="18">
        <f>IF(RESULTADO!$F$148&lt;=DN$62,(BD$25),0)</f>
        <v>0</v>
      </c>
      <c r="DO69" s="18">
        <f>IF(RESULTADO!$F$148&lt;=DO$62,(BE$25),0)</f>
        <v>0</v>
      </c>
      <c r="DP69" s="18">
        <f>IF(RESULTADO!$F$148&lt;=DP$62,(BF$25),0)</f>
        <v>0</v>
      </c>
      <c r="DQ69" s="18">
        <f>IF(RESULTADO!$F$148&lt;=DQ$62,(BG$25),0)</f>
        <v>0</v>
      </c>
      <c r="DR69" s="18">
        <f>IF(RESULTADO!$F$148&lt;=DR$62,(BH$25),0)</f>
        <v>0</v>
      </c>
      <c r="DS69" s="18">
        <f>IF(RESULTADO!$F$148&lt;=DS$62,(BI$25),0)</f>
        <v>0</v>
      </c>
      <c r="DT69" s="19">
        <f>IF(RESULTADO!$F$148&lt;=DT$62,(BJ$25),0)</f>
        <v>0</v>
      </c>
    </row>
    <row r="70" spans="1:124" ht="15.75" thickBot="1" x14ac:dyDescent="0.3">
      <c r="A70" s="7"/>
      <c r="B70" s="38" t="s">
        <v>102</v>
      </c>
      <c r="C70" s="23">
        <f>IF(RESULTADO!$F$148&lt;=C$62,(C$25),0)</f>
        <v>0</v>
      </c>
      <c r="D70" s="23">
        <f>IF(RESULTADO!$F$148&lt;=D$62,(D$25),0)</f>
        <v>0</v>
      </c>
      <c r="E70" s="23">
        <f>IF(RESULTADO!$F$148&lt;=E$62,(E$25),0)</f>
        <v>0</v>
      </c>
      <c r="F70" s="23">
        <f>IF(RESULTADO!$F$148&lt;=F$62,(F$25),0)</f>
        <v>0</v>
      </c>
      <c r="G70" s="23">
        <f>IF(RESULTADO!$F$148&lt;=G$62,(G$25),0)</f>
        <v>0</v>
      </c>
      <c r="H70" s="23">
        <f>IF(RESULTADO!$F$148&lt;=H$62,(H$25),0)</f>
        <v>0</v>
      </c>
      <c r="I70" s="23">
        <f>IF(RESULTADO!$F$148&lt;=I$62,(I$25),0)</f>
        <v>0</v>
      </c>
      <c r="J70" s="23">
        <f>IF(RESULTADO!$F$148&lt;=J$62,(J$25),0)</f>
        <v>0</v>
      </c>
      <c r="K70" s="23">
        <f>IF(RESULTADO!$F$148&lt;=K$62,(K$25),0)</f>
        <v>0</v>
      </c>
      <c r="L70" s="23">
        <f>IF(RESULTADO!$F$148&lt;=L$62,(L$25),0)</f>
        <v>0</v>
      </c>
      <c r="M70" s="23">
        <f>IF(RESULTADO!$F$148&lt;=M$62,(M$25),0)</f>
        <v>0</v>
      </c>
      <c r="N70" s="404">
        <f>IF(RESULTADO!$F$148&lt;=N$62,(N$25),0)</f>
        <v>0</v>
      </c>
      <c r="O70" s="405">
        <f>IF(RESULTADO!$F$148&lt;=O$62,(O$25),0)</f>
        <v>0</v>
      </c>
      <c r="P70" s="23">
        <f>IF(RESULTADO!$F$148&lt;=P$62,(P$25),0)</f>
        <v>0</v>
      </c>
      <c r="Q70" s="23">
        <f>IF(RESULTADO!$F$148&lt;=Q$62,(Q$25),0)</f>
        <v>0</v>
      </c>
      <c r="R70" s="23">
        <f>IF(RESULTADO!$F$148&lt;=R$62,(R$25),0)</f>
        <v>0</v>
      </c>
      <c r="S70" s="23">
        <f>IF(RESULTADO!$F$148&lt;=S$62,(S$25),0)</f>
        <v>0</v>
      </c>
      <c r="T70" s="23">
        <f>IF(RESULTADO!$F$148&lt;=T$62,(T$25),0)</f>
        <v>0</v>
      </c>
      <c r="U70" s="23">
        <f>IF(RESULTADO!$F$148&lt;=U$62,(U$25),0)</f>
        <v>0</v>
      </c>
      <c r="V70" s="23">
        <f>IF(RESULTADO!$F$148&lt;=V$62,(V$25),0)</f>
        <v>0</v>
      </c>
      <c r="W70" s="23">
        <f>IF(RESULTADO!$F$148&lt;=W$62,(W$25),0)</f>
        <v>0</v>
      </c>
      <c r="X70" s="23">
        <f>IF(RESULTADO!$F$148&lt;=X$62,(X$25),0)</f>
        <v>0</v>
      </c>
      <c r="Y70" s="23">
        <f>IF(RESULTADO!$F$148&lt;=Y$62,(Y$25),0)</f>
        <v>0</v>
      </c>
      <c r="Z70" s="404">
        <f>IF(RESULTADO!$F$148&lt;=Z$62,(Z$25),0)</f>
        <v>0</v>
      </c>
      <c r="AA70" s="405">
        <f>IF(RESULTADO!$F$148&lt;=AA$62,(AA$25),0)</f>
        <v>0</v>
      </c>
      <c r="AB70" s="23">
        <f>IF(RESULTADO!$F$148&lt;=AB$62,(AB$25),0)</f>
        <v>0</v>
      </c>
      <c r="AC70" s="23">
        <f>IF(RESULTADO!$F$148&lt;=AC$62,(AC$25),0)</f>
        <v>0</v>
      </c>
      <c r="AD70" s="23">
        <f>IF(RESULTADO!$F$148&lt;=AD$62,(AD$25),0)</f>
        <v>0</v>
      </c>
      <c r="AE70" s="23">
        <f>IF(RESULTADO!$F$148&lt;=AE$62,(AE$25),0)</f>
        <v>0</v>
      </c>
      <c r="AF70" s="23">
        <f>IF(RESULTADO!$F$148&lt;=AF$62,(AF$25),0)</f>
        <v>0</v>
      </c>
      <c r="AG70" s="23">
        <f>IF(RESULTADO!$F$148&lt;=AG$62,(AG$25),0)</f>
        <v>0</v>
      </c>
      <c r="AH70" s="23">
        <f>IF(RESULTADO!$F$148&lt;=AH$62,(AH$25),0)</f>
        <v>0</v>
      </c>
      <c r="AI70" s="23">
        <f>IF(RESULTADO!$F$148&lt;=AI$62,(AI$25),0)</f>
        <v>0</v>
      </c>
      <c r="AJ70" s="23">
        <f>IF(RESULTADO!$F$148&lt;=AJ$62,(AJ$25),0)</f>
        <v>0</v>
      </c>
      <c r="AK70" s="23">
        <f>IF(RESULTADO!$F$148&lt;=AK$62,(AK$25),0)</f>
        <v>0</v>
      </c>
      <c r="AL70" s="404">
        <f>IF(RESULTADO!$F$148&lt;=AL$62,(AL$25),0)</f>
        <v>0</v>
      </c>
      <c r="AM70" s="405">
        <f>IF(RESULTADO!$F$148&lt;=AM$62,(AM$25),0)</f>
        <v>0</v>
      </c>
      <c r="AN70" s="23">
        <f>IF(RESULTADO!$F$148&lt;=AN$62,(AN$25),0)</f>
        <v>0</v>
      </c>
      <c r="AO70" s="23">
        <f>IF(RESULTADO!$F$148&lt;=AO$62,(AO$25),0)</f>
        <v>0</v>
      </c>
      <c r="AP70" s="23">
        <f>IF(RESULTADO!$F$148&lt;=AP$62,(AP$25),0)</f>
        <v>0</v>
      </c>
      <c r="AQ70" s="23">
        <f>IF(RESULTADO!$F$148&lt;=AQ$62,(AQ$25),0)</f>
        <v>0</v>
      </c>
      <c r="AR70" s="23">
        <f>IF(RESULTADO!$F$148&lt;=AR$62,(AR$25),0)</f>
        <v>0</v>
      </c>
      <c r="AS70" s="23">
        <f>IF(RESULTADO!$F$148&lt;=AS$62,(AS$25),0)</f>
        <v>0</v>
      </c>
      <c r="AT70" s="23">
        <f>IF(RESULTADO!$F$148&lt;=AT$62,(AT$25),0)</f>
        <v>0</v>
      </c>
      <c r="AU70" s="23">
        <f>IF(RESULTADO!$F$148&lt;=AU$62,(AU$25),0)</f>
        <v>0</v>
      </c>
      <c r="AV70" s="23">
        <f>IF(RESULTADO!$F$148&lt;=AV$62,(AV$25),0)</f>
        <v>0</v>
      </c>
      <c r="AW70" s="23">
        <f>IF(RESULTADO!$F$148&lt;=AW$62,(AW$25),0)</f>
        <v>0</v>
      </c>
      <c r="AX70" s="404">
        <f>IF(RESULTADO!$F$148&lt;=AX$62,(AX$25),0)</f>
        <v>0</v>
      </c>
      <c r="AY70" s="405">
        <f>IF(RESULTADO!$F$148&lt;=AY$62,(AY$25),0)</f>
        <v>0</v>
      </c>
      <c r="AZ70" s="23">
        <f>IF(RESULTADO!$F$148&lt;=AZ$62,(AZ$25),0)</f>
        <v>0</v>
      </c>
      <c r="BA70" s="23">
        <f>IF(RESULTADO!$F$148&lt;=BA$62,(BA$25),0)</f>
        <v>0</v>
      </c>
      <c r="BB70" s="23">
        <f>IF(RESULTADO!$F$148&lt;=BB$62,(BB$25),0)</f>
        <v>0</v>
      </c>
      <c r="BC70" s="23">
        <f>IF(RESULTADO!$F$148&lt;=BC$62,(BC$25),0)</f>
        <v>0</v>
      </c>
      <c r="BD70" s="23">
        <f>IF(RESULTADO!$F$148&lt;=BD$62,(BD$25),0)</f>
        <v>0</v>
      </c>
      <c r="BE70" s="23">
        <f>IF(RESULTADO!$F$148&lt;=BE$62,(BE$25),0)</f>
        <v>0</v>
      </c>
      <c r="BF70" s="23">
        <f>IF(RESULTADO!$F$148&lt;=BF$62,(BF$25),0)</f>
        <v>0</v>
      </c>
      <c r="BG70" s="23">
        <f>IF(RESULTADO!$F$148&lt;=BG$62,(BG$25),0)</f>
        <v>0</v>
      </c>
      <c r="BH70" s="23">
        <f>IF(RESULTADO!$F$148&lt;=BH$62,(BH$25),0)</f>
        <v>0</v>
      </c>
      <c r="BI70" s="23">
        <f>IF(RESULTADO!$F$148&lt;=BI$62,(BI$25),0)</f>
        <v>0</v>
      </c>
      <c r="BJ70" s="24">
        <f>IF(RESULTADO!$F$148&lt;=BJ$62,(BJ$25),0)</f>
        <v>0</v>
      </c>
      <c r="BL70" s="38" t="s">
        <v>102</v>
      </c>
      <c r="BM70" s="23">
        <f>IF(RESULTADO!$F$148&lt;=BM$62,(C$25),0)</f>
        <v>0</v>
      </c>
      <c r="BN70" s="23">
        <f>IF(RESULTADO!$F$148&lt;=BN$62,(D$25),0)</f>
        <v>0</v>
      </c>
      <c r="BO70" s="23">
        <f>IF(RESULTADO!$F$148&lt;=BO$62,(E$25),0)</f>
        <v>0</v>
      </c>
      <c r="BP70" s="23">
        <f>IF(RESULTADO!$F$148&lt;=BP$62,(F$25),0)</f>
        <v>0</v>
      </c>
      <c r="BQ70" s="23">
        <f>IF(RESULTADO!$F$148&lt;=BQ$62,(G$25),0)</f>
        <v>0</v>
      </c>
      <c r="BR70" s="23">
        <f>IF(RESULTADO!$F$148&lt;=BR$62,(H$25),0)</f>
        <v>0</v>
      </c>
      <c r="BS70" s="23">
        <f>IF(RESULTADO!$F$148&lt;=BS$62,(I$25),0)</f>
        <v>0</v>
      </c>
      <c r="BT70" s="23">
        <f>IF(RESULTADO!$F$148&lt;=BT$62,(J$25),0)</f>
        <v>0</v>
      </c>
      <c r="BU70" s="23">
        <f>IF(RESULTADO!$F$148&lt;=BU$62,(K$25),0)</f>
        <v>0</v>
      </c>
      <c r="BV70" s="23">
        <f>IF(RESULTADO!$F$148&lt;=BV$62,(L$25),0)</f>
        <v>0</v>
      </c>
      <c r="BW70" s="23">
        <f>IF(RESULTADO!$F$148&lt;=BW$62,(M$25),0)</f>
        <v>0</v>
      </c>
      <c r="BX70" s="404">
        <f>IF(RESULTADO!$F$148&lt;=BX$62,(N$25),0)</f>
        <v>0</v>
      </c>
      <c r="BY70" s="405">
        <f>IF(RESULTADO!$F$148&lt;=BY$62,(O$25),0)</f>
        <v>0</v>
      </c>
      <c r="BZ70" s="23">
        <f>IF(RESULTADO!$F$148&lt;=BZ$62,(P$25),0)</f>
        <v>0</v>
      </c>
      <c r="CA70" s="23">
        <f>IF(RESULTADO!$F$148&lt;=CA$62,(Q$25),0)</f>
        <v>0</v>
      </c>
      <c r="CB70" s="23">
        <f>IF(RESULTADO!$F$148&lt;=CB$62,(R$25),0)</f>
        <v>0</v>
      </c>
      <c r="CC70" s="23">
        <f>IF(RESULTADO!$F$148&lt;=CC$62,(S$25),0)</f>
        <v>0</v>
      </c>
      <c r="CD70" s="23">
        <f>IF(RESULTADO!$F$148&lt;=CD$62,(T$25),0)</f>
        <v>0</v>
      </c>
      <c r="CE70" s="23">
        <f>IF(RESULTADO!$F$148&lt;=CE$62,(U$25),0)</f>
        <v>0</v>
      </c>
      <c r="CF70" s="23">
        <f>IF(RESULTADO!$F$148&lt;=CF$62,(V$25),0)</f>
        <v>0</v>
      </c>
      <c r="CG70" s="23">
        <f>IF(RESULTADO!$F$148&lt;=CG$62,(W$25),0)</f>
        <v>0</v>
      </c>
      <c r="CH70" s="23">
        <f>IF(RESULTADO!$F$148&lt;=CH$62,(X$25),0)</f>
        <v>0</v>
      </c>
      <c r="CI70" s="23">
        <f>IF(RESULTADO!$F$148&lt;=CI$62,(Y$25),0)</f>
        <v>0</v>
      </c>
      <c r="CJ70" s="404">
        <f>IF(RESULTADO!$F$148&lt;=CJ$62,(Z$25),0)</f>
        <v>0</v>
      </c>
      <c r="CK70" s="405">
        <f>IF(RESULTADO!$F$148&lt;=CK$62,(AA$25),0)</f>
        <v>0</v>
      </c>
      <c r="CL70" s="23">
        <f>IF(RESULTADO!$F$148&lt;=CL$62,(AB$25),0)</f>
        <v>0</v>
      </c>
      <c r="CM70" s="23">
        <f>IF(RESULTADO!$F$148&lt;=CM$62,(AC$25),0)</f>
        <v>0</v>
      </c>
      <c r="CN70" s="23">
        <f>IF(RESULTADO!$F$148&lt;=CN$62,(AD$25),0)</f>
        <v>0</v>
      </c>
      <c r="CO70" s="23">
        <f>IF(RESULTADO!$F$148&lt;=CO$62,(AE$25),0)</f>
        <v>0</v>
      </c>
      <c r="CP70" s="23">
        <f>IF(RESULTADO!$F$148&lt;=CP$62,(AF$25),0)</f>
        <v>0</v>
      </c>
      <c r="CQ70" s="23">
        <f>IF(RESULTADO!$F$148&lt;=CQ$62,(AG$25),0)</f>
        <v>0</v>
      </c>
      <c r="CR70" s="23">
        <f>IF(RESULTADO!$F$148&lt;=CR$62,(AH$25),0)</f>
        <v>0</v>
      </c>
      <c r="CS70" s="23">
        <f>IF(RESULTADO!$F$148&lt;=CS$62,(AI$25),0)</f>
        <v>0</v>
      </c>
      <c r="CT70" s="23">
        <f>IF(RESULTADO!$F$148&lt;=CT$62,(AJ$25),0)</f>
        <v>0</v>
      </c>
      <c r="CU70" s="23">
        <f>IF(RESULTADO!$F$148&lt;=CU$62,(AK$25),0)</f>
        <v>0</v>
      </c>
      <c r="CV70" s="404">
        <f>IF(RESULTADO!$F$148&lt;=CV$62,(AL$25),0)</f>
        <v>0</v>
      </c>
      <c r="CW70" s="405">
        <f>IF(RESULTADO!$F$148&lt;=CW$62,(AM$25),0)</f>
        <v>0</v>
      </c>
      <c r="CX70" s="23">
        <f>IF(RESULTADO!$F$148&lt;=CX$62,(AN$25),0)</f>
        <v>0</v>
      </c>
      <c r="CY70" s="23">
        <f>IF(RESULTADO!$F$148&lt;=CY$62,(AO$25),0)</f>
        <v>0</v>
      </c>
      <c r="CZ70" s="23">
        <f>IF(RESULTADO!$F$148&lt;=CZ$62,(AP$25),0)</f>
        <v>0</v>
      </c>
      <c r="DA70" s="23">
        <f>IF(RESULTADO!$F$148&lt;=DA$62,(AQ$25),0)</f>
        <v>0</v>
      </c>
      <c r="DB70" s="23">
        <f>IF(RESULTADO!$F$148&lt;=DB$62,(AR$25),0)</f>
        <v>0</v>
      </c>
      <c r="DC70" s="23">
        <f>IF(RESULTADO!$F$148&lt;=DC$62,(AS$25),0)</f>
        <v>0</v>
      </c>
      <c r="DD70" s="23">
        <f>IF(RESULTADO!$F$148&lt;=DD$62,(AT$25),0)</f>
        <v>0</v>
      </c>
      <c r="DE70" s="23">
        <f>IF(RESULTADO!$F$148&lt;=DE$62,(AU$25),0)</f>
        <v>0</v>
      </c>
      <c r="DF70" s="23">
        <f>IF(RESULTADO!$F$148&lt;=DF$62,(AV$25),0)</f>
        <v>0</v>
      </c>
      <c r="DG70" s="23">
        <f>IF(RESULTADO!$F$148&lt;=DG$62,(AW$25),0)</f>
        <v>0</v>
      </c>
      <c r="DH70" s="404">
        <f>IF(RESULTADO!$F$148&lt;=DH$62,(AX$25),0)</f>
        <v>0</v>
      </c>
      <c r="DI70" s="405">
        <f>IF(RESULTADO!$F$148&lt;=DI$62,(AY$25),0)</f>
        <v>0</v>
      </c>
      <c r="DJ70" s="23">
        <f>IF(RESULTADO!$F$148&lt;=DJ$62,(AZ$25),0)</f>
        <v>0</v>
      </c>
      <c r="DK70" s="23">
        <f>IF(RESULTADO!$F$148&lt;=DK$62,(BA$25),0)</f>
        <v>0</v>
      </c>
      <c r="DL70" s="23">
        <f>IF(RESULTADO!$F$148&lt;=DL$62,(BB$25),0)</f>
        <v>0</v>
      </c>
      <c r="DM70" s="23">
        <f>IF(RESULTADO!$F$148&lt;=DM$62,(BC$25),0)</f>
        <v>0</v>
      </c>
      <c r="DN70" s="23">
        <f>IF(RESULTADO!$F$148&lt;=DN$62,(BD$25),0)</f>
        <v>0</v>
      </c>
      <c r="DO70" s="23">
        <f>IF(RESULTADO!$F$148&lt;=DO$62,(BE$25),0)</f>
        <v>0</v>
      </c>
      <c r="DP70" s="23">
        <f>IF(RESULTADO!$F$148&lt;=DP$62,(BF$25),0)</f>
        <v>0</v>
      </c>
      <c r="DQ70" s="23">
        <f>IF(RESULTADO!$F$148&lt;=DQ$62,(BG$25),0)</f>
        <v>0</v>
      </c>
      <c r="DR70" s="23">
        <f>IF(RESULTADO!$F$148&lt;=DR$62,(BH$25),0)</f>
        <v>0</v>
      </c>
      <c r="DS70" s="23">
        <f>IF(RESULTADO!$F$148&lt;=DS$62,(BI$25),0)</f>
        <v>0</v>
      </c>
      <c r="DT70" s="24">
        <f>IF(RESULTADO!$F$148&lt;=DT$62,(BJ$25),0)</f>
        <v>0</v>
      </c>
    </row>
    <row r="71" spans="1:124" x14ac:dyDescent="0.25">
      <c r="A71" s="7"/>
      <c r="B71" s="36" t="s">
        <v>103</v>
      </c>
      <c r="C71" s="20">
        <f>IF(RESULTADO!$F$148&lt;=C$62,(C$26),0)</f>
        <v>0</v>
      </c>
      <c r="D71" s="20">
        <f>IF(RESULTADO!$F$148&lt;=D$62,(D$26),0)</f>
        <v>0</v>
      </c>
      <c r="E71" s="20">
        <f>IF(RESULTADO!$F$148&lt;=E$62,(E$26),0)</f>
        <v>0</v>
      </c>
      <c r="F71" s="20">
        <f>IF(RESULTADO!$F$148&lt;=F$62,(F$26),0)</f>
        <v>0</v>
      </c>
      <c r="G71" s="20">
        <f>IF(RESULTADO!$F$148&lt;=G$62,(G$26),0)</f>
        <v>0</v>
      </c>
      <c r="H71" s="20">
        <f>IF(RESULTADO!$F$148&lt;=H$62,(H$26),0)</f>
        <v>0</v>
      </c>
      <c r="I71" s="20">
        <f>IF(RESULTADO!$F$148&lt;=I$62,(I$26),0)</f>
        <v>0</v>
      </c>
      <c r="J71" s="20">
        <f>IF(RESULTADO!$F$148&lt;=J$62,(J$26),0)</f>
        <v>0</v>
      </c>
      <c r="K71" s="20">
        <f>IF(RESULTADO!$F$148&lt;=K$62,(K$26),0)</f>
        <v>0</v>
      </c>
      <c r="L71" s="20">
        <f>IF(RESULTADO!$F$148&lt;=L$62,(L$26),0)</f>
        <v>0</v>
      </c>
      <c r="M71" s="20">
        <f>IF(RESULTADO!$F$148&lt;=M$62,(M$26),0)</f>
        <v>0</v>
      </c>
      <c r="N71" s="400">
        <f>IF(RESULTADO!$F$148&lt;=N$62,(N$26),0)</f>
        <v>27</v>
      </c>
      <c r="O71" s="401">
        <f>IF(RESULTADO!$F$148&lt;=O$62,(O$26),0)</f>
        <v>30</v>
      </c>
      <c r="P71" s="20">
        <f>IF(RESULTADO!$F$148&lt;=P$62,(P$26),0)</f>
        <v>30</v>
      </c>
      <c r="Q71" s="20">
        <f>IF(RESULTADO!$F$148&lt;=Q$62,(Q$26),0)</f>
        <v>30</v>
      </c>
      <c r="R71" s="20">
        <f>IF(RESULTADO!$F$148&lt;=R$62,(R$26),0)</f>
        <v>30</v>
      </c>
      <c r="S71" s="20">
        <f>IF(RESULTADO!$F$148&lt;=S$62,(S$26),0)</f>
        <v>30</v>
      </c>
      <c r="T71" s="20">
        <f>IF(RESULTADO!$F$148&lt;=T$62,(T$26),0)</f>
        <v>30</v>
      </c>
      <c r="U71" s="20">
        <f>IF(RESULTADO!$F$148&lt;=U$62,(U$26),0)</f>
        <v>30</v>
      </c>
      <c r="V71" s="20">
        <f>IF(RESULTADO!$F$148&lt;=V$62,(V$26),0)</f>
        <v>30</v>
      </c>
      <c r="W71" s="20">
        <f>IF(RESULTADO!$F$148&lt;=W$62,(W$26),0)</f>
        <v>30</v>
      </c>
      <c r="X71" s="20">
        <f>IF(RESULTADO!$F$148&lt;=X$62,(X$26),0)</f>
        <v>30</v>
      </c>
      <c r="Y71" s="20">
        <f>IF(RESULTADO!$F$148&lt;=Y$62,(Y$26),0)</f>
        <v>30</v>
      </c>
      <c r="Z71" s="400">
        <f>IF(RESULTADO!$F$148&lt;=Z$62,(Z$26),0)</f>
        <v>30</v>
      </c>
      <c r="AA71" s="401">
        <f>IF(RESULTADO!$F$148&lt;=AA$62,(AA$26),0)</f>
        <v>32</v>
      </c>
      <c r="AB71" s="20">
        <f>IF(RESULTADO!$F$148&lt;=AB$62,(AB$26),0)</f>
        <v>32</v>
      </c>
      <c r="AC71" s="20">
        <f>IF(RESULTADO!$F$148&lt;=AC$62,(AC$26),0)</f>
        <v>32</v>
      </c>
      <c r="AD71" s="20">
        <f>IF(RESULTADO!$F$148&lt;=AD$62,(AD$26),0)</f>
        <v>32</v>
      </c>
      <c r="AE71" s="20">
        <f>IF(RESULTADO!$F$148&lt;=AE$62,(AE$26),0)</f>
        <v>32</v>
      </c>
      <c r="AF71" s="20">
        <f>IF(RESULTADO!$F$148&lt;=AF$62,(AF$26),0)</f>
        <v>32</v>
      </c>
      <c r="AG71" s="20">
        <f>IF(RESULTADO!$F$148&lt;=AG$62,(AG$26),0)</f>
        <v>32</v>
      </c>
      <c r="AH71" s="20">
        <f>IF(RESULTADO!$F$148&lt;=AH$62,(AH$26),0)</f>
        <v>32</v>
      </c>
      <c r="AI71" s="20">
        <f>IF(RESULTADO!$F$148&lt;=AI$62,(AI$26),0)</f>
        <v>32</v>
      </c>
      <c r="AJ71" s="20">
        <f>IF(RESULTADO!$F$148&lt;=AJ$62,(AJ$26),0)</f>
        <v>32</v>
      </c>
      <c r="AK71" s="20">
        <f>IF(RESULTADO!$F$148&lt;=AK$62,(AK$26),0)</f>
        <v>32</v>
      </c>
      <c r="AL71" s="400">
        <f>IF(RESULTADO!$F$148&lt;=AL$62,(AL$26),0)</f>
        <v>32</v>
      </c>
      <c r="AM71" s="401">
        <f>IF(RESULTADO!$F$148&lt;=AM$62,(AM$26),0)</f>
        <v>37</v>
      </c>
      <c r="AN71" s="20">
        <f>IF(RESULTADO!$F$148&lt;=AN$62,(AN$26),0)</f>
        <v>37</v>
      </c>
      <c r="AO71" s="20">
        <f>IF(RESULTADO!$F$148&lt;=AO$62,(AO$26),0)</f>
        <v>37</v>
      </c>
      <c r="AP71" s="20">
        <f>IF(RESULTADO!$F$148&lt;=AP$62,(AP$26),0)</f>
        <v>37</v>
      </c>
      <c r="AQ71" s="20">
        <f>IF(RESULTADO!$F$148&lt;=AQ$62,(AQ$26),0)</f>
        <v>37</v>
      </c>
      <c r="AR71" s="20">
        <f>IF(RESULTADO!$F$148&lt;=AR$62,(AR$26),0)</f>
        <v>37</v>
      </c>
      <c r="AS71" s="20">
        <f>IF(RESULTADO!$F$148&lt;=AS$62,(AS$26),0)</f>
        <v>37</v>
      </c>
      <c r="AT71" s="20">
        <f>IF(RESULTADO!$F$148&lt;=AT$62,(AT$26),0)</f>
        <v>37</v>
      </c>
      <c r="AU71" s="20">
        <f>IF(RESULTADO!$F$148&lt;=AU$62,(AU$26),0)</f>
        <v>37</v>
      </c>
      <c r="AV71" s="20">
        <f>IF(RESULTADO!$F$148&lt;=AV$62,(AV$26),0)</f>
        <v>37</v>
      </c>
      <c r="AW71" s="20">
        <f>IF(RESULTADO!$F$148&lt;=AW$62,(AW$26),0)</f>
        <v>37</v>
      </c>
      <c r="AX71" s="400">
        <f>IF(RESULTADO!$F$148&lt;=AX$62,(AX$26),0)</f>
        <v>37</v>
      </c>
      <c r="AY71" s="401">
        <f>IF(RESULTADO!$F$148&lt;=AY$62,(AY$26),0)</f>
        <v>35</v>
      </c>
      <c r="AZ71" s="20">
        <f>IF(RESULTADO!$F$148&lt;=AZ$62,(AZ$26),0)</f>
        <v>35</v>
      </c>
      <c r="BA71" s="20">
        <f>IF(RESULTADO!$F$148&lt;=BA$62,(BA$26),0)</f>
        <v>35</v>
      </c>
      <c r="BB71" s="20">
        <f>IF(RESULTADO!$F$148&lt;=BB$62,(BB$26),0)</f>
        <v>35</v>
      </c>
      <c r="BC71" s="20">
        <f>IF(RESULTADO!$F$148&lt;=BC$62,(BC$26),0)</f>
        <v>35</v>
      </c>
      <c r="BD71" s="20">
        <f>IF(RESULTADO!$F$148&lt;=BD$62,(BD$26),0)</f>
        <v>35</v>
      </c>
      <c r="BE71" s="20">
        <f>IF(RESULTADO!$F$148&lt;=BE$62,(BE$26),0)</f>
        <v>35</v>
      </c>
      <c r="BF71" s="20">
        <f>IF(RESULTADO!$F$148&lt;=BF$62,(BF$26),0)</f>
        <v>35</v>
      </c>
      <c r="BG71" s="20">
        <f>IF(RESULTADO!$F$148&lt;=BG$62,(BG$26),0)</f>
        <v>35</v>
      </c>
      <c r="BH71" s="20">
        <f>IF(RESULTADO!$F$148&lt;=BH$62,(BH$26),0)</f>
        <v>35</v>
      </c>
      <c r="BI71" s="20">
        <f>IF(RESULTADO!$F$148&lt;=BI$62,(BI$26),0)</f>
        <v>35</v>
      </c>
      <c r="BJ71" s="21">
        <f>IF(RESULTADO!$F$148&lt;=BJ$62,(BJ$26),0)</f>
        <v>35</v>
      </c>
      <c r="BL71" s="36" t="s">
        <v>103</v>
      </c>
      <c r="BM71" s="67">
        <f>IF(RESULTADO!$F$148&lt;=BM$62,(C$26),0)</f>
        <v>0</v>
      </c>
      <c r="BN71" s="20">
        <f>IF(RESULTADO!$F$148&lt;=BN$62,(D$26),0)</f>
        <v>0</v>
      </c>
      <c r="BO71" s="20">
        <f>IF(RESULTADO!$F$148&lt;=BO$62,(E$26),0)</f>
        <v>0</v>
      </c>
      <c r="BP71" s="20">
        <f>IF(RESULTADO!$F$148&lt;=BP$62,(F$26),0)</f>
        <v>0</v>
      </c>
      <c r="BQ71" s="20">
        <f>IF(RESULTADO!$F$148&lt;=BQ$62,(G$26),0)</f>
        <v>0</v>
      </c>
      <c r="BR71" s="20">
        <f>IF(RESULTADO!$F$148&lt;=BR$62,(H$26),0)</f>
        <v>0</v>
      </c>
      <c r="BS71" s="20">
        <f>IF(RESULTADO!$F$148&lt;=BS$62,(I$26),0)</f>
        <v>0</v>
      </c>
      <c r="BT71" s="20">
        <f>IF(RESULTADO!$F$148&lt;=BT$62,(J$26),0)</f>
        <v>0</v>
      </c>
      <c r="BU71" s="20">
        <f>IF(RESULTADO!$F$148&lt;=BU$62,(K$26),0)</f>
        <v>0</v>
      </c>
      <c r="BV71" s="20">
        <f>IF(RESULTADO!$F$148&lt;=BV$62,(L$26),0)</f>
        <v>0</v>
      </c>
      <c r="BW71" s="20">
        <f>IF(RESULTADO!$F$148&lt;=BW$62,(M$26),0)</f>
        <v>0</v>
      </c>
      <c r="BX71" s="400">
        <f>IF(RESULTADO!$F$148&lt;=BX$62,(N$26),0)</f>
        <v>27</v>
      </c>
      <c r="BY71" s="401">
        <f>IF(RESULTADO!$F$148&lt;=BY$62,(O$26),0)</f>
        <v>30</v>
      </c>
      <c r="BZ71" s="20">
        <f>IF(RESULTADO!$F$148&lt;=BZ$62,(P$26),0)</f>
        <v>30</v>
      </c>
      <c r="CA71" s="20">
        <f>IF(RESULTADO!$F$148&lt;=CA$62,(Q$26),0)</f>
        <v>30</v>
      </c>
      <c r="CB71" s="20">
        <f>IF(RESULTADO!$F$148&lt;=CB$62,(R$26),0)</f>
        <v>30</v>
      </c>
      <c r="CC71" s="20">
        <f>IF(RESULTADO!$F$148&lt;=CC$62,(S$26),0)</f>
        <v>30</v>
      </c>
      <c r="CD71" s="20">
        <f>IF(RESULTADO!$F$148&lt;=CD$62,(T$26),0)</f>
        <v>30</v>
      </c>
      <c r="CE71" s="20">
        <f>IF(RESULTADO!$F$148&lt;=CE$62,(U$26),0)</f>
        <v>30</v>
      </c>
      <c r="CF71" s="20">
        <f>IF(RESULTADO!$F$148&lt;=CF$62,(V$26),0)</f>
        <v>30</v>
      </c>
      <c r="CG71" s="20">
        <f>IF(RESULTADO!$F$148&lt;=CG$62,(W$26),0)</f>
        <v>30</v>
      </c>
      <c r="CH71" s="20">
        <f>IF(RESULTADO!$F$148&lt;=CH$62,(X$26),0)</f>
        <v>30</v>
      </c>
      <c r="CI71" s="20">
        <f>IF(RESULTADO!$F$148&lt;=CI$62,(Y$26),0)</f>
        <v>30</v>
      </c>
      <c r="CJ71" s="400">
        <f>IF(RESULTADO!$F$148&lt;=CJ$62,(Z$26),0)</f>
        <v>30</v>
      </c>
      <c r="CK71" s="401">
        <f>IF(RESULTADO!$F$148&lt;=CK$62,(AA$26),0)</f>
        <v>32</v>
      </c>
      <c r="CL71" s="20">
        <f>IF(RESULTADO!$F$148&lt;=CL$62,(AB$26),0)</f>
        <v>32</v>
      </c>
      <c r="CM71" s="20">
        <f>IF(RESULTADO!$F$148&lt;=CM$62,(AC$26),0)</f>
        <v>32</v>
      </c>
      <c r="CN71" s="20">
        <f>IF(RESULTADO!$F$148&lt;=CN$62,(AD$26),0)</f>
        <v>32</v>
      </c>
      <c r="CO71" s="20">
        <f>IF(RESULTADO!$F$148&lt;=CO$62,(AE$26),0)</f>
        <v>32</v>
      </c>
      <c r="CP71" s="20">
        <f>IF(RESULTADO!$F$148&lt;=CP$62,(AF$26),0)</f>
        <v>32</v>
      </c>
      <c r="CQ71" s="20">
        <f>IF(RESULTADO!$F$148&lt;=CQ$62,(AG$26),0)</f>
        <v>32</v>
      </c>
      <c r="CR71" s="20">
        <f>IF(RESULTADO!$F$148&lt;=CR$62,(AH$26),0)</f>
        <v>32</v>
      </c>
      <c r="CS71" s="20">
        <f>IF(RESULTADO!$F$148&lt;=CS$62,(AI$26),0)</f>
        <v>32</v>
      </c>
      <c r="CT71" s="20">
        <f>IF(RESULTADO!$F$148&lt;=CT$62,(AJ$26),0)</f>
        <v>32</v>
      </c>
      <c r="CU71" s="20">
        <f>IF(RESULTADO!$F$148&lt;=CU$62,(AK$26),0)</f>
        <v>32</v>
      </c>
      <c r="CV71" s="400">
        <f>IF(RESULTADO!$F$148&lt;=CV$62,(AL$26),0)</f>
        <v>32</v>
      </c>
      <c r="CW71" s="401">
        <f>IF(RESULTADO!$F$148&lt;=CW$62,(AM$26),0)</f>
        <v>37</v>
      </c>
      <c r="CX71" s="20">
        <f>IF(RESULTADO!$F$148&lt;=CX$62,(AN$26),0)</f>
        <v>37</v>
      </c>
      <c r="CY71" s="20">
        <f>IF(RESULTADO!$F$148&lt;=CY$62,(AO$26),0)</f>
        <v>37</v>
      </c>
      <c r="CZ71" s="20">
        <f>IF(RESULTADO!$F$148&lt;=CZ$62,(AP$26),0)</f>
        <v>37</v>
      </c>
      <c r="DA71" s="20">
        <f>IF(RESULTADO!$F$148&lt;=DA$62,(AQ$26),0)</f>
        <v>37</v>
      </c>
      <c r="DB71" s="20">
        <f>IF(RESULTADO!$F$148&lt;=DB$62,(AR$26),0)</f>
        <v>37</v>
      </c>
      <c r="DC71" s="20">
        <f>IF(RESULTADO!$F$148&lt;=DC$62,(AS$26),0)</f>
        <v>37</v>
      </c>
      <c r="DD71" s="20">
        <f>IF(RESULTADO!$F$148&lt;=DD$62,(AT$26),0)</f>
        <v>37</v>
      </c>
      <c r="DE71" s="20">
        <f>IF(RESULTADO!$F$148&lt;=DE$62,(AU$26),0)</f>
        <v>37</v>
      </c>
      <c r="DF71" s="20">
        <f>IF(RESULTADO!$F$148&lt;=DF$62,(AV$26),0)</f>
        <v>37</v>
      </c>
      <c r="DG71" s="20">
        <f>IF(RESULTADO!$F$148&lt;=DG$62,(AW$26),0)</f>
        <v>37</v>
      </c>
      <c r="DH71" s="400">
        <f>IF(RESULTADO!$F$148&lt;=DH$62,(AX$26),0)</f>
        <v>37</v>
      </c>
      <c r="DI71" s="401">
        <f>IF(RESULTADO!$F$148&lt;=DI$62,(AY$26),0)</f>
        <v>35</v>
      </c>
      <c r="DJ71" s="20">
        <f>IF(RESULTADO!$F$148&lt;=DJ$62,(AZ$26),0)</f>
        <v>35</v>
      </c>
      <c r="DK71" s="20">
        <f>IF(RESULTADO!$F$148&lt;=DK$62,(BA$26),0)</f>
        <v>35</v>
      </c>
      <c r="DL71" s="20">
        <f>IF(RESULTADO!$F$148&lt;=DL$62,(BB$26),0)</f>
        <v>35</v>
      </c>
      <c r="DM71" s="20">
        <f>IF(RESULTADO!$F$148&lt;=DM$62,(BC$26),0)</f>
        <v>35</v>
      </c>
      <c r="DN71" s="20">
        <f>IF(RESULTADO!$F$148&lt;=DN$62,(BD$26),0)</f>
        <v>35</v>
      </c>
      <c r="DO71" s="20">
        <f>IF(RESULTADO!$F$148&lt;=DO$62,(BE$26),0)</f>
        <v>35</v>
      </c>
      <c r="DP71" s="20">
        <f>IF(RESULTADO!$F$148&lt;=DP$62,(BF$26),0)</f>
        <v>35</v>
      </c>
      <c r="DQ71" s="20">
        <f>IF(RESULTADO!$F$148&lt;=DQ$62,(BG$26),0)</f>
        <v>35</v>
      </c>
      <c r="DR71" s="20">
        <f>IF(RESULTADO!$F$148&lt;=DR$62,(BH$26),0)</f>
        <v>35</v>
      </c>
      <c r="DS71" s="20">
        <f>IF(RESULTADO!$F$148&lt;=DS$62,(BI$26),0)</f>
        <v>35</v>
      </c>
      <c r="DT71" s="21">
        <f>IF(RESULTADO!$F$148&lt;=DT$62,(BJ$26),0)</f>
        <v>35</v>
      </c>
    </row>
    <row r="72" spans="1:124" x14ac:dyDescent="0.25">
      <c r="A72" s="7"/>
      <c r="B72" s="37" t="s">
        <v>104</v>
      </c>
      <c r="C72" s="18">
        <f>IF(RESULTADO!$F$148&lt;=C$62,(C$26),0)</f>
        <v>0</v>
      </c>
      <c r="D72" s="18">
        <f>IF(RESULTADO!$F$148&lt;=D$62,(D$26),0)</f>
        <v>0</v>
      </c>
      <c r="E72" s="18">
        <f>IF(RESULTADO!$F$148&lt;=E$62,(E$26),0)</f>
        <v>0</v>
      </c>
      <c r="F72" s="18">
        <f>IF(RESULTADO!$F$148&lt;=F$62,(F$26),0)</f>
        <v>0</v>
      </c>
      <c r="G72" s="18">
        <f>IF(RESULTADO!$F$148&lt;=G$62,(G$26),0)</f>
        <v>0</v>
      </c>
      <c r="H72" s="18">
        <f>IF(RESULTADO!$F$148&lt;=H$62,(H$26),0)</f>
        <v>0</v>
      </c>
      <c r="I72" s="18">
        <f>IF(RESULTADO!$F$148&lt;=I$62,(I$26),0)</f>
        <v>0</v>
      </c>
      <c r="J72" s="18">
        <f>IF(RESULTADO!$F$148&lt;=J$62,(J$26),0)</f>
        <v>0</v>
      </c>
      <c r="K72" s="18">
        <f>IF(RESULTADO!$F$148&lt;=K$62,(K$26),0)</f>
        <v>0</v>
      </c>
      <c r="L72" s="18">
        <f>IF(RESULTADO!$F$148&lt;=L$62,(L$26),0)</f>
        <v>0</v>
      </c>
      <c r="M72" s="18">
        <f>IF(RESULTADO!$F$148&lt;=M$62,(M$26),0)</f>
        <v>0</v>
      </c>
      <c r="N72" s="402">
        <f>IF(RESULTADO!$F$148&lt;=N$62,(N$26),0)</f>
        <v>27</v>
      </c>
      <c r="O72" s="403">
        <f>IF(RESULTADO!$F$148&lt;=O$62,(O$26),0)</f>
        <v>30</v>
      </c>
      <c r="P72" s="18">
        <f>IF(RESULTADO!$F$148&lt;=P$62,(P$26),0)</f>
        <v>30</v>
      </c>
      <c r="Q72" s="18">
        <f>IF(RESULTADO!$F$148&lt;=Q$62,(Q$26),0)</f>
        <v>30</v>
      </c>
      <c r="R72" s="18">
        <f>IF(RESULTADO!$F$148&lt;=R$62,(R$26),0)</f>
        <v>30</v>
      </c>
      <c r="S72" s="18">
        <f>IF(RESULTADO!$F$148&lt;=S$62,(S$26),0)</f>
        <v>30</v>
      </c>
      <c r="T72" s="18">
        <f>IF(RESULTADO!$F$148&lt;=T$62,(T$26),0)</f>
        <v>30</v>
      </c>
      <c r="U72" s="18">
        <f>IF(RESULTADO!$F$148&lt;=U$62,(U$26),0)</f>
        <v>30</v>
      </c>
      <c r="V72" s="18">
        <f>IF(RESULTADO!$F$148&lt;=V$62,(V$26),0)</f>
        <v>30</v>
      </c>
      <c r="W72" s="18">
        <f>IF(RESULTADO!$F$148&lt;=W$62,(W$26),0)</f>
        <v>30</v>
      </c>
      <c r="X72" s="18">
        <f>IF(RESULTADO!$F$148&lt;=X$62,(X$26),0)</f>
        <v>30</v>
      </c>
      <c r="Y72" s="18">
        <f>IF(RESULTADO!$F$148&lt;=Y$62,(Y$26),0)</f>
        <v>30</v>
      </c>
      <c r="Z72" s="402">
        <f>IF(RESULTADO!$F$148&lt;=Z$62,(Z$26),0)</f>
        <v>30</v>
      </c>
      <c r="AA72" s="403">
        <f>IF(RESULTADO!$F$148&lt;=AA$62,(AA$26),0)</f>
        <v>32</v>
      </c>
      <c r="AB72" s="18">
        <f>IF(RESULTADO!$F$148&lt;=AB$62,(AB$26),0)</f>
        <v>32</v>
      </c>
      <c r="AC72" s="18">
        <f>IF(RESULTADO!$F$148&lt;=AC$62,(AC$26),0)</f>
        <v>32</v>
      </c>
      <c r="AD72" s="18">
        <f>IF(RESULTADO!$F$148&lt;=AD$62,(AD$26),0)</f>
        <v>32</v>
      </c>
      <c r="AE72" s="18">
        <f>IF(RESULTADO!$F$148&lt;=AE$62,(AE$26),0)</f>
        <v>32</v>
      </c>
      <c r="AF72" s="18">
        <f>IF(RESULTADO!$F$148&lt;=AF$62,(AF$26),0)</f>
        <v>32</v>
      </c>
      <c r="AG72" s="18">
        <f>IF(RESULTADO!$F$148&lt;=AG$62,(AG$26),0)</f>
        <v>32</v>
      </c>
      <c r="AH72" s="18">
        <f>IF(RESULTADO!$F$148&lt;=AH$62,(AH$26),0)</f>
        <v>32</v>
      </c>
      <c r="AI72" s="18">
        <f>IF(RESULTADO!$F$148&lt;=AI$62,(AI$26),0)</f>
        <v>32</v>
      </c>
      <c r="AJ72" s="18">
        <f>IF(RESULTADO!$F$148&lt;=AJ$62,(AJ$26),0)</f>
        <v>32</v>
      </c>
      <c r="AK72" s="18">
        <f>IF(RESULTADO!$F$148&lt;=AK$62,(AK$26),0)</f>
        <v>32</v>
      </c>
      <c r="AL72" s="402">
        <f>IF(RESULTADO!$F$148&lt;=AL$62,(AL$26),0)</f>
        <v>32</v>
      </c>
      <c r="AM72" s="403">
        <f>IF(RESULTADO!$F$148&lt;=AM$62,(AM$26),0)</f>
        <v>37</v>
      </c>
      <c r="AN72" s="18">
        <f>IF(RESULTADO!$F$148&lt;=AN$62,(AN$26),0)</f>
        <v>37</v>
      </c>
      <c r="AO72" s="18">
        <f>IF(RESULTADO!$F$148&lt;=AO$62,(AO$26),0)</f>
        <v>37</v>
      </c>
      <c r="AP72" s="18">
        <f>IF(RESULTADO!$F$148&lt;=AP$62,(AP$26),0)</f>
        <v>37</v>
      </c>
      <c r="AQ72" s="18">
        <f>IF(RESULTADO!$F$148&lt;=AQ$62,(AQ$26),0)</f>
        <v>37</v>
      </c>
      <c r="AR72" s="18">
        <f>IF(RESULTADO!$F$148&lt;=AR$62,(AR$26),0)</f>
        <v>37</v>
      </c>
      <c r="AS72" s="18">
        <f>IF(RESULTADO!$F$148&lt;=AS$62,(AS$26),0)</f>
        <v>37</v>
      </c>
      <c r="AT72" s="18">
        <f>IF(RESULTADO!$F$148&lt;=AT$62,(AT$26),0)</f>
        <v>37</v>
      </c>
      <c r="AU72" s="18">
        <f>IF(RESULTADO!$F$148&lt;=AU$62,(AU$26),0)</f>
        <v>37</v>
      </c>
      <c r="AV72" s="18">
        <f>IF(RESULTADO!$F$148&lt;=AV$62,(AV$26),0)</f>
        <v>37</v>
      </c>
      <c r="AW72" s="18">
        <f>IF(RESULTADO!$F$148&lt;=AW$62,(AW$26),0)</f>
        <v>37</v>
      </c>
      <c r="AX72" s="402">
        <f>IF(RESULTADO!$F$148&lt;=AX$62,(AX$26),0)</f>
        <v>37</v>
      </c>
      <c r="AY72" s="403">
        <f>IF(RESULTADO!$F$148&lt;=AY$62,(AY$26),0)</f>
        <v>35</v>
      </c>
      <c r="AZ72" s="18">
        <f>IF(RESULTADO!$F$148&lt;=AZ$62,(AZ$26),0)</f>
        <v>35</v>
      </c>
      <c r="BA72" s="18">
        <f>IF(RESULTADO!$F$148&lt;=BA$62,(BA$26),0)</f>
        <v>35</v>
      </c>
      <c r="BB72" s="18">
        <f>IF(RESULTADO!$F$148&lt;=BB$62,(BB$26),0)</f>
        <v>35</v>
      </c>
      <c r="BC72" s="18">
        <f>IF(RESULTADO!$F$148&lt;=BC$62,(BC$26),0)</f>
        <v>35</v>
      </c>
      <c r="BD72" s="18">
        <f>IF(RESULTADO!$F$148&lt;=BD$62,(BD$26),0)</f>
        <v>35</v>
      </c>
      <c r="BE72" s="18">
        <f>IF(RESULTADO!$F$148&lt;=BE$62,(BE$26),0)</f>
        <v>35</v>
      </c>
      <c r="BF72" s="18">
        <f>IF(RESULTADO!$F$148&lt;=BF$62,(BF$26),0)</f>
        <v>35</v>
      </c>
      <c r="BG72" s="18">
        <f>IF(RESULTADO!$F$148&lt;=BG$62,(BG$26),0)</f>
        <v>35</v>
      </c>
      <c r="BH72" s="18">
        <f>IF(RESULTADO!$F$148&lt;=BH$62,(BH$26),0)</f>
        <v>35</v>
      </c>
      <c r="BI72" s="18">
        <f>IF(RESULTADO!$F$148&lt;=BI$62,(BI$26),0)</f>
        <v>35</v>
      </c>
      <c r="BJ72" s="19">
        <f>IF(RESULTADO!$F$148&lt;=BJ$62,(BJ$26),0)</f>
        <v>35</v>
      </c>
      <c r="BL72" s="37" t="s">
        <v>104</v>
      </c>
      <c r="BM72" s="18">
        <f>IF(RESULTADO!$F$148&lt;=BM$62,(C$26),0)</f>
        <v>0</v>
      </c>
      <c r="BN72" s="18">
        <f>IF(RESULTADO!$F$148&lt;=BN$62,(D$26),0)</f>
        <v>0</v>
      </c>
      <c r="BO72" s="18">
        <f>IF(RESULTADO!$F$148&lt;=BO$62,(E$26),0)</f>
        <v>0</v>
      </c>
      <c r="BP72" s="18">
        <f>IF(RESULTADO!$F$148&lt;=BP$62,(F$26),0)</f>
        <v>0</v>
      </c>
      <c r="BQ72" s="18">
        <f>IF(RESULTADO!$F$148&lt;=BQ$62,(G$26),0)</f>
        <v>0</v>
      </c>
      <c r="BR72" s="18">
        <f>IF(RESULTADO!$F$148&lt;=BR$62,(H$26),0)</f>
        <v>0</v>
      </c>
      <c r="BS72" s="18">
        <f>IF(RESULTADO!$F$148&lt;=BS$62,(I$26),0)</f>
        <v>0</v>
      </c>
      <c r="BT72" s="18">
        <f>IF(RESULTADO!$F$148&lt;=BT$62,(J$26),0)</f>
        <v>0</v>
      </c>
      <c r="BU72" s="18">
        <f>IF(RESULTADO!$F$148&lt;=BU$62,(K$26),0)</f>
        <v>0</v>
      </c>
      <c r="BV72" s="18">
        <f>IF(RESULTADO!$F$148&lt;=BV$62,(L$26),0)</f>
        <v>0</v>
      </c>
      <c r="BW72" s="18">
        <f>IF(RESULTADO!$F$148&lt;=BW$62,(M$26),0)</f>
        <v>0</v>
      </c>
      <c r="BX72" s="402">
        <f>IF(RESULTADO!$F$148&lt;=BX$62,(N$26),0)</f>
        <v>27</v>
      </c>
      <c r="BY72" s="403">
        <f>IF(RESULTADO!$F$148&lt;=BY$62,(O$26),0)</f>
        <v>30</v>
      </c>
      <c r="BZ72" s="18">
        <f>IF(RESULTADO!$F$148&lt;=BZ$62,(P$26),0)</f>
        <v>30</v>
      </c>
      <c r="CA72" s="18">
        <f>IF(RESULTADO!$F$148&lt;=CA$62,(Q$26),0)</f>
        <v>30</v>
      </c>
      <c r="CB72" s="18">
        <f>IF(RESULTADO!$F$148&lt;=CB$62,(R$26),0)</f>
        <v>30</v>
      </c>
      <c r="CC72" s="18">
        <f>IF(RESULTADO!$F$148&lt;=CC$62,(S$26),0)</f>
        <v>30</v>
      </c>
      <c r="CD72" s="18">
        <f>IF(RESULTADO!$F$148&lt;=CD$62,(T$26),0)</f>
        <v>30</v>
      </c>
      <c r="CE72" s="18">
        <f>IF(RESULTADO!$F$148&lt;=CE$62,(U$26),0)</f>
        <v>30</v>
      </c>
      <c r="CF72" s="18">
        <f>IF(RESULTADO!$F$148&lt;=CF$62,(V$26),0)</f>
        <v>30</v>
      </c>
      <c r="CG72" s="18">
        <f>IF(RESULTADO!$F$148&lt;=CG$62,(W$26),0)</f>
        <v>30</v>
      </c>
      <c r="CH72" s="18">
        <f>IF(RESULTADO!$F$148&lt;=CH$62,(X$26),0)</f>
        <v>30</v>
      </c>
      <c r="CI72" s="18">
        <f>IF(RESULTADO!$F$148&lt;=CI$62,(Y$26),0)</f>
        <v>30</v>
      </c>
      <c r="CJ72" s="402">
        <f>IF(RESULTADO!$F$148&lt;=CJ$62,(Z$26),0)</f>
        <v>30</v>
      </c>
      <c r="CK72" s="403">
        <f>IF(RESULTADO!$F$148&lt;=CK$62,(AA$26),0)</f>
        <v>32</v>
      </c>
      <c r="CL72" s="18">
        <f>IF(RESULTADO!$F$148&lt;=CL$62,(AB$26),0)</f>
        <v>32</v>
      </c>
      <c r="CM72" s="18">
        <f>IF(RESULTADO!$F$148&lt;=CM$62,(AC$26),0)</f>
        <v>32</v>
      </c>
      <c r="CN72" s="18">
        <f>IF(RESULTADO!$F$148&lt;=CN$62,(AD$26),0)</f>
        <v>32</v>
      </c>
      <c r="CO72" s="18">
        <f>IF(RESULTADO!$F$148&lt;=CO$62,(AE$26),0)</f>
        <v>32</v>
      </c>
      <c r="CP72" s="18">
        <f>IF(RESULTADO!$F$148&lt;=CP$62,(AF$26),0)</f>
        <v>32</v>
      </c>
      <c r="CQ72" s="18">
        <f>IF(RESULTADO!$F$148&lt;=CQ$62,(AG$26),0)</f>
        <v>32</v>
      </c>
      <c r="CR72" s="18">
        <f>IF(RESULTADO!$F$148&lt;=CR$62,(AH$26),0)</f>
        <v>32</v>
      </c>
      <c r="CS72" s="18">
        <f>IF(RESULTADO!$F$148&lt;=CS$62,(AI$26),0)</f>
        <v>32</v>
      </c>
      <c r="CT72" s="18">
        <f>IF(RESULTADO!$F$148&lt;=CT$62,(AJ$26),0)</f>
        <v>32</v>
      </c>
      <c r="CU72" s="18">
        <f>IF(RESULTADO!$F$148&lt;=CU$62,(AK$26),0)</f>
        <v>32</v>
      </c>
      <c r="CV72" s="402">
        <f>IF(RESULTADO!$F$148&lt;=CV$62,(AL$26),0)</f>
        <v>32</v>
      </c>
      <c r="CW72" s="403">
        <f>IF(RESULTADO!$F$148&lt;=CW$62,(AM$26),0)</f>
        <v>37</v>
      </c>
      <c r="CX72" s="18">
        <f>IF(RESULTADO!$F$148&lt;=CX$62,(AN$26),0)</f>
        <v>37</v>
      </c>
      <c r="CY72" s="18">
        <f>IF(RESULTADO!$F$148&lt;=CY$62,(AO$26),0)</f>
        <v>37</v>
      </c>
      <c r="CZ72" s="18">
        <f>IF(RESULTADO!$F$148&lt;=CZ$62,(AP$26),0)</f>
        <v>37</v>
      </c>
      <c r="DA72" s="18">
        <f>IF(RESULTADO!$F$148&lt;=DA$62,(AQ$26),0)</f>
        <v>37</v>
      </c>
      <c r="DB72" s="18">
        <f>IF(RESULTADO!$F$148&lt;=DB$62,(AR$26),0)</f>
        <v>37</v>
      </c>
      <c r="DC72" s="18">
        <f>IF(RESULTADO!$F$148&lt;=DC$62,(AS$26),0)</f>
        <v>37</v>
      </c>
      <c r="DD72" s="18">
        <f>IF(RESULTADO!$F$148&lt;=DD$62,(AT$26),0)</f>
        <v>37</v>
      </c>
      <c r="DE72" s="18">
        <f>IF(RESULTADO!$F$148&lt;=DE$62,(AU$26),0)</f>
        <v>37</v>
      </c>
      <c r="DF72" s="18">
        <f>IF(RESULTADO!$F$148&lt;=DF$62,(AV$26),0)</f>
        <v>37</v>
      </c>
      <c r="DG72" s="18">
        <f>IF(RESULTADO!$F$148&lt;=DG$62,(AW$26),0)</f>
        <v>37</v>
      </c>
      <c r="DH72" s="402">
        <f>IF(RESULTADO!$F$148&lt;=DH$62,(AX$26),0)</f>
        <v>37</v>
      </c>
      <c r="DI72" s="403">
        <f>IF(RESULTADO!$F$148&lt;=DI$62,(AY$26),0)</f>
        <v>35</v>
      </c>
      <c r="DJ72" s="18">
        <f>IF(RESULTADO!$F$148&lt;=DJ$62,(AZ$26),0)</f>
        <v>35</v>
      </c>
      <c r="DK72" s="18">
        <f>IF(RESULTADO!$F$148&lt;=DK$62,(BA$26),0)</f>
        <v>35</v>
      </c>
      <c r="DL72" s="18">
        <f>IF(RESULTADO!$F$148&lt;=DL$62,(BB$26),0)</f>
        <v>35</v>
      </c>
      <c r="DM72" s="18">
        <f>IF(RESULTADO!$F$148&lt;=DM$62,(BC$26),0)</f>
        <v>35</v>
      </c>
      <c r="DN72" s="18">
        <f>IF(RESULTADO!$F$148&lt;=DN$62,(BD$26),0)</f>
        <v>35</v>
      </c>
      <c r="DO72" s="18">
        <f>IF(RESULTADO!$F$148&lt;=DO$62,(BE$26),0)</f>
        <v>35</v>
      </c>
      <c r="DP72" s="18">
        <f>IF(RESULTADO!$F$148&lt;=DP$62,(BF$26),0)</f>
        <v>35</v>
      </c>
      <c r="DQ72" s="18">
        <f>IF(RESULTADO!$F$148&lt;=DQ$62,(BG$26),0)</f>
        <v>35</v>
      </c>
      <c r="DR72" s="18">
        <f>IF(RESULTADO!$F$148&lt;=DR$62,(BH$26),0)</f>
        <v>35</v>
      </c>
      <c r="DS72" s="18">
        <f>IF(RESULTADO!$F$148&lt;=DS$62,(BI$26),0)</f>
        <v>35</v>
      </c>
      <c r="DT72" s="19">
        <f>IF(RESULTADO!$F$148&lt;=DT$62,(BJ$26),0)</f>
        <v>35</v>
      </c>
    </row>
    <row r="73" spans="1:124" x14ac:dyDescent="0.25">
      <c r="A73" s="7"/>
      <c r="B73" s="37" t="s">
        <v>105</v>
      </c>
      <c r="C73" s="18">
        <f>IF(RESULTADO!$F$148&lt;=C$62,(C$26),0)</f>
        <v>0</v>
      </c>
      <c r="D73" s="18">
        <f>IF(RESULTADO!$F$148&lt;=D$62,(D$26),0)</f>
        <v>0</v>
      </c>
      <c r="E73" s="18">
        <f>IF(RESULTADO!$F$148&lt;=E$62,(E$26),0)</f>
        <v>0</v>
      </c>
      <c r="F73" s="18">
        <f>IF(RESULTADO!$F$148&lt;=F$62,(F$26),0)</f>
        <v>0</v>
      </c>
      <c r="G73" s="18">
        <f>IF(RESULTADO!$F$148&lt;=G$62,(G$26),0)</f>
        <v>0</v>
      </c>
      <c r="H73" s="18">
        <f>IF(RESULTADO!$F$148&lt;=H$62,(H$26),0)</f>
        <v>0</v>
      </c>
      <c r="I73" s="18">
        <f>IF(RESULTADO!$F$148&lt;=I$62,(I$26),0)</f>
        <v>0</v>
      </c>
      <c r="J73" s="18">
        <f>IF(RESULTADO!$F$148&lt;=J$62,(J$26),0)</f>
        <v>0</v>
      </c>
      <c r="K73" s="18">
        <f>IF(RESULTADO!$F$148&lt;=K$62,(K$26),0)</f>
        <v>0</v>
      </c>
      <c r="L73" s="18">
        <f>IF(RESULTADO!$F$148&lt;=L$62,(L$26),0)</f>
        <v>0</v>
      </c>
      <c r="M73" s="18">
        <f>IF(RESULTADO!$F$148&lt;=M$62,(M$26),0)</f>
        <v>0</v>
      </c>
      <c r="N73" s="402">
        <f>IF(RESULTADO!$F$148&lt;=N$62,(N$26),0)</f>
        <v>27</v>
      </c>
      <c r="O73" s="403">
        <f>IF(RESULTADO!$F$148&lt;=O$62,(O$26),0)</f>
        <v>30</v>
      </c>
      <c r="P73" s="18">
        <f>IF(RESULTADO!$F$148&lt;=P$62,(P$26),0)</f>
        <v>30</v>
      </c>
      <c r="Q73" s="18">
        <f>IF(RESULTADO!$F$148&lt;=Q$62,(Q$26),0)</f>
        <v>30</v>
      </c>
      <c r="R73" s="18">
        <f>IF(RESULTADO!$F$148&lt;=R$62,(R$26),0)</f>
        <v>30</v>
      </c>
      <c r="S73" s="18">
        <f>IF(RESULTADO!$F$148&lt;=S$62,(S$26),0)</f>
        <v>30</v>
      </c>
      <c r="T73" s="18">
        <f>IF(RESULTADO!$F$148&lt;=T$62,(T$26),0)</f>
        <v>30</v>
      </c>
      <c r="U73" s="18">
        <f>IF(RESULTADO!$F$148&lt;=U$62,(U$26),0)</f>
        <v>30</v>
      </c>
      <c r="V73" s="18">
        <f>IF(RESULTADO!$F$148&lt;=V$62,(V$26),0)</f>
        <v>30</v>
      </c>
      <c r="W73" s="18">
        <f>IF(RESULTADO!$F$148&lt;=W$62,(W$26),0)</f>
        <v>30</v>
      </c>
      <c r="X73" s="18">
        <f>IF(RESULTADO!$F$148&lt;=X$62,(X$26),0)</f>
        <v>30</v>
      </c>
      <c r="Y73" s="18">
        <f>IF(RESULTADO!$F$148&lt;=Y$62,(Y$26),0)</f>
        <v>30</v>
      </c>
      <c r="Z73" s="402">
        <f>IF(RESULTADO!$F$148&lt;=Z$62,(Z$26),0)</f>
        <v>30</v>
      </c>
      <c r="AA73" s="403">
        <f>IF(RESULTADO!$F$148&lt;=AA$62,(AA$26),0)</f>
        <v>32</v>
      </c>
      <c r="AB73" s="18">
        <f>IF(RESULTADO!$F$148&lt;=AB$62,(AB$26),0)</f>
        <v>32</v>
      </c>
      <c r="AC73" s="18">
        <f>IF(RESULTADO!$F$148&lt;=AC$62,(AC$26),0)</f>
        <v>32</v>
      </c>
      <c r="AD73" s="18">
        <f>IF(RESULTADO!$F$148&lt;=AD$62,(AD$26),0)</f>
        <v>32</v>
      </c>
      <c r="AE73" s="18">
        <f>IF(RESULTADO!$F$148&lt;=AE$62,(AE$26),0)</f>
        <v>32</v>
      </c>
      <c r="AF73" s="18">
        <f>IF(RESULTADO!$F$148&lt;=AF$62,(AF$26),0)</f>
        <v>32</v>
      </c>
      <c r="AG73" s="18">
        <f>IF(RESULTADO!$F$148&lt;=AG$62,(AG$26),0)</f>
        <v>32</v>
      </c>
      <c r="AH73" s="18">
        <f>IF(RESULTADO!$F$148&lt;=AH$62,(AH$26),0)</f>
        <v>32</v>
      </c>
      <c r="AI73" s="18">
        <f>IF(RESULTADO!$F$148&lt;=AI$62,(AI$26),0)</f>
        <v>32</v>
      </c>
      <c r="AJ73" s="18">
        <f>IF(RESULTADO!$F$148&lt;=AJ$62,(AJ$26),0)</f>
        <v>32</v>
      </c>
      <c r="AK73" s="18">
        <f>IF(RESULTADO!$F$148&lt;=AK$62,(AK$26),0)</f>
        <v>32</v>
      </c>
      <c r="AL73" s="402">
        <f>IF(RESULTADO!$F$148&lt;=AL$62,(AL$26),0)</f>
        <v>32</v>
      </c>
      <c r="AM73" s="403">
        <f>IF(RESULTADO!$F$148&lt;=AM$62,(AM$26),0)</f>
        <v>37</v>
      </c>
      <c r="AN73" s="18">
        <f>IF(RESULTADO!$F$148&lt;=AN$62,(AN$26),0)</f>
        <v>37</v>
      </c>
      <c r="AO73" s="18">
        <f>IF(RESULTADO!$F$148&lt;=AO$62,(AO$26),0)</f>
        <v>37</v>
      </c>
      <c r="AP73" s="18">
        <f>IF(RESULTADO!$F$148&lt;=AP$62,(AP$26),0)</f>
        <v>37</v>
      </c>
      <c r="AQ73" s="18">
        <f>IF(RESULTADO!$F$148&lt;=AQ$62,(AQ$26),0)</f>
        <v>37</v>
      </c>
      <c r="AR73" s="18">
        <f>IF(RESULTADO!$F$148&lt;=AR$62,(AR$26),0)</f>
        <v>37</v>
      </c>
      <c r="AS73" s="18">
        <f>IF(RESULTADO!$F$148&lt;=AS$62,(AS$26),0)</f>
        <v>37</v>
      </c>
      <c r="AT73" s="18">
        <f>IF(RESULTADO!$F$148&lt;=AT$62,(AT$26),0)</f>
        <v>37</v>
      </c>
      <c r="AU73" s="18">
        <f>IF(RESULTADO!$F$148&lt;=AU$62,(AU$26),0)</f>
        <v>37</v>
      </c>
      <c r="AV73" s="18">
        <f>IF(RESULTADO!$F$148&lt;=AV$62,(AV$26),0)</f>
        <v>37</v>
      </c>
      <c r="AW73" s="18">
        <f>IF(RESULTADO!$F$148&lt;=AW$62,(AW$26),0)</f>
        <v>37</v>
      </c>
      <c r="AX73" s="402">
        <f>IF(RESULTADO!$F$148&lt;=AX$62,(AX$26),0)</f>
        <v>37</v>
      </c>
      <c r="AY73" s="403">
        <f>IF(RESULTADO!$F$148&lt;=AY$62,(AY$26),0)</f>
        <v>35</v>
      </c>
      <c r="AZ73" s="18">
        <f>IF(RESULTADO!$F$148&lt;=AZ$62,(AZ$26),0)</f>
        <v>35</v>
      </c>
      <c r="BA73" s="18">
        <f>IF(RESULTADO!$F$148&lt;=BA$62,(BA$26),0)</f>
        <v>35</v>
      </c>
      <c r="BB73" s="18">
        <f>IF(RESULTADO!$F$148&lt;=BB$62,(BB$26),0)</f>
        <v>35</v>
      </c>
      <c r="BC73" s="18">
        <f>IF(RESULTADO!$F$148&lt;=BC$62,(BC$26),0)</f>
        <v>35</v>
      </c>
      <c r="BD73" s="18">
        <f>IF(RESULTADO!$F$148&lt;=BD$62,(BD$26),0)</f>
        <v>35</v>
      </c>
      <c r="BE73" s="18">
        <f>IF(RESULTADO!$F$148&lt;=BE$62,(BE$26),0)</f>
        <v>35</v>
      </c>
      <c r="BF73" s="18">
        <f>IF(RESULTADO!$F$148&lt;=BF$62,(BF$26),0)</f>
        <v>35</v>
      </c>
      <c r="BG73" s="18">
        <f>IF(RESULTADO!$F$148&lt;=BG$62,(BG$26),0)</f>
        <v>35</v>
      </c>
      <c r="BH73" s="18">
        <f>IF(RESULTADO!$F$148&lt;=BH$62,(BH$26),0)</f>
        <v>35</v>
      </c>
      <c r="BI73" s="18">
        <f>IF(RESULTADO!$F$148&lt;=BI$62,(BI$26),0)</f>
        <v>35</v>
      </c>
      <c r="BJ73" s="19">
        <f>IF(RESULTADO!$F$148&lt;=BJ$62,(BJ$26),0)</f>
        <v>35</v>
      </c>
      <c r="BL73" s="37" t="s">
        <v>105</v>
      </c>
      <c r="BM73" s="18">
        <f>IF(RESULTADO!$F$148&lt;=BM$62,(C$26),0)</f>
        <v>0</v>
      </c>
      <c r="BN73" s="18">
        <f>IF(RESULTADO!$F$148&lt;=BN$62,(D$26),0)</f>
        <v>0</v>
      </c>
      <c r="BO73" s="18">
        <f>IF(RESULTADO!$F$148&lt;=BO$62,(E$26),0)</f>
        <v>0</v>
      </c>
      <c r="BP73" s="18">
        <f>IF(RESULTADO!$F$148&lt;=BP$62,(F$26),0)</f>
        <v>0</v>
      </c>
      <c r="BQ73" s="18">
        <f>IF(RESULTADO!$F$148&lt;=BQ$62,(G$26),0)</f>
        <v>0</v>
      </c>
      <c r="BR73" s="18">
        <f>IF(RESULTADO!$F$148&lt;=BR$62,(H$26),0)</f>
        <v>0</v>
      </c>
      <c r="BS73" s="18">
        <f>IF(RESULTADO!$F$148&lt;=BS$62,(I$26),0)</f>
        <v>0</v>
      </c>
      <c r="BT73" s="18">
        <f>IF(RESULTADO!$F$148&lt;=BT$62,(J$26),0)</f>
        <v>0</v>
      </c>
      <c r="BU73" s="18">
        <f>IF(RESULTADO!$F$148&lt;=BU$62,(K$26),0)</f>
        <v>0</v>
      </c>
      <c r="BV73" s="18">
        <f>IF(RESULTADO!$F$148&lt;=BV$62,(L$26),0)</f>
        <v>0</v>
      </c>
      <c r="BW73" s="18">
        <f>IF(RESULTADO!$F$148&lt;=BW$62,(M$26),0)</f>
        <v>0</v>
      </c>
      <c r="BX73" s="402">
        <f>IF(RESULTADO!$F$148&lt;=BX$62,(N$26),0)</f>
        <v>27</v>
      </c>
      <c r="BY73" s="403">
        <f>IF(RESULTADO!$F$148&lt;=BY$62,(O$26),0)</f>
        <v>30</v>
      </c>
      <c r="BZ73" s="18">
        <f>IF(RESULTADO!$F$148&lt;=BZ$62,(P$26),0)</f>
        <v>30</v>
      </c>
      <c r="CA73" s="18">
        <f>IF(RESULTADO!$F$148&lt;=CA$62,(Q$26),0)</f>
        <v>30</v>
      </c>
      <c r="CB73" s="18">
        <f>IF(RESULTADO!$F$148&lt;=CB$62,(R$26),0)</f>
        <v>30</v>
      </c>
      <c r="CC73" s="18">
        <f>IF(RESULTADO!$F$148&lt;=CC$62,(S$26),0)</f>
        <v>30</v>
      </c>
      <c r="CD73" s="18">
        <f>IF(RESULTADO!$F$148&lt;=CD$62,(T$26),0)</f>
        <v>30</v>
      </c>
      <c r="CE73" s="18">
        <f>IF(RESULTADO!$F$148&lt;=CE$62,(U$26),0)</f>
        <v>30</v>
      </c>
      <c r="CF73" s="18">
        <f>IF(RESULTADO!$F$148&lt;=CF$62,(V$26),0)</f>
        <v>30</v>
      </c>
      <c r="CG73" s="18">
        <f>IF(RESULTADO!$F$148&lt;=CG$62,(W$26),0)</f>
        <v>30</v>
      </c>
      <c r="CH73" s="18">
        <f>IF(RESULTADO!$F$148&lt;=CH$62,(X$26),0)</f>
        <v>30</v>
      </c>
      <c r="CI73" s="18">
        <f>IF(RESULTADO!$F$148&lt;=CI$62,(Y$26),0)</f>
        <v>30</v>
      </c>
      <c r="CJ73" s="402">
        <f>IF(RESULTADO!$F$148&lt;=CJ$62,(Z$26),0)</f>
        <v>30</v>
      </c>
      <c r="CK73" s="403">
        <f>IF(RESULTADO!$F$148&lt;=CK$62,(AA$26),0)</f>
        <v>32</v>
      </c>
      <c r="CL73" s="18">
        <f>IF(RESULTADO!$F$148&lt;=CL$62,(AB$26),0)</f>
        <v>32</v>
      </c>
      <c r="CM73" s="18">
        <f>IF(RESULTADO!$F$148&lt;=CM$62,(AC$26),0)</f>
        <v>32</v>
      </c>
      <c r="CN73" s="18">
        <f>IF(RESULTADO!$F$148&lt;=CN$62,(AD$26),0)</f>
        <v>32</v>
      </c>
      <c r="CO73" s="18">
        <f>IF(RESULTADO!$F$148&lt;=CO$62,(AE$26),0)</f>
        <v>32</v>
      </c>
      <c r="CP73" s="18">
        <f>IF(RESULTADO!$F$148&lt;=CP$62,(AF$26),0)</f>
        <v>32</v>
      </c>
      <c r="CQ73" s="18">
        <f>IF(RESULTADO!$F$148&lt;=CQ$62,(AG$26),0)</f>
        <v>32</v>
      </c>
      <c r="CR73" s="18">
        <f>IF(RESULTADO!$F$148&lt;=CR$62,(AH$26),0)</f>
        <v>32</v>
      </c>
      <c r="CS73" s="18">
        <f>IF(RESULTADO!$F$148&lt;=CS$62,(AI$26),0)</f>
        <v>32</v>
      </c>
      <c r="CT73" s="18">
        <f>IF(RESULTADO!$F$148&lt;=CT$62,(AJ$26),0)</f>
        <v>32</v>
      </c>
      <c r="CU73" s="18">
        <f>IF(RESULTADO!$F$148&lt;=CU$62,(AK$26),0)</f>
        <v>32</v>
      </c>
      <c r="CV73" s="402">
        <f>IF(RESULTADO!$F$148&lt;=CV$62,(AL$26),0)</f>
        <v>32</v>
      </c>
      <c r="CW73" s="403">
        <f>IF(RESULTADO!$F$148&lt;=CW$62,(AM$26),0)</f>
        <v>37</v>
      </c>
      <c r="CX73" s="18">
        <f>IF(RESULTADO!$F$148&lt;=CX$62,(AN$26),0)</f>
        <v>37</v>
      </c>
      <c r="CY73" s="18">
        <f>IF(RESULTADO!$F$148&lt;=CY$62,(AO$26),0)</f>
        <v>37</v>
      </c>
      <c r="CZ73" s="18">
        <f>IF(RESULTADO!$F$148&lt;=CZ$62,(AP$26),0)</f>
        <v>37</v>
      </c>
      <c r="DA73" s="18">
        <f>IF(RESULTADO!$F$148&lt;=DA$62,(AQ$26),0)</f>
        <v>37</v>
      </c>
      <c r="DB73" s="18">
        <f>IF(RESULTADO!$F$148&lt;=DB$62,(AR$26),0)</f>
        <v>37</v>
      </c>
      <c r="DC73" s="18">
        <f>IF(RESULTADO!$F$148&lt;=DC$62,(AS$26),0)</f>
        <v>37</v>
      </c>
      <c r="DD73" s="18">
        <f>IF(RESULTADO!$F$148&lt;=DD$62,(AT$26),0)</f>
        <v>37</v>
      </c>
      <c r="DE73" s="18">
        <f>IF(RESULTADO!$F$148&lt;=DE$62,(AU$26),0)</f>
        <v>37</v>
      </c>
      <c r="DF73" s="18">
        <f>IF(RESULTADO!$F$148&lt;=DF$62,(AV$26),0)</f>
        <v>37</v>
      </c>
      <c r="DG73" s="18">
        <f>IF(RESULTADO!$F$148&lt;=DG$62,(AW$26),0)</f>
        <v>37</v>
      </c>
      <c r="DH73" s="402">
        <f>IF(RESULTADO!$F$148&lt;=DH$62,(AX$26),0)</f>
        <v>37</v>
      </c>
      <c r="DI73" s="403">
        <f>IF(RESULTADO!$F$148&lt;=DI$62,(AY$26),0)</f>
        <v>35</v>
      </c>
      <c r="DJ73" s="18">
        <f>IF(RESULTADO!$F$148&lt;=DJ$62,(AZ$26),0)</f>
        <v>35</v>
      </c>
      <c r="DK73" s="18">
        <f>IF(RESULTADO!$F$148&lt;=DK$62,(BA$26),0)</f>
        <v>35</v>
      </c>
      <c r="DL73" s="18">
        <f>IF(RESULTADO!$F$148&lt;=DL$62,(BB$26),0)</f>
        <v>35</v>
      </c>
      <c r="DM73" s="18">
        <f>IF(RESULTADO!$F$148&lt;=DM$62,(BC$26),0)</f>
        <v>35</v>
      </c>
      <c r="DN73" s="18">
        <f>IF(RESULTADO!$F$148&lt;=DN$62,(BD$26),0)</f>
        <v>35</v>
      </c>
      <c r="DO73" s="18">
        <f>IF(RESULTADO!$F$148&lt;=DO$62,(BE$26),0)</f>
        <v>35</v>
      </c>
      <c r="DP73" s="18">
        <f>IF(RESULTADO!$F$148&lt;=DP$62,(BF$26),0)</f>
        <v>35</v>
      </c>
      <c r="DQ73" s="18">
        <f>IF(RESULTADO!$F$148&lt;=DQ$62,(BG$26),0)</f>
        <v>35</v>
      </c>
      <c r="DR73" s="18">
        <f>IF(RESULTADO!$F$148&lt;=DR$62,(BH$26),0)</f>
        <v>35</v>
      </c>
      <c r="DS73" s="18">
        <f>IF(RESULTADO!$F$148&lt;=DS$62,(BI$26),0)</f>
        <v>35</v>
      </c>
      <c r="DT73" s="19">
        <f>IF(RESULTADO!$F$148&lt;=DT$62,(BJ$26),0)</f>
        <v>35</v>
      </c>
    </row>
    <row r="74" spans="1:124" ht="15.75" thickBot="1" x14ac:dyDescent="0.3">
      <c r="A74" s="7"/>
      <c r="B74" s="38" t="s">
        <v>106</v>
      </c>
      <c r="C74" s="23">
        <f>IF(RESULTADO!$F$148&lt;=C$62,(C$26),0)</f>
        <v>0</v>
      </c>
      <c r="D74" s="23">
        <f>IF(RESULTADO!$F$148&lt;=D$62,(D$26),0)</f>
        <v>0</v>
      </c>
      <c r="E74" s="23">
        <f>IF(RESULTADO!$F$148&lt;=E$62,(E$26),0)</f>
        <v>0</v>
      </c>
      <c r="F74" s="23">
        <f>IF(RESULTADO!$F$148&lt;=F$62,(F$26),0)</f>
        <v>0</v>
      </c>
      <c r="G74" s="23">
        <f>IF(RESULTADO!$F$148&lt;=G$62,(G$26),0)</f>
        <v>0</v>
      </c>
      <c r="H74" s="23">
        <f>IF(RESULTADO!$F$148&lt;=H$62,(H$26),0)</f>
        <v>0</v>
      </c>
      <c r="I74" s="23">
        <f>IF(RESULTADO!$F$148&lt;=I$62,(I$26),0)</f>
        <v>0</v>
      </c>
      <c r="J74" s="23">
        <f>IF(RESULTADO!$F$148&lt;=J$62,(J$26),0)</f>
        <v>0</v>
      </c>
      <c r="K74" s="23">
        <f>IF(RESULTADO!$F$148&lt;=K$62,(K$26),0)</f>
        <v>0</v>
      </c>
      <c r="L74" s="23">
        <f>IF(RESULTADO!$F$148&lt;=L$62,(L$26),0)</f>
        <v>0</v>
      </c>
      <c r="M74" s="23">
        <f>IF(RESULTADO!$F$148&lt;=M$62,(M$26),0)</f>
        <v>0</v>
      </c>
      <c r="N74" s="404">
        <f>IF(RESULTADO!$F$148&lt;=N$62,(N$26),0)</f>
        <v>27</v>
      </c>
      <c r="O74" s="405">
        <f>IF(RESULTADO!$F$148&lt;=O$62,(O$26),0)</f>
        <v>30</v>
      </c>
      <c r="P74" s="23">
        <f>IF(RESULTADO!$F$148&lt;=P$62,(P$26),0)</f>
        <v>30</v>
      </c>
      <c r="Q74" s="23">
        <f>IF(RESULTADO!$F$148&lt;=Q$62,(Q$26),0)</f>
        <v>30</v>
      </c>
      <c r="R74" s="23">
        <f>IF(RESULTADO!$F$148&lt;=R$62,(R$26),0)</f>
        <v>30</v>
      </c>
      <c r="S74" s="23">
        <f>IF(RESULTADO!$F$148&lt;=S$62,(S$26),0)</f>
        <v>30</v>
      </c>
      <c r="T74" s="23">
        <f>IF(RESULTADO!$F$148&lt;=T$62,(T$26),0)</f>
        <v>30</v>
      </c>
      <c r="U74" s="23">
        <f>IF(RESULTADO!$F$148&lt;=U$62,(U$26),0)</f>
        <v>30</v>
      </c>
      <c r="V74" s="23">
        <f>IF(RESULTADO!$F$148&lt;=V$62,(V$26),0)</f>
        <v>30</v>
      </c>
      <c r="W74" s="23">
        <f>IF(RESULTADO!$F$148&lt;=W$62,(W$26),0)</f>
        <v>30</v>
      </c>
      <c r="X74" s="23">
        <f>IF(RESULTADO!$F$148&lt;=X$62,(X$26),0)</f>
        <v>30</v>
      </c>
      <c r="Y74" s="23">
        <f>IF(RESULTADO!$F$148&lt;=Y$62,(Y$26),0)</f>
        <v>30</v>
      </c>
      <c r="Z74" s="404">
        <f>IF(RESULTADO!$F$148&lt;=Z$62,(Z$26),0)</f>
        <v>30</v>
      </c>
      <c r="AA74" s="405">
        <f>IF(RESULTADO!$F$148&lt;=AA$62,(AA$26),0)</f>
        <v>32</v>
      </c>
      <c r="AB74" s="23">
        <f>IF(RESULTADO!$F$148&lt;=AB$62,(AB$26),0)</f>
        <v>32</v>
      </c>
      <c r="AC74" s="23">
        <f>IF(RESULTADO!$F$148&lt;=AC$62,(AC$26),0)</f>
        <v>32</v>
      </c>
      <c r="AD74" s="23">
        <f>IF(RESULTADO!$F$148&lt;=AD$62,(AD$26),0)</f>
        <v>32</v>
      </c>
      <c r="AE74" s="23">
        <f>IF(RESULTADO!$F$148&lt;=AE$62,(AE$26),0)</f>
        <v>32</v>
      </c>
      <c r="AF74" s="23">
        <f>IF(RESULTADO!$F$148&lt;=AF$62,(AF$26),0)</f>
        <v>32</v>
      </c>
      <c r="AG74" s="23">
        <f>IF(RESULTADO!$F$148&lt;=AG$62,(AG$26),0)</f>
        <v>32</v>
      </c>
      <c r="AH74" s="23">
        <f>IF(RESULTADO!$F$148&lt;=AH$62,(AH$26),0)</f>
        <v>32</v>
      </c>
      <c r="AI74" s="23">
        <f>IF(RESULTADO!$F$148&lt;=AI$62,(AI$26),0)</f>
        <v>32</v>
      </c>
      <c r="AJ74" s="23">
        <f>IF(RESULTADO!$F$148&lt;=AJ$62,(AJ$26),0)</f>
        <v>32</v>
      </c>
      <c r="AK74" s="23">
        <f>IF(RESULTADO!$F$148&lt;=AK$62,(AK$26),0)</f>
        <v>32</v>
      </c>
      <c r="AL74" s="404">
        <f>IF(RESULTADO!$F$148&lt;=AL$62,(AL$26),0)</f>
        <v>32</v>
      </c>
      <c r="AM74" s="405">
        <f>IF(RESULTADO!$F$148&lt;=AM$62,(AM$26),0)</f>
        <v>37</v>
      </c>
      <c r="AN74" s="23">
        <f>IF(RESULTADO!$F$148&lt;=AN$62,(AN$26),0)</f>
        <v>37</v>
      </c>
      <c r="AO74" s="23">
        <f>IF(RESULTADO!$F$148&lt;=AO$62,(AO$26),0)</f>
        <v>37</v>
      </c>
      <c r="AP74" s="23">
        <f>IF(RESULTADO!$F$148&lt;=AP$62,(AP$26),0)</f>
        <v>37</v>
      </c>
      <c r="AQ74" s="23">
        <f>IF(RESULTADO!$F$148&lt;=AQ$62,(AQ$26),0)</f>
        <v>37</v>
      </c>
      <c r="AR74" s="23">
        <f>IF(RESULTADO!$F$148&lt;=AR$62,(AR$26),0)</f>
        <v>37</v>
      </c>
      <c r="AS74" s="23">
        <f>IF(RESULTADO!$F$148&lt;=AS$62,(AS$26),0)</f>
        <v>37</v>
      </c>
      <c r="AT74" s="23">
        <f>IF(RESULTADO!$F$148&lt;=AT$62,(AT$26),0)</f>
        <v>37</v>
      </c>
      <c r="AU74" s="23">
        <f>IF(RESULTADO!$F$148&lt;=AU$62,(AU$26),0)</f>
        <v>37</v>
      </c>
      <c r="AV74" s="23">
        <f>IF(RESULTADO!$F$148&lt;=AV$62,(AV$26),0)</f>
        <v>37</v>
      </c>
      <c r="AW74" s="23">
        <f>IF(RESULTADO!$F$148&lt;=AW$62,(AW$26),0)</f>
        <v>37</v>
      </c>
      <c r="AX74" s="404">
        <f>IF(RESULTADO!$F$148&lt;=AX$62,(AX$26),0)</f>
        <v>37</v>
      </c>
      <c r="AY74" s="405">
        <f>IF(RESULTADO!$F$148&lt;=AY$62,(AY$26),0)</f>
        <v>35</v>
      </c>
      <c r="AZ74" s="23">
        <f>IF(RESULTADO!$F$148&lt;=AZ$62,(AZ$26),0)</f>
        <v>35</v>
      </c>
      <c r="BA74" s="23">
        <f>IF(RESULTADO!$F$148&lt;=BA$62,(BA$26),0)</f>
        <v>35</v>
      </c>
      <c r="BB74" s="23">
        <f>IF(RESULTADO!$F$148&lt;=BB$62,(BB$26),0)</f>
        <v>35</v>
      </c>
      <c r="BC74" s="23">
        <f>IF(RESULTADO!$F$148&lt;=BC$62,(BC$26),0)</f>
        <v>35</v>
      </c>
      <c r="BD74" s="23">
        <f>IF(RESULTADO!$F$148&lt;=BD$62,(BD$26),0)</f>
        <v>35</v>
      </c>
      <c r="BE74" s="23">
        <f>IF(RESULTADO!$F$148&lt;=BE$62,(BE$26),0)</f>
        <v>35</v>
      </c>
      <c r="BF74" s="23">
        <f>IF(RESULTADO!$F$148&lt;=BF$62,(BF$26),0)</f>
        <v>35</v>
      </c>
      <c r="BG74" s="23">
        <f>IF(RESULTADO!$F$148&lt;=BG$62,(BG$26),0)</f>
        <v>35</v>
      </c>
      <c r="BH74" s="23">
        <f>IF(RESULTADO!$F$148&lt;=BH$62,(BH$26),0)</f>
        <v>35</v>
      </c>
      <c r="BI74" s="23">
        <f>IF(RESULTADO!$F$148&lt;=BI$62,(BI$26),0)</f>
        <v>35</v>
      </c>
      <c r="BJ74" s="24">
        <f>IF(RESULTADO!$F$148&lt;=BJ$62,(BJ$26),0)</f>
        <v>35</v>
      </c>
      <c r="BL74" s="38" t="s">
        <v>106</v>
      </c>
      <c r="BM74" s="23">
        <f>IF(RESULTADO!$F$148&lt;=BM$62,(C$26),0)</f>
        <v>0</v>
      </c>
      <c r="BN74" s="23">
        <f>IF(RESULTADO!$F$148&lt;=BN$62,(D$26),0)</f>
        <v>0</v>
      </c>
      <c r="BO74" s="23">
        <f>IF(RESULTADO!$F$148&lt;=BO$62,(E$26),0)</f>
        <v>0</v>
      </c>
      <c r="BP74" s="23">
        <f>IF(RESULTADO!$F$148&lt;=BP$62,(F$26),0)</f>
        <v>0</v>
      </c>
      <c r="BQ74" s="23">
        <f>IF(RESULTADO!$F$148&lt;=BQ$62,(G$26),0)</f>
        <v>0</v>
      </c>
      <c r="BR74" s="23">
        <f>IF(RESULTADO!$F$148&lt;=BR$62,(H$26),0)</f>
        <v>0</v>
      </c>
      <c r="BS74" s="23">
        <f>IF(RESULTADO!$F$148&lt;=BS$62,(I$26),0)</f>
        <v>0</v>
      </c>
      <c r="BT74" s="23">
        <f>IF(RESULTADO!$F$148&lt;=BT$62,(J$26),0)</f>
        <v>0</v>
      </c>
      <c r="BU74" s="23">
        <f>IF(RESULTADO!$F$148&lt;=BU$62,(K$26),0)</f>
        <v>0</v>
      </c>
      <c r="BV74" s="23">
        <f>IF(RESULTADO!$F$148&lt;=BV$62,(L$26),0)</f>
        <v>0</v>
      </c>
      <c r="BW74" s="23">
        <f>IF(RESULTADO!$F$148&lt;=BW$62,(M$26),0)</f>
        <v>0</v>
      </c>
      <c r="BX74" s="404">
        <f>IF(RESULTADO!$F$148&lt;=BX$62,(N$26),0)</f>
        <v>27</v>
      </c>
      <c r="BY74" s="405">
        <f>IF(RESULTADO!$F$148&lt;=BY$62,(O$26),0)</f>
        <v>30</v>
      </c>
      <c r="BZ74" s="23">
        <f>IF(RESULTADO!$F$148&lt;=BZ$62,(P$26),0)</f>
        <v>30</v>
      </c>
      <c r="CA74" s="23">
        <f>IF(RESULTADO!$F$148&lt;=CA$62,(Q$26),0)</f>
        <v>30</v>
      </c>
      <c r="CB74" s="23">
        <f>IF(RESULTADO!$F$148&lt;=CB$62,(R$26),0)</f>
        <v>30</v>
      </c>
      <c r="CC74" s="23">
        <f>IF(RESULTADO!$F$148&lt;=CC$62,(S$26),0)</f>
        <v>30</v>
      </c>
      <c r="CD74" s="23">
        <f>IF(RESULTADO!$F$148&lt;=CD$62,(T$26),0)</f>
        <v>30</v>
      </c>
      <c r="CE74" s="23">
        <f>IF(RESULTADO!$F$148&lt;=CE$62,(U$26),0)</f>
        <v>30</v>
      </c>
      <c r="CF74" s="23">
        <f>IF(RESULTADO!$F$148&lt;=CF$62,(V$26),0)</f>
        <v>30</v>
      </c>
      <c r="CG74" s="23">
        <f>IF(RESULTADO!$F$148&lt;=CG$62,(W$26),0)</f>
        <v>30</v>
      </c>
      <c r="CH74" s="23">
        <f>IF(RESULTADO!$F$148&lt;=CH$62,(X$26),0)</f>
        <v>30</v>
      </c>
      <c r="CI74" s="23">
        <f>IF(RESULTADO!$F$148&lt;=CI$62,(Y$26),0)</f>
        <v>30</v>
      </c>
      <c r="CJ74" s="404">
        <f>IF(RESULTADO!$F$148&lt;=CJ$62,(Z$26),0)</f>
        <v>30</v>
      </c>
      <c r="CK74" s="405">
        <f>IF(RESULTADO!$F$148&lt;=CK$62,(AA$26),0)</f>
        <v>32</v>
      </c>
      <c r="CL74" s="23">
        <f>IF(RESULTADO!$F$148&lt;=CL$62,(AB$26),0)</f>
        <v>32</v>
      </c>
      <c r="CM74" s="23">
        <f>IF(RESULTADO!$F$148&lt;=CM$62,(AC$26),0)</f>
        <v>32</v>
      </c>
      <c r="CN74" s="23">
        <f>IF(RESULTADO!$F$148&lt;=CN$62,(AD$26),0)</f>
        <v>32</v>
      </c>
      <c r="CO74" s="23">
        <f>IF(RESULTADO!$F$148&lt;=CO$62,(AE$26),0)</f>
        <v>32</v>
      </c>
      <c r="CP74" s="23">
        <f>IF(RESULTADO!$F$148&lt;=CP$62,(AF$26),0)</f>
        <v>32</v>
      </c>
      <c r="CQ74" s="23">
        <f>IF(RESULTADO!$F$148&lt;=CQ$62,(AG$26),0)</f>
        <v>32</v>
      </c>
      <c r="CR74" s="23">
        <f>IF(RESULTADO!$F$148&lt;=CR$62,(AH$26),0)</f>
        <v>32</v>
      </c>
      <c r="CS74" s="23">
        <f>IF(RESULTADO!$F$148&lt;=CS$62,(AI$26),0)</f>
        <v>32</v>
      </c>
      <c r="CT74" s="23">
        <f>IF(RESULTADO!$F$148&lt;=CT$62,(AJ$26),0)</f>
        <v>32</v>
      </c>
      <c r="CU74" s="23">
        <f>IF(RESULTADO!$F$148&lt;=CU$62,(AK$26),0)</f>
        <v>32</v>
      </c>
      <c r="CV74" s="404">
        <f>IF(RESULTADO!$F$148&lt;=CV$62,(AL$26),0)</f>
        <v>32</v>
      </c>
      <c r="CW74" s="405">
        <f>IF(RESULTADO!$F$148&lt;=CW$62,(AM$26),0)</f>
        <v>37</v>
      </c>
      <c r="CX74" s="23">
        <f>IF(RESULTADO!$F$148&lt;=CX$62,(AN$26),0)</f>
        <v>37</v>
      </c>
      <c r="CY74" s="23">
        <f>IF(RESULTADO!$F$148&lt;=CY$62,(AO$26),0)</f>
        <v>37</v>
      </c>
      <c r="CZ74" s="23">
        <f>IF(RESULTADO!$F$148&lt;=CZ$62,(AP$26),0)</f>
        <v>37</v>
      </c>
      <c r="DA74" s="23">
        <f>IF(RESULTADO!$F$148&lt;=DA$62,(AQ$26),0)</f>
        <v>37</v>
      </c>
      <c r="DB74" s="23">
        <f>IF(RESULTADO!$F$148&lt;=DB$62,(AR$26),0)</f>
        <v>37</v>
      </c>
      <c r="DC74" s="23">
        <f>IF(RESULTADO!$F$148&lt;=DC$62,(AS$26),0)</f>
        <v>37</v>
      </c>
      <c r="DD74" s="23">
        <f>IF(RESULTADO!$F$148&lt;=DD$62,(AT$26),0)</f>
        <v>37</v>
      </c>
      <c r="DE74" s="23">
        <f>IF(RESULTADO!$F$148&lt;=DE$62,(AU$26),0)</f>
        <v>37</v>
      </c>
      <c r="DF74" s="23">
        <f>IF(RESULTADO!$F$148&lt;=DF$62,(AV$26),0)</f>
        <v>37</v>
      </c>
      <c r="DG74" s="23">
        <f>IF(RESULTADO!$F$148&lt;=DG$62,(AW$26),0)</f>
        <v>37</v>
      </c>
      <c r="DH74" s="404">
        <f>IF(RESULTADO!$F$148&lt;=DH$62,(AX$26),0)</f>
        <v>37</v>
      </c>
      <c r="DI74" s="405">
        <f>IF(RESULTADO!$F$148&lt;=DI$62,(AY$26),0)</f>
        <v>35</v>
      </c>
      <c r="DJ74" s="23">
        <f>IF(RESULTADO!$F$148&lt;=DJ$62,(AZ$26),0)</f>
        <v>35</v>
      </c>
      <c r="DK74" s="23">
        <f>IF(RESULTADO!$F$148&lt;=DK$62,(BA$26),0)</f>
        <v>35</v>
      </c>
      <c r="DL74" s="23">
        <f>IF(RESULTADO!$F$148&lt;=DL$62,(BB$26),0)</f>
        <v>35</v>
      </c>
      <c r="DM74" s="23">
        <f>IF(RESULTADO!$F$148&lt;=DM$62,(BC$26),0)</f>
        <v>35</v>
      </c>
      <c r="DN74" s="23">
        <f>IF(RESULTADO!$F$148&lt;=DN$62,(BD$26),0)</f>
        <v>35</v>
      </c>
      <c r="DO74" s="23">
        <f>IF(RESULTADO!$F$148&lt;=DO$62,(BE$26),0)</f>
        <v>35</v>
      </c>
      <c r="DP74" s="23">
        <f>IF(RESULTADO!$F$148&lt;=DP$62,(BF$26),0)</f>
        <v>35</v>
      </c>
      <c r="DQ74" s="23">
        <f>IF(RESULTADO!$F$148&lt;=DQ$62,(BG$26),0)</f>
        <v>35</v>
      </c>
      <c r="DR74" s="23">
        <f>IF(RESULTADO!$F$148&lt;=DR$62,(BH$26),0)</f>
        <v>35</v>
      </c>
      <c r="DS74" s="23">
        <f>IF(RESULTADO!$F$148&lt;=DS$62,(BI$26),0)</f>
        <v>35</v>
      </c>
      <c r="DT74" s="24">
        <f>IF(RESULTADO!$F$148&lt;=DT$62,(BJ$26),0)</f>
        <v>35</v>
      </c>
    </row>
    <row r="75" spans="1:124" x14ac:dyDescent="0.25">
      <c r="A75" s="7"/>
      <c r="B75" s="36" t="s">
        <v>107</v>
      </c>
      <c r="C75" s="20">
        <f>IF(RESULTADO!$F$148&lt;=C$62,(C$27),0)</f>
        <v>0</v>
      </c>
      <c r="D75" s="20">
        <f>IF(RESULTADO!$F$148&lt;=D$62,(D$27),0)</f>
        <v>0</v>
      </c>
      <c r="E75" s="20">
        <f>IF(RESULTADO!$F$148&lt;=E$62,(E$27),0)</f>
        <v>0</v>
      </c>
      <c r="F75" s="20">
        <f>IF(RESULTADO!$F$148&lt;=F$62,(F$27),0)</f>
        <v>0</v>
      </c>
      <c r="G75" s="20">
        <f>IF(RESULTADO!$F$148&lt;=G$62,(G$27),0)</f>
        <v>0</v>
      </c>
      <c r="H75" s="20">
        <f>IF(RESULTADO!$F$148&lt;=H$62,(H$27),0)</f>
        <v>0</v>
      </c>
      <c r="I75" s="20">
        <f>IF(RESULTADO!$F$148&lt;=I$62,(I$27),0)</f>
        <v>0</v>
      </c>
      <c r="J75" s="20">
        <f>IF(RESULTADO!$F$148&lt;=J$62,(J$27),0)</f>
        <v>0</v>
      </c>
      <c r="K75" s="20">
        <f>IF(RESULTADO!$F$148&lt;=K$62,(K$27),0)</f>
        <v>0</v>
      </c>
      <c r="L75" s="20">
        <f>IF(RESULTADO!$F$148&lt;=L$62,(L$27),0)</f>
        <v>0</v>
      </c>
      <c r="M75" s="20">
        <f>IF(RESULTADO!$F$148&lt;=M$62,(M$27),0)</f>
        <v>0</v>
      </c>
      <c r="N75" s="400">
        <f>IF(RESULTADO!$F$148&lt;=N$62,(N$27),0)</f>
        <v>160</v>
      </c>
      <c r="O75" s="401">
        <f>IF(RESULTADO!$F$148&lt;=O$62,(O$27),0)</f>
        <v>160</v>
      </c>
      <c r="P75" s="20">
        <f>IF(RESULTADO!$F$148&lt;=P$62,(P$27),0)</f>
        <v>160</v>
      </c>
      <c r="Q75" s="20">
        <f>IF(RESULTADO!$F$148&lt;=Q$62,(Q$27),0)</f>
        <v>160</v>
      </c>
      <c r="R75" s="20">
        <f>IF(RESULTADO!$F$148&lt;=R$62,(R$27),0)</f>
        <v>160</v>
      </c>
      <c r="S75" s="20">
        <f>IF(RESULTADO!$F$148&lt;=S$62,(S$27),0)</f>
        <v>160</v>
      </c>
      <c r="T75" s="20">
        <f>IF(RESULTADO!$F$148&lt;=T$62,(T$27),0)</f>
        <v>160</v>
      </c>
      <c r="U75" s="20">
        <f>IF(RESULTADO!$F$148&lt;=U$62,(U$27),0)</f>
        <v>160</v>
      </c>
      <c r="V75" s="20">
        <f>IF(RESULTADO!$F$148&lt;=V$62,(V$27),0)</f>
        <v>160</v>
      </c>
      <c r="W75" s="20">
        <f>IF(RESULTADO!$F$148&lt;=W$62,(W$27),0)</f>
        <v>160</v>
      </c>
      <c r="X75" s="20">
        <f>IF(RESULTADO!$F$148&lt;=X$62,(X$27),0)</f>
        <v>160</v>
      </c>
      <c r="Y75" s="20">
        <f>IF(RESULTADO!$F$148&lt;=Y$62,(Y$27),0)</f>
        <v>160</v>
      </c>
      <c r="Z75" s="400">
        <f>IF(RESULTADO!$F$148&lt;=Z$62,(Z$27),0)</f>
        <v>160</v>
      </c>
      <c r="AA75" s="401">
        <f>IF(RESULTADO!$F$148&lt;=AA$62,(AA$27),0)</f>
        <v>165</v>
      </c>
      <c r="AB75" s="20">
        <f>IF(RESULTADO!$F$148&lt;=AB$62,(AB$27),0)</f>
        <v>165</v>
      </c>
      <c r="AC75" s="20">
        <f>IF(RESULTADO!$F$148&lt;=AC$62,(AC$27),0)</f>
        <v>165</v>
      </c>
      <c r="AD75" s="20">
        <f>IF(RESULTADO!$F$148&lt;=AD$62,(AD$27),0)</f>
        <v>165</v>
      </c>
      <c r="AE75" s="20">
        <f>IF(RESULTADO!$F$148&lt;=AE$62,(AE$27),0)</f>
        <v>165</v>
      </c>
      <c r="AF75" s="20">
        <f>IF(RESULTADO!$F$148&lt;=AF$62,(AF$27),0)</f>
        <v>165</v>
      </c>
      <c r="AG75" s="20">
        <f>IF(RESULTADO!$F$148&lt;=AG$62,(AG$27),0)</f>
        <v>165</v>
      </c>
      <c r="AH75" s="20">
        <f>IF(RESULTADO!$F$148&lt;=AH$62,(AH$27),0)</f>
        <v>165</v>
      </c>
      <c r="AI75" s="20">
        <f>IF(RESULTADO!$F$148&lt;=AI$62,(AI$27),0)</f>
        <v>165</v>
      </c>
      <c r="AJ75" s="20">
        <f>IF(RESULTADO!$F$148&lt;=AJ$62,(AJ$27),0)</f>
        <v>165</v>
      </c>
      <c r="AK75" s="20">
        <f>IF(RESULTADO!$F$148&lt;=AK$62,(AK$27),0)</f>
        <v>165</v>
      </c>
      <c r="AL75" s="400">
        <f>IF(RESULTADO!$F$148&lt;=AL$62,(AL$27),0)</f>
        <v>165</v>
      </c>
      <c r="AM75" s="401">
        <f>IF(RESULTADO!$F$148&lt;=AM$62,(AM$27),0)</f>
        <v>120</v>
      </c>
      <c r="AN75" s="20">
        <f>IF(RESULTADO!$F$148&lt;=AN$62,(AN$27),0)</f>
        <v>120</v>
      </c>
      <c r="AO75" s="20">
        <f>IF(RESULTADO!$F$148&lt;=AO$62,(AO$27),0)</f>
        <v>120</v>
      </c>
      <c r="AP75" s="20">
        <f>IF(RESULTADO!$F$148&lt;=AP$62,(AP$27),0)</f>
        <v>120</v>
      </c>
      <c r="AQ75" s="20">
        <f>IF(RESULTADO!$F$148&lt;=AQ$62,(AQ$27),0)</f>
        <v>120</v>
      </c>
      <c r="AR75" s="20">
        <f>IF(RESULTADO!$F$148&lt;=AR$62,(AR$27),0)</f>
        <v>120</v>
      </c>
      <c r="AS75" s="20">
        <f>IF(RESULTADO!$F$148&lt;=AS$62,(AS$27),0)</f>
        <v>120</v>
      </c>
      <c r="AT75" s="20">
        <f>IF(RESULTADO!$F$148&lt;=AT$62,(AT$27),0)</f>
        <v>120</v>
      </c>
      <c r="AU75" s="20">
        <f>IF(RESULTADO!$F$148&lt;=AU$62,(AU$27),0)</f>
        <v>120</v>
      </c>
      <c r="AV75" s="20">
        <f>IF(RESULTADO!$F$148&lt;=AV$62,(AV$27),0)</f>
        <v>120</v>
      </c>
      <c r="AW75" s="20">
        <f>IF(RESULTADO!$F$148&lt;=AW$62,(AW$27),0)</f>
        <v>120</v>
      </c>
      <c r="AX75" s="400">
        <f>IF(RESULTADO!$F$148&lt;=AX$62,(AX$27),0)</f>
        <v>120</v>
      </c>
      <c r="AY75" s="401">
        <f>IF(RESULTADO!$F$148&lt;=AY$62,(AY$27),0)</f>
        <v>115</v>
      </c>
      <c r="AZ75" s="20">
        <f>IF(RESULTADO!$F$148&lt;=AZ$62,(AZ$27),0)</f>
        <v>115</v>
      </c>
      <c r="BA75" s="20">
        <f>IF(RESULTADO!$F$148&lt;=BA$62,(BA$27),0)</f>
        <v>115</v>
      </c>
      <c r="BB75" s="20">
        <f>IF(RESULTADO!$F$148&lt;=BB$62,(BB$27),0)</f>
        <v>115</v>
      </c>
      <c r="BC75" s="20">
        <f>IF(RESULTADO!$F$148&lt;=BC$62,(BC$27),0)</f>
        <v>115</v>
      </c>
      <c r="BD75" s="20">
        <f>IF(RESULTADO!$F$148&lt;=BD$62,(BD$27),0)</f>
        <v>115</v>
      </c>
      <c r="BE75" s="20">
        <f>IF(RESULTADO!$F$148&lt;=BE$62,(BE$27),0)</f>
        <v>115</v>
      </c>
      <c r="BF75" s="20">
        <f>IF(RESULTADO!$F$148&lt;=BF$62,(BF$27),0)</f>
        <v>115</v>
      </c>
      <c r="BG75" s="20">
        <f>IF(RESULTADO!$F$148&lt;=BG$62,(BG$27),0)</f>
        <v>115</v>
      </c>
      <c r="BH75" s="20">
        <f>IF(RESULTADO!$F$148&lt;=BH$62,(BH$27),0)</f>
        <v>115</v>
      </c>
      <c r="BI75" s="20">
        <f>IF(RESULTADO!$F$148&lt;=BI$62,(BI$27),0)</f>
        <v>115</v>
      </c>
      <c r="BJ75" s="21">
        <f>IF(RESULTADO!$F$148&lt;=BJ$62,(BJ$27),0)</f>
        <v>115</v>
      </c>
      <c r="BL75" s="36" t="s">
        <v>107</v>
      </c>
      <c r="BM75" s="20">
        <f>IF(RESULTADO!$F$148&lt;=BM$62,(C$27),0)</f>
        <v>0</v>
      </c>
      <c r="BN75" s="20">
        <f>IF(RESULTADO!$F$148&lt;=BN$62,(D$27),0)</f>
        <v>0</v>
      </c>
      <c r="BO75" s="20">
        <f>IF(RESULTADO!$F$148&lt;=BO$62,(E$27),0)</f>
        <v>0</v>
      </c>
      <c r="BP75" s="20">
        <f>IF(RESULTADO!$F$148&lt;=BP$62,(F$27),0)</f>
        <v>0</v>
      </c>
      <c r="BQ75" s="20">
        <f>IF(RESULTADO!$F$148&lt;=BQ$62,(G$27),0)</f>
        <v>0</v>
      </c>
      <c r="BR75" s="20">
        <f>IF(RESULTADO!$F$148&lt;=BR$62,(H$27),0)</f>
        <v>0</v>
      </c>
      <c r="BS75" s="20">
        <f>IF(RESULTADO!$F$148&lt;=BS$62,(I$27),0)</f>
        <v>0</v>
      </c>
      <c r="BT75" s="20">
        <f>IF(RESULTADO!$F$148&lt;=BT$62,(J$27),0)</f>
        <v>0</v>
      </c>
      <c r="BU75" s="20">
        <f>IF(RESULTADO!$F$148&lt;=BU$62,(K$27),0)</f>
        <v>0</v>
      </c>
      <c r="BV75" s="20">
        <f>IF(RESULTADO!$F$148&lt;=BV$62,(L$27),0)</f>
        <v>0</v>
      </c>
      <c r="BW75" s="20">
        <f>IF(RESULTADO!$F$148&lt;=BW$62,(M$27),0)</f>
        <v>0</v>
      </c>
      <c r="BX75" s="400">
        <f>IF(RESULTADO!$F$148&lt;=BX$62,(N$27),0)</f>
        <v>160</v>
      </c>
      <c r="BY75" s="401">
        <f>IF(RESULTADO!$F$148&lt;=BY$62,(O$27),0)</f>
        <v>160</v>
      </c>
      <c r="BZ75" s="20">
        <f>IF(RESULTADO!$F$148&lt;=BZ$62,(P$27),0)</f>
        <v>160</v>
      </c>
      <c r="CA75" s="20">
        <f>IF(RESULTADO!$F$148&lt;=CA$62,(Q$27),0)</f>
        <v>160</v>
      </c>
      <c r="CB75" s="20">
        <f>IF(RESULTADO!$F$148&lt;=CB$62,(R$27),0)</f>
        <v>160</v>
      </c>
      <c r="CC75" s="20">
        <f>IF(RESULTADO!$F$148&lt;=CC$62,(S$27),0)</f>
        <v>160</v>
      </c>
      <c r="CD75" s="20">
        <f>IF(RESULTADO!$F$148&lt;=CD$62,(T$27),0)</f>
        <v>160</v>
      </c>
      <c r="CE75" s="20">
        <f>IF(RESULTADO!$F$148&lt;=CE$62,(U$27),0)</f>
        <v>160</v>
      </c>
      <c r="CF75" s="20">
        <f>IF(RESULTADO!$F$148&lt;=CF$62,(V$27),0)</f>
        <v>160</v>
      </c>
      <c r="CG75" s="20">
        <f>IF(RESULTADO!$F$148&lt;=CG$62,(W$27),0)</f>
        <v>160</v>
      </c>
      <c r="CH75" s="20">
        <f>IF(RESULTADO!$F$148&lt;=CH$62,(X$27),0)</f>
        <v>160</v>
      </c>
      <c r="CI75" s="20">
        <f>IF(RESULTADO!$F$148&lt;=CI$62,(Y$27),0)</f>
        <v>160</v>
      </c>
      <c r="CJ75" s="400">
        <f>IF(RESULTADO!$F$148&lt;=CJ$62,(Z$27),0)</f>
        <v>160</v>
      </c>
      <c r="CK75" s="401">
        <f>IF(RESULTADO!$F$148&lt;=CK$62,(AA$27),0)</f>
        <v>165</v>
      </c>
      <c r="CL75" s="20">
        <f>IF(RESULTADO!$F$148&lt;=CL$62,(AB$27),0)</f>
        <v>165</v>
      </c>
      <c r="CM75" s="20">
        <f>IF(RESULTADO!$F$148&lt;=CM$62,(AC$27),0)</f>
        <v>165</v>
      </c>
      <c r="CN75" s="20">
        <f>IF(RESULTADO!$F$148&lt;=CN$62,(AD$27),0)</f>
        <v>165</v>
      </c>
      <c r="CO75" s="20">
        <f>IF(RESULTADO!$F$148&lt;=CO$62,(AE$27),0)</f>
        <v>165</v>
      </c>
      <c r="CP75" s="20">
        <f>IF(RESULTADO!$F$148&lt;=CP$62,(AF$27),0)</f>
        <v>165</v>
      </c>
      <c r="CQ75" s="20">
        <f>IF(RESULTADO!$F$148&lt;=CQ$62,(AG$27),0)</f>
        <v>165</v>
      </c>
      <c r="CR75" s="20">
        <f>IF(RESULTADO!$F$148&lt;=CR$62,(AH$27),0)</f>
        <v>165</v>
      </c>
      <c r="CS75" s="20">
        <f>IF(RESULTADO!$F$148&lt;=CS$62,(AI$27),0)</f>
        <v>165</v>
      </c>
      <c r="CT75" s="20">
        <f>IF(RESULTADO!$F$148&lt;=CT$62,(AJ$27),0)</f>
        <v>165</v>
      </c>
      <c r="CU75" s="20">
        <f>IF(RESULTADO!$F$148&lt;=CU$62,(AK$27),0)</f>
        <v>165</v>
      </c>
      <c r="CV75" s="400">
        <f>IF(RESULTADO!$F$148&lt;=CV$62,(AL$27),0)</f>
        <v>165</v>
      </c>
      <c r="CW75" s="401">
        <f>IF(RESULTADO!$F$148&lt;=CW$62,(AM$27),0)</f>
        <v>120</v>
      </c>
      <c r="CX75" s="20">
        <f>IF(RESULTADO!$F$148&lt;=CX$62,(AN$27),0)</f>
        <v>120</v>
      </c>
      <c r="CY75" s="20">
        <f>IF(RESULTADO!$F$148&lt;=CY$62,(AO$27),0)</f>
        <v>120</v>
      </c>
      <c r="CZ75" s="20">
        <f>IF(RESULTADO!$F$148&lt;=CZ$62,(AP$27),0)</f>
        <v>120</v>
      </c>
      <c r="DA75" s="20">
        <f>IF(RESULTADO!$F$148&lt;=DA$62,(AQ$27),0)</f>
        <v>120</v>
      </c>
      <c r="DB75" s="20">
        <f>IF(RESULTADO!$F$148&lt;=DB$62,(AR$27),0)</f>
        <v>120</v>
      </c>
      <c r="DC75" s="20">
        <f>IF(RESULTADO!$F$148&lt;=DC$62,(AS$27),0)</f>
        <v>120</v>
      </c>
      <c r="DD75" s="20">
        <f>IF(RESULTADO!$F$148&lt;=DD$62,(AT$27),0)</f>
        <v>120</v>
      </c>
      <c r="DE75" s="20">
        <f>IF(RESULTADO!$F$148&lt;=DE$62,(AU$27),0)</f>
        <v>120</v>
      </c>
      <c r="DF75" s="20">
        <f>IF(RESULTADO!$F$148&lt;=DF$62,(AV$27),0)</f>
        <v>120</v>
      </c>
      <c r="DG75" s="20">
        <f>IF(RESULTADO!$F$148&lt;=DG$62,(AW$27),0)</f>
        <v>120</v>
      </c>
      <c r="DH75" s="400">
        <f>IF(RESULTADO!$F$148&lt;=DH$62,(AX$27),0)</f>
        <v>120</v>
      </c>
      <c r="DI75" s="401">
        <f>IF(RESULTADO!$F$148&lt;=DI$62,(AY$27),0)</f>
        <v>115</v>
      </c>
      <c r="DJ75" s="20">
        <f>IF(RESULTADO!$F$148&lt;=DJ$62,(AZ$27),0)</f>
        <v>115</v>
      </c>
      <c r="DK75" s="20">
        <f>IF(RESULTADO!$F$148&lt;=DK$62,(BA$27),0)</f>
        <v>115</v>
      </c>
      <c r="DL75" s="20">
        <f>IF(RESULTADO!$F$148&lt;=DL$62,(BB$27),0)</f>
        <v>115</v>
      </c>
      <c r="DM75" s="20">
        <f>IF(RESULTADO!$F$148&lt;=DM$62,(BC$27),0)</f>
        <v>115</v>
      </c>
      <c r="DN75" s="20">
        <f>IF(RESULTADO!$F$148&lt;=DN$62,(BD$27),0)</f>
        <v>115</v>
      </c>
      <c r="DO75" s="20">
        <f>IF(RESULTADO!$F$148&lt;=DO$62,(BE$27),0)</f>
        <v>115</v>
      </c>
      <c r="DP75" s="20">
        <f>IF(RESULTADO!$F$148&lt;=DP$62,(BF$27),0)</f>
        <v>115</v>
      </c>
      <c r="DQ75" s="20">
        <f>IF(RESULTADO!$F$148&lt;=DQ$62,(BG$27),0)</f>
        <v>115</v>
      </c>
      <c r="DR75" s="20">
        <f>IF(RESULTADO!$F$148&lt;=DR$62,(BH$27),0)</f>
        <v>115</v>
      </c>
      <c r="DS75" s="20">
        <f>IF(RESULTADO!$F$148&lt;=DS$62,(BI$27),0)</f>
        <v>115</v>
      </c>
      <c r="DT75" s="21">
        <f>IF(RESULTADO!$F$148&lt;=DT$62,(BJ$27),0)</f>
        <v>115</v>
      </c>
    </row>
    <row r="76" spans="1:124" x14ac:dyDescent="0.25">
      <c r="A76" s="7"/>
      <c r="B76" s="37" t="s">
        <v>108</v>
      </c>
      <c r="C76" s="18">
        <f>IF(RESULTADO!$F$148&lt;=C$62,(C$27),0)</f>
        <v>0</v>
      </c>
      <c r="D76" s="18">
        <f>IF(RESULTADO!$F$148&lt;=D$62,(D$27),0)</f>
        <v>0</v>
      </c>
      <c r="E76" s="18">
        <f>IF(RESULTADO!$F$148&lt;=E$62,(E$27),0)</f>
        <v>0</v>
      </c>
      <c r="F76" s="18">
        <f>IF(RESULTADO!$F$148&lt;=F$62,(F$27),0)</f>
        <v>0</v>
      </c>
      <c r="G76" s="18">
        <f>IF(RESULTADO!$F$148&lt;=G$62,(G$27),0)</f>
        <v>0</v>
      </c>
      <c r="H76" s="18">
        <f>IF(RESULTADO!$F$148&lt;=H$62,(H$27),0)</f>
        <v>0</v>
      </c>
      <c r="I76" s="18">
        <f>IF(RESULTADO!$F$148&lt;=I$62,(I$27),0)</f>
        <v>0</v>
      </c>
      <c r="J76" s="18">
        <f>IF(RESULTADO!$F$148&lt;=J$62,(J$27),0)</f>
        <v>0</v>
      </c>
      <c r="K76" s="18">
        <f>IF(RESULTADO!$F$148&lt;=K$62,(K$27),0)</f>
        <v>0</v>
      </c>
      <c r="L76" s="18">
        <f>IF(RESULTADO!$F$148&lt;=L$62,(L$27),0)</f>
        <v>0</v>
      </c>
      <c r="M76" s="18">
        <f>IF(RESULTADO!$F$148&lt;=M$62,(M$27),0)</f>
        <v>0</v>
      </c>
      <c r="N76" s="402">
        <f>IF(RESULTADO!$F$148&lt;=N$62,(N$27),0)</f>
        <v>160</v>
      </c>
      <c r="O76" s="403">
        <f>IF(RESULTADO!$F$148&lt;=O$62,(O$27),0)</f>
        <v>160</v>
      </c>
      <c r="P76" s="18">
        <f>IF(RESULTADO!$F$148&lt;=P$62,(P$27),0)</f>
        <v>160</v>
      </c>
      <c r="Q76" s="18">
        <f>IF(RESULTADO!$F$148&lt;=Q$62,(Q$27),0)</f>
        <v>160</v>
      </c>
      <c r="R76" s="18">
        <f>IF(RESULTADO!$F$148&lt;=R$62,(R$27),0)</f>
        <v>160</v>
      </c>
      <c r="S76" s="18">
        <f>IF(RESULTADO!$F$148&lt;=S$62,(S$27),0)</f>
        <v>160</v>
      </c>
      <c r="T76" s="18">
        <f>IF(RESULTADO!$F$148&lt;=T$62,(T$27),0)</f>
        <v>160</v>
      </c>
      <c r="U76" s="18">
        <f>IF(RESULTADO!$F$148&lt;=U$62,(U$27),0)</f>
        <v>160</v>
      </c>
      <c r="V76" s="18">
        <f>IF(RESULTADO!$F$148&lt;=V$62,(V$27),0)</f>
        <v>160</v>
      </c>
      <c r="W76" s="18">
        <f>IF(RESULTADO!$F$148&lt;=W$62,(W$27),0)</f>
        <v>160</v>
      </c>
      <c r="X76" s="18">
        <f>IF(RESULTADO!$F$148&lt;=X$62,(X$27),0)</f>
        <v>160</v>
      </c>
      <c r="Y76" s="18">
        <f>IF(RESULTADO!$F$148&lt;=Y$62,(Y$27),0)</f>
        <v>160</v>
      </c>
      <c r="Z76" s="402">
        <f>IF(RESULTADO!$F$148&lt;=Z$62,(Z$27),0)</f>
        <v>160</v>
      </c>
      <c r="AA76" s="403">
        <f>IF(RESULTADO!$F$148&lt;=AA$62,(AA$27),0)</f>
        <v>165</v>
      </c>
      <c r="AB76" s="18">
        <f>IF(RESULTADO!$F$148&lt;=AB$62,(AB$27),0)</f>
        <v>165</v>
      </c>
      <c r="AC76" s="18">
        <f>IF(RESULTADO!$F$148&lt;=AC$62,(AC$27),0)</f>
        <v>165</v>
      </c>
      <c r="AD76" s="18">
        <f>IF(RESULTADO!$F$148&lt;=AD$62,(AD$27),0)</f>
        <v>165</v>
      </c>
      <c r="AE76" s="18">
        <f>IF(RESULTADO!$F$148&lt;=AE$62,(AE$27),0)</f>
        <v>165</v>
      </c>
      <c r="AF76" s="18">
        <f>IF(RESULTADO!$F$148&lt;=AF$62,(AF$27),0)</f>
        <v>165</v>
      </c>
      <c r="AG76" s="18">
        <f>IF(RESULTADO!$F$148&lt;=AG$62,(AG$27),0)</f>
        <v>165</v>
      </c>
      <c r="AH76" s="18">
        <f>IF(RESULTADO!$F$148&lt;=AH$62,(AH$27),0)</f>
        <v>165</v>
      </c>
      <c r="AI76" s="18">
        <f>IF(RESULTADO!$F$148&lt;=AI$62,(AI$27),0)</f>
        <v>165</v>
      </c>
      <c r="AJ76" s="18">
        <f>IF(RESULTADO!$F$148&lt;=AJ$62,(AJ$27),0)</f>
        <v>165</v>
      </c>
      <c r="AK76" s="18">
        <f>IF(RESULTADO!$F$148&lt;=AK$62,(AK$27),0)</f>
        <v>165</v>
      </c>
      <c r="AL76" s="402">
        <f>IF(RESULTADO!$F$148&lt;=AL$62,(AL$27),0)</f>
        <v>165</v>
      </c>
      <c r="AM76" s="403">
        <f>IF(RESULTADO!$F$148&lt;=AM$62,(AM$27),0)</f>
        <v>120</v>
      </c>
      <c r="AN76" s="18">
        <f>IF(RESULTADO!$F$148&lt;=AN$62,(AN$27),0)</f>
        <v>120</v>
      </c>
      <c r="AO76" s="18">
        <f>IF(RESULTADO!$F$148&lt;=AO$62,(AO$27),0)</f>
        <v>120</v>
      </c>
      <c r="AP76" s="18">
        <f>IF(RESULTADO!$F$148&lt;=AP$62,(AP$27),0)</f>
        <v>120</v>
      </c>
      <c r="AQ76" s="18">
        <f>IF(RESULTADO!$F$148&lt;=AQ$62,(AQ$27),0)</f>
        <v>120</v>
      </c>
      <c r="AR76" s="18">
        <f>IF(RESULTADO!$F$148&lt;=AR$62,(AR$27),0)</f>
        <v>120</v>
      </c>
      <c r="AS76" s="18">
        <f>IF(RESULTADO!$F$148&lt;=AS$62,(AS$27),0)</f>
        <v>120</v>
      </c>
      <c r="AT76" s="18">
        <f>IF(RESULTADO!$F$148&lt;=AT$62,(AT$27),0)</f>
        <v>120</v>
      </c>
      <c r="AU76" s="18">
        <f>IF(RESULTADO!$F$148&lt;=AU$62,(AU$27),0)</f>
        <v>120</v>
      </c>
      <c r="AV76" s="18">
        <f>IF(RESULTADO!$F$148&lt;=AV$62,(AV$27),0)</f>
        <v>120</v>
      </c>
      <c r="AW76" s="18">
        <f>IF(RESULTADO!$F$148&lt;=AW$62,(AW$27),0)</f>
        <v>120</v>
      </c>
      <c r="AX76" s="402">
        <f>IF(RESULTADO!$F$148&lt;=AX$62,(AX$27),0)</f>
        <v>120</v>
      </c>
      <c r="AY76" s="403">
        <f>IF(RESULTADO!$F$148&lt;=AY$62,(AY$27),0)</f>
        <v>115</v>
      </c>
      <c r="AZ76" s="18">
        <f>IF(RESULTADO!$F$148&lt;=AZ$62,(AZ$27),0)</f>
        <v>115</v>
      </c>
      <c r="BA76" s="18">
        <f>IF(RESULTADO!$F$148&lt;=BA$62,(BA$27),0)</f>
        <v>115</v>
      </c>
      <c r="BB76" s="18">
        <f>IF(RESULTADO!$F$148&lt;=BB$62,(BB$27),0)</f>
        <v>115</v>
      </c>
      <c r="BC76" s="18">
        <f>IF(RESULTADO!$F$148&lt;=BC$62,(BC$27),0)</f>
        <v>115</v>
      </c>
      <c r="BD76" s="18">
        <f>IF(RESULTADO!$F$148&lt;=BD$62,(BD$27),0)</f>
        <v>115</v>
      </c>
      <c r="BE76" s="18">
        <f>IF(RESULTADO!$F$148&lt;=BE$62,(BE$27),0)</f>
        <v>115</v>
      </c>
      <c r="BF76" s="18">
        <f>IF(RESULTADO!$F$148&lt;=BF$62,(BF$27),0)</f>
        <v>115</v>
      </c>
      <c r="BG76" s="18">
        <f>IF(RESULTADO!$F$148&lt;=BG$62,(BG$27),0)</f>
        <v>115</v>
      </c>
      <c r="BH76" s="18">
        <f>IF(RESULTADO!$F$148&lt;=BH$62,(BH$27),0)</f>
        <v>115</v>
      </c>
      <c r="BI76" s="18">
        <f>IF(RESULTADO!$F$148&lt;=BI$62,(BI$27),0)</f>
        <v>115</v>
      </c>
      <c r="BJ76" s="19">
        <f>IF(RESULTADO!$F$148&lt;=BJ$62,(BJ$27),0)</f>
        <v>115</v>
      </c>
      <c r="BL76" s="37" t="s">
        <v>108</v>
      </c>
      <c r="BM76" s="18">
        <f>IF(RESULTADO!$F$148&lt;=BM$62,(C$27),0)</f>
        <v>0</v>
      </c>
      <c r="BN76" s="18">
        <f>IF(RESULTADO!$F$148&lt;=BN$62,(D$27),0)</f>
        <v>0</v>
      </c>
      <c r="BO76" s="18">
        <f>IF(RESULTADO!$F$148&lt;=BO$62,(E$27),0)</f>
        <v>0</v>
      </c>
      <c r="BP76" s="18">
        <f>IF(RESULTADO!$F$148&lt;=BP$62,(F$27),0)</f>
        <v>0</v>
      </c>
      <c r="BQ76" s="18">
        <f>IF(RESULTADO!$F$148&lt;=BQ$62,(G$27),0)</f>
        <v>0</v>
      </c>
      <c r="BR76" s="18">
        <f>IF(RESULTADO!$F$148&lt;=BR$62,(H$27),0)</f>
        <v>0</v>
      </c>
      <c r="BS76" s="18">
        <f>IF(RESULTADO!$F$148&lt;=BS$62,(I$27),0)</f>
        <v>0</v>
      </c>
      <c r="BT76" s="18">
        <f>IF(RESULTADO!$F$148&lt;=BT$62,(J$27),0)</f>
        <v>0</v>
      </c>
      <c r="BU76" s="18">
        <f>IF(RESULTADO!$F$148&lt;=BU$62,(K$27),0)</f>
        <v>0</v>
      </c>
      <c r="BV76" s="18">
        <f>IF(RESULTADO!$F$148&lt;=BV$62,(L$27),0)</f>
        <v>0</v>
      </c>
      <c r="BW76" s="18">
        <f>IF(RESULTADO!$F$148&lt;=BW$62,(M$27),0)</f>
        <v>0</v>
      </c>
      <c r="BX76" s="402">
        <f>IF(RESULTADO!$F$148&lt;=BX$62,(N$27),0)</f>
        <v>160</v>
      </c>
      <c r="BY76" s="403">
        <f>IF(RESULTADO!$F$148&lt;=BY$62,(O$27),0)</f>
        <v>160</v>
      </c>
      <c r="BZ76" s="18">
        <f>IF(RESULTADO!$F$148&lt;=BZ$62,(P$27),0)</f>
        <v>160</v>
      </c>
      <c r="CA76" s="18">
        <f>IF(RESULTADO!$F$148&lt;=CA$62,(Q$27),0)</f>
        <v>160</v>
      </c>
      <c r="CB76" s="18">
        <f>IF(RESULTADO!$F$148&lt;=CB$62,(R$27),0)</f>
        <v>160</v>
      </c>
      <c r="CC76" s="18">
        <f>IF(RESULTADO!$F$148&lt;=CC$62,(S$27),0)</f>
        <v>160</v>
      </c>
      <c r="CD76" s="18">
        <f>IF(RESULTADO!$F$148&lt;=CD$62,(T$27),0)</f>
        <v>160</v>
      </c>
      <c r="CE76" s="18">
        <f>IF(RESULTADO!$F$148&lt;=CE$62,(U$27),0)</f>
        <v>160</v>
      </c>
      <c r="CF76" s="18">
        <f>IF(RESULTADO!$F$148&lt;=CF$62,(V$27),0)</f>
        <v>160</v>
      </c>
      <c r="CG76" s="18">
        <f>IF(RESULTADO!$F$148&lt;=CG$62,(W$27),0)</f>
        <v>160</v>
      </c>
      <c r="CH76" s="18">
        <f>IF(RESULTADO!$F$148&lt;=CH$62,(X$27),0)</f>
        <v>160</v>
      </c>
      <c r="CI76" s="18">
        <f>IF(RESULTADO!$F$148&lt;=CI$62,(Y$27),0)</f>
        <v>160</v>
      </c>
      <c r="CJ76" s="402">
        <f>IF(RESULTADO!$F$148&lt;=CJ$62,(Z$27),0)</f>
        <v>160</v>
      </c>
      <c r="CK76" s="403">
        <f>IF(RESULTADO!$F$148&lt;=CK$62,(AA$27),0)</f>
        <v>165</v>
      </c>
      <c r="CL76" s="18">
        <f>IF(RESULTADO!$F$148&lt;=CL$62,(AB$27),0)</f>
        <v>165</v>
      </c>
      <c r="CM76" s="18">
        <f>IF(RESULTADO!$F$148&lt;=CM$62,(AC$27),0)</f>
        <v>165</v>
      </c>
      <c r="CN76" s="18">
        <f>IF(RESULTADO!$F$148&lt;=CN$62,(AD$27),0)</f>
        <v>165</v>
      </c>
      <c r="CO76" s="18">
        <f>IF(RESULTADO!$F$148&lt;=CO$62,(AE$27),0)</f>
        <v>165</v>
      </c>
      <c r="CP76" s="18">
        <f>IF(RESULTADO!$F$148&lt;=CP$62,(AF$27),0)</f>
        <v>165</v>
      </c>
      <c r="CQ76" s="18">
        <f>IF(RESULTADO!$F$148&lt;=CQ$62,(AG$27),0)</f>
        <v>165</v>
      </c>
      <c r="CR76" s="18">
        <f>IF(RESULTADO!$F$148&lt;=CR$62,(AH$27),0)</f>
        <v>165</v>
      </c>
      <c r="CS76" s="18">
        <f>IF(RESULTADO!$F$148&lt;=CS$62,(AI$27),0)</f>
        <v>165</v>
      </c>
      <c r="CT76" s="18">
        <f>IF(RESULTADO!$F$148&lt;=CT$62,(AJ$27),0)</f>
        <v>165</v>
      </c>
      <c r="CU76" s="18">
        <f>IF(RESULTADO!$F$148&lt;=CU$62,(AK$27),0)</f>
        <v>165</v>
      </c>
      <c r="CV76" s="402">
        <f>IF(RESULTADO!$F$148&lt;=CV$62,(AL$27),0)</f>
        <v>165</v>
      </c>
      <c r="CW76" s="403">
        <f>IF(RESULTADO!$F$148&lt;=CW$62,(AM$27),0)</f>
        <v>120</v>
      </c>
      <c r="CX76" s="18">
        <f>IF(RESULTADO!$F$148&lt;=CX$62,(AN$27),0)</f>
        <v>120</v>
      </c>
      <c r="CY76" s="18">
        <f>IF(RESULTADO!$F$148&lt;=CY$62,(AO$27),0)</f>
        <v>120</v>
      </c>
      <c r="CZ76" s="18">
        <f>IF(RESULTADO!$F$148&lt;=CZ$62,(AP$27),0)</f>
        <v>120</v>
      </c>
      <c r="DA76" s="18">
        <f>IF(RESULTADO!$F$148&lt;=DA$62,(AQ$27),0)</f>
        <v>120</v>
      </c>
      <c r="DB76" s="18">
        <f>IF(RESULTADO!$F$148&lt;=DB$62,(AR$27),0)</f>
        <v>120</v>
      </c>
      <c r="DC76" s="18">
        <f>IF(RESULTADO!$F$148&lt;=DC$62,(AS$27),0)</f>
        <v>120</v>
      </c>
      <c r="DD76" s="18">
        <f>IF(RESULTADO!$F$148&lt;=DD$62,(AT$27),0)</f>
        <v>120</v>
      </c>
      <c r="DE76" s="18">
        <f>IF(RESULTADO!$F$148&lt;=DE$62,(AU$27),0)</f>
        <v>120</v>
      </c>
      <c r="DF76" s="18">
        <f>IF(RESULTADO!$F$148&lt;=DF$62,(AV$27),0)</f>
        <v>120</v>
      </c>
      <c r="DG76" s="18">
        <f>IF(RESULTADO!$F$148&lt;=DG$62,(AW$27),0)</f>
        <v>120</v>
      </c>
      <c r="DH76" s="402">
        <f>IF(RESULTADO!$F$148&lt;=DH$62,(AX$27),0)</f>
        <v>120</v>
      </c>
      <c r="DI76" s="403">
        <f>IF(RESULTADO!$F$148&lt;=DI$62,(AY$27),0)</f>
        <v>115</v>
      </c>
      <c r="DJ76" s="18">
        <f>IF(RESULTADO!$F$148&lt;=DJ$62,(AZ$27),0)</f>
        <v>115</v>
      </c>
      <c r="DK76" s="18">
        <f>IF(RESULTADO!$F$148&lt;=DK$62,(BA$27),0)</f>
        <v>115</v>
      </c>
      <c r="DL76" s="18">
        <f>IF(RESULTADO!$F$148&lt;=DL$62,(BB$27),0)</f>
        <v>115</v>
      </c>
      <c r="DM76" s="18">
        <f>IF(RESULTADO!$F$148&lt;=DM$62,(BC$27),0)</f>
        <v>115</v>
      </c>
      <c r="DN76" s="18">
        <f>IF(RESULTADO!$F$148&lt;=DN$62,(BD$27),0)</f>
        <v>115</v>
      </c>
      <c r="DO76" s="18">
        <f>IF(RESULTADO!$F$148&lt;=DO$62,(BE$27),0)</f>
        <v>115</v>
      </c>
      <c r="DP76" s="18">
        <f>IF(RESULTADO!$F$148&lt;=DP$62,(BF$27),0)</f>
        <v>115</v>
      </c>
      <c r="DQ76" s="18">
        <f>IF(RESULTADO!$F$148&lt;=DQ$62,(BG$27),0)</f>
        <v>115</v>
      </c>
      <c r="DR76" s="18">
        <f>IF(RESULTADO!$F$148&lt;=DR$62,(BH$27),0)</f>
        <v>115</v>
      </c>
      <c r="DS76" s="18">
        <f>IF(RESULTADO!$F$148&lt;=DS$62,(BI$27),0)</f>
        <v>115</v>
      </c>
      <c r="DT76" s="19">
        <f>IF(RESULTADO!$F$148&lt;=DT$62,(BJ$27),0)</f>
        <v>115</v>
      </c>
    </row>
    <row r="77" spans="1:124" x14ac:dyDescent="0.25">
      <c r="A77" s="7"/>
      <c r="B77" s="37" t="s">
        <v>109</v>
      </c>
      <c r="C77" s="18">
        <f>IF(RESULTADO!$F$148&lt;=C$62,(C$27),0)</f>
        <v>0</v>
      </c>
      <c r="D77" s="18">
        <f>IF(RESULTADO!$F$148&lt;=D$62,(D$27),0)</f>
        <v>0</v>
      </c>
      <c r="E77" s="18">
        <f>IF(RESULTADO!$F$148&lt;=E$62,(E$27),0)</f>
        <v>0</v>
      </c>
      <c r="F77" s="18">
        <f>IF(RESULTADO!$F$148&lt;=F$62,(F$27),0)</f>
        <v>0</v>
      </c>
      <c r="G77" s="18">
        <f>IF(RESULTADO!$F$148&lt;=G$62,(G$27),0)</f>
        <v>0</v>
      </c>
      <c r="H77" s="18">
        <f>IF(RESULTADO!$F$148&lt;=H$62,(H$27),0)</f>
        <v>0</v>
      </c>
      <c r="I77" s="18">
        <f>IF(RESULTADO!$F$148&lt;=I$62,(I$27),0)</f>
        <v>0</v>
      </c>
      <c r="J77" s="18">
        <f>IF(RESULTADO!$F$148&lt;=J$62,(J$27),0)</f>
        <v>0</v>
      </c>
      <c r="K77" s="18">
        <f>IF(RESULTADO!$F$148&lt;=K$62,(K$27),0)</f>
        <v>0</v>
      </c>
      <c r="L77" s="18">
        <f>IF(RESULTADO!$F$148&lt;=L$62,(L$27),0)</f>
        <v>0</v>
      </c>
      <c r="M77" s="18">
        <f>IF(RESULTADO!$F$148&lt;=M$62,(M$27),0)</f>
        <v>0</v>
      </c>
      <c r="N77" s="402">
        <f>IF(RESULTADO!$F$148&lt;=N$62,(N$27),0)</f>
        <v>160</v>
      </c>
      <c r="O77" s="403">
        <f>IF(RESULTADO!$F$148&lt;=O$62,(O$27),0)</f>
        <v>160</v>
      </c>
      <c r="P77" s="18">
        <f>IF(RESULTADO!$F$148&lt;=P$62,(P$27),0)</f>
        <v>160</v>
      </c>
      <c r="Q77" s="18">
        <f>IF(RESULTADO!$F$148&lt;=Q$62,(Q$27),0)</f>
        <v>160</v>
      </c>
      <c r="R77" s="18">
        <f>IF(RESULTADO!$F$148&lt;=R$62,(R$27),0)</f>
        <v>160</v>
      </c>
      <c r="S77" s="18">
        <f>IF(RESULTADO!$F$148&lt;=S$62,(S$27),0)</f>
        <v>160</v>
      </c>
      <c r="T77" s="18">
        <f>IF(RESULTADO!$F$148&lt;=T$62,(T$27),0)</f>
        <v>160</v>
      </c>
      <c r="U77" s="18">
        <f>IF(RESULTADO!$F$148&lt;=U$62,(U$27),0)</f>
        <v>160</v>
      </c>
      <c r="V77" s="18">
        <f>IF(RESULTADO!$F$148&lt;=V$62,(V$27),0)</f>
        <v>160</v>
      </c>
      <c r="W77" s="18">
        <f>IF(RESULTADO!$F$148&lt;=W$62,(W$27),0)</f>
        <v>160</v>
      </c>
      <c r="X77" s="18">
        <f>IF(RESULTADO!$F$148&lt;=X$62,(X$27),0)</f>
        <v>160</v>
      </c>
      <c r="Y77" s="18">
        <f>IF(RESULTADO!$F$148&lt;=Y$62,(Y$27),0)</f>
        <v>160</v>
      </c>
      <c r="Z77" s="402">
        <f>IF(RESULTADO!$F$148&lt;=Z$62,(Z$27),0)</f>
        <v>160</v>
      </c>
      <c r="AA77" s="403">
        <f>IF(RESULTADO!$F$148&lt;=AA$62,(AA$27),0)</f>
        <v>165</v>
      </c>
      <c r="AB77" s="18">
        <f>IF(RESULTADO!$F$148&lt;=AB$62,(AB$27),0)</f>
        <v>165</v>
      </c>
      <c r="AC77" s="18">
        <f>IF(RESULTADO!$F$148&lt;=AC$62,(AC$27),0)</f>
        <v>165</v>
      </c>
      <c r="AD77" s="18">
        <f>IF(RESULTADO!$F$148&lt;=AD$62,(AD$27),0)</f>
        <v>165</v>
      </c>
      <c r="AE77" s="18">
        <f>IF(RESULTADO!$F$148&lt;=AE$62,(AE$27),0)</f>
        <v>165</v>
      </c>
      <c r="AF77" s="18">
        <f>IF(RESULTADO!$F$148&lt;=AF$62,(AF$27),0)</f>
        <v>165</v>
      </c>
      <c r="AG77" s="18">
        <f>IF(RESULTADO!$F$148&lt;=AG$62,(AG$27),0)</f>
        <v>165</v>
      </c>
      <c r="AH77" s="18">
        <f>IF(RESULTADO!$F$148&lt;=AH$62,(AH$27),0)</f>
        <v>165</v>
      </c>
      <c r="AI77" s="18">
        <f>IF(RESULTADO!$F$148&lt;=AI$62,(AI$27),0)</f>
        <v>165</v>
      </c>
      <c r="AJ77" s="18">
        <f>IF(RESULTADO!$F$148&lt;=AJ$62,(AJ$27),0)</f>
        <v>165</v>
      </c>
      <c r="AK77" s="18">
        <f>IF(RESULTADO!$F$148&lt;=AK$62,(AK$27),0)</f>
        <v>165</v>
      </c>
      <c r="AL77" s="402">
        <f>IF(RESULTADO!$F$148&lt;=AL$62,(AL$27),0)</f>
        <v>165</v>
      </c>
      <c r="AM77" s="403">
        <f>IF(RESULTADO!$F$148&lt;=AM$62,(AM$27),0)</f>
        <v>120</v>
      </c>
      <c r="AN77" s="18">
        <f>IF(RESULTADO!$F$148&lt;=AN$62,(AN$27),0)</f>
        <v>120</v>
      </c>
      <c r="AO77" s="18">
        <f>IF(RESULTADO!$F$148&lt;=AO$62,(AO$27),0)</f>
        <v>120</v>
      </c>
      <c r="AP77" s="18">
        <f>IF(RESULTADO!$F$148&lt;=AP$62,(AP$27),0)</f>
        <v>120</v>
      </c>
      <c r="AQ77" s="18">
        <f>IF(RESULTADO!$F$148&lt;=AQ$62,(AQ$27),0)</f>
        <v>120</v>
      </c>
      <c r="AR77" s="18">
        <f>IF(RESULTADO!$F$148&lt;=AR$62,(AR$27),0)</f>
        <v>120</v>
      </c>
      <c r="AS77" s="18">
        <f>IF(RESULTADO!$F$148&lt;=AS$62,(AS$27),0)</f>
        <v>120</v>
      </c>
      <c r="AT77" s="18">
        <f>IF(RESULTADO!$F$148&lt;=AT$62,(AT$27),0)</f>
        <v>120</v>
      </c>
      <c r="AU77" s="18">
        <f>IF(RESULTADO!$F$148&lt;=AU$62,(AU$27),0)</f>
        <v>120</v>
      </c>
      <c r="AV77" s="18">
        <f>IF(RESULTADO!$F$148&lt;=AV$62,(AV$27),0)</f>
        <v>120</v>
      </c>
      <c r="AW77" s="18">
        <f>IF(RESULTADO!$F$148&lt;=AW$62,(AW$27),0)</f>
        <v>120</v>
      </c>
      <c r="AX77" s="402">
        <f>IF(RESULTADO!$F$148&lt;=AX$62,(AX$27),0)</f>
        <v>120</v>
      </c>
      <c r="AY77" s="403">
        <f>IF(RESULTADO!$F$148&lt;=AY$62,(AY$27),0)</f>
        <v>115</v>
      </c>
      <c r="AZ77" s="18">
        <f>IF(RESULTADO!$F$148&lt;=AZ$62,(AZ$27),0)</f>
        <v>115</v>
      </c>
      <c r="BA77" s="18">
        <f>IF(RESULTADO!$F$148&lt;=BA$62,(BA$27),0)</f>
        <v>115</v>
      </c>
      <c r="BB77" s="18">
        <f>IF(RESULTADO!$F$148&lt;=BB$62,(BB$27),0)</f>
        <v>115</v>
      </c>
      <c r="BC77" s="18">
        <f>IF(RESULTADO!$F$148&lt;=BC$62,(BC$27),0)</f>
        <v>115</v>
      </c>
      <c r="BD77" s="18">
        <f>IF(RESULTADO!$F$148&lt;=BD$62,(BD$27),0)</f>
        <v>115</v>
      </c>
      <c r="BE77" s="18">
        <f>IF(RESULTADO!$F$148&lt;=BE$62,(BE$27),0)</f>
        <v>115</v>
      </c>
      <c r="BF77" s="18">
        <f>IF(RESULTADO!$F$148&lt;=BF$62,(BF$27),0)</f>
        <v>115</v>
      </c>
      <c r="BG77" s="18">
        <f>IF(RESULTADO!$F$148&lt;=BG$62,(BG$27),0)</f>
        <v>115</v>
      </c>
      <c r="BH77" s="18">
        <f>IF(RESULTADO!$F$148&lt;=BH$62,(BH$27),0)</f>
        <v>115</v>
      </c>
      <c r="BI77" s="18">
        <f>IF(RESULTADO!$F$148&lt;=BI$62,(BI$27),0)</f>
        <v>115</v>
      </c>
      <c r="BJ77" s="19">
        <f>IF(RESULTADO!$F$148&lt;=BJ$62,(BJ$27),0)</f>
        <v>115</v>
      </c>
      <c r="BL77" s="37" t="s">
        <v>109</v>
      </c>
      <c r="BM77" s="18">
        <f>IF(RESULTADO!$F$148&lt;=BM$62,(C$27),0)</f>
        <v>0</v>
      </c>
      <c r="BN77" s="18">
        <f>IF(RESULTADO!$F$148&lt;=BN$62,(D$27),0)</f>
        <v>0</v>
      </c>
      <c r="BO77" s="18">
        <f>IF(RESULTADO!$F$148&lt;=BO$62,(E$27),0)</f>
        <v>0</v>
      </c>
      <c r="BP77" s="18">
        <f>IF(RESULTADO!$F$148&lt;=BP$62,(F$27),0)</f>
        <v>0</v>
      </c>
      <c r="BQ77" s="18">
        <f>IF(RESULTADO!$F$148&lt;=BQ$62,(G$27),0)</f>
        <v>0</v>
      </c>
      <c r="BR77" s="18">
        <f>IF(RESULTADO!$F$148&lt;=BR$62,(H$27),0)</f>
        <v>0</v>
      </c>
      <c r="BS77" s="18">
        <f>IF(RESULTADO!$F$148&lt;=BS$62,(I$27),0)</f>
        <v>0</v>
      </c>
      <c r="BT77" s="18">
        <f>IF(RESULTADO!$F$148&lt;=BT$62,(J$27),0)</f>
        <v>0</v>
      </c>
      <c r="BU77" s="18">
        <f>IF(RESULTADO!$F$148&lt;=BU$62,(K$27),0)</f>
        <v>0</v>
      </c>
      <c r="BV77" s="18">
        <f>IF(RESULTADO!$F$148&lt;=BV$62,(L$27),0)</f>
        <v>0</v>
      </c>
      <c r="BW77" s="18">
        <f>IF(RESULTADO!$F$148&lt;=BW$62,(M$27),0)</f>
        <v>0</v>
      </c>
      <c r="BX77" s="402">
        <f>IF(RESULTADO!$F$148&lt;=BX$62,(N$27),0)</f>
        <v>160</v>
      </c>
      <c r="BY77" s="403">
        <f>IF(RESULTADO!$F$148&lt;=BY$62,(O$27),0)</f>
        <v>160</v>
      </c>
      <c r="BZ77" s="18">
        <f>IF(RESULTADO!$F$148&lt;=BZ$62,(P$27),0)</f>
        <v>160</v>
      </c>
      <c r="CA77" s="18">
        <f>IF(RESULTADO!$F$148&lt;=CA$62,(Q$27),0)</f>
        <v>160</v>
      </c>
      <c r="CB77" s="18">
        <f>IF(RESULTADO!$F$148&lt;=CB$62,(R$27),0)</f>
        <v>160</v>
      </c>
      <c r="CC77" s="18">
        <f>IF(RESULTADO!$F$148&lt;=CC$62,(S$27),0)</f>
        <v>160</v>
      </c>
      <c r="CD77" s="18">
        <f>IF(RESULTADO!$F$148&lt;=CD$62,(T$27),0)</f>
        <v>160</v>
      </c>
      <c r="CE77" s="18">
        <f>IF(RESULTADO!$F$148&lt;=CE$62,(U$27),0)</f>
        <v>160</v>
      </c>
      <c r="CF77" s="18">
        <f>IF(RESULTADO!$F$148&lt;=CF$62,(V$27),0)</f>
        <v>160</v>
      </c>
      <c r="CG77" s="18">
        <f>IF(RESULTADO!$F$148&lt;=CG$62,(W$27),0)</f>
        <v>160</v>
      </c>
      <c r="CH77" s="18">
        <f>IF(RESULTADO!$F$148&lt;=CH$62,(X$27),0)</f>
        <v>160</v>
      </c>
      <c r="CI77" s="18">
        <f>IF(RESULTADO!$F$148&lt;=CI$62,(Y$27),0)</f>
        <v>160</v>
      </c>
      <c r="CJ77" s="402">
        <f>IF(RESULTADO!$F$148&lt;=CJ$62,(Z$27),0)</f>
        <v>160</v>
      </c>
      <c r="CK77" s="403">
        <f>IF(RESULTADO!$F$148&lt;=CK$62,(AA$27),0)</f>
        <v>165</v>
      </c>
      <c r="CL77" s="18">
        <f>IF(RESULTADO!$F$148&lt;=CL$62,(AB$27),0)</f>
        <v>165</v>
      </c>
      <c r="CM77" s="18">
        <f>IF(RESULTADO!$F$148&lt;=CM$62,(AC$27),0)</f>
        <v>165</v>
      </c>
      <c r="CN77" s="18">
        <f>IF(RESULTADO!$F$148&lt;=CN$62,(AD$27),0)</f>
        <v>165</v>
      </c>
      <c r="CO77" s="18">
        <f>IF(RESULTADO!$F$148&lt;=CO$62,(AE$27),0)</f>
        <v>165</v>
      </c>
      <c r="CP77" s="18">
        <f>IF(RESULTADO!$F$148&lt;=CP$62,(AF$27),0)</f>
        <v>165</v>
      </c>
      <c r="CQ77" s="18">
        <f>IF(RESULTADO!$F$148&lt;=CQ$62,(AG$27),0)</f>
        <v>165</v>
      </c>
      <c r="CR77" s="18">
        <f>IF(RESULTADO!$F$148&lt;=CR$62,(AH$27),0)</f>
        <v>165</v>
      </c>
      <c r="CS77" s="18">
        <f>IF(RESULTADO!$F$148&lt;=CS$62,(AI$27),0)</f>
        <v>165</v>
      </c>
      <c r="CT77" s="18">
        <f>IF(RESULTADO!$F$148&lt;=CT$62,(AJ$27),0)</f>
        <v>165</v>
      </c>
      <c r="CU77" s="18">
        <f>IF(RESULTADO!$F$148&lt;=CU$62,(AK$27),0)</f>
        <v>165</v>
      </c>
      <c r="CV77" s="402">
        <f>IF(RESULTADO!$F$148&lt;=CV$62,(AL$27),0)</f>
        <v>165</v>
      </c>
      <c r="CW77" s="403">
        <f>IF(RESULTADO!$F$148&lt;=CW$62,(AM$27),0)</f>
        <v>120</v>
      </c>
      <c r="CX77" s="18">
        <f>IF(RESULTADO!$F$148&lt;=CX$62,(AN$27),0)</f>
        <v>120</v>
      </c>
      <c r="CY77" s="18">
        <f>IF(RESULTADO!$F$148&lt;=CY$62,(AO$27),0)</f>
        <v>120</v>
      </c>
      <c r="CZ77" s="18">
        <f>IF(RESULTADO!$F$148&lt;=CZ$62,(AP$27),0)</f>
        <v>120</v>
      </c>
      <c r="DA77" s="18">
        <f>IF(RESULTADO!$F$148&lt;=DA$62,(AQ$27),0)</f>
        <v>120</v>
      </c>
      <c r="DB77" s="18">
        <f>IF(RESULTADO!$F$148&lt;=DB$62,(AR$27),0)</f>
        <v>120</v>
      </c>
      <c r="DC77" s="18">
        <f>IF(RESULTADO!$F$148&lt;=DC$62,(AS$27),0)</f>
        <v>120</v>
      </c>
      <c r="DD77" s="18">
        <f>IF(RESULTADO!$F$148&lt;=DD$62,(AT$27),0)</f>
        <v>120</v>
      </c>
      <c r="DE77" s="18">
        <f>IF(RESULTADO!$F$148&lt;=DE$62,(AU$27),0)</f>
        <v>120</v>
      </c>
      <c r="DF77" s="18">
        <f>IF(RESULTADO!$F$148&lt;=DF$62,(AV$27),0)</f>
        <v>120</v>
      </c>
      <c r="DG77" s="18">
        <f>IF(RESULTADO!$F$148&lt;=DG$62,(AW$27),0)</f>
        <v>120</v>
      </c>
      <c r="DH77" s="402">
        <f>IF(RESULTADO!$F$148&lt;=DH$62,(AX$27),0)</f>
        <v>120</v>
      </c>
      <c r="DI77" s="403">
        <f>IF(RESULTADO!$F$148&lt;=DI$62,(AY$27),0)</f>
        <v>115</v>
      </c>
      <c r="DJ77" s="18">
        <f>IF(RESULTADO!$F$148&lt;=DJ$62,(AZ$27),0)</f>
        <v>115</v>
      </c>
      <c r="DK77" s="18">
        <f>IF(RESULTADO!$F$148&lt;=DK$62,(BA$27),0)</f>
        <v>115</v>
      </c>
      <c r="DL77" s="18">
        <f>IF(RESULTADO!$F$148&lt;=DL$62,(BB$27),0)</f>
        <v>115</v>
      </c>
      <c r="DM77" s="18">
        <f>IF(RESULTADO!$F$148&lt;=DM$62,(BC$27),0)</f>
        <v>115</v>
      </c>
      <c r="DN77" s="18">
        <f>IF(RESULTADO!$F$148&lt;=DN$62,(BD$27),0)</f>
        <v>115</v>
      </c>
      <c r="DO77" s="18">
        <f>IF(RESULTADO!$F$148&lt;=DO$62,(BE$27),0)</f>
        <v>115</v>
      </c>
      <c r="DP77" s="18">
        <f>IF(RESULTADO!$F$148&lt;=DP$62,(BF$27),0)</f>
        <v>115</v>
      </c>
      <c r="DQ77" s="18">
        <f>IF(RESULTADO!$F$148&lt;=DQ$62,(BG$27),0)</f>
        <v>115</v>
      </c>
      <c r="DR77" s="18">
        <f>IF(RESULTADO!$F$148&lt;=DR$62,(BH$27),0)</f>
        <v>115</v>
      </c>
      <c r="DS77" s="18">
        <f>IF(RESULTADO!$F$148&lt;=DS$62,(BI$27),0)</f>
        <v>115</v>
      </c>
      <c r="DT77" s="19">
        <f>IF(RESULTADO!$F$148&lt;=DT$62,(BJ$27),0)</f>
        <v>115</v>
      </c>
    </row>
    <row r="78" spans="1:124" ht="15.75" thickBot="1" x14ac:dyDescent="0.3">
      <c r="A78" s="7"/>
      <c r="B78" s="38" t="s">
        <v>110</v>
      </c>
      <c r="C78" s="23">
        <f>IF(RESULTADO!$F$148&lt;=C$62,(C$27),0)</f>
        <v>0</v>
      </c>
      <c r="D78" s="23">
        <f>IF(RESULTADO!$F$148&lt;=D$62,(D$27),0)</f>
        <v>0</v>
      </c>
      <c r="E78" s="23">
        <f>IF(RESULTADO!$F$148&lt;=E$62,(E$27),0)</f>
        <v>0</v>
      </c>
      <c r="F78" s="23">
        <f>IF(RESULTADO!$F$148&lt;=F$62,(F$27),0)</f>
        <v>0</v>
      </c>
      <c r="G78" s="23">
        <f>IF(RESULTADO!$F$148&lt;=G$62,(G$27),0)</f>
        <v>0</v>
      </c>
      <c r="H78" s="23">
        <f>IF(RESULTADO!$F$148&lt;=H$62,(H$27),0)</f>
        <v>0</v>
      </c>
      <c r="I78" s="23">
        <f>IF(RESULTADO!$F$148&lt;=I$62,(I$27),0)</f>
        <v>0</v>
      </c>
      <c r="J78" s="23">
        <f>IF(RESULTADO!$F$148&lt;=J$62,(J$27),0)</f>
        <v>0</v>
      </c>
      <c r="K78" s="23">
        <f>IF(RESULTADO!$F$148&lt;=K$62,(K$27),0)</f>
        <v>0</v>
      </c>
      <c r="L78" s="23">
        <f>IF(RESULTADO!$F$148&lt;=L$62,(L$27),0)</f>
        <v>0</v>
      </c>
      <c r="M78" s="23">
        <f>IF(RESULTADO!$F$148&lt;=M$62,(M$27),0)</f>
        <v>0</v>
      </c>
      <c r="N78" s="404">
        <f>IF(RESULTADO!$F$148&lt;=N$62,(N$27),0)</f>
        <v>160</v>
      </c>
      <c r="O78" s="405">
        <f>IF(RESULTADO!$F$148&lt;=O$62,(O$27),0)</f>
        <v>160</v>
      </c>
      <c r="P78" s="23">
        <f>IF(RESULTADO!$F$148&lt;=P$62,(P$27),0)</f>
        <v>160</v>
      </c>
      <c r="Q78" s="23">
        <f>IF(RESULTADO!$F$148&lt;=Q$62,(Q$27),0)</f>
        <v>160</v>
      </c>
      <c r="R78" s="23">
        <f>IF(RESULTADO!$F$148&lt;=R$62,(R$27),0)</f>
        <v>160</v>
      </c>
      <c r="S78" s="23">
        <f>IF(RESULTADO!$F$148&lt;=S$62,(S$27),0)</f>
        <v>160</v>
      </c>
      <c r="T78" s="23">
        <f>IF(RESULTADO!$F$148&lt;=T$62,(T$27),0)</f>
        <v>160</v>
      </c>
      <c r="U78" s="23">
        <f>IF(RESULTADO!$F$148&lt;=U$62,(U$27),0)</f>
        <v>160</v>
      </c>
      <c r="V78" s="23">
        <f>IF(RESULTADO!$F$148&lt;=V$62,(V$27),0)</f>
        <v>160</v>
      </c>
      <c r="W78" s="23">
        <f>IF(RESULTADO!$F$148&lt;=W$62,(W$27),0)</f>
        <v>160</v>
      </c>
      <c r="X78" s="23">
        <f>IF(RESULTADO!$F$148&lt;=X$62,(X$27),0)</f>
        <v>160</v>
      </c>
      <c r="Y78" s="23">
        <f>IF(RESULTADO!$F$148&lt;=Y$62,(Y$27),0)</f>
        <v>160</v>
      </c>
      <c r="Z78" s="404">
        <f>IF(RESULTADO!$F$148&lt;=Z$62,(Z$27),0)</f>
        <v>160</v>
      </c>
      <c r="AA78" s="405">
        <f>IF(RESULTADO!$F$148&lt;=AA$62,(AA$27),0)</f>
        <v>165</v>
      </c>
      <c r="AB78" s="23">
        <f>IF(RESULTADO!$F$148&lt;=AB$62,(AB$27),0)</f>
        <v>165</v>
      </c>
      <c r="AC78" s="23">
        <f>IF(RESULTADO!$F$148&lt;=AC$62,(AC$27),0)</f>
        <v>165</v>
      </c>
      <c r="AD78" s="23">
        <f>IF(RESULTADO!$F$148&lt;=AD$62,(AD$27),0)</f>
        <v>165</v>
      </c>
      <c r="AE78" s="23">
        <f>IF(RESULTADO!$F$148&lt;=AE$62,(AE$27),0)</f>
        <v>165</v>
      </c>
      <c r="AF78" s="23">
        <f>IF(RESULTADO!$F$148&lt;=AF$62,(AF$27),0)</f>
        <v>165</v>
      </c>
      <c r="AG78" s="23">
        <f>IF(RESULTADO!$F$148&lt;=AG$62,(AG$27),0)</f>
        <v>165</v>
      </c>
      <c r="AH78" s="23">
        <f>IF(RESULTADO!$F$148&lt;=AH$62,(AH$27),0)</f>
        <v>165</v>
      </c>
      <c r="AI78" s="23">
        <f>IF(RESULTADO!$F$148&lt;=AI$62,(AI$27),0)</f>
        <v>165</v>
      </c>
      <c r="AJ78" s="23">
        <f>IF(RESULTADO!$F$148&lt;=AJ$62,(AJ$27),0)</f>
        <v>165</v>
      </c>
      <c r="AK78" s="23">
        <f>IF(RESULTADO!$F$148&lt;=AK$62,(AK$27),0)</f>
        <v>165</v>
      </c>
      <c r="AL78" s="404">
        <f>IF(RESULTADO!$F$148&lt;=AL$62,(AL$27),0)</f>
        <v>165</v>
      </c>
      <c r="AM78" s="405">
        <f>IF(RESULTADO!$F$148&lt;=AM$62,(AM$27),0)</f>
        <v>120</v>
      </c>
      <c r="AN78" s="23">
        <f>IF(RESULTADO!$F$148&lt;=AN$62,(AN$27),0)</f>
        <v>120</v>
      </c>
      <c r="AO78" s="23">
        <f>IF(RESULTADO!$F$148&lt;=AO$62,(AO$27),0)</f>
        <v>120</v>
      </c>
      <c r="AP78" s="23">
        <f>IF(RESULTADO!$F$148&lt;=AP$62,(AP$27),0)</f>
        <v>120</v>
      </c>
      <c r="AQ78" s="23">
        <f>IF(RESULTADO!$F$148&lt;=AQ$62,(AQ$27),0)</f>
        <v>120</v>
      </c>
      <c r="AR78" s="23">
        <f>IF(RESULTADO!$F$148&lt;=AR$62,(AR$27),0)</f>
        <v>120</v>
      </c>
      <c r="AS78" s="23">
        <f>IF(RESULTADO!$F$148&lt;=AS$62,(AS$27),0)</f>
        <v>120</v>
      </c>
      <c r="AT78" s="23">
        <f>IF(RESULTADO!$F$148&lt;=AT$62,(AT$27),0)</f>
        <v>120</v>
      </c>
      <c r="AU78" s="23">
        <f>IF(RESULTADO!$F$148&lt;=AU$62,(AU$27),0)</f>
        <v>120</v>
      </c>
      <c r="AV78" s="23">
        <f>IF(RESULTADO!$F$148&lt;=AV$62,(AV$27),0)</f>
        <v>120</v>
      </c>
      <c r="AW78" s="23">
        <f>IF(RESULTADO!$F$148&lt;=AW$62,(AW$27),0)</f>
        <v>120</v>
      </c>
      <c r="AX78" s="404">
        <f>IF(RESULTADO!$F$148&lt;=AX$62,(AX$27),0)</f>
        <v>120</v>
      </c>
      <c r="AY78" s="405">
        <f>IF(RESULTADO!$F$148&lt;=AY$62,(AY$27),0)</f>
        <v>115</v>
      </c>
      <c r="AZ78" s="23">
        <f>IF(RESULTADO!$F$148&lt;=AZ$62,(AZ$27),0)</f>
        <v>115</v>
      </c>
      <c r="BA78" s="23">
        <f>IF(RESULTADO!$F$148&lt;=BA$62,(BA$27),0)</f>
        <v>115</v>
      </c>
      <c r="BB78" s="23">
        <f>IF(RESULTADO!$F$148&lt;=BB$62,(BB$27),0)</f>
        <v>115</v>
      </c>
      <c r="BC78" s="23">
        <f>IF(RESULTADO!$F$148&lt;=BC$62,(BC$27),0)</f>
        <v>115</v>
      </c>
      <c r="BD78" s="23">
        <f>IF(RESULTADO!$F$148&lt;=BD$62,(BD$27),0)</f>
        <v>115</v>
      </c>
      <c r="BE78" s="23">
        <f>IF(RESULTADO!$F$148&lt;=BE$62,(BE$27),0)</f>
        <v>115</v>
      </c>
      <c r="BF78" s="23">
        <f>IF(RESULTADO!$F$148&lt;=BF$62,(BF$27),0)</f>
        <v>115</v>
      </c>
      <c r="BG78" s="23">
        <f>IF(RESULTADO!$F$148&lt;=BG$62,(BG$27),0)</f>
        <v>115</v>
      </c>
      <c r="BH78" s="23">
        <f>IF(RESULTADO!$F$148&lt;=BH$62,(BH$27),0)</f>
        <v>115</v>
      </c>
      <c r="BI78" s="23">
        <f>IF(RESULTADO!$F$148&lt;=BI$62,(BI$27),0)</f>
        <v>115</v>
      </c>
      <c r="BJ78" s="24">
        <f>IF(RESULTADO!$F$148&lt;=BJ$62,(BJ$27),0)</f>
        <v>115</v>
      </c>
      <c r="BL78" s="38" t="s">
        <v>110</v>
      </c>
      <c r="BM78" s="23">
        <f>IF(RESULTADO!$F$148&lt;=BM$62,(C$27),0)</f>
        <v>0</v>
      </c>
      <c r="BN78" s="23">
        <f>IF(RESULTADO!$F$148&lt;=BN$62,(D$27),0)</f>
        <v>0</v>
      </c>
      <c r="BO78" s="23">
        <f>IF(RESULTADO!$F$148&lt;=BO$62,(E$27),0)</f>
        <v>0</v>
      </c>
      <c r="BP78" s="23">
        <f>IF(RESULTADO!$F$148&lt;=BP$62,(F$27),0)</f>
        <v>0</v>
      </c>
      <c r="BQ78" s="23">
        <f>IF(RESULTADO!$F$148&lt;=BQ$62,(G$27),0)</f>
        <v>0</v>
      </c>
      <c r="BR78" s="23">
        <f>IF(RESULTADO!$F$148&lt;=BR$62,(H$27),0)</f>
        <v>0</v>
      </c>
      <c r="BS78" s="23">
        <f>IF(RESULTADO!$F$148&lt;=BS$62,(I$27),0)</f>
        <v>0</v>
      </c>
      <c r="BT78" s="23">
        <f>IF(RESULTADO!$F$148&lt;=BT$62,(J$27),0)</f>
        <v>0</v>
      </c>
      <c r="BU78" s="23">
        <f>IF(RESULTADO!$F$148&lt;=BU$62,(K$27),0)</f>
        <v>0</v>
      </c>
      <c r="BV78" s="23">
        <f>IF(RESULTADO!$F$148&lt;=BV$62,(L$27),0)</f>
        <v>0</v>
      </c>
      <c r="BW78" s="23">
        <f>IF(RESULTADO!$F$148&lt;=BW$62,(M$27),0)</f>
        <v>0</v>
      </c>
      <c r="BX78" s="404">
        <f>IF(RESULTADO!$F$148&lt;=BX$62,(N$27),0)</f>
        <v>160</v>
      </c>
      <c r="BY78" s="405">
        <f>IF(RESULTADO!$F$148&lt;=BY$62,(O$27),0)</f>
        <v>160</v>
      </c>
      <c r="BZ78" s="23">
        <f>IF(RESULTADO!$F$148&lt;=BZ$62,(P$27),0)</f>
        <v>160</v>
      </c>
      <c r="CA78" s="23">
        <f>IF(RESULTADO!$F$148&lt;=CA$62,(Q$27),0)</f>
        <v>160</v>
      </c>
      <c r="CB78" s="23">
        <f>IF(RESULTADO!$F$148&lt;=CB$62,(R$27),0)</f>
        <v>160</v>
      </c>
      <c r="CC78" s="23">
        <f>IF(RESULTADO!$F$148&lt;=CC$62,(S$27),0)</f>
        <v>160</v>
      </c>
      <c r="CD78" s="23">
        <f>IF(RESULTADO!$F$148&lt;=CD$62,(T$27),0)</f>
        <v>160</v>
      </c>
      <c r="CE78" s="23">
        <f>IF(RESULTADO!$F$148&lt;=CE$62,(U$27),0)</f>
        <v>160</v>
      </c>
      <c r="CF78" s="23">
        <f>IF(RESULTADO!$F$148&lt;=CF$62,(V$27),0)</f>
        <v>160</v>
      </c>
      <c r="CG78" s="23">
        <f>IF(RESULTADO!$F$148&lt;=CG$62,(W$27),0)</f>
        <v>160</v>
      </c>
      <c r="CH78" s="23">
        <f>IF(RESULTADO!$F$148&lt;=CH$62,(X$27),0)</f>
        <v>160</v>
      </c>
      <c r="CI78" s="23">
        <f>IF(RESULTADO!$F$148&lt;=CI$62,(Y$27),0)</f>
        <v>160</v>
      </c>
      <c r="CJ78" s="404">
        <f>IF(RESULTADO!$F$148&lt;=CJ$62,(Z$27),0)</f>
        <v>160</v>
      </c>
      <c r="CK78" s="405">
        <f>IF(RESULTADO!$F$148&lt;=CK$62,(AA$27),0)</f>
        <v>165</v>
      </c>
      <c r="CL78" s="23">
        <f>IF(RESULTADO!$F$148&lt;=CL$62,(AB$27),0)</f>
        <v>165</v>
      </c>
      <c r="CM78" s="23">
        <f>IF(RESULTADO!$F$148&lt;=CM$62,(AC$27),0)</f>
        <v>165</v>
      </c>
      <c r="CN78" s="23">
        <f>IF(RESULTADO!$F$148&lt;=CN$62,(AD$27),0)</f>
        <v>165</v>
      </c>
      <c r="CO78" s="23">
        <f>IF(RESULTADO!$F$148&lt;=CO$62,(AE$27),0)</f>
        <v>165</v>
      </c>
      <c r="CP78" s="23">
        <f>IF(RESULTADO!$F$148&lt;=CP$62,(AF$27),0)</f>
        <v>165</v>
      </c>
      <c r="CQ78" s="23">
        <f>IF(RESULTADO!$F$148&lt;=CQ$62,(AG$27),0)</f>
        <v>165</v>
      </c>
      <c r="CR78" s="23">
        <f>IF(RESULTADO!$F$148&lt;=CR$62,(AH$27),0)</f>
        <v>165</v>
      </c>
      <c r="CS78" s="23">
        <f>IF(RESULTADO!$F$148&lt;=CS$62,(AI$27),0)</f>
        <v>165</v>
      </c>
      <c r="CT78" s="23">
        <f>IF(RESULTADO!$F$148&lt;=CT$62,(AJ$27),0)</f>
        <v>165</v>
      </c>
      <c r="CU78" s="23">
        <f>IF(RESULTADO!$F$148&lt;=CU$62,(AK$27),0)</f>
        <v>165</v>
      </c>
      <c r="CV78" s="404">
        <f>IF(RESULTADO!$F$148&lt;=CV$62,(AL$27),0)</f>
        <v>165</v>
      </c>
      <c r="CW78" s="405">
        <f>IF(RESULTADO!$F$148&lt;=CW$62,(AM$27),0)</f>
        <v>120</v>
      </c>
      <c r="CX78" s="23">
        <f>IF(RESULTADO!$F$148&lt;=CX$62,(AN$27),0)</f>
        <v>120</v>
      </c>
      <c r="CY78" s="23">
        <f>IF(RESULTADO!$F$148&lt;=CY$62,(AO$27),0)</f>
        <v>120</v>
      </c>
      <c r="CZ78" s="23">
        <f>IF(RESULTADO!$F$148&lt;=CZ$62,(AP$27),0)</f>
        <v>120</v>
      </c>
      <c r="DA78" s="23">
        <f>IF(RESULTADO!$F$148&lt;=DA$62,(AQ$27),0)</f>
        <v>120</v>
      </c>
      <c r="DB78" s="23">
        <f>IF(RESULTADO!$F$148&lt;=DB$62,(AR$27),0)</f>
        <v>120</v>
      </c>
      <c r="DC78" s="23">
        <f>IF(RESULTADO!$F$148&lt;=DC$62,(AS$27),0)</f>
        <v>120</v>
      </c>
      <c r="DD78" s="23">
        <f>IF(RESULTADO!$F$148&lt;=DD$62,(AT$27),0)</f>
        <v>120</v>
      </c>
      <c r="DE78" s="23">
        <f>IF(RESULTADO!$F$148&lt;=DE$62,(AU$27),0)</f>
        <v>120</v>
      </c>
      <c r="DF78" s="23">
        <f>IF(RESULTADO!$F$148&lt;=DF$62,(AV$27),0)</f>
        <v>120</v>
      </c>
      <c r="DG78" s="23">
        <f>IF(RESULTADO!$F$148&lt;=DG$62,(AW$27),0)</f>
        <v>120</v>
      </c>
      <c r="DH78" s="404">
        <f>IF(RESULTADO!$F$148&lt;=DH$62,(AX$27),0)</f>
        <v>120</v>
      </c>
      <c r="DI78" s="405">
        <f>IF(RESULTADO!$F$148&lt;=DI$62,(AY$27),0)</f>
        <v>115</v>
      </c>
      <c r="DJ78" s="23">
        <f>IF(RESULTADO!$F$148&lt;=DJ$62,(AZ$27),0)</f>
        <v>115</v>
      </c>
      <c r="DK78" s="23">
        <f>IF(RESULTADO!$F$148&lt;=DK$62,(BA$27),0)</f>
        <v>115</v>
      </c>
      <c r="DL78" s="23">
        <f>IF(RESULTADO!$F$148&lt;=DL$62,(BB$27),0)</f>
        <v>115</v>
      </c>
      <c r="DM78" s="23">
        <f>IF(RESULTADO!$F$148&lt;=DM$62,(BC$27),0)</f>
        <v>115</v>
      </c>
      <c r="DN78" s="23">
        <f>IF(RESULTADO!$F$148&lt;=DN$62,(BD$27),0)</f>
        <v>115</v>
      </c>
      <c r="DO78" s="23">
        <f>IF(RESULTADO!$F$148&lt;=DO$62,(BE$27),0)</f>
        <v>115</v>
      </c>
      <c r="DP78" s="23">
        <f>IF(RESULTADO!$F$148&lt;=DP$62,(BF$27),0)</f>
        <v>115</v>
      </c>
      <c r="DQ78" s="23">
        <f>IF(RESULTADO!$F$148&lt;=DQ$62,(BG$27),0)</f>
        <v>115</v>
      </c>
      <c r="DR78" s="23">
        <f>IF(RESULTADO!$F$148&lt;=DR$62,(BH$27),0)</f>
        <v>115</v>
      </c>
      <c r="DS78" s="23">
        <f>IF(RESULTADO!$F$148&lt;=DS$62,(BI$27),0)</f>
        <v>115</v>
      </c>
      <c r="DT78" s="24">
        <f>IF(RESULTADO!$F$148&lt;=DT$62,(BJ$27),0)</f>
        <v>115</v>
      </c>
    </row>
    <row r="79" spans="1:124" x14ac:dyDescent="0.25">
      <c r="A79" s="7"/>
      <c r="B79" s="36" t="s">
        <v>122</v>
      </c>
      <c r="C79" s="20">
        <f>+IF(RESULTADO!$C$102&lt;&gt;0,0,C71-C67)</f>
        <v>0</v>
      </c>
      <c r="D79" s="20">
        <f>+IF(RESULTADO!$C$102&lt;&gt;0,0,D71-D67)</f>
        <v>0</v>
      </c>
      <c r="E79" s="20">
        <f>+IF(RESULTADO!$C$102&lt;&gt;0,0,E71-E67)</f>
        <v>0</v>
      </c>
      <c r="F79" s="20">
        <f>+IF(RESULTADO!$C$102&lt;&gt;0,0,F71-F67)</f>
        <v>0</v>
      </c>
      <c r="G79" s="20">
        <f>+IF(RESULTADO!$C$102&lt;&gt;0,0,G71-G67)</f>
        <v>0</v>
      </c>
      <c r="H79" s="20">
        <f>+IF(RESULTADO!$C$102&lt;&gt;0,0,H71-H67)</f>
        <v>0</v>
      </c>
      <c r="I79" s="20">
        <f>+IF(RESULTADO!$C$102&lt;&gt;0,0,I71-I67)</f>
        <v>0</v>
      </c>
      <c r="J79" s="20">
        <f>+IF(RESULTADO!$C$102&lt;&gt;0,0,J71-J67)</f>
        <v>0</v>
      </c>
      <c r="K79" s="20">
        <f>+IF(RESULTADO!$C$102&lt;&gt;0,0,K71-K67)</f>
        <v>0</v>
      </c>
      <c r="L79" s="20">
        <f>+IF(RESULTADO!$C$102&lt;&gt;0,0,L71-L67)</f>
        <v>0</v>
      </c>
      <c r="M79" s="20">
        <f>+IF(RESULTADO!$C$102&lt;&gt;0,0,M71-M67)</f>
        <v>0</v>
      </c>
      <c r="N79" s="400">
        <f>+IF(RESULTADO!$C$102&lt;&gt;0,0,N71-N67)</f>
        <v>27</v>
      </c>
      <c r="O79" s="401">
        <f>+IF(RESULTADO!$C$102&lt;&gt;0,0,O71-O67)</f>
        <v>30</v>
      </c>
      <c r="P79" s="20">
        <f>+IF(RESULTADO!$C$102&lt;&gt;0,0,P71-P67)</f>
        <v>30</v>
      </c>
      <c r="Q79" s="20">
        <f>+IF(RESULTADO!$C$102&lt;&gt;0,0,Q71-Q67)</f>
        <v>30</v>
      </c>
      <c r="R79" s="20">
        <f>+IF(RESULTADO!$C$102&lt;&gt;0,0,R71-R67)</f>
        <v>30</v>
      </c>
      <c r="S79" s="20">
        <f>+IF(RESULTADO!$C$102&lt;&gt;0,0,S71-S67)</f>
        <v>30</v>
      </c>
      <c r="T79" s="20">
        <f>+IF(RESULTADO!$C$102&lt;&gt;0,0,T71-T67)</f>
        <v>30</v>
      </c>
      <c r="U79" s="20">
        <f>+IF(RESULTADO!$C$102&lt;&gt;0,0,U71-U67)</f>
        <v>30</v>
      </c>
      <c r="V79" s="20">
        <f>+IF(RESULTADO!$C$102&lt;&gt;0,0,V71-V67)</f>
        <v>30</v>
      </c>
      <c r="W79" s="20">
        <f>+IF(RESULTADO!$C$102&lt;&gt;0,0,W71-W67)</f>
        <v>30</v>
      </c>
      <c r="X79" s="20">
        <f>+IF(RESULTADO!$C$102&lt;&gt;0,0,X71-X67)</f>
        <v>30</v>
      </c>
      <c r="Y79" s="20">
        <f>+IF(RESULTADO!$C$102&lt;&gt;0,0,Y71-Y67)</f>
        <v>30</v>
      </c>
      <c r="Z79" s="400">
        <f>+IF(RESULTADO!$C$102&lt;&gt;0,0,Z71-Z67)</f>
        <v>30</v>
      </c>
      <c r="AA79" s="401">
        <f>+IF(RESULTADO!$C$102&lt;&gt;0,0,AA71-AA67)</f>
        <v>32</v>
      </c>
      <c r="AB79" s="20">
        <f>+IF(RESULTADO!$C$102&lt;&gt;0,0,AB71-AB67)</f>
        <v>32</v>
      </c>
      <c r="AC79" s="20">
        <f>+IF(RESULTADO!$C$102&lt;&gt;0,0,AC71-AC67)</f>
        <v>32</v>
      </c>
      <c r="AD79" s="20">
        <f>+IF(RESULTADO!$C$102&lt;&gt;0,0,AD71-AD67)</f>
        <v>32</v>
      </c>
      <c r="AE79" s="20">
        <f>+IF(RESULTADO!$C$102&lt;&gt;0,0,AE71-AE67)</f>
        <v>32</v>
      </c>
      <c r="AF79" s="20">
        <f>+IF(RESULTADO!$C$102&lt;&gt;0,0,AF71-AF67)</f>
        <v>32</v>
      </c>
      <c r="AG79" s="20">
        <f>+IF(RESULTADO!$C$102&lt;&gt;0,0,AG71-AG67)</f>
        <v>32</v>
      </c>
      <c r="AH79" s="20">
        <f>+IF(RESULTADO!$C$102&lt;&gt;0,0,AH71-AH67)</f>
        <v>32</v>
      </c>
      <c r="AI79" s="20">
        <f>+IF(RESULTADO!$C$102&lt;&gt;0,0,AI71-AI67)</f>
        <v>32</v>
      </c>
      <c r="AJ79" s="20">
        <f>+IF(RESULTADO!$C$102&lt;&gt;0,0,AJ71-AJ67)</f>
        <v>32</v>
      </c>
      <c r="AK79" s="20">
        <f>+IF(RESULTADO!$C$102&lt;&gt;0,0,AK71-AK67)</f>
        <v>32</v>
      </c>
      <c r="AL79" s="400">
        <f>+IF(RESULTADO!$C$102&lt;&gt;0,0,AL71-AL67)</f>
        <v>32</v>
      </c>
      <c r="AM79" s="401">
        <f>+IF(RESULTADO!$C$102&lt;&gt;0,0,AM71-AM67)</f>
        <v>37</v>
      </c>
      <c r="AN79" s="20">
        <f>+IF(RESULTADO!$C$102&lt;&gt;0,0,AN71-AN67)</f>
        <v>37</v>
      </c>
      <c r="AO79" s="20">
        <f>+IF(RESULTADO!$C$102&lt;&gt;0,0,AO71-AO67)</f>
        <v>37</v>
      </c>
      <c r="AP79" s="20">
        <f>+IF(RESULTADO!$C$102&lt;&gt;0,0,AP71-AP67)</f>
        <v>37</v>
      </c>
      <c r="AQ79" s="20">
        <f>+IF(RESULTADO!$C$102&lt;&gt;0,0,AQ71-AQ67)</f>
        <v>37</v>
      </c>
      <c r="AR79" s="20">
        <f>+IF(RESULTADO!$C$102&lt;&gt;0,0,AR71-AR67)</f>
        <v>37</v>
      </c>
      <c r="AS79" s="20">
        <f>+IF(RESULTADO!$C$102&lt;&gt;0,0,AS71-AS67)</f>
        <v>37</v>
      </c>
      <c r="AT79" s="20">
        <f>+IF(RESULTADO!$C$102&lt;&gt;0,0,AT71-AT67)</f>
        <v>37</v>
      </c>
      <c r="AU79" s="20">
        <f>+IF(RESULTADO!$C$102&lt;&gt;0,0,AU71-AU67)</f>
        <v>37</v>
      </c>
      <c r="AV79" s="20">
        <f>+IF(RESULTADO!$C$102&lt;&gt;0,0,AV71-AV67)</f>
        <v>37</v>
      </c>
      <c r="AW79" s="20">
        <f>+IF(RESULTADO!$C$102&lt;&gt;0,0,AW71-AW67)</f>
        <v>37</v>
      </c>
      <c r="AX79" s="400">
        <f>+IF(RESULTADO!$C$102&lt;&gt;0,0,AX71-AX67)</f>
        <v>37</v>
      </c>
      <c r="AY79" s="401">
        <f>+IF(RESULTADO!$C$102&lt;&gt;0,0,AY71-AY67)</f>
        <v>35</v>
      </c>
      <c r="AZ79" s="20">
        <f>+IF(RESULTADO!$C$102&lt;&gt;0,0,AZ71-AZ67)</f>
        <v>35</v>
      </c>
      <c r="BA79" s="20">
        <f>+IF(RESULTADO!$C$102&lt;&gt;0,0,BA71-BA67)</f>
        <v>35</v>
      </c>
      <c r="BB79" s="20">
        <f>+IF(RESULTADO!$C$102&lt;&gt;0,0,BB71-BB67)</f>
        <v>35</v>
      </c>
      <c r="BC79" s="20">
        <f>+IF(RESULTADO!$C$102&lt;&gt;0,0,BC71-BC67)</f>
        <v>35</v>
      </c>
      <c r="BD79" s="20">
        <f>+IF(RESULTADO!$C$102&lt;&gt;0,0,BD71-BD67)</f>
        <v>35</v>
      </c>
      <c r="BE79" s="20">
        <f>+IF(RESULTADO!$C$102&lt;&gt;0,0,BE71-BE67)</f>
        <v>35</v>
      </c>
      <c r="BF79" s="20">
        <f>+IF(RESULTADO!$C$102&lt;&gt;0,0,BF71-BF67)</f>
        <v>35</v>
      </c>
      <c r="BG79" s="20">
        <f>+IF(RESULTADO!$C$102&lt;&gt;0,0,BG71-BG67)</f>
        <v>35</v>
      </c>
      <c r="BH79" s="20">
        <f>+IF(RESULTADO!$C$102&lt;&gt;0,0,BH71-BH67)</f>
        <v>35</v>
      </c>
      <c r="BI79" s="20">
        <f>+IF(RESULTADO!$C$102&lt;&gt;0,0,BI71-BI67)</f>
        <v>35</v>
      </c>
      <c r="BJ79" s="21">
        <f>+IF(RESULTADO!$C$102&lt;&gt;0,0,BJ71-BJ67)</f>
        <v>35</v>
      </c>
      <c r="BL79" s="36" t="s">
        <v>122</v>
      </c>
      <c r="BM79" s="20">
        <f>+IF(RESULTADO!$C$102&lt;&gt;0,0,BM71-BM67)</f>
        <v>0</v>
      </c>
      <c r="BN79" s="20">
        <f>+IF(RESULTADO!$C$102&lt;&gt;0,0,BN71-BN67)</f>
        <v>0</v>
      </c>
      <c r="BO79" s="20">
        <f>+IF(RESULTADO!$C$102&lt;&gt;0,0,BO71-BO67)</f>
        <v>0</v>
      </c>
      <c r="BP79" s="20">
        <f>+IF(RESULTADO!$C$102&lt;&gt;0,0,BP71-BP67)</f>
        <v>0</v>
      </c>
      <c r="BQ79" s="20">
        <f>+IF(RESULTADO!$C$102&lt;&gt;0,0,BQ71-BQ67)</f>
        <v>0</v>
      </c>
      <c r="BR79" s="20">
        <f>+IF(RESULTADO!$C$102&lt;&gt;0,0,BR71-BR67)</f>
        <v>0</v>
      </c>
      <c r="BS79" s="20">
        <f>+IF(RESULTADO!$C$102&lt;&gt;0,0,BS71-BS67)</f>
        <v>0</v>
      </c>
      <c r="BT79" s="20">
        <f>+IF(RESULTADO!$C$102&lt;&gt;0,0,BT71-BT67)</f>
        <v>0</v>
      </c>
      <c r="BU79" s="20">
        <f>+IF(RESULTADO!$C$102&lt;&gt;0,0,BU71-BU67)</f>
        <v>0</v>
      </c>
      <c r="BV79" s="20">
        <f>+IF(RESULTADO!$C$102&lt;&gt;0,0,BV71-BV67)</f>
        <v>0</v>
      </c>
      <c r="BW79" s="20">
        <f>+IF(RESULTADO!$C$102&lt;&gt;0,0,BW71-BW67)</f>
        <v>0</v>
      </c>
      <c r="BX79" s="400">
        <f>+IF(RESULTADO!$C$102&lt;&gt;0,0,BX71-BX67)</f>
        <v>27</v>
      </c>
      <c r="BY79" s="401">
        <f>+IF(RESULTADO!$C$102&lt;&gt;0,0,BY71-BY67)</f>
        <v>30</v>
      </c>
      <c r="BZ79" s="20">
        <f>+IF(RESULTADO!$C$102&lt;&gt;0,0,BZ71-BZ67)</f>
        <v>30</v>
      </c>
      <c r="CA79" s="20">
        <f>+IF(RESULTADO!$C$102&lt;&gt;0,0,CA71-CA67)</f>
        <v>30</v>
      </c>
      <c r="CB79" s="20">
        <f>+IF(RESULTADO!$C$102&lt;&gt;0,0,CB71-CB67)</f>
        <v>30</v>
      </c>
      <c r="CC79" s="20">
        <f>+IF(RESULTADO!$C$102&lt;&gt;0,0,CC71-CC67)</f>
        <v>30</v>
      </c>
      <c r="CD79" s="20">
        <f>+IF(RESULTADO!$C$102&lt;&gt;0,0,CD71-CD67)</f>
        <v>30</v>
      </c>
      <c r="CE79" s="20">
        <f>+IF(RESULTADO!$C$102&lt;&gt;0,0,CE71-CE67)</f>
        <v>30</v>
      </c>
      <c r="CF79" s="20">
        <f>+IF(RESULTADO!$C$102&lt;&gt;0,0,CF71-CF67)</f>
        <v>30</v>
      </c>
      <c r="CG79" s="20">
        <f>+IF(RESULTADO!$C$102&lt;&gt;0,0,CG71-CG67)</f>
        <v>30</v>
      </c>
      <c r="CH79" s="20">
        <f>+IF(RESULTADO!$C$102&lt;&gt;0,0,CH71-CH67)</f>
        <v>30</v>
      </c>
      <c r="CI79" s="20">
        <f>+IF(RESULTADO!$C$102&lt;&gt;0,0,CI71-CI67)</f>
        <v>30</v>
      </c>
      <c r="CJ79" s="400">
        <f>+IF(RESULTADO!$C$102&lt;&gt;0,0,CJ71-CJ67)</f>
        <v>30</v>
      </c>
      <c r="CK79" s="401">
        <f>+IF(RESULTADO!$C$102&lt;&gt;0,0,CK71-CK67)</f>
        <v>32</v>
      </c>
      <c r="CL79" s="20">
        <f>+IF(RESULTADO!$C$102&lt;&gt;0,0,CL71-CL67)</f>
        <v>32</v>
      </c>
      <c r="CM79" s="20">
        <f>+IF(RESULTADO!$C$102&lt;&gt;0,0,CM71-CM67)</f>
        <v>32</v>
      </c>
      <c r="CN79" s="20">
        <f>+IF(RESULTADO!$C$102&lt;&gt;0,0,CN71-CN67)</f>
        <v>32</v>
      </c>
      <c r="CO79" s="20">
        <f>+IF(RESULTADO!$C$102&lt;&gt;0,0,CO71-CO67)</f>
        <v>32</v>
      </c>
      <c r="CP79" s="20">
        <f>+IF(RESULTADO!$C$102&lt;&gt;0,0,CP71-CP67)</f>
        <v>32</v>
      </c>
      <c r="CQ79" s="20">
        <f>+IF(RESULTADO!$C$102&lt;&gt;0,0,CQ71-CQ67)</f>
        <v>32</v>
      </c>
      <c r="CR79" s="20">
        <f>+IF(RESULTADO!$C$102&lt;&gt;0,0,CR71-CR67)</f>
        <v>32</v>
      </c>
      <c r="CS79" s="20">
        <f>+IF(RESULTADO!$C$102&lt;&gt;0,0,CS71-CS67)</f>
        <v>32</v>
      </c>
      <c r="CT79" s="20">
        <f>+IF(RESULTADO!$C$102&lt;&gt;0,0,CT71-CT67)</f>
        <v>32</v>
      </c>
      <c r="CU79" s="20">
        <f>+IF(RESULTADO!$C$102&lt;&gt;0,0,CU71-CU67)</f>
        <v>32</v>
      </c>
      <c r="CV79" s="400">
        <f>+IF(RESULTADO!$C$102&lt;&gt;0,0,CV71-CV67)</f>
        <v>32</v>
      </c>
      <c r="CW79" s="401">
        <f>+IF(RESULTADO!$C$102&lt;&gt;0,0,CW71-CW67)</f>
        <v>37</v>
      </c>
      <c r="CX79" s="20">
        <f>+IF(RESULTADO!$C$102&lt;&gt;0,0,CX71-CX67)</f>
        <v>37</v>
      </c>
      <c r="CY79" s="20">
        <f>+IF(RESULTADO!$C$102&lt;&gt;0,0,CY71-CY67)</f>
        <v>37</v>
      </c>
      <c r="CZ79" s="20">
        <f>+IF(RESULTADO!$C$102&lt;&gt;0,0,CZ71-CZ67)</f>
        <v>37</v>
      </c>
      <c r="DA79" s="20">
        <f>+IF(RESULTADO!$C$102&lt;&gt;0,0,DA71-DA67)</f>
        <v>37</v>
      </c>
      <c r="DB79" s="20">
        <f>+IF(RESULTADO!$C$102&lt;&gt;0,0,DB71-DB67)</f>
        <v>37</v>
      </c>
      <c r="DC79" s="20">
        <f>+IF(RESULTADO!$C$102&lt;&gt;0,0,DC71-DC67)</f>
        <v>37</v>
      </c>
      <c r="DD79" s="20">
        <f>+IF(RESULTADO!$C$102&lt;&gt;0,0,DD71-DD67)</f>
        <v>37</v>
      </c>
      <c r="DE79" s="20">
        <f>+IF(RESULTADO!$C$102&lt;&gt;0,0,DE71-DE67)</f>
        <v>37</v>
      </c>
      <c r="DF79" s="20">
        <f>+IF(RESULTADO!$C$102&lt;&gt;0,0,DF71-DF67)</f>
        <v>37</v>
      </c>
      <c r="DG79" s="20">
        <f>+IF(RESULTADO!$C$102&lt;&gt;0,0,DG71-DG67)</f>
        <v>37</v>
      </c>
      <c r="DH79" s="400">
        <f>+IF(RESULTADO!$C$102&lt;&gt;0,0,DH71-DH67)</f>
        <v>37</v>
      </c>
      <c r="DI79" s="401">
        <f>+IF(RESULTADO!$C$102&lt;&gt;0,0,DI71-DI67)</f>
        <v>35</v>
      </c>
      <c r="DJ79" s="20">
        <f>+IF(RESULTADO!$C$102&lt;&gt;0,0,DJ71-DJ67)</f>
        <v>35</v>
      </c>
      <c r="DK79" s="20">
        <f>+IF(RESULTADO!$C$102&lt;&gt;0,0,DK71-DK67)</f>
        <v>35</v>
      </c>
      <c r="DL79" s="20">
        <f>+IF(RESULTADO!$C$102&lt;&gt;0,0,DL71-DL67)</f>
        <v>35</v>
      </c>
      <c r="DM79" s="20">
        <f>+IF(RESULTADO!$C$102&lt;&gt;0,0,DM71-DM67)</f>
        <v>35</v>
      </c>
      <c r="DN79" s="20">
        <f>+IF(RESULTADO!$C$102&lt;&gt;0,0,DN71-DN67)</f>
        <v>35</v>
      </c>
      <c r="DO79" s="20">
        <f>+IF(RESULTADO!$C$102&lt;&gt;0,0,DO71-DO67)</f>
        <v>35</v>
      </c>
      <c r="DP79" s="20">
        <f>+IF(RESULTADO!$C$102&lt;&gt;0,0,DP71-DP67)</f>
        <v>35</v>
      </c>
      <c r="DQ79" s="20">
        <f>+IF(RESULTADO!$C$102&lt;&gt;0,0,DQ71-DQ67)</f>
        <v>35</v>
      </c>
      <c r="DR79" s="20">
        <f>+IF(RESULTADO!$C$102&lt;&gt;0,0,DR71-DR67)</f>
        <v>35</v>
      </c>
      <c r="DS79" s="20">
        <f>+IF(RESULTADO!$C$102&lt;&gt;0,0,DS71-DS67)</f>
        <v>35</v>
      </c>
      <c r="DT79" s="21">
        <f>+IF(RESULTADO!$C$102&lt;&gt;0,0,DT71-DT67)</f>
        <v>35</v>
      </c>
    </row>
    <row r="80" spans="1:124" x14ac:dyDescent="0.25">
      <c r="A80" s="7"/>
      <c r="B80" s="37" t="s">
        <v>123</v>
      </c>
      <c r="C80" s="18">
        <f>+IF(RESULTADO!$C$102&lt;&gt;0,0,C72-C68)</f>
        <v>0</v>
      </c>
      <c r="D80" s="18">
        <f>+IF(RESULTADO!$C$102&lt;&gt;0,0,D72-D68)</f>
        <v>0</v>
      </c>
      <c r="E80" s="18">
        <f>+IF(RESULTADO!$C$102&lt;&gt;0,0,E72-E68)</f>
        <v>0</v>
      </c>
      <c r="F80" s="18">
        <f>+IF(RESULTADO!$C$102&lt;&gt;0,0,F72-F68)</f>
        <v>0</v>
      </c>
      <c r="G80" s="18">
        <f>+IF(RESULTADO!$C$102&lt;&gt;0,0,G72-G68)</f>
        <v>0</v>
      </c>
      <c r="H80" s="18">
        <f>+IF(RESULTADO!$C$102&lt;&gt;0,0,H72-H68)</f>
        <v>0</v>
      </c>
      <c r="I80" s="18">
        <f>+IF(RESULTADO!$C$102&lt;&gt;0,0,I72-I68)</f>
        <v>0</v>
      </c>
      <c r="J80" s="18">
        <f>+IF(RESULTADO!$C$102&lt;&gt;0,0,J72-J68)</f>
        <v>0</v>
      </c>
      <c r="K80" s="18">
        <f>+IF(RESULTADO!$C$102&lt;&gt;0,0,K72-K68)</f>
        <v>0</v>
      </c>
      <c r="L80" s="18">
        <f>+IF(RESULTADO!$C$102&lt;&gt;0,0,L72-L68)</f>
        <v>0</v>
      </c>
      <c r="M80" s="18">
        <f>+IF(RESULTADO!$C$102&lt;&gt;0,0,M72-M68)</f>
        <v>0</v>
      </c>
      <c r="N80" s="402">
        <f>+IF(RESULTADO!$C$102&lt;&gt;0,0,N72-N68)</f>
        <v>27</v>
      </c>
      <c r="O80" s="403">
        <f>+IF(RESULTADO!$C$102&lt;&gt;0,0,O72-O68)</f>
        <v>30</v>
      </c>
      <c r="P80" s="18">
        <f>+IF(RESULTADO!$C$102&lt;&gt;0,0,P72-P68)</f>
        <v>30</v>
      </c>
      <c r="Q80" s="18">
        <f>+IF(RESULTADO!$C$102&lt;&gt;0,0,Q72-Q68)</f>
        <v>30</v>
      </c>
      <c r="R80" s="18">
        <f>+IF(RESULTADO!$C$102&lt;&gt;0,0,R72-R68)</f>
        <v>30</v>
      </c>
      <c r="S80" s="18">
        <f>+IF(RESULTADO!$C$102&lt;&gt;0,0,S72-S68)</f>
        <v>30</v>
      </c>
      <c r="T80" s="18">
        <f>+IF(RESULTADO!$C$102&lt;&gt;0,0,T72-T68)</f>
        <v>30</v>
      </c>
      <c r="U80" s="18">
        <f>+IF(RESULTADO!$C$102&lt;&gt;0,0,U72-U68)</f>
        <v>30</v>
      </c>
      <c r="V80" s="18">
        <f>+IF(RESULTADO!$C$102&lt;&gt;0,0,V72-V68)</f>
        <v>30</v>
      </c>
      <c r="W80" s="18">
        <f>+IF(RESULTADO!$C$102&lt;&gt;0,0,W72-W68)</f>
        <v>30</v>
      </c>
      <c r="X80" s="18">
        <f>+IF(RESULTADO!$C$102&lt;&gt;0,0,X72-X68)</f>
        <v>30</v>
      </c>
      <c r="Y80" s="18">
        <f>+IF(RESULTADO!$C$102&lt;&gt;0,0,Y72-Y68)</f>
        <v>30</v>
      </c>
      <c r="Z80" s="402">
        <f>+IF(RESULTADO!$C$102&lt;&gt;0,0,Z72-Z68)</f>
        <v>30</v>
      </c>
      <c r="AA80" s="403">
        <f>+IF(RESULTADO!$C$102&lt;&gt;0,0,AA72-AA68)</f>
        <v>32</v>
      </c>
      <c r="AB80" s="18">
        <f>+IF(RESULTADO!$C$102&lt;&gt;0,0,AB72-AB68)</f>
        <v>32</v>
      </c>
      <c r="AC80" s="18">
        <f>+IF(RESULTADO!$C$102&lt;&gt;0,0,AC72-AC68)</f>
        <v>32</v>
      </c>
      <c r="AD80" s="18">
        <f>+IF(RESULTADO!$C$102&lt;&gt;0,0,AD72-AD68)</f>
        <v>32</v>
      </c>
      <c r="AE80" s="18">
        <f>+IF(RESULTADO!$C$102&lt;&gt;0,0,AE72-AE68)</f>
        <v>32</v>
      </c>
      <c r="AF80" s="18">
        <f>+IF(RESULTADO!$C$102&lt;&gt;0,0,AF72-AF68)</f>
        <v>32</v>
      </c>
      <c r="AG80" s="18">
        <f>+IF(RESULTADO!$C$102&lt;&gt;0,0,AG72-AG68)</f>
        <v>32</v>
      </c>
      <c r="AH80" s="18">
        <f>+IF(RESULTADO!$C$102&lt;&gt;0,0,AH72-AH68)</f>
        <v>32</v>
      </c>
      <c r="AI80" s="18">
        <f>+IF(RESULTADO!$C$102&lt;&gt;0,0,AI72-AI68)</f>
        <v>32</v>
      </c>
      <c r="AJ80" s="18">
        <f>+IF(RESULTADO!$C$102&lt;&gt;0,0,AJ72-AJ68)</f>
        <v>32</v>
      </c>
      <c r="AK80" s="18">
        <f>+IF(RESULTADO!$C$102&lt;&gt;0,0,AK72-AK68)</f>
        <v>32</v>
      </c>
      <c r="AL80" s="402">
        <f>+IF(RESULTADO!$C$102&lt;&gt;0,0,AL72-AL68)</f>
        <v>32</v>
      </c>
      <c r="AM80" s="403">
        <f>+IF(RESULTADO!$C$102&lt;&gt;0,0,AM72-AM68)</f>
        <v>37</v>
      </c>
      <c r="AN80" s="18">
        <f>+IF(RESULTADO!$C$102&lt;&gt;0,0,AN72-AN68)</f>
        <v>37</v>
      </c>
      <c r="AO80" s="18">
        <f>+IF(RESULTADO!$C$102&lt;&gt;0,0,AO72-AO68)</f>
        <v>37</v>
      </c>
      <c r="AP80" s="18">
        <f>+IF(RESULTADO!$C$102&lt;&gt;0,0,AP72-AP68)</f>
        <v>37</v>
      </c>
      <c r="AQ80" s="18">
        <f>+IF(RESULTADO!$C$102&lt;&gt;0,0,AQ72-AQ68)</f>
        <v>37</v>
      </c>
      <c r="AR80" s="18">
        <f>+IF(RESULTADO!$C$102&lt;&gt;0,0,AR72-AR68)</f>
        <v>37</v>
      </c>
      <c r="AS80" s="18">
        <f>+IF(RESULTADO!$C$102&lt;&gt;0,0,AS72-AS68)</f>
        <v>37</v>
      </c>
      <c r="AT80" s="18">
        <f>+IF(RESULTADO!$C$102&lt;&gt;0,0,AT72-AT68)</f>
        <v>37</v>
      </c>
      <c r="AU80" s="18">
        <f>+IF(RESULTADO!$C$102&lt;&gt;0,0,AU72-AU68)</f>
        <v>37</v>
      </c>
      <c r="AV80" s="18">
        <f>+IF(RESULTADO!$C$102&lt;&gt;0,0,AV72-AV68)</f>
        <v>37</v>
      </c>
      <c r="AW80" s="18">
        <f>+IF(RESULTADO!$C$102&lt;&gt;0,0,AW72-AW68)</f>
        <v>37</v>
      </c>
      <c r="AX80" s="402">
        <f>+IF(RESULTADO!$C$102&lt;&gt;0,0,AX72-AX68)</f>
        <v>37</v>
      </c>
      <c r="AY80" s="403">
        <f>+IF(RESULTADO!$C$102&lt;&gt;0,0,AY72-AY68)</f>
        <v>35</v>
      </c>
      <c r="AZ80" s="18">
        <f>+IF(RESULTADO!$C$102&lt;&gt;0,0,AZ72-AZ68)</f>
        <v>35</v>
      </c>
      <c r="BA80" s="18">
        <f>+IF(RESULTADO!$C$102&lt;&gt;0,0,BA72-BA68)</f>
        <v>35</v>
      </c>
      <c r="BB80" s="18">
        <f>+IF(RESULTADO!$C$102&lt;&gt;0,0,BB72-BB68)</f>
        <v>35</v>
      </c>
      <c r="BC80" s="18">
        <f>+IF(RESULTADO!$C$102&lt;&gt;0,0,BC72-BC68)</f>
        <v>35</v>
      </c>
      <c r="BD80" s="18">
        <f>+IF(RESULTADO!$C$102&lt;&gt;0,0,BD72-BD68)</f>
        <v>35</v>
      </c>
      <c r="BE80" s="18">
        <f>+IF(RESULTADO!$C$102&lt;&gt;0,0,BE72-BE68)</f>
        <v>35</v>
      </c>
      <c r="BF80" s="18">
        <f>+IF(RESULTADO!$C$102&lt;&gt;0,0,BF72-BF68)</f>
        <v>35</v>
      </c>
      <c r="BG80" s="18">
        <f>+IF(RESULTADO!$C$102&lt;&gt;0,0,BG72-BG68)</f>
        <v>35</v>
      </c>
      <c r="BH80" s="18">
        <f>+IF(RESULTADO!$C$102&lt;&gt;0,0,BH72-BH68)</f>
        <v>35</v>
      </c>
      <c r="BI80" s="18">
        <f>+IF(RESULTADO!$C$102&lt;&gt;0,0,BI72-BI68)</f>
        <v>35</v>
      </c>
      <c r="BJ80" s="19">
        <f>+IF(RESULTADO!$C$102&lt;&gt;0,0,BJ72-BJ68)</f>
        <v>35</v>
      </c>
      <c r="BL80" s="37" t="s">
        <v>123</v>
      </c>
      <c r="BM80" s="18">
        <f>+IF(RESULTADO!$C$102&lt;&gt;0,0,BM72-BM68)</f>
        <v>0</v>
      </c>
      <c r="BN80" s="18">
        <f>+IF(RESULTADO!$C$102&lt;&gt;0,0,BN72-BN68)</f>
        <v>0</v>
      </c>
      <c r="BO80" s="18">
        <f>+IF(RESULTADO!$C$102&lt;&gt;0,0,BO72-BO68)</f>
        <v>0</v>
      </c>
      <c r="BP80" s="18">
        <f>+IF(RESULTADO!$C$102&lt;&gt;0,0,BP72-BP68)</f>
        <v>0</v>
      </c>
      <c r="BQ80" s="18">
        <f>+IF(RESULTADO!$C$102&lt;&gt;0,0,BQ72-BQ68)</f>
        <v>0</v>
      </c>
      <c r="BR80" s="18">
        <f>+IF(RESULTADO!$C$102&lt;&gt;0,0,BR72-BR68)</f>
        <v>0</v>
      </c>
      <c r="BS80" s="18">
        <f>+IF(RESULTADO!$C$102&lt;&gt;0,0,BS72-BS68)</f>
        <v>0</v>
      </c>
      <c r="BT80" s="18">
        <f>+IF(RESULTADO!$C$102&lt;&gt;0,0,BT72-BT68)</f>
        <v>0</v>
      </c>
      <c r="BU80" s="18">
        <f>+IF(RESULTADO!$C$102&lt;&gt;0,0,BU72-BU68)</f>
        <v>0</v>
      </c>
      <c r="BV80" s="18">
        <f>+IF(RESULTADO!$C$102&lt;&gt;0,0,BV72-BV68)</f>
        <v>0</v>
      </c>
      <c r="BW80" s="18">
        <f>+IF(RESULTADO!$C$102&lt;&gt;0,0,BW72-BW68)</f>
        <v>0</v>
      </c>
      <c r="BX80" s="402">
        <f>+IF(RESULTADO!$C$102&lt;&gt;0,0,BX72-BX68)</f>
        <v>27</v>
      </c>
      <c r="BY80" s="403">
        <f>+IF(RESULTADO!$C$102&lt;&gt;0,0,BY72-BY68)</f>
        <v>30</v>
      </c>
      <c r="BZ80" s="18">
        <f>+IF(RESULTADO!$C$102&lt;&gt;0,0,BZ72-BZ68)</f>
        <v>30</v>
      </c>
      <c r="CA80" s="18">
        <f>+IF(RESULTADO!$C$102&lt;&gt;0,0,CA72-CA68)</f>
        <v>30</v>
      </c>
      <c r="CB80" s="18">
        <f>+IF(RESULTADO!$C$102&lt;&gt;0,0,CB72-CB68)</f>
        <v>30</v>
      </c>
      <c r="CC80" s="18">
        <f>+IF(RESULTADO!$C$102&lt;&gt;0,0,CC72-CC68)</f>
        <v>30</v>
      </c>
      <c r="CD80" s="18">
        <f>+IF(RESULTADO!$C$102&lt;&gt;0,0,CD72-CD68)</f>
        <v>30</v>
      </c>
      <c r="CE80" s="18">
        <f>+IF(RESULTADO!$C$102&lt;&gt;0,0,CE72-CE68)</f>
        <v>30</v>
      </c>
      <c r="CF80" s="18">
        <f>+IF(RESULTADO!$C$102&lt;&gt;0,0,CF72-CF68)</f>
        <v>30</v>
      </c>
      <c r="CG80" s="18">
        <f>+IF(RESULTADO!$C$102&lt;&gt;0,0,CG72-CG68)</f>
        <v>30</v>
      </c>
      <c r="CH80" s="18">
        <f>+IF(RESULTADO!$C$102&lt;&gt;0,0,CH72-CH68)</f>
        <v>30</v>
      </c>
      <c r="CI80" s="18">
        <f>+IF(RESULTADO!$C$102&lt;&gt;0,0,CI72-CI68)</f>
        <v>30</v>
      </c>
      <c r="CJ80" s="402">
        <f>+IF(RESULTADO!$C$102&lt;&gt;0,0,CJ72-CJ68)</f>
        <v>30</v>
      </c>
      <c r="CK80" s="403">
        <f>+IF(RESULTADO!$C$102&lt;&gt;0,0,CK72-CK68)</f>
        <v>32</v>
      </c>
      <c r="CL80" s="18">
        <f>+IF(RESULTADO!$C$102&lt;&gt;0,0,CL72-CL68)</f>
        <v>32</v>
      </c>
      <c r="CM80" s="18">
        <f>+IF(RESULTADO!$C$102&lt;&gt;0,0,CM72-CM68)</f>
        <v>32</v>
      </c>
      <c r="CN80" s="18">
        <f>+IF(RESULTADO!$C$102&lt;&gt;0,0,CN72-CN68)</f>
        <v>32</v>
      </c>
      <c r="CO80" s="18">
        <f>+IF(RESULTADO!$C$102&lt;&gt;0,0,CO72-CO68)</f>
        <v>32</v>
      </c>
      <c r="CP80" s="18">
        <f>+IF(RESULTADO!$C$102&lt;&gt;0,0,CP72-CP68)</f>
        <v>32</v>
      </c>
      <c r="CQ80" s="18">
        <f>+IF(RESULTADO!$C$102&lt;&gt;0,0,CQ72-CQ68)</f>
        <v>32</v>
      </c>
      <c r="CR80" s="18">
        <f>+IF(RESULTADO!$C$102&lt;&gt;0,0,CR72-CR68)</f>
        <v>32</v>
      </c>
      <c r="CS80" s="18">
        <f>+IF(RESULTADO!$C$102&lt;&gt;0,0,CS72-CS68)</f>
        <v>32</v>
      </c>
      <c r="CT80" s="18">
        <f>+IF(RESULTADO!$C$102&lt;&gt;0,0,CT72-CT68)</f>
        <v>32</v>
      </c>
      <c r="CU80" s="18">
        <f>+IF(RESULTADO!$C$102&lt;&gt;0,0,CU72-CU68)</f>
        <v>32</v>
      </c>
      <c r="CV80" s="402">
        <f>+IF(RESULTADO!$C$102&lt;&gt;0,0,CV72-CV68)</f>
        <v>32</v>
      </c>
      <c r="CW80" s="403">
        <f>+IF(RESULTADO!$C$102&lt;&gt;0,0,CW72-CW68)</f>
        <v>37</v>
      </c>
      <c r="CX80" s="18">
        <f>+IF(RESULTADO!$C$102&lt;&gt;0,0,CX72-CX68)</f>
        <v>37</v>
      </c>
      <c r="CY80" s="18">
        <f>+IF(RESULTADO!$C$102&lt;&gt;0,0,CY72-CY68)</f>
        <v>37</v>
      </c>
      <c r="CZ80" s="18">
        <f>+IF(RESULTADO!$C$102&lt;&gt;0,0,CZ72-CZ68)</f>
        <v>37</v>
      </c>
      <c r="DA80" s="18">
        <f>+IF(RESULTADO!$C$102&lt;&gt;0,0,DA72-DA68)</f>
        <v>37</v>
      </c>
      <c r="DB80" s="18">
        <f>+IF(RESULTADO!$C$102&lt;&gt;0,0,DB72-DB68)</f>
        <v>37</v>
      </c>
      <c r="DC80" s="18">
        <f>+IF(RESULTADO!$C$102&lt;&gt;0,0,DC72-DC68)</f>
        <v>37</v>
      </c>
      <c r="DD80" s="18">
        <f>+IF(RESULTADO!$C$102&lt;&gt;0,0,DD72-DD68)</f>
        <v>37</v>
      </c>
      <c r="DE80" s="18">
        <f>+IF(RESULTADO!$C$102&lt;&gt;0,0,DE72-DE68)</f>
        <v>37</v>
      </c>
      <c r="DF80" s="18">
        <f>+IF(RESULTADO!$C$102&lt;&gt;0,0,DF72-DF68)</f>
        <v>37</v>
      </c>
      <c r="DG80" s="18">
        <f>+IF(RESULTADO!$C$102&lt;&gt;0,0,DG72-DG68)</f>
        <v>37</v>
      </c>
      <c r="DH80" s="402">
        <f>+IF(RESULTADO!$C$102&lt;&gt;0,0,DH72-DH68)</f>
        <v>37</v>
      </c>
      <c r="DI80" s="403">
        <f>+IF(RESULTADO!$C$102&lt;&gt;0,0,DI72-DI68)</f>
        <v>35</v>
      </c>
      <c r="DJ80" s="18">
        <f>+IF(RESULTADO!$C$102&lt;&gt;0,0,DJ72-DJ68)</f>
        <v>35</v>
      </c>
      <c r="DK80" s="18">
        <f>+IF(RESULTADO!$C$102&lt;&gt;0,0,DK72-DK68)</f>
        <v>35</v>
      </c>
      <c r="DL80" s="18">
        <f>+IF(RESULTADO!$C$102&lt;&gt;0,0,DL72-DL68)</f>
        <v>35</v>
      </c>
      <c r="DM80" s="18">
        <f>+IF(RESULTADO!$C$102&lt;&gt;0,0,DM72-DM68)</f>
        <v>35</v>
      </c>
      <c r="DN80" s="18">
        <f>+IF(RESULTADO!$C$102&lt;&gt;0,0,DN72-DN68)</f>
        <v>35</v>
      </c>
      <c r="DO80" s="18">
        <f>+IF(RESULTADO!$C$102&lt;&gt;0,0,DO72-DO68)</f>
        <v>35</v>
      </c>
      <c r="DP80" s="18">
        <f>+IF(RESULTADO!$C$102&lt;&gt;0,0,DP72-DP68)</f>
        <v>35</v>
      </c>
      <c r="DQ80" s="18">
        <f>+IF(RESULTADO!$C$102&lt;&gt;0,0,DQ72-DQ68)</f>
        <v>35</v>
      </c>
      <c r="DR80" s="18">
        <f>+IF(RESULTADO!$C$102&lt;&gt;0,0,DR72-DR68)</f>
        <v>35</v>
      </c>
      <c r="DS80" s="18">
        <f>+IF(RESULTADO!$C$102&lt;&gt;0,0,DS72-DS68)</f>
        <v>35</v>
      </c>
      <c r="DT80" s="19">
        <f>+IF(RESULTADO!$C$102&lt;&gt;0,0,DT72-DT68)</f>
        <v>35</v>
      </c>
    </row>
    <row r="81" spans="1:124" x14ac:dyDescent="0.25">
      <c r="A81" s="7"/>
      <c r="B81" s="37" t="s">
        <v>124</v>
      </c>
      <c r="C81" s="18">
        <f>+IF(RESULTADO!$C$102&lt;&gt;0,0,C73-C69)</f>
        <v>0</v>
      </c>
      <c r="D81" s="18">
        <f>+IF(RESULTADO!$C$102&lt;&gt;0,0,D73-D69)</f>
        <v>0</v>
      </c>
      <c r="E81" s="18">
        <f>+IF(RESULTADO!$C$102&lt;&gt;0,0,E73-E69)</f>
        <v>0</v>
      </c>
      <c r="F81" s="18">
        <f>+IF(RESULTADO!$C$102&lt;&gt;0,0,F73-F69)</f>
        <v>0</v>
      </c>
      <c r="G81" s="18">
        <f>+IF(RESULTADO!$C$102&lt;&gt;0,0,G73-G69)</f>
        <v>0</v>
      </c>
      <c r="H81" s="18">
        <f>+IF(RESULTADO!$C$102&lt;&gt;0,0,H73-H69)</f>
        <v>0</v>
      </c>
      <c r="I81" s="18">
        <f>+IF(RESULTADO!$C$102&lt;&gt;0,0,I73-I69)</f>
        <v>0</v>
      </c>
      <c r="J81" s="18">
        <f>+IF(RESULTADO!$C$102&lt;&gt;0,0,J73-J69)</f>
        <v>0</v>
      </c>
      <c r="K81" s="18">
        <f>+IF(RESULTADO!$C$102&lt;&gt;0,0,K73-K69)</f>
        <v>0</v>
      </c>
      <c r="L81" s="18">
        <f>+IF(RESULTADO!$C$102&lt;&gt;0,0,L73-L69)</f>
        <v>0</v>
      </c>
      <c r="M81" s="18">
        <f>+IF(RESULTADO!$C$102&lt;&gt;0,0,M73-M69)</f>
        <v>0</v>
      </c>
      <c r="N81" s="402">
        <f>+IF(RESULTADO!$C$102&lt;&gt;0,0,N73-N69)</f>
        <v>27</v>
      </c>
      <c r="O81" s="403">
        <f>+IF(RESULTADO!$C$102&lt;&gt;0,0,O73-O69)</f>
        <v>30</v>
      </c>
      <c r="P81" s="18">
        <f>+IF(RESULTADO!$C$102&lt;&gt;0,0,P73-P69)</f>
        <v>30</v>
      </c>
      <c r="Q81" s="18">
        <f>+IF(RESULTADO!$C$102&lt;&gt;0,0,Q73-Q69)</f>
        <v>30</v>
      </c>
      <c r="R81" s="18">
        <f>+IF(RESULTADO!$C$102&lt;&gt;0,0,R73-R69)</f>
        <v>30</v>
      </c>
      <c r="S81" s="18">
        <f>+IF(RESULTADO!$C$102&lt;&gt;0,0,S73-S69)</f>
        <v>30</v>
      </c>
      <c r="T81" s="18">
        <f>+IF(RESULTADO!$C$102&lt;&gt;0,0,T73-T69)</f>
        <v>30</v>
      </c>
      <c r="U81" s="18">
        <f>+IF(RESULTADO!$C$102&lt;&gt;0,0,U73-U69)</f>
        <v>30</v>
      </c>
      <c r="V81" s="18">
        <f>+IF(RESULTADO!$C$102&lt;&gt;0,0,V73-V69)</f>
        <v>30</v>
      </c>
      <c r="W81" s="18">
        <f>+IF(RESULTADO!$C$102&lt;&gt;0,0,W73-W69)</f>
        <v>30</v>
      </c>
      <c r="X81" s="18">
        <f>+IF(RESULTADO!$C$102&lt;&gt;0,0,X73-X69)</f>
        <v>30</v>
      </c>
      <c r="Y81" s="18">
        <f>+IF(RESULTADO!$C$102&lt;&gt;0,0,Y73-Y69)</f>
        <v>30</v>
      </c>
      <c r="Z81" s="402">
        <f>+IF(RESULTADO!$C$102&lt;&gt;0,0,Z73-Z69)</f>
        <v>30</v>
      </c>
      <c r="AA81" s="403">
        <f>+IF(RESULTADO!$C$102&lt;&gt;0,0,AA73-AA69)</f>
        <v>32</v>
      </c>
      <c r="AB81" s="18">
        <f>+IF(RESULTADO!$C$102&lt;&gt;0,0,AB73-AB69)</f>
        <v>32</v>
      </c>
      <c r="AC81" s="18">
        <f>+IF(RESULTADO!$C$102&lt;&gt;0,0,AC73-AC69)</f>
        <v>32</v>
      </c>
      <c r="AD81" s="18">
        <f>+IF(RESULTADO!$C$102&lt;&gt;0,0,AD73-AD69)</f>
        <v>32</v>
      </c>
      <c r="AE81" s="18">
        <f>+IF(RESULTADO!$C$102&lt;&gt;0,0,AE73-AE69)</f>
        <v>32</v>
      </c>
      <c r="AF81" s="18">
        <f>+IF(RESULTADO!$C$102&lt;&gt;0,0,AF73-AF69)</f>
        <v>32</v>
      </c>
      <c r="AG81" s="18">
        <f>+IF(RESULTADO!$C$102&lt;&gt;0,0,AG73-AG69)</f>
        <v>32</v>
      </c>
      <c r="AH81" s="18">
        <f>+IF(RESULTADO!$C$102&lt;&gt;0,0,AH73-AH69)</f>
        <v>32</v>
      </c>
      <c r="AI81" s="18">
        <f>+IF(RESULTADO!$C$102&lt;&gt;0,0,AI73-AI69)</f>
        <v>32</v>
      </c>
      <c r="AJ81" s="18">
        <f>+IF(RESULTADO!$C$102&lt;&gt;0,0,AJ73-AJ69)</f>
        <v>32</v>
      </c>
      <c r="AK81" s="18">
        <f>+IF(RESULTADO!$C$102&lt;&gt;0,0,AK73-AK69)</f>
        <v>32</v>
      </c>
      <c r="AL81" s="402">
        <f>+IF(RESULTADO!$C$102&lt;&gt;0,0,AL73-AL69)</f>
        <v>32</v>
      </c>
      <c r="AM81" s="403">
        <f>+IF(RESULTADO!$C$102&lt;&gt;0,0,AM73-AM69)</f>
        <v>37</v>
      </c>
      <c r="AN81" s="18">
        <f>+IF(RESULTADO!$C$102&lt;&gt;0,0,AN73-AN69)</f>
        <v>37</v>
      </c>
      <c r="AO81" s="18">
        <f>+IF(RESULTADO!$C$102&lt;&gt;0,0,AO73-AO69)</f>
        <v>37</v>
      </c>
      <c r="AP81" s="18">
        <f>+IF(RESULTADO!$C$102&lt;&gt;0,0,AP73-AP69)</f>
        <v>37</v>
      </c>
      <c r="AQ81" s="18">
        <f>+IF(RESULTADO!$C$102&lt;&gt;0,0,AQ73-AQ69)</f>
        <v>37</v>
      </c>
      <c r="AR81" s="18">
        <f>+IF(RESULTADO!$C$102&lt;&gt;0,0,AR73-AR69)</f>
        <v>37</v>
      </c>
      <c r="AS81" s="18">
        <f>+IF(RESULTADO!$C$102&lt;&gt;0,0,AS73-AS69)</f>
        <v>37</v>
      </c>
      <c r="AT81" s="18">
        <f>+IF(RESULTADO!$C$102&lt;&gt;0,0,AT73-AT69)</f>
        <v>37</v>
      </c>
      <c r="AU81" s="18">
        <f>+IF(RESULTADO!$C$102&lt;&gt;0,0,AU73-AU69)</f>
        <v>37</v>
      </c>
      <c r="AV81" s="18">
        <f>+IF(RESULTADO!$C$102&lt;&gt;0,0,AV73-AV69)</f>
        <v>37</v>
      </c>
      <c r="AW81" s="18">
        <f>+IF(RESULTADO!$C$102&lt;&gt;0,0,AW73-AW69)</f>
        <v>37</v>
      </c>
      <c r="AX81" s="402">
        <f>+IF(RESULTADO!$C$102&lt;&gt;0,0,AX73-AX69)</f>
        <v>37</v>
      </c>
      <c r="AY81" s="403">
        <f>+IF(RESULTADO!$C$102&lt;&gt;0,0,AY73-AY69)</f>
        <v>35</v>
      </c>
      <c r="AZ81" s="18">
        <f>+IF(RESULTADO!$C$102&lt;&gt;0,0,AZ73-AZ69)</f>
        <v>35</v>
      </c>
      <c r="BA81" s="18">
        <f>+IF(RESULTADO!$C$102&lt;&gt;0,0,BA73-BA69)</f>
        <v>35</v>
      </c>
      <c r="BB81" s="18">
        <f>+IF(RESULTADO!$C$102&lt;&gt;0,0,BB73-BB69)</f>
        <v>35</v>
      </c>
      <c r="BC81" s="18">
        <f>+IF(RESULTADO!$C$102&lt;&gt;0,0,BC73-BC69)</f>
        <v>35</v>
      </c>
      <c r="BD81" s="18">
        <f>+IF(RESULTADO!$C$102&lt;&gt;0,0,BD73-BD69)</f>
        <v>35</v>
      </c>
      <c r="BE81" s="18">
        <f>+IF(RESULTADO!$C$102&lt;&gt;0,0,BE73-BE69)</f>
        <v>35</v>
      </c>
      <c r="BF81" s="18">
        <f>+IF(RESULTADO!$C$102&lt;&gt;0,0,BF73-BF69)</f>
        <v>35</v>
      </c>
      <c r="BG81" s="18">
        <f>+IF(RESULTADO!$C$102&lt;&gt;0,0,BG73-BG69)</f>
        <v>35</v>
      </c>
      <c r="BH81" s="18">
        <f>+IF(RESULTADO!$C$102&lt;&gt;0,0,BH73-BH69)</f>
        <v>35</v>
      </c>
      <c r="BI81" s="18">
        <f>+IF(RESULTADO!$C$102&lt;&gt;0,0,BI73-BI69)</f>
        <v>35</v>
      </c>
      <c r="BJ81" s="19">
        <f>+IF(RESULTADO!$C$102&lt;&gt;0,0,BJ73-BJ69)</f>
        <v>35</v>
      </c>
      <c r="BL81" s="37" t="s">
        <v>124</v>
      </c>
      <c r="BM81" s="18">
        <f>+IF(RESULTADO!$C$102&lt;&gt;0,0,BM73-BM69)</f>
        <v>0</v>
      </c>
      <c r="BN81" s="18">
        <f>+IF(RESULTADO!$C$102&lt;&gt;0,0,BN73-BN69)</f>
        <v>0</v>
      </c>
      <c r="BO81" s="18">
        <f>+IF(RESULTADO!$C$102&lt;&gt;0,0,BO73-BO69)</f>
        <v>0</v>
      </c>
      <c r="BP81" s="18">
        <f>+IF(RESULTADO!$C$102&lt;&gt;0,0,BP73-BP69)</f>
        <v>0</v>
      </c>
      <c r="BQ81" s="18">
        <f>+IF(RESULTADO!$C$102&lt;&gt;0,0,BQ73-BQ69)</f>
        <v>0</v>
      </c>
      <c r="BR81" s="18">
        <f>+IF(RESULTADO!$C$102&lt;&gt;0,0,BR73-BR69)</f>
        <v>0</v>
      </c>
      <c r="BS81" s="18">
        <f>+IF(RESULTADO!$C$102&lt;&gt;0,0,BS73-BS69)</f>
        <v>0</v>
      </c>
      <c r="BT81" s="18">
        <f>+IF(RESULTADO!$C$102&lt;&gt;0,0,BT73-BT69)</f>
        <v>0</v>
      </c>
      <c r="BU81" s="18">
        <f>+IF(RESULTADO!$C$102&lt;&gt;0,0,BU73-BU69)</f>
        <v>0</v>
      </c>
      <c r="BV81" s="18">
        <f>+IF(RESULTADO!$C$102&lt;&gt;0,0,BV73-BV69)</f>
        <v>0</v>
      </c>
      <c r="BW81" s="18">
        <f>+IF(RESULTADO!$C$102&lt;&gt;0,0,BW73-BW69)</f>
        <v>0</v>
      </c>
      <c r="BX81" s="402">
        <f>+IF(RESULTADO!$C$102&lt;&gt;0,0,BX73-BX69)</f>
        <v>27</v>
      </c>
      <c r="BY81" s="403">
        <f>+IF(RESULTADO!$C$102&lt;&gt;0,0,BY73-BY69)</f>
        <v>30</v>
      </c>
      <c r="BZ81" s="18">
        <f>+IF(RESULTADO!$C$102&lt;&gt;0,0,BZ73-BZ69)</f>
        <v>30</v>
      </c>
      <c r="CA81" s="18">
        <f>+IF(RESULTADO!$C$102&lt;&gt;0,0,CA73-CA69)</f>
        <v>30</v>
      </c>
      <c r="CB81" s="18">
        <f>+IF(RESULTADO!$C$102&lt;&gt;0,0,CB73-CB69)</f>
        <v>30</v>
      </c>
      <c r="CC81" s="18">
        <f>+IF(RESULTADO!$C$102&lt;&gt;0,0,CC73-CC69)</f>
        <v>30</v>
      </c>
      <c r="CD81" s="18">
        <f>+IF(RESULTADO!$C$102&lt;&gt;0,0,CD73-CD69)</f>
        <v>30</v>
      </c>
      <c r="CE81" s="18">
        <f>+IF(RESULTADO!$C$102&lt;&gt;0,0,CE73-CE69)</f>
        <v>30</v>
      </c>
      <c r="CF81" s="18">
        <f>+IF(RESULTADO!$C$102&lt;&gt;0,0,CF73-CF69)</f>
        <v>30</v>
      </c>
      <c r="CG81" s="18">
        <f>+IF(RESULTADO!$C$102&lt;&gt;0,0,CG73-CG69)</f>
        <v>30</v>
      </c>
      <c r="CH81" s="18">
        <f>+IF(RESULTADO!$C$102&lt;&gt;0,0,CH73-CH69)</f>
        <v>30</v>
      </c>
      <c r="CI81" s="18">
        <f>+IF(RESULTADO!$C$102&lt;&gt;0,0,CI73-CI69)</f>
        <v>30</v>
      </c>
      <c r="CJ81" s="402">
        <f>+IF(RESULTADO!$C$102&lt;&gt;0,0,CJ73-CJ69)</f>
        <v>30</v>
      </c>
      <c r="CK81" s="403">
        <f>+IF(RESULTADO!$C$102&lt;&gt;0,0,CK73-CK69)</f>
        <v>32</v>
      </c>
      <c r="CL81" s="18">
        <f>+IF(RESULTADO!$C$102&lt;&gt;0,0,CL73-CL69)</f>
        <v>32</v>
      </c>
      <c r="CM81" s="18">
        <f>+IF(RESULTADO!$C$102&lt;&gt;0,0,CM73-CM69)</f>
        <v>32</v>
      </c>
      <c r="CN81" s="18">
        <f>+IF(RESULTADO!$C$102&lt;&gt;0,0,CN73-CN69)</f>
        <v>32</v>
      </c>
      <c r="CO81" s="18">
        <f>+IF(RESULTADO!$C$102&lt;&gt;0,0,CO73-CO69)</f>
        <v>32</v>
      </c>
      <c r="CP81" s="18">
        <f>+IF(RESULTADO!$C$102&lt;&gt;0,0,CP73-CP69)</f>
        <v>32</v>
      </c>
      <c r="CQ81" s="18">
        <f>+IF(RESULTADO!$C$102&lt;&gt;0,0,CQ73-CQ69)</f>
        <v>32</v>
      </c>
      <c r="CR81" s="18">
        <f>+IF(RESULTADO!$C$102&lt;&gt;0,0,CR73-CR69)</f>
        <v>32</v>
      </c>
      <c r="CS81" s="18">
        <f>+IF(RESULTADO!$C$102&lt;&gt;0,0,CS73-CS69)</f>
        <v>32</v>
      </c>
      <c r="CT81" s="18">
        <f>+IF(RESULTADO!$C$102&lt;&gt;0,0,CT73-CT69)</f>
        <v>32</v>
      </c>
      <c r="CU81" s="18">
        <f>+IF(RESULTADO!$C$102&lt;&gt;0,0,CU73-CU69)</f>
        <v>32</v>
      </c>
      <c r="CV81" s="402">
        <f>+IF(RESULTADO!$C$102&lt;&gt;0,0,CV73-CV69)</f>
        <v>32</v>
      </c>
      <c r="CW81" s="403">
        <f>+IF(RESULTADO!$C$102&lt;&gt;0,0,CW73-CW69)</f>
        <v>37</v>
      </c>
      <c r="CX81" s="18">
        <f>+IF(RESULTADO!$C$102&lt;&gt;0,0,CX73-CX69)</f>
        <v>37</v>
      </c>
      <c r="CY81" s="18">
        <f>+IF(RESULTADO!$C$102&lt;&gt;0,0,CY73-CY69)</f>
        <v>37</v>
      </c>
      <c r="CZ81" s="18">
        <f>+IF(RESULTADO!$C$102&lt;&gt;0,0,CZ73-CZ69)</f>
        <v>37</v>
      </c>
      <c r="DA81" s="18">
        <f>+IF(RESULTADO!$C$102&lt;&gt;0,0,DA73-DA69)</f>
        <v>37</v>
      </c>
      <c r="DB81" s="18">
        <f>+IF(RESULTADO!$C$102&lt;&gt;0,0,DB73-DB69)</f>
        <v>37</v>
      </c>
      <c r="DC81" s="18">
        <f>+IF(RESULTADO!$C$102&lt;&gt;0,0,DC73-DC69)</f>
        <v>37</v>
      </c>
      <c r="DD81" s="18">
        <f>+IF(RESULTADO!$C$102&lt;&gt;0,0,DD73-DD69)</f>
        <v>37</v>
      </c>
      <c r="DE81" s="18">
        <f>+IF(RESULTADO!$C$102&lt;&gt;0,0,DE73-DE69)</f>
        <v>37</v>
      </c>
      <c r="DF81" s="18">
        <f>+IF(RESULTADO!$C$102&lt;&gt;0,0,DF73-DF69)</f>
        <v>37</v>
      </c>
      <c r="DG81" s="18">
        <f>+IF(RESULTADO!$C$102&lt;&gt;0,0,DG73-DG69)</f>
        <v>37</v>
      </c>
      <c r="DH81" s="402">
        <f>+IF(RESULTADO!$C$102&lt;&gt;0,0,DH73-DH69)</f>
        <v>37</v>
      </c>
      <c r="DI81" s="403">
        <f>+IF(RESULTADO!$C$102&lt;&gt;0,0,DI73-DI69)</f>
        <v>35</v>
      </c>
      <c r="DJ81" s="18">
        <f>+IF(RESULTADO!$C$102&lt;&gt;0,0,DJ73-DJ69)</f>
        <v>35</v>
      </c>
      <c r="DK81" s="18">
        <f>+IF(RESULTADO!$C$102&lt;&gt;0,0,DK73-DK69)</f>
        <v>35</v>
      </c>
      <c r="DL81" s="18">
        <f>+IF(RESULTADO!$C$102&lt;&gt;0,0,DL73-DL69)</f>
        <v>35</v>
      </c>
      <c r="DM81" s="18">
        <f>+IF(RESULTADO!$C$102&lt;&gt;0,0,DM73-DM69)</f>
        <v>35</v>
      </c>
      <c r="DN81" s="18">
        <f>+IF(RESULTADO!$C$102&lt;&gt;0,0,DN73-DN69)</f>
        <v>35</v>
      </c>
      <c r="DO81" s="18">
        <f>+IF(RESULTADO!$C$102&lt;&gt;0,0,DO73-DO69)</f>
        <v>35</v>
      </c>
      <c r="DP81" s="18">
        <f>+IF(RESULTADO!$C$102&lt;&gt;0,0,DP73-DP69)</f>
        <v>35</v>
      </c>
      <c r="DQ81" s="18">
        <f>+IF(RESULTADO!$C$102&lt;&gt;0,0,DQ73-DQ69)</f>
        <v>35</v>
      </c>
      <c r="DR81" s="18">
        <f>+IF(RESULTADO!$C$102&lt;&gt;0,0,DR73-DR69)</f>
        <v>35</v>
      </c>
      <c r="DS81" s="18">
        <f>+IF(RESULTADO!$C$102&lt;&gt;0,0,DS73-DS69)</f>
        <v>35</v>
      </c>
      <c r="DT81" s="19">
        <f>+IF(RESULTADO!$C$102&lt;&gt;0,0,DT73-DT69)</f>
        <v>35</v>
      </c>
    </row>
    <row r="82" spans="1:124" ht="15.75" thickBot="1" x14ac:dyDescent="0.3">
      <c r="A82" s="7"/>
      <c r="B82" s="38" t="s">
        <v>125</v>
      </c>
      <c r="C82" s="23">
        <f>+IF(RESULTADO!$C$102&lt;&gt;0,0,C74-C70)</f>
        <v>0</v>
      </c>
      <c r="D82" s="23">
        <f>+IF(RESULTADO!$C$102&lt;&gt;0,0,D74-D70)</f>
        <v>0</v>
      </c>
      <c r="E82" s="23">
        <f>+IF(RESULTADO!$C$102&lt;&gt;0,0,E74-E70)</f>
        <v>0</v>
      </c>
      <c r="F82" s="23">
        <f>+IF(RESULTADO!$C$102&lt;&gt;0,0,F74-F70)</f>
        <v>0</v>
      </c>
      <c r="G82" s="23">
        <f>+IF(RESULTADO!$C$102&lt;&gt;0,0,G74-G70)</f>
        <v>0</v>
      </c>
      <c r="H82" s="23">
        <f>+IF(RESULTADO!$C$102&lt;&gt;0,0,H74-H70)</f>
        <v>0</v>
      </c>
      <c r="I82" s="23">
        <f>+IF(RESULTADO!$C$102&lt;&gt;0,0,I74-I70)</f>
        <v>0</v>
      </c>
      <c r="J82" s="23">
        <f>+IF(RESULTADO!$C$102&lt;&gt;0,0,J74-J70)</f>
        <v>0</v>
      </c>
      <c r="K82" s="23">
        <f>+IF(RESULTADO!$C$102&lt;&gt;0,0,K74-K70)</f>
        <v>0</v>
      </c>
      <c r="L82" s="23">
        <f>+IF(RESULTADO!$C$102&lt;&gt;0,0,L74-L70)</f>
        <v>0</v>
      </c>
      <c r="M82" s="23">
        <f>+IF(RESULTADO!$C$102&lt;&gt;0,0,M74-M70)</f>
        <v>0</v>
      </c>
      <c r="N82" s="404">
        <f>+IF(RESULTADO!$C$102&lt;&gt;0,0,N74-N70)</f>
        <v>27</v>
      </c>
      <c r="O82" s="405">
        <f>+IF(RESULTADO!$C$102&lt;&gt;0,0,O74-O70)</f>
        <v>30</v>
      </c>
      <c r="P82" s="23">
        <f>+IF(RESULTADO!$C$102&lt;&gt;0,0,P74-P70)</f>
        <v>30</v>
      </c>
      <c r="Q82" s="23">
        <f>+IF(RESULTADO!$C$102&lt;&gt;0,0,Q74-Q70)</f>
        <v>30</v>
      </c>
      <c r="R82" s="23">
        <f>+IF(RESULTADO!$C$102&lt;&gt;0,0,R74-R70)</f>
        <v>30</v>
      </c>
      <c r="S82" s="23">
        <f>+IF(RESULTADO!$C$102&lt;&gt;0,0,S74-S70)</f>
        <v>30</v>
      </c>
      <c r="T82" s="23">
        <f>+IF(RESULTADO!$C$102&lt;&gt;0,0,T74-T70)</f>
        <v>30</v>
      </c>
      <c r="U82" s="23">
        <f>+IF(RESULTADO!$C$102&lt;&gt;0,0,U74-U70)</f>
        <v>30</v>
      </c>
      <c r="V82" s="23">
        <f>+IF(RESULTADO!$C$102&lt;&gt;0,0,V74-V70)</f>
        <v>30</v>
      </c>
      <c r="W82" s="23">
        <f>+IF(RESULTADO!$C$102&lt;&gt;0,0,W74-W70)</f>
        <v>30</v>
      </c>
      <c r="X82" s="23">
        <f>+IF(RESULTADO!$C$102&lt;&gt;0,0,X74-X70)</f>
        <v>30</v>
      </c>
      <c r="Y82" s="23">
        <f>+IF(RESULTADO!$C$102&lt;&gt;0,0,Y74-Y70)</f>
        <v>30</v>
      </c>
      <c r="Z82" s="404">
        <f>+IF(RESULTADO!$C$102&lt;&gt;0,0,Z74-Z70)</f>
        <v>30</v>
      </c>
      <c r="AA82" s="405">
        <f>+IF(RESULTADO!$C$102&lt;&gt;0,0,AA74-AA70)</f>
        <v>32</v>
      </c>
      <c r="AB82" s="23">
        <f>+IF(RESULTADO!$C$102&lt;&gt;0,0,AB74-AB70)</f>
        <v>32</v>
      </c>
      <c r="AC82" s="23">
        <f>+IF(RESULTADO!$C$102&lt;&gt;0,0,AC74-AC70)</f>
        <v>32</v>
      </c>
      <c r="AD82" s="23">
        <f>+IF(RESULTADO!$C$102&lt;&gt;0,0,AD74-AD70)</f>
        <v>32</v>
      </c>
      <c r="AE82" s="23">
        <f>+IF(RESULTADO!$C$102&lt;&gt;0,0,AE74-AE70)</f>
        <v>32</v>
      </c>
      <c r="AF82" s="23">
        <f>+IF(RESULTADO!$C$102&lt;&gt;0,0,AF74-AF70)</f>
        <v>32</v>
      </c>
      <c r="AG82" s="23">
        <f>+IF(RESULTADO!$C$102&lt;&gt;0,0,AG74-AG70)</f>
        <v>32</v>
      </c>
      <c r="AH82" s="23">
        <f>+IF(RESULTADO!$C$102&lt;&gt;0,0,AH74-AH70)</f>
        <v>32</v>
      </c>
      <c r="AI82" s="23">
        <f>+IF(RESULTADO!$C$102&lt;&gt;0,0,AI74-AI70)</f>
        <v>32</v>
      </c>
      <c r="AJ82" s="23">
        <f>+IF(RESULTADO!$C$102&lt;&gt;0,0,AJ74-AJ70)</f>
        <v>32</v>
      </c>
      <c r="AK82" s="23">
        <f>+IF(RESULTADO!$C$102&lt;&gt;0,0,AK74-AK70)</f>
        <v>32</v>
      </c>
      <c r="AL82" s="404">
        <f>+IF(RESULTADO!$C$102&lt;&gt;0,0,AL74-AL70)</f>
        <v>32</v>
      </c>
      <c r="AM82" s="405">
        <f>+IF(RESULTADO!$C$102&lt;&gt;0,0,AM74-AM70)</f>
        <v>37</v>
      </c>
      <c r="AN82" s="23">
        <f>+IF(RESULTADO!$C$102&lt;&gt;0,0,AN74-AN70)</f>
        <v>37</v>
      </c>
      <c r="AO82" s="23">
        <f>+IF(RESULTADO!$C$102&lt;&gt;0,0,AO74-AO70)</f>
        <v>37</v>
      </c>
      <c r="AP82" s="23">
        <f>+IF(RESULTADO!$C$102&lt;&gt;0,0,AP74-AP70)</f>
        <v>37</v>
      </c>
      <c r="AQ82" s="23">
        <f>+IF(RESULTADO!$C$102&lt;&gt;0,0,AQ74-AQ70)</f>
        <v>37</v>
      </c>
      <c r="AR82" s="23">
        <f>+IF(RESULTADO!$C$102&lt;&gt;0,0,AR74-AR70)</f>
        <v>37</v>
      </c>
      <c r="AS82" s="23">
        <f>+IF(RESULTADO!$C$102&lt;&gt;0,0,AS74-AS70)</f>
        <v>37</v>
      </c>
      <c r="AT82" s="23">
        <f>+IF(RESULTADO!$C$102&lt;&gt;0,0,AT74-AT70)</f>
        <v>37</v>
      </c>
      <c r="AU82" s="23">
        <f>+IF(RESULTADO!$C$102&lt;&gt;0,0,AU74-AU70)</f>
        <v>37</v>
      </c>
      <c r="AV82" s="23">
        <f>+IF(RESULTADO!$C$102&lt;&gt;0,0,AV74-AV70)</f>
        <v>37</v>
      </c>
      <c r="AW82" s="23">
        <f>+IF(RESULTADO!$C$102&lt;&gt;0,0,AW74-AW70)</f>
        <v>37</v>
      </c>
      <c r="AX82" s="404">
        <f>+IF(RESULTADO!$C$102&lt;&gt;0,0,AX74-AX70)</f>
        <v>37</v>
      </c>
      <c r="AY82" s="405">
        <f>+IF(RESULTADO!$C$102&lt;&gt;0,0,AY74-AY70)</f>
        <v>35</v>
      </c>
      <c r="AZ82" s="23">
        <f>+IF(RESULTADO!$C$102&lt;&gt;0,0,AZ74-AZ70)</f>
        <v>35</v>
      </c>
      <c r="BA82" s="23">
        <f>+IF(RESULTADO!$C$102&lt;&gt;0,0,BA74-BA70)</f>
        <v>35</v>
      </c>
      <c r="BB82" s="23">
        <f>+IF(RESULTADO!$C$102&lt;&gt;0,0,BB74-BB70)</f>
        <v>35</v>
      </c>
      <c r="BC82" s="23">
        <f>+IF(RESULTADO!$C$102&lt;&gt;0,0,BC74-BC70)</f>
        <v>35</v>
      </c>
      <c r="BD82" s="23">
        <f>+IF(RESULTADO!$C$102&lt;&gt;0,0,BD74-BD70)</f>
        <v>35</v>
      </c>
      <c r="BE82" s="23">
        <f>+IF(RESULTADO!$C$102&lt;&gt;0,0,BE74-BE70)</f>
        <v>35</v>
      </c>
      <c r="BF82" s="23">
        <f>+IF(RESULTADO!$C$102&lt;&gt;0,0,BF74-BF70)</f>
        <v>35</v>
      </c>
      <c r="BG82" s="23">
        <f>+IF(RESULTADO!$C$102&lt;&gt;0,0,BG74-BG70)</f>
        <v>35</v>
      </c>
      <c r="BH82" s="23">
        <f>+IF(RESULTADO!$C$102&lt;&gt;0,0,BH74-BH70)</f>
        <v>35</v>
      </c>
      <c r="BI82" s="23">
        <f>+IF(RESULTADO!$C$102&lt;&gt;0,0,BI74-BI70)</f>
        <v>35</v>
      </c>
      <c r="BJ82" s="24">
        <f>+IF(RESULTADO!$C$102&lt;&gt;0,0,BJ74-BJ70)</f>
        <v>35</v>
      </c>
      <c r="BL82" s="38" t="s">
        <v>125</v>
      </c>
      <c r="BM82" s="23">
        <f>+IF(RESULTADO!$C$102&lt;&gt;0,0,BM74-BM70)</f>
        <v>0</v>
      </c>
      <c r="BN82" s="23">
        <f>+IF(RESULTADO!$C$102&lt;&gt;0,0,BN74-BN70)</f>
        <v>0</v>
      </c>
      <c r="BO82" s="23">
        <f>+IF(RESULTADO!$C$102&lt;&gt;0,0,BO74-BO70)</f>
        <v>0</v>
      </c>
      <c r="BP82" s="23">
        <f>+IF(RESULTADO!$C$102&lt;&gt;0,0,BP74-BP70)</f>
        <v>0</v>
      </c>
      <c r="BQ82" s="23">
        <f>+IF(RESULTADO!$C$102&lt;&gt;0,0,BQ74-BQ70)</f>
        <v>0</v>
      </c>
      <c r="BR82" s="23">
        <f>+IF(RESULTADO!$C$102&lt;&gt;0,0,BR74-BR70)</f>
        <v>0</v>
      </c>
      <c r="BS82" s="23">
        <f>+IF(RESULTADO!$C$102&lt;&gt;0,0,BS74-BS70)</f>
        <v>0</v>
      </c>
      <c r="BT82" s="23">
        <f>+IF(RESULTADO!$C$102&lt;&gt;0,0,BT74-BT70)</f>
        <v>0</v>
      </c>
      <c r="BU82" s="23">
        <f>+IF(RESULTADO!$C$102&lt;&gt;0,0,BU74-BU70)</f>
        <v>0</v>
      </c>
      <c r="BV82" s="23">
        <f>+IF(RESULTADO!$C$102&lt;&gt;0,0,BV74-BV70)</f>
        <v>0</v>
      </c>
      <c r="BW82" s="23">
        <f>+IF(RESULTADO!$C$102&lt;&gt;0,0,BW74-BW70)</f>
        <v>0</v>
      </c>
      <c r="BX82" s="404">
        <f>+IF(RESULTADO!$C$102&lt;&gt;0,0,BX74-BX70)</f>
        <v>27</v>
      </c>
      <c r="BY82" s="405">
        <f>+IF(RESULTADO!$C$102&lt;&gt;0,0,BY74-BY70)</f>
        <v>30</v>
      </c>
      <c r="BZ82" s="23">
        <f>+IF(RESULTADO!$C$102&lt;&gt;0,0,BZ74-BZ70)</f>
        <v>30</v>
      </c>
      <c r="CA82" s="23">
        <f>+IF(RESULTADO!$C$102&lt;&gt;0,0,CA74-CA70)</f>
        <v>30</v>
      </c>
      <c r="CB82" s="23">
        <f>+IF(RESULTADO!$C$102&lt;&gt;0,0,CB74-CB70)</f>
        <v>30</v>
      </c>
      <c r="CC82" s="23">
        <f>+IF(RESULTADO!$C$102&lt;&gt;0,0,CC74-CC70)</f>
        <v>30</v>
      </c>
      <c r="CD82" s="23">
        <f>+IF(RESULTADO!$C$102&lt;&gt;0,0,CD74-CD70)</f>
        <v>30</v>
      </c>
      <c r="CE82" s="23">
        <f>+IF(RESULTADO!$C$102&lt;&gt;0,0,CE74-CE70)</f>
        <v>30</v>
      </c>
      <c r="CF82" s="23">
        <f>+IF(RESULTADO!$C$102&lt;&gt;0,0,CF74-CF70)</f>
        <v>30</v>
      </c>
      <c r="CG82" s="23">
        <f>+IF(RESULTADO!$C$102&lt;&gt;0,0,CG74-CG70)</f>
        <v>30</v>
      </c>
      <c r="CH82" s="23">
        <f>+IF(RESULTADO!$C$102&lt;&gt;0,0,CH74-CH70)</f>
        <v>30</v>
      </c>
      <c r="CI82" s="23">
        <f>+IF(RESULTADO!$C$102&lt;&gt;0,0,CI74-CI70)</f>
        <v>30</v>
      </c>
      <c r="CJ82" s="404">
        <f>+IF(RESULTADO!$C$102&lt;&gt;0,0,CJ74-CJ70)</f>
        <v>30</v>
      </c>
      <c r="CK82" s="405">
        <f>+IF(RESULTADO!$C$102&lt;&gt;0,0,CK74-CK70)</f>
        <v>32</v>
      </c>
      <c r="CL82" s="23">
        <f>+IF(RESULTADO!$C$102&lt;&gt;0,0,CL74-CL70)</f>
        <v>32</v>
      </c>
      <c r="CM82" s="23">
        <f>+IF(RESULTADO!$C$102&lt;&gt;0,0,CM74-CM70)</f>
        <v>32</v>
      </c>
      <c r="CN82" s="23">
        <f>+IF(RESULTADO!$C$102&lt;&gt;0,0,CN74-CN70)</f>
        <v>32</v>
      </c>
      <c r="CO82" s="23">
        <f>+IF(RESULTADO!$C$102&lt;&gt;0,0,CO74-CO70)</f>
        <v>32</v>
      </c>
      <c r="CP82" s="23">
        <f>+IF(RESULTADO!$C$102&lt;&gt;0,0,CP74-CP70)</f>
        <v>32</v>
      </c>
      <c r="CQ82" s="23">
        <f>+IF(RESULTADO!$C$102&lt;&gt;0,0,CQ74-CQ70)</f>
        <v>32</v>
      </c>
      <c r="CR82" s="23">
        <f>+IF(RESULTADO!$C$102&lt;&gt;0,0,CR74-CR70)</f>
        <v>32</v>
      </c>
      <c r="CS82" s="23">
        <f>+IF(RESULTADO!$C$102&lt;&gt;0,0,CS74-CS70)</f>
        <v>32</v>
      </c>
      <c r="CT82" s="23">
        <f>+IF(RESULTADO!$C$102&lt;&gt;0,0,CT74-CT70)</f>
        <v>32</v>
      </c>
      <c r="CU82" s="23">
        <f>+IF(RESULTADO!$C$102&lt;&gt;0,0,CU74-CU70)</f>
        <v>32</v>
      </c>
      <c r="CV82" s="404">
        <f>+IF(RESULTADO!$C$102&lt;&gt;0,0,CV74-CV70)</f>
        <v>32</v>
      </c>
      <c r="CW82" s="405">
        <f>+IF(RESULTADO!$C$102&lt;&gt;0,0,CW74-CW70)</f>
        <v>37</v>
      </c>
      <c r="CX82" s="23">
        <f>+IF(RESULTADO!$C$102&lt;&gt;0,0,CX74-CX70)</f>
        <v>37</v>
      </c>
      <c r="CY82" s="23">
        <f>+IF(RESULTADO!$C$102&lt;&gt;0,0,CY74-CY70)</f>
        <v>37</v>
      </c>
      <c r="CZ82" s="23">
        <f>+IF(RESULTADO!$C$102&lt;&gt;0,0,CZ74-CZ70)</f>
        <v>37</v>
      </c>
      <c r="DA82" s="23">
        <f>+IF(RESULTADO!$C$102&lt;&gt;0,0,DA74-DA70)</f>
        <v>37</v>
      </c>
      <c r="DB82" s="23">
        <f>+IF(RESULTADO!$C$102&lt;&gt;0,0,DB74-DB70)</f>
        <v>37</v>
      </c>
      <c r="DC82" s="23">
        <f>+IF(RESULTADO!$C$102&lt;&gt;0,0,DC74-DC70)</f>
        <v>37</v>
      </c>
      <c r="DD82" s="23">
        <f>+IF(RESULTADO!$C$102&lt;&gt;0,0,DD74-DD70)</f>
        <v>37</v>
      </c>
      <c r="DE82" s="23">
        <f>+IF(RESULTADO!$C$102&lt;&gt;0,0,DE74-DE70)</f>
        <v>37</v>
      </c>
      <c r="DF82" s="23">
        <f>+IF(RESULTADO!$C$102&lt;&gt;0,0,DF74-DF70)</f>
        <v>37</v>
      </c>
      <c r="DG82" s="23">
        <f>+IF(RESULTADO!$C$102&lt;&gt;0,0,DG74-DG70)</f>
        <v>37</v>
      </c>
      <c r="DH82" s="404">
        <f>+IF(RESULTADO!$C$102&lt;&gt;0,0,DH74-DH70)</f>
        <v>37</v>
      </c>
      <c r="DI82" s="405">
        <f>+IF(RESULTADO!$C$102&lt;&gt;0,0,DI74-DI70)</f>
        <v>35</v>
      </c>
      <c r="DJ82" s="23">
        <f>+IF(RESULTADO!$C$102&lt;&gt;0,0,DJ74-DJ70)</f>
        <v>35</v>
      </c>
      <c r="DK82" s="23">
        <f>+IF(RESULTADO!$C$102&lt;&gt;0,0,DK74-DK70)</f>
        <v>35</v>
      </c>
      <c r="DL82" s="23">
        <f>+IF(RESULTADO!$C$102&lt;&gt;0,0,DL74-DL70)</f>
        <v>35</v>
      </c>
      <c r="DM82" s="23">
        <f>+IF(RESULTADO!$C$102&lt;&gt;0,0,DM74-DM70)</f>
        <v>35</v>
      </c>
      <c r="DN82" s="23">
        <f>+IF(RESULTADO!$C$102&lt;&gt;0,0,DN74-DN70)</f>
        <v>35</v>
      </c>
      <c r="DO82" s="23">
        <f>+IF(RESULTADO!$C$102&lt;&gt;0,0,DO74-DO70)</f>
        <v>35</v>
      </c>
      <c r="DP82" s="23">
        <f>+IF(RESULTADO!$C$102&lt;&gt;0,0,DP74-DP70)</f>
        <v>35</v>
      </c>
      <c r="DQ82" s="23">
        <f>+IF(RESULTADO!$C$102&lt;&gt;0,0,DQ74-DQ70)</f>
        <v>35</v>
      </c>
      <c r="DR82" s="23">
        <f>+IF(RESULTADO!$C$102&lt;&gt;0,0,DR74-DR70)</f>
        <v>35</v>
      </c>
      <c r="DS82" s="23">
        <f>+IF(RESULTADO!$C$102&lt;&gt;0,0,DS74-DS70)</f>
        <v>35</v>
      </c>
      <c r="DT82" s="24">
        <f>+IF(RESULTADO!$C$102&lt;&gt;0,0,DT74-DT70)</f>
        <v>35</v>
      </c>
    </row>
    <row r="83" spans="1:124" x14ac:dyDescent="0.25">
      <c r="A83" s="7"/>
      <c r="B83" s="36" t="s">
        <v>126</v>
      </c>
      <c r="C83" s="20">
        <f>+IF(RESULTADO!$C$103&lt;&gt;0,0,C75-C67)</f>
        <v>0</v>
      </c>
      <c r="D83" s="20">
        <f>+IF(RESULTADO!$C$103&lt;&gt;0,0,D75-D67)</f>
        <v>0</v>
      </c>
      <c r="E83" s="20">
        <f>+IF(RESULTADO!$C$103&lt;&gt;0,0,E75-E67)</f>
        <v>0</v>
      </c>
      <c r="F83" s="20">
        <f>+IF(RESULTADO!$C$103&lt;&gt;0,0,F75-F67)</f>
        <v>0</v>
      </c>
      <c r="G83" s="20">
        <f>+IF(RESULTADO!$C$103&lt;&gt;0,0,G75-G67)</f>
        <v>0</v>
      </c>
      <c r="H83" s="20">
        <f>+IF(RESULTADO!$C$103&lt;&gt;0,0,H75-H67)</f>
        <v>0</v>
      </c>
      <c r="I83" s="20">
        <f>+IF(RESULTADO!$C$103&lt;&gt;0,0,I75-I67)</f>
        <v>0</v>
      </c>
      <c r="J83" s="20">
        <f>+IF(RESULTADO!$C$103&lt;&gt;0,0,J75-J67)</f>
        <v>0</v>
      </c>
      <c r="K83" s="20">
        <f>+IF(RESULTADO!$C$103&lt;&gt;0,0,K75-K67)</f>
        <v>0</v>
      </c>
      <c r="L83" s="20">
        <f>+IF(RESULTADO!$C$103&lt;&gt;0,0,L75-L67)</f>
        <v>0</v>
      </c>
      <c r="M83" s="20">
        <f>+IF(RESULTADO!$C$103&lt;&gt;0,0,M75-M67)</f>
        <v>0</v>
      </c>
      <c r="N83" s="400">
        <f>+IF(RESULTADO!$C$103&lt;&gt;0,0,N75-N67)</f>
        <v>160</v>
      </c>
      <c r="O83" s="401">
        <f>+IF(RESULTADO!$C$103&lt;&gt;0,0,O75-O67)</f>
        <v>160</v>
      </c>
      <c r="P83" s="20">
        <f>+IF(RESULTADO!$C$103&lt;&gt;0,0,P75-P67)</f>
        <v>160</v>
      </c>
      <c r="Q83" s="20">
        <f>+IF(RESULTADO!$C$103&lt;&gt;0,0,Q75-Q67)</f>
        <v>160</v>
      </c>
      <c r="R83" s="20">
        <f>+IF(RESULTADO!$C$103&lt;&gt;0,0,R75-R67)</f>
        <v>160</v>
      </c>
      <c r="S83" s="20">
        <f>+IF(RESULTADO!$C$103&lt;&gt;0,0,S75-S67)</f>
        <v>160</v>
      </c>
      <c r="T83" s="20">
        <f>+IF(RESULTADO!$C$103&lt;&gt;0,0,T75-T67)</f>
        <v>160</v>
      </c>
      <c r="U83" s="20">
        <f>+IF(RESULTADO!$C$103&lt;&gt;0,0,U75-U67)</f>
        <v>160</v>
      </c>
      <c r="V83" s="20">
        <f>+IF(RESULTADO!$C$103&lt;&gt;0,0,V75-V67)</f>
        <v>160</v>
      </c>
      <c r="W83" s="20">
        <f>+IF(RESULTADO!$C$103&lt;&gt;0,0,W75-W67)</f>
        <v>160</v>
      </c>
      <c r="X83" s="20">
        <f>+IF(RESULTADO!$C$103&lt;&gt;0,0,X75-X67)</f>
        <v>160</v>
      </c>
      <c r="Y83" s="20">
        <f>+IF(RESULTADO!$C$103&lt;&gt;0,0,Y75-Y67)</f>
        <v>160</v>
      </c>
      <c r="Z83" s="400">
        <f>+IF(RESULTADO!$C$103&lt;&gt;0,0,Z75-Z67)</f>
        <v>160</v>
      </c>
      <c r="AA83" s="401">
        <f>+IF(RESULTADO!$C$103&lt;&gt;0,0,AA75-AA67)</f>
        <v>165</v>
      </c>
      <c r="AB83" s="20">
        <f>+IF(RESULTADO!$C$103&lt;&gt;0,0,AB75-AB67)</f>
        <v>165</v>
      </c>
      <c r="AC83" s="20">
        <f>+IF(RESULTADO!$C$103&lt;&gt;0,0,AC75-AC67)</f>
        <v>165</v>
      </c>
      <c r="AD83" s="20">
        <f>+IF(RESULTADO!$C$103&lt;&gt;0,0,AD75-AD67)</f>
        <v>165</v>
      </c>
      <c r="AE83" s="20">
        <f>+IF(RESULTADO!$C$103&lt;&gt;0,0,AE75-AE67)</f>
        <v>165</v>
      </c>
      <c r="AF83" s="20">
        <f>+IF(RESULTADO!$C$103&lt;&gt;0,0,AF75-AF67)</f>
        <v>165</v>
      </c>
      <c r="AG83" s="20">
        <f>+IF(RESULTADO!$C$103&lt;&gt;0,0,AG75-AG67)</f>
        <v>165</v>
      </c>
      <c r="AH83" s="20">
        <f>+IF(RESULTADO!$C$103&lt;&gt;0,0,AH75-AH67)</f>
        <v>165</v>
      </c>
      <c r="AI83" s="20">
        <f>+IF(RESULTADO!$C$103&lt;&gt;0,0,AI75-AI67)</f>
        <v>165</v>
      </c>
      <c r="AJ83" s="20">
        <f>+IF(RESULTADO!$C$103&lt;&gt;0,0,AJ75-AJ67)</f>
        <v>165</v>
      </c>
      <c r="AK83" s="20">
        <f>+IF(RESULTADO!$C$103&lt;&gt;0,0,AK75-AK67)</f>
        <v>165</v>
      </c>
      <c r="AL83" s="400">
        <f>+IF(RESULTADO!$C$103&lt;&gt;0,0,AL75-AL67)</f>
        <v>165</v>
      </c>
      <c r="AM83" s="401">
        <f>+IF(RESULTADO!$C$103&lt;&gt;0,0,AM75-AM67)</f>
        <v>120</v>
      </c>
      <c r="AN83" s="20">
        <f>+IF(RESULTADO!$C$103&lt;&gt;0,0,AN75-AN67)</f>
        <v>120</v>
      </c>
      <c r="AO83" s="20">
        <f>+IF(RESULTADO!$C$103&lt;&gt;0,0,AO75-AO67)</f>
        <v>120</v>
      </c>
      <c r="AP83" s="20">
        <f>+IF(RESULTADO!$C$103&lt;&gt;0,0,AP75-AP67)</f>
        <v>120</v>
      </c>
      <c r="AQ83" s="20">
        <f>+IF(RESULTADO!$C$103&lt;&gt;0,0,AQ75-AQ67)</f>
        <v>120</v>
      </c>
      <c r="AR83" s="20">
        <f>+IF(RESULTADO!$C$103&lt;&gt;0,0,AR75-AR67)</f>
        <v>120</v>
      </c>
      <c r="AS83" s="20">
        <f>+IF(RESULTADO!$C$103&lt;&gt;0,0,AS75-AS67)</f>
        <v>120</v>
      </c>
      <c r="AT83" s="20">
        <f>+IF(RESULTADO!$C$103&lt;&gt;0,0,AT75-AT67)</f>
        <v>120</v>
      </c>
      <c r="AU83" s="20">
        <f>+IF(RESULTADO!$C$103&lt;&gt;0,0,AU75-AU67)</f>
        <v>120</v>
      </c>
      <c r="AV83" s="20">
        <f>+IF(RESULTADO!$C$103&lt;&gt;0,0,AV75-AV67)</f>
        <v>120</v>
      </c>
      <c r="AW83" s="20">
        <f>+IF(RESULTADO!$C$103&lt;&gt;0,0,AW75-AW67)</f>
        <v>120</v>
      </c>
      <c r="AX83" s="400">
        <f>+IF(RESULTADO!$C$103&lt;&gt;0,0,AX75-AX67)</f>
        <v>120</v>
      </c>
      <c r="AY83" s="401">
        <f>+IF(RESULTADO!$C$103&lt;&gt;0,0,AY75-AY67)</f>
        <v>115</v>
      </c>
      <c r="AZ83" s="20">
        <f>+IF(RESULTADO!$C$103&lt;&gt;0,0,AZ75-AZ67)</f>
        <v>115</v>
      </c>
      <c r="BA83" s="20">
        <f>+IF(RESULTADO!$C$103&lt;&gt;0,0,BA75-BA67)</f>
        <v>115</v>
      </c>
      <c r="BB83" s="20">
        <f>+IF(RESULTADO!$C$103&lt;&gt;0,0,BB75-BB67)</f>
        <v>115</v>
      </c>
      <c r="BC83" s="20">
        <f>+IF(RESULTADO!$C$103&lt;&gt;0,0,BC75-BC67)</f>
        <v>115</v>
      </c>
      <c r="BD83" s="20">
        <f>+IF(RESULTADO!$C$103&lt;&gt;0,0,BD75-BD67)</f>
        <v>115</v>
      </c>
      <c r="BE83" s="20">
        <f>+IF(RESULTADO!$C$103&lt;&gt;0,0,BE75-BE67)</f>
        <v>115</v>
      </c>
      <c r="BF83" s="20">
        <f>+IF(RESULTADO!$C$103&lt;&gt;0,0,BF75-BF67)</f>
        <v>115</v>
      </c>
      <c r="BG83" s="20">
        <f>+IF(RESULTADO!$C$103&lt;&gt;0,0,BG75-BG67)</f>
        <v>115</v>
      </c>
      <c r="BH83" s="20">
        <f>+IF(RESULTADO!$C$103&lt;&gt;0,0,BH75-BH67)</f>
        <v>115</v>
      </c>
      <c r="BI83" s="20">
        <f>+IF(RESULTADO!$C$103&lt;&gt;0,0,BI75-BI67)</f>
        <v>115</v>
      </c>
      <c r="BJ83" s="21">
        <f>+IF(RESULTADO!$C$103&lt;&gt;0,0,BJ75-BJ67)</f>
        <v>115</v>
      </c>
      <c r="BL83" s="36" t="s">
        <v>126</v>
      </c>
      <c r="BM83" s="20">
        <f>+IF(RESULTADO!$C$103&lt;&gt;0,0,BM75-BM67)</f>
        <v>0</v>
      </c>
      <c r="BN83" s="20">
        <f>+IF(RESULTADO!$C$103&lt;&gt;0,0,BN75-BN67)</f>
        <v>0</v>
      </c>
      <c r="BO83" s="20">
        <f>+IF(RESULTADO!$C$103&lt;&gt;0,0,BO75-BO67)</f>
        <v>0</v>
      </c>
      <c r="BP83" s="20">
        <f>+IF(RESULTADO!$C$103&lt;&gt;0,0,BP75-BP67)</f>
        <v>0</v>
      </c>
      <c r="BQ83" s="20">
        <f>+IF(RESULTADO!$C$103&lt;&gt;0,0,BQ75-BQ67)</f>
        <v>0</v>
      </c>
      <c r="BR83" s="20">
        <f>+IF(RESULTADO!$C$103&lt;&gt;0,0,BR75-BR67)</f>
        <v>0</v>
      </c>
      <c r="BS83" s="20">
        <f>+IF(RESULTADO!$C$103&lt;&gt;0,0,BS75-BS67)</f>
        <v>0</v>
      </c>
      <c r="BT83" s="20">
        <f>+IF(RESULTADO!$C$103&lt;&gt;0,0,BT75-BT67)</f>
        <v>0</v>
      </c>
      <c r="BU83" s="20">
        <f>+IF(RESULTADO!$C$103&lt;&gt;0,0,BU75-BU67)</f>
        <v>0</v>
      </c>
      <c r="BV83" s="20">
        <f>+IF(RESULTADO!$C$103&lt;&gt;0,0,BV75-BV67)</f>
        <v>0</v>
      </c>
      <c r="BW83" s="20">
        <f>+IF(RESULTADO!$C$103&lt;&gt;0,0,BW75-BW67)</f>
        <v>0</v>
      </c>
      <c r="BX83" s="400">
        <f>+IF(RESULTADO!$C$103&lt;&gt;0,0,BX75-BX67)</f>
        <v>160</v>
      </c>
      <c r="BY83" s="401">
        <f>+IF(RESULTADO!$C$103&lt;&gt;0,0,BY75-BY67)</f>
        <v>160</v>
      </c>
      <c r="BZ83" s="20">
        <f>+IF(RESULTADO!$C$103&lt;&gt;0,0,BZ75-BZ67)</f>
        <v>160</v>
      </c>
      <c r="CA83" s="20">
        <f>+IF(RESULTADO!$C$103&lt;&gt;0,0,CA75-CA67)</f>
        <v>160</v>
      </c>
      <c r="CB83" s="20">
        <f>+IF(RESULTADO!$C$103&lt;&gt;0,0,CB75-CB67)</f>
        <v>160</v>
      </c>
      <c r="CC83" s="20">
        <f>+IF(RESULTADO!$C$103&lt;&gt;0,0,CC75-CC67)</f>
        <v>160</v>
      </c>
      <c r="CD83" s="20">
        <f>+IF(RESULTADO!$C$103&lt;&gt;0,0,CD75-CD67)</f>
        <v>160</v>
      </c>
      <c r="CE83" s="20">
        <f>+IF(RESULTADO!$C$103&lt;&gt;0,0,CE75-CE67)</f>
        <v>160</v>
      </c>
      <c r="CF83" s="20">
        <f>+IF(RESULTADO!$C$103&lt;&gt;0,0,CF75-CF67)</f>
        <v>160</v>
      </c>
      <c r="CG83" s="20">
        <f>+IF(RESULTADO!$C$103&lt;&gt;0,0,CG75-CG67)</f>
        <v>160</v>
      </c>
      <c r="CH83" s="20">
        <f>+IF(RESULTADO!$C$103&lt;&gt;0,0,CH75-CH67)</f>
        <v>160</v>
      </c>
      <c r="CI83" s="20">
        <f>+IF(RESULTADO!$C$103&lt;&gt;0,0,CI75-CI67)</f>
        <v>160</v>
      </c>
      <c r="CJ83" s="400">
        <f>+IF(RESULTADO!$C$103&lt;&gt;0,0,CJ75-CJ67)</f>
        <v>160</v>
      </c>
      <c r="CK83" s="401">
        <f>+IF(RESULTADO!$C$103&lt;&gt;0,0,CK75-CK67)</f>
        <v>165</v>
      </c>
      <c r="CL83" s="20">
        <f>+IF(RESULTADO!$C$103&lt;&gt;0,0,CL75-CL67)</f>
        <v>165</v>
      </c>
      <c r="CM83" s="20">
        <f>+IF(RESULTADO!$C$103&lt;&gt;0,0,CM75-CM67)</f>
        <v>165</v>
      </c>
      <c r="CN83" s="20">
        <f>+IF(RESULTADO!$C$103&lt;&gt;0,0,CN75-CN67)</f>
        <v>165</v>
      </c>
      <c r="CO83" s="20">
        <f>+IF(RESULTADO!$C$103&lt;&gt;0,0,CO75-CO67)</f>
        <v>165</v>
      </c>
      <c r="CP83" s="20">
        <f>+IF(RESULTADO!$C$103&lt;&gt;0,0,CP75-CP67)</f>
        <v>165</v>
      </c>
      <c r="CQ83" s="20">
        <f>+IF(RESULTADO!$C$103&lt;&gt;0,0,CQ75-CQ67)</f>
        <v>165</v>
      </c>
      <c r="CR83" s="20">
        <f>+IF(RESULTADO!$C$103&lt;&gt;0,0,CR75-CR67)</f>
        <v>165</v>
      </c>
      <c r="CS83" s="20">
        <f>+IF(RESULTADO!$C$103&lt;&gt;0,0,CS75-CS67)</f>
        <v>165</v>
      </c>
      <c r="CT83" s="20">
        <f>+IF(RESULTADO!$C$103&lt;&gt;0,0,CT75-CT67)</f>
        <v>165</v>
      </c>
      <c r="CU83" s="20">
        <f>+IF(RESULTADO!$C$103&lt;&gt;0,0,CU75-CU67)</f>
        <v>165</v>
      </c>
      <c r="CV83" s="400">
        <f>+IF(RESULTADO!$C$103&lt;&gt;0,0,CV75-CV67)</f>
        <v>165</v>
      </c>
      <c r="CW83" s="401">
        <f>+IF(RESULTADO!$C$103&lt;&gt;0,0,CW75-CW67)</f>
        <v>120</v>
      </c>
      <c r="CX83" s="20">
        <f>+IF(RESULTADO!$C$103&lt;&gt;0,0,CX75-CX67)</f>
        <v>120</v>
      </c>
      <c r="CY83" s="20">
        <f>+IF(RESULTADO!$C$103&lt;&gt;0,0,CY75-CY67)</f>
        <v>120</v>
      </c>
      <c r="CZ83" s="20">
        <f>+IF(RESULTADO!$C$103&lt;&gt;0,0,CZ75-CZ67)</f>
        <v>120</v>
      </c>
      <c r="DA83" s="20">
        <f>+IF(RESULTADO!$C$103&lt;&gt;0,0,DA75-DA67)</f>
        <v>120</v>
      </c>
      <c r="DB83" s="20">
        <f>+IF(RESULTADO!$C$103&lt;&gt;0,0,DB75-DB67)</f>
        <v>120</v>
      </c>
      <c r="DC83" s="20">
        <f>+IF(RESULTADO!$C$103&lt;&gt;0,0,DC75-DC67)</f>
        <v>120</v>
      </c>
      <c r="DD83" s="20">
        <f>+IF(RESULTADO!$C$103&lt;&gt;0,0,DD75-DD67)</f>
        <v>120</v>
      </c>
      <c r="DE83" s="20">
        <f>+IF(RESULTADO!$C$103&lt;&gt;0,0,DE75-DE67)</f>
        <v>120</v>
      </c>
      <c r="DF83" s="20">
        <f>+IF(RESULTADO!$C$103&lt;&gt;0,0,DF75-DF67)</f>
        <v>120</v>
      </c>
      <c r="DG83" s="20">
        <f>+IF(RESULTADO!$C$103&lt;&gt;0,0,DG75-DG67)</f>
        <v>120</v>
      </c>
      <c r="DH83" s="400">
        <f>+IF(RESULTADO!$C$103&lt;&gt;0,0,DH75-DH67)</f>
        <v>120</v>
      </c>
      <c r="DI83" s="401">
        <f>+IF(RESULTADO!$C$103&lt;&gt;0,0,DI75-DI67)</f>
        <v>115</v>
      </c>
      <c r="DJ83" s="20">
        <f>+IF(RESULTADO!$C$103&lt;&gt;0,0,DJ75-DJ67)</f>
        <v>115</v>
      </c>
      <c r="DK83" s="20">
        <f>+IF(RESULTADO!$C$103&lt;&gt;0,0,DK75-DK67)</f>
        <v>115</v>
      </c>
      <c r="DL83" s="20">
        <f>+IF(RESULTADO!$C$103&lt;&gt;0,0,DL75-DL67)</f>
        <v>115</v>
      </c>
      <c r="DM83" s="20">
        <f>+IF(RESULTADO!$C$103&lt;&gt;0,0,DM75-DM67)</f>
        <v>115</v>
      </c>
      <c r="DN83" s="20">
        <f>+IF(RESULTADO!$C$103&lt;&gt;0,0,DN75-DN67)</f>
        <v>115</v>
      </c>
      <c r="DO83" s="20">
        <f>+IF(RESULTADO!$C$103&lt;&gt;0,0,DO75-DO67)</f>
        <v>115</v>
      </c>
      <c r="DP83" s="20">
        <f>+IF(RESULTADO!$C$103&lt;&gt;0,0,DP75-DP67)</f>
        <v>115</v>
      </c>
      <c r="DQ83" s="20">
        <f>+IF(RESULTADO!$C$103&lt;&gt;0,0,DQ75-DQ67)</f>
        <v>115</v>
      </c>
      <c r="DR83" s="20">
        <f>+IF(RESULTADO!$C$103&lt;&gt;0,0,DR75-DR67)</f>
        <v>115</v>
      </c>
      <c r="DS83" s="20">
        <f>+IF(RESULTADO!$C$103&lt;&gt;0,0,DS75-DS67)</f>
        <v>115</v>
      </c>
      <c r="DT83" s="21">
        <f>+IF(RESULTADO!$C$103&lt;&gt;0,0,DT75-DT67)</f>
        <v>115</v>
      </c>
    </row>
    <row r="84" spans="1:124" x14ac:dyDescent="0.25">
      <c r="A84" s="7"/>
      <c r="B84" s="37" t="s">
        <v>127</v>
      </c>
      <c r="C84" s="18">
        <f>+IF(RESULTADO!$C$103&lt;&gt;0,0,C76-C68)</f>
        <v>0</v>
      </c>
      <c r="D84" s="18">
        <f>+IF(RESULTADO!$C$103&lt;&gt;0,0,D76-D68)</f>
        <v>0</v>
      </c>
      <c r="E84" s="18">
        <f>+IF(RESULTADO!$C$103&lt;&gt;0,0,E76-E68)</f>
        <v>0</v>
      </c>
      <c r="F84" s="18">
        <f>+IF(RESULTADO!$C$103&lt;&gt;0,0,F76-F68)</f>
        <v>0</v>
      </c>
      <c r="G84" s="18">
        <f>+IF(RESULTADO!$C$103&lt;&gt;0,0,G76-G68)</f>
        <v>0</v>
      </c>
      <c r="H84" s="18">
        <f>+IF(RESULTADO!$C$103&lt;&gt;0,0,H76-H68)</f>
        <v>0</v>
      </c>
      <c r="I84" s="18">
        <f>+IF(RESULTADO!$C$103&lt;&gt;0,0,I76-I68)</f>
        <v>0</v>
      </c>
      <c r="J84" s="18">
        <f>+IF(RESULTADO!$C$103&lt;&gt;0,0,J76-J68)</f>
        <v>0</v>
      </c>
      <c r="K84" s="18">
        <f>+IF(RESULTADO!$C$103&lt;&gt;0,0,K76-K68)</f>
        <v>0</v>
      </c>
      <c r="L84" s="18">
        <f>+IF(RESULTADO!$C$103&lt;&gt;0,0,L76-L68)</f>
        <v>0</v>
      </c>
      <c r="M84" s="18">
        <f>+IF(RESULTADO!$C$103&lt;&gt;0,0,M76-M68)</f>
        <v>0</v>
      </c>
      <c r="N84" s="402">
        <f>+IF(RESULTADO!$C$103&lt;&gt;0,0,N76-N68)</f>
        <v>160</v>
      </c>
      <c r="O84" s="403">
        <f>+IF(RESULTADO!$C$103&lt;&gt;0,0,O76-O68)</f>
        <v>160</v>
      </c>
      <c r="P84" s="18">
        <f>+IF(RESULTADO!$C$103&lt;&gt;0,0,P76-P68)</f>
        <v>160</v>
      </c>
      <c r="Q84" s="18">
        <f>+IF(RESULTADO!$C$103&lt;&gt;0,0,Q76-Q68)</f>
        <v>160</v>
      </c>
      <c r="R84" s="18">
        <f>+IF(RESULTADO!$C$103&lt;&gt;0,0,R76-R68)</f>
        <v>160</v>
      </c>
      <c r="S84" s="18">
        <f>+IF(RESULTADO!$C$103&lt;&gt;0,0,S76-S68)</f>
        <v>160</v>
      </c>
      <c r="T84" s="18">
        <f>+IF(RESULTADO!$C$103&lt;&gt;0,0,T76-T68)</f>
        <v>160</v>
      </c>
      <c r="U84" s="18">
        <f>+IF(RESULTADO!$C$103&lt;&gt;0,0,U76-U68)</f>
        <v>160</v>
      </c>
      <c r="V84" s="18">
        <f>+IF(RESULTADO!$C$103&lt;&gt;0,0,V76-V68)</f>
        <v>160</v>
      </c>
      <c r="W84" s="18">
        <f>+IF(RESULTADO!$C$103&lt;&gt;0,0,W76-W68)</f>
        <v>160</v>
      </c>
      <c r="X84" s="18">
        <f>+IF(RESULTADO!$C$103&lt;&gt;0,0,X76-X68)</f>
        <v>160</v>
      </c>
      <c r="Y84" s="18">
        <f>+IF(RESULTADO!$C$103&lt;&gt;0,0,Y76-Y68)</f>
        <v>160</v>
      </c>
      <c r="Z84" s="402">
        <f>+IF(RESULTADO!$C$103&lt;&gt;0,0,Z76-Z68)</f>
        <v>160</v>
      </c>
      <c r="AA84" s="403">
        <f>+IF(RESULTADO!$C$103&lt;&gt;0,0,AA76-AA68)</f>
        <v>165</v>
      </c>
      <c r="AB84" s="18">
        <f>+IF(RESULTADO!$C$103&lt;&gt;0,0,AB76-AB68)</f>
        <v>165</v>
      </c>
      <c r="AC84" s="18">
        <f>+IF(RESULTADO!$C$103&lt;&gt;0,0,AC76-AC68)</f>
        <v>165</v>
      </c>
      <c r="AD84" s="18">
        <f>+IF(RESULTADO!$C$103&lt;&gt;0,0,AD76-AD68)</f>
        <v>165</v>
      </c>
      <c r="AE84" s="18">
        <f>+IF(RESULTADO!$C$103&lt;&gt;0,0,AE76-AE68)</f>
        <v>165</v>
      </c>
      <c r="AF84" s="18">
        <f>+IF(RESULTADO!$C$103&lt;&gt;0,0,AF76-AF68)</f>
        <v>165</v>
      </c>
      <c r="AG84" s="18">
        <f>+IF(RESULTADO!$C$103&lt;&gt;0,0,AG76-AG68)</f>
        <v>165</v>
      </c>
      <c r="AH84" s="18">
        <f>+IF(RESULTADO!$C$103&lt;&gt;0,0,AH76-AH68)</f>
        <v>165</v>
      </c>
      <c r="AI84" s="18">
        <f>+IF(RESULTADO!$C$103&lt;&gt;0,0,AI76-AI68)</f>
        <v>165</v>
      </c>
      <c r="AJ84" s="18">
        <f>+IF(RESULTADO!$C$103&lt;&gt;0,0,AJ76-AJ68)</f>
        <v>165</v>
      </c>
      <c r="AK84" s="18">
        <f>+IF(RESULTADO!$C$103&lt;&gt;0,0,AK76-AK68)</f>
        <v>165</v>
      </c>
      <c r="AL84" s="402">
        <f>+IF(RESULTADO!$C$103&lt;&gt;0,0,AL76-AL68)</f>
        <v>165</v>
      </c>
      <c r="AM84" s="403">
        <f>+IF(RESULTADO!$C$103&lt;&gt;0,0,AM76-AM68)</f>
        <v>120</v>
      </c>
      <c r="AN84" s="18">
        <f>+IF(RESULTADO!$C$103&lt;&gt;0,0,AN76-AN68)</f>
        <v>120</v>
      </c>
      <c r="AO84" s="18">
        <f>+IF(RESULTADO!$C$103&lt;&gt;0,0,AO76-AO68)</f>
        <v>120</v>
      </c>
      <c r="AP84" s="18">
        <f>+IF(RESULTADO!$C$103&lt;&gt;0,0,AP76-AP68)</f>
        <v>120</v>
      </c>
      <c r="AQ84" s="18">
        <f>+IF(RESULTADO!$C$103&lt;&gt;0,0,AQ76-AQ68)</f>
        <v>120</v>
      </c>
      <c r="AR84" s="18">
        <f>+IF(RESULTADO!$C$103&lt;&gt;0,0,AR76-AR68)</f>
        <v>120</v>
      </c>
      <c r="AS84" s="18">
        <f>+IF(RESULTADO!$C$103&lt;&gt;0,0,AS76-AS68)</f>
        <v>120</v>
      </c>
      <c r="AT84" s="18">
        <f>+IF(RESULTADO!$C$103&lt;&gt;0,0,AT76-AT68)</f>
        <v>120</v>
      </c>
      <c r="AU84" s="18">
        <f>+IF(RESULTADO!$C$103&lt;&gt;0,0,AU76-AU68)</f>
        <v>120</v>
      </c>
      <c r="AV84" s="18">
        <f>+IF(RESULTADO!$C$103&lt;&gt;0,0,AV76-AV68)</f>
        <v>120</v>
      </c>
      <c r="AW84" s="18">
        <f>+IF(RESULTADO!$C$103&lt;&gt;0,0,AW76-AW68)</f>
        <v>120</v>
      </c>
      <c r="AX84" s="402">
        <f>+IF(RESULTADO!$C$103&lt;&gt;0,0,AX76-AX68)</f>
        <v>120</v>
      </c>
      <c r="AY84" s="403">
        <f>+IF(RESULTADO!$C$103&lt;&gt;0,0,AY76-AY68)</f>
        <v>115</v>
      </c>
      <c r="AZ84" s="18">
        <f>+IF(RESULTADO!$C$103&lt;&gt;0,0,AZ76-AZ68)</f>
        <v>115</v>
      </c>
      <c r="BA84" s="18">
        <f>+IF(RESULTADO!$C$103&lt;&gt;0,0,BA76-BA68)</f>
        <v>115</v>
      </c>
      <c r="BB84" s="18">
        <f>+IF(RESULTADO!$C$103&lt;&gt;0,0,BB76-BB68)</f>
        <v>115</v>
      </c>
      <c r="BC84" s="18">
        <f>+IF(RESULTADO!$C$103&lt;&gt;0,0,BC76-BC68)</f>
        <v>115</v>
      </c>
      <c r="BD84" s="18">
        <f>+IF(RESULTADO!$C$103&lt;&gt;0,0,BD76-BD68)</f>
        <v>115</v>
      </c>
      <c r="BE84" s="18">
        <f>+IF(RESULTADO!$C$103&lt;&gt;0,0,BE76-BE68)</f>
        <v>115</v>
      </c>
      <c r="BF84" s="18">
        <f>+IF(RESULTADO!$C$103&lt;&gt;0,0,BF76-BF68)</f>
        <v>115</v>
      </c>
      <c r="BG84" s="18">
        <f>+IF(RESULTADO!$C$103&lt;&gt;0,0,BG76-BG68)</f>
        <v>115</v>
      </c>
      <c r="BH84" s="18">
        <f>+IF(RESULTADO!$C$103&lt;&gt;0,0,BH76-BH68)</f>
        <v>115</v>
      </c>
      <c r="BI84" s="18">
        <f>+IF(RESULTADO!$C$103&lt;&gt;0,0,BI76-BI68)</f>
        <v>115</v>
      </c>
      <c r="BJ84" s="19">
        <f>+IF(RESULTADO!$C$103&lt;&gt;0,0,BJ76-BJ68)</f>
        <v>115</v>
      </c>
      <c r="BL84" s="37" t="s">
        <v>127</v>
      </c>
      <c r="BM84" s="18">
        <f>+IF(RESULTADO!$C$103&lt;&gt;0,0,BM76-BM68)</f>
        <v>0</v>
      </c>
      <c r="BN84" s="18">
        <f>+IF(RESULTADO!$C$103&lt;&gt;0,0,BN76-BN68)</f>
        <v>0</v>
      </c>
      <c r="BO84" s="18">
        <f>+IF(RESULTADO!$C$103&lt;&gt;0,0,BO76-BO68)</f>
        <v>0</v>
      </c>
      <c r="BP84" s="18">
        <f>+IF(RESULTADO!$C$103&lt;&gt;0,0,BP76-BP68)</f>
        <v>0</v>
      </c>
      <c r="BQ84" s="18">
        <f>+IF(RESULTADO!$C$103&lt;&gt;0,0,BQ76-BQ68)</f>
        <v>0</v>
      </c>
      <c r="BR84" s="18">
        <f>+IF(RESULTADO!$C$103&lt;&gt;0,0,BR76-BR68)</f>
        <v>0</v>
      </c>
      <c r="BS84" s="18">
        <f>+IF(RESULTADO!$C$103&lt;&gt;0,0,BS76-BS68)</f>
        <v>0</v>
      </c>
      <c r="BT84" s="18">
        <f>+IF(RESULTADO!$C$103&lt;&gt;0,0,BT76-BT68)</f>
        <v>0</v>
      </c>
      <c r="BU84" s="18">
        <f>+IF(RESULTADO!$C$103&lt;&gt;0,0,BU76-BU68)</f>
        <v>0</v>
      </c>
      <c r="BV84" s="18">
        <f>+IF(RESULTADO!$C$103&lt;&gt;0,0,BV76-BV68)</f>
        <v>0</v>
      </c>
      <c r="BW84" s="18">
        <f>+IF(RESULTADO!$C$103&lt;&gt;0,0,BW76-BW68)</f>
        <v>0</v>
      </c>
      <c r="BX84" s="402">
        <f>+IF(RESULTADO!$C$103&lt;&gt;0,0,BX76-BX68)</f>
        <v>160</v>
      </c>
      <c r="BY84" s="403">
        <f>+IF(RESULTADO!$C$103&lt;&gt;0,0,BY76-BY68)</f>
        <v>160</v>
      </c>
      <c r="BZ84" s="18">
        <f>+IF(RESULTADO!$C$103&lt;&gt;0,0,BZ76-BZ68)</f>
        <v>160</v>
      </c>
      <c r="CA84" s="18">
        <f>+IF(RESULTADO!$C$103&lt;&gt;0,0,CA76-CA68)</f>
        <v>160</v>
      </c>
      <c r="CB84" s="18">
        <f>+IF(RESULTADO!$C$103&lt;&gt;0,0,CB76-CB68)</f>
        <v>160</v>
      </c>
      <c r="CC84" s="18">
        <f>+IF(RESULTADO!$C$103&lt;&gt;0,0,CC76-CC68)</f>
        <v>160</v>
      </c>
      <c r="CD84" s="18">
        <f>+IF(RESULTADO!$C$103&lt;&gt;0,0,CD76-CD68)</f>
        <v>160</v>
      </c>
      <c r="CE84" s="18">
        <f>+IF(RESULTADO!$C$103&lt;&gt;0,0,CE76-CE68)</f>
        <v>160</v>
      </c>
      <c r="CF84" s="18">
        <f>+IF(RESULTADO!$C$103&lt;&gt;0,0,CF76-CF68)</f>
        <v>160</v>
      </c>
      <c r="CG84" s="18">
        <f>+IF(RESULTADO!$C$103&lt;&gt;0,0,CG76-CG68)</f>
        <v>160</v>
      </c>
      <c r="CH84" s="18">
        <f>+IF(RESULTADO!$C$103&lt;&gt;0,0,CH76-CH68)</f>
        <v>160</v>
      </c>
      <c r="CI84" s="18">
        <f>+IF(RESULTADO!$C$103&lt;&gt;0,0,CI76-CI68)</f>
        <v>160</v>
      </c>
      <c r="CJ84" s="402">
        <f>+IF(RESULTADO!$C$103&lt;&gt;0,0,CJ76-CJ68)</f>
        <v>160</v>
      </c>
      <c r="CK84" s="403">
        <f>+IF(RESULTADO!$C$103&lt;&gt;0,0,CK76-CK68)</f>
        <v>165</v>
      </c>
      <c r="CL84" s="18">
        <f>+IF(RESULTADO!$C$103&lt;&gt;0,0,CL76-CL68)</f>
        <v>165</v>
      </c>
      <c r="CM84" s="18">
        <f>+IF(RESULTADO!$C$103&lt;&gt;0,0,CM76-CM68)</f>
        <v>165</v>
      </c>
      <c r="CN84" s="18">
        <f>+IF(RESULTADO!$C$103&lt;&gt;0,0,CN76-CN68)</f>
        <v>165</v>
      </c>
      <c r="CO84" s="18">
        <f>+IF(RESULTADO!$C$103&lt;&gt;0,0,CO76-CO68)</f>
        <v>165</v>
      </c>
      <c r="CP84" s="18">
        <f>+IF(RESULTADO!$C$103&lt;&gt;0,0,CP76-CP68)</f>
        <v>165</v>
      </c>
      <c r="CQ84" s="18">
        <f>+IF(RESULTADO!$C$103&lt;&gt;0,0,CQ76-CQ68)</f>
        <v>165</v>
      </c>
      <c r="CR84" s="18">
        <f>+IF(RESULTADO!$C$103&lt;&gt;0,0,CR76-CR68)</f>
        <v>165</v>
      </c>
      <c r="CS84" s="18">
        <f>+IF(RESULTADO!$C$103&lt;&gt;0,0,CS76-CS68)</f>
        <v>165</v>
      </c>
      <c r="CT84" s="18">
        <f>+IF(RESULTADO!$C$103&lt;&gt;0,0,CT76-CT68)</f>
        <v>165</v>
      </c>
      <c r="CU84" s="18">
        <f>+IF(RESULTADO!$C$103&lt;&gt;0,0,CU76-CU68)</f>
        <v>165</v>
      </c>
      <c r="CV84" s="402">
        <f>+IF(RESULTADO!$C$103&lt;&gt;0,0,CV76-CV68)</f>
        <v>165</v>
      </c>
      <c r="CW84" s="403">
        <f>+IF(RESULTADO!$C$103&lt;&gt;0,0,CW76-CW68)</f>
        <v>120</v>
      </c>
      <c r="CX84" s="18">
        <f>+IF(RESULTADO!$C$103&lt;&gt;0,0,CX76-CX68)</f>
        <v>120</v>
      </c>
      <c r="CY84" s="18">
        <f>+IF(RESULTADO!$C$103&lt;&gt;0,0,CY76-CY68)</f>
        <v>120</v>
      </c>
      <c r="CZ84" s="18">
        <f>+IF(RESULTADO!$C$103&lt;&gt;0,0,CZ76-CZ68)</f>
        <v>120</v>
      </c>
      <c r="DA84" s="18">
        <f>+IF(RESULTADO!$C$103&lt;&gt;0,0,DA76-DA68)</f>
        <v>120</v>
      </c>
      <c r="DB84" s="18">
        <f>+IF(RESULTADO!$C$103&lt;&gt;0,0,DB76-DB68)</f>
        <v>120</v>
      </c>
      <c r="DC84" s="18">
        <f>+IF(RESULTADO!$C$103&lt;&gt;0,0,DC76-DC68)</f>
        <v>120</v>
      </c>
      <c r="DD84" s="18">
        <f>+IF(RESULTADO!$C$103&lt;&gt;0,0,DD76-DD68)</f>
        <v>120</v>
      </c>
      <c r="DE84" s="18">
        <f>+IF(RESULTADO!$C$103&lt;&gt;0,0,DE76-DE68)</f>
        <v>120</v>
      </c>
      <c r="DF84" s="18">
        <f>+IF(RESULTADO!$C$103&lt;&gt;0,0,DF76-DF68)</f>
        <v>120</v>
      </c>
      <c r="DG84" s="18">
        <f>+IF(RESULTADO!$C$103&lt;&gt;0,0,DG76-DG68)</f>
        <v>120</v>
      </c>
      <c r="DH84" s="402">
        <f>+IF(RESULTADO!$C$103&lt;&gt;0,0,DH76-DH68)</f>
        <v>120</v>
      </c>
      <c r="DI84" s="403">
        <f>+IF(RESULTADO!$C$103&lt;&gt;0,0,DI76-DI68)</f>
        <v>115</v>
      </c>
      <c r="DJ84" s="18">
        <f>+IF(RESULTADO!$C$103&lt;&gt;0,0,DJ76-DJ68)</f>
        <v>115</v>
      </c>
      <c r="DK84" s="18">
        <f>+IF(RESULTADO!$C$103&lt;&gt;0,0,DK76-DK68)</f>
        <v>115</v>
      </c>
      <c r="DL84" s="18">
        <f>+IF(RESULTADO!$C$103&lt;&gt;0,0,DL76-DL68)</f>
        <v>115</v>
      </c>
      <c r="DM84" s="18">
        <f>+IF(RESULTADO!$C$103&lt;&gt;0,0,DM76-DM68)</f>
        <v>115</v>
      </c>
      <c r="DN84" s="18">
        <f>+IF(RESULTADO!$C$103&lt;&gt;0,0,DN76-DN68)</f>
        <v>115</v>
      </c>
      <c r="DO84" s="18">
        <f>+IF(RESULTADO!$C$103&lt;&gt;0,0,DO76-DO68)</f>
        <v>115</v>
      </c>
      <c r="DP84" s="18">
        <f>+IF(RESULTADO!$C$103&lt;&gt;0,0,DP76-DP68)</f>
        <v>115</v>
      </c>
      <c r="DQ84" s="18">
        <f>+IF(RESULTADO!$C$103&lt;&gt;0,0,DQ76-DQ68)</f>
        <v>115</v>
      </c>
      <c r="DR84" s="18">
        <f>+IF(RESULTADO!$C$103&lt;&gt;0,0,DR76-DR68)</f>
        <v>115</v>
      </c>
      <c r="DS84" s="18">
        <f>+IF(RESULTADO!$C$103&lt;&gt;0,0,DS76-DS68)</f>
        <v>115</v>
      </c>
      <c r="DT84" s="19">
        <f>+IF(RESULTADO!$C$103&lt;&gt;0,0,DT76-DT68)</f>
        <v>115</v>
      </c>
    </row>
    <row r="85" spans="1:124" x14ac:dyDescent="0.25">
      <c r="A85" s="7"/>
      <c r="B85" s="37" t="s">
        <v>128</v>
      </c>
      <c r="C85" s="18">
        <f>+IF(RESULTADO!$C$103&lt;&gt;0,0,C77-C69)</f>
        <v>0</v>
      </c>
      <c r="D85" s="18">
        <f>+IF(RESULTADO!$C$103&lt;&gt;0,0,D77-D69)</f>
        <v>0</v>
      </c>
      <c r="E85" s="18">
        <f>+IF(RESULTADO!$C$103&lt;&gt;0,0,E77-E69)</f>
        <v>0</v>
      </c>
      <c r="F85" s="18">
        <f>+IF(RESULTADO!$C$103&lt;&gt;0,0,F77-F69)</f>
        <v>0</v>
      </c>
      <c r="G85" s="18">
        <f>+IF(RESULTADO!$C$103&lt;&gt;0,0,G77-G69)</f>
        <v>0</v>
      </c>
      <c r="H85" s="18">
        <f>+IF(RESULTADO!$C$103&lt;&gt;0,0,H77-H69)</f>
        <v>0</v>
      </c>
      <c r="I85" s="18">
        <f>+IF(RESULTADO!$C$103&lt;&gt;0,0,I77-I69)</f>
        <v>0</v>
      </c>
      <c r="J85" s="18">
        <f>+IF(RESULTADO!$C$103&lt;&gt;0,0,J77-J69)</f>
        <v>0</v>
      </c>
      <c r="K85" s="18">
        <f>+IF(RESULTADO!$C$103&lt;&gt;0,0,K77-K69)</f>
        <v>0</v>
      </c>
      <c r="L85" s="18">
        <f>+IF(RESULTADO!$C$103&lt;&gt;0,0,L77-L69)</f>
        <v>0</v>
      </c>
      <c r="M85" s="18">
        <f>+IF(RESULTADO!$C$103&lt;&gt;0,0,M77-M69)</f>
        <v>0</v>
      </c>
      <c r="N85" s="402">
        <f>+IF(RESULTADO!$C$103&lt;&gt;0,0,N77-N69)</f>
        <v>160</v>
      </c>
      <c r="O85" s="403">
        <f>+IF(RESULTADO!$C$103&lt;&gt;0,0,O77-O69)</f>
        <v>160</v>
      </c>
      <c r="P85" s="18">
        <f>+IF(RESULTADO!$C$103&lt;&gt;0,0,P77-P69)</f>
        <v>160</v>
      </c>
      <c r="Q85" s="18">
        <f>+IF(RESULTADO!$C$103&lt;&gt;0,0,Q77-Q69)</f>
        <v>160</v>
      </c>
      <c r="R85" s="18">
        <f>+IF(RESULTADO!$C$103&lt;&gt;0,0,R77-R69)</f>
        <v>160</v>
      </c>
      <c r="S85" s="18">
        <f>+IF(RESULTADO!$C$103&lt;&gt;0,0,S77-S69)</f>
        <v>160</v>
      </c>
      <c r="T85" s="18">
        <f>+IF(RESULTADO!$C$103&lt;&gt;0,0,T77-T69)</f>
        <v>160</v>
      </c>
      <c r="U85" s="18">
        <f>+IF(RESULTADO!$C$103&lt;&gt;0,0,U77-U69)</f>
        <v>160</v>
      </c>
      <c r="V85" s="18">
        <f>+IF(RESULTADO!$C$103&lt;&gt;0,0,V77-V69)</f>
        <v>160</v>
      </c>
      <c r="W85" s="18">
        <f>+IF(RESULTADO!$C$103&lt;&gt;0,0,W77-W69)</f>
        <v>160</v>
      </c>
      <c r="X85" s="18">
        <f>+IF(RESULTADO!$C$103&lt;&gt;0,0,X77-X69)</f>
        <v>160</v>
      </c>
      <c r="Y85" s="18">
        <f>+IF(RESULTADO!$C$103&lt;&gt;0,0,Y77-Y69)</f>
        <v>160</v>
      </c>
      <c r="Z85" s="402">
        <f>+IF(RESULTADO!$C$103&lt;&gt;0,0,Z77-Z69)</f>
        <v>160</v>
      </c>
      <c r="AA85" s="403">
        <f>+IF(RESULTADO!$C$103&lt;&gt;0,0,AA77-AA69)</f>
        <v>165</v>
      </c>
      <c r="AB85" s="18">
        <f>+IF(RESULTADO!$C$103&lt;&gt;0,0,AB77-AB69)</f>
        <v>165</v>
      </c>
      <c r="AC85" s="18">
        <f>+IF(RESULTADO!$C$103&lt;&gt;0,0,AC77-AC69)</f>
        <v>165</v>
      </c>
      <c r="AD85" s="18">
        <f>+IF(RESULTADO!$C$103&lt;&gt;0,0,AD77-AD69)</f>
        <v>165</v>
      </c>
      <c r="AE85" s="18">
        <f>+IF(RESULTADO!$C$103&lt;&gt;0,0,AE77-AE69)</f>
        <v>165</v>
      </c>
      <c r="AF85" s="18">
        <f>+IF(RESULTADO!$C$103&lt;&gt;0,0,AF77-AF69)</f>
        <v>165</v>
      </c>
      <c r="AG85" s="18">
        <f>+IF(RESULTADO!$C$103&lt;&gt;0,0,AG77-AG69)</f>
        <v>165</v>
      </c>
      <c r="AH85" s="18">
        <f>+IF(RESULTADO!$C$103&lt;&gt;0,0,AH77-AH69)</f>
        <v>165</v>
      </c>
      <c r="AI85" s="18">
        <f>+IF(RESULTADO!$C$103&lt;&gt;0,0,AI77-AI69)</f>
        <v>165</v>
      </c>
      <c r="AJ85" s="18">
        <f>+IF(RESULTADO!$C$103&lt;&gt;0,0,AJ77-AJ69)</f>
        <v>165</v>
      </c>
      <c r="AK85" s="18">
        <f>+IF(RESULTADO!$C$103&lt;&gt;0,0,AK77-AK69)</f>
        <v>165</v>
      </c>
      <c r="AL85" s="402">
        <f>+IF(RESULTADO!$C$103&lt;&gt;0,0,AL77-AL69)</f>
        <v>165</v>
      </c>
      <c r="AM85" s="403">
        <f>+IF(RESULTADO!$C$103&lt;&gt;0,0,AM77-AM69)</f>
        <v>120</v>
      </c>
      <c r="AN85" s="18">
        <f>+IF(RESULTADO!$C$103&lt;&gt;0,0,AN77-AN69)</f>
        <v>120</v>
      </c>
      <c r="AO85" s="18">
        <f>+IF(RESULTADO!$C$103&lt;&gt;0,0,AO77-AO69)</f>
        <v>120</v>
      </c>
      <c r="AP85" s="18">
        <f>+IF(RESULTADO!$C$103&lt;&gt;0,0,AP77-AP69)</f>
        <v>120</v>
      </c>
      <c r="AQ85" s="18">
        <f>+IF(RESULTADO!$C$103&lt;&gt;0,0,AQ77-AQ69)</f>
        <v>120</v>
      </c>
      <c r="AR85" s="18">
        <f>+IF(RESULTADO!$C$103&lt;&gt;0,0,AR77-AR69)</f>
        <v>120</v>
      </c>
      <c r="AS85" s="18">
        <f>+IF(RESULTADO!$C$103&lt;&gt;0,0,AS77-AS69)</f>
        <v>120</v>
      </c>
      <c r="AT85" s="18">
        <f>+IF(RESULTADO!$C$103&lt;&gt;0,0,AT77-AT69)</f>
        <v>120</v>
      </c>
      <c r="AU85" s="18">
        <f>+IF(RESULTADO!$C$103&lt;&gt;0,0,AU77-AU69)</f>
        <v>120</v>
      </c>
      <c r="AV85" s="18">
        <f>+IF(RESULTADO!$C$103&lt;&gt;0,0,AV77-AV69)</f>
        <v>120</v>
      </c>
      <c r="AW85" s="18">
        <f>+IF(RESULTADO!$C$103&lt;&gt;0,0,AW77-AW69)</f>
        <v>120</v>
      </c>
      <c r="AX85" s="402">
        <f>+IF(RESULTADO!$C$103&lt;&gt;0,0,AX77-AX69)</f>
        <v>120</v>
      </c>
      <c r="AY85" s="403">
        <f>+IF(RESULTADO!$C$103&lt;&gt;0,0,AY77-AY69)</f>
        <v>115</v>
      </c>
      <c r="AZ85" s="18">
        <f>+IF(RESULTADO!$C$103&lt;&gt;0,0,AZ77-AZ69)</f>
        <v>115</v>
      </c>
      <c r="BA85" s="18">
        <f>+IF(RESULTADO!$C$103&lt;&gt;0,0,BA77-BA69)</f>
        <v>115</v>
      </c>
      <c r="BB85" s="18">
        <f>+IF(RESULTADO!$C$103&lt;&gt;0,0,BB77-BB69)</f>
        <v>115</v>
      </c>
      <c r="BC85" s="18">
        <f>+IF(RESULTADO!$C$103&lt;&gt;0,0,BC77-BC69)</f>
        <v>115</v>
      </c>
      <c r="BD85" s="18">
        <f>+IF(RESULTADO!$C$103&lt;&gt;0,0,BD77-BD69)</f>
        <v>115</v>
      </c>
      <c r="BE85" s="18">
        <f>+IF(RESULTADO!$C$103&lt;&gt;0,0,BE77-BE69)</f>
        <v>115</v>
      </c>
      <c r="BF85" s="18">
        <f>+IF(RESULTADO!$C$103&lt;&gt;0,0,BF77-BF69)</f>
        <v>115</v>
      </c>
      <c r="BG85" s="18">
        <f>+IF(RESULTADO!$C$103&lt;&gt;0,0,BG77-BG69)</f>
        <v>115</v>
      </c>
      <c r="BH85" s="18">
        <f>+IF(RESULTADO!$C$103&lt;&gt;0,0,BH77-BH69)</f>
        <v>115</v>
      </c>
      <c r="BI85" s="18">
        <f>+IF(RESULTADO!$C$103&lt;&gt;0,0,BI77-BI69)</f>
        <v>115</v>
      </c>
      <c r="BJ85" s="19">
        <f>+IF(RESULTADO!$C$103&lt;&gt;0,0,BJ77-BJ69)</f>
        <v>115</v>
      </c>
      <c r="BL85" s="37" t="s">
        <v>128</v>
      </c>
      <c r="BM85" s="18">
        <f>+IF(RESULTADO!$C$103&lt;&gt;0,0,BM77-BM69)</f>
        <v>0</v>
      </c>
      <c r="BN85" s="18">
        <f>+IF(RESULTADO!$C$103&lt;&gt;0,0,BN77-BN69)</f>
        <v>0</v>
      </c>
      <c r="BO85" s="18">
        <f>+IF(RESULTADO!$C$103&lt;&gt;0,0,BO77-BO69)</f>
        <v>0</v>
      </c>
      <c r="BP85" s="18">
        <f>+IF(RESULTADO!$C$103&lt;&gt;0,0,BP77-BP69)</f>
        <v>0</v>
      </c>
      <c r="BQ85" s="18">
        <f>+IF(RESULTADO!$C$103&lt;&gt;0,0,BQ77-BQ69)</f>
        <v>0</v>
      </c>
      <c r="BR85" s="18">
        <f>+IF(RESULTADO!$C$103&lt;&gt;0,0,BR77-BR69)</f>
        <v>0</v>
      </c>
      <c r="BS85" s="18">
        <f>+IF(RESULTADO!$C$103&lt;&gt;0,0,BS77-BS69)</f>
        <v>0</v>
      </c>
      <c r="BT85" s="18">
        <f>+IF(RESULTADO!$C$103&lt;&gt;0,0,BT77-BT69)</f>
        <v>0</v>
      </c>
      <c r="BU85" s="18">
        <f>+IF(RESULTADO!$C$103&lt;&gt;0,0,BU77-BU69)</f>
        <v>0</v>
      </c>
      <c r="BV85" s="18">
        <f>+IF(RESULTADO!$C$103&lt;&gt;0,0,BV77-BV69)</f>
        <v>0</v>
      </c>
      <c r="BW85" s="18">
        <f>+IF(RESULTADO!$C$103&lt;&gt;0,0,BW77-BW69)</f>
        <v>0</v>
      </c>
      <c r="BX85" s="402">
        <f>+IF(RESULTADO!$C$103&lt;&gt;0,0,BX77-BX69)</f>
        <v>160</v>
      </c>
      <c r="BY85" s="403">
        <f>+IF(RESULTADO!$C$103&lt;&gt;0,0,BY77-BY69)</f>
        <v>160</v>
      </c>
      <c r="BZ85" s="18">
        <f>+IF(RESULTADO!$C$103&lt;&gt;0,0,BZ77-BZ69)</f>
        <v>160</v>
      </c>
      <c r="CA85" s="18">
        <f>+IF(RESULTADO!$C$103&lt;&gt;0,0,CA77-CA69)</f>
        <v>160</v>
      </c>
      <c r="CB85" s="18">
        <f>+IF(RESULTADO!$C$103&lt;&gt;0,0,CB77-CB69)</f>
        <v>160</v>
      </c>
      <c r="CC85" s="18">
        <f>+IF(RESULTADO!$C$103&lt;&gt;0,0,CC77-CC69)</f>
        <v>160</v>
      </c>
      <c r="CD85" s="18">
        <f>+IF(RESULTADO!$C$103&lt;&gt;0,0,CD77-CD69)</f>
        <v>160</v>
      </c>
      <c r="CE85" s="18">
        <f>+IF(RESULTADO!$C$103&lt;&gt;0,0,CE77-CE69)</f>
        <v>160</v>
      </c>
      <c r="CF85" s="18">
        <f>+IF(RESULTADO!$C$103&lt;&gt;0,0,CF77-CF69)</f>
        <v>160</v>
      </c>
      <c r="CG85" s="18">
        <f>+IF(RESULTADO!$C$103&lt;&gt;0,0,CG77-CG69)</f>
        <v>160</v>
      </c>
      <c r="CH85" s="18">
        <f>+IF(RESULTADO!$C$103&lt;&gt;0,0,CH77-CH69)</f>
        <v>160</v>
      </c>
      <c r="CI85" s="18">
        <f>+IF(RESULTADO!$C$103&lt;&gt;0,0,CI77-CI69)</f>
        <v>160</v>
      </c>
      <c r="CJ85" s="402">
        <f>+IF(RESULTADO!$C$103&lt;&gt;0,0,CJ77-CJ69)</f>
        <v>160</v>
      </c>
      <c r="CK85" s="403">
        <f>+IF(RESULTADO!$C$103&lt;&gt;0,0,CK77-CK69)</f>
        <v>165</v>
      </c>
      <c r="CL85" s="18">
        <f>+IF(RESULTADO!$C$103&lt;&gt;0,0,CL77-CL69)</f>
        <v>165</v>
      </c>
      <c r="CM85" s="18">
        <f>+IF(RESULTADO!$C$103&lt;&gt;0,0,CM77-CM69)</f>
        <v>165</v>
      </c>
      <c r="CN85" s="18">
        <f>+IF(RESULTADO!$C$103&lt;&gt;0,0,CN77-CN69)</f>
        <v>165</v>
      </c>
      <c r="CO85" s="18">
        <f>+IF(RESULTADO!$C$103&lt;&gt;0,0,CO77-CO69)</f>
        <v>165</v>
      </c>
      <c r="CP85" s="18">
        <f>+IF(RESULTADO!$C$103&lt;&gt;0,0,CP77-CP69)</f>
        <v>165</v>
      </c>
      <c r="CQ85" s="18">
        <f>+IF(RESULTADO!$C$103&lt;&gt;0,0,CQ77-CQ69)</f>
        <v>165</v>
      </c>
      <c r="CR85" s="18">
        <f>+IF(RESULTADO!$C$103&lt;&gt;0,0,CR77-CR69)</f>
        <v>165</v>
      </c>
      <c r="CS85" s="18">
        <f>+IF(RESULTADO!$C$103&lt;&gt;0,0,CS77-CS69)</f>
        <v>165</v>
      </c>
      <c r="CT85" s="18">
        <f>+IF(RESULTADO!$C$103&lt;&gt;0,0,CT77-CT69)</f>
        <v>165</v>
      </c>
      <c r="CU85" s="18">
        <f>+IF(RESULTADO!$C$103&lt;&gt;0,0,CU77-CU69)</f>
        <v>165</v>
      </c>
      <c r="CV85" s="402">
        <f>+IF(RESULTADO!$C$103&lt;&gt;0,0,CV77-CV69)</f>
        <v>165</v>
      </c>
      <c r="CW85" s="403">
        <f>+IF(RESULTADO!$C$103&lt;&gt;0,0,CW77-CW69)</f>
        <v>120</v>
      </c>
      <c r="CX85" s="18">
        <f>+IF(RESULTADO!$C$103&lt;&gt;0,0,CX77-CX69)</f>
        <v>120</v>
      </c>
      <c r="CY85" s="18">
        <f>+IF(RESULTADO!$C$103&lt;&gt;0,0,CY77-CY69)</f>
        <v>120</v>
      </c>
      <c r="CZ85" s="18">
        <f>+IF(RESULTADO!$C$103&lt;&gt;0,0,CZ77-CZ69)</f>
        <v>120</v>
      </c>
      <c r="DA85" s="18">
        <f>+IF(RESULTADO!$C$103&lt;&gt;0,0,DA77-DA69)</f>
        <v>120</v>
      </c>
      <c r="DB85" s="18">
        <f>+IF(RESULTADO!$C$103&lt;&gt;0,0,DB77-DB69)</f>
        <v>120</v>
      </c>
      <c r="DC85" s="18">
        <f>+IF(RESULTADO!$C$103&lt;&gt;0,0,DC77-DC69)</f>
        <v>120</v>
      </c>
      <c r="DD85" s="18">
        <f>+IF(RESULTADO!$C$103&lt;&gt;0,0,DD77-DD69)</f>
        <v>120</v>
      </c>
      <c r="DE85" s="18">
        <f>+IF(RESULTADO!$C$103&lt;&gt;0,0,DE77-DE69)</f>
        <v>120</v>
      </c>
      <c r="DF85" s="18">
        <f>+IF(RESULTADO!$C$103&lt;&gt;0,0,DF77-DF69)</f>
        <v>120</v>
      </c>
      <c r="DG85" s="18">
        <f>+IF(RESULTADO!$C$103&lt;&gt;0,0,DG77-DG69)</f>
        <v>120</v>
      </c>
      <c r="DH85" s="402">
        <f>+IF(RESULTADO!$C$103&lt;&gt;0,0,DH77-DH69)</f>
        <v>120</v>
      </c>
      <c r="DI85" s="403">
        <f>+IF(RESULTADO!$C$103&lt;&gt;0,0,DI77-DI69)</f>
        <v>115</v>
      </c>
      <c r="DJ85" s="18">
        <f>+IF(RESULTADO!$C$103&lt;&gt;0,0,DJ77-DJ69)</f>
        <v>115</v>
      </c>
      <c r="DK85" s="18">
        <f>+IF(RESULTADO!$C$103&lt;&gt;0,0,DK77-DK69)</f>
        <v>115</v>
      </c>
      <c r="DL85" s="18">
        <f>+IF(RESULTADO!$C$103&lt;&gt;0,0,DL77-DL69)</f>
        <v>115</v>
      </c>
      <c r="DM85" s="18">
        <f>+IF(RESULTADO!$C$103&lt;&gt;0,0,DM77-DM69)</f>
        <v>115</v>
      </c>
      <c r="DN85" s="18">
        <f>+IF(RESULTADO!$C$103&lt;&gt;0,0,DN77-DN69)</f>
        <v>115</v>
      </c>
      <c r="DO85" s="18">
        <f>+IF(RESULTADO!$C$103&lt;&gt;0,0,DO77-DO69)</f>
        <v>115</v>
      </c>
      <c r="DP85" s="18">
        <f>+IF(RESULTADO!$C$103&lt;&gt;0,0,DP77-DP69)</f>
        <v>115</v>
      </c>
      <c r="DQ85" s="18">
        <f>+IF(RESULTADO!$C$103&lt;&gt;0,0,DQ77-DQ69)</f>
        <v>115</v>
      </c>
      <c r="DR85" s="18">
        <f>+IF(RESULTADO!$C$103&lt;&gt;0,0,DR77-DR69)</f>
        <v>115</v>
      </c>
      <c r="DS85" s="18">
        <f>+IF(RESULTADO!$C$103&lt;&gt;0,0,DS77-DS69)</f>
        <v>115</v>
      </c>
      <c r="DT85" s="19">
        <f>+IF(RESULTADO!$C$103&lt;&gt;0,0,DT77-DT69)</f>
        <v>115</v>
      </c>
    </row>
    <row r="86" spans="1:124" ht="15.75" thickBot="1" x14ac:dyDescent="0.3">
      <c r="A86" s="7"/>
      <c r="B86" s="38" t="s">
        <v>129</v>
      </c>
      <c r="C86" s="23">
        <f>+IF(RESULTADO!$C$103&lt;&gt;0,0,C78-C70)</f>
        <v>0</v>
      </c>
      <c r="D86" s="23">
        <f>+IF(RESULTADO!$C$103&lt;&gt;0,0,D78-D70)</f>
        <v>0</v>
      </c>
      <c r="E86" s="23">
        <f>+IF(RESULTADO!$C$103&lt;&gt;0,0,E78-E70)</f>
        <v>0</v>
      </c>
      <c r="F86" s="23">
        <f>+IF(RESULTADO!$C$103&lt;&gt;0,0,F78-F70)</f>
        <v>0</v>
      </c>
      <c r="G86" s="23">
        <f>+IF(RESULTADO!$C$103&lt;&gt;0,0,G78-G70)</f>
        <v>0</v>
      </c>
      <c r="H86" s="23">
        <f>+IF(RESULTADO!$C$103&lt;&gt;0,0,H78-H70)</f>
        <v>0</v>
      </c>
      <c r="I86" s="23">
        <f>+IF(RESULTADO!$C$103&lt;&gt;0,0,I78-I70)</f>
        <v>0</v>
      </c>
      <c r="J86" s="23">
        <f>+IF(RESULTADO!$C$103&lt;&gt;0,0,J78-J70)</f>
        <v>0</v>
      </c>
      <c r="K86" s="23">
        <f>+IF(RESULTADO!$C$103&lt;&gt;0,0,K78-K70)</f>
        <v>0</v>
      </c>
      <c r="L86" s="23">
        <f>+IF(RESULTADO!$C$103&lt;&gt;0,0,L78-L70)</f>
        <v>0</v>
      </c>
      <c r="M86" s="23">
        <f>+IF(RESULTADO!$C$103&lt;&gt;0,0,M78-M70)</f>
        <v>0</v>
      </c>
      <c r="N86" s="404">
        <f>+IF(RESULTADO!$C$103&lt;&gt;0,0,N78-N70)</f>
        <v>160</v>
      </c>
      <c r="O86" s="405">
        <f>+IF(RESULTADO!$C$103&lt;&gt;0,0,O78-O70)</f>
        <v>160</v>
      </c>
      <c r="P86" s="23">
        <f>+IF(RESULTADO!$C$103&lt;&gt;0,0,P78-P70)</f>
        <v>160</v>
      </c>
      <c r="Q86" s="23">
        <f>+IF(RESULTADO!$C$103&lt;&gt;0,0,Q78-Q70)</f>
        <v>160</v>
      </c>
      <c r="R86" s="23">
        <f>+IF(RESULTADO!$C$103&lt;&gt;0,0,R78-R70)</f>
        <v>160</v>
      </c>
      <c r="S86" s="23">
        <f>+IF(RESULTADO!$C$103&lt;&gt;0,0,S78-S70)</f>
        <v>160</v>
      </c>
      <c r="T86" s="23">
        <f>+IF(RESULTADO!$C$103&lt;&gt;0,0,T78-T70)</f>
        <v>160</v>
      </c>
      <c r="U86" s="23">
        <f>+IF(RESULTADO!$C$103&lt;&gt;0,0,U78-U70)</f>
        <v>160</v>
      </c>
      <c r="V86" s="23">
        <f>+IF(RESULTADO!$C$103&lt;&gt;0,0,V78-V70)</f>
        <v>160</v>
      </c>
      <c r="W86" s="23">
        <f>+IF(RESULTADO!$C$103&lt;&gt;0,0,W78-W70)</f>
        <v>160</v>
      </c>
      <c r="X86" s="23">
        <f>+IF(RESULTADO!$C$103&lt;&gt;0,0,X78-X70)</f>
        <v>160</v>
      </c>
      <c r="Y86" s="23">
        <f>+IF(RESULTADO!$C$103&lt;&gt;0,0,Y78-Y70)</f>
        <v>160</v>
      </c>
      <c r="Z86" s="404">
        <f>+IF(RESULTADO!$C$103&lt;&gt;0,0,Z78-Z70)</f>
        <v>160</v>
      </c>
      <c r="AA86" s="405">
        <f>+IF(RESULTADO!$C$103&lt;&gt;0,0,AA78-AA70)</f>
        <v>165</v>
      </c>
      <c r="AB86" s="23">
        <f>+IF(RESULTADO!$C$103&lt;&gt;0,0,AB78-AB70)</f>
        <v>165</v>
      </c>
      <c r="AC86" s="23">
        <f>+IF(RESULTADO!$C$103&lt;&gt;0,0,AC78-AC70)</f>
        <v>165</v>
      </c>
      <c r="AD86" s="23">
        <f>+IF(RESULTADO!$C$103&lt;&gt;0,0,AD78-AD70)</f>
        <v>165</v>
      </c>
      <c r="AE86" s="23">
        <f>+IF(RESULTADO!$C$103&lt;&gt;0,0,AE78-AE70)</f>
        <v>165</v>
      </c>
      <c r="AF86" s="23">
        <f>+IF(RESULTADO!$C$103&lt;&gt;0,0,AF78-AF70)</f>
        <v>165</v>
      </c>
      <c r="AG86" s="23">
        <f>+IF(RESULTADO!$C$103&lt;&gt;0,0,AG78-AG70)</f>
        <v>165</v>
      </c>
      <c r="AH86" s="23">
        <f>+IF(RESULTADO!$C$103&lt;&gt;0,0,AH78-AH70)</f>
        <v>165</v>
      </c>
      <c r="AI86" s="23">
        <f>+IF(RESULTADO!$C$103&lt;&gt;0,0,AI78-AI70)</f>
        <v>165</v>
      </c>
      <c r="AJ86" s="23">
        <f>+IF(RESULTADO!$C$103&lt;&gt;0,0,AJ78-AJ70)</f>
        <v>165</v>
      </c>
      <c r="AK86" s="23">
        <f>+IF(RESULTADO!$C$103&lt;&gt;0,0,AK78-AK70)</f>
        <v>165</v>
      </c>
      <c r="AL86" s="404">
        <f>+IF(RESULTADO!$C$103&lt;&gt;0,0,AL78-AL70)</f>
        <v>165</v>
      </c>
      <c r="AM86" s="405">
        <f>+IF(RESULTADO!$C$103&lt;&gt;0,0,AM78-AM70)</f>
        <v>120</v>
      </c>
      <c r="AN86" s="23">
        <f>+IF(RESULTADO!$C$103&lt;&gt;0,0,AN78-AN70)</f>
        <v>120</v>
      </c>
      <c r="AO86" s="23">
        <f>+IF(RESULTADO!$C$103&lt;&gt;0,0,AO78-AO70)</f>
        <v>120</v>
      </c>
      <c r="AP86" s="23">
        <f>+IF(RESULTADO!$C$103&lt;&gt;0,0,AP78-AP70)</f>
        <v>120</v>
      </c>
      <c r="AQ86" s="23">
        <f>+IF(RESULTADO!$C$103&lt;&gt;0,0,AQ78-AQ70)</f>
        <v>120</v>
      </c>
      <c r="AR86" s="23">
        <f>+IF(RESULTADO!$C$103&lt;&gt;0,0,AR78-AR70)</f>
        <v>120</v>
      </c>
      <c r="AS86" s="23">
        <f>+IF(RESULTADO!$C$103&lt;&gt;0,0,AS78-AS70)</f>
        <v>120</v>
      </c>
      <c r="AT86" s="23">
        <f>+IF(RESULTADO!$C$103&lt;&gt;0,0,AT78-AT70)</f>
        <v>120</v>
      </c>
      <c r="AU86" s="23">
        <f>+IF(RESULTADO!$C$103&lt;&gt;0,0,AU78-AU70)</f>
        <v>120</v>
      </c>
      <c r="AV86" s="23">
        <f>+IF(RESULTADO!$C$103&lt;&gt;0,0,AV78-AV70)</f>
        <v>120</v>
      </c>
      <c r="AW86" s="23">
        <f>+IF(RESULTADO!$C$103&lt;&gt;0,0,AW78-AW70)</f>
        <v>120</v>
      </c>
      <c r="AX86" s="404">
        <f>+IF(RESULTADO!$C$103&lt;&gt;0,0,AX78-AX70)</f>
        <v>120</v>
      </c>
      <c r="AY86" s="405">
        <f>+IF(RESULTADO!$C$103&lt;&gt;0,0,AY78-AY70)</f>
        <v>115</v>
      </c>
      <c r="AZ86" s="23">
        <f>+IF(RESULTADO!$C$103&lt;&gt;0,0,AZ78-AZ70)</f>
        <v>115</v>
      </c>
      <c r="BA86" s="23">
        <f>+IF(RESULTADO!$C$103&lt;&gt;0,0,BA78-BA70)</f>
        <v>115</v>
      </c>
      <c r="BB86" s="23">
        <f>+IF(RESULTADO!$C$103&lt;&gt;0,0,BB78-BB70)</f>
        <v>115</v>
      </c>
      <c r="BC86" s="23">
        <f>+IF(RESULTADO!$C$103&lt;&gt;0,0,BC78-BC70)</f>
        <v>115</v>
      </c>
      <c r="BD86" s="23">
        <f>+IF(RESULTADO!$C$103&lt;&gt;0,0,BD78-BD70)</f>
        <v>115</v>
      </c>
      <c r="BE86" s="23">
        <f>+IF(RESULTADO!$C$103&lt;&gt;0,0,BE78-BE70)</f>
        <v>115</v>
      </c>
      <c r="BF86" s="23">
        <f>+IF(RESULTADO!$C$103&lt;&gt;0,0,BF78-BF70)</f>
        <v>115</v>
      </c>
      <c r="BG86" s="23">
        <f>+IF(RESULTADO!$C$103&lt;&gt;0,0,BG78-BG70)</f>
        <v>115</v>
      </c>
      <c r="BH86" s="23">
        <f>+IF(RESULTADO!$C$103&lt;&gt;0,0,BH78-BH70)</f>
        <v>115</v>
      </c>
      <c r="BI86" s="23">
        <f>+IF(RESULTADO!$C$103&lt;&gt;0,0,BI78-BI70)</f>
        <v>115</v>
      </c>
      <c r="BJ86" s="24">
        <f>+IF(RESULTADO!$C$103&lt;&gt;0,0,BJ78-BJ70)</f>
        <v>115</v>
      </c>
      <c r="BL86" s="38" t="s">
        <v>129</v>
      </c>
      <c r="BM86" s="23">
        <f>+IF(RESULTADO!$C$103&lt;&gt;0,0,BM78-BM70)</f>
        <v>0</v>
      </c>
      <c r="BN86" s="23">
        <f>+IF(RESULTADO!$C$103&lt;&gt;0,0,BN78-BN70)</f>
        <v>0</v>
      </c>
      <c r="BO86" s="23">
        <f>+IF(RESULTADO!$C$103&lt;&gt;0,0,BO78-BO70)</f>
        <v>0</v>
      </c>
      <c r="BP86" s="23">
        <f>+IF(RESULTADO!$C$103&lt;&gt;0,0,BP78-BP70)</f>
        <v>0</v>
      </c>
      <c r="BQ86" s="23">
        <f>+IF(RESULTADO!$C$103&lt;&gt;0,0,BQ78-BQ70)</f>
        <v>0</v>
      </c>
      <c r="BR86" s="23">
        <f>+IF(RESULTADO!$C$103&lt;&gt;0,0,BR78-BR70)</f>
        <v>0</v>
      </c>
      <c r="BS86" s="23">
        <f>+IF(RESULTADO!$C$103&lt;&gt;0,0,BS78-BS70)</f>
        <v>0</v>
      </c>
      <c r="BT86" s="23">
        <f>+IF(RESULTADO!$C$103&lt;&gt;0,0,BT78-BT70)</f>
        <v>0</v>
      </c>
      <c r="BU86" s="23">
        <f>+IF(RESULTADO!$C$103&lt;&gt;0,0,BU78-BU70)</f>
        <v>0</v>
      </c>
      <c r="BV86" s="23">
        <f>+IF(RESULTADO!$C$103&lt;&gt;0,0,BV78-BV70)</f>
        <v>0</v>
      </c>
      <c r="BW86" s="23">
        <f>+IF(RESULTADO!$C$103&lt;&gt;0,0,BW78-BW70)</f>
        <v>0</v>
      </c>
      <c r="BX86" s="404">
        <f>+IF(RESULTADO!$C$103&lt;&gt;0,0,BX78-BX70)</f>
        <v>160</v>
      </c>
      <c r="BY86" s="405">
        <f>+IF(RESULTADO!$C$103&lt;&gt;0,0,BY78-BY70)</f>
        <v>160</v>
      </c>
      <c r="BZ86" s="23">
        <f>+IF(RESULTADO!$C$103&lt;&gt;0,0,BZ78-BZ70)</f>
        <v>160</v>
      </c>
      <c r="CA86" s="23">
        <f>+IF(RESULTADO!$C$103&lt;&gt;0,0,CA78-CA70)</f>
        <v>160</v>
      </c>
      <c r="CB86" s="23">
        <f>+IF(RESULTADO!$C$103&lt;&gt;0,0,CB78-CB70)</f>
        <v>160</v>
      </c>
      <c r="CC86" s="23">
        <f>+IF(RESULTADO!$C$103&lt;&gt;0,0,CC78-CC70)</f>
        <v>160</v>
      </c>
      <c r="CD86" s="23">
        <f>+IF(RESULTADO!$C$103&lt;&gt;0,0,CD78-CD70)</f>
        <v>160</v>
      </c>
      <c r="CE86" s="23">
        <f>+IF(RESULTADO!$C$103&lt;&gt;0,0,CE78-CE70)</f>
        <v>160</v>
      </c>
      <c r="CF86" s="23">
        <f>+IF(RESULTADO!$C$103&lt;&gt;0,0,CF78-CF70)</f>
        <v>160</v>
      </c>
      <c r="CG86" s="23">
        <f>+IF(RESULTADO!$C$103&lt;&gt;0,0,CG78-CG70)</f>
        <v>160</v>
      </c>
      <c r="CH86" s="23">
        <f>+IF(RESULTADO!$C$103&lt;&gt;0,0,CH78-CH70)</f>
        <v>160</v>
      </c>
      <c r="CI86" s="23">
        <f>+IF(RESULTADO!$C$103&lt;&gt;0,0,CI78-CI70)</f>
        <v>160</v>
      </c>
      <c r="CJ86" s="404">
        <f>+IF(RESULTADO!$C$103&lt;&gt;0,0,CJ78-CJ70)</f>
        <v>160</v>
      </c>
      <c r="CK86" s="405">
        <f>+IF(RESULTADO!$C$103&lt;&gt;0,0,CK78-CK70)</f>
        <v>165</v>
      </c>
      <c r="CL86" s="23">
        <f>+IF(RESULTADO!$C$103&lt;&gt;0,0,CL78-CL70)</f>
        <v>165</v>
      </c>
      <c r="CM86" s="23">
        <f>+IF(RESULTADO!$C$103&lt;&gt;0,0,CM78-CM70)</f>
        <v>165</v>
      </c>
      <c r="CN86" s="23">
        <f>+IF(RESULTADO!$C$103&lt;&gt;0,0,CN78-CN70)</f>
        <v>165</v>
      </c>
      <c r="CO86" s="23">
        <f>+IF(RESULTADO!$C$103&lt;&gt;0,0,CO78-CO70)</f>
        <v>165</v>
      </c>
      <c r="CP86" s="23">
        <f>+IF(RESULTADO!$C$103&lt;&gt;0,0,CP78-CP70)</f>
        <v>165</v>
      </c>
      <c r="CQ86" s="23">
        <f>+IF(RESULTADO!$C$103&lt;&gt;0,0,CQ78-CQ70)</f>
        <v>165</v>
      </c>
      <c r="CR86" s="23">
        <f>+IF(RESULTADO!$C$103&lt;&gt;0,0,CR78-CR70)</f>
        <v>165</v>
      </c>
      <c r="CS86" s="23">
        <f>+IF(RESULTADO!$C$103&lt;&gt;0,0,CS78-CS70)</f>
        <v>165</v>
      </c>
      <c r="CT86" s="23">
        <f>+IF(RESULTADO!$C$103&lt;&gt;0,0,CT78-CT70)</f>
        <v>165</v>
      </c>
      <c r="CU86" s="23">
        <f>+IF(RESULTADO!$C$103&lt;&gt;0,0,CU78-CU70)</f>
        <v>165</v>
      </c>
      <c r="CV86" s="404">
        <f>+IF(RESULTADO!$C$103&lt;&gt;0,0,CV78-CV70)</f>
        <v>165</v>
      </c>
      <c r="CW86" s="405">
        <f>+IF(RESULTADO!$C$103&lt;&gt;0,0,CW78-CW70)</f>
        <v>120</v>
      </c>
      <c r="CX86" s="23">
        <f>+IF(RESULTADO!$C$103&lt;&gt;0,0,CX78-CX70)</f>
        <v>120</v>
      </c>
      <c r="CY86" s="23">
        <f>+IF(RESULTADO!$C$103&lt;&gt;0,0,CY78-CY70)</f>
        <v>120</v>
      </c>
      <c r="CZ86" s="23">
        <f>+IF(RESULTADO!$C$103&lt;&gt;0,0,CZ78-CZ70)</f>
        <v>120</v>
      </c>
      <c r="DA86" s="23">
        <f>+IF(RESULTADO!$C$103&lt;&gt;0,0,DA78-DA70)</f>
        <v>120</v>
      </c>
      <c r="DB86" s="23">
        <f>+IF(RESULTADO!$C$103&lt;&gt;0,0,DB78-DB70)</f>
        <v>120</v>
      </c>
      <c r="DC86" s="23">
        <f>+IF(RESULTADO!$C$103&lt;&gt;0,0,DC78-DC70)</f>
        <v>120</v>
      </c>
      <c r="DD86" s="23">
        <f>+IF(RESULTADO!$C$103&lt;&gt;0,0,DD78-DD70)</f>
        <v>120</v>
      </c>
      <c r="DE86" s="23">
        <f>+IF(RESULTADO!$C$103&lt;&gt;0,0,DE78-DE70)</f>
        <v>120</v>
      </c>
      <c r="DF86" s="23">
        <f>+IF(RESULTADO!$C$103&lt;&gt;0,0,DF78-DF70)</f>
        <v>120</v>
      </c>
      <c r="DG86" s="23">
        <f>+IF(RESULTADO!$C$103&lt;&gt;0,0,DG78-DG70)</f>
        <v>120</v>
      </c>
      <c r="DH86" s="404">
        <f>+IF(RESULTADO!$C$103&lt;&gt;0,0,DH78-DH70)</f>
        <v>120</v>
      </c>
      <c r="DI86" s="405">
        <f>+IF(RESULTADO!$C$103&lt;&gt;0,0,DI78-DI70)</f>
        <v>115</v>
      </c>
      <c r="DJ86" s="23">
        <f>+IF(RESULTADO!$C$103&lt;&gt;0,0,DJ78-DJ70)</f>
        <v>115</v>
      </c>
      <c r="DK86" s="23">
        <f>+IF(RESULTADO!$C$103&lt;&gt;0,0,DK78-DK70)</f>
        <v>115</v>
      </c>
      <c r="DL86" s="23">
        <f>+IF(RESULTADO!$C$103&lt;&gt;0,0,DL78-DL70)</f>
        <v>115</v>
      </c>
      <c r="DM86" s="23">
        <f>+IF(RESULTADO!$C$103&lt;&gt;0,0,DM78-DM70)</f>
        <v>115</v>
      </c>
      <c r="DN86" s="23">
        <f>+IF(RESULTADO!$C$103&lt;&gt;0,0,DN78-DN70)</f>
        <v>115</v>
      </c>
      <c r="DO86" s="23">
        <f>+IF(RESULTADO!$C$103&lt;&gt;0,0,DO78-DO70)</f>
        <v>115</v>
      </c>
      <c r="DP86" s="23">
        <f>+IF(RESULTADO!$C$103&lt;&gt;0,0,DP78-DP70)</f>
        <v>115</v>
      </c>
      <c r="DQ86" s="23">
        <f>+IF(RESULTADO!$C$103&lt;&gt;0,0,DQ78-DQ70)</f>
        <v>115</v>
      </c>
      <c r="DR86" s="23">
        <f>+IF(RESULTADO!$C$103&lt;&gt;0,0,DR78-DR70)</f>
        <v>115</v>
      </c>
      <c r="DS86" s="23">
        <f>+IF(RESULTADO!$C$103&lt;&gt;0,0,DS78-DS70)</f>
        <v>115</v>
      </c>
      <c r="DT86" s="24">
        <f>+IF(RESULTADO!$C$103&lt;&gt;0,0,DT78-DT70)</f>
        <v>115</v>
      </c>
    </row>
    <row r="88" spans="1:124" ht="15.75" thickBot="1" x14ac:dyDescent="0.3">
      <c r="B88" s="35" t="s">
        <v>120</v>
      </c>
      <c r="C88" s="26">
        <f>C62</f>
        <v>44562</v>
      </c>
      <c r="D88" s="26">
        <f t="shared" ref="D88:BJ88" si="23">D62</f>
        <v>44593</v>
      </c>
      <c r="E88" s="26">
        <f t="shared" si="23"/>
        <v>44621</v>
      </c>
      <c r="F88" s="26">
        <f t="shared" si="23"/>
        <v>44652</v>
      </c>
      <c r="G88" s="26">
        <f t="shared" si="23"/>
        <v>44682</v>
      </c>
      <c r="H88" s="26">
        <f t="shared" si="23"/>
        <v>44713</v>
      </c>
      <c r="I88" s="26">
        <f t="shared" si="23"/>
        <v>44743</v>
      </c>
      <c r="J88" s="26">
        <f t="shared" si="23"/>
        <v>44774</v>
      </c>
      <c r="K88" s="26">
        <f t="shared" si="23"/>
        <v>44805</v>
      </c>
      <c r="L88" s="26">
        <f t="shared" si="23"/>
        <v>44835</v>
      </c>
      <c r="M88" s="26">
        <f t="shared" si="23"/>
        <v>44866</v>
      </c>
      <c r="N88" s="382">
        <f t="shared" si="23"/>
        <v>44896</v>
      </c>
      <c r="O88" s="383">
        <f t="shared" si="23"/>
        <v>44927</v>
      </c>
      <c r="P88" s="26">
        <f t="shared" si="23"/>
        <v>44958</v>
      </c>
      <c r="Q88" s="26">
        <f t="shared" si="23"/>
        <v>44986</v>
      </c>
      <c r="R88" s="26">
        <f t="shared" si="23"/>
        <v>45017</v>
      </c>
      <c r="S88" s="26">
        <f t="shared" si="23"/>
        <v>45047</v>
      </c>
      <c r="T88" s="26">
        <f t="shared" si="23"/>
        <v>45078</v>
      </c>
      <c r="U88" s="26">
        <f t="shared" si="23"/>
        <v>45108</v>
      </c>
      <c r="V88" s="26">
        <f t="shared" si="23"/>
        <v>45139</v>
      </c>
      <c r="W88" s="26">
        <f t="shared" si="23"/>
        <v>45170</v>
      </c>
      <c r="X88" s="26">
        <f t="shared" si="23"/>
        <v>45200</v>
      </c>
      <c r="Y88" s="26">
        <f t="shared" si="23"/>
        <v>45231</v>
      </c>
      <c r="Z88" s="382">
        <f t="shared" si="23"/>
        <v>45261</v>
      </c>
      <c r="AA88" s="383">
        <f t="shared" si="23"/>
        <v>45292</v>
      </c>
      <c r="AB88" s="26">
        <f t="shared" si="23"/>
        <v>45323</v>
      </c>
      <c r="AC88" s="26">
        <f t="shared" si="23"/>
        <v>45352</v>
      </c>
      <c r="AD88" s="26">
        <f t="shared" si="23"/>
        <v>45383</v>
      </c>
      <c r="AE88" s="26">
        <f t="shared" si="23"/>
        <v>45413</v>
      </c>
      <c r="AF88" s="26">
        <f t="shared" si="23"/>
        <v>45444</v>
      </c>
      <c r="AG88" s="26">
        <f t="shared" si="23"/>
        <v>45474</v>
      </c>
      <c r="AH88" s="26">
        <f t="shared" si="23"/>
        <v>45505</v>
      </c>
      <c r="AI88" s="26">
        <f t="shared" si="23"/>
        <v>45536</v>
      </c>
      <c r="AJ88" s="26">
        <f t="shared" si="23"/>
        <v>45566</v>
      </c>
      <c r="AK88" s="26">
        <f t="shared" si="23"/>
        <v>45597</v>
      </c>
      <c r="AL88" s="382">
        <f t="shared" si="23"/>
        <v>45627</v>
      </c>
      <c r="AM88" s="383">
        <f t="shared" si="23"/>
        <v>45658</v>
      </c>
      <c r="AN88" s="26">
        <f t="shared" si="23"/>
        <v>45689</v>
      </c>
      <c r="AO88" s="26">
        <f t="shared" si="23"/>
        <v>45717</v>
      </c>
      <c r="AP88" s="26">
        <f t="shared" si="23"/>
        <v>45748</v>
      </c>
      <c r="AQ88" s="26">
        <f t="shared" si="23"/>
        <v>45778</v>
      </c>
      <c r="AR88" s="26">
        <f t="shared" si="23"/>
        <v>45809</v>
      </c>
      <c r="AS88" s="26">
        <f t="shared" si="23"/>
        <v>45839</v>
      </c>
      <c r="AT88" s="26">
        <f t="shared" si="23"/>
        <v>45870</v>
      </c>
      <c r="AU88" s="26">
        <f t="shared" si="23"/>
        <v>45901</v>
      </c>
      <c r="AV88" s="26">
        <f t="shared" si="23"/>
        <v>45931</v>
      </c>
      <c r="AW88" s="26">
        <f t="shared" si="23"/>
        <v>45962</v>
      </c>
      <c r="AX88" s="382">
        <f t="shared" si="23"/>
        <v>45992</v>
      </c>
      <c r="AY88" s="383">
        <f t="shared" si="23"/>
        <v>46023</v>
      </c>
      <c r="AZ88" s="26">
        <f t="shared" si="23"/>
        <v>46054</v>
      </c>
      <c r="BA88" s="26">
        <f t="shared" si="23"/>
        <v>46082</v>
      </c>
      <c r="BB88" s="26">
        <f t="shared" si="23"/>
        <v>46113</v>
      </c>
      <c r="BC88" s="26">
        <f t="shared" si="23"/>
        <v>46143</v>
      </c>
      <c r="BD88" s="26">
        <f t="shared" si="23"/>
        <v>46174</v>
      </c>
      <c r="BE88" s="26">
        <f t="shared" si="23"/>
        <v>46204</v>
      </c>
      <c r="BF88" s="26">
        <f t="shared" si="23"/>
        <v>46235</v>
      </c>
      <c r="BG88" s="26">
        <f t="shared" si="23"/>
        <v>46266</v>
      </c>
      <c r="BH88" s="26">
        <f t="shared" si="23"/>
        <v>46296</v>
      </c>
      <c r="BI88" s="26">
        <f t="shared" si="23"/>
        <v>46327</v>
      </c>
      <c r="BJ88" s="26">
        <f t="shared" si="23"/>
        <v>46357</v>
      </c>
      <c r="BL88" s="35" t="s">
        <v>120</v>
      </c>
      <c r="BM88" s="26">
        <f>BM62</f>
        <v>44562</v>
      </c>
      <c r="BN88" s="26">
        <f t="shared" ref="BN88:DT88" si="24">BN62</f>
        <v>44593</v>
      </c>
      <c r="BO88" s="26">
        <f t="shared" si="24"/>
        <v>44621</v>
      </c>
      <c r="BP88" s="26">
        <f t="shared" si="24"/>
        <v>44652</v>
      </c>
      <c r="BQ88" s="26">
        <f t="shared" si="24"/>
        <v>44682</v>
      </c>
      <c r="BR88" s="26">
        <f t="shared" si="24"/>
        <v>44713</v>
      </c>
      <c r="BS88" s="26">
        <f t="shared" si="24"/>
        <v>44743</v>
      </c>
      <c r="BT88" s="26">
        <f t="shared" si="24"/>
        <v>44774</v>
      </c>
      <c r="BU88" s="26">
        <f t="shared" si="24"/>
        <v>44805</v>
      </c>
      <c r="BV88" s="26">
        <f t="shared" si="24"/>
        <v>44835</v>
      </c>
      <c r="BW88" s="26">
        <f t="shared" si="24"/>
        <v>44866</v>
      </c>
      <c r="BX88" s="382">
        <f t="shared" si="24"/>
        <v>44896</v>
      </c>
      <c r="BY88" s="383">
        <f t="shared" si="24"/>
        <v>44927</v>
      </c>
      <c r="BZ88" s="26">
        <f t="shared" si="24"/>
        <v>44958</v>
      </c>
      <c r="CA88" s="26">
        <f t="shared" si="24"/>
        <v>44986</v>
      </c>
      <c r="CB88" s="26">
        <f t="shared" si="24"/>
        <v>45017</v>
      </c>
      <c r="CC88" s="26">
        <f t="shared" si="24"/>
        <v>45047</v>
      </c>
      <c r="CD88" s="26">
        <f t="shared" si="24"/>
        <v>45078</v>
      </c>
      <c r="CE88" s="26">
        <f t="shared" si="24"/>
        <v>45108</v>
      </c>
      <c r="CF88" s="26">
        <f t="shared" si="24"/>
        <v>45139</v>
      </c>
      <c r="CG88" s="26">
        <f t="shared" si="24"/>
        <v>45170</v>
      </c>
      <c r="CH88" s="26">
        <f t="shared" si="24"/>
        <v>45200</v>
      </c>
      <c r="CI88" s="26">
        <f t="shared" si="24"/>
        <v>45231</v>
      </c>
      <c r="CJ88" s="382">
        <f t="shared" si="24"/>
        <v>45261</v>
      </c>
      <c r="CK88" s="383">
        <f t="shared" si="24"/>
        <v>45292</v>
      </c>
      <c r="CL88" s="26">
        <f t="shared" si="24"/>
        <v>45323</v>
      </c>
      <c r="CM88" s="26">
        <f t="shared" si="24"/>
        <v>45352</v>
      </c>
      <c r="CN88" s="26">
        <f t="shared" si="24"/>
        <v>45383</v>
      </c>
      <c r="CO88" s="26">
        <f t="shared" si="24"/>
        <v>45413</v>
      </c>
      <c r="CP88" s="26">
        <f t="shared" si="24"/>
        <v>45444</v>
      </c>
      <c r="CQ88" s="26">
        <f t="shared" si="24"/>
        <v>45474</v>
      </c>
      <c r="CR88" s="26">
        <f t="shared" si="24"/>
        <v>45505</v>
      </c>
      <c r="CS88" s="26">
        <f t="shared" si="24"/>
        <v>45536</v>
      </c>
      <c r="CT88" s="26">
        <f t="shared" si="24"/>
        <v>45566</v>
      </c>
      <c r="CU88" s="26">
        <f t="shared" si="24"/>
        <v>45597</v>
      </c>
      <c r="CV88" s="382">
        <f t="shared" si="24"/>
        <v>45627</v>
      </c>
      <c r="CW88" s="383">
        <f t="shared" si="24"/>
        <v>45658</v>
      </c>
      <c r="CX88" s="26">
        <f t="shared" si="24"/>
        <v>45689</v>
      </c>
      <c r="CY88" s="26">
        <f t="shared" si="24"/>
        <v>45717</v>
      </c>
      <c r="CZ88" s="26">
        <f t="shared" si="24"/>
        <v>45748</v>
      </c>
      <c r="DA88" s="26">
        <f t="shared" si="24"/>
        <v>45778</v>
      </c>
      <c r="DB88" s="26">
        <f t="shared" si="24"/>
        <v>45809</v>
      </c>
      <c r="DC88" s="26">
        <f t="shared" si="24"/>
        <v>45839</v>
      </c>
      <c r="DD88" s="26">
        <f t="shared" si="24"/>
        <v>45870</v>
      </c>
      <c r="DE88" s="26">
        <f t="shared" si="24"/>
        <v>45901</v>
      </c>
      <c r="DF88" s="26">
        <f t="shared" si="24"/>
        <v>45931</v>
      </c>
      <c r="DG88" s="26">
        <f t="shared" si="24"/>
        <v>45962</v>
      </c>
      <c r="DH88" s="382">
        <f t="shared" si="24"/>
        <v>45992</v>
      </c>
      <c r="DI88" s="383">
        <f t="shared" si="24"/>
        <v>46023</v>
      </c>
      <c r="DJ88" s="26">
        <f t="shared" si="24"/>
        <v>46054</v>
      </c>
      <c r="DK88" s="26">
        <f t="shared" si="24"/>
        <v>46082</v>
      </c>
      <c r="DL88" s="26">
        <f t="shared" si="24"/>
        <v>46113</v>
      </c>
      <c r="DM88" s="26">
        <f t="shared" si="24"/>
        <v>46143</v>
      </c>
      <c r="DN88" s="26">
        <f t="shared" si="24"/>
        <v>46174</v>
      </c>
      <c r="DO88" s="26">
        <f t="shared" si="24"/>
        <v>46204</v>
      </c>
      <c r="DP88" s="26">
        <f t="shared" si="24"/>
        <v>46235</v>
      </c>
      <c r="DQ88" s="26">
        <f t="shared" si="24"/>
        <v>46266</v>
      </c>
      <c r="DR88" s="26">
        <f t="shared" si="24"/>
        <v>46296</v>
      </c>
      <c r="DS88" s="26">
        <f t="shared" si="24"/>
        <v>46327</v>
      </c>
      <c r="DT88" s="26">
        <f t="shared" si="24"/>
        <v>46357</v>
      </c>
    </row>
    <row r="89" spans="1:124" ht="15.75" thickBot="1" x14ac:dyDescent="0.3">
      <c r="A89" s="7"/>
      <c r="B89" s="34" t="s">
        <v>143</v>
      </c>
      <c r="C89" s="40">
        <f>C24</f>
        <v>0</v>
      </c>
      <c r="D89" s="40">
        <f t="shared" ref="D89:BJ89" si="25">D24</f>
        <v>0</v>
      </c>
      <c r="E89" s="40">
        <f t="shared" si="25"/>
        <v>0</v>
      </c>
      <c r="F89" s="40">
        <f t="shared" si="25"/>
        <v>0</v>
      </c>
      <c r="G89" s="40">
        <f t="shared" si="25"/>
        <v>0</v>
      </c>
      <c r="H89" s="40">
        <f t="shared" si="25"/>
        <v>0</v>
      </c>
      <c r="I89" s="40">
        <f t="shared" si="25"/>
        <v>0</v>
      </c>
      <c r="J89" s="40">
        <f t="shared" si="25"/>
        <v>0</v>
      </c>
      <c r="K89" s="40">
        <f t="shared" si="25"/>
        <v>0</v>
      </c>
      <c r="L89" s="40">
        <f t="shared" si="25"/>
        <v>0</v>
      </c>
      <c r="M89" s="40">
        <f t="shared" si="25"/>
        <v>0</v>
      </c>
      <c r="N89" s="406">
        <f t="shared" si="25"/>
        <v>0</v>
      </c>
      <c r="O89" s="407">
        <f t="shared" si="25"/>
        <v>0</v>
      </c>
      <c r="P89" s="40">
        <f t="shared" si="25"/>
        <v>0</v>
      </c>
      <c r="Q89" s="40">
        <f t="shared" si="25"/>
        <v>0</v>
      </c>
      <c r="R89" s="40">
        <f t="shared" si="25"/>
        <v>0</v>
      </c>
      <c r="S89" s="40">
        <f t="shared" si="25"/>
        <v>0</v>
      </c>
      <c r="T89" s="40">
        <f t="shared" si="25"/>
        <v>0</v>
      </c>
      <c r="U89" s="40">
        <f t="shared" si="25"/>
        <v>0</v>
      </c>
      <c r="V89" s="40">
        <f t="shared" si="25"/>
        <v>0</v>
      </c>
      <c r="W89" s="40">
        <f t="shared" si="25"/>
        <v>0</v>
      </c>
      <c r="X89" s="40">
        <f t="shared" si="25"/>
        <v>0</v>
      </c>
      <c r="Y89" s="40">
        <f t="shared" si="25"/>
        <v>0</v>
      </c>
      <c r="Z89" s="406">
        <f t="shared" si="25"/>
        <v>0</v>
      </c>
      <c r="AA89" s="407">
        <f t="shared" si="25"/>
        <v>0</v>
      </c>
      <c r="AB89" s="40">
        <f t="shared" si="25"/>
        <v>0</v>
      </c>
      <c r="AC89" s="40">
        <f t="shared" si="25"/>
        <v>0</v>
      </c>
      <c r="AD89" s="40">
        <f t="shared" si="25"/>
        <v>0</v>
      </c>
      <c r="AE89" s="40">
        <f t="shared" si="25"/>
        <v>0</v>
      </c>
      <c r="AF89" s="40">
        <f t="shared" si="25"/>
        <v>0</v>
      </c>
      <c r="AG89" s="40">
        <f t="shared" si="25"/>
        <v>0</v>
      </c>
      <c r="AH89" s="40">
        <f t="shared" si="25"/>
        <v>0</v>
      </c>
      <c r="AI89" s="40">
        <f t="shared" si="25"/>
        <v>0</v>
      </c>
      <c r="AJ89" s="40">
        <f t="shared" si="25"/>
        <v>0</v>
      </c>
      <c r="AK89" s="40">
        <f t="shared" si="25"/>
        <v>0</v>
      </c>
      <c r="AL89" s="406">
        <f t="shared" si="25"/>
        <v>0</v>
      </c>
      <c r="AM89" s="407">
        <f t="shared" si="25"/>
        <v>0</v>
      </c>
      <c r="AN89" s="40">
        <f t="shared" si="25"/>
        <v>0</v>
      </c>
      <c r="AO89" s="40">
        <f t="shared" si="25"/>
        <v>0</v>
      </c>
      <c r="AP89" s="40">
        <f t="shared" si="25"/>
        <v>0</v>
      </c>
      <c r="AQ89" s="40">
        <f t="shared" si="25"/>
        <v>0</v>
      </c>
      <c r="AR89" s="40">
        <f t="shared" si="25"/>
        <v>0</v>
      </c>
      <c r="AS89" s="40">
        <f t="shared" si="25"/>
        <v>0</v>
      </c>
      <c r="AT89" s="40">
        <f t="shared" si="25"/>
        <v>0</v>
      </c>
      <c r="AU89" s="40">
        <f t="shared" si="25"/>
        <v>0</v>
      </c>
      <c r="AV89" s="40">
        <f t="shared" si="25"/>
        <v>0</v>
      </c>
      <c r="AW89" s="40">
        <f t="shared" si="25"/>
        <v>0</v>
      </c>
      <c r="AX89" s="406">
        <f t="shared" si="25"/>
        <v>0</v>
      </c>
      <c r="AY89" s="407">
        <f t="shared" si="25"/>
        <v>0</v>
      </c>
      <c r="AZ89" s="40">
        <f t="shared" si="25"/>
        <v>0</v>
      </c>
      <c r="BA89" s="40">
        <f t="shared" si="25"/>
        <v>0</v>
      </c>
      <c r="BB89" s="40">
        <f t="shared" si="25"/>
        <v>0</v>
      </c>
      <c r="BC89" s="40">
        <f t="shared" si="25"/>
        <v>0</v>
      </c>
      <c r="BD89" s="40">
        <f t="shared" si="25"/>
        <v>0</v>
      </c>
      <c r="BE89" s="40">
        <f t="shared" si="25"/>
        <v>0</v>
      </c>
      <c r="BF89" s="40">
        <f t="shared" si="25"/>
        <v>0</v>
      </c>
      <c r="BG89" s="40">
        <f t="shared" si="25"/>
        <v>0</v>
      </c>
      <c r="BH89" s="40">
        <f t="shared" si="25"/>
        <v>0</v>
      </c>
      <c r="BI89" s="40">
        <f t="shared" si="25"/>
        <v>0</v>
      </c>
      <c r="BJ89" s="41">
        <f t="shared" si="25"/>
        <v>0</v>
      </c>
      <c r="BL89" s="34" t="s">
        <v>143</v>
      </c>
      <c r="BM89" s="40">
        <f t="shared" ref="BM89" si="26">C24</f>
        <v>0</v>
      </c>
      <c r="BN89" s="40">
        <f t="shared" ref="BN89" si="27">D24</f>
        <v>0</v>
      </c>
      <c r="BO89" s="40">
        <f t="shared" ref="BO89" si="28">E24</f>
        <v>0</v>
      </c>
      <c r="BP89" s="40">
        <f t="shared" ref="BP89" si="29">F24</f>
        <v>0</v>
      </c>
      <c r="BQ89" s="40">
        <f t="shared" ref="BQ89" si="30">G24</f>
        <v>0</v>
      </c>
      <c r="BR89" s="40">
        <f t="shared" ref="BR89" si="31">H24</f>
        <v>0</v>
      </c>
      <c r="BS89" s="40">
        <f t="shared" ref="BS89" si="32">I24</f>
        <v>0</v>
      </c>
      <c r="BT89" s="40">
        <f t="shared" ref="BT89" si="33">J24</f>
        <v>0</v>
      </c>
      <c r="BU89" s="40">
        <f t="shared" ref="BU89" si="34">K24</f>
        <v>0</v>
      </c>
      <c r="BV89" s="40">
        <f t="shared" ref="BV89" si="35">L24</f>
        <v>0</v>
      </c>
      <c r="BW89" s="40">
        <f t="shared" ref="BW89" si="36">M24</f>
        <v>0</v>
      </c>
      <c r="BX89" s="406">
        <f t="shared" ref="BX89" si="37">N24</f>
        <v>0</v>
      </c>
      <c r="BY89" s="407">
        <f t="shared" ref="BY89" si="38">O24</f>
        <v>0</v>
      </c>
      <c r="BZ89" s="40">
        <f t="shared" ref="BZ89" si="39">P24</f>
        <v>0</v>
      </c>
      <c r="CA89" s="40">
        <f t="shared" ref="CA89" si="40">Q24</f>
        <v>0</v>
      </c>
      <c r="CB89" s="40">
        <f t="shared" ref="CB89" si="41">R24</f>
        <v>0</v>
      </c>
      <c r="CC89" s="40">
        <f t="shared" ref="CC89" si="42">S24</f>
        <v>0</v>
      </c>
      <c r="CD89" s="40">
        <f t="shared" ref="CD89" si="43">T24</f>
        <v>0</v>
      </c>
      <c r="CE89" s="40">
        <f t="shared" ref="CE89" si="44">U24</f>
        <v>0</v>
      </c>
      <c r="CF89" s="40">
        <f t="shared" ref="CF89" si="45">V24</f>
        <v>0</v>
      </c>
      <c r="CG89" s="40">
        <f t="shared" ref="CG89" si="46">W24</f>
        <v>0</v>
      </c>
      <c r="CH89" s="40">
        <f t="shared" ref="CH89" si="47">X24</f>
        <v>0</v>
      </c>
      <c r="CI89" s="40">
        <f t="shared" ref="CI89" si="48">Y24</f>
        <v>0</v>
      </c>
      <c r="CJ89" s="406">
        <f t="shared" ref="CJ89" si="49">Z24</f>
        <v>0</v>
      </c>
      <c r="CK89" s="407">
        <f t="shared" ref="CK89" si="50">AA24</f>
        <v>0</v>
      </c>
      <c r="CL89" s="40">
        <f t="shared" ref="CL89" si="51">AB24</f>
        <v>0</v>
      </c>
      <c r="CM89" s="40">
        <f t="shared" ref="CM89" si="52">AC24</f>
        <v>0</v>
      </c>
      <c r="CN89" s="40">
        <f t="shared" ref="CN89" si="53">AD24</f>
        <v>0</v>
      </c>
      <c r="CO89" s="40">
        <f t="shared" ref="CO89" si="54">AE24</f>
        <v>0</v>
      </c>
      <c r="CP89" s="40">
        <f t="shared" ref="CP89" si="55">AF24</f>
        <v>0</v>
      </c>
      <c r="CQ89" s="40">
        <f t="shared" ref="CQ89" si="56">AG24</f>
        <v>0</v>
      </c>
      <c r="CR89" s="40">
        <f t="shared" ref="CR89" si="57">AH24</f>
        <v>0</v>
      </c>
      <c r="CS89" s="40">
        <f t="shared" ref="CS89" si="58">AI24</f>
        <v>0</v>
      </c>
      <c r="CT89" s="40">
        <f t="shared" ref="CT89" si="59">AJ24</f>
        <v>0</v>
      </c>
      <c r="CU89" s="40">
        <f t="shared" ref="CU89" si="60">AK24</f>
        <v>0</v>
      </c>
      <c r="CV89" s="406">
        <f t="shared" ref="CV89" si="61">AL24</f>
        <v>0</v>
      </c>
      <c r="CW89" s="407">
        <f t="shared" ref="CW89" si="62">AM24</f>
        <v>0</v>
      </c>
      <c r="CX89" s="40">
        <f t="shared" ref="CX89" si="63">AN24</f>
        <v>0</v>
      </c>
      <c r="CY89" s="40">
        <f t="shared" ref="CY89" si="64">AO24</f>
        <v>0</v>
      </c>
      <c r="CZ89" s="40">
        <f t="shared" ref="CZ89" si="65">AP24</f>
        <v>0</v>
      </c>
      <c r="DA89" s="40">
        <f t="shared" ref="DA89" si="66">AQ24</f>
        <v>0</v>
      </c>
      <c r="DB89" s="40">
        <f t="shared" ref="DB89" si="67">AR24</f>
        <v>0</v>
      </c>
      <c r="DC89" s="40">
        <f t="shared" ref="DC89" si="68">AS24</f>
        <v>0</v>
      </c>
      <c r="DD89" s="40">
        <f t="shared" ref="DD89" si="69">AT24</f>
        <v>0</v>
      </c>
      <c r="DE89" s="40">
        <f t="shared" ref="DE89" si="70">AU24</f>
        <v>0</v>
      </c>
      <c r="DF89" s="40">
        <f t="shared" ref="DF89" si="71">AV24</f>
        <v>0</v>
      </c>
      <c r="DG89" s="40">
        <f t="shared" ref="DG89" si="72">AW24</f>
        <v>0</v>
      </c>
      <c r="DH89" s="406">
        <f t="shared" ref="DH89" si="73">AX24</f>
        <v>0</v>
      </c>
      <c r="DI89" s="407">
        <f t="shared" ref="DI89" si="74">AY24</f>
        <v>0</v>
      </c>
      <c r="DJ89" s="40">
        <f t="shared" ref="DJ89" si="75">AZ24</f>
        <v>0</v>
      </c>
      <c r="DK89" s="40">
        <f t="shared" ref="DK89" si="76">BA24</f>
        <v>0</v>
      </c>
      <c r="DL89" s="40">
        <f t="shared" ref="DL89" si="77">BB24</f>
        <v>0</v>
      </c>
      <c r="DM89" s="40">
        <f t="shared" ref="DM89" si="78">BC24</f>
        <v>0</v>
      </c>
      <c r="DN89" s="40">
        <f t="shared" ref="DN89" si="79">BD24</f>
        <v>0</v>
      </c>
      <c r="DO89" s="40">
        <f t="shared" ref="DO89" si="80">BE24</f>
        <v>0</v>
      </c>
      <c r="DP89" s="40">
        <f t="shared" ref="DP89" si="81">BF24</f>
        <v>0</v>
      </c>
      <c r="DQ89" s="40">
        <f t="shared" ref="DQ89" si="82">BG24</f>
        <v>0</v>
      </c>
      <c r="DR89" s="40">
        <f t="shared" ref="DR89" si="83">BH24</f>
        <v>0</v>
      </c>
      <c r="DS89" s="40">
        <f t="shared" ref="DS89" si="84">BI24</f>
        <v>0</v>
      </c>
      <c r="DT89" s="41">
        <f t="shared" ref="DT89" si="85">BJ24</f>
        <v>0</v>
      </c>
    </row>
    <row r="90" spans="1:124" x14ac:dyDescent="0.25">
      <c r="B90" s="36" t="s">
        <v>44</v>
      </c>
      <c r="C90" s="20">
        <f>IF(C30=0,C$9,C30)</f>
        <v>62.91</v>
      </c>
      <c r="D90" s="20">
        <f t="shared" ref="D90:BJ90" si="86">IF(D30=0,D$9,D30)</f>
        <v>55.7</v>
      </c>
      <c r="E90" s="20">
        <f t="shared" si="86"/>
        <v>55.7</v>
      </c>
      <c r="F90" s="20">
        <f t="shared" si="86"/>
        <v>55.7</v>
      </c>
      <c r="G90" s="20">
        <f t="shared" si="86"/>
        <v>55.7</v>
      </c>
      <c r="H90" s="20">
        <f t="shared" si="86"/>
        <v>55.71</v>
      </c>
      <c r="I90" s="20">
        <f t="shared" si="86"/>
        <v>66.319999999999993</v>
      </c>
      <c r="J90" s="20">
        <f t="shared" si="86"/>
        <v>76.900000000000006</v>
      </c>
      <c r="K90" s="20">
        <f t="shared" si="86"/>
        <v>56.08</v>
      </c>
      <c r="L90" s="20">
        <f t="shared" si="86"/>
        <v>55.7</v>
      </c>
      <c r="M90" s="20">
        <f t="shared" si="86"/>
        <v>55.7</v>
      </c>
      <c r="N90" s="400">
        <f t="shared" si="86"/>
        <v>88.695015628195648</v>
      </c>
      <c r="O90" s="401">
        <f t="shared" si="86"/>
        <v>166</v>
      </c>
      <c r="P90" s="20">
        <f t="shared" si="86"/>
        <v>166</v>
      </c>
      <c r="Q90" s="20">
        <f t="shared" si="86"/>
        <v>166</v>
      </c>
      <c r="R90" s="20">
        <f t="shared" si="86"/>
        <v>166</v>
      </c>
      <c r="S90" s="20">
        <f t="shared" si="86"/>
        <v>166</v>
      </c>
      <c r="T90" s="20">
        <f t="shared" si="86"/>
        <v>166</v>
      </c>
      <c r="U90" s="20">
        <f t="shared" si="86"/>
        <v>166</v>
      </c>
      <c r="V90" s="20">
        <f t="shared" si="86"/>
        <v>166</v>
      </c>
      <c r="W90" s="20">
        <f t="shared" si="86"/>
        <v>166</v>
      </c>
      <c r="X90" s="20">
        <f t="shared" si="86"/>
        <v>166</v>
      </c>
      <c r="Y90" s="20">
        <f t="shared" si="86"/>
        <v>166</v>
      </c>
      <c r="Z90" s="400">
        <f t="shared" si="86"/>
        <v>166</v>
      </c>
      <c r="AA90" s="401">
        <f t="shared" si="86"/>
        <v>153</v>
      </c>
      <c r="AB90" s="20">
        <f t="shared" si="86"/>
        <v>153</v>
      </c>
      <c r="AC90" s="20">
        <f t="shared" si="86"/>
        <v>153</v>
      </c>
      <c r="AD90" s="20">
        <f t="shared" si="86"/>
        <v>153</v>
      </c>
      <c r="AE90" s="20">
        <f t="shared" si="86"/>
        <v>153</v>
      </c>
      <c r="AF90" s="20">
        <f t="shared" si="86"/>
        <v>153</v>
      </c>
      <c r="AG90" s="20">
        <f t="shared" si="86"/>
        <v>153</v>
      </c>
      <c r="AH90" s="20">
        <f t="shared" si="86"/>
        <v>153</v>
      </c>
      <c r="AI90" s="20">
        <f t="shared" si="86"/>
        <v>153</v>
      </c>
      <c r="AJ90" s="20">
        <f t="shared" si="86"/>
        <v>153</v>
      </c>
      <c r="AK90" s="20">
        <f t="shared" si="86"/>
        <v>153</v>
      </c>
      <c r="AL90" s="400">
        <f t="shared" si="86"/>
        <v>153</v>
      </c>
      <c r="AM90" s="401">
        <f t="shared" si="86"/>
        <v>146</v>
      </c>
      <c r="AN90" s="20">
        <f t="shared" si="86"/>
        <v>146</v>
      </c>
      <c r="AO90" s="20">
        <f t="shared" si="86"/>
        <v>146</v>
      </c>
      <c r="AP90" s="20">
        <f t="shared" si="86"/>
        <v>146</v>
      </c>
      <c r="AQ90" s="20">
        <f t="shared" si="86"/>
        <v>146</v>
      </c>
      <c r="AR90" s="20">
        <f t="shared" si="86"/>
        <v>146</v>
      </c>
      <c r="AS90" s="20">
        <f t="shared" si="86"/>
        <v>146</v>
      </c>
      <c r="AT90" s="20">
        <f t="shared" si="86"/>
        <v>146</v>
      </c>
      <c r="AU90" s="20">
        <f t="shared" si="86"/>
        <v>146</v>
      </c>
      <c r="AV90" s="20">
        <f t="shared" si="86"/>
        <v>146</v>
      </c>
      <c r="AW90" s="20">
        <f t="shared" si="86"/>
        <v>146</v>
      </c>
      <c r="AX90" s="400">
        <f t="shared" si="86"/>
        <v>146</v>
      </c>
      <c r="AY90" s="401">
        <f t="shared" si="86"/>
        <v>146</v>
      </c>
      <c r="AZ90" s="20">
        <f t="shared" si="86"/>
        <v>146</v>
      </c>
      <c r="BA90" s="20">
        <f t="shared" si="86"/>
        <v>146</v>
      </c>
      <c r="BB90" s="20">
        <f t="shared" si="86"/>
        <v>146</v>
      </c>
      <c r="BC90" s="20">
        <f t="shared" si="86"/>
        <v>146</v>
      </c>
      <c r="BD90" s="20">
        <f t="shared" si="86"/>
        <v>146</v>
      </c>
      <c r="BE90" s="20">
        <f t="shared" si="86"/>
        <v>146</v>
      </c>
      <c r="BF90" s="20">
        <f t="shared" si="86"/>
        <v>146</v>
      </c>
      <c r="BG90" s="20">
        <f t="shared" si="86"/>
        <v>146</v>
      </c>
      <c r="BH90" s="20">
        <f t="shared" si="86"/>
        <v>146</v>
      </c>
      <c r="BI90" s="20">
        <f t="shared" si="86"/>
        <v>146</v>
      </c>
      <c r="BJ90" s="21">
        <f t="shared" si="86"/>
        <v>146</v>
      </c>
      <c r="BL90" s="36" t="s">
        <v>44</v>
      </c>
      <c r="BM90" s="20">
        <f t="shared" ref="BM90" si="87">IF(C30=0,C$9,C30)</f>
        <v>62.91</v>
      </c>
      <c r="BN90" s="20">
        <f t="shared" ref="BN90" si="88">IF(D30=0,D$9,D30)</f>
        <v>55.7</v>
      </c>
      <c r="BO90" s="20">
        <f t="shared" ref="BO90" si="89">IF(E30=0,E$9,E30)</f>
        <v>55.7</v>
      </c>
      <c r="BP90" s="20">
        <f t="shared" ref="BP90" si="90">IF(F30=0,F$9,F30)</f>
        <v>55.7</v>
      </c>
      <c r="BQ90" s="20">
        <f t="shared" ref="BQ90" si="91">IF(G30=0,G$9,G30)</f>
        <v>55.7</v>
      </c>
      <c r="BR90" s="20">
        <f t="shared" ref="BR90" si="92">IF(H30=0,H$9,H30)</f>
        <v>55.71</v>
      </c>
      <c r="BS90" s="20">
        <f t="shared" ref="BS90" si="93">IF(I30=0,I$9,I30)</f>
        <v>66.319999999999993</v>
      </c>
      <c r="BT90" s="20">
        <f t="shared" ref="BT90" si="94">IF(J30=0,J$9,J30)</f>
        <v>76.900000000000006</v>
      </c>
      <c r="BU90" s="20">
        <f t="shared" ref="BU90" si="95">IF(K30=0,K$9,K30)</f>
        <v>56.08</v>
      </c>
      <c r="BV90" s="20">
        <f t="shared" ref="BV90" si="96">IF(L30=0,L$9,L30)</f>
        <v>55.7</v>
      </c>
      <c r="BW90" s="20">
        <f t="shared" ref="BW90" si="97">IF(M30=0,M$9,M30)</f>
        <v>55.7</v>
      </c>
      <c r="BX90" s="400">
        <f t="shared" ref="BX90" si="98">IF(N30=0,N$9,N30)</f>
        <v>88.695015628195648</v>
      </c>
      <c r="BY90" s="401">
        <f t="shared" ref="BY90" si="99">IF(O30=0,O$9,O30)</f>
        <v>166</v>
      </c>
      <c r="BZ90" s="20">
        <f t="shared" ref="BZ90" si="100">IF(P30=0,P$9,P30)</f>
        <v>166</v>
      </c>
      <c r="CA90" s="20">
        <f t="shared" ref="CA90" si="101">IF(Q30=0,Q$9,Q30)</f>
        <v>166</v>
      </c>
      <c r="CB90" s="20">
        <f t="shared" ref="CB90" si="102">IF(R30=0,R$9,R30)</f>
        <v>166</v>
      </c>
      <c r="CC90" s="20">
        <f t="shared" ref="CC90" si="103">IF(S30=0,S$9,S30)</f>
        <v>166</v>
      </c>
      <c r="CD90" s="20">
        <f t="shared" ref="CD90" si="104">IF(T30=0,T$9,T30)</f>
        <v>166</v>
      </c>
      <c r="CE90" s="20">
        <f t="shared" ref="CE90" si="105">IF(U30=0,U$9,U30)</f>
        <v>166</v>
      </c>
      <c r="CF90" s="20">
        <f t="shared" ref="CF90" si="106">IF(V30=0,V$9,V30)</f>
        <v>166</v>
      </c>
      <c r="CG90" s="20">
        <f t="shared" ref="CG90" si="107">IF(W30=0,W$9,W30)</f>
        <v>166</v>
      </c>
      <c r="CH90" s="20">
        <f t="shared" ref="CH90" si="108">IF(X30=0,X$9,X30)</f>
        <v>166</v>
      </c>
      <c r="CI90" s="20">
        <f t="shared" ref="CI90" si="109">IF(Y30=0,Y$9,Y30)</f>
        <v>166</v>
      </c>
      <c r="CJ90" s="400">
        <f t="shared" ref="CJ90" si="110">IF(Z30=0,Z$9,Z30)</f>
        <v>166</v>
      </c>
      <c r="CK90" s="401">
        <f t="shared" ref="CK90" si="111">IF(AA30=0,AA$9,AA30)</f>
        <v>153</v>
      </c>
      <c r="CL90" s="20">
        <f t="shared" ref="CL90" si="112">IF(AB30=0,AB$9,AB30)</f>
        <v>153</v>
      </c>
      <c r="CM90" s="20">
        <f t="shared" ref="CM90" si="113">IF(AC30=0,AC$9,AC30)</f>
        <v>153</v>
      </c>
      <c r="CN90" s="20">
        <f t="shared" ref="CN90" si="114">IF(AD30=0,AD$9,AD30)</f>
        <v>153</v>
      </c>
      <c r="CO90" s="20">
        <f t="shared" ref="CO90" si="115">IF(AE30=0,AE$9,AE30)</f>
        <v>153</v>
      </c>
      <c r="CP90" s="20">
        <f t="shared" ref="CP90" si="116">IF(AF30=0,AF$9,AF30)</f>
        <v>153</v>
      </c>
      <c r="CQ90" s="20">
        <f t="shared" ref="CQ90" si="117">IF(AG30=0,AG$9,AG30)</f>
        <v>153</v>
      </c>
      <c r="CR90" s="20">
        <f t="shared" ref="CR90" si="118">IF(AH30=0,AH$9,AH30)</f>
        <v>153</v>
      </c>
      <c r="CS90" s="20">
        <f t="shared" ref="CS90" si="119">IF(AI30=0,AI$9,AI30)</f>
        <v>153</v>
      </c>
      <c r="CT90" s="20">
        <f t="shared" ref="CT90" si="120">IF(AJ30=0,AJ$9,AJ30)</f>
        <v>153</v>
      </c>
      <c r="CU90" s="20">
        <f t="shared" ref="CU90" si="121">IF(AK30=0,AK$9,AK30)</f>
        <v>153</v>
      </c>
      <c r="CV90" s="400">
        <f t="shared" ref="CV90" si="122">IF(AL30=0,AL$9,AL30)</f>
        <v>153</v>
      </c>
      <c r="CW90" s="401">
        <f t="shared" ref="CW90" si="123">IF(AM30=0,AM$9,AM30)</f>
        <v>146</v>
      </c>
      <c r="CX90" s="20">
        <f t="shared" ref="CX90" si="124">IF(AN30=0,AN$9,AN30)</f>
        <v>146</v>
      </c>
      <c r="CY90" s="20">
        <f t="shared" ref="CY90" si="125">IF(AO30=0,AO$9,AO30)</f>
        <v>146</v>
      </c>
      <c r="CZ90" s="20">
        <f t="shared" ref="CZ90" si="126">IF(AP30=0,AP$9,AP30)</f>
        <v>146</v>
      </c>
      <c r="DA90" s="20">
        <f t="shared" ref="DA90" si="127">IF(AQ30=0,AQ$9,AQ30)</f>
        <v>146</v>
      </c>
      <c r="DB90" s="20">
        <f t="shared" ref="DB90" si="128">IF(AR30=0,AR$9,AR30)</f>
        <v>146</v>
      </c>
      <c r="DC90" s="20">
        <f t="shared" ref="DC90" si="129">IF(AS30=0,AS$9,AS30)</f>
        <v>146</v>
      </c>
      <c r="DD90" s="20">
        <f t="shared" ref="DD90" si="130">IF(AT30=0,AT$9,AT30)</f>
        <v>146</v>
      </c>
      <c r="DE90" s="20">
        <f t="shared" ref="DE90" si="131">IF(AU30=0,AU$9,AU30)</f>
        <v>146</v>
      </c>
      <c r="DF90" s="20">
        <f t="shared" ref="DF90" si="132">IF(AV30=0,AV$9,AV30)</f>
        <v>146</v>
      </c>
      <c r="DG90" s="20">
        <f t="shared" ref="DG90" si="133">IF(AW30=0,AW$9,AW30)</f>
        <v>146</v>
      </c>
      <c r="DH90" s="400">
        <f t="shared" ref="DH90" si="134">IF(AX30=0,AX$9,AX30)</f>
        <v>146</v>
      </c>
      <c r="DI90" s="401">
        <f t="shared" ref="DI90" si="135">IF(AY30=0,AY$9,AY30)</f>
        <v>146</v>
      </c>
      <c r="DJ90" s="20">
        <f t="shared" ref="DJ90" si="136">IF(AZ30=0,AZ$9,AZ30)</f>
        <v>146</v>
      </c>
      <c r="DK90" s="20">
        <f t="shared" ref="DK90" si="137">IF(BA30=0,BA$9,BA30)</f>
        <v>146</v>
      </c>
      <c r="DL90" s="20">
        <f t="shared" ref="DL90" si="138">IF(BB30=0,BB$9,BB30)</f>
        <v>146</v>
      </c>
      <c r="DM90" s="20">
        <f t="shared" ref="DM90" si="139">IF(BC30=0,BC$9,BC30)</f>
        <v>146</v>
      </c>
      <c r="DN90" s="20">
        <f t="shared" ref="DN90" si="140">IF(BD30=0,BD$9,BD30)</f>
        <v>146</v>
      </c>
      <c r="DO90" s="20">
        <f t="shared" ref="DO90" si="141">IF(BE30=0,BE$9,BE30)</f>
        <v>146</v>
      </c>
      <c r="DP90" s="20">
        <f t="shared" ref="DP90" si="142">IF(BF30=0,BF$9,BF30)</f>
        <v>146</v>
      </c>
      <c r="DQ90" s="20">
        <f t="shared" ref="DQ90" si="143">IF(BG30=0,BG$9,BG30)</f>
        <v>146</v>
      </c>
      <c r="DR90" s="20">
        <f t="shared" ref="DR90" si="144">IF(BH30=0,BH$9,BH30)</f>
        <v>146</v>
      </c>
      <c r="DS90" s="20">
        <f t="shared" ref="DS90" si="145">IF(BI30=0,BI$9,BI30)</f>
        <v>146</v>
      </c>
      <c r="DT90" s="21">
        <f t="shared" ref="DT90" si="146">IF(BJ30=0,BJ$9,BJ30)</f>
        <v>146</v>
      </c>
    </row>
    <row r="91" spans="1:124" x14ac:dyDescent="0.25">
      <c r="B91" s="37" t="s">
        <v>12</v>
      </c>
      <c r="C91" s="18">
        <f>IF(C31=0,C$10+C15,C31)</f>
        <v>62.92</v>
      </c>
      <c r="D91" s="18">
        <f t="shared" ref="D91:BJ93" si="147">IF(D31=0,D$10+D15,D31)</f>
        <v>55.7</v>
      </c>
      <c r="E91" s="18">
        <f t="shared" si="147"/>
        <v>55.7</v>
      </c>
      <c r="F91" s="18">
        <f t="shared" si="147"/>
        <v>55.7</v>
      </c>
      <c r="G91" s="18">
        <f t="shared" si="147"/>
        <v>55.7</v>
      </c>
      <c r="H91" s="18">
        <f t="shared" si="147"/>
        <v>55.71</v>
      </c>
      <c r="I91" s="18">
        <f t="shared" si="147"/>
        <v>66.319999999999993</v>
      </c>
      <c r="J91" s="18">
        <f t="shared" si="147"/>
        <v>76.900000000000006</v>
      </c>
      <c r="K91" s="18">
        <f t="shared" si="147"/>
        <v>56.08</v>
      </c>
      <c r="L91" s="18">
        <f t="shared" si="147"/>
        <v>55.7</v>
      </c>
      <c r="M91" s="18">
        <f t="shared" si="147"/>
        <v>55.7</v>
      </c>
      <c r="N91" s="402">
        <f t="shared" si="147"/>
        <v>55.7</v>
      </c>
      <c r="O91" s="403">
        <f t="shared" si="147"/>
        <v>55.7</v>
      </c>
      <c r="P91" s="18">
        <f t="shared" si="147"/>
        <v>55.7</v>
      </c>
      <c r="Q91" s="18">
        <f t="shared" si="147"/>
        <v>55.7</v>
      </c>
      <c r="R91" s="18">
        <f t="shared" si="147"/>
        <v>55.7</v>
      </c>
      <c r="S91" s="18">
        <f t="shared" si="147"/>
        <v>55.7</v>
      </c>
      <c r="T91" s="18">
        <f t="shared" si="147"/>
        <v>55.874535369068141</v>
      </c>
      <c r="U91" s="18">
        <f t="shared" si="147"/>
        <v>59.54033706800562</v>
      </c>
      <c r="V91" s="18">
        <f t="shared" si="147"/>
        <v>59.54033706800562</v>
      </c>
      <c r="W91" s="18">
        <f t="shared" si="147"/>
        <v>59.54033706800562</v>
      </c>
      <c r="X91" s="18">
        <f t="shared" si="147"/>
        <v>62.087104564109552</v>
      </c>
      <c r="Y91" s="18">
        <f t="shared" si="147"/>
        <v>62.087104564109552</v>
      </c>
      <c r="Z91" s="402">
        <f t="shared" si="147"/>
        <v>62.087104564109552</v>
      </c>
      <c r="AA91" s="403">
        <f t="shared" si="147"/>
        <v>92.278761745078526</v>
      </c>
      <c r="AB91" s="18">
        <f t="shared" si="147"/>
        <v>92.278761745078526</v>
      </c>
      <c r="AC91" s="18">
        <f t="shared" si="147"/>
        <v>92.278761745078526</v>
      </c>
      <c r="AD91" s="18">
        <f t="shared" si="147"/>
        <v>92.278761745078526</v>
      </c>
      <c r="AE91" s="18">
        <f t="shared" si="147"/>
        <v>92.278761745078526</v>
      </c>
      <c r="AF91" s="18">
        <f t="shared" si="147"/>
        <v>92.278761745078526</v>
      </c>
      <c r="AG91" s="18">
        <f t="shared" si="147"/>
        <v>92.278761745078526</v>
      </c>
      <c r="AH91" s="18">
        <f t="shared" si="147"/>
        <v>92.278761745078526</v>
      </c>
      <c r="AI91" s="18">
        <f t="shared" si="147"/>
        <v>92.278761745078526</v>
      </c>
      <c r="AJ91" s="18">
        <f t="shared" si="147"/>
        <v>92.278761745078526</v>
      </c>
      <c r="AK91" s="18">
        <f t="shared" si="147"/>
        <v>92.278761745078526</v>
      </c>
      <c r="AL91" s="402">
        <f t="shared" si="147"/>
        <v>92.278761745078526</v>
      </c>
      <c r="AM91" s="403">
        <f t="shared" si="147"/>
        <v>112</v>
      </c>
      <c r="AN91" s="18">
        <f t="shared" si="147"/>
        <v>112</v>
      </c>
      <c r="AO91" s="18">
        <f t="shared" si="147"/>
        <v>112</v>
      </c>
      <c r="AP91" s="18">
        <f t="shared" si="147"/>
        <v>112</v>
      </c>
      <c r="AQ91" s="18">
        <f t="shared" si="147"/>
        <v>112</v>
      </c>
      <c r="AR91" s="18">
        <f t="shared" si="147"/>
        <v>112</v>
      </c>
      <c r="AS91" s="18">
        <f t="shared" si="147"/>
        <v>112</v>
      </c>
      <c r="AT91" s="18">
        <f t="shared" si="147"/>
        <v>112</v>
      </c>
      <c r="AU91" s="18">
        <f t="shared" si="147"/>
        <v>112</v>
      </c>
      <c r="AV91" s="18">
        <f t="shared" si="147"/>
        <v>112</v>
      </c>
      <c r="AW91" s="18">
        <f t="shared" si="147"/>
        <v>112</v>
      </c>
      <c r="AX91" s="402">
        <f t="shared" si="147"/>
        <v>112</v>
      </c>
      <c r="AY91" s="403">
        <f t="shared" si="147"/>
        <v>140.5</v>
      </c>
      <c r="AZ91" s="18">
        <f t="shared" si="147"/>
        <v>140.5</v>
      </c>
      <c r="BA91" s="18">
        <f t="shared" si="147"/>
        <v>140.5</v>
      </c>
      <c r="BB91" s="18">
        <f t="shared" si="147"/>
        <v>140.5</v>
      </c>
      <c r="BC91" s="18">
        <f t="shared" si="147"/>
        <v>140.5</v>
      </c>
      <c r="BD91" s="18">
        <f t="shared" si="147"/>
        <v>140.5</v>
      </c>
      <c r="BE91" s="18">
        <f t="shared" si="147"/>
        <v>140.5</v>
      </c>
      <c r="BF91" s="18">
        <f t="shared" si="147"/>
        <v>140.5</v>
      </c>
      <c r="BG91" s="18">
        <f t="shared" si="147"/>
        <v>140.5</v>
      </c>
      <c r="BH91" s="18">
        <f t="shared" si="147"/>
        <v>140.5</v>
      </c>
      <c r="BI91" s="18">
        <f t="shared" si="147"/>
        <v>140.5</v>
      </c>
      <c r="BJ91" s="19">
        <f t="shared" si="147"/>
        <v>140.5</v>
      </c>
      <c r="BL91" s="37" t="s">
        <v>12</v>
      </c>
      <c r="BM91" s="18">
        <f t="shared" ref="BM91" si="148">IF(C31=0,C$9+C15,C31)</f>
        <v>62.92</v>
      </c>
      <c r="BN91" s="18">
        <f t="shared" ref="BN91:BN93" si="149">IF(D31=0,D$9+D15,D31)</f>
        <v>55.7</v>
      </c>
      <c r="BO91" s="18">
        <f t="shared" ref="BO91:BO93" si="150">IF(E31=0,E$9+E15,E31)</f>
        <v>55.7</v>
      </c>
      <c r="BP91" s="18">
        <f t="shared" ref="BP91:BP93" si="151">IF(F31=0,F$9+F15,F31)</f>
        <v>55.7</v>
      </c>
      <c r="BQ91" s="18">
        <f t="shared" ref="BQ91:BQ93" si="152">IF(G31=0,G$9+G15,G31)</f>
        <v>55.7</v>
      </c>
      <c r="BR91" s="18">
        <f t="shared" ref="BR91:BR93" si="153">IF(H31=0,H$9+H15,H31)</f>
        <v>55.71</v>
      </c>
      <c r="BS91" s="18">
        <f t="shared" ref="BS91:BS93" si="154">IF(I31=0,I$9+I15,I31)</f>
        <v>66.319999999999993</v>
      </c>
      <c r="BT91" s="18">
        <f t="shared" ref="BT91:BT93" si="155">IF(J31=0,J$9+J15,J31)</f>
        <v>76.900000000000006</v>
      </c>
      <c r="BU91" s="18">
        <f t="shared" ref="BU91:BU93" si="156">IF(K31=0,K$9+K15,K31)</f>
        <v>56.08</v>
      </c>
      <c r="BV91" s="18">
        <f t="shared" ref="BV91:BV93" si="157">IF(L31=0,L$9+L15,L31)</f>
        <v>55.7</v>
      </c>
      <c r="BW91" s="18">
        <f t="shared" ref="BW91:BW93" si="158">IF(M31=0,M$9+M15,M31)</f>
        <v>55.7</v>
      </c>
      <c r="BX91" s="402">
        <f t="shared" ref="BX91:BX93" si="159">IF(N31=0,N$9+N15,N31)</f>
        <v>88.695015628195648</v>
      </c>
      <c r="BY91" s="403">
        <f t="shared" ref="BY91:BY93" si="160">IF(O31=0,O$9+O15,O31)</f>
        <v>166</v>
      </c>
      <c r="BZ91" s="18">
        <f t="shared" ref="BZ91:BZ93" si="161">IF(P31=0,P$9+P15,P31)</f>
        <v>166</v>
      </c>
      <c r="CA91" s="18">
        <f t="shared" ref="CA91:CA93" si="162">IF(Q31=0,Q$9+Q15,Q31)</f>
        <v>166</v>
      </c>
      <c r="CB91" s="18">
        <f t="shared" ref="CB91:CB93" si="163">IF(R31=0,R$9+R15,R31)</f>
        <v>166</v>
      </c>
      <c r="CC91" s="18">
        <f t="shared" ref="CC91:CC93" si="164">IF(S31=0,S$9+S15,S31)</f>
        <v>166</v>
      </c>
      <c r="CD91" s="18">
        <f t="shared" ref="CD91:CD93" si="165">IF(T31=0,T$9+T15,T31)</f>
        <v>166</v>
      </c>
      <c r="CE91" s="18">
        <f t="shared" ref="CE91:CE93" si="166">IF(U31=0,U$9+U15,U31)</f>
        <v>166</v>
      </c>
      <c r="CF91" s="18">
        <f t="shared" ref="CF91:CF93" si="167">IF(V31=0,V$9+V15,V31)</f>
        <v>166</v>
      </c>
      <c r="CG91" s="18">
        <f t="shared" ref="CG91:CG93" si="168">IF(W31=0,W$9+W15,W31)</f>
        <v>166</v>
      </c>
      <c r="CH91" s="18">
        <f t="shared" ref="CH91:CH93" si="169">IF(X31=0,X$9+X15,X31)</f>
        <v>166</v>
      </c>
      <c r="CI91" s="18">
        <f t="shared" ref="CI91:CI93" si="170">IF(Y31=0,Y$9+Y15,Y31)</f>
        <v>166</v>
      </c>
      <c r="CJ91" s="402">
        <f t="shared" ref="CJ91:CJ93" si="171">IF(Z31=0,Z$9+Z15,Z31)</f>
        <v>166</v>
      </c>
      <c r="CK91" s="403">
        <f t="shared" ref="CK91:CK93" si="172">IF(AA31=0,AA$9+AA15,AA31)</f>
        <v>153</v>
      </c>
      <c r="CL91" s="18">
        <f t="shared" ref="CL91:CL93" si="173">IF(AB31=0,AB$9+AB15,AB31)</f>
        <v>153</v>
      </c>
      <c r="CM91" s="18">
        <f t="shared" ref="CM91:CM93" si="174">IF(AC31=0,AC$9+AC15,AC31)</f>
        <v>153</v>
      </c>
      <c r="CN91" s="18">
        <f t="shared" ref="CN91:CN93" si="175">IF(AD31=0,AD$9+AD15,AD31)</f>
        <v>153</v>
      </c>
      <c r="CO91" s="18">
        <f t="shared" ref="CO91:CO93" si="176">IF(AE31=0,AE$9+AE15,AE31)</f>
        <v>153</v>
      </c>
      <c r="CP91" s="18">
        <f t="shared" ref="CP91:CP93" si="177">IF(AF31=0,AF$9+AF15,AF31)</f>
        <v>153</v>
      </c>
      <c r="CQ91" s="18">
        <f t="shared" ref="CQ91:CQ93" si="178">IF(AG31=0,AG$9+AG15,AG31)</f>
        <v>153</v>
      </c>
      <c r="CR91" s="18">
        <f t="shared" ref="CR91:CR93" si="179">IF(AH31=0,AH$9+AH15,AH31)</f>
        <v>153</v>
      </c>
      <c r="CS91" s="18">
        <f t="shared" ref="CS91:CS93" si="180">IF(AI31=0,AI$9+AI15,AI31)</f>
        <v>153</v>
      </c>
      <c r="CT91" s="18">
        <f t="shared" ref="CT91:CT93" si="181">IF(AJ31=0,AJ$9+AJ15,AJ31)</f>
        <v>153</v>
      </c>
      <c r="CU91" s="18">
        <f t="shared" ref="CU91:CU93" si="182">IF(AK31=0,AK$9+AK15,AK31)</f>
        <v>153</v>
      </c>
      <c r="CV91" s="402">
        <f t="shared" ref="CV91:CV93" si="183">IF(AL31=0,AL$9+AL15,AL31)</f>
        <v>153</v>
      </c>
      <c r="CW91" s="403">
        <f t="shared" ref="CW91:CW93" si="184">IF(AM31=0,AM$9+AM15,AM31)</f>
        <v>146</v>
      </c>
      <c r="CX91" s="18">
        <f t="shared" ref="CX91:CX93" si="185">IF(AN31=0,AN$9+AN15,AN31)</f>
        <v>146</v>
      </c>
      <c r="CY91" s="18">
        <f t="shared" ref="CY91:CY93" si="186">IF(AO31=0,AO$9+AO15,AO31)</f>
        <v>146</v>
      </c>
      <c r="CZ91" s="18">
        <f t="shared" ref="CZ91:CZ93" si="187">IF(AP31=0,AP$9+AP15,AP31)</f>
        <v>146</v>
      </c>
      <c r="DA91" s="18">
        <f t="shared" ref="DA91:DA93" si="188">IF(AQ31=0,AQ$9+AQ15,AQ31)</f>
        <v>146</v>
      </c>
      <c r="DB91" s="18">
        <f t="shared" ref="DB91:DB93" si="189">IF(AR31=0,AR$9+AR15,AR31)</f>
        <v>146</v>
      </c>
      <c r="DC91" s="18">
        <f t="shared" ref="DC91:DC93" si="190">IF(AS31=0,AS$9+AS15,AS31)</f>
        <v>146</v>
      </c>
      <c r="DD91" s="18">
        <f t="shared" ref="DD91:DD93" si="191">IF(AT31=0,AT$9+AT15,AT31)</f>
        <v>146</v>
      </c>
      <c r="DE91" s="18">
        <f t="shared" ref="DE91:DE93" si="192">IF(AU31=0,AU$9+AU15,AU31)</f>
        <v>146</v>
      </c>
      <c r="DF91" s="18">
        <f t="shared" ref="DF91:DF93" si="193">IF(AV31=0,AV$9+AV15,AV31)</f>
        <v>146</v>
      </c>
      <c r="DG91" s="18">
        <f t="shared" ref="DG91:DG93" si="194">IF(AW31=0,AW$9+AW15,AW31)</f>
        <v>146</v>
      </c>
      <c r="DH91" s="402">
        <f t="shared" ref="DH91:DH93" si="195">IF(AX31=0,AX$9+AX15,AX31)</f>
        <v>146</v>
      </c>
      <c r="DI91" s="403">
        <f t="shared" ref="DI91:DI93" si="196">IF(AY31=0,AY$9+AY15,AY31)</f>
        <v>146</v>
      </c>
      <c r="DJ91" s="18">
        <f t="shared" ref="DJ91:DJ93" si="197">IF(AZ31=0,AZ$9+AZ15,AZ31)</f>
        <v>146</v>
      </c>
      <c r="DK91" s="18">
        <f t="shared" ref="DK91:DK93" si="198">IF(BA31=0,BA$9+BA15,BA31)</f>
        <v>146</v>
      </c>
      <c r="DL91" s="18">
        <f t="shared" ref="DL91:DL93" si="199">IF(BB31=0,BB$9+BB15,BB31)</f>
        <v>146</v>
      </c>
      <c r="DM91" s="18">
        <f t="shared" ref="DM91:DM93" si="200">IF(BC31=0,BC$9+BC15,BC31)</f>
        <v>146</v>
      </c>
      <c r="DN91" s="18">
        <f t="shared" ref="DN91:DN93" si="201">IF(BD31=0,BD$9+BD15,BD31)</f>
        <v>146</v>
      </c>
      <c r="DO91" s="18">
        <f t="shared" ref="DO91:DO93" si="202">IF(BE31=0,BE$9+BE15,BE31)</f>
        <v>146</v>
      </c>
      <c r="DP91" s="18">
        <f t="shared" ref="DP91:DP93" si="203">IF(BF31=0,BF$9+BF15,BF31)</f>
        <v>146</v>
      </c>
      <c r="DQ91" s="18">
        <f t="shared" ref="DQ91:DQ93" si="204">IF(BG31=0,BG$9+BG15,BG31)</f>
        <v>146</v>
      </c>
      <c r="DR91" s="18">
        <f t="shared" ref="DR91:DR93" si="205">IF(BH31=0,BH$9+BH15,BH31)</f>
        <v>146</v>
      </c>
      <c r="DS91" s="18">
        <f t="shared" ref="DS91:DS93" si="206">IF(BI31=0,BI$9+BI15,BI31)</f>
        <v>146</v>
      </c>
      <c r="DT91" s="19">
        <f t="shared" ref="DT91:DT93" si="207">IF(BJ31=0,BJ$9+BJ15,BJ31)</f>
        <v>146</v>
      </c>
    </row>
    <row r="92" spans="1:124" x14ac:dyDescent="0.25">
      <c r="B92" s="37" t="s">
        <v>13</v>
      </c>
      <c r="C92" s="18">
        <f t="shared" ref="C92:R93" si="208">IF(C32=0,C$10+C16,C32)</f>
        <v>57.22</v>
      </c>
      <c r="D92" s="18">
        <f t="shared" si="208"/>
        <v>55.7</v>
      </c>
      <c r="E92" s="18">
        <f t="shared" si="208"/>
        <v>55.7</v>
      </c>
      <c r="F92" s="18">
        <f t="shared" si="208"/>
        <v>55.7</v>
      </c>
      <c r="G92" s="18">
        <f t="shared" si="208"/>
        <v>55.7</v>
      </c>
      <c r="H92" s="18">
        <f t="shared" si="208"/>
        <v>55.71</v>
      </c>
      <c r="I92" s="18">
        <f t="shared" si="208"/>
        <v>66.319999999999993</v>
      </c>
      <c r="J92" s="18">
        <f t="shared" si="208"/>
        <v>76.900000000000006</v>
      </c>
      <c r="K92" s="18">
        <f t="shared" si="208"/>
        <v>56.08</v>
      </c>
      <c r="L92" s="18">
        <f t="shared" si="208"/>
        <v>55.7</v>
      </c>
      <c r="M92" s="18">
        <f t="shared" si="208"/>
        <v>55.7</v>
      </c>
      <c r="N92" s="402">
        <f t="shared" si="208"/>
        <v>55.7</v>
      </c>
      <c r="O92" s="403">
        <f t="shared" si="208"/>
        <v>55.7</v>
      </c>
      <c r="P92" s="18">
        <f t="shared" si="208"/>
        <v>55.7</v>
      </c>
      <c r="Q92" s="18">
        <f t="shared" si="208"/>
        <v>55.7</v>
      </c>
      <c r="R92" s="18">
        <f t="shared" si="208"/>
        <v>55.7</v>
      </c>
      <c r="S92" s="18">
        <f t="shared" si="147"/>
        <v>55.7</v>
      </c>
      <c r="T92" s="18">
        <f t="shared" si="147"/>
        <v>55.874535369068141</v>
      </c>
      <c r="U92" s="18">
        <f t="shared" si="147"/>
        <v>59.54033706800562</v>
      </c>
      <c r="V92" s="18">
        <f t="shared" si="147"/>
        <v>59.54033706800562</v>
      </c>
      <c r="W92" s="18">
        <f t="shared" si="147"/>
        <v>59.54033706800562</v>
      </c>
      <c r="X92" s="18">
        <f t="shared" si="147"/>
        <v>62.087104564109552</v>
      </c>
      <c r="Y92" s="18">
        <f t="shared" si="147"/>
        <v>62.087104564109552</v>
      </c>
      <c r="Z92" s="402">
        <f t="shared" si="147"/>
        <v>62.087104564109552</v>
      </c>
      <c r="AA92" s="403">
        <f t="shared" si="147"/>
        <v>92.278761745078526</v>
      </c>
      <c r="AB92" s="18">
        <f t="shared" si="147"/>
        <v>92.278761745078526</v>
      </c>
      <c r="AC92" s="18">
        <f t="shared" si="147"/>
        <v>92.278761745078526</v>
      </c>
      <c r="AD92" s="18">
        <f t="shared" si="147"/>
        <v>92.278761745078526</v>
      </c>
      <c r="AE92" s="18">
        <f t="shared" si="147"/>
        <v>92.278761745078526</v>
      </c>
      <c r="AF92" s="18">
        <f t="shared" si="147"/>
        <v>92.278761745078526</v>
      </c>
      <c r="AG92" s="18">
        <f t="shared" si="147"/>
        <v>92.278761745078526</v>
      </c>
      <c r="AH92" s="18">
        <f t="shared" si="147"/>
        <v>92.278761745078526</v>
      </c>
      <c r="AI92" s="18">
        <f t="shared" si="147"/>
        <v>92.278761745078526</v>
      </c>
      <c r="AJ92" s="18">
        <f t="shared" si="147"/>
        <v>92.278761745078526</v>
      </c>
      <c r="AK92" s="18">
        <f t="shared" si="147"/>
        <v>92.278761745078526</v>
      </c>
      <c r="AL92" s="402">
        <f t="shared" si="147"/>
        <v>92.278761745078526</v>
      </c>
      <c r="AM92" s="403">
        <f t="shared" si="147"/>
        <v>112</v>
      </c>
      <c r="AN92" s="18">
        <f t="shared" si="147"/>
        <v>112</v>
      </c>
      <c r="AO92" s="18">
        <f t="shared" si="147"/>
        <v>112</v>
      </c>
      <c r="AP92" s="18">
        <f t="shared" si="147"/>
        <v>112</v>
      </c>
      <c r="AQ92" s="18">
        <f t="shared" si="147"/>
        <v>112</v>
      </c>
      <c r="AR92" s="18">
        <f t="shared" si="147"/>
        <v>112</v>
      </c>
      <c r="AS92" s="18">
        <f t="shared" si="147"/>
        <v>112</v>
      </c>
      <c r="AT92" s="18">
        <f t="shared" si="147"/>
        <v>112</v>
      </c>
      <c r="AU92" s="18">
        <f t="shared" si="147"/>
        <v>112</v>
      </c>
      <c r="AV92" s="18">
        <f t="shared" si="147"/>
        <v>112</v>
      </c>
      <c r="AW92" s="18">
        <f t="shared" si="147"/>
        <v>112</v>
      </c>
      <c r="AX92" s="402">
        <f t="shared" si="147"/>
        <v>112</v>
      </c>
      <c r="AY92" s="403">
        <f t="shared" si="147"/>
        <v>140.5</v>
      </c>
      <c r="AZ92" s="18">
        <f t="shared" si="147"/>
        <v>140.5</v>
      </c>
      <c r="BA92" s="18">
        <f t="shared" si="147"/>
        <v>140.5</v>
      </c>
      <c r="BB92" s="18">
        <f t="shared" si="147"/>
        <v>140.5</v>
      </c>
      <c r="BC92" s="18">
        <f t="shared" si="147"/>
        <v>140.5</v>
      </c>
      <c r="BD92" s="18">
        <f t="shared" si="147"/>
        <v>140.5</v>
      </c>
      <c r="BE92" s="18">
        <f t="shared" si="147"/>
        <v>140.5</v>
      </c>
      <c r="BF92" s="18">
        <f t="shared" si="147"/>
        <v>140.5</v>
      </c>
      <c r="BG92" s="18">
        <f t="shared" si="147"/>
        <v>140.5</v>
      </c>
      <c r="BH92" s="18">
        <f t="shared" si="147"/>
        <v>140.5</v>
      </c>
      <c r="BI92" s="18">
        <f t="shared" si="147"/>
        <v>140.5</v>
      </c>
      <c r="BJ92" s="19">
        <f t="shared" si="147"/>
        <v>140.5</v>
      </c>
      <c r="BL92" s="37" t="s">
        <v>13</v>
      </c>
      <c r="BM92" s="18">
        <f t="shared" ref="BM92:BM93" si="209">IF(C32=0,C$9+C16,C32)</f>
        <v>57.22</v>
      </c>
      <c r="BN92" s="18">
        <f t="shared" si="149"/>
        <v>55.7</v>
      </c>
      <c r="BO92" s="18">
        <f t="shared" si="150"/>
        <v>55.7</v>
      </c>
      <c r="BP92" s="18">
        <f t="shared" si="151"/>
        <v>55.7</v>
      </c>
      <c r="BQ92" s="18">
        <f t="shared" si="152"/>
        <v>55.7</v>
      </c>
      <c r="BR92" s="18">
        <f t="shared" si="153"/>
        <v>55.71</v>
      </c>
      <c r="BS92" s="18">
        <f t="shared" si="154"/>
        <v>66.319999999999993</v>
      </c>
      <c r="BT92" s="18">
        <f t="shared" si="155"/>
        <v>76.900000000000006</v>
      </c>
      <c r="BU92" s="18">
        <f t="shared" si="156"/>
        <v>56.08</v>
      </c>
      <c r="BV92" s="18">
        <f t="shared" si="157"/>
        <v>55.7</v>
      </c>
      <c r="BW92" s="18">
        <f t="shared" si="158"/>
        <v>55.7</v>
      </c>
      <c r="BX92" s="402">
        <f t="shared" si="159"/>
        <v>88.695015628195648</v>
      </c>
      <c r="BY92" s="403">
        <f t="shared" si="160"/>
        <v>166</v>
      </c>
      <c r="BZ92" s="18">
        <f t="shared" si="161"/>
        <v>166</v>
      </c>
      <c r="CA92" s="18">
        <f t="shared" si="162"/>
        <v>166</v>
      </c>
      <c r="CB92" s="18">
        <f t="shared" si="163"/>
        <v>166</v>
      </c>
      <c r="CC92" s="18">
        <f t="shared" si="164"/>
        <v>166</v>
      </c>
      <c r="CD92" s="18">
        <f t="shared" si="165"/>
        <v>166</v>
      </c>
      <c r="CE92" s="18">
        <f t="shared" si="166"/>
        <v>166</v>
      </c>
      <c r="CF92" s="18">
        <f t="shared" si="167"/>
        <v>166</v>
      </c>
      <c r="CG92" s="18">
        <f t="shared" si="168"/>
        <v>166</v>
      </c>
      <c r="CH92" s="18">
        <f t="shared" si="169"/>
        <v>166</v>
      </c>
      <c r="CI92" s="18">
        <f t="shared" si="170"/>
        <v>166</v>
      </c>
      <c r="CJ92" s="402">
        <f t="shared" si="171"/>
        <v>166</v>
      </c>
      <c r="CK92" s="403">
        <f t="shared" si="172"/>
        <v>153</v>
      </c>
      <c r="CL92" s="18">
        <f t="shared" si="173"/>
        <v>153</v>
      </c>
      <c r="CM92" s="18">
        <f t="shared" si="174"/>
        <v>153</v>
      </c>
      <c r="CN92" s="18">
        <f t="shared" si="175"/>
        <v>153</v>
      </c>
      <c r="CO92" s="18">
        <f t="shared" si="176"/>
        <v>153</v>
      </c>
      <c r="CP92" s="18">
        <f t="shared" si="177"/>
        <v>153</v>
      </c>
      <c r="CQ92" s="18">
        <f t="shared" si="178"/>
        <v>153</v>
      </c>
      <c r="CR92" s="18">
        <f t="shared" si="179"/>
        <v>153</v>
      </c>
      <c r="CS92" s="18">
        <f t="shared" si="180"/>
        <v>153</v>
      </c>
      <c r="CT92" s="18">
        <f t="shared" si="181"/>
        <v>153</v>
      </c>
      <c r="CU92" s="18">
        <f t="shared" si="182"/>
        <v>153</v>
      </c>
      <c r="CV92" s="402">
        <f t="shared" si="183"/>
        <v>153</v>
      </c>
      <c r="CW92" s="403">
        <f t="shared" si="184"/>
        <v>146</v>
      </c>
      <c r="CX92" s="18">
        <f t="shared" si="185"/>
        <v>146</v>
      </c>
      <c r="CY92" s="18">
        <f t="shared" si="186"/>
        <v>146</v>
      </c>
      <c r="CZ92" s="18">
        <f t="shared" si="187"/>
        <v>146</v>
      </c>
      <c r="DA92" s="18">
        <f t="shared" si="188"/>
        <v>146</v>
      </c>
      <c r="DB92" s="18">
        <f t="shared" si="189"/>
        <v>146</v>
      </c>
      <c r="DC92" s="18">
        <f t="shared" si="190"/>
        <v>146</v>
      </c>
      <c r="DD92" s="18">
        <f t="shared" si="191"/>
        <v>146</v>
      </c>
      <c r="DE92" s="18">
        <f t="shared" si="192"/>
        <v>146</v>
      </c>
      <c r="DF92" s="18">
        <f t="shared" si="193"/>
        <v>146</v>
      </c>
      <c r="DG92" s="18">
        <f t="shared" si="194"/>
        <v>146</v>
      </c>
      <c r="DH92" s="402">
        <f t="shared" si="195"/>
        <v>146</v>
      </c>
      <c r="DI92" s="403">
        <f t="shared" si="196"/>
        <v>146</v>
      </c>
      <c r="DJ92" s="18">
        <f t="shared" si="197"/>
        <v>146</v>
      </c>
      <c r="DK92" s="18">
        <f t="shared" si="198"/>
        <v>146</v>
      </c>
      <c r="DL92" s="18">
        <f t="shared" si="199"/>
        <v>146</v>
      </c>
      <c r="DM92" s="18">
        <f t="shared" si="200"/>
        <v>146</v>
      </c>
      <c r="DN92" s="18">
        <f t="shared" si="201"/>
        <v>146</v>
      </c>
      <c r="DO92" s="18">
        <f t="shared" si="202"/>
        <v>146</v>
      </c>
      <c r="DP92" s="18">
        <f t="shared" si="203"/>
        <v>146</v>
      </c>
      <c r="DQ92" s="18">
        <f t="shared" si="204"/>
        <v>146</v>
      </c>
      <c r="DR92" s="18">
        <f t="shared" si="205"/>
        <v>146</v>
      </c>
      <c r="DS92" s="18">
        <f t="shared" si="206"/>
        <v>146</v>
      </c>
      <c r="DT92" s="19">
        <f t="shared" si="207"/>
        <v>146</v>
      </c>
    </row>
    <row r="93" spans="1:124" ht="15.75" thickBot="1" x14ac:dyDescent="0.3">
      <c r="B93" s="38" t="s">
        <v>11</v>
      </c>
      <c r="C93" s="23">
        <f t="shared" si="208"/>
        <v>55.71</v>
      </c>
      <c r="D93" s="23">
        <f t="shared" si="147"/>
        <v>55.7</v>
      </c>
      <c r="E93" s="23">
        <f t="shared" si="147"/>
        <v>55.7</v>
      </c>
      <c r="F93" s="23">
        <f t="shared" si="147"/>
        <v>55.7</v>
      </c>
      <c r="G93" s="23">
        <f t="shared" si="147"/>
        <v>55.7</v>
      </c>
      <c r="H93" s="23">
        <f t="shared" si="147"/>
        <v>55.71</v>
      </c>
      <c r="I93" s="23">
        <f t="shared" si="147"/>
        <v>66.319999999999993</v>
      </c>
      <c r="J93" s="23">
        <f t="shared" si="147"/>
        <v>76.900000000000006</v>
      </c>
      <c r="K93" s="23">
        <f t="shared" si="147"/>
        <v>56.08</v>
      </c>
      <c r="L93" s="23">
        <f t="shared" si="147"/>
        <v>55.7</v>
      </c>
      <c r="M93" s="23">
        <f t="shared" si="147"/>
        <v>55.7</v>
      </c>
      <c r="N93" s="404">
        <f t="shared" si="147"/>
        <v>55.7</v>
      </c>
      <c r="O93" s="405">
        <f t="shared" si="147"/>
        <v>55.7</v>
      </c>
      <c r="P93" s="23">
        <f t="shared" si="147"/>
        <v>55.7</v>
      </c>
      <c r="Q93" s="23">
        <f t="shared" si="147"/>
        <v>55.7</v>
      </c>
      <c r="R93" s="23">
        <f t="shared" si="147"/>
        <v>55.7</v>
      </c>
      <c r="S93" s="23">
        <f t="shared" si="147"/>
        <v>55.7</v>
      </c>
      <c r="T93" s="23">
        <f t="shared" si="147"/>
        <v>55.874535369068141</v>
      </c>
      <c r="U93" s="23">
        <f t="shared" si="147"/>
        <v>59.54033706800562</v>
      </c>
      <c r="V93" s="23">
        <f t="shared" si="147"/>
        <v>59.54033706800562</v>
      </c>
      <c r="W93" s="23">
        <f t="shared" si="147"/>
        <v>59.54033706800562</v>
      </c>
      <c r="X93" s="23">
        <f t="shared" si="147"/>
        <v>62.087104564109552</v>
      </c>
      <c r="Y93" s="23">
        <f t="shared" si="147"/>
        <v>62.087104564109552</v>
      </c>
      <c r="Z93" s="404">
        <f t="shared" si="147"/>
        <v>62.087104564109552</v>
      </c>
      <c r="AA93" s="405">
        <f t="shared" si="147"/>
        <v>92.278761745078526</v>
      </c>
      <c r="AB93" s="23">
        <f t="shared" si="147"/>
        <v>92.278761745078526</v>
      </c>
      <c r="AC93" s="23">
        <f t="shared" si="147"/>
        <v>92.278761745078526</v>
      </c>
      <c r="AD93" s="23">
        <f t="shared" si="147"/>
        <v>92.278761745078526</v>
      </c>
      <c r="AE93" s="23">
        <f t="shared" si="147"/>
        <v>92.278761745078526</v>
      </c>
      <c r="AF93" s="23">
        <f t="shared" si="147"/>
        <v>92.278761745078526</v>
      </c>
      <c r="AG93" s="23">
        <f t="shared" si="147"/>
        <v>92.278761745078526</v>
      </c>
      <c r="AH93" s="23">
        <f t="shared" si="147"/>
        <v>92.278761745078526</v>
      </c>
      <c r="AI93" s="23">
        <f t="shared" si="147"/>
        <v>92.278761745078526</v>
      </c>
      <c r="AJ93" s="23">
        <f t="shared" si="147"/>
        <v>92.278761745078526</v>
      </c>
      <c r="AK93" s="23">
        <f t="shared" si="147"/>
        <v>92.278761745078526</v>
      </c>
      <c r="AL93" s="404">
        <f t="shared" si="147"/>
        <v>92.278761745078526</v>
      </c>
      <c r="AM93" s="405">
        <f t="shared" si="147"/>
        <v>112</v>
      </c>
      <c r="AN93" s="23">
        <f t="shared" si="147"/>
        <v>112</v>
      </c>
      <c r="AO93" s="23">
        <f t="shared" si="147"/>
        <v>112</v>
      </c>
      <c r="AP93" s="23">
        <f t="shared" si="147"/>
        <v>112</v>
      </c>
      <c r="AQ93" s="23">
        <f t="shared" si="147"/>
        <v>112</v>
      </c>
      <c r="AR93" s="23">
        <f t="shared" si="147"/>
        <v>112</v>
      </c>
      <c r="AS93" s="23">
        <f t="shared" si="147"/>
        <v>112</v>
      </c>
      <c r="AT93" s="23">
        <f t="shared" si="147"/>
        <v>112</v>
      </c>
      <c r="AU93" s="23">
        <f t="shared" si="147"/>
        <v>112</v>
      </c>
      <c r="AV93" s="23">
        <f t="shared" si="147"/>
        <v>112</v>
      </c>
      <c r="AW93" s="23">
        <f t="shared" si="147"/>
        <v>112</v>
      </c>
      <c r="AX93" s="404">
        <f t="shared" si="147"/>
        <v>112</v>
      </c>
      <c r="AY93" s="405">
        <f t="shared" si="147"/>
        <v>140.5</v>
      </c>
      <c r="AZ93" s="23">
        <f t="shared" si="147"/>
        <v>140.5</v>
      </c>
      <c r="BA93" s="23">
        <f t="shared" si="147"/>
        <v>140.5</v>
      </c>
      <c r="BB93" s="23">
        <f t="shared" si="147"/>
        <v>140.5</v>
      </c>
      <c r="BC93" s="23">
        <f t="shared" si="147"/>
        <v>140.5</v>
      </c>
      <c r="BD93" s="23">
        <f t="shared" si="147"/>
        <v>140.5</v>
      </c>
      <c r="BE93" s="23">
        <f t="shared" si="147"/>
        <v>140.5</v>
      </c>
      <c r="BF93" s="23">
        <f t="shared" si="147"/>
        <v>140.5</v>
      </c>
      <c r="BG93" s="23">
        <f t="shared" si="147"/>
        <v>140.5</v>
      </c>
      <c r="BH93" s="23">
        <f t="shared" si="147"/>
        <v>140.5</v>
      </c>
      <c r="BI93" s="23">
        <f t="shared" si="147"/>
        <v>140.5</v>
      </c>
      <c r="BJ93" s="24">
        <f t="shared" si="147"/>
        <v>140.5</v>
      </c>
      <c r="BL93" s="38" t="s">
        <v>11</v>
      </c>
      <c r="BM93" s="23">
        <f t="shared" si="209"/>
        <v>55.71</v>
      </c>
      <c r="BN93" s="23">
        <f t="shared" si="149"/>
        <v>55.7</v>
      </c>
      <c r="BO93" s="23">
        <f t="shared" si="150"/>
        <v>55.7</v>
      </c>
      <c r="BP93" s="23">
        <f t="shared" si="151"/>
        <v>55.7</v>
      </c>
      <c r="BQ93" s="23">
        <f t="shared" si="152"/>
        <v>55.7</v>
      </c>
      <c r="BR93" s="23">
        <f t="shared" si="153"/>
        <v>55.71</v>
      </c>
      <c r="BS93" s="23">
        <f t="shared" si="154"/>
        <v>66.319999999999993</v>
      </c>
      <c r="BT93" s="23">
        <f t="shared" si="155"/>
        <v>76.900000000000006</v>
      </c>
      <c r="BU93" s="23">
        <f t="shared" si="156"/>
        <v>56.08</v>
      </c>
      <c r="BV93" s="23">
        <f t="shared" si="157"/>
        <v>55.7</v>
      </c>
      <c r="BW93" s="23">
        <f t="shared" si="158"/>
        <v>55.7</v>
      </c>
      <c r="BX93" s="404">
        <f t="shared" si="159"/>
        <v>88.695015628195648</v>
      </c>
      <c r="BY93" s="405">
        <f t="shared" si="160"/>
        <v>166</v>
      </c>
      <c r="BZ93" s="23">
        <f t="shared" si="161"/>
        <v>166</v>
      </c>
      <c r="CA93" s="23">
        <f t="shared" si="162"/>
        <v>166</v>
      </c>
      <c r="CB93" s="23">
        <f t="shared" si="163"/>
        <v>166</v>
      </c>
      <c r="CC93" s="23">
        <f t="shared" si="164"/>
        <v>166</v>
      </c>
      <c r="CD93" s="23">
        <f t="shared" si="165"/>
        <v>166</v>
      </c>
      <c r="CE93" s="23">
        <f t="shared" si="166"/>
        <v>166</v>
      </c>
      <c r="CF93" s="23">
        <f t="shared" si="167"/>
        <v>166</v>
      </c>
      <c r="CG93" s="23">
        <f t="shared" si="168"/>
        <v>166</v>
      </c>
      <c r="CH93" s="23">
        <f t="shared" si="169"/>
        <v>166</v>
      </c>
      <c r="CI93" s="23">
        <f t="shared" si="170"/>
        <v>166</v>
      </c>
      <c r="CJ93" s="404">
        <f t="shared" si="171"/>
        <v>166</v>
      </c>
      <c r="CK93" s="405">
        <f t="shared" si="172"/>
        <v>153</v>
      </c>
      <c r="CL93" s="23">
        <f t="shared" si="173"/>
        <v>153</v>
      </c>
      <c r="CM93" s="23">
        <f t="shared" si="174"/>
        <v>153</v>
      </c>
      <c r="CN93" s="23">
        <f t="shared" si="175"/>
        <v>153</v>
      </c>
      <c r="CO93" s="23">
        <f t="shared" si="176"/>
        <v>153</v>
      </c>
      <c r="CP93" s="23">
        <f t="shared" si="177"/>
        <v>153</v>
      </c>
      <c r="CQ93" s="23">
        <f t="shared" si="178"/>
        <v>153</v>
      </c>
      <c r="CR93" s="23">
        <f t="shared" si="179"/>
        <v>153</v>
      </c>
      <c r="CS93" s="23">
        <f t="shared" si="180"/>
        <v>153</v>
      </c>
      <c r="CT93" s="23">
        <f t="shared" si="181"/>
        <v>153</v>
      </c>
      <c r="CU93" s="23">
        <f t="shared" si="182"/>
        <v>153</v>
      </c>
      <c r="CV93" s="404">
        <f t="shared" si="183"/>
        <v>153</v>
      </c>
      <c r="CW93" s="405">
        <f t="shared" si="184"/>
        <v>146</v>
      </c>
      <c r="CX93" s="23">
        <f t="shared" si="185"/>
        <v>146</v>
      </c>
      <c r="CY93" s="23">
        <f t="shared" si="186"/>
        <v>146</v>
      </c>
      <c r="CZ93" s="23">
        <f t="shared" si="187"/>
        <v>146</v>
      </c>
      <c r="DA93" s="23">
        <f t="shared" si="188"/>
        <v>146</v>
      </c>
      <c r="DB93" s="23">
        <f t="shared" si="189"/>
        <v>146</v>
      </c>
      <c r="DC93" s="23">
        <f t="shared" si="190"/>
        <v>146</v>
      </c>
      <c r="DD93" s="23">
        <f t="shared" si="191"/>
        <v>146</v>
      </c>
      <c r="DE93" s="23">
        <f t="shared" si="192"/>
        <v>146</v>
      </c>
      <c r="DF93" s="23">
        <f t="shared" si="193"/>
        <v>146</v>
      </c>
      <c r="DG93" s="23">
        <f t="shared" si="194"/>
        <v>146</v>
      </c>
      <c r="DH93" s="404">
        <f t="shared" si="195"/>
        <v>146</v>
      </c>
      <c r="DI93" s="405">
        <f t="shared" si="196"/>
        <v>146</v>
      </c>
      <c r="DJ93" s="23">
        <f t="shared" si="197"/>
        <v>146</v>
      </c>
      <c r="DK93" s="23">
        <f t="shared" si="198"/>
        <v>146</v>
      </c>
      <c r="DL93" s="23">
        <f t="shared" si="199"/>
        <v>146</v>
      </c>
      <c r="DM93" s="23">
        <f t="shared" si="200"/>
        <v>146</v>
      </c>
      <c r="DN93" s="23">
        <f t="shared" si="201"/>
        <v>146</v>
      </c>
      <c r="DO93" s="23">
        <f t="shared" si="202"/>
        <v>146</v>
      </c>
      <c r="DP93" s="23">
        <f t="shared" si="203"/>
        <v>146</v>
      </c>
      <c r="DQ93" s="23">
        <f t="shared" si="204"/>
        <v>146</v>
      </c>
      <c r="DR93" s="23">
        <f t="shared" si="205"/>
        <v>146</v>
      </c>
      <c r="DS93" s="23">
        <f t="shared" si="206"/>
        <v>146</v>
      </c>
      <c r="DT93" s="24">
        <f t="shared" si="207"/>
        <v>146</v>
      </c>
    </row>
  </sheetData>
  <sheetProtection algorithmName="SHA-512" hashValue="cYtqoa6Yyjj3w1CErN28cCbESoiosNov2cXwyZUj0dg0b15WMsIt07gYWTPoEU/ElpE/Zc2m1tPGOzZw6UpuPw==" saltValue="je0U6cZYcJNQWCWHPpIF5w==" spinCount="100000" sheet="1" objects="1" scenarios="1"/>
  <mergeCells count="2">
    <mergeCell ref="Y3:AB3"/>
    <mergeCell ref="B1:AB1"/>
  </mergeCells>
  <conditionalFormatting sqref="C15:Y17">
    <cfRule type="cellIs" dxfId="70" priority="13" operator="lessThan">
      <formula>0</formula>
    </cfRule>
  </conditionalFormatting>
  <conditionalFormatting sqref="C12:Y12">
    <cfRule type="cellIs" dxfId="69" priority="12" operator="lessThan">
      <formula>0</formula>
    </cfRule>
  </conditionalFormatting>
  <conditionalFormatting sqref="AB15:AK17 AN15:AW17">
    <cfRule type="cellIs" dxfId="68" priority="10" operator="lessThan">
      <formula>0</formula>
    </cfRule>
  </conditionalFormatting>
  <conditionalFormatting sqref="AB12:AK12 AN12:AW12">
    <cfRule type="cellIs" dxfId="67" priority="9" operator="lessThan">
      <formula>0</formula>
    </cfRule>
  </conditionalFormatting>
  <conditionalFormatting sqref="AZ15:BJ17">
    <cfRule type="cellIs" dxfId="66" priority="8" operator="lessThan">
      <formula>0</formula>
    </cfRule>
  </conditionalFormatting>
  <conditionalFormatting sqref="AZ12:BJ12">
    <cfRule type="cellIs" dxfId="65" priority="7" operator="lessThan">
      <formula>0</formula>
    </cfRule>
  </conditionalFormatting>
  <conditionalFormatting sqref="Z15:AA17">
    <cfRule type="cellIs" dxfId="64" priority="6" operator="lessThan">
      <formula>0</formula>
    </cfRule>
  </conditionalFormatting>
  <conditionalFormatting sqref="Z12:AA12">
    <cfRule type="cellIs" dxfId="63" priority="5" operator="lessThan">
      <formula>0</formula>
    </cfRule>
  </conditionalFormatting>
  <conditionalFormatting sqref="AL15:AM17">
    <cfRule type="cellIs" dxfId="62" priority="4" operator="lessThan">
      <formula>0</formula>
    </cfRule>
  </conditionalFormatting>
  <conditionalFormatting sqref="AL12:AM12">
    <cfRule type="cellIs" dxfId="61" priority="3" operator="lessThan">
      <formula>0</formula>
    </cfRule>
  </conditionalFormatting>
  <conditionalFormatting sqref="AX15:AY17">
    <cfRule type="cellIs" dxfId="60" priority="2" operator="lessThan">
      <formula>0</formula>
    </cfRule>
  </conditionalFormatting>
  <conditionalFormatting sqref="AX12:AY12">
    <cfRule type="cellIs" dxfId="59" priority="1" operator="lessThan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>
    <tabColor theme="1"/>
  </sheetPr>
  <dimension ref="A1:GV788"/>
  <sheetViews>
    <sheetView showGridLines="0" zoomScale="90" zoomScaleNormal="90" workbookViewId="0">
      <pane xSplit="3" ySplit="4" topLeftCell="L710" activePane="bottomRight" state="frozen"/>
      <selection activeCell="K23" sqref="K23"/>
      <selection pane="topRight" activeCell="K23" sqref="K23"/>
      <selection pane="bottomLeft" activeCell="K23" sqref="K23"/>
      <selection pane="bottomRight" activeCell="V727" sqref="V727"/>
    </sheetView>
  </sheetViews>
  <sheetFormatPr defaultRowHeight="15" x14ac:dyDescent="0.25"/>
  <cols>
    <col min="1" max="2" width="13.28515625" customWidth="1"/>
    <col min="3" max="3" width="13.42578125" customWidth="1"/>
    <col min="4" max="4" width="13.28515625" customWidth="1"/>
    <col min="5" max="8" width="13.42578125" customWidth="1"/>
    <col min="9" max="9" width="22.42578125" customWidth="1"/>
    <col min="10" max="10" width="19.28515625" bestFit="1" customWidth="1"/>
    <col min="11" max="11" width="34.42578125" customWidth="1"/>
    <col min="12" max="12" width="20.28515625" bestFit="1" customWidth="1"/>
    <col min="13" max="13" width="8.7109375" customWidth="1"/>
    <col min="14" max="14" width="10.140625" customWidth="1"/>
    <col min="15" max="15" width="8.7109375" customWidth="1"/>
    <col min="16" max="16" width="10.140625" customWidth="1"/>
    <col min="17" max="17" width="10.28515625" bestFit="1" customWidth="1"/>
    <col min="18" max="22" width="12" customWidth="1"/>
    <col min="23" max="203" width="13.42578125" customWidth="1"/>
  </cols>
  <sheetData>
    <row r="1" spans="1:204" x14ac:dyDescent="0.25">
      <c r="A1" t="s">
        <v>486</v>
      </c>
      <c r="F1" s="87"/>
      <c r="H1" s="87"/>
      <c r="I1" s="87"/>
      <c r="J1" s="87"/>
      <c r="K1" s="87"/>
      <c r="L1" s="552"/>
      <c r="W1" s="525"/>
      <c r="CE1" s="525"/>
      <c r="CF1" s="238"/>
      <c r="EN1" s="238"/>
      <c r="GU1" s="525"/>
      <c r="GV1" s="238"/>
    </row>
    <row r="2" spans="1:204" x14ac:dyDescent="0.25">
      <c r="A2" t="s">
        <v>487</v>
      </c>
      <c r="F2" s="87"/>
      <c r="H2" s="87"/>
      <c r="I2" s="87"/>
      <c r="J2" s="87"/>
      <c r="K2" s="87"/>
      <c r="L2" s="552"/>
      <c r="W2" s="616"/>
      <c r="X2" s="798" t="str">
        <f>"Volume " &amp; YEAR(X4)</f>
        <v>Volume 2022</v>
      </c>
      <c r="Y2" s="798"/>
      <c r="Z2" s="798"/>
      <c r="AA2" s="798"/>
      <c r="AB2" s="798"/>
      <c r="AC2" s="798"/>
      <c r="AD2" s="798"/>
      <c r="AE2" s="798"/>
      <c r="AF2" s="798"/>
      <c r="AG2" s="798"/>
      <c r="AH2" s="798"/>
      <c r="AI2" s="799"/>
      <c r="AJ2" s="800" t="str">
        <f>"Volume " &amp; YEAR(AJ4)</f>
        <v>Volume 2023</v>
      </c>
      <c r="AK2" s="800"/>
      <c r="AL2" s="800"/>
      <c r="AM2" s="800"/>
      <c r="AN2" s="800"/>
      <c r="AO2" s="800"/>
      <c r="AP2" s="800"/>
      <c r="AQ2" s="800"/>
      <c r="AR2" s="800"/>
      <c r="AS2" s="800"/>
      <c r="AT2" s="800"/>
      <c r="AU2" s="800"/>
      <c r="AV2" s="800" t="str">
        <f>"Volume " &amp; YEAR(AV4)</f>
        <v>Volume 2024</v>
      </c>
      <c r="AW2" s="800"/>
      <c r="AX2" s="800"/>
      <c r="AY2" s="800"/>
      <c r="AZ2" s="800"/>
      <c r="BA2" s="800"/>
      <c r="BB2" s="800"/>
      <c r="BC2" s="800"/>
      <c r="BD2" s="800"/>
      <c r="BE2" s="800"/>
      <c r="BF2" s="800"/>
      <c r="BG2" s="800"/>
      <c r="BH2" s="800" t="str">
        <f>"Volume " &amp; YEAR(BH4)</f>
        <v>Volume 2025</v>
      </c>
      <c r="BI2" s="800"/>
      <c r="BJ2" s="800"/>
      <c r="BK2" s="800"/>
      <c r="BL2" s="800"/>
      <c r="BM2" s="800"/>
      <c r="BN2" s="800"/>
      <c r="BO2" s="800"/>
      <c r="BP2" s="800"/>
      <c r="BQ2" s="800"/>
      <c r="BR2" s="800"/>
      <c r="BS2" s="800"/>
      <c r="BT2" s="801" t="str">
        <f>"Volume " &amp; YEAR(BT4)</f>
        <v>Volume 2026</v>
      </c>
      <c r="BU2" s="798"/>
      <c r="BV2" s="798"/>
      <c r="BW2" s="798"/>
      <c r="BX2" s="798"/>
      <c r="BY2" s="798"/>
      <c r="BZ2" s="798"/>
      <c r="CA2" s="798"/>
      <c r="CB2" s="798"/>
      <c r="CC2" s="798"/>
      <c r="CD2" s="798"/>
      <c r="CE2" s="798"/>
      <c r="CF2" s="798" t="str">
        <f>"Preço " &amp; YEAR(CF4)</f>
        <v>Preço 2022</v>
      </c>
      <c r="CG2" s="798"/>
      <c r="CH2" s="798"/>
      <c r="CI2" s="798"/>
      <c r="CJ2" s="798"/>
      <c r="CK2" s="798"/>
      <c r="CL2" s="798"/>
      <c r="CM2" s="798"/>
      <c r="CN2" s="798"/>
      <c r="CO2" s="798"/>
      <c r="CP2" s="798"/>
      <c r="CQ2" s="799"/>
      <c r="CR2" s="800" t="str">
        <f>"Preço " &amp; YEAR(CR4)</f>
        <v>Preço 2023</v>
      </c>
      <c r="CS2" s="800"/>
      <c r="CT2" s="800"/>
      <c r="CU2" s="800"/>
      <c r="CV2" s="800"/>
      <c r="CW2" s="800"/>
      <c r="CX2" s="800"/>
      <c r="CY2" s="800"/>
      <c r="CZ2" s="800"/>
      <c r="DA2" s="800"/>
      <c r="DB2" s="800"/>
      <c r="DC2" s="800"/>
      <c r="DD2" s="800" t="str">
        <f>"Preço " &amp; YEAR(DD4)</f>
        <v>Preço 2024</v>
      </c>
      <c r="DE2" s="800"/>
      <c r="DF2" s="800"/>
      <c r="DG2" s="800"/>
      <c r="DH2" s="800"/>
      <c r="DI2" s="800"/>
      <c r="DJ2" s="800"/>
      <c r="DK2" s="800"/>
      <c r="DL2" s="800"/>
      <c r="DM2" s="800"/>
      <c r="DN2" s="800"/>
      <c r="DO2" s="800"/>
      <c r="DP2" s="800" t="str">
        <f>"Preço " &amp; YEAR(DP4)</f>
        <v>Preço 2025</v>
      </c>
      <c r="DQ2" s="800"/>
      <c r="DR2" s="800"/>
      <c r="DS2" s="800"/>
      <c r="DT2" s="800"/>
      <c r="DU2" s="800"/>
      <c r="DV2" s="800"/>
      <c r="DW2" s="800"/>
      <c r="DX2" s="800"/>
      <c r="DY2" s="800"/>
      <c r="DZ2" s="800"/>
      <c r="EA2" s="800"/>
      <c r="EB2" s="801" t="str">
        <f>"Preço " &amp; YEAR(EB4)</f>
        <v>Preço 2026</v>
      </c>
      <c r="EC2" s="798"/>
      <c r="ED2" s="798"/>
      <c r="EE2" s="798"/>
      <c r="EF2" s="798"/>
      <c r="EG2" s="798"/>
      <c r="EH2" s="798"/>
      <c r="EI2" s="798"/>
      <c r="EJ2" s="798"/>
      <c r="EK2" s="798"/>
      <c r="EL2" s="798"/>
      <c r="EM2" s="798"/>
      <c r="EN2" s="798" t="str">
        <f>"Preço com Spread " &amp; YEAR(EN4)</f>
        <v>Preço com Spread 2022</v>
      </c>
      <c r="EO2" s="798"/>
      <c r="EP2" s="798"/>
      <c r="EQ2" s="798"/>
      <c r="ER2" s="798"/>
      <c r="ES2" s="798"/>
      <c r="ET2" s="798"/>
      <c r="EU2" s="798"/>
      <c r="EV2" s="798"/>
      <c r="EW2" s="798"/>
      <c r="EX2" s="798"/>
      <c r="EY2" s="799"/>
      <c r="EZ2" s="800" t="str">
        <f>"Preço com Spread " &amp; YEAR(EZ4)</f>
        <v>Preço com Spread 2023</v>
      </c>
      <c r="FA2" s="800"/>
      <c r="FB2" s="800"/>
      <c r="FC2" s="800"/>
      <c r="FD2" s="800"/>
      <c r="FE2" s="800"/>
      <c r="FF2" s="800"/>
      <c r="FG2" s="800"/>
      <c r="FH2" s="800"/>
      <c r="FI2" s="800"/>
      <c r="FJ2" s="800"/>
      <c r="FK2" s="800"/>
      <c r="FL2" s="800" t="str">
        <f>"Preço com Spread " &amp; YEAR(FL4)</f>
        <v>Preço com Spread 2024</v>
      </c>
      <c r="FM2" s="800"/>
      <c r="FN2" s="800"/>
      <c r="FO2" s="800"/>
      <c r="FP2" s="800"/>
      <c r="FQ2" s="800"/>
      <c r="FR2" s="800"/>
      <c r="FS2" s="800"/>
      <c r="FT2" s="800"/>
      <c r="FU2" s="800"/>
      <c r="FV2" s="800"/>
      <c r="FW2" s="800"/>
      <c r="FX2" s="800" t="str">
        <f>"Preço com Spread " &amp; YEAR(FX4)</f>
        <v>Preço com Spread 2025</v>
      </c>
      <c r="FY2" s="800"/>
      <c r="FZ2" s="800"/>
      <c r="GA2" s="800"/>
      <c r="GB2" s="800"/>
      <c r="GC2" s="800"/>
      <c r="GD2" s="800"/>
      <c r="GE2" s="800"/>
      <c r="GF2" s="800"/>
      <c r="GG2" s="800"/>
      <c r="GH2" s="800"/>
      <c r="GI2" s="800"/>
      <c r="GJ2" s="801" t="str">
        <f>"Preço com Spread " &amp; YEAR(GJ4)</f>
        <v>Preço com Spread 2026</v>
      </c>
      <c r="GK2" s="798"/>
      <c r="GL2" s="798"/>
      <c r="GM2" s="798"/>
      <c r="GN2" s="798"/>
      <c r="GO2" s="798"/>
      <c r="GP2" s="798"/>
      <c r="GQ2" s="798"/>
      <c r="GR2" s="798"/>
      <c r="GS2" s="798"/>
      <c r="GT2" s="798"/>
      <c r="GU2" s="798"/>
      <c r="GV2" s="238"/>
    </row>
    <row r="3" spans="1:204" x14ac:dyDescent="0.25">
      <c r="F3" s="87"/>
      <c r="H3" s="87"/>
      <c r="I3" s="87"/>
      <c r="J3" s="87"/>
      <c r="K3" s="87"/>
      <c r="L3" s="552"/>
      <c r="W3" s="561"/>
      <c r="X3" s="618">
        <f>RESULTADO!C2</f>
        <v>744</v>
      </c>
      <c r="Y3" s="2">
        <f>RESULTADO!D2</f>
        <v>672</v>
      </c>
      <c r="Z3" s="2">
        <f>RESULTADO!E2</f>
        <v>744</v>
      </c>
      <c r="AA3" s="2">
        <f>RESULTADO!F2</f>
        <v>720</v>
      </c>
      <c r="AB3" s="2">
        <f>RESULTADO!G2</f>
        <v>744</v>
      </c>
      <c r="AC3" s="2">
        <f>RESULTADO!H2</f>
        <v>720</v>
      </c>
      <c r="AD3" s="2">
        <f>RESULTADO!I2</f>
        <v>744</v>
      </c>
      <c r="AE3" s="2">
        <f>RESULTADO!J2</f>
        <v>744</v>
      </c>
      <c r="AF3" s="2">
        <f>RESULTADO!K2</f>
        <v>720</v>
      </c>
      <c r="AG3" s="2">
        <f>RESULTADO!L2</f>
        <v>744</v>
      </c>
      <c r="AH3" s="2">
        <f>RESULTADO!M2</f>
        <v>720</v>
      </c>
      <c r="AI3" s="2">
        <f>RESULTADO!N2</f>
        <v>744</v>
      </c>
      <c r="AJ3" s="2">
        <f>RESULTADO!O2</f>
        <v>744</v>
      </c>
      <c r="AK3" s="2">
        <f>RESULTADO!P2</f>
        <v>672</v>
      </c>
      <c r="AL3" s="2">
        <f>RESULTADO!Q2</f>
        <v>744</v>
      </c>
      <c r="AM3" s="2">
        <f>RESULTADO!R2</f>
        <v>720</v>
      </c>
      <c r="AN3" s="2">
        <f>RESULTADO!S2</f>
        <v>744</v>
      </c>
      <c r="AO3" s="2">
        <f>RESULTADO!T2</f>
        <v>720</v>
      </c>
      <c r="AP3" s="2">
        <f>RESULTADO!U2</f>
        <v>744</v>
      </c>
      <c r="AQ3" s="2">
        <f>RESULTADO!V2</f>
        <v>744</v>
      </c>
      <c r="AR3" s="2">
        <f>RESULTADO!W2</f>
        <v>720</v>
      </c>
      <c r="AS3" s="2">
        <f>RESULTADO!X2</f>
        <v>744</v>
      </c>
      <c r="AT3" s="2">
        <f>RESULTADO!Y2</f>
        <v>720</v>
      </c>
      <c r="AU3" s="2">
        <f>RESULTADO!Z2</f>
        <v>744</v>
      </c>
      <c r="AV3" s="2">
        <f>RESULTADO!AA2</f>
        <v>744</v>
      </c>
      <c r="AW3" s="2">
        <f>RESULTADO!AB2</f>
        <v>696</v>
      </c>
      <c r="AX3" s="2">
        <f>RESULTADO!AC2</f>
        <v>744</v>
      </c>
      <c r="AY3" s="2">
        <f>RESULTADO!AD2</f>
        <v>720</v>
      </c>
      <c r="AZ3" s="2">
        <f>RESULTADO!AE2</f>
        <v>744</v>
      </c>
      <c r="BA3" s="2">
        <f>RESULTADO!AF2</f>
        <v>720</v>
      </c>
      <c r="BB3" s="2">
        <f>RESULTADO!AG2</f>
        <v>744</v>
      </c>
      <c r="BC3" s="2">
        <f>RESULTADO!AH2</f>
        <v>744</v>
      </c>
      <c r="BD3" s="2">
        <f>RESULTADO!AI2</f>
        <v>720</v>
      </c>
      <c r="BE3" s="2">
        <f>RESULTADO!AJ2</f>
        <v>744</v>
      </c>
      <c r="BF3" s="2">
        <f>RESULTADO!AK2</f>
        <v>720</v>
      </c>
      <c r="BG3" s="2">
        <f>RESULTADO!AL2</f>
        <v>744</v>
      </c>
      <c r="BH3" s="2">
        <f>RESULTADO!AM2</f>
        <v>744</v>
      </c>
      <c r="BI3" s="2">
        <f>RESULTADO!AN2</f>
        <v>672</v>
      </c>
      <c r="BJ3" s="2">
        <f>RESULTADO!AO2</f>
        <v>744</v>
      </c>
      <c r="BK3" s="2">
        <f>RESULTADO!AP2</f>
        <v>720</v>
      </c>
      <c r="BL3" s="2">
        <f>RESULTADO!AQ2</f>
        <v>744</v>
      </c>
      <c r="BM3" s="2">
        <f>RESULTADO!AR2</f>
        <v>720</v>
      </c>
      <c r="BN3" s="2">
        <f>RESULTADO!AS2</f>
        <v>744</v>
      </c>
      <c r="BO3" s="2">
        <f>RESULTADO!AT2</f>
        <v>744</v>
      </c>
      <c r="BP3" s="2">
        <f>RESULTADO!AU2</f>
        <v>720</v>
      </c>
      <c r="BQ3" s="2">
        <f>RESULTADO!AV2</f>
        <v>744</v>
      </c>
      <c r="BR3" s="2">
        <f>RESULTADO!AW2</f>
        <v>720</v>
      </c>
      <c r="BS3" s="2">
        <f>RESULTADO!AX2</f>
        <v>744</v>
      </c>
      <c r="BT3" s="2">
        <f>RESULTADO!AY2</f>
        <v>744</v>
      </c>
      <c r="BU3" s="2">
        <f>RESULTADO!AZ2</f>
        <v>672</v>
      </c>
      <c r="BV3" s="2">
        <f>RESULTADO!BA2</f>
        <v>744</v>
      </c>
      <c r="BW3" s="2">
        <f>RESULTADO!BB2</f>
        <v>720</v>
      </c>
      <c r="BX3" s="2">
        <f>RESULTADO!BC2</f>
        <v>744</v>
      </c>
      <c r="BY3" s="2">
        <f>RESULTADO!BD2</f>
        <v>720</v>
      </c>
      <c r="BZ3" s="2">
        <f>RESULTADO!BE2</f>
        <v>744</v>
      </c>
      <c r="CA3" s="2">
        <f>RESULTADO!BF2</f>
        <v>744</v>
      </c>
      <c r="CB3" s="2">
        <f>RESULTADO!BG2</f>
        <v>720</v>
      </c>
      <c r="CC3" s="2">
        <f>RESULTADO!BH2</f>
        <v>744</v>
      </c>
      <c r="CD3" s="2">
        <f>RESULTADO!BI2</f>
        <v>720</v>
      </c>
      <c r="CE3" s="521">
        <f>RESULTADO!BJ2</f>
        <v>744</v>
      </c>
      <c r="CF3" s="522">
        <f>X3</f>
        <v>744</v>
      </c>
      <c r="CG3" s="2">
        <f t="shared" ref="CG3:EM3" si="0">Y3</f>
        <v>672</v>
      </c>
      <c r="CH3" s="2">
        <f t="shared" si="0"/>
        <v>744</v>
      </c>
      <c r="CI3" s="2">
        <f t="shared" si="0"/>
        <v>720</v>
      </c>
      <c r="CJ3" s="2">
        <f t="shared" si="0"/>
        <v>744</v>
      </c>
      <c r="CK3" s="2">
        <f t="shared" si="0"/>
        <v>720</v>
      </c>
      <c r="CL3" s="2">
        <f t="shared" si="0"/>
        <v>744</v>
      </c>
      <c r="CM3" s="2">
        <f t="shared" si="0"/>
        <v>744</v>
      </c>
      <c r="CN3" s="2">
        <f t="shared" si="0"/>
        <v>720</v>
      </c>
      <c r="CO3" s="2">
        <f t="shared" si="0"/>
        <v>744</v>
      </c>
      <c r="CP3" s="2">
        <f t="shared" si="0"/>
        <v>720</v>
      </c>
      <c r="CQ3" s="2">
        <f t="shared" si="0"/>
        <v>744</v>
      </c>
      <c r="CR3" s="2">
        <f t="shared" si="0"/>
        <v>744</v>
      </c>
      <c r="CS3" s="2">
        <f t="shared" si="0"/>
        <v>672</v>
      </c>
      <c r="CT3" s="2">
        <f t="shared" si="0"/>
        <v>744</v>
      </c>
      <c r="CU3" s="2">
        <f t="shared" si="0"/>
        <v>720</v>
      </c>
      <c r="CV3" s="2">
        <f t="shared" si="0"/>
        <v>744</v>
      </c>
      <c r="CW3" s="2">
        <f t="shared" si="0"/>
        <v>720</v>
      </c>
      <c r="CX3" s="2">
        <f t="shared" si="0"/>
        <v>744</v>
      </c>
      <c r="CY3" s="2">
        <f t="shared" si="0"/>
        <v>744</v>
      </c>
      <c r="CZ3" s="2">
        <f t="shared" si="0"/>
        <v>720</v>
      </c>
      <c r="DA3" s="2">
        <f t="shared" si="0"/>
        <v>744</v>
      </c>
      <c r="DB3" s="2">
        <f t="shared" si="0"/>
        <v>720</v>
      </c>
      <c r="DC3" s="2">
        <f t="shared" si="0"/>
        <v>744</v>
      </c>
      <c r="DD3" s="2">
        <f t="shared" si="0"/>
        <v>744</v>
      </c>
      <c r="DE3" s="2">
        <f t="shared" si="0"/>
        <v>696</v>
      </c>
      <c r="DF3" s="2">
        <f t="shared" si="0"/>
        <v>744</v>
      </c>
      <c r="DG3" s="2">
        <f t="shared" si="0"/>
        <v>720</v>
      </c>
      <c r="DH3" s="2">
        <f t="shared" si="0"/>
        <v>744</v>
      </c>
      <c r="DI3" s="2">
        <f t="shared" si="0"/>
        <v>720</v>
      </c>
      <c r="DJ3" s="2">
        <f t="shared" si="0"/>
        <v>744</v>
      </c>
      <c r="DK3" s="2">
        <f t="shared" si="0"/>
        <v>744</v>
      </c>
      <c r="DL3" s="2">
        <f t="shared" si="0"/>
        <v>720</v>
      </c>
      <c r="DM3" s="2">
        <f t="shared" si="0"/>
        <v>744</v>
      </c>
      <c r="DN3" s="2">
        <f t="shared" si="0"/>
        <v>720</v>
      </c>
      <c r="DO3" s="2">
        <f t="shared" si="0"/>
        <v>744</v>
      </c>
      <c r="DP3" s="2">
        <f t="shared" si="0"/>
        <v>744</v>
      </c>
      <c r="DQ3" s="2">
        <f t="shared" si="0"/>
        <v>672</v>
      </c>
      <c r="DR3" s="2">
        <f t="shared" si="0"/>
        <v>744</v>
      </c>
      <c r="DS3" s="2">
        <f t="shared" si="0"/>
        <v>720</v>
      </c>
      <c r="DT3" s="2">
        <f t="shared" si="0"/>
        <v>744</v>
      </c>
      <c r="DU3" s="2">
        <f t="shared" si="0"/>
        <v>720</v>
      </c>
      <c r="DV3" s="2">
        <f t="shared" si="0"/>
        <v>744</v>
      </c>
      <c r="DW3" s="2">
        <f t="shared" si="0"/>
        <v>744</v>
      </c>
      <c r="DX3" s="2">
        <f t="shared" si="0"/>
        <v>720</v>
      </c>
      <c r="DY3" s="2">
        <f t="shared" si="0"/>
        <v>744</v>
      </c>
      <c r="DZ3" s="2">
        <f t="shared" si="0"/>
        <v>720</v>
      </c>
      <c r="EA3" s="2">
        <f t="shared" si="0"/>
        <v>744</v>
      </c>
      <c r="EB3" s="2">
        <f t="shared" si="0"/>
        <v>744</v>
      </c>
      <c r="EC3" s="2">
        <f t="shared" si="0"/>
        <v>672</v>
      </c>
      <c r="ED3" s="2">
        <f t="shared" si="0"/>
        <v>744</v>
      </c>
      <c r="EE3" s="2">
        <f t="shared" si="0"/>
        <v>720</v>
      </c>
      <c r="EF3" s="2">
        <f t="shared" si="0"/>
        <v>744</v>
      </c>
      <c r="EG3" s="2">
        <f t="shared" si="0"/>
        <v>720</v>
      </c>
      <c r="EH3" s="2">
        <f t="shared" si="0"/>
        <v>744</v>
      </c>
      <c r="EI3" s="2">
        <f t="shared" si="0"/>
        <v>744</v>
      </c>
      <c r="EJ3" s="2">
        <f t="shared" si="0"/>
        <v>720</v>
      </c>
      <c r="EK3" s="2">
        <f t="shared" si="0"/>
        <v>744</v>
      </c>
      <c r="EL3" s="2">
        <f t="shared" si="0"/>
        <v>720</v>
      </c>
      <c r="EM3" s="2">
        <f t="shared" si="0"/>
        <v>744</v>
      </c>
      <c r="EN3" s="522">
        <f>X3</f>
        <v>744</v>
      </c>
      <c r="EO3" s="2">
        <f t="shared" ref="EO3:EO4" si="1">Y3</f>
        <v>672</v>
      </c>
      <c r="EP3" s="2">
        <f t="shared" ref="EP3:EP4" si="2">Z3</f>
        <v>744</v>
      </c>
      <c r="EQ3" s="2">
        <f t="shared" ref="EQ3:EQ4" si="3">AA3</f>
        <v>720</v>
      </c>
      <c r="ER3" s="2">
        <f t="shared" ref="ER3:ER4" si="4">AB3</f>
        <v>744</v>
      </c>
      <c r="ES3" s="2">
        <f t="shared" ref="ES3:ES4" si="5">AC3</f>
        <v>720</v>
      </c>
      <c r="ET3" s="2">
        <f t="shared" ref="ET3:ET4" si="6">AD3</f>
        <v>744</v>
      </c>
      <c r="EU3" s="2">
        <f t="shared" ref="EU3:EU4" si="7">AE3</f>
        <v>744</v>
      </c>
      <c r="EV3" s="2">
        <f t="shared" ref="EV3:EV4" si="8">AF3</f>
        <v>720</v>
      </c>
      <c r="EW3" s="2">
        <f t="shared" ref="EW3:EW4" si="9">AG3</f>
        <v>744</v>
      </c>
      <c r="EX3" s="2">
        <f t="shared" ref="EX3:EX4" si="10">AH3</f>
        <v>720</v>
      </c>
      <c r="EY3" s="2">
        <f t="shared" ref="EY3:EY4" si="11">AI3</f>
        <v>744</v>
      </c>
      <c r="EZ3" s="2">
        <f t="shared" ref="EZ3:EZ4" si="12">AJ3</f>
        <v>744</v>
      </c>
      <c r="FA3" s="2">
        <f t="shared" ref="FA3:FA4" si="13">AK3</f>
        <v>672</v>
      </c>
      <c r="FB3" s="2">
        <f t="shared" ref="FB3:FB4" si="14">AL3</f>
        <v>744</v>
      </c>
      <c r="FC3" s="2">
        <f t="shared" ref="FC3:FC4" si="15">AM3</f>
        <v>720</v>
      </c>
      <c r="FD3" s="2">
        <f t="shared" ref="FD3:FD4" si="16">AN3</f>
        <v>744</v>
      </c>
      <c r="FE3" s="2">
        <f t="shared" ref="FE3:FE4" si="17">AO3</f>
        <v>720</v>
      </c>
      <c r="FF3" s="2">
        <f t="shared" ref="FF3:FF4" si="18">AP3</f>
        <v>744</v>
      </c>
      <c r="FG3" s="2">
        <f t="shared" ref="FG3:FG4" si="19">AQ3</f>
        <v>744</v>
      </c>
      <c r="FH3" s="2">
        <f t="shared" ref="FH3:FH4" si="20">AR3</f>
        <v>720</v>
      </c>
      <c r="FI3" s="2">
        <f t="shared" ref="FI3:FI4" si="21">AS3</f>
        <v>744</v>
      </c>
      <c r="FJ3" s="2">
        <f t="shared" ref="FJ3:FJ4" si="22">AT3</f>
        <v>720</v>
      </c>
      <c r="FK3" s="2">
        <f t="shared" ref="FK3:FK4" si="23">AU3</f>
        <v>744</v>
      </c>
      <c r="FL3" s="2">
        <f t="shared" ref="FL3:FL4" si="24">AV3</f>
        <v>744</v>
      </c>
      <c r="FM3" s="2">
        <f t="shared" ref="FM3:FM4" si="25">AW3</f>
        <v>696</v>
      </c>
      <c r="FN3" s="2">
        <f t="shared" ref="FN3:FN4" si="26">AX3</f>
        <v>744</v>
      </c>
      <c r="FO3" s="2">
        <f t="shared" ref="FO3:FO4" si="27">AY3</f>
        <v>720</v>
      </c>
      <c r="FP3" s="2">
        <f t="shared" ref="FP3:FP4" si="28">AZ3</f>
        <v>744</v>
      </c>
      <c r="FQ3" s="2">
        <f t="shared" ref="FQ3:FQ4" si="29">BA3</f>
        <v>720</v>
      </c>
      <c r="FR3" s="2">
        <f t="shared" ref="FR3:FR4" si="30">BB3</f>
        <v>744</v>
      </c>
      <c r="FS3" s="2">
        <f t="shared" ref="FS3:FS4" si="31">BC3</f>
        <v>744</v>
      </c>
      <c r="FT3" s="2">
        <f t="shared" ref="FT3:FT4" si="32">BD3</f>
        <v>720</v>
      </c>
      <c r="FU3" s="2">
        <f t="shared" ref="FU3:FU4" si="33">BE3</f>
        <v>744</v>
      </c>
      <c r="FV3" s="2">
        <f t="shared" ref="FV3:FV4" si="34">BF3</f>
        <v>720</v>
      </c>
      <c r="FW3" s="2">
        <f t="shared" ref="FW3:FW4" si="35">BG3</f>
        <v>744</v>
      </c>
      <c r="FX3" s="2">
        <f t="shared" ref="FX3:FX4" si="36">BH3</f>
        <v>744</v>
      </c>
      <c r="FY3" s="2">
        <f t="shared" ref="FY3:FY4" si="37">BI3</f>
        <v>672</v>
      </c>
      <c r="FZ3" s="2">
        <f t="shared" ref="FZ3:FZ4" si="38">BJ3</f>
        <v>744</v>
      </c>
      <c r="GA3" s="2">
        <f t="shared" ref="GA3:GA4" si="39">BK3</f>
        <v>720</v>
      </c>
      <c r="GB3" s="2">
        <f t="shared" ref="GB3:GB4" si="40">BL3</f>
        <v>744</v>
      </c>
      <c r="GC3" s="2">
        <f t="shared" ref="GC3:GC4" si="41">BM3</f>
        <v>720</v>
      </c>
      <c r="GD3" s="2">
        <f t="shared" ref="GD3:GD4" si="42">BN3</f>
        <v>744</v>
      </c>
      <c r="GE3" s="2">
        <f t="shared" ref="GE3:GE4" si="43">BO3</f>
        <v>744</v>
      </c>
      <c r="GF3" s="2">
        <f t="shared" ref="GF3:GF4" si="44">BP3</f>
        <v>720</v>
      </c>
      <c r="GG3" s="2">
        <f t="shared" ref="GG3:GG4" si="45">BQ3</f>
        <v>744</v>
      </c>
      <c r="GH3" s="2">
        <f t="shared" ref="GH3:GH4" si="46">BR3</f>
        <v>720</v>
      </c>
      <c r="GI3" s="2">
        <f t="shared" ref="GI3:GI4" si="47">BS3</f>
        <v>744</v>
      </c>
      <c r="GJ3" s="2">
        <f t="shared" ref="GJ3:GJ4" si="48">BT3</f>
        <v>744</v>
      </c>
      <c r="GK3" s="2">
        <f t="shared" ref="GK3:GK4" si="49">BU3</f>
        <v>672</v>
      </c>
      <c r="GL3" s="2">
        <f t="shared" ref="GL3:GL4" si="50">BV3</f>
        <v>744</v>
      </c>
      <c r="GM3" s="2">
        <f t="shared" ref="GM3:GM4" si="51">BW3</f>
        <v>720</v>
      </c>
      <c r="GN3" s="2">
        <f t="shared" ref="GN3:GN4" si="52">BX3</f>
        <v>744</v>
      </c>
      <c r="GO3" s="2">
        <f t="shared" ref="GO3:GO4" si="53">BY3</f>
        <v>720</v>
      </c>
      <c r="GP3" s="2">
        <f t="shared" ref="GP3:GP4" si="54">BZ3</f>
        <v>744</v>
      </c>
      <c r="GQ3" s="2">
        <f t="shared" ref="GQ3:GQ4" si="55">CA3</f>
        <v>744</v>
      </c>
      <c r="GR3" s="2">
        <f t="shared" ref="GR3:GR4" si="56">CB3</f>
        <v>720</v>
      </c>
      <c r="GS3" s="2">
        <f t="shared" ref="GS3:GS4" si="57">CC3</f>
        <v>744</v>
      </c>
      <c r="GT3" s="2">
        <f t="shared" ref="GT3:GT4" si="58">CD3</f>
        <v>720</v>
      </c>
      <c r="GU3" s="544">
        <f t="shared" ref="GU3:GU4" si="59">CE3</f>
        <v>744</v>
      </c>
      <c r="GV3" s="238"/>
    </row>
    <row r="4" spans="1:204" ht="15.75" thickBot="1" x14ac:dyDescent="0.3">
      <c r="A4" s="554" t="s">
        <v>494</v>
      </c>
      <c r="B4" s="543" t="s">
        <v>495</v>
      </c>
      <c r="C4" s="519" t="s">
        <v>69</v>
      </c>
      <c r="D4" s="543" t="s">
        <v>498</v>
      </c>
      <c r="E4" s="543" t="s">
        <v>76</v>
      </c>
      <c r="F4" s="543" t="s">
        <v>77</v>
      </c>
      <c r="G4" s="543" t="s">
        <v>78</v>
      </c>
      <c r="H4" s="543" t="s">
        <v>70</v>
      </c>
      <c r="I4" s="519" t="s">
        <v>71</v>
      </c>
      <c r="J4" s="543" t="s">
        <v>491</v>
      </c>
      <c r="K4" s="519" t="s">
        <v>72</v>
      </c>
      <c r="L4" s="553" t="s">
        <v>492</v>
      </c>
      <c r="M4" s="543" t="s">
        <v>73</v>
      </c>
      <c r="N4" s="543" t="s">
        <v>74</v>
      </c>
      <c r="O4" s="543" t="s">
        <v>489</v>
      </c>
      <c r="P4" s="543" t="s">
        <v>490</v>
      </c>
      <c r="Q4" s="543" t="s">
        <v>119</v>
      </c>
      <c r="R4" s="519" t="s">
        <v>493</v>
      </c>
      <c r="S4" s="519" t="s">
        <v>75</v>
      </c>
      <c r="T4" s="519" t="s">
        <v>643</v>
      </c>
      <c r="U4" s="519" t="s">
        <v>644</v>
      </c>
      <c r="V4" s="519" t="s">
        <v>645</v>
      </c>
      <c r="W4" s="526" t="s">
        <v>325</v>
      </c>
      <c r="X4" s="377">
        <f>RESULTADO!C3</f>
        <v>44562</v>
      </c>
      <c r="Y4" s="377">
        <f>RESULTADO!D3</f>
        <v>44593</v>
      </c>
      <c r="Z4" s="377">
        <f>RESULTADO!E3</f>
        <v>44621</v>
      </c>
      <c r="AA4" s="377">
        <f>RESULTADO!F3</f>
        <v>44652</v>
      </c>
      <c r="AB4" s="377">
        <f>RESULTADO!G3</f>
        <v>44682</v>
      </c>
      <c r="AC4" s="377">
        <f>RESULTADO!H3</f>
        <v>44713</v>
      </c>
      <c r="AD4" s="377">
        <f>RESULTADO!I3</f>
        <v>44743</v>
      </c>
      <c r="AE4" s="377">
        <f>RESULTADO!J3</f>
        <v>44774</v>
      </c>
      <c r="AF4" s="377">
        <f>RESULTADO!K3</f>
        <v>44805</v>
      </c>
      <c r="AG4" s="377">
        <f>RESULTADO!L3</f>
        <v>44835</v>
      </c>
      <c r="AH4" s="377">
        <f>RESULTADO!M3</f>
        <v>44866</v>
      </c>
      <c r="AI4" s="377">
        <f>RESULTADO!N3</f>
        <v>44896</v>
      </c>
      <c r="AJ4" s="377">
        <f>RESULTADO!O3</f>
        <v>44927</v>
      </c>
      <c r="AK4" s="377">
        <f>RESULTADO!P3</f>
        <v>44958</v>
      </c>
      <c r="AL4" s="377">
        <f>RESULTADO!Q3</f>
        <v>44986</v>
      </c>
      <c r="AM4" s="377">
        <f>RESULTADO!R3</f>
        <v>45017</v>
      </c>
      <c r="AN4" s="377">
        <f>RESULTADO!S3</f>
        <v>45047</v>
      </c>
      <c r="AO4" s="377">
        <f>RESULTADO!T3</f>
        <v>45078</v>
      </c>
      <c r="AP4" s="377">
        <f>RESULTADO!U3</f>
        <v>45108</v>
      </c>
      <c r="AQ4" s="377">
        <f>RESULTADO!V3</f>
        <v>45139</v>
      </c>
      <c r="AR4" s="377">
        <f>RESULTADO!W3</f>
        <v>45170</v>
      </c>
      <c r="AS4" s="377">
        <f>RESULTADO!X3</f>
        <v>45200</v>
      </c>
      <c r="AT4" s="377">
        <f>RESULTADO!Y3</f>
        <v>45231</v>
      </c>
      <c r="AU4" s="377">
        <f>RESULTADO!Z3</f>
        <v>45261</v>
      </c>
      <c r="AV4" s="377">
        <f>RESULTADO!AA3</f>
        <v>45292</v>
      </c>
      <c r="AW4" s="377">
        <f>RESULTADO!AB3</f>
        <v>45323</v>
      </c>
      <c r="AX4" s="377">
        <f>RESULTADO!AC3</f>
        <v>45352</v>
      </c>
      <c r="AY4" s="377">
        <f>RESULTADO!AD3</f>
        <v>45383</v>
      </c>
      <c r="AZ4" s="377">
        <f>RESULTADO!AE3</f>
        <v>45413</v>
      </c>
      <c r="BA4" s="377">
        <f>RESULTADO!AF3</f>
        <v>45444</v>
      </c>
      <c r="BB4" s="377">
        <f>RESULTADO!AG3</f>
        <v>45474</v>
      </c>
      <c r="BC4" s="377">
        <f>RESULTADO!AH3</f>
        <v>45505</v>
      </c>
      <c r="BD4" s="377">
        <f>RESULTADO!AI3</f>
        <v>45536</v>
      </c>
      <c r="BE4" s="377">
        <f>RESULTADO!AJ3</f>
        <v>45566</v>
      </c>
      <c r="BF4" s="377">
        <f>RESULTADO!AK3</f>
        <v>45597</v>
      </c>
      <c r="BG4" s="377">
        <f>RESULTADO!AL3</f>
        <v>45627</v>
      </c>
      <c r="BH4" s="377">
        <f>RESULTADO!AM3</f>
        <v>45658</v>
      </c>
      <c r="BI4" s="377">
        <f>RESULTADO!AN3</f>
        <v>45689</v>
      </c>
      <c r="BJ4" s="377">
        <f>RESULTADO!AO3</f>
        <v>45717</v>
      </c>
      <c r="BK4" s="377">
        <f>RESULTADO!AP3</f>
        <v>45748</v>
      </c>
      <c r="BL4" s="377">
        <f>RESULTADO!AQ3</f>
        <v>45778</v>
      </c>
      <c r="BM4" s="377">
        <f>RESULTADO!AR3</f>
        <v>45809</v>
      </c>
      <c r="BN4" s="377">
        <f>RESULTADO!AS3</f>
        <v>45839</v>
      </c>
      <c r="BO4" s="377">
        <f>RESULTADO!AT3</f>
        <v>45870</v>
      </c>
      <c r="BP4" s="377">
        <f>RESULTADO!AU3</f>
        <v>45901</v>
      </c>
      <c r="BQ4" s="377">
        <f>RESULTADO!AV3</f>
        <v>45931</v>
      </c>
      <c r="BR4" s="377">
        <f>RESULTADO!AW3</f>
        <v>45962</v>
      </c>
      <c r="BS4" s="377">
        <f>RESULTADO!AX3</f>
        <v>45992</v>
      </c>
      <c r="BT4" s="377">
        <f>RESULTADO!AY3</f>
        <v>46023</v>
      </c>
      <c r="BU4" s="377">
        <f>RESULTADO!AZ3</f>
        <v>46054</v>
      </c>
      <c r="BV4" s="377">
        <f>RESULTADO!BA3</f>
        <v>46082</v>
      </c>
      <c r="BW4" s="377">
        <f>RESULTADO!BB3</f>
        <v>46113</v>
      </c>
      <c r="BX4" s="377">
        <f>RESULTADO!BC3</f>
        <v>46143</v>
      </c>
      <c r="BY4" s="377">
        <f>RESULTADO!BD3</f>
        <v>46174</v>
      </c>
      <c r="BZ4" s="377">
        <f>RESULTADO!BE3</f>
        <v>46204</v>
      </c>
      <c r="CA4" s="377">
        <f>RESULTADO!BF3</f>
        <v>46235</v>
      </c>
      <c r="CB4" s="377">
        <f>RESULTADO!BG3</f>
        <v>46266</v>
      </c>
      <c r="CC4" s="377">
        <f>RESULTADO!BH3</f>
        <v>46296</v>
      </c>
      <c r="CD4" s="377">
        <f>RESULTADO!BI3</f>
        <v>46327</v>
      </c>
      <c r="CE4" s="523">
        <f>RESULTADO!BJ3</f>
        <v>46357</v>
      </c>
      <c r="CF4" s="524">
        <f>X4</f>
        <v>44562</v>
      </c>
      <c r="CG4" s="377">
        <f t="shared" ref="CG4:EM4" si="60">Y4</f>
        <v>44593</v>
      </c>
      <c r="CH4" s="377">
        <f t="shared" si="60"/>
        <v>44621</v>
      </c>
      <c r="CI4" s="377">
        <f t="shared" si="60"/>
        <v>44652</v>
      </c>
      <c r="CJ4" s="377">
        <f t="shared" si="60"/>
        <v>44682</v>
      </c>
      <c r="CK4" s="377">
        <f t="shared" si="60"/>
        <v>44713</v>
      </c>
      <c r="CL4" s="377">
        <f t="shared" si="60"/>
        <v>44743</v>
      </c>
      <c r="CM4" s="377">
        <f t="shared" si="60"/>
        <v>44774</v>
      </c>
      <c r="CN4" s="377">
        <f t="shared" si="60"/>
        <v>44805</v>
      </c>
      <c r="CO4" s="377">
        <f t="shared" si="60"/>
        <v>44835</v>
      </c>
      <c r="CP4" s="377">
        <f t="shared" si="60"/>
        <v>44866</v>
      </c>
      <c r="CQ4" s="377">
        <f t="shared" si="60"/>
        <v>44896</v>
      </c>
      <c r="CR4" s="377">
        <f t="shared" si="60"/>
        <v>44927</v>
      </c>
      <c r="CS4" s="377">
        <f t="shared" si="60"/>
        <v>44958</v>
      </c>
      <c r="CT4" s="377">
        <f t="shared" si="60"/>
        <v>44986</v>
      </c>
      <c r="CU4" s="377">
        <f t="shared" si="60"/>
        <v>45017</v>
      </c>
      <c r="CV4" s="377">
        <f t="shared" si="60"/>
        <v>45047</v>
      </c>
      <c r="CW4" s="377">
        <f t="shared" si="60"/>
        <v>45078</v>
      </c>
      <c r="CX4" s="377">
        <f t="shared" si="60"/>
        <v>45108</v>
      </c>
      <c r="CY4" s="377">
        <f t="shared" si="60"/>
        <v>45139</v>
      </c>
      <c r="CZ4" s="377">
        <f t="shared" si="60"/>
        <v>45170</v>
      </c>
      <c r="DA4" s="377">
        <f t="shared" si="60"/>
        <v>45200</v>
      </c>
      <c r="DB4" s="377">
        <f t="shared" si="60"/>
        <v>45231</v>
      </c>
      <c r="DC4" s="377">
        <f t="shared" si="60"/>
        <v>45261</v>
      </c>
      <c r="DD4" s="377">
        <f t="shared" si="60"/>
        <v>45292</v>
      </c>
      <c r="DE4" s="377">
        <f t="shared" si="60"/>
        <v>45323</v>
      </c>
      <c r="DF4" s="377">
        <f t="shared" si="60"/>
        <v>45352</v>
      </c>
      <c r="DG4" s="377">
        <f t="shared" si="60"/>
        <v>45383</v>
      </c>
      <c r="DH4" s="377">
        <f t="shared" si="60"/>
        <v>45413</v>
      </c>
      <c r="DI4" s="377">
        <f t="shared" si="60"/>
        <v>45444</v>
      </c>
      <c r="DJ4" s="377">
        <f t="shared" si="60"/>
        <v>45474</v>
      </c>
      <c r="DK4" s="377">
        <f t="shared" si="60"/>
        <v>45505</v>
      </c>
      <c r="DL4" s="377">
        <f t="shared" si="60"/>
        <v>45536</v>
      </c>
      <c r="DM4" s="377">
        <f t="shared" si="60"/>
        <v>45566</v>
      </c>
      <c r="DN4" s="377">
        <f t="shared" si="60"/>
        <v>45597</v>
      </c>
      <c r="DO4" s="377">
        <f t="shared" si="60"/>
        <v>45627</v>
      </c>
      <c r="DP4" s="377">
        <f t="shared" si="60"/>
        <v>45658</v>
      </c>
      <c r="DQ4" s="377">
        <f t="shared" si="60"/>
        <v>45689</v>
      </c>
      <c r="DR4" s="377">
        <f t="shared" si="60"/>
        <v>45717</v>
      </c>
      <c r="DS4" s="377">
        <f t="shared" si="60"/>
        <v>45748</v>
      </c>
      <c r="DT4" s="377">
        <f t="shared" si="60"/>
        <v>45778</v>
      </c>
      <c r="DU4" s="377">
        <f t="shared" si="60"/>
        <v>45809</v>
      </c>
      <c r="DV4" s="377">
        <f t="shared" si="60"/>
        <v>45839</v>
      </c>
      <c r="DW4" s="377">
        <f t="shared" si="60"/>
        <v>45870</v>
      </c>
      <c r="DX4" s="377">
        <f t="shared" si="60"/>
        <v>45901</v>
      </c>
      <c r="DY4" s="377">
        <f t="shared" si="60"/>
        <v>45931</v>
      </c>
      <c r="DZ4" s="377">
        <f t="shared" si="60"/>
        <v>45962</v>
      </c>
      <c r="EA4" s="377">
        <f t="shared" si="60"/>
        <v>45992</v>
      </c>
      <c r="EB4" s="377">
        <f t="shared" si="60"/>
        <v>46023</v>
      </c>
      <c r="EC4" s="377">
        <f t="shared" si="60"/>
        <v>46054</v>
      </c>
      <c r="ED4" s="377">
        <f t="shared" si="60"/>
        <v>46082</v>
      </c>
      <c r="EE4" s="377">
        <f t="shared" si="60"/>
        <v>46113</v>
      </c>
      <c r="EF4" s="377">
        <f t="shared" si="60"/>
        <v>46143</v>
      </c>
      <c r="EG4" s="377">
        <f t="shared" si="60"/>
        <v>46174</v>
      </c>
      <c r="EH4" s="377">
        <f t="shared" si="60"/>
        <v>46204</v>
      </c>
      <c r="EI4" s="377">
        <f t="shared" si="60"/>
        <v>46235</v>
      </c>
      <c r="EJ4" s="377">
        <f t="shared" si="60"/>
        <v>46266</v>
      </c>
      <c r="EK4" s="377">
        <f t="shared" si="60"/>
        <v>46296</v>
      </c>
      <c r="EL4" s="377">
        <f t="shared" si="60"/>
        <v>46327</v>
      </c>
      <c r="EM4" s="377">
        <f t="shared" si="60"/>
        <v>46357</v>
      </c>
      <c r="EN4" s="524">
        <f t="shared" ref="EN4" si="61">X4</f>
        <v>44562</v>
      </c>
      <c r="EO4" s="377">
        <f t="shared" si="1"/>
        <v>44593</v>
      </c>
      <c r="EP4" s="377">
        <f t="shared" si="2"/>
        <v>44621</v>
      </c>
      <c r="EQ4" s="377">
        <f t="shared" si="3"/>
        <v>44652</v>
      </c>
      <c r="ER4" s="377">
        <f t="shared" si="4"/>
        <v>44682</v>
      </c>
      <c r="ES4" s="377">
        <f t="shared" si="5"/>
        <v>44713</v>
      </c>
      <c r="ET4" s="377">
        <f t="shared" si="6"/>
        <v>44743</v>
      </c>
      <c r="EU4" s="377">
        <f t="shared" si="7"/>
        <v>44774</v>
      </c>
      <c r="EV4" s="377">
        <f t="shared" si="8"/>
        <v>44805</v>
      </c>
      <c r="EW4" s="377">
        <f t="shared" si="9"/>
        <v>44835</v>
      </c>
      <c r="EX4" s="377">
        <f t="shared" si="10"/>
        <v>44866</v>
      </c>
      <c r="EY4" s="377">
        <f t="shared" si="11"/>
        <v>44896</v>
      </c>
      <c r="EZ4" s="377">
        <f t="shared" si="12"/>
        <v>44927</v>
      </c>
      <c r="FA4" s="377">
        <f t="shared" si="13"/>
        <v>44958</v>
      </c>
      <c r="FB4" s="377">
        <f t="shared" si="14"/>
        <v>44986</v>
      </c>
      <c r="FC4" s="377">
        <f t="shared" si="15"/>
        <v>45017</v>
      </c>
      <c r="FD4" s="377">
        <f t="shared" si="16"/>
        <v>45047</v>
      </c>
      <c r="FE4" s="377">
        <f t="shared" si="17"/>
        <v>45078</v>
      </c>
      <c r="FF4" s="377">
        <f t="shared" si="18"/>
        <v>45108</v>
      </c>
      <c r="FG4" s="377">
        <f t="shared" si="19"/>
        <v>45139</v>
      </c>
      <c r="FH4" s="377">
        <f t="shared" si="20"/>
        <v>45170</v>
      </c>
      <c r="FI4" s="377">
        <f t="shared" si="21"/>
        <v>45200</v>
      </c>
      <c r="FJ4" s="377">
        <f t="shared" si="22"/>
        <v>45231</v>
      </c>
      <c r="FK4" s="377">
        <f t="shared" si="23"/>
        <v>45261</v>
      </c>
      <c r="FL4" s="377">
        <f t="shared" si="24"/>
        <v>45292</v>
      </c>
      <c r="FM4" s="377">
        <f t="shared" si="25"/>
        <v>45323</v>
      </c>
      <c r="FN4" s="377">
        <f t="shared" si="26"/>
        <v>45352</v>
      </c>
      <c r="FO4" s="377">
        <f t="shared" si="27"/>
        <v>45383</v>
      </c>
      <c r="FP4" s="377">
        <f t="shared" si="28"/>
        <v>45413</v>
      </c>
      <c r="FQ4" s="377">
        <f t="shared" si="29"/>
        <v>45444</v>
      </c>
      <c r="FR4" s="377">
        <f t="shared" si="30"/>
        <v>45474</v>
      </c>
      <c r="FS4" s="377">
        <f t="shared" si="31"/>
        <v>45505</v>
      </c>
      <c r="FT4" s="377">
        <f t="shared" si="32"/>
        <v>45536</v>
      </c>
      <c r="FU4" s="377">
        <f t="shared" si="33"/>
        <v>45566</v>
      </c>
      <c r="FV4" s="377">
        <f t="shared" si="34"/>
        <v>45597</v>
      </c>
      <c r="FW4" s="377">
        <f t="shared" si="35"/>
        <v>45627</v>
      </c>
      <c r="FX4" s="377">
        <f t="shared" si="36"/>
        <v>45658</v>
      </c>
      <c r="FY4" s="377">
        <f t="shared" si="37"/>
        <v>45689</v>
      </c>
      <c r="FZ4" s="377">
        <f t="shared" si="38"/>
        <v>45717</v>
      </c>
      <c r="GA4" s="377">
        <f t="shared" si="39"/>
        <v>45748</v>
      </c>
      <c r="GB4" s="377">
        <f t="shared" si="40"/>
        <v>45778</v>
      </c>
      <c r="GC4" s="377">
        <f t="shared" si="41"/>
        <v>45809</v>
      </c>
      <c r="GD4" s="377">
        <f t="shared" si="42"/>
        <v>45839</v>
      </c>
      <c r="GE4" s="377">
        <f t="shared" si="43"/>
        <v>45870</v>
      </c>
      <c r="GF4" s="377">
        <f t="shared" si="44"/>
        <v>45901</v>
      </c>
      <c r="GG4" s="377">
        <f t="shared" si="45"/>
        <v>45931</v>
      </c>
      <c r="GH4" s="377">
        <f t="shared" si="46"/>
        <v>45962</v>
      </c>
      <c r="GI4" s="377">
        <f t="shared" si="47"/>
        <v>45992</v>
      </c>
      <c r="GJ4" s="377">
        <f t="shared" si="48"/>
        <v>46023</v>
      </c>
      <c r="GK4" s="377">
        <f t="shared" si="49"/>
        <v>46054</v>
      </c>
      <c r="GL4" s="377">
        <f t="shared" si="50"/>
        <v>46082</v>
      </c>
      <c r="GM4" s="377">
        <f t="shared" si="51"/>
        <v>46113</v>
      </c>
      <c r="GN4" s="377">
        <f t="shared" si="52"/>
        <v>46143</v>
      </c>
      <c r="GO4" s="377">
        <f t="shared" si="53"/>
        <v>46174</v>
      </c>
      <c r="GP4" s="377">
        <f t="shared" si="54"/>
        <v>46204</v>
      </c>
      <c r="GQ4" s="377">
        <f t="shared" si="55"/>
        <v>46235</v>
      </c>
      <c r="GR4" s="377">
        <f t="shared" si="56"/>
        <v>46266</v>
      </c>
      <c r="GS4" s="377">
        <f t="shared" si="57"/>
        <v>46296</v>
      </c>
      <c r="GT4" s="377">
        <f t="shared" si="58"/>
        <v>46327</v>
      </c>
      <c r="GU4" s="523">
        <f t="shared" si="59"/>
        <v>46357</v>
      </c>
      <c r="GV4" s="238"/>
    </row>
    <row r="5" spans="1:204" x14ac:dyDescent="0.25">
      <c r="A5" t="s">
        <v>388</v>
      </c>
      <c r="B5" s="2" t="s">
        <v>389</v>
      </c>
      <c r="C5" s="619">
        <v>43991</v>
      </c>
      <c r="D5" s="2">
        <v>11691</v>
      </c>
      <c r="E5" t="s">
        <v>58</v>
      </c>
      <c r="F5" s="2" t="s">
        <v>43</v>
      </c>
      <c r="G5" t="s">
        <v>40</v>
      </c>
      <c r="H5" s="652" t="s">
        <v>84</v>
      </c>
      <c r="I5" s="653" t="s">
        <v>392</v>
      </c>
      <c r="J5" s="660">
        <v>60933603000178</v>
      </c>
      <c r="K5" s="653" t="s">
        <v>43</v>
      </c>
      <c r="L5" s="660" t="e">
        <v>#VALUE!</v>
      </c>
      <c r="M5" s="659" t="s">
        <v>3</v>
      </c>
      <c r="N5" s="658" t="s">
        <v>44</v>
      </c>
      <c r="O5" s="671">
        <v>44927</v>
      </c>
      <c r="P5" s="672">
        <v>45291</v>
      </c>
      <c r="Q5" s="659">
        <v>150</v>
      </c>
      <c r="R5" s="658">
        <v>18.75</v>
      </c>
      <c r="S5" s="653" t="s">
        <v>54</v>
      </c>
      <c r="T5" t="s">
        <v>649</v>
      </c>
      <c r="U5" s="673">
        <v>43983</v>
      </c>
      <c r="V5" s="652">
        <v>1</v>
      </c>
      <c r="W5" s="656" t="s">
        <v>329</v>
      </c>
      <c r="X5" s="661"/>
      <c r="Y5" s="4"/>
      <c r="Z5" s="4"/>
      <c r="AA5" s="4"/>
      <c r="AB5" s="4"/>
      <c r="AC5" s="4"/>
      <c r="AD5" s="4"/>
      <c r="AE5" s="4"/>
      <c r="AF5" s="4"/>
      <c r="AG5" s="4"/>
      <c r="AH5" s="4"/>
      <c r="AI5" s="662"/>
      <c r="AJ5" s="663">
        <v>18.75</v>
      </c>
      <c r="AK5" s="4">
        <v>18.75</v>
      </c>
      <c r="AL5" s="4">
        <v>18.75</v>
      </c>
      <c r="AM5" s="4">
        <v>18.75</v>
      </c>
      <c r="AN5" s="4">
        <v>18.75</v>
      </c>
      <c r="AO5" s="4">
        <v>18.75</v>
      </c>
      <c r="AP5" s="4">
        <v>18.75</v>
      </c>
      <c r="AQ5" s="4">
        <v>18.75</v>
      </c>
      <c r="AR5" s="4">
        <v>18.75</v>
      </c>
      <c r="AS5" s="4">
        <v>18.75</v>
      </c>
      <c r="AT5" s="4">
        <v>18.75</v>
      </c>
      <c r="AU5" s="662">
        <v>18.75</v>
      </c>
      <c r="AV5" s="663"/>
      <c r="AW5" s="4"/>
      <c r="AX5" s="4"/>
      <c r="AY5" s="4"/>
      <c r="AZ5" s="4"/>
      <c r="BA5" s="4"/>
      <c r="BB5" s="4"/>
      <c r="BC5" s="4"/>
      <c r="BD5" s="4"/>
      <c r="BE5" s="4"/>
      <c r="BF5" s="4"/>
      <c r="BG5" s="662"/>
      <c r="BH5" s="663"/>
      <c r="BI5" s="4"/>
      <c r="BJ5" s="4"/>
      <c r="BK5" s="4"/>
      <c r="BL5" s="4"/>
      <c r="BM5" s="4"/>
      <c r="BN5" s="4"/>
      <c r="BO5" s="4"/>
      <c r="BP5" s="4"/>
      <c r="BQ5" s="4"/>
      <c r="BR5" s="4"/>
      <c r="BS5" s="662"/>
      <c r="BT5" s="663"/>
      <c r="BU5" s="4"/>
      <c r="BV5" s="4"/>
      <c r="BW5" s="4"/>
      <c r="BX5" s="4"/>
      <c r="BY5" s="4"/>
      <c r="BZ5" s="4"/>
      <c r="CA5" s="4"/>
      <c r="CB5" s="4"/>
      <c r="CC5" s="4"/>
      <c r="CD5" s="4"/>
      <c r="CE5" s="664"/>
      <c r="CF5" s="661"/>
      <c r="CG5" s="4"/>
      <c r="CH5" s="4"/>
      <c r="CI5" s="4"/>
      <c r="CJ5" s="4"/>
      <c r="CK5" s="4"/>
      <c r="CL5" s="4"/>
      <c r="CM5" s="4"/>
      <c r="CN5" s="4"/>
      <c r="CO5" s="4"/>
      <c r="CP5" s="4"/>
      <c r="CQ5" s="662"/>
      <c r="CR5" s="663">
        <v>182.57269591821751</v>
      </c>
      <c r="CS5" s="4">
        <v>182.57269591821751</v>
      </c>
      <c r="CT5" s="4">
        <v>182.57269591821751</v>
      </c>
      <c r="CU5" s="4">
        <v>182.57269591821751</v>
      </c>
      <c r="CV5" s="4">
        <v>182.57269591821751</v>
      </c>
      <c r="CW5" s="4">
        <v>182.57269591821751</v>
      </c>
      <c r="CX5" s="4">
        <v>182.57269591821751</v>
      </c>
      <c r="CY5" s="4">
        <v>182.57269591821751</v>
      </c>
      <c r="CZ5" s="4">
        <v>182.57269591821751</v>
      </c>
      <c r="DA5" s="4">
        <v>182.57269591821751</v>
      </c>
      <c r="DB5" s="4">
        <v>182.57269591821751</v>
      </c>
      <c r="DC5" s="662">
        <v>182.57269591821751</v>
      </c>
      <c r="DD5" s="663"/>
      <c r="DE5" s="4"/>
      <c r="DF5" s="4"/>
      <c r="DG5" s="4"/>
      <c r="DH5" s="4"/>
      <c r="DI5" s="4"/>
      <c r="DJ5" s="4"/>
      <c r="DK5" s="4"/>
      <c r="DL5" s="4"/>
      <c r="DM5" s="4"/>
      <c r="DN5" s="4"/>
      <c r="DO5" s="662"/>
      <c r="DP5" s="663"/>
      <c r="DQ5" s="4"/>
      <c r="DR5" s="4"/>
      <c r="DS5" s="4"/>
      <c r="DT5" s="4"/>
      <c r="DU5" s="4"/>
      <c r="DV5" s="4"/>
      <c r="DW5" s="4"/>
      <c r="DX5" s="4"/>
      <c r="DY5" s="4"/>
      <c r="DZ5" s="4"/>
      <c r="EA5" s="662"/>
      <c r="EB5" s="663"/>
      <c r="EC5" s="4"/>
      <c r="ED5" s="4"/>
      <c r="EE5" s="4"/>
      <c r="EF5" s="4"/>
      <c r="EG5" s="4"/>
      <c r="EH5" s="4"/>
      <c r="EI5" s="4"/>
      <c r="EJ5" s="4"/>
      <c r="EK5" s="4"/>
      <c r="EL5" s="4"/>
      <c r="EM5" s="664"/>
      <c r="EN5" s="661"/>
      <c r="EO5" s="4"/>
      <c r="EP5" s="4"/>
      <c r="EQ5" s="4"/>
      <c r="ER5" s="4"/>
      <c r="ES5" s="4"/>
      <c r="ET5" s="4"/>
      <c r="EU5" s="4"/>
      <c r="EV5" s="4"/>
      <c r="EW5" s="4"/>
      <c r="EX5" s="4"/>
      <c r="EY5" s="662"/>
      <c r="EZ5" s="663">
        <v>182.57269591821751</v>
      </c>
      <c r="FA5" s="4">
        <v>182.57269591821751</v>
      </c>
      <c r="FB5" s="4">
        <v>182.57269591821751</v>
      </c>
      <c r="FC5" s="4">
        <v>182.57269591821751</v>
      </c>
      <c r="FD5" s="4">
        <v>182.57269591821751</v>
      </c>
      <c r="FE5" s="4">
        <v>182.57269591821751</v>
      </c>
      <c r="FF5" s="4">
        <v>182.57269591821751</v>
      </c>
      <c r="FG5" s="4">
        <v>182.57269591821751</v>
      </c>
      <c r="FH5" s="4">
        <v>182.57269591821751</v>
      </c>
      <c r="FI5" s="4">
        <v>182.57269591821751</v>
      </c>
      <c r="FJ5" s="4">
        <v>182.57269591821751</v>
      </c>
      <c r="FK5" s="662">
        <v>182.57269591821751</v>
      </c>
      <c r="FL5" s="663"/>
      <c r="FM5" s="4"/>
      <c r="FN5" s="4"/>
      <c r="FO5" s="4"/>
      <c r="FP5" s="4"/>
      <c r="FQ5" s="4"/>
      <c r="FR5" s="4"/>
      <c r="FS5" s="4"/>
      <c r="FT5" s="4"/>
      <c r="FU5" s="4"/>
      <c r="FV5" s="4"/>
      <c r="FW5" s="662"/>
      <c r="FX5" s="663"/>
      <c r="FY5" s="4"/>
      <c r="FZ5" s="4"/>
      <c r="GA5" s="4"/>
      <c r="GB5" s="4"/>
      <c r="GC5" s="4"/>
      <c r="GD5" s="4"/>
      <c r="GE5" s="4"/>
      <c r="GF5" s="4"/>
      <c r="GG5" s="4"/>
      <c r="GH5" s="4"/>
      <c r="GI5" s="662"/>
      <c r="GJ5" s="663"/>
      <c r="GK5" s="4"/>
      <c r="GL5" s="4"/>
      <c r="GM5" s="4"/>
      <c r="GN5" s="4"/>
      <c r="GO5" s="4"/>
      <c r="GP5" s="4"/>
      <c r="GQ5" s="4"/>
      <c r="GR5" s="4"/>
      <c r="GS5" s="4"/>
      <c r="GT5" s="4"/>
      <c r="GU5" s="722"/>
      <c r="GV5" s="715"/>
    </row>
    <row r="6" spans="1:204" x14ac:dyDescent="0.25">
      <c r="A6" t="s">
        <v>390</v>
      </c>
      <c r="B6" s="2" t="s">
        <v>391</v>
      </c>
      <c r="C6" s="619">
        <v>44012</v>
      </c>
      <c r="D6" s="2">
        <v>11689</v>
      </c>
      <c r="E6" t="s">
        <v>58</v>
      </c>
      <c r="F6" s="2" t="s">
        <v>43</v>
      </c>
      <c r="G6" t="s">
        <v>40</v>
      </c>
      <c r="H6" s="690" t="s">
        <v>84</v>
      </c>
      <c r="I6" s="691" t="s">
        <v>393</v>
      </c>
      <c r="J6" s="721">
        <v>33652516000170</v>
      </c>
      <c r="K6" s="691" t="s">
        <v>43</v>
      </c>
      <c r="L6" s="721">
        <v>3780401000108</v>
      </c>
      <c r="M6" s="718" t="s">
        <v>3</v>
      </c>
      <c r="N6" s="717" t="s">
        <v>44</v>
      </c>
      <c r="O6" s="719">
        <v>44562</v>
      </c>
      <c r="P6" s="720">
        <v>44926</v>
      </c>
      <c r="Q6" s="718">
        <v>156</v>
      </c>
      <c r="R6" s="717">
        <v>5.0999999999999996</v>
      </c>
      <c r="S6" s="691" t="s">
        <v>54</v>
      </c>
      <c r="T6" t="s">
        <v>649</v>
      </c>
      <c r="U6" s="673">
        <v>44013</v>
      </c>
      <c r="V6" s="690">
        <v>1</v>
      </c>
      <c r="W6" s="657" t="s">
        <v>329</v>
      </c>
      <c r="X6" s="723">
        <v>5.0999999999999996</v>
      </c>
      <c r="Y6" s="4">
        <v>5.0999999999999996</v>
      </c>
      <c r="Z6" s="4">
        <v>5.0999999999999996</v>
      </c>
      <c r="AA6" s="4">
        <v>5.0999999999999996</v>
      </c>
      <c r="AB6" s="4">
        <v>5.0999999999999996</v>
      </c>
      <c r="AC6" s="4">
        <v>5.0999999999999996</v>
      </c>
      <c r="AD6" s="4">
        <v>5.0999999999999996</v>
      </c>
      <c r="AE6" s="4">
        <v>5.0999999999999996</v>
      </c>
      <c r="AF6" s="4">
        <v>5.0999999999999996</v>
      </c>
      <c r="AG6" s="4">
        <v>5.0999999999999996</v>
      </c>
      <c r="AH6" s="4">
        <v>5.0999999999999996</v>
      </c>
      <c r="AI6" s="654">
        <v>5.0999999999999996</v>
      </c>
      <c r="AJ6" s="655"/>
      <c r="AK6" s="4"/>
      <c r="AL6" s="4"/>
      <c r="AM6" s="4"/>
      <c r="AN6" s="4"/>
      <c r="AO6" s="4"/>
      <c r="AP6" s="4"/>
      <c r="AQ6" s="4"/>
      <c r="AR6" s="4"/>
      <c r="AS6" s="4"/>
      <c r="AT6" s="4"/>
      <c r="AU6" s="654"/>
      <c r="AV6" s="655"/>
      <c r="AW6" s="4"/>
      <c r="AX6" s="4"/>
      <c r="AY6" s="4"/>
      <c r="AZ6" s="4"/>
      <c r="BA6" s="4"/>
      <c r="BB6" s="4"/>
      <c r="BC6" s="4"/>
      <c r="BD6" s="4"/>
      <c r="BE6" s="4"/>
      <c r="BF6" s="4"/>
      <c r="BG6" s="654"/>
      <c r="BH6" s="655"/>
      <c r="BI6" s="4"/>
      <c r="BJ6" s="4"/>
      <c r="BK6" s="4"/>
      <c r="BL6" s="4"/>
      <c r="BM6" s="4"/>
      <c r="BN6" s="4"/>
      <c r="BO6" s="4"/>
      <c r="BP6" s="4"/>
      <c r="BQ6" s="4"/>
      <c r="BR6" s="4"/>
      <c r="BS6" s="654"/>
      <c r="BT6" s="655"/>
      <c r="BU6" s="4"/>
      <c r="BV6" s="4"/>
      <c r="BW6" s="4"/>
      <c r="BX6" s="4"/>
      <c r="BY6" s="4"/>
      <c r="BZ6" s="4"/>
      <c r="CA6" s="4"/>
      <c r="CB6" s="4"/>
      <c r="CC6" s="4"/>
      <c r="CD6" s="4"/>
      <c r="CE6" s="693"/>
      <c r="CF6" s="723">
        <v>179.27582593804104</v>
      </c>
      <c r="CG6" s="4">
        <v>179.27582593804104</v>
      </c>
      <c r="CH6" s="4">
        <v>179.27582593804104</v>
      </c>
      <c r="CI6" s="4">
        <v>179.27582593804104</v>
      </c>
      <c r="CJ6" s="4">
        <v>179.27582593804104</v>
      </c>
      <c r="CK6" s="4">
        <v>179.27582593804104</v>
      </c>
      <c r="CL6" s="4">
        <v>179.27582593804104</v>
      </c>
      <c r="CM6" s="4">
        <v>179.27582593804104</v>
      </c>
      <c r="CN6" s="4">
        <v>179.27582593804104</v>
      </c>
      <c r="CO6" s="4">
        <v>179.27582593804104</v>
      </c>
      <c r="CP6" s="4">
        <v>179.27582593804104</v>
      </c>
      <c r="CQ6" s="654">
        <v>179.27582593804104</v>
      </c>
      <c r="CR6" s="655"/>
      <c r="CS6" s="4"/>
      <c r="CT6" s="4"/>
      <c r="CU6" s="4"/>
      <c r="CV6" s="4"/>
      <c r="CW6" s="4"/>
      <c r="CX6" s="4"/>
      <c r="CY6" s="4"/>
      <c r="CZ6" s="4"/>
      <c r="DA6" s="4"/>
      <c r="DB6" s="4"/>
      <c r="DC6" s="654"/>
      <c r="DD6" s="655"/>
      <c r="DE6" s="4"/>
      <c r="DF6" s="4"/>
      <c r="DG6" s="4"/>
      <c r="DH6" s="4"/>
      <c r="DI6" s="4"/>
      <c r="DJ6" s="4"/>
      <c r="DK6" s="4"/>
      <c r="DL6" s="4"/>
      <c r="DM6" s="4"/>
      <c r="DN6" s="4"/>
      <c r="DO6" s="654"/>
      <c r="DP6" s="655"/>
      <c r="DQ6" s="4"/>
      <c r="DR6" s="4"/>
      <c r="DS6" s="4"/>
      <c r="DT6" s="4"/>
      <c r="DU6" s="4"/>
      <c r="DV6" s="4"/>
      <c r="DW6" s="4"/>
      <c r="DX6" s="4"/>
      <c r="DY6" s="4"/>
      <c r="DZ6" s="4"/>
      <c r="EA6" s="654"/>
      <c r="EB6" s="655"/>
      <c r="EC6" s="4"/>
      <c r="ED6" s="4"/>
      <c r="EE6" s="4"/>
      <c r="EF6" s="4"/>
      <c r="EG6" s="4"/>
      <c r="EH6" s="4"/>
      <c r="EI6" s="4"/>
      <c r="EJ6" s="4"/>
      <c r="EK6" s="4"/>
      <c r="EL6" s="4"/>
      <c r="EM6" s="693"/>
      <c r="EN6" s="723">
        <v>179.27582593804104</v>
      </c>
      <c r="EO6" s="4">
        <v>179.27582593804104</v>
      </c>
      <c r="EP6" s="4">
        <v>179.27582593804104</v>
      </c>
      <c r="EQ6" s="4">
        <v>179.27582593804104</v>
      </c>
      <c r="ER6" s="4">
        <v>179.27582593804104</v>
      </c>
      <c r="ES6" s="4">
        <v>179.27582593804104</v>
      </c>
      <c r="ET6" s="4">
        <v>179.27582593804104</v>
      </c>
      <c r="EU6" s="4">
        <v>179.27582593804104</v>
      </c>
      <c r="EV6" s="4">
        <v>179.27582593804104</v>
      </c>
      <c r="EW6" s="4">
        <v>179.27582593804104</v>
      </c>
      <c r="EX6" s="4">
        <v>179.27582593804104</v>
      </c>
      <c r="EY6" s="654">
        <v>179.27582593804104</v>
      </c>
      <c r="EZ6" s="655"/>
      <c r="FA6" s="4"/>
      <c r="FB6" s="4"/>
      <c r="FC6" s="4"/>
      <c r="FD6" s="4"/>
      <c r="FE6" s="4"/>
      <c r="FF6" s="4"/>
      <c r="FG6" s="4"/>
      <c r="FH6" s="4"/>
      <c r="FI6" s="4"/>
      <c r="FJ6" s="4"/>
      <c r="FK6" s="654"/>
      <c r="FL6" s="655"/>
      <c r="FM6" s="4"/>
      <c r="FN6" s="4"/>
      <c r="FO6" s="4"/>
      <c r="FP6" s="4"/>
      <c r="FQ6" s="4"/>
      <c r="FR6" s="4"/>
      <c r="FS6" s="4"/>
      <c r="FT6" s="4"/>
      <c r="FU6" s="4"/>
      <c r="FV6" s="4"/>
      <c r="FW6" s="654"/>
      <c r="FX6" s="655"/>
      <c r="FY6" s="4"/>
      <c r="FZ6" s="4"/>
      <c r="GA6" s="4"/>
      <c r="GB6" s="4"/>
      <c r="GC6" s="4"/>
      <c r="GD6" s="4"/>
      <c r="GE6" s="4"/>
      <c r="GF6" s="4"/>
      <c r="GG6" s="4"/>
      <c r="GH6" s="4"/>
      <c r="GI6" s="654"/>
      <c r="GJ6" s="655"/>
      <c r="GK6" s="4"/>
      <c r="GL6" s="4"/>
      <c r="GM6" s="4"/>
      <c r="GN6" s="4"/>
      <c r="GO6" s="4"/>
      <c r="GP6" s="4"/>
      <c r="GQ6" s="4"/>
      <c r="GR6" s="4"/>
      <c r="GS6" s="4"/>
      <c r="GT6" s="4"/>
      <c r="GU6" s="722"/>
      <c r="GV6" s="715"/>
    </row>
    <row r="7" spans="1:204" x14ac:dyDescent="0.25">
      <c r="A7" t="s">
        <v>394</v>
      </c>
      <c r="B7" s="2" t="s">
        <v>358</v>
      </c>
      <c r="C7" s="619">
        <v>44090</v>
      </c>
      <c r="D7" s="2" t="s">
        <v>395</v>
      </c>
      <c r="E7" t="s">
        <v>59</v>
      </c>
      <c r="F7" s="2" t="s">
        <v>43</v>
      </c>
      <c r="G7" t="s">
        <v>40</v>
      </c>
      <c r="H7" s="690" t="s">
        <v>85</v>
      </c>
      <c r="I7" s="691" t="s">
        <v>43</v>
      </c>
      <c r="J7" s="721">
        <v>3780401000108</v>
      </c>
      <c r="K7" s="691" t="s">
        <v>350</v>
      </c>
      <c r="L7" s="721">
        <v>17858631000149</v>
      </c>
      <c r="M7" s="718" t="s">
        <v>3</v>
      </c>
      <c r="N7" s="717" t="s">
        <v>44</v>
      </c>
      <c r="O7" s="719">
        <v>44562</v>
      </c>
      <c r="P7" s="720">
        <v>44926</v>
      </c>
      <c r="Q7" s="718">
        <v>151</v>
      </c>
      <c r="R7" s="717">
        <v>7</v>
      </c>
      <c r="S7" s="691" t="s">
        <v>54</v>
      </c>
      <c r="T7" t="s">
        <v>649</v>
      </c>
      <c r="U7" s="673">
        <v>44090</v>
      </c>
      <c r="V7" s="690">
        <v>1</v>
      </c>
      <c r="W7" s="657" t="s">
        <v>214</v>
      </c>
      <c r="X7" s="723">
        <v>7</v>
      </c>
      <c r="Y7" s="4">
        <v>7</v>
      </c>
      <c r="Z7" s="4">
        <v>7</v>
      </c>
      <c r="AA7" s="4">
        <v>7</v>
      </c>
      <c r="AB7" s="4">
        <v>7</v>
      </c>
      <c r="AC7" s="4">
        <v>7</v>
      </c>
      <c r="AD7" s="4">
        <v>7</v>
      </c>
      <c r="AE7" s="4">
        <v>7</v>
      </c>
      <c r="AF7" s="4">
        <v>7</v>
      </c>
      <c r="AG7" s="4">
        <v>7</v>
      </c>
      <c r="AH7" s="4">
        <v>7</v>
      </c>
      <c r="AI7" s="654">
        <v>7</v>
      </c>
      <c r="AJ7" s="655"/>
      <c r="AK7" s="4"/>
      <c r="AL7" s="4"/>
      <c r="AM7" s="4"/>
      <c r="AN7" s="4"/>
      <c r="AO7" s="4"/>
      <c r="AP7" s="4"/>
      <c r="AQ7" s="4"/>
      <c r="AR7" s="4"/>
      <c r="AS7" s="4"/>
      <c r="AT7" s="4"/>
      <c r="AU7" s="654"/>
      <c r="AV7" s="655"/>
      <c r="AW7" s="4"/>
      <c r="AX7" s="4"/>
      <c r="AY7" s="4"/>
      <c r="AZ7" s="4"/>
      <c r="BA7" s="4"/>
      <c r="BB7" s="4"/>
      <c r="BC7" s="4"/>
      <c r="BD7" s="4"/>
      <c r="BE7" s="4"/>
      <c r="BF7" s="4"/>
      <c r="BG7" s="654"/>
      <c r="BH7" s="655"/>
      <c r="BI7" s="4"/>
      <c r="BJ7" s="4"/>
      <c r="BK7" s="4"/>
      <c r="BL7" s="4"/>
      <c r="BM7" s="4"/>
      <c r="BN7" s="4"/>
      <c r="BO7" s="4"/>
      <c r="BP7" s="4"/>
      <c r="BQ7" s="4"/>
      <c r="BR7" s="4"/>
      <c r="BS7" s="654"/>
      <c r="BT7" s="655"/>
      <c r="BU7" s="4"/>
      <c r="BV7" s="4"/>
      <c r="BW7" s="4"/>
      <c r="BX7" s="4"/>
      <c r="BY7" s="4"/>
      <c r="BZ7" s="4"/>
      <c r="CA7" s="4"/>
      <c r="CB7" s="4"/>
      <c r="CC7" s="4"/>
      <c r="CD7" s="4"/>
      <c r="CE7" s="693"/>
      <c r="CF7" s="723">
        <v>172.49331586236761</v>
      </c>
      <c r="CG7" s="4">
        <v>172.49331586236761</v>
      </c>
      <c r="CH7" s="4">
        <v>172.49331586236761</v>
      </c>
      <c r="CI7" s="4">
        <v>172.49331586236761</v>
      </c>
      <c r="CJ7" s="4">
        <v>172.49331586236761</v>
      </c>
      <c r="CK7" s="4">
        <v>172.49331586236761</v>
      </c>
      <c r="CL7" s="4">
        <v>172.49331586236761</v>
      </c>
      <c r="CM7" s="4">
        <v>172.49331586236761</v>
      </c>
      <c r="CN7" s="4">
        <v>172.49331586236761</v>
      </c>
      <c r="CO7" s="4">
        <v>172.49331586236761</v>
      </c>
      <c r="CP7" s="4">
        <v>172.49331586236761</v>
      </c>
      <c r="CQ7" s="654">
        <v>172.49331586236761</v>
      </c>
      <c r="CR7" s="655"/>
      <c r="CS7" s="4"/>
      <c r="CT7" s="4"/>
      <c r="CU7" s="4"/>
      <c r="CV7" s="4"/>
      <c r="CW7" s="4"/>
      <c r="CX7" s="4"/>
      <c r="CY7" s="4"/>
      <c r="CZ7" s="4"/>
      <c r="DA7" s="4"/>
      <c r="DB7" s="4"/>
      <c r="DC7" s="654"/>
      <c r="DD7" s="655"/>
      <c r="DE7" s="4"/>
      <c r="DF7" s="4"/>
      <c r="DG7" s="4"/>
      <c r="DH7" s="4"/>
      <c r="DI7" s="4"/>
      <c r="DJ7" s="4"/>
      <c r="DK7" s="4"/>
      <c r="DL7" s="4"/>
      <c r="DM7" s="4"/>
      <c r="DN7" s="4"/>
      <c r="DO7" s="654"/>
      <c r="DP7" s="655"/>
      <c r="DQ7" s="4"/>
      <c r="DR7" s="4"/>
      <c r="DS7" s="4"/>
      <c r="DT7" s="4"/>
      <c r="DU7" s="4"/>
      <c r="DV7" s="4"/>
      <c r="DW7" s="4"/>
      <c r="DX7" s="4"/>
      <c r="DY7" s="4"/>
      <c r="DZ7" s="4"/>
      <c r="EA7" s="654"/>
      <c r="EB7" s="655"/>
      <c r="EC7" s="4"/>
      <c r="ED7" s="4"/>
      <c r="EE7" s="4"/>
      <c r="EF7" s="4"/>
      <c r="EG7" s="4"/>
      <c r="EH7" s="4"/>
      <c r="EI7" s="4"/>
      <c r="EJ7" s="4"/>
      <c r="EK7" s="4"/>
      <c r="EL7" s="4"/>
      <c r="EM7" s="693"/>
      <c r="EN7" s="723">
        <v>172.49331586236761</v>
      </c>
      <c r="EO7" s="4">
        <v>172.49331586236761</v>
      </c>
      <c r="EP7" s="4">
        <v>172.49331586236761</v>
      </c>
      <c r="EQ7" s="4">
        <v>172.49331586236761</v>
      </c>
      <c r="ER7" s="4">
        <v>172.49331586236761</v>
      </c>
      <c r="ES7" s="4">
        <v>172.49331586236761</v>
      </c>
      <c r="ET7" s="4">
        <v>172.49331586236761</v>
      </c>
      <c r="EU7" s="4">
        <v>172.49331586236761</v>
      </c>
      <c r="EV7" s="4">
        <v>172.49331586236761</v>
      </c>
      <c r="EW7" s="4">
        <v>172.49331586236761</v>
      </c>
      <c r="EX7" s="4">
        <v>172.49331586236761</v>
      </c>
      <c r="EY7" s="654">
        <v>172.49331586236761</v>
      </c>
      <c r="EZ7" s="655"/>
      <c r="FA7" s="4"/>
      <c r="FB7" s="4"/>
      <c r="FC7" s="4"/>
      <c r="FD7" s="4"/>
      <c r="FE7" s="4"/>
      <c r="FF7" s="4"/>
      <c r="FG7" s="4"/>
      <c r="FH7" s="4"/>
      <c r="FI7" s="4"/>
      <c r="FJ7" s="4"/>
      <c r="FK7" s="654"/>
      <c r="FL7" s="655"/>
      <c r="FM7" s="4"/>
      <c r="FN7" s="4"/>
      <c r="FO7" s="4"/>
      <c r="FP7" s="4"/>
      <c r="FQ7" s="4"/>
      <c r="FR7" s="4"/>
      <c r="FS7" s="4"/>
      <c r="FT7" s="4"/>
      <c r="FU7" s="4"/>
      <c r="FV7" s="4"/>
      <c r="FW7" s="654"/>
      <c r="FX7" s="655"/>
      <c r="FY7" s="4"/>
      <c r="FZ7" s="4"/>
      <c r="GA7" s="4"/>
      <c r="GB7" s="4"/>
      <c r="GC7" s="4"/>
      <c r="GD7" s="4"/>
      <c r="GE7" s="4"/>
      <c r="GF7" s="4"/>
      <c r="GG7" s="4"/>
      <c r="GH7" s="4"/>
      <c r="GI7" s="654"/>
      <c r="GJ7" s="655"/>
      <c r="GK7" s="4"/>
      <c r="GL7" s="4"/>
      <c r="GM7" s="4"/>
      <c r="GN7" s="4"/>
      <c r="GO7" s="4"/>
      <c r="GP7" s="4"/>
      <c r="GQ7" s="4"/>
      <c r="GR7" s="4"/>
      <c r="GS7" s="4"/>
      <c r="GT7" s="4"/>
      <c r="GU7" s="722"/>
      <c r="GV7" s="715"/>
    </row>
    <row r="8" spans="1:204" x14ac:dyDescent="0.25">
      <c r="A8" t="s">
        <v>398</v>
      </c>
      <c r="B8" s="2" t="s">
        <v>358</v>
      </c>
      <c r="C8" s="619">
        <v>44126</v>
      </c>
      <c r="D8" s="2" t="s">
        <v>402</v>
      </c>
      <c r="E8" t="s">
        <v>59</v>
      </c>
      <c r="F8" s="2" t="s">
        <v>43</v>
      </c>
      <c r="G8" t="s">
        <v>40</v>
      </c>
      <c r="H8" s="690" t="s">
        <v>85</v>
      </c>
      <c r="I8" s="691" t="s">
        <v>43</v>
      </c>
      <c r="J8" s="721">
        <v>3780401000108</v>
      </c>
      <c r="K8" s="691" t="s">
        <v>620</v>
      </c>
      <c r="L8" s="721">
        <v>4149295000113</v>
      </c>
      <c r="M8" s="718" t="s">
        <v>3</v>
      </c>
      <c r="N8" s="717" t="s">
        <v>44</v>
      </c>
      <c r="O8" s="719">
        <v>44562</v>
      </c>
      <c r="P8" s="720">
        <v>44926</v>
      </c>
      <c r="Q8" s="718">
        <v>173</v>
      </c>
      <c r="R8" s="717">
        <v>1.9</v>
      </c>
      <c r="S8" s="691" t="s">
        <v>54</v>
      </c>
      <c r="T8" t="s">
        <v>649</v>
      </c>
      <c r="U8" s="673">
        <v>44105</v>
      </c>
      <c r="V8" s="690">
        <v>1</v>
      </c>
      <c r="W8" s="657" t="s">
        <v>214</v>
      </c>
      <c r="X8" s="723">
        <v>1.9</v>
      </c>
      <c r="Y8" s="4">
        <v>1.9</v>
      </c>
      <c r="Z8" s="4">
        <v>1.9</v>
      </c>
      <c r="AA8" s="4">
        <v>1.9</v>
      </c>
      <c r="AB8" s="4">
        <v>1.9</v>
      </c>
      <c r="AC8" s="4">
        <v>1.9</v>
      </c>
      <c r="AD8" s="4">
        <v>1.9</v>
      </c>
      <c r="AE8" s="4">
        <v>1.9</v>
      </c>
      <c r="AF8" s="4">
        <v>1.9</v>
      </c>
      <c r="AG8" s="4">
        <v>1.9</v>
      </c>
      <c r="AH8" s="4">
        <v>1.9</v>
      </c>
      <c r="AI8" s="654">
        <v>1.9</v>
      </c>
      <c r="AJ8" s="655"/>
      <c r="AK8" s="4"/>
      <c r="AL8" s="4"/>
      <c r="AM8" s="4"/>
      <c r="AN8" s="4"/>
      <c r="AO8" s="4"/>
      <c r="AP8" s="4"/>
      <c r="AQ8" s="4"/>
      <c r="AR8" s="4"/>
      <c r="AS8" s="4"/>
      <c r="AT8" s="4"/>
      <c r="AU8" s="654"/>
      <c r="AV8" s="655"/>
      <c r="AW8" s="4"/>
      <c r="AX8" s="4"/>
      <c r="AY8" s="4"/>
      <c r="AZ8" s="4"/>
      <c r="BA8" s="4"/>
      <c r="BB8" s="4"/>
      <c r="BC8" s="4"/>
      <c r="BD8" s="4"/>
      <c r="BE8" s="4"/>
      <c r="BF8" s="4"/>
      <c r="BG8" s="654"/>
      <c r="BH8" s="655"/>
      <c r="BI8" s="4"/>
      <c r="BJ8" s="4"/>
      <c r="BK8" s="4"/>
      <c r="BL8" s="4"/>
      <c r="BM8" s="4"/>
      <c r="BN8" s="4"/>
      <c r="BO8" s="4"/>
      <c r="BP8" s="4"/>
      <c r="BQ8" s="4"/>
      <c r="BR8" s="4"/>
      <c r="BS8" s="654"/>
      <c r="BT8" s="655"/>
      <c r="BU8" s="4"/>
      <c r="BV8" s="4"/>
      <c r="BW8" s="4"/>
      <c r="BX8" s="4"/>
      <c r="BY8" s="4"/>
      <c r="BZ8" s="4"/>
      <c r="CA8" s="4"/>
      <c r="CB8" s="4"/>
      <c r="CC8" s="4"/>
      <c r="CD8" s="4"/>
      <c r="CE8" s="693"/>
      <c r="CF8" s="723">
        <v>196.36795474567626</v>
      </c>
      <c r="CG8" s="4">
        <v>196.36795474567626</v>
      </c>
      <c r="CH8" s="4">
        <v>196.36795474567626</v>
      </c>
      <c r="CI8" s="4">
        <v>196.36795474567626</v>
      </c>
      <c r="CJ8" s="4">
        <v>196.36795474567626</v>
      </c>
      <c r="CK8" s="4">
        <v>196.36795474567626</v>
      </c>
      <c r="CL8" s="4">
        <v>196.36795474567626</v>
      </c>
      <c r="CM8" s="4">
        <v>196.36795474567626</v>
      </c>
      <c r="CN8" s="4">
        <v>196.36795474567626</v>
      </c>
      <c r="CO8" s="4">
        <v>196.36795474567626</v>
      </c>
      <c r="CP8" s="4">
        <v>196.36795474567626</v>
      </c>
      <c r="CQ8" s="654">
        <v>196.36795474567626</v>
      </c>
      <c r="CR8" s="655"/>
      <c r="CS8" s="4"/>
      <c r="CT8" s="4"/>
      <c r="CU8" s="4"/>
      <c r="CV8" s="4"/>
      <c r="CW8" s="4"/>
      <c r="CX8" s="4"/>
      <c r="CY8" s="4"/>
      <c r="CZ8" s="4"/>
      <c r="DA8" s="4"/>
      <c r="DB8" s="4"/>
      <c r="DC8" s="654"/>
      <c r="DD8" s="655"/>
      <c r="DE8" s="4"/>
      <c r="DF8" s="4"/>
      <c r="DG8" s="4"/>
      <c r="DH8" s="4"/>
      <c r="DI8" s="4"/>
      <c r="DJ8" s="4"/>
      <c r="DK8" s="4"/>
      <c r="DL8" s="4"/>
      <c r="DM8" s="4"/>
      <c r="DN8" s="4"/>
      <c r="DO8" s="654"/>
      <c r="DP8" s="655"/>
      <c r="DQ8" s="4"/>
      <c r="DR8" s="4"/>
      <c r="DS8" s="4"/>
      <c r="DT8" s="4"/>
      <c r="DU8" s="4"/>
      <c r="DV8" s="4"/>
      <c r="DW8" s="4"/>
      <c r="DX8" s="4"/>
      <c r="DY8" s="4"/>
      <c r="DZ8" s="4"/>
      <c r="EA8" s="654"/>
      <c r="EB8" s="655"/>
      <c r="EC8" s="4"/>
      <c r="ED8" s="4"/>
      <c r="EE8" s="4"/>
      <c r="EF8" s="4"/>
      <c r="EG8" s="4"/>
      <c r="EH8" s="4"/>
      <c r="EI8" s="4"/>
      <c r="EJ8" s="4"/>
      <c r="EK8" s="4"/>
      <c r="EL8" s="4"/>
      <c r="EM8" s="693"/>
      <c r="EN8" s="723">
        <v>196.36795474567626</v>
      </c>
      <c r="EO8" s="4">
        <v>196.36795474567626</v>
      </c>
      <c r="EP8" s="4">
        <v>196.36795474567626</v>
      </c>
      <c r="EQ8" s="4">
        <v>196.36795474567626</v>
      </c>
      <c r="ER8" s="4">
        <v>196.36795474567626</v>
      </c>
      <c r="ES8" s="4">
        <v>196.36795474567626</v>
      </c>
      <c r="ET8" s="4">
        <v>196.36795474567626</v>
      </c>
      <c r="EU8" s="4">
        <v>196.36795474567626</v>
      </c>
      <c r="EV8" s="4">
        <v>196.36795474567626</v>
      </c>
      <c r="EW8" s="4">
        <v>196.36795474567626</v>
      </c>
      <c r="EX8" s="4">
        <v>196.36795474567626</v>
      </c>
      <c r="EY8" s="654">
        <v>196.36795474567626</v>
      </c>
      <c r="EZ8" s="655"/>
      <c r="FA8" s="4"/>
      <c r="FB8" s="4"/>
      <c r="FC8" s="4"/>
      <c r="FD8" s="4"/>
      <c r="FE8" s="4"/>
      <c r="FF8" s="4"/>
      <c r="FG8" s="4"/>
      <c r="FH8" s="4"/>
      <c r="FI8" s="4"/>
      <c r="FJ8" s="4"/>
      <c r="FK8" s="654"/>
      <c r="FL8" s="655"/>
      <c r="FM8" s="4"/>
      <c r="FN8" s="4"/>
      <c r="FO8" s="4"/>
      <c r="FP8" s="4"/>
      <c r="FQ8" s="4"/>
      <c r="FR8" s="4"/>
      <c r="FS8" s="4"/>
      <c r="FT8" s="4"/>
      <c r="FU8" s="4"/>
      <c r="FV8" s="4"/>
      <c r="FW8" s="654"/>
      <c r="FX8" s="655"/>
      <c r="FY8" s="4"/>
      <c r="FZ8" s="4"/>
      <c r="GA8" s="4"/>
      <c r="GB8" s="4"/>
      <c r="GC8" s="4"/>
      <c r="GD8" s="4"/>
      <c r="GE8" s="4"/>
      <c r="GF8" s="4"/>
      <c r="GG8" s="4"/>
      <c r="GH8" s="4"/>
      <c r="GI8" s="654"/>
      <c r="GJ8" s="655"/>
      <c r="GK8" s="4"/>
      <c r="GL8" s="4"/>
      <c r="GM8" s="4"/>
      <c r="GN8" s="4"/>
      <c r="GO8" s="4"/>
      <c r="GP8" s="4"/>
      <c r="GQ8" s="4"/>
      <c r="GR8" s="4"/>
      <c r="GS8" s="4"/>
      <c r="GT8" s="4"/>
      <c r="GU8" s="722"/>
      <c r="GV8" s="715"/>
    </row>
    <row r="9" spans="1:204" x14ac:dyDescent="0.25">
      <c r="A9" t="s">
        <v>399</v>
      </c>
      <c r="B9" s="2" t="s">
        <v>358</v>
      </c>
      <c r="C9" s="619">
        <v>44161</v>
      </c>
      <c r="D9" s="2" t="s">
        <v>499</v>
      </c>
      <c r="E9" t="s">
        <v>59</v>
      </c>
      <c r="F9" s="2" t="s">
        <v>43</v>
      </c>
      <c r="G9" t="s">
        <v>40</v>
      </c>
      <c r="H9" s="690" t="s">
        <v>85</v>
      </c>
      <c r="I9" s="691" t="s">
        <v>43</v>
      </c>
      <c r="J9" s="721">
        <v>3780401000108</v>
      </c>
      <c r="K9" s="691" t="s">
        <v>346</v>
      </c>
      <c r="L9" s="721" t="e">
        <v>#VALUE!</v>
      </c>
      <c r="M9" s="718" t="s">
        <v>3</v>
      </c>
      <c r="N9" s="717" t="s">
        <v>44</v>
      </c>
      <c r="O9" s="719">
        <v>44562</v>
      </c>
      <c r="P9" s="720">
        <v>44926</v>
      </c>
      <c r="Q9" s="718">
        <v>190</v>
      </c>
      <c r="R9" s="717">
        <v>2.2000000000000002</v>
      </c>
      <c r="S9" s="691" t="s">
        <v>54</v>
      </c>
      <c r="T9" t="s">
        <v>649</v>
      </c>
      <c r="U9" s="673">
        <v>44166</v>
      </c>
      <c r="V9" s="690">
        <v>1</v>
      </c>
      <c r="W9" s="657" t="s">
        <v>214</v>
      </c>
      <c r="X9" s="723">
        <v>2.2000000000000002</v>
      </c>
      <c r="Y9" s="4">
        <v>2.2000000000000002</v>
      </c>
      <c r="Z9" s="4">
        <v>2.2000000000000002</v>
      </c>
      <c r="AA9" s="4">
        <v>2.2000000000000002</v>
      </c>
      <c r="AB9" s="4">
        <v>2.2000000000000002</v>
      </c>
      <c r="AC9" s="4">
        <v>2.2000000000000002</v>
      </c>
      <c r="AD9" s="4">
        <v>2.2000000000000002</v>
      </c>
      <c r="AE9" s="4">
        <v>2.2000000000000002</v>
      </c>
      <c r="AF9" s="4">
        <v>2.2000000000000002</v>
      </c>
      <c r="AG9" s="4">
        <v>2.2000000000000002</v>
      </c>
      <c r="AH9" s="4">
        <v>2.2000000000000002</v>
      </c>
      <c r="AI9" s="654">
        <v>2.2000000000000002</v>
      </c>
      <c r="AJ9" s="655"/>
      <c r="AK9" s="4"/>
      <c r="AL9" s="4"/>
      <c r="AM9" s="4"/>
      <c r="AN9" s="4"/>
      <c r="AO9" s="4"/>
      <c r="AP9" s="4"/>
      <c r="AQ9" s="4"/>
      <c r="AR9" s="4"/>
      <c r="AS9" s="4"/>
      <c r="AT9" s="4"/>
      <c r="AU9" s="654"/>
      <c r="AV9" s="655"/>
      <c r="AW9" s="4"/>
      <c r="AX9" s="4"/>
      <c r="AY9" s="4"/>
      <c r="AZ9" s="4"/>
      <c r="BA9" s="4"/>
      <c r="BB9" s="4"/>
      <c r="BC9" s="4"/>
      <c r="BD9" s="4"/>
      <c r="BE9" s="4"/>
      <c r="BF9" s="4"/>
      <c r="BG9" s="654"/>
      <c r="BH9" s="655"/>
      <c r="BI9" s="4"/>
      <c r="BJ9" s="4"/>
      <c r="BK9" s="4"/>
      <c r="BL9" s="4"/>
      <c r="BM9" s="4"/>
      <c r="BN9" s="4"/>
      <c r="BO9" s="4"/>
      <c r="BP9" s="4"/>
      <c r="BQ9" s="4"/>
      <c r="BR9" s="4"/>
      <c r="BS9" s="654"/>
      <c r="BT9" s="655"/>
      <c r="BU9" s="4"/>
      <c r="BV9" s="4"/>
      <c r="BW9" s="4"/>
      <c r="BX9" s="4"/>
      <c r="BY9" s="4"/>
      <c r="BZ9" s="4"/>
      <c r="CA9" s="4"/>
      <c r="CB9" s="4"/>
      <c r="CC9" s="4"/>
      <c r="CD9" s="4"/>
      <c r="CE9" s="693"/>
      <c r="CF9" s="723">
        <v>211.93900687503188</v>
      </c>
      <c r="CG9" s="4">
        <v>211.93900687503188</v>
      </c>
      <c r="CH9" s="4">
        <v>211.93900687503188</v>
      </c>
      <c r="CI9" s="4">
        <v>211.93900687503188</v>
      </c>
      <c r="CJ9" s="4">
        <v>211.93900687503188</v>
      </c>
      <c r="CK9" s="4">
        <v>211.93900687503188</v>
      </c>
      <c r="CL9" s="4">
        <v>211.93900687503188</v>
      </c>
      <c r="CM9" s="4">
        <v>211.93900687503188</v>
      </c>
      <c r="CN9" s="4">
        <v>211.93900687503188</v>
      </c>
      <c r="CO9" s="4">
        <v>211.93900687503188</v>
      </c>
      <c r="CP9" s="4">
        <v>211.93900687503188</v>
      </c>
      <c r="CQ9" s="654">
        <v>211.93900687503188</v>
      </c>
      <c r="CR9" s="655"/>
      <c r="CS9" s="4"/>
      <c r="CT9" s="4"/>
      <c r="CU9" s="4"/>
      <c r="CV9" s="4"/>
      <c r="CW9" s="4"/>
      <c r="CX9" s="4"/>
      <c r="CY9" s="4"/>
      <c r="CZ9" s="4"/>
      <c r="DA9" s="4"/>
      <c r="DB9" s="4"/>
      <c r="DC9" s="654"/>
      <c r="DD9" s="655"/>
      <c r="DE9" s="4"/>
      <c r="DF9" s="4"/>
      <c r="DG9" s="4"/>
      <c r="DH9" s="4"/>
      <c r="DI9" s="4"/>
      <c r="DJ9" s="4"/>
      <c r="DK9" s="4"/>
      <c r="DL9" s="4"/>
      <c r="DM9" s="4"/>
      <c r="DN9" s="4"/>
      <c r="DO9" s="654"/>
      <c r="DP9" s="655"/>
      <c r="DQ9" s="4"/>
      <c r="DR9" s="4"/>
      <c r="DS9" s="4"/>
      <c r="DT9" s="4"/>
      <c r="DU9" s="4"/>
      <c r="DV9" s="4"/>
      <c r="DW9" s="4"/>
      <c r="DX9" s="4"/>
      <c r="DY9" s="4"/>
      <c r="DZ9" s="4"/>
      <c r="EA9" s="654"/>
      <c r="EB9" s="655"/>
      <c r="EC9" s="4"/>
      <c r="ED9" s="4"/>
      <c r="EE9" s="4"/>
      <c r="EF9" s="4"/>
      <c r="EG9" s="4"/>
      <c r="EH9" s="4"/>
      <c r="EI9" s="4"/>
      <c r="EJ9" s="4"/>
      <c r="EK9" s="4"/>
      <c r="EL9" s="4"/>
      <c r="EM9" s="693"/>
      <c r="EN9" s="723">
        <v>211.93900687503188</v>
      </c>
      <c r="EO9" s="4">
        <v>211.93900687503188</v>
      </c>
      <c r="EP9" s="4">
        <v>211.93900687503188</v>
      </c>
      <c r="EQ9" s="4">
        <v>211.93900687503188</v>
      </c>
      <c r="ER9" s="4">
        <v>211.93900687503188</v>
      </c>
      <c r="ES9" s="4">
        <v>211.93900687503188</v>
      </c>
      <c r="ET9" s="4">
        <v>211.93900687503188</v>
      </c>
      <c r="EU9" s="4">
        <v>211.93900687503188</v>
      </c>
      <c r="EV9" s="4">
        <v>211.93900687503188</v>
      </c>
      <c r="EW9" s="4">
        <v>211.93900687503188</v>
      </c>
      <c r="EX9" s="4">
        <v>211.93900687503188</v>
      </c>
      <c r="EY9" s="654">
        <v>211.93900687503188</v>
      </c>
      <c r="EZ9" s="655"/>
      <c r="FA9" s="4"/>
      <c r="FB9" s="4"/>
      <c r="FC9" s="4"/>
      <c r="FD9" s="4"/>
      <c r="FE9" s="4"/>
      <c r="FF9" s="4"/>
      <c r="FG9" s="4"/>
      <c r="FH9" s="4"/>
      <c r="FI9" s="4"/>
      <c r="FJ9" s="4"/>
      <c r="FK9" s="654"/>
      <c r="FL9" s="655"/>
      <c r="FM9" s="4"/>
      <c r="FN9" s="4"/>
      <c r="FO9" s="4"/>
      <c r="FP9" s="4"/>
      <c r="FQ9" s="4"/>
      <c r="FR9" s="4"/>
      <c r="FS9" s="4"/>
      <c r="FT9" s="4"/>
      <c r="FU9" s="4"/>
      <c r="FV9" s="4"/>
      <c r="FW9" s="654"/>
      <c r="FX9" s="655"/>
      <c r="FY9" s="4"/>
      <c r="FZ9" s="4"/>
      <c r="GA9" s="4"/>
      <c r="GB9" s="4"/>
      <c r="GC9" s="4"/>
      <c r="GD9" s="4"/>
      <c r="GE9" s="4"/>
      <c r="GF9" s="4"/>
      <c r="GG9" s="4"/>
      <c r="GH9" s="4"/>
      <c r="GI9" s="654"/>
      <c r="GJ9" s="655"/>
      <c r="GK9" s="4"/>
      <c r="GL9" s="4"/>
      <c r="GM9" s="4"/>
      <c r="GN9" s="4"/>
      <c r="GO9" s="4"/>
      <c r="GP9" s="4"/>
      <c r="GQ9" s="4"/>
      <c r="GR9" s="4"/>
      <c r="GS9" s="4"/>
      <c r="GT9" s="4"/>
      <c r="GU9" s="722"/>
      <c r="GV9" s="715"/>
    </row>
    <row r="10" spans="1:204" x14ac:dyDescent="0.25">
      <c r="A10" t="s">
        <v>400</v>
      </c>
      <c r="B10" s="2" t="s">
        <v>358</v>
      </c>
      <c r="C10" s="619">
        <v>44165</v>
      </c>
      <c r="D10" s="2">
        <v>13917</v>
      </c>
      <c r="E10" t="s">
        <v>59</v>
      </c>
      <c r="F10" s="2" t="s">
        <v>43</v>
      </c>
      <c r="G10" t="s">
        <v>40</v>
      </c>
      <c r="H10" s="690" t="s">
        <v>85</v>
      </c>
      <c r="I10" s="691" t="s">
        <v>43</v>
      </c>
      <c r="J10" s="721">
        <v>3780401000108</v>
      </c>
      <c r="K10" s="691" t="s">
        <v>411</v>
      </c>
      <c r="L10" s="721">
        <v>31864869000108</v>
      </c>
      <c r="M10" s="718" t="s">
        <v>3</v>
      </c>
      <c r="N10" s="717" t="s">
        <v>44</v>
      </c>
      <c r="O10" s="719">
        <v>44562</v>
      </c>
      <c r="P10" s="720">
        <v>44926</v>
      </c>
      <c r="Q10" s="718">
        <v>184</v>
      </c>
      <c r="R10" s="717">
        <v>7</v>
      </c>
      <c r="S10" s="691" t="s">
        <v>54</v>
      </c>
      <c r="T10" t="s">
        <v>649</v>
      </c>
      <c r="U10" s="673">
        <v>44166</v>
      </c>
      <c r="V10" s="690">
        <v>1</v>
      </c>
      <c r="W10" s="657" t="s">
        <v>214</v>
      </c>
      <c r="X10" s="723">
        <v>7</v>
      </c>
      <c r="Y10" s="4">
        <v>7</v>
      </c>
      <c r="Z10" s="4">
        <v>7</v>
      </c>
      <c r="AA10" s="4">
        <v>7</v>
      </c>
      <c r="AB10" s="4">
        <v>7</v>
      </c>
      <c r="AC10" s="4">
        <v>7</v>
      </c>
      <c r="AD10" s="4">
        <v>7</v>
      </c>
      <c r="AE10" s="4">
        <v>7</v>
      </c>
      <c r="AF10" s="4">
        <v>7</v>
      </c>
      <c r="AG10" s="4">
        <v>7</v>
      </c>
      <c r="AH10" s="4">
        <v>7</v>
      </c>
      <c r="AI10" s="654">
        <v>7</v>
      </c>
      <c r="AJ10" s="655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654"/>
      <c r="AV10" s="655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654"/>
      <c r="BH10" s="655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654"/>
      <c r="BT10" s="655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693"/>
      <c r="CF10" s="723">
        <v>205.24619613160982</v>
      </c>
      <c r="CG10" s="4">
        <v>205.24619613160982</v>
      </c>
      <c r="CH10" s="4">
        <v>205.24619613160982</v>
      </c>
      <c r="CI10" s="4">
        <v>205.24619613160982</v>
      </c>
      <c r="CJ10" s="4">
        <v>205.24619613160982</v>
      </c>
      <c r="CK10" s="4">
        <v>205.24619613160982</v>
      </c>
      <c r="CL10" s="4">
        <v>205.24619613160982</v>
      </c>
      <c r="CM10" s="4">
        <v>205.24619613160982</v>
      </c>
      <c r="CN10" s="4">
        <v>205.24619613160982</v>
      </c>
      <c r="CO10" s="4">
        <v>205.24619613160982</v>
      </c>
      <c r="CP10" s="4">
        <v>205.24619613160982</v>
      </c>
      <c r="CQ10" s="654">
        <v>205.24619613160982</v>
      </c>
      <c r="CR10" s="655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654"/>
      <c r="DD10" s="655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654"/>
      <c r="DP10" s="655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654"/>
      <c r="EB10" s="655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693"/>
      <c r="EN10" s="723">
        <v>205.24619613160982</v>
      </c>
      <c r="EO10" s="4">
        <v>205.24619613160982</v>
      </c>
      <c r="EP10" s="4">
        <v>205.24619613160982</v>
      </c>
      <c r="EQ10" s="4">
        <v>205.24619613160982</v>
      </c>
      <c r="ER10" s="4">
        <v>205.24619613160982</v>
      </c>
      <c r="ES10" s="4">
        <v>205.24619613160982</v>
      </c>
      <c r="ET10" s="4">
        <v>205.24619613160982</v>
      </c>
      <c r="EU10" s="4">
        <v>205.24619613160982</v>
      </c>
      <c r="EV10" s="4">
        <v>205.24619613160982</v>
      </c>
      <c r="EW10" s="4">
        <v>205.24619613160982</v>
      </c>
      <c r="EX10" s="4">
        <v>205.24619613160982</v>
      </c>
      <c r="EY10" s="654">
        <v>205.24619613160982</v>
      </c>
      <c r="EZ10" s="655"/>
      <c r="FA10" s="4"/>
      <c r="FB10" s="4"/>
      <c r="FC10" s="4"/>
      <c r="FD10" s="4"/>
      <c r="FE10" s="4"/>
      <c r="FF10" s="4"/>
      <c r="FG10" s="4"/>
      <c r="FH10" s="4"/>
      <c r="FI10" s="4"/>
      <c r="FJ10" s="4"/>
      <c r="FK10" s="654"/>
      <c r="FL10" s="655"/>
      <c r="FM10" s="4"/>
      <c r="FN10" s="4"/>
      <c r="FO10" s="4"/>
      <c r="FP10" s="4"/>
      <c r="FQ10" s="4"/>
      <c r="FR10" s="4"/>
      <c r="FS10" s="4"/>
      <c r="FT10" s="4"/>
      <c r="FU10" s="4"/>
      <c r="FV10" s="4"/>
      <c r="FW10" s="654"/>
      <c r="FX10" s="655"/>
      <c r="FY10" s="4"/>
      <c r="FZ10" s="4"/>
      <c r="GA10" s="4"/>
      <c r="GB10" s="4"/>
      <c r="GC10" s="4"/>
      <c r="GD10" s="4"/>
      <c r="GE10" s="4"/>
      <c r="GF10" s="4"/>
      <c r="GG10" s="4"/>
      <c r="GH10" s="4"/>
      <c r="GI10" s="654"/>
      <c r="GJ10" s="655"/>
      <c r="GK10" s="4"/>
      <c r="GL10" s="4"/>
      <c r="GM10" s="4"/>
      <c r="GN10" s="4"/>
      <c r="GO10" s="4"/>
      <c r="GP10" s="4"/>
      <c r="GQ10" s="4"/>
      <c r="GR10" s="4"/>
      <c r="GS10" s="4"/>
      <c r="GT10" s="4"/>
      <c r="GU10" s="722"/>
      <c r="GV10" s="715"/>
    </row>
    <row r="11" spans="1:204" x14ac:dyDescent="0.25">
      <c r="A11" t="s">
        <v>461</v>
      </c>
      <c r="B11" s="2" t="s">
        <v>358</v>
      </c>
      <c r="C11" s="619">
        <v>44186</v>
      </c>
      <c r="D11" s="2" t="s">
        <v>500</v>
      </c>
      <c r="E11" t="s">
        <v>59</v>
      </c>
      <c r="F11" s="2" t="s">
        <v>43</v>
      </c>
      <c r="G11" t="s">
        <v>40</v>
      </c>
      <c r="H11" s="690" t="s">
        <v>85</v>
      </c>
      <c r="I11" s="691" t="s">
        <v>43</v>
      </c>
      <c r="J11" s="721">
        <v>3780401000108</v>
      </c>
      <c r="K11" s="691" t="s">
        <v>346</v>
      </c>
      <c r="L11" s="721" t="e">
        <v>#VALUE!</v>
      </c>
      <c r="M11" s="718" t="s">
        <v>3</v>
      </c>
      <c r="N11" s="717" t="s">
        <v>44</v>
      </c>
      <c r="O11" s="719">
        <v>44562</v>
      </c>
      <c r="P11" s="720">
        <v>44926</v>
      </c>
      <c r="Q11" s="718">
        <v>188</v>
      </c>
      <c r="R11" s="717">
        <v>0.87</v>
      </c>
      <c r="S11" s="691" t="s">
        <v>54</v>
      </c>
      <c r="T11" t="s">
        <v>649</v>
      </c>
      <c r="U11" s="673">
        <v>44186</v>
      </c>
      <c r="V11" s="690">
        <v>1</v>
      </c>
      <c r="W11" s="657" t="s">
        <v>214</v>
      </c>
      <c r="X11" s="723">
        <v>0.87</v>
      </c>
      <c r="Y11" s="4">
        <v>0.87</v>
      </c>
      <c r="Z11" s="4">
        <v>0.87</v>
      </c>
      <c r="AA11" s="4">
        <v>0.87</v>
      </c>
      <c r="AB11" s="4">
        <v>0.87</v>
      </c>
      <c r="AC11" s="4">
        <v>0.87</v>
      </c>
      <c r="AD11" s="4">
        <v>0.87</v>
      </c>
      <c r="AE11" s="4">
        <v>0.87</v>
      </c>
      <c r="AF11" s="4">
        <v>0.87</v>
      </c>
      <c r="AG11" s="4">
        <v>0.87</v>
      </c>
      <c r="AH11" s="4">
        <v>0.87</v>
      </c>
      <c r="AI11" s="654">
        <v>0.87</v>
      </c>
      <c r="AJ11" s="655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654"/>
      <c r="AV11" s="655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654"/>
      <c r="BH11" s="655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654"/>
      <c r="BT11" s="655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693"/>
      <c r="CF11" s="723">
        <v>209.70806996055788</v>
      </c>
      <c r="CG11" s="4">
        <v>209.70806996055788</v>
      </c>
      <c r="CH11" s="4">
        <v>209.70806996055788</v>
      </c>
      <c r="CI11" s="4">
        <v>209.70806996055788</v>
      </c>
      <c r="CJ11" s="4">
        <v>209.70806996055788</v>
      </c>
      <c r="CK11" s="4">
        <v>209.70806996055788</v>
      </c>
      <c r="CL11" s="4">
        <v>209.70806996055788</v>
      </c>
      <c r="CM11" s="4">
        <v>209.70806996055788</v>
      </c>
      <c r="CN11" s="4">
        <v>209.70806996055788</v>
      </c>
      <c r="CO11" s="4">
        <v>209.70806996055788</v>
      </c>
      <c r="CP11" s="4">
        <v>209.70806996055788</v>
      </c>
      <c r="CQ11" s="654">
        <v>209.70806996055788</v>
      </c>
      <c r="CR11" s="655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654"/>
      <c r="DD11" s="655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654"/>
      <c r="DP11" s="655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654"/>
      <c r="EB11" s="655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693"/>
      <c r="EN11" s="723">
        <v>209.70806996055788</v>
      </c>
      <c r="EO11" s="4">
        <v>209.70806996055788</v>
      </c>
      <c r="EP11" s="4">
        <v>209.70806996055788</v>
      </c>
      <c r="EQ11" s="4">
        <v>209.70806996055788</v>
      </c>
      <c r="ER11" s="4">
        <v>209.70806996055788</v>
      </c>
      <c r="ES11" s="4">
        <v>209.70806996055788</v>
      </c>
      <c r="ET11" s="4">
        <v>209.70806996055788</v>
      </c>
      <c r="EU11" s="4">
        <v>209.70806996055788</v>
      </c>
      <c r="EV11" s="4">
        <v>209.70806996055788</v>
      </c>
      <c r="EW11" s="4">
        <v>209.70806996055788</v>
      </c>
      <c r="EX11" s="4">
        <v>209.70806996055788</v>
      </c>
      <c r="EY11" s="654">
        <v>209.70806996055788</v>
      </c>
      <c r="EZ11" s="655"/>
      <c r="FA11" s="4"/>
      <c r="FB11" s="4"/>
      <c r="FC11" s="4"/>
      <c r="FD11" s="4"/>
      <c r="FE11" s="4"/>
      <c r="FF11" s="4"/>
      <c r="FG11" s="4"/>
      <c r="FH11" s="4"/>
      <c r="FI11" s="4"/>
      <c r="FJ11" s="4"/>
      <c r="FK11" s="654"/>
      <c r="FL11" s="655"/>
      <c r="FM11" s="4"/>
      <c r="FN11" s="4"/>
      <c r="FO11" s="4"/>
      <c r="FP11" s="4"/>
      <c r="FQ11" s="4"/>
      <c r="FR11" s="4"/>
      <c r="FS11" s="4"/>
      <c r="FT11" s="4"/>
      <c r="FU11" s="4"/>
      <c r="FV11" s="4"/>
      <c r="FW11" s="654"/>
      <c r="FX11" s="655"/>
      <c r="FY11" s="4"/>
      <c r="FZ11" s="4"/>
      <c r="GA11" s="4"/>
      <c r="GB11" s="4"/>
      <c r="GC11" s="4"/>
      <c r="GD11" s="4"/>
      <c r="GE11" s="4"/>
      <c r="GF11" s="4"/>
      <c r="GG11" s="4"/>
      <c r="GH11" s="4"/>
      <c r="GI11" s="654"/>
      <c r="GJ11" s="655"/>
      <c r="GK11" s="4"/>
      <c r="GL11" s="4"/>
      <c r="GM11" s="4"/>
      <c r="GN11" s="4"/>
      <c r="GO11" s="4"/>
      <c r="GP11" s="4"/>
      <c r="GQ11" s="4"/>
      <c r="GR11" s="4"/>
      <c r="GS11" s="4"/>
      <c r="GT11" s="4"/>
      <c r="GU11" s="722"/>
      <c r="GV11" s="715"/>
    </row>
    <row r="12" spans="1:204" x14ac:dyDescent="0.25">
      <c r="A12" t="s">
        <v>462</v>
      </c>
      <c r="B12" s="2" t="s">
        <v>460</v>
      </c>
      <c r="C12" s="619">
        <v>44187</v>
      </c>
      <c r="D12" s="2" t="s">
        <v>463</v>
      </c>
      <c r="E12" t="s">
        <v>58</v>
      </c>
      <c r="F12" s="2" t="s">
        <v>43</v>
      </c>
      <c r="G12" t="s">
        <v>40</v>
      </c>
      <c r="H12" s="690" t="s">
        <v>83</v>
      </c>
      <c r="I12" s="691" t="s">
        <v>405</v>
      </c>
      <c r="J12" s="721">
        <v>58177643000195</v>
      </c>
      <c r="K12" s="691" t="s">
        <v>43</v>
      </c>
      <c r="L12" s="721">
        <v>3780401000108</v>
      </c>
      <c r="M12" s="718" t="s">
        <v>3</v>
      </c>
      <c r="N12" s="717" t="s">
        <v>44</v>
      </c>
      <c r="O12" s="719">
        <v>44562</v>
      </c>
      <c r="P12" s="720">
        <v>44926</v>
      </c>
      <c r="Q12" s="718">
        <v>188</v>
      </c>
      <c r="R12" s="717">
        <v>6.12</v>
      </c>
      <c r="S12" s="691" t="s">
        <v>54</v>
      </c>
      <c r="T12" t="s">
        <v>649</v>
      </c>
      <c r="U12" s="673">
        <v>44186</v>
      </c>
      <c r="V12" s="690">
        <v>1</v>
      </c>
      <c r="W12" s="657" t="s">
        <v>329</v>
      </c>
      <c r="X12" s="723">
        <v>6.12</v>
      </c>
      <c r="Y12" s="4">
        <v>6.12</v>
      </c>
      <c r="Z12" s="4">
        <v>6.12</v>
      </c>
      <c r="AA12" s="4">
        <v>6.12</v>
      </c>
      <c r="AB12" s="4">
        <v>6.12</v>
      </c>
      <c r="AC12" s="4">
        <v>6.12</v>
      </c>
      <c r="AD12" s="4">
        <v>6.12</v>
      </c>
      <c r="AE12" s="4">
        <v>6.12</v>
      </c>
      <c r="AF12" s="4">
        <v>6.12</v>
      </c>
      <c r="AG12" s="4">
        <v>6.12</v>
      </c>
      <c r="AH12" s="4">
        <v>6.12</v>
      </c>
      <c r="AI12" s="654">
        <v>6.12</v>
      </c>
      <c r="AJ12" s="655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654"/>
      <c r="AV12" s="655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654"/>
      <c r="BH12" s="655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654"/>
      <c r="BT12" s="655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693"/>
      <c r="CF12" s="723">
        <v>209.70806996055788</v>
      </c>
      <c r="CG12" s="4">
        <v>209.70806996055788</v>
      </c>
      <c r="CH12" s="4">
        <v>209.70806996055788</v>
      </c>
      <c r="CI12" s="4">
        <v>209.70806996055788</v>
      </c>
      <c r="CJ12" s="4">
        <v>209.70806996055788</v>
      </c>
      <c r="CK12" s="4">
        <v>209.70806996055788</v>
      </c>
      <c r="CL12" s="4">
        <v>209.70806996055788</v>
      </c>
      <c r="CM12" s="4">
        <v>209.70806996055788</v>
      </c>
      <c r="CN12" s="4">
        <v>209.70806996055788</v>
      </c>
      <c r="CO12" s="4">
        <v>209.70806996055788</v>
      </c>
      <c r="CP12" s="4">
        <v>209.70806996055788</v>
      </c>
      <c r="CQ12" s="654">
        <v>209.70806996055788</v>
      </c>
      <c r="CR12" s="655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654"/>
      <c r="DD12" s="655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654"/>
      <c r="DP12" s="655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654"/>
      <c r="EB12" s="655"/>
      <c r="EC12" s="4"/>
      <c r="ED12" s="4"/>
      <c r="EE12" s="4"/>
      <c r="EF12" s="4"/>
      <c r="EG12" s="4"/>
      <c r="EH12" s="4"/>
      <c r="EI12" s="4"/>
      <c r="EJ12" s="4"/>
      <c r="EK12" s="4"/>
      <c r="EL12" s="4"/>
      <c r="EM12" s="693"/>
      <c r="EN12" s="723">
        <v>209.70806996055788</v>
      </c>
      <c r="EO12" s="4">
        <v>209.70806996055788</v>
      </c>
      <c r="EP12" s="4">
        <v>209.70806996055788</v>
      </c>
      <c r="EQ12" s="4">
        <v>209.70806996055788</v>
      </c>
      <c r="ER12" s="4">
        <v>209.70806996055788</v>
      </c>
      <c r="ES12" s="4">
        <v>209.70806996055788</v>
      </c>
      <c r="ET12" s="4">
        <v>209.70806996055788</v>
      </c>
      <c r="EU12" s="4">
        <v>209.70806996055788</v>
      </c>
      <c r="EV12" s="4">
        <v>209.70806996055788</v>
      </c>
      <c r="EW12" s="4">
        <v>209.70806996055788</v>
      </c>
      <c r="EX12" s="4">
        <v>209.70806996055788</v>
      </c>
      <c r="EY12" s="654">
        <v>209.70806996055788</v>
      </c>
      <c r="EZ12" s="655"/>
      <c r="FA12" s="4"/>
      <c r="FB12" s="4"/>
      <c r="FC12" s="4"/>
      <c r="FD12" s="4"/>
      <c r="FE12" s="4"/>
      <c r="FF12" s="4"/>
      <c r="FG12" s="4"/>
      <c r="FH12" s="4"/>
      <c r="FI12" s="4"/>
      <c r="FJ12" s="4"/>
      <c r="FK12" s="654"/>
      <c r="FL12" s="655"/>
      <c r="FM12" s="4"/>
      <c r="FN12" s="4"/>
      <c r="FO12" s="4"/>
      <c r="FP12" s="4"/>
      <c r="FQ12" s="4"/>
      <c r="FR12" s="4"/>
      <c r="FS12" s="4"/>
      <c r="FT12" s="4"/>
      <c r="FU12" s="4"/>
      <c r="FV12" s="4"/>
      <c r="FW12" s="654"/>
      <c r="FX12" s="655"/>
      <c r="FY12" s="4"/>
      <c r="FZ12" s="4"/>
      <c r="GA12" s="4"/>
      <c r="GB12" s="4"/>
      <c r="GC12" s="4"/>
      <c r="GD12" s="4"/>
      <c r="GE12" s="4"/>
      <c r="GF12" s="4"/>
      <c r="GG12" s="4"/>
      <c r="GH12" s="4"/>
      <c r="GI12" s="654"/>
      <c r="GJ12" s="655"/>
      <c r="GK12" s="4"/>
      <c r="GL12" s="4"/>
      <c r="GM12" s="4"/>
      <c r="GN12" s="4"/>
      <c r="GO12" s="4"/>
      <c r="GP12" s="4"/>
      <c r="GQ12" s="4"/>
      <c r="GR12" s="4"/>
      <c r="GS12" s="4"/>
      <c r="GT12" s="4"/>
      <c r="GU12" s="722"/>
      <c r="GV12" s="715"/>
    </row>
    <row r="13" spans="1:204" x14ac:dyDescent="0.25">
      <c r="A13" t="s">
        <v>650</v>
      </c>
      <c r="B13" s="2" t="s">
        <v>358</v>
      </c>
      <c r="C13" s="619">
        <v>44298</v>
      </c>
      <c r="D13" s="2" t="s">
        <v>514</v>
      </c>
      <c r="E13" t="s">
        <v>58</v>
      </c>
      <c r="F13" s="2" t="s">
        <v>43</v>
      </c>
      <c r="G13" t="s">
        <v>40</v>
      </c>
      <c r="H13" s="690" t="s">
        <v>84</v>
      </c>
      <c r="I13" s="691" t="s">
        <v>409</v>
      </c>
      <c r="J13" s="721">
        <v>12809025000110</v>
      </c>
      <c r="K13" s="691" t="s">
        <v>43</v>
      </c>
      <c r="L13" s="721">
        <v>3780401000108</v>
      </c>
      <c r="M13" s="718" t="s">
        <v>3</v>
      </c>
      <c r="N13" s="717" t="s">
        <v>44</v>
      </c>
      <c r="O13" s="719">
        <v>44562</v>
      </c>
      <c r="P13" s="720">
        <v>44926</v>
      </c>
      <c r="Q13" s="718">
        <v>220</v>
      </c>
      <c r="R13" s="717">
        <v>3</v>
      </c>
      <c r="S13" s="691" t="s">
        <v>54</v>
      </c>
      <c r="T13" t="s">
        <v>649</v>
      </c>
      <c r="U13" s="673">
        <v>44298</v>
      </c>
      <c r="V13" s="690">
        <v>1</v>
      </c>
      <c r="W13" s="657" t="s">
        <v>214</v>
      </c>
      <c r="X13" s="723">
        <v>3</v>
      </c>
      <c r="Y13" s="4">
        <v>3</v>
      </c>
      <c r="Z13" s="4">
        <v>3</v>
      </c>
      <c r="AA13" s="4">
        <v>3</v>
      </c>
      <c r="AB13" s="4">
        <v>3</v>
      </c>
      <c r="AC13" s="4">
        <v>3</v>
      </c>
      <c r="AD13" s="4">
        <v>3</v>
      </c>
      <c r="AE13" s="4">
        <v>3</v>
      </c>
      <c r="AF13" s="4">
        <v>3</v>
      </c>
      <c r="AG13" s="4">
        <v>3</v>
      </c>
      <c r="AH13" s="4">
        <v>3</v>
      </c>
      <c r="AI13" s="654">
        <v>3</v>
      </c>
      <c r="AJ13" s="655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654"/>
      <c r="AV13" s="655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654"/>
      <c r="BH13" s="655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654"/>
      <c r="BT13" s="655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693"/>
      <c r="CF13" s="723">
        <v>237.26435841768401</v>
      </c>
      <c r="CG13" s="4">
        <v>237.26435841768401</v>
      </c>
      <c r="CH13" s="4">
        <v>237.26435841768401</v>
      </c>
      <c r="CI13" s="4">
        <v>237.26435841768401</v>
      </c>
      <c r="CJ13" s="4">
        <v>237.26435841768401</v>
      </c>
      <c r="CK13" s="4">
        <v>237.26435841768401</v>
      </c>
      <c r="CL13" s="4">
        <v>237.26435841768401</v>
      </c>
      <c r="CM13" s="4">
        <v>237.26435841768401</v>
      </c>
      <c r="CN13" s="4">
        <v>237.26435841768401</v>
      </c>
      <c r="CO13" s="4">
        <v>237.26435841768401</v>
      </c>
      <c r="CP13" s="4">
        <v>237.26435841768401</v>
      </c>
      <c r="CQ13" s="654">
        <v>237.26435841768401</v>
      </c>
      <c r="CR13" s="655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654"/>
      <c r="DD13" s="655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654"/>
      <c r="DP13" s="655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654"/>
      <c r="EB13" s="655"/>
      <c r="EC13" s="4"/>
      <c r="ED13" s="4"/>
      <c r="EE13" s="4"/>
      <c r="EF13" s="4"/>
      <c r="EG13" s="4"/>
      <c r="EH13" s="4"/>
      <c r="EI13" s="4"/>
      <c r="EJ13" s="4"/>
      <c r="EK13" s="4"/>
      <c r="EL13" s="4"/>
      <c r="EM13" s="693"/>
      <c r="EN13" s="723">
        <v>237.26435841768401</v>
      </c>
      <c r="EO13" s="4">
        <v>237.26435841768401</v>
      </c>
      <c r="EP13" s="4">
        <v>237.26435841768401</v>
      </c>
      <c r="EQ13" s="4">
        <v>237.26435841768401</v>
      </c>
      <c r="ER13" s="4">
        <v>237.26435841768401</v>
      </c>
      <c r="ES13" s="4">
        <v>237.26435841768401</v>
      </c>
      <c r="ET13" s="4">
        <v>237.26435841768401</v>
      </c>
      <c r="EU13" s="4">
        <v>237.26435841768401</v>
      </c>
      <c r="EV13" s="4">
        <v>237.26435841768401</v>
      </c>
      <c r="EW13" s="4">
        <v>237.26435841768401</v>
      </c>
      <c r="EX13" s="4">
        <v>237.26435841768401</v>
      </c>
      <c r="EY13" s="654">
        <v>237.26435841768401</v>
      </c>
      <c r="EZ13" s="655"/>
      <c r="FA13" s="4"/>
      <c r="FB13" s="4"/>
      <c r="FC13" s="4"/>
      <c r="FD13" s="4"/>
      <c r="FE13" s="4"/>
      <c r="FF13" s="4"/>
      <c r="FG13" s="4"/>
      <c r="FH13" s="4"/>
      <c r="FI13" s="4"/>
      <c r="FJ13" s="4"/>
      <c r="FK13" s="654"/>
      <c r="FL13" s="655"/>
      <c r="FM13" s="4"/>
      <c r="FN13" s="4"/>
      <c r="FO13" s="4"/>
      <c r="FP13" s="4"/>
      <c r="FQ13" s="4"/>
      <c r="FR13" s="4"/>
      <c r="FS13" s="4"/>
      <c r="FT13" s="4"/>
      <c r="FU13" s="4"/>
      <c r="FV13" s="4"/>
      <c r="FW13" s="654"/>
      <c r="FX13" s="655"/>
      <c r="FY13" s="4"/>
      <c r="FZ13" s="4"/>
      <c r="GA13" s="4"/>
      <c r="GB13" s="4"/>
      <c r="GC13" s="4"/>
      <c r="GD13" s="4"/>
      <c r="GE13" s="4"/>
      <c r="GF13" s="4"/>
      <c r="GG13" s="4"/>
      <c r="GH13" s="4"/>
      <c r="GI13" s="654"/>
      <c r="GJ13" s="655"/>
      <c r="GK13" s="4"/>
      <c r="GL13" s="4"/>
      <c r="GM13" s="4"/>
      <c r="GN13" s="4"/>
      <c r="GO13" s="4"/>
      <c r="GP13" s="4"/>
      <c r="GQ13" s="4"/>
      <c r="GR13" s="4"/>
      <c r="GS13" s="4"/>
      <c r="GT13" s="4"/>
      <c r="GU13" s="722"/>
      <c r="GV13" s="715"/>
    </row>
    <row r="14" spans="1:204" x14ac:dyDescent="0.25">
      <c r="A14" t="s">
        <v>651</v>
      </c>
      <c r="B14" s="2" t="s">
        <v>358</v>
      </c>
      <c r="C14" s="619">
        <v>44299</v>
      </c>
      <c r="D14" s="2" t="s">
        <v>515</v>
      </c>
      <c r="E14" t="s">
        <v>58</v>
      </c>
      <c r="F14" s="2" t="s">
        <v>43</v>
      </c>
      <c r="G14" t="s">
        <v>40</v>
      </c>
      <c r="H14" s="690" t="s">
        <v>84</v>
      </c>
      <c r="I14" s="691" t="s">
        <v>471</v>
      </c>
      <c r="J14" s="721">
        <v>11182210000164</v>
      </c>
      <c r="K14" s="691" t="s">
        <v>43</v>
      </c>
      <c r="L14" s="721">
        <v>3780401000108</v>
      </c>
      <c r="M14" s="718" t="s">
        <v>3</v>
      </c>
      <c r="N14" s="717" t="s">
        <v>44</v>
      </c>
      <c r="O14" s="719">
        <v>44562</v>
      </c>
      <c r="P14" s="720">
        <v>44926</v>
      </c>
      <c r="Q14" s="718">
        <v>223</v>
      </c>
      <c r="R14" s="717">
        <v>2</v>
      </c>
      <c r="S14" s="691" t="s">
        <v>54</v>
      </c>
      <c r="T14" t="s">
        <v>649</v>
      </c>
      <c r="U14" s="673">
        <v>44299</v>
      </c>
      <c r="V14" s="690">
        <v>1</v>
      </c>
      <c r="W14" s="657" t="s">
        <v>214</v>
      </c>
      <c r="X14" s="723">
        <v>2</v>
      </c>
      <c r="Y14" s="4">
        <v>2</v>
      </c>
      <c r="Z14" s="4">
        <v>2</v>
      </c>
      <c r="AA14" s="4">
        <v>2</v>
      </c>
      <c r="AB14" s="4">
        <v>2</v>
      </c>
      <c r="AC14" s="4">
        <v>2</v>
      </c>
      <c r="AD14" s="4">
        <v>2</v>
      </c>
      <c r="AE14" s="4">
        <v>2</v>
      </c>
      <c r="AF14" s="4">
        <v>2</v>
      </c>
      <c r="AG14" s="4">
        <v>2</v>
      </c>
      <c r="AH14" s="4">
        <v>2</v>
      </c>
      <c r="AI14" s="654">
        <v>2</v>
      </c>
      <c r="AJ14" s="655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654"/>
      <c r="AV14" s="655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654"/>
      <c r="BH14" s="655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654"/>
      <c r="BT14" s="655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693"/>
      <c r="CF14" s="723">
        <v>240.49978148701607</v>
      </c>
      <c r="CG14" s="4">
        <v>240.49978148701607</v>
      </c>
      <c r="CH14" s="4">
        <v>240.49978148701607</v>
      </c>
      <c r="CI14" s="4">
        <v>240.49978148701607</v>
      </c>
      <c r="CJ14" s="4">
        <v>240.49978148701607</v>
      </c>
      <c r="CK14" s="4">
        <v>240.49978148701607</v>
      </c>
      <c r="CL14" s="4">
        <v>240.49978148701607</v>
      </c>
      <c r="CM14" s="4">
        <v>240.49978148701607</v>
      </c>
      <c r="CN14" s="4">
        <v>240.49978148701607</v>
      </c>
      <c r="CO14" s="4">
        <v>240.49978148701607</v>
      </c>
      <c r="CP14" s="4">
        <v>240.49978148701607</v>
      </c>
      <c r="CQ14" s="654">
        <v>240.49978148701607</v>
      </c>
      <c r="CR14" s="655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654"/>
      <c r="DD14" s="655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654"/>
      <c r="DP14" s="655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654"/>
      <c r="EB14" s="655"/>
      <c r="EC14" s="4"/>
      <c r="ED14" s="4"/>
      <c r="EE14" s="4"/>
      <c r="EF14" s="4"/>
      <c r="EG14" s="4"/>
      <c r="EH14" s="4"/>
      <c r="EI14" s="4"/>
      <c r="EJ14" s="4"/>
      <c r="EK14" s="4"/>
      <c r="EL14" s="4"/>
      <c r="EM14" s="693"/>
      <c r="EN14" s="723">
        <v>240.49978148701607</v>
      </c>
      <c r="EO14" s="4">
        <v>240.49978148701607</v>
      </c>
      <c r="EP14" s="4">
        <v>240.49978148701607</v>
      </c>
      <c r="EQ14" s="4">
        <v>240.49978148701607</v>
      </c>
      <c r="ER14" s="4">
        <v>240.49978148701607</v>
      </c>
      <c r="ES14" s="4">
        <v>240.49978148701607</v>
      </c>
      <c r="ET14" s="4">
        <v>240.49978148701607</v>
      </c>
      <c r="EU14" s="4">
        <v>240.49978148701607</v>
      </c>
      <c r="EV14" s="4">
        <v>240.49978148701607</v>
      </c>
      <c r="EW14" s="4">
        <v>240.49978148701607</v>
      </c>
      <c r="EX14" s="4">
        <v>240.49978148701607</v>
      </c>
      <c r="EY14" s="654">
        <v>240.49978148701607</v>
      </c>
      <c r="EZ14" s="655"/>
      <c r="FA14" s="4"/>
      <c r="FB14" s="4"/>
      <c r="FC14" s="4"/>
      <c r="FD14" s="4"/>
      <c r="FE14" s="4"/>
      <c r="FF14" s="4"/>
      <c r="FG14" s="4"/>
      <c r="FH14" s="4"/>
      <c r="FI14" s="4"/>
      <c r="FJ14" s="4"/>
      <c r="FK14" s="654"/>
      <c r="FL14" s="655"/>
      <c r="FM14" s="4"/>
      <c r="FN14" s="4"/>
      <c r="FO14" s="4"/>
      <c r="FP14" s="4"/>
      <c r="FQ14" s="4"/>
      <c r="FR14" s="4"/>
      <c r="FS14" s="4"/>
      <c r="FT14" s="4"/>
      <c r="FU14" s="4"/>
      <c r="FV14" s="4"/>
      <c r="FW14" s="654"/>
      <c r="FX14" s="655"/>
      <c r="FY14" s="4"/>
      <c r="FZ14" s="4"/>
      <c r="GA14" s="4"/>
      <c r="GB14" s="4"/>
      <c r="GC14" s="4"/>
      <c r="GD14" s="4"/>
      <c r="GE14" s="4"/>
      <c r="GF14" s="4"/>
      <c r="GG14" s="4"/>
      <c r="GH14" s="4"/>
      <c r="GI14" s="654"/>
      <c r="GJ14" s="655"/>
      <c r="GK14" s="4"/>
      <c r="GL14" s="4"/>
      <c r="GM14" s="4"/>
      <c r="GN14" s="4"/>
      <c r="GO14" s="4"/>
      <c r="GP14" s="4"/>
      <c r="GQ14" s="4"/>
      <c r="GR14" s="4"/>
      <c r="GS14" s="4"/>
      <c r="GT14" s="4"/>
      <c r="GU14" s="722"/>
      <c r="GV14" s="715"/>
    </row>
    <row r="15" spans="1:204" x14ac:dyDescent="0.25">
      <c r="A15" t="s">
        <v>652</v>
      </c>
      <c r="B15" s="2" t="s">
        <v>358</v>
      </c>
      <c r="C15" s="619">
        <v>44299</v>
      </c>
      <c r="D15" s="2" t="s">
        <v>516</v>
      </c>
      <c r="E15" t="s">
        <v>58</v>
      </c>
      <c r="F15" s="2" t="s">
        <v>43</v>
      </c>
      <c r="G15" t="s">
        <v>40</v>
      </c>
      <c r="H15" s="690" t="s">
        <v>84</v>
      </c>
      <c r="I15" s="691" t="s">
        <v>468</v>
      </c>
      <c r="J15" s="721">
        <v>13145928000106</v>
      </c>
      <c r="K15" s="691" t="s">
        <v>43</v>
      </c>
      <c r="L15" s="721">
        <v>3780401000108</v>
      </c>
      <c r="M15" s="718" t="s">
        <v>3</v>
      </c>
      <c r="N15" s="717" t="s">
        <v>44</v>
      </c>
      <c r="O15" s="719">
        <v>44562</v>
      </c>
      <c r="P15" s="720">
        <v>44926</v>
      </c>
      <c r="Q15" s="718">
        <v>0</v>
      </c>
      <c r="R15" s="717">
        <v>0</v>
      </c>
      <c r="S15" s="691" t="s">
        <v>54</v>
      </c>
      <c r="T15" t="s">
        <v>649</v>
      </c>
      <c r="U15" s="673">
        <v>44299</v>
      </c>
      <c r="V15" s="690">
        <v>1</v>
      </c>
      <c r="W15" s="657" t="s">
        <v>214</v>
      </c>
      <c r="X15" s="723">
        <v>0</v>
      </c>
      <c r="Y15" s="4">
        <v>0</v>
      </c>
      <c r="Z15" s="4">
        <v>0</v>
      </c>
      <c r="AA15" s="4">
        <v>0</v>
      </c>
      <c r="AB15" s="4">
        <v>0</v>
      </c>
      <c r="AC15" s="4">
        <v>0</v>
      </c>
      <c r="AD15" s="4">
        <v>0</v>
      </c>
      <c r="AE15" s="4">
        <v>0</v>
      </c>
      <c r="AF15" s="4">
        <v>0</v>
      </c>
      <c r="AG15" s="4">
        <v>0</v>
      </c>
      <c r="AH15" s="4">
        <v>0</v>
      </c>
      <c r="AI15" s="654">
        <v>0</v>
      </c>
      <c r="AJ15" s="655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654"/>
      <c r="AV15" s="655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654"/>
      <c r="BH15" s="655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654"/>
      <c r="BT15" s="655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693"/>
      <c r="CF15" s="723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  <c r="CO15" s="4">
        <v>0</v>
      </c>
      <c r="CP15" s="4">
        <v>0</v>
      </c>
      <c r="CQ15" s="654">
        <v>0</v>
      </c>
      <c r="CR15" s="655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654"/>
      <c r="DD15" s="655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654"/>
      <c r="DP15" s="655"/>
      <c r="DQ15" s="4"/>
      <c r="DR15" s="4"/>
      <c r="DS15" s="4"/>
      <c r="DT15" s="4"/>
      <c r="DU15" s="4"/>
      <c r="DV15" s="4"/>
      <c r="DW15" s="4"/>
      <c r="DX15" s="4"/>
      <c r="DY15" s="4"/>
      <c r="DZ15" s="4"/>
      <c r="EA15" s="654"/>
      <c r="EB15" s="655"/>
      <c r="EC15" s="4"/>
      <c r="ED15" s="4"/>
      <c r="EE15" s="4"/>
      <c r="EF15" s="4"/>
      <c r="EG15" s="4"/>
      <c r="EH15" s="4"/>
      <c r="EI15" s="4"/>
      <c r="EJ15" s="4"/>
      <c r="EK15" s="4"/>
      <c r="EL15" s="4"/>
      <c r="EM15" s="693"/>
      <c r="EN15" s="723">
        <v>0</v>
      </c>
      <c r="EO15" s="4">
        <v>0</v>
      </c>
      <c r="EP15" s="4">
        <v>0</v>
      </c>
      <c r="EQ15" s="4">
        <v>0</v>
      </c>
      <c r="ER15" s="4">
        <v>0</v>
      </c>
      <c r="ES15" s="4">
        <v>0</v>
      </c>
      <c r="ET15" s="4">
        <v>0</v>
      </c>
      <c r="EU15" s="4">
        <v>0</v>
      </c>
      <c r="EV15" s="4">
        <v>0</v>
      </c>
      <c r="EW15" s="4">
        <v>0</v>
      </c>
      <c r="EX15" s="4">
        <v>0</v>
      </c>
      <c r="EY15" s="654">
        <v>0</v>
      </c>
      <c r="EZ15" s="655"/>
      <c r="FA15" s="4"/>
      <c r="FB15" s="4"/>
      <c r="FC15" s="4"/>
      <c r="FD15" s="4"/>
      <c r="FE15" s="4"/>
      <c r="FF15" s="4"/>
      <c r="FG15" s="4"/>
      <c r="FH15" s="4"/>
      <c r="FI15" s="4"/>
      <c r="FJ15" s="4"/>
      <c r="FK15" s="654"/>
      <c r="FL15" s="655"/>
      <c r="FM15" s="4"/>
      <c r="FN15" s="4"/>
      <c r="FO15" s="4"/>
      <c r="FP15" s="4"/>
      <c r="FQ15" s="4"/>
      <c r="FR15" s="4"/>
      <c r="FS15" s="4"/>
      <c r="FT15" s="4"/>
      <c r="FU15" s="4"/>
      <c r="FV15" s="4"/>
      <c r="FW15" s="654"/>
      <c r="FX15" s="655"/>
      <c r="FY15" s="4"/>
      <c r="FZ15" s="4"/>
      <c r="GA15" s="4"/>
      <c r="GB15" s="4"/>
      <c r="GC15" s="4"/>
      <c r="GD15" s="4"/>
      <c r="GE15" s="4"/>
      <c r="GF15" s="4"/>
      <c r="GG15" s="4"/>
      <c r="GH15" s="4"/>
      <c r="GI15" s="654"/>
      <c r="GJ15" s="655"/>
      <c r="GK15" s="4"/>
      <c r="GL15" s="4"/>
      <c r="GM15" s="4"/>
      <c r="GN15" s="4"/>
      <c r="GO15" s="4"/>
      <c r="GP15" s="4"/>
      <c r="GQ15" s="4"/>
      <c r="GR15" s="4"/>
      <c r="GS15" s="4"/>
      <c r="GT15" s="4"/>
      <c r="GU15" s="722"/>
      <c r="GV15" s="715"/>
    </row>
    <row r="16" spans="1:204" x14ac:dyDescent="0.25">
      <c r="A16" t="s">
        <v>653</v>
      </c>
      <c r="B16" s="2" t="s">
        <v>358</v>
      </c>
      <c r="C16" s="619">
        <v>44300</v>
      </c>
      <c r="D16" s="2" t="s">
        <v>517</v>
      </c>
      <c r="E16" t="s">
        <v>58</v>
      </c>
      <c r="F16" s="2" t="s">
        <v>43</v>
      </c>
      <c r="G16" t="s">
        <v>40</v>
      </c>
      <c r="H16" s="690" t="s">
        <v>84</v>
      </c>
      <c r="I16" s="691" t="s">
        <v>410</v>
      </c>
      <c r="J16" s="721">
        <v>3631957000124</v>
      </c>
      <c r="K16" s="691" t="s">
        <v>43</v>
      </c>
      <c r="L16" s="721">
        <v>3780401000108</v>
      </c>
      <c r="M16" s="718" t="s">
        <v>3</v>
      </c>
      <c r="N16" s="717" t="s">
        <v>44</v>
      </c>
      <c r="O16" s="719">
        <v>44562</v>
      </c>
      <c r="P16" s="720">
        <v>44926</v>
      </c>
      <c r="Q16" s="718">
        <v>225</v>
      </c>
      <c r="R16" s="717">
        <v>10</v>
      </c>
      <c r="S16" s="691" t="s">
        <v>54</v>
      </c>
      <c r="T16" t="s">
        <v>649</v>
      </c>
      <c r="U16" s="673">
        <v>44300</v>
      </c>
      <c r="V16" s="690">
        <v>1</v>
      </c>
      <c r="W16" s="657" t="s">
        <v>214</v>
      </c>
      <c r="X16" s="723">
        <v>10</v>
      </c>
      <c r="Y16" s="4">
        <v>10</v>
      </c>
      <c r="Z16" s="4">
        <v>10</v>
      </c>
      <c r="AA16" s="4">
        <v>10</v>
      </c>
      <c r="AB16" s="4">
        <v>10</v>
      </c>
      <c r="AC16" s="4">
        <v>10</v>
      </c>
      <c r="AD16" s="4">
        <v>10</v>
      </c>
      <c r="AE16" s="4">
        <v>10</v>
      </c>
      <c r="AF16" s="4">
        <v>10</v>
      </c>
      <c r="AG16" s="4">
        <v>10</v>
      </c>
      <c r="AH16" s="4">
        <v>10</v>
      </c>
      <c r="AI16" s="654">
        <v>10</v>
      </c>
      <c r="AJ16" s="655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654"/>
      <c r="AV16" s="655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654"/>
      <c r="BH16" s="655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654"/>
      <c r="BT16" s="655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693"/>
      <c r="CF16" s="723">
        <v>242.6567301999041</v>
      </c>
      <c r="CG16" s="4">
        <v>242.6567301999041</v>
      </c>
      <c r="CH16" s="4">
        <v>242.6567301999041</v>
      </c>
      <c r="CI16" s="4">
        <v>242.6567301999041</v>
      </c>
      <c r="CJ16" s="4">
        <v>242.6567301999041</v>
      </c>
      <c r="CK16" s="4">
        <v>242.6567301999041</v>
      </c>
      <c r="CL16" s="4">
        <v>242.6567301999041</v>
      </c>
      <c r="CM16" s="4">
        <v>242.6567301999041</v>
      </c>
      <c r="CN16" s="4">
        <v>242.6567301999041</v>
      </c>
      <c r="CO16" s="4">
        <v>242.6567301999041</v>
      </c>
      <c r="CP16" s="4">
        <v>242.6567301999041</v>
      </c>
      <c r="CQ16" s="654">
        <v>242.6567301999041</v>
      </c>
      <c r="CR16" s="655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654"/>
      <c r="DD16" s="655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654"/>
      <c r="DP16" s="655"/>
      <c r="DQ16" s="4"/>
      <c r="DR16" s="4"/>
      <c r="DS16" s="4"/>
      <c r="DT16" s="4"/>
      <c r="DU16" s="4"/>
      <c r="DV16" s="4"/>
      <c r="DW16" s="4"/>
      <c r="DX16" s="4"/>
      <c r="DY16" s="4"/>
      <c r="DZ16" s="4"/>
      <c r="EA16" s="654"/>
      <c r="EB16" s="655"/>
      <c r="EC16" s="4"/>
      <c r="ED16" s="4"/>
      <c r="EE16" s="4"/>
      <c r="EF16" s="4"/>
      <c r="EG16" s="4"/>
      <c r="EH16" s="4"/>
      <c r="EI16" s="4"/>
      <c r="EJ16" s="4"/>
      <c r="EK16" s="4"/>
      <c r="EL16" s="4"/>
      <c r="EM16" s="693"/>
      <c r="EN16" s="723">
        <v>242.6567301999041</v>
      </c>
      <c r="EO16" s="4">
        <v>242.6567301999041</v>
      </c>
      <c r="EP16" s="4">
        <v>242.6567301999041</v>
      </c>
      <c r="EQ16" s="4">
        <v>242.6567301999041</v>
      </c>
      <c r="ER16" s="4">
        <v>242.6567301999041</v>
      </c>
      <c r="ES16" s="4">
        <v>242.6567301999041</v>
      </c>
      <c r="ET16" s="4">
        <v>242.6567301999041</v>
      </c>
      <c r="EU16" s="4">
        <v>242.6567301999041</v>
      </c>
      <c r="EV16" s="4">
        <v>242.6567301999041</v>
      </c>
      <c r="EW16" s="4">
        <v>242.6567301999041</v>
      </c>
      <c r="EX16" s="4">
        <v>242.6567301999041</v>
      </c>
      <c r="EY16" s="654">
        <v>242.6567301999041</v>
      </c>
      <c r="EZ16" s="655"/>
      <c r="FA16" s="4"/>
      <c r="FB16" s="4"/>
      <c r="FC16" s="4"/>
      <c r="FD16" s="4"/>
      <c r="FE16" s="4"/>
      <c r="FF16" s="4"/>
      <c r="FG16" s="4"/>
      <c r="FH16" s="4"/>
      <c r="FI16" s="4"/>
      <c r="FJ16" s="4"/>
      <c r="FK16" s="654"/>
      <c r="FL16" s="655"/>
      <c r="FM16" s="4"/>
      <c r="FN16" s="4"/>
      <c r="FO16" s="4"/>
      <c r="FP16" s="4"/>
      <c r="FQ16" s="4"/>
      <c r="FR16" s="4"/>
      <c r="FS16" s="4"/>
      <c r="FT16" s="4"/>
      <c r="FU16" s="4"/>
      <c r="FV16" s="4"/>
      <c r="FW16" s="654"/>
      <c r="FX16" s="655"/>
      <c r="FY16" s="4"/>
      <c r="FZ16" s="4"/>
      <c r="GA16" s="4"/>
      <c r="GB16" s="4"/>
      <c r="GC16" s="4"/>
      <c r="GD16" s="4"/>
      <c r="GE16" s="4"/>
      <c r="GF16" s="4"/>
      <c r="GG16" s="4"/>
      <c r="GH16" s="4"/>
      <c r="GI16" s="654"/>
      <c r="GJ16" s="655"/>
      <c r="GK16" s="4"/>
      <c r="GL16" s="4"/>
      <c r="GM16" s="4"/>
      <c r="GN16" s="4"/>
      <c r="GO16" s="4"/>
      <c r="GP16" s="4"/>
      <c r="GQ16" s="4"/>
      <c r="GR16" s="4"/>
      <c r="GS16" s="4"/>
      <c r="GT16" s="4"/>
      <c r="GU16" s="722"/>
      <c r="GV16" s="715"/>
    </row>
    <row r="17" spans="1:204" x14ac:dyDescent="0.25">
      <c r="A17" t="s">
        <v>654</v>
      </c>
      <c r="B17" s="2" t="s">
        <v>358</v>
      </c>
      <c r="C17" s="619">
        <v>44330</v>
      </c>
      <c r="D17" s="2" t="s">
        <v>518</v>
      </c>
      <c r="E17" t="s">
        <v>58</v>
      </c>
      <c r="F17" s="2" t="s">
        <v>43</v>
      </c>
      <c r="G17" t="s">
        <v>40</v>
      </c>
      <c r="H17" s="690" t="s">
        <v>84</v>
      </c>
      <c r="I17" s="691" t="s">
        <v>530</v>
      </c>
      <c r="J17" s="721">
        <v>9625739000163</v>
      </c>
      <c r="K17" s="691" t="s">
        <v>43</v>
      </c>
      <c r="L17" s="721">
        <v>3780401000108</v>
      </c>
      <c r="M17" s="718" t="s">
        <v>3</v>
      </c>
      <c r="N17" s="717" t="s">
        <v>44</v>
      </c>
      <c r="O17" s="719">
        <v>44562</v>
      </c>
      <c r="P17" s="720">
        <v>44926</v>
      </c>
      <c r="Q17" s="718">
        <v>252</v>
      </c>
      <c r="R17" s="717">
        <v>3</v>
      </c>
      <c r="S17" s="691" t="s">
        <v>54</v>
      </c>
      <c r="T17" t="s">
        <v>649</v>
      </c>
      <c r="U17" s="673">
        <v>44330</v>
      </c>
      <c r="V17" s="690">
        <v>1</v>
      </c>
      <c r="W17" s="657" t="s">
        <v>214</v>
      </c>
      <c r="X17" s="723">
        <v>3</v>
      </c>
      <c r="Y17" s="4">
        <v>3</v>
      </c>
      <c r="Z17" s="4">
        <v>3</v>
      </c>
      <c r="AA17" s="4">
        <v>3</v>
      </c>
      <c r="AB17" s="4">
        <v>3</v>
      </c>
      <c r="AC17" s="4">
        <v>3</v>
      </c>
      <c r="AD17" s="4">
        <v>3</v>
      </c>
      <c r="AE17" s="4">
        <v>3</v>
      </c>
      <c r="AF17" s="4">
        <v>3</v>
      </c>
      <c r="AG17" s="4">
        <v>3</v>
      </c>
      <c r="AH17" s="4">
        <v>3</v>
      </c>
      <c r="AI17" s="654">
        <v>3</v>
      </c>
      <c r="AJ17" s="655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654"/>
      <c r="AV17" s="655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654"/>
      <c r="BH17" s="655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654"/>
      <c r="BT17" s="655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693"/>
      <c r="CF17" s="723">
        <v>270.93571502606147</v>
      </c>
      <c r="CG17" s="4">
        <v>270.93571502606147</v>
      </c>
      <c r="CH17" s="4">
        <v>270.93571502606147</v>
      </c>
      <c r="CI17" s="4">
        <v>270.93571502606147</v>
      </c>
      <c r="CJ17" s="4">
        <v>270.93571502606147</v>
      </c>
      <c r="CK17" s="4">
        <v>270.93571502606147</v>
      </c>
      <c r="CL17" s="4">
        <v>270.93571502606147</v>
      </c>
      <c r="CM17" s="4">
        <v>270.93571502606147</v>
      </c>
      <c r="CN17" s="4">
        <v>270.93571502606147</v>
      </c>
      <c r="CO17" s="4">
        <v>270.93571502606147</v>
      </c>
      <c r="CP17" s="4">
        <v>270.93571502606147</v>
      </c>
      <c r="CQ17" s="654">
        <v>270.93571502606147</v>
      </c>
      <c r="CR17" s="655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654"/>
      <c r="DD17" s="655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654"/>
      <c r="DP17" s="655"/>
      <c r="DQ17" s="4"/>
      <c r="DR17" s="4"/>
      <c r="DS17" s="4"/>
      <c r="DT17" s="4"/>
      <c r="DU17" s="4"/>
      <c r="DV17" s="4"/>
      <c r="DW17" s="4"/>
      <c r="DX17" s="4"/>
      <c r="DY17" s="4"/>
      <c r="DZ17" s="4"/>
      <c r="EA17" s="654"/>
      <c r="EB17" s="655"/>
      <c r="EC17" s="4"/>
      <c r="ED17" s="4"/>
      <c r="EE17" s="4"/>
      <c r="EF17" s="4"/>
      <c r="EG17" s="4"/>
      <c r="EH17" s="4"/>
      <c r="EI17" s="4"/>
      <c r="EJ17" s="4"/>
      <c r="EK17" s="4"/>
      <c r="EL17" s="4"/>
      <c r="EM17" s="693"/>
      <c r="EN17" s="723">
        <v>270.93571502606147</v>
      </c>
      <c r="EO17" s="4">
        <v>270.93571502606147</v>
      </c>
      <c r="EP17" s="4">
        <v>270.93571502606147</v>
      </c>
      <c r="EQ17" s="4">
        <v>270.93571502606147</v>
      </c>
      <c r="ER17" s="4">
        <v>270.93571502606147</v>
      </c>
      <c r="ES17" s="4">
        <v>270.93571502606147</v>
      </c>
      <c r="ET17" s="4">
        <v>270.93571502606147</v>
      </c>
      <c r="EU17" s="4">
        <v>270.93571502606147</v>
      </c>
      <c r="EV17" s="4">
        <v>270.93571502606147</v>
      </c>
      <c r="EW17" s="4">
        <v>270.93571502606147</v>
      </c>
      <c r="EX17" s="4">
        <v>270.93571502606147</v>
      </c>
      <c r="EY17" s="654">
        <v>270.93571502606147</v>
      </c>
      <c r="EZ17" s="655"/>
      <c r="FA17" s="4"/>
      <c r="FB17" s="4"/>
      <c r="FC17" s="4"/>
      <c r="FD17" s="4"/>
      <c r="FE17" s="4"/>
      <c r="FF17" s="4"/>
      <c r="FG17" s="4"/>
      <c r="FH17" s="4"/>
      <c r="FI17" s="4"/>
      <c r="FJ17" s="4"/>
      <c r="FK17" s="654"/>
      <c r="FL17" s="655"/>
      <c r="FM17" s="4"/>
      <c r="FN17" s="4"/>
      <c r="FO17" s="4"/>
      <c r="FP17" s="4"/>
      <c r="FQ17" s="4"/>
      <c r="FR17" s="4"/>
      <c r="FS17" s="4"/>
      <c r="FT17" s="4"/>
      <c r="FU17" s="4"/>
      <c r="FV17" s="4"/>
      <c r="FW17" s="654"/>
      <c r="FX17" s="655"/>
      <c r="FY17" s="4"/>
      <c r="FZ17" s="4"/>
      <c r="GA17" s="4"/>
      <c r="GB17" s="4"/>
      <c r="GC17" s="4"/>
      <c r="GD17" s="4"/>
      <c r="GE17" s="4"/>
      <c r="GF17" s="4"/>
      <c r="GG17" s="4"/>
      <c r="GH17" s="4"/>
      <c r="GI17" s="654"/>
      <c r="GJ17" s="655"/>
      <c r="GK17" s="4"/>
      <c r="GL17" s="4"/>
      <c r="GM17" s="4"/>
      <c r="GN17" s="4"/>
      <c r="GO17" s="4"/>
      <c r="GP17" s="4"/>
      <c r="GQ17" s="4"/>
      <c r="GR17" s="4"/>
      <c r="GS17" s="4"/>
      <c r="GT17" s="4"/>
      <c r="GU17" s="722"/>
      <c r="GV17" s="715"/>
    </row>
    <row r="18" spans="1:204" x14ac:dyDescent="0.25">
      <c r="A18" t="s">
        <v>655</v>
      </c>
      <c r="B18" s="2" t="s">
        <v>358</v>
      </c>
      <c r="C18" s="619">
        <v>44330</v>
      </c>
      <c r="D18" s="2" t="s">
        <v>519</v>
      </c>
      <c r="E18" t="s">
        <v>59</v>
      </c>
      <c r="F18" s="2" t="s">
        <v>43</v>
      </c>
      <c r="G18" t="s">
        <v>40</v>
      </c>
      <c r="H18" s="690" t="s">
        <v>85</v>
      </c>
      <c r="I18" s="691" t="s">
        <v>43</v>
      </c>
      <c r="J18" s="721">
        <v>3780401000108</v>
      </c>
      <c r="K18" s="691" t="s">
        <v>465</v>
      </c>
      <c r="L18" s="721">
        <v>11085823000183</v>
      </c>
      <c r="M18" s="718" t="s">
        <v>3</v>
      </c>
      <c r="N18" s="717" t="s">
        <v>44</v>
      </c>
      <c r="O18" s="719">
        <v>44562</v>
      </c>
      <c r="P18" s="720">
        <v>44651</v>
      </c>
      <c r="Q18" s="718">
        <v>270</v>
      </c>
      <c r="R18" s="717">
        <v>5</v>
      </c>
      <c r="S18" s="691" t="s">
        <v>54</v>
      </c>
      <c r="T18" t="s">
        <v>649</v>
      </c>
      <c r="U18" s="673">
        <v>44330</v>
      </c>
      <c r="V18" s="690">
        <v>1</v>
      </c>
      <c r="W18" s="657" t="s">
        <v>214</v>
      </c>
      <c r="X18" s="723">
        <v>5</v>
      </c>
      <c r="Y18" s="4">
        <v>5</v>
      </c>
      <c r="Z18" s="4">
        <v>5</v>
      </c>
      <c r="AA18" s="4"/>
      <c r="AB18" s="4"/>
      <c r="AC18" s="4"/>
      <c r="AD18" s="4"/>
      <c r="AE18" s="4"/>
      <c r="AF18" s="4"/>
      <c r="AG18" s="4"/>
      <c r="AH18" s="4"/>
      <c r="AI18" s="654"/>
      <c r="AJ18" s="655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654"/>
      <c r="AV18" s="655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654"/>
      <c r="BH18" s="655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654"/>
      <c r="BT18" s="655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693"/>
      <c r="CF18" s="723">
        <v>290.28826609935157</v>
      </c>
      <c r="CG18" s="4">
        <v>290.28826609935157</v>
      </c>
      <c r="CH18" s="4">
        <v>290.28826609935157</v>
      </c>
      <c r="CI18" s="4"/>
      <c r="CJ18" s="4"/>
      <c r="CK18" s="4"/>
      <c r="CL18" s="4"/>
      <c r="CM18" s="4"/>
      <c r="CN18" s="4"/>
      <c r="CO18" s="4"/>
      <c r="CP18" s="4"/>
      <c r="CQ18" s="654"/>
      <c r="CR18" s="655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654"/>
      <c r="DD18" s="655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654"/>
      <c r="DP18" s="655"/>
      <c r="DQ18" s="4"/>
      <c r="DR18" s="4"/>
      <c r="DS18" s="4"/>
      <c r="DT18" s="4"/>
      <c r="DU18" s="4"/>
      <c r="DV18" s="4"/>
      <c r="DW18" s="4"/>
      <c r="DX18" s="4"/>
      <c r="DY18" s="4"/>
      <c r="DZ18" s="4"/>
      <c r="EA18" s="654"/>
      <c r="EB18" s="655"/>
      <c r="EC18" s="4"/>
      <c r="ED18" s="4"/>
      <c r="EE18" s="4"/>
      <c r="EF18" s="4"/>
      <c r="EG18" s="4"/>
      <c r="EH18" s="4"/>
      <c r="EI18" s="4"/>
      <c r="EJ18" s="4"/>
      <c r="EK18" s="4"/>
      <c r="EL18" s="4"/>
      <c r="EM18" s="693"/>
      <c r="EN18" s="723">
        <v>290.28826609935157</v>
      </c>
      <c r="EO18" s="4">
        <v>290.28826609935157</v>
      </c>
      <c r="EP18" s="4">
        <v>290.28826609935157</v>
      </c>
      <c r="EQ18" s="4"/>
      <c r="ER18" s="4"/>
      <c r="ES18" s="4"/>
      <c r="ET18" s="4"/>
      <c r="EU18" s="4"/>
      <c r="EV18" s="4"/>
      <c r="EW18" s="4"/>
      <c r="EX18" s="4"/>
      <c r="EY18" s="654"/>
      <c r="EZ18" s="655"/>
      <c r="FA18" s="4"/>
      <c r="FB18" s="4"/>
      <c r="FC18" s="4"/>
      <c r="FD18" s="4"/>
      <c r="FE18" s="4"/>
      <c r="FF18" s="4"/>
      <c r="FG18" s="4"/>
      <c r="FH18" s="4"/>
      <c r="FI18" s="4"/>
      <c r="FJ18" s="4"/>
      <c r="FK18" s="654"/>
      <c r="FL18" s="655"/>
      <c r="FM18" s="4"/>
      <c r="FN18" s="4"/>
      <c r="FO18" s="4"/>
      <c r="FP18" s="4"/>
      <c r="FQ18" s="4"/>
      <c r="FR18" s="4"/>
      <c r="FS18" s="4"/>
      <c r="FT18" s="4"/>
      <c r="FU18" s="4"/>
      <c r="FV18" s="4"/>
      <c r="FW18" s="654"/>
      <c r="FX18" s="655"/>
      <c r="FY18" s="4"/>
      <c r="FZ18" s="4"/>
      <c r="GA18" s="4"/>
      <c r="GB18" s="4"/>
      <c r="GC18" s="4"/>
      <c r="GD18" s="4"/>
      <c r="GE18" s="4"/>
      <c r="GF18" s="4"/>
      <c r="GG18" s="4"/>
      <c r="GH18" s="4"/>
      <c r="GI18" s="654"/>
      <c r="GJ18" s="655"/>
      <c r="GK18" s="4"/>
      <c r="GL18" s="4"/>
      <c r="GM18" s="4"/>
      <c r="GN18" s="4"/>
      <c r="GO18" s="4"/>
      <c r="GP18" s="4"/>
      <c r="GQ18" s="4"/>
      <c r="GR18" s="4"/>
      <c r="GS18" s="4"/>
      <c r="GT18" s="4"/>
      <c r="GU18" s="722"/>
      <c r="GV18" s="715"/>
    </row>
    <row r="19" spans="1:204" x14ac:dyDescent="0.25">
      <c r="A19" t="s">
        <v>656</v>
      </c>
      <c r="B19" s="2" t="s">
        <v>358</v>
      </c>
      <c r="C19" s="619">
        <v>44330</v>
      </c>
      <c r="D19" s="2" t="s">
        <v>520</v>
      </c>
      <c r="E19" t="s">
        <v>58</v>
      </c>
      <c r="F19" s="2" t="s">
        <v>43</v>
      </c>
      <c r="G19" t="s">
        <v>40</v>
      </c>
      <c r="H19" s="690" t="s">
        <v>84</v>
      </c>
      <c r="I19" s="691" t="s">
        <v>404</v>
      </c>
      <c r="J19" s="721">
        <v>18384740000134</v>
      </c>
      <c r="K19" s="691" t="s">
        <v>43</v>
      </c>
      <c r="L19" s="721">
        <v>3780401000108</v>
      </c>
      <c r="M19" s="718" t="s">
        <v>3</v>
      </c>
      <c r="N19" s="717" t="s">
        <v>44</v>
      </c>
      <c r="O19" s="719">
        <v>44562</v>
      </c>
      <c r="P19" s="720">
        <v>44651</v>
      </c>
      <c r="Q19" s="718">
        <v>266</v>
      </c>
      <c r="R19" s="717">
        <v>3</v>
      </c>
      <c r="S19" s="691" t="s">
        <v>54</v>
      </c>
      <c r="T19" t="s">
        <v>649</v>
      </c>
      <c r="U19" s="673">
        <v>44330</v>
      </c>
      <c r="V19" s="690">
        <v>1</v>
      </c>
      <c r="W19" s="657" t="s">
        <v>214</v>
      </c>
      <c r="X19" s="723">
        <v>3</v>
      </c>
      <c r="Y19" s="4">
        <v>3</v>
      </c>
      <c r="Z19" s="4">
        <v>3</v>
      </c>
      <c r="AA19" s="4"/>
      <c r="AB19" s="4"/>
      <c r="AC19" s="4"/>
      <c r="AD19" s="4"/>
      <c r="AE19" s="4"/>
      <c r="AF19" s="4"/>
      <c r="AG19" s="4"/>
      <c r="AH19" s="4"/>
      <c r="AI19" s="654"/>
      <c r="AJ19" s="655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654"/>
      <c r="AV19" s="655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654"/>
      <c r="BH19" s="655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654"/>
      <c r="BT19" s="655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693"/>
      <c r="CF19" s="723">
        <v>285.987699194176</v>
      </c>
      <c r="CG19" s="4">
        <v>285.987699194176</v>
      </c>
      <c r="CH19" s="4">
        <v>285.987699194176</v>
      </c>
      <c r="CI19" s="4"/>
      <c r="CJ19" s="4"/>
      <c r="CK19" s="4"/>
      <c r="CL19" s="4"/>
      <c r="CM19" s="4"/>
      <c r="CN19" s="4"/>
      <c r="CO19" s="4"/>
      <c r="CP19" s="4"/>
      <c r="CQ19" s="654"/>
      <c r="CR19" s="655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654"/>
      <c r="DD19" s="655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654"/>
      <c r="DP19" s="655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654"/>
      <c r="EB19" s="655"/>
      <c r="EC19" s="4"/>
      <c r="ED19" s="4"/>
      <c r="EE19" s="4"/>
      <c r="EF19" s="4"/>
      <c r="EG19" s="4"/>
      <c r="EH19" s="4"/>
      <c r="EI19" s="4"/>
      <c r="EJ19" s="4"/>
      <c r="EK19" s="4"/>
      <c r="EL19" s="4"/>
      <c r="EM19" s="693"/>
      <c r="EN19" s="723">
        <v>285.987699194176</v>
      </c>
      <c r="EO19" s="4">
        <v>285.987699194176</v>
      </c>
      <c r="EP19" s="4">
        <v>285.987699194176</v>
      </c>
      <c r="EQ19" s="4"/>
      <c r="ER19" s="4"/>
      <c r="ES19" s="4"/>
      <c r="ET19" s="4"/>
      <c r="EU19" s="4"/>
      <c r="EV19" s="4"/>
      <c r="EW19" s="4"/>
      <c r="EX19" s="4"/>
      <c r="EY19" s="654"/>
      <c r="EZ19" s="655"/>
      <c r="FA19" s="4"/>
      <c r="FB19" s="4"/>
      <c r="FC19" s="4"/>
      <c r="FD19" s="4"/>
      <c r="FE19" s="4"/>
      <c r="FF19" s="4"/>
      <c r="FG19" s="4"/>
      <c r="FH19" s="4"/>
      <c r="FI19" s="4"/>
      <c r="FJ19" s="4"/>
      <c r="FK19" s="654"/>
      <c r="FL19" s="655"/>
      <c r="FM19" s="4"/>
      <c r="FN19" s="4"/>
      <c r="FO19" s="4"/>
      <c r="FP19" s="4"/>
      <c r="FQ19" s="4"/>
      <c r="FR19" s="4"/>
      <c r="FS19" s="4"/>
      <c r="FT19" s="4"/>
      <c r="FU19" s="4"/>
      <c r="FV19" s="4"/>
      <c r="FW19" s="654"/>
      <c r="FX19" s="655"/>
      <c r="FY19" s="4"/>
      <c r="FZ19" s="4"/>
      <c r="GA19" s="4"/>
      <c r="GB19" s="4"/>
      <c r="GC19" s="4"/>
      <c r="GD19" s="4"/>
      <c r="GE19" s="4"/>
      <c r="GF19" s="4"/>
      <c r="GG19" s="4"/>
      <c r="GH19" s="4"/>
      <c r="GI19" s="654"/>
      <c r="GJ19" s="655"/>
      <c r="GK19" s="4"/>
      <c r="GL19" s="4"/>
      <c r="GM19" s="4"/>
      <c r="GN19" s="4"/>
      <c r="GO19" s="4"/>
      <c r="GP19" s="4"/>
      <c r="GQ19" s="4"/>
      <c r="GR19" s="4"/>
      <c r="GS19" s="4"/>
      <c r="GT19" s="4"/>
      <c r="GU19" s="722"/>
      <c r="GV19" s="715"/>
    </row>
    <row r="20" spans="1:204" s="627" customFormat="1" x14ac:dyDescent="0.25">
      <c r="A20" t="s">
        <v>657</v>
      </c>
      <c r="B20" s="2" t="s">
        <v>358</v>
      </c>
      <c r="C20" s="619">
        <v>44333</v>
      </c>
      <c r="D20" s="2">
        <v>16670</v>
      </c>
      <c r="E20" t="s">
        <v>59</v>
      </c>
      <c r="F20" s="2" t="s">
        <v>43</v>
      </c>
      <c r="G20" t="s">
        <v>40</v>
      </c>
      <c r="H20" s="690" t="s">
        <v>85</v>
      </c>
      <c r="I20" s="691" t="s">
        <v>43</v>
      </c>
      <c r="J20" s="721"/>
      <c r="K20" s="691" t="s">
        <v>506</v>
      </c>
      <c r="L20" s="721"/>
      <c r="M20" s="718" t="s">
        <v>3</v>
      </c>
      <c r="N20" s="717" t="s">
        <v>44</v>
      </c>
      <c r="O20" s="719">
        <v>44652</v>
      </c>
      <c r="P20" s="720">
        <v>44926</v>
      </c>
      <c r="Q20" s="718">
        <v>255</v>
      </c>
      <c r="R20" s="717">
        <v>2</v>
      </c>
      <c r="S20" s="691" t="s">
        <v>54</v>
      </c>
      <c r="T20" t="s">
        <v>649</v>
      </c>
      <c r="U20" s="673">
        <v>44317</v>
      </c>
      <c r="V20" s="690">
        <v>4</v>
      </c>
      <c r="W20" s="657" t="s">
        <v>214</v>
      </c>
      <c r="X20" s="723"/>
      <c r="Y20" s="4"/>
      <c r="Z20" s="4"/>
      <c r="AA20" s="4">
        <v>2</v>
      </c>
      <c r="AB20" s="4">
        <v>2</v>
      </c>
      <c r="AC20" s="4">
        <v>2</v>
      </c>
      <c r="AD20" s="4">
        <v>2</v>
      </c>
      <c r="AE20" s="4">
        <v>2</v>
      </c>
      <c r="AF20" s="4">
        <v>2</v>
      </c>
      <c r="AG20" s="4">
        <v>2</v>
      </c>
      <c r="AH20" s="4">
        <v>2</v>
      </c>
      <c r="AI20" s="654">
        <v>2</v>
      </c>
      <c r="AJ20" s="655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654"/>
      <c r="AV20" s="655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654"/>
      <c r="BH20" s="655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654"/>
      <c r="BT20" s="655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693"/>
      <c r="CF20" s="723"/>
      <c r="CG20" s="4"/>
      <c r="CH20" s="4"/>
      <c r="CI20" s="4">
        <v>274.16114020494314</v>
      </c>
      <c r="CJ20" s="4">
        <v>274.16114020494314</v>
      </c>
      <c r="CK20" s="4">
        <v>274.16114020494314</v>
      </c>
      <c r="CL20" s="4">
        <v>274.16114020494314</v>
      </c>
      <c r="CM20" s="4">
        <v>274.16114020494314</v>
      </c>
      <c r="CN20" s="4">
        <v>274.16114020494314</v>
      </c>
      <c r="CO20" s="4">
        <v>274.16114020494314</v>
      </c>
      <c r="CP20" s="4">
        <v>274.16114020494314</v>
      </c>
      <c r="CQ20" s="654">
        <v>274.16114020494314</v>
      </c>
      <c r="CR20" s="655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654"/>
      <c r="DD20" s="655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654"/>
      <c r="DP20" s="655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654"/>
      <c r="EB20" s="655"/>
      <c r="EC20" s="4"/>
      <c r="ED20" s="4"/>
      <c r="EE20" s="4"/>
      <c r="EF20" s="4"/>
      <c r="EG20" s="4"/>
      <c r="EH20" s="4"/>
      <c r="EI20" s="4"/>
      <c r="EJ20" s="4"/>
      <c r="EK20" s="4"/>
      <c r="EL20" s="4"/>
      <c r="EM20" s="693"/>
      <c r="EN20" s="723"/>
      <c r="EO20" s="4"/>
      <c r="EP20" s="4"/>
      <c r="EQ20" s="4">
        <v>274.16114020494314</v>
      </c>
      <c r="ER20" s="4">
        <v>274.16114020494314</v>
      </c>
      <c r="ES20" s="4">
        <v>274.16114020494314</v>
      </c>
      <c r="ET20" s="4">
        <v>274.16114020494314</v>
      </c>
      <c r="EU20" s="4">
        <v>274.16114020494314</v>
      </c>
      <c r="EV20" s="4">
        <v>274.16114020494314</v>
      </c>
      <c r="EW20" s="4">
        <v>274.16114020494314</v>
      </c>
      <c r="EX20" s="4">
        <v>274.16114020494314</v>
      </c>
      <c r="EY20" s="654">
        <v>274.16114020494314</v>
      </c>
      <c r="EZ20" s="655"/>
      <c r="FA20" s="4"/>
      <c r="FB20" s="4"/>
      <c r="FC20" s="4"/>
      <c r="FD20" s="4"/>
      <c r="FE20" s="4"/>
      <c r="FF20" s="4"/>
      <c r="FG20" s="4"/>
      <c r="FH20" s="4"/>
      <c r="FI20" s="4"/>
      <c r="FJ20" s="4"/>
      <c r="FK20" s="654"/>
      <c r="FL20" s="655"/>
      <c r="FM20" s="4"/>
      <c r="FN20" s="4"/>
      <c r="FO20" s="4"/>
      <c r="FP20" s="4"/>
      <c r="FQ20" s="4"/>
      <c r="FR20" s="4"/>
      <c r="FS20" s="4"/>
      <c r="FT20" s="4"/>
      <c r="FU20" s="4"/>
      <c r="FV20" s="4"/>
      <c r="FW20" s="654"/>
      <c r="FX20" s="655"/>
      <c r="FY20" s="4"/>
      <c r="FZ20" s="4"/>
      <c r="GA20" s="4"/>
      <c r="GB20" s="4"/>
      <c r="GC20" s="4"/>
      <c r="GD20" s="4"/>
      <c r="GE20" s="4"/>
      <c r="GF20" s="4"/>
      <c r="GG20" s="4"/>
      <c r="GH20" s="4"/>
      <c r="GI20" s="654"/>
      <c r="GJ20" s="655"/>
      <c r="GK20" s="4"/>
      <c r="GL20" s="4"/>
      <c r="GM20" s="4"/>
      <c r="GN20" s="4"/>
      <c r="GO20" s="4"/>
      <c r="GP20" s="4"/>
      <c r="GQ20" s="4"/>
      <c r="GR20" s="4"/>
      <c r="GS20" s="4"/>
      <c r="GT20" s="4"/>
      <c r="GU20" s="722"/>
      <c r="GV20" s="716"/>
    </row>
    <row r="21" spans="1:204" x14ac:dyDescent="0.25">
      <c r="A21" t="s">
        <v>658</v>
      </c>
      <c r="B21" s="2" t="s">
        <v>358</v>
      </c>
      <c r="C21" s="619">
        <v>44365</v>
      </c>
      <c r="D21" s="2" t="s">
        <v>521</v>
      </c>
      <c r="E21" t="s">
        <v>58</v>
      </c>
      <c r="F21" s="2" t="s">
        <v>43</v>
      </c>
      <c r="G21" t="s">
        <v>40</v>
      </c>
      <c r="H21" s="690" t="s">
        <v>84</v>
      </c>
      <c r="I21" s="691" t="s">
        <v>470</v>
      </c>
      <c r="J21" s="721">
        <v>4518259000180</v>
      </c>
      <c r="K21" s="691" t="s">
        <v>43</v>
      </c>
      <c r="L21" s="721">
        <v>3780401000108</v>
      </c>
      <c r="M21" s="718" t="s">
        <v>3</v>
      </c>
      <c r="N21" s="717" t="s">
        <v>44</v>
      </c>
      <c r="O21" s="719">
        <v>44562</v>
      </c>
      <c r="P21" s="720">
        <v>44651</v>
      </c>
      <c r="Q21" s="718">
        <v>407</v>
      </c>
      <c r="R21" s="717">
        <v>3</v>
      </c>
      <c r="S21" s="691" t="s">
        <v>54</v>
      </c>
      <c r="T21" t="s">
        <v>649</v>
      </c>
      <c r="U21" s="673">
        <v>44365</v>
      </c>
      <c r="V21" s="690">
        <v>1</v>
      </c>
      <c r="W21" s="657" t="s">
        <v>214</v>
      </c>
      <c r="X21" s="723">
        <v>3</v>
      </c>
      <c r="Y21" s="4">
        <v>3</v>
      </c>
      <c r="Z21" s="4">
        <v>3</v>
      </c>
      <c r="AA21" s="4"/>
      <c r="AB21" s="4"/>
      <c r="AC21" s="4"/>
      <c r="AD21" s="4"/>
      <c r="AE21" s="4"/>
      <c r="AF21" s="4"/>
      <c r="AG21" s="4"/>
      <c r="AH21" s="4"/>
      <c r="AI21" s="654"/>
      <c r="AJ21" s="655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654"/>
      <c r="AV21" s="655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654"/>
      <c r="BH21" s="655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654"/>
      <c r="BT21" s="655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693"/>
      <c r="CF21" s="723">
        <v>433.98035389472363</v>
      </c>
      <c r="CG21" s="4">
        <v>433.98035389472363</v>
      </c>
      <c r="CH21" s="4">
        <v>433.98035389472363</v>
      </c>
      <c r="CI21" s="4"/>
      <c r="CJ21" s="4"/>
      <c r="CK21" s="4"/>
      <c r="CL21" s="4"/>
      <c r="CM21" s="4"/>
      <c r="CN21" s="4"/>
      <c r="CO21" s="4"/>
      <c r="CP21" s="4"/>
      <c r="CQ21" s="654"/>
      <c r="CR21" s="655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654"/>
      <c r="DD21" s="655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654"/>
      <c r="DP21" s="655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654"/>
      <c r="EB21" s="655"/>
      <c r="EC21" s="4"/>
      <c r="ED21" s="4"/>
      <c r="EE21" s="4"/>
      <c r="EF21" s="4"/>
      <c r="EG21" s="4"/>
      <c r="EH21" s="4"/>
      <c r="EI21" s="4"/>
      <c r="EJ21" s="4"/>
      <c r="EK21" s="4"/>
      <c r="EL21" s="4"/>
      <c r="EM21" s="693"/>
      <c r="EN21" s="723">
        <v>433.98035389472363</v>
      </c>
      <c r="EO21" s="4">
        <v>433.98035389472363</v>
      </c>
      <c r="EP21" s="4">
        <v>433.98035389472363</v>
      </c>
      <c r="EQ21" s="4"/>
      <c r="ER21" s="4"/>
      <c r="ES21" s="4"/>
      <c r="ET21" s="4"/>
      <c r="EU21" s="4"/>
      <c r="EV21" s="4"/>
      <c r="EW21" s="4"/>
      <c r="EX21" s="4"/>
      <c r="EY21" s="654"/>
      <c r="EZ21" s="655"/>
      <c r="FA21" s="4"/>
      <c r="FB21" s="4"/>
      <c r="FC21" s="4"/>
      <c r="FD21" s="4"/>
      <c r="FE21" s="4"/>
      <c r="FF21" s="4"/>
      <c r="FG21" s="4"/>
      <c r="FH21" s="4"/>
      <c r="FI21" s="4"/>
      <c r="FJ21" s="4"/>
      <c r="FK21" s="654"/>
      <c r="FL21" s="655"/>
      <c r="FM21" s="4"/>
      <c r="FN21" s="4"/>
      <c r="FO21" s="4"/>
      <c r="FP21" s="4"/>
      <c r="FQ21" s="4"/>
      <c r="FR21" s="4"/>
      <c r="FS21" s="4"/>
      <c r="FT21" s="4"/>
      <c r="FU21" s="4"/>
      <c r="FV21" s="4"/>
      <c r="FW21" s="654"/>
      <c r="FX21" s="655"/>
      <c r="FY21" s="4"/>
      <c r="FZ21" s="4"/>
      <c r="GA21" s="4"/>
      <c r="GB21" s="4"/>
      <c r="GC21" s="4"/>
      <c r="GD21" s="4"/>
      <c r="GE21" s="4"/>
      <c r="GF21" s="4"/>
      <c r="GG21" s="4"/>
      <c r="GH21" s="4"/>
      <c r="GI21" s="654"/>
      <c r="GJ21" s="655"/>
      <c r="GK21" s="4"/>
      <c r="GL21" s="4"/>
      <c r="GM21" s="4"/>
      <c r="GN21" s="4"/>
      <c r="GO21" s="4"/>
      <c r="GP21" s="4"/>
      <c r="GQ21" s="4"/>
      <c r="GR21" s="4"/>
      <c r="GS21" s="4"/>
      <c r="GT21" s="4"/>
      <c r="GU21" s="722"/>
      <c r="GV21" s="715"/>
    </row>
    <row r="22" spans="1:204" x14ac:dyDescent="0.25">
      <c r="A22" t="s">
        <v>659</v>
      </c>
      <c r="B22" s="2" t="s">
        <v>660</v>
      </c>
      <c r="C22" s="619">
        <v>44371</v>
      </c>
      <c r="D22" s="2">
        <v>18233</v>
      </c>
      <c r="E22" t="s">
        <v>59</v>
      </c>
      <c r="F22" s="2" t="s">
        <v>532</v>
      </c>
      <c r="G22" t="s">
        <v>534</v>
      </c>
      <c r="H22" s="690" t="s">
        <v>85</v>
      </c>
      <c r="I22" s="691" t="s">
        <v>532</v>
      </c>
      <c r="J22" s="721" t="s">
        <v>533</v>
      </c>
      <c r="K22" s="691" t="s">
        <v>503</v>
      </c>
      <c r="L22" s="721">
        <v>17386017000121</v>
      </c>
      <c r="M22" s="718" t="s">
        <v>3</v>
      </c>
      <c r="N22" s="717" t="s">
        <v>13</v>
      </c>
      <c r="O22" s="719">
        <v>44562</v>
      </c>
      <c r="P22" s="720">
        <v>44926</v>
      </c>
      <c r="Q22" s="718">
        <v>305</v>
      </c>
      <c r="R22" s="717">
        <v>8</v>
      </c>
      <c r="S22" s="691" t="s">
        <v>54</v>
      </c>
      <c r="T22" t="s">
        <v>649</v>
      </c>
      <c r="U22" s="673">
        <v>44348</v>
      </c>
      <c r="V22" s="690">
        <v>1</v>
      </c>
      <c r="W22" s="657" t="s">
        <v>329</v>
      </c>
      <c r="X22" s="723">
        <v>8</v>
      </c>
      <c r="Y22" s="4">
        <v>8</v>
      </c>
      <c r="Z22" s="4">
        <v>8</v>
      </c>
      <c r="AA22" s="4">
        <v>8</v>
      </c>
      <c r="AB22" s="4">
        <v>8</v>
      </c>
      <c r="AC22" s="4">
        <v>8</v>
      </c>
      <c r="AD22" s="4">
        <v>8</v>
      </c>
      <c r="AE22" s="4">
        <v>8</v>
      </c>
      <c r="AF22" s="4">
        <v>8</v>
      </c>
      <c r="AG22" s="4">
        <v>8</v>
      </c>
      <c r="AH22" s="4">
        <v>8</v>
      </c>
      <c r="AI22" s="654">
        <v>8</v>
      </c>
      <c r="AJ22" s="655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654"/>
      <c r="AV22" s="655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654"/>
      <c r="BH22" s="655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654"/>
      <c r="BT22" s="655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693"/>
      <c r="CF22" s="723">
        <v>325.21869272209017</v>
      </c>
      <c r="CG22" s="4">
        <v>325.21869272209017</v>
      </c>
      <c r="CH22" s="4">
        <v>325.21869272209017</v>
      </c>
      <c r="CI22" s="4">
        <v>325.21869272209017</v>
      </c>
      <c r="CJ22" s="4">
        <v>325.21869272209017</v>
      </c>
      <c r="CK22" s="4">
        <v>325.21869272209017</v>
      </c>
      <c r="CL22" s="4">
        <v>325.21869272209017</v>
      </c>
      <c r="CM22" s="4">
        <v>325.21869272209017</v>
      </c>
      <c r="CN22" s="4">
        <v>325.21869272209017</v>
      </c>
      <c r="CO22" s="4">
        <v>325.21869272209017</v>
      </c>
      <c r="CP22" s="4">
        <v>325.21869272209017</v>
      </c>
      <c r="CQ22" s="654">
        <v>325.21869272209017</v>
      </c>
      <c r="CR22" s="655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654"/>
      <c r="DD22" s="655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654"/>
      <c r="DP22" s="655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654"/>
      <c r="EB22" s="655"/>
      <c r="EC22" s="4"/>
      <c r="ED22" s="4"/>
      <c r="EE22" s="4"/>
      <c r="EF22" s="4"/>
      <c r="EG22" s="4"/>
      <c r="EH22" s="4"/>
      <c r="EI22" s="4"/>
      <c r="EJ22" s="4"/>
      <c r="EK22" s="4"/>
      <c r="EL22" s="4"/>
      <c r="EM22" s="693"/>
      <c r="EN22" s="723">
        <v>325.21869272209017</v>
      </c>
      <c r="EO22" s="4">
        <v>325.21869272209017</v>
      </c>
      <c r="EP22" s="4">
        <v>325.21869272209017</v>
      </c>
      <c r="EQ22" s="4">
        <v>325.21869272209017</v>
      </c>
      <c r="ER22" s="4">
        <v>325.21869272209017</v>
      </c>
      <c r="ES22" s="4">
        <v>325.21869272209017</v>
      </c>
      <c r="ET22" s="4">
        <v>325.21869272209017</v>
      </c>
      <c r="EU22" s="4">
        <v>325.21869272209017</v>
      </c>
      <c r="EV22" s="4">
        <v>325.21869272209017</v>
      </c>
      <c r="EW22" s="4">
        <v>325.21869272209017</v>
      </c>
      <c r="EX22" s="4">
        <v>325.21869272209017</v>
      </c>
      <c r="EY22" s="654">
        <v>325.21869272209017</v>
      </c>
      <c r="EZ22" s="655"/>
      <c r="FA22" s="4"/>
      <c r="FB22" s="4"/>
      <c r="FC22" s="4"/>
      <c r="FD22" s="4"/>
      <c r="FE22" s="4"/>
      <c r="FF22" s="4"/>
      <c r="FG22" s="4"/>
      <c r="FH22" s="4"/>
      <c r="FI22" s="4"/>
      <c r="FJ22" s="4"/>
      <c r="FK22" s="654"/>
      <c r="FL22" s="655"/>
      <c r="FM22" s="4"/>
      <c r="FN22" s="4"/>
      <c r="FO22" s="4"/>
      <c r="FP22" s="4"/>
      <c r="FQ22" s="4"/>
      <c r="FR22" s="4"/>
      <c r="FS22" s="4"/>
      <c r="FT22" s="4"/>
      <c r="FU22" s="4"/>
      <c r="FV22" s="4"/>
      <c r="FW22" s="654"/>
      <c r="FX22" s="655"/>
      <c r="FY22" s="4"/>
      <c r="FZ22" s="4"/>
      <c r="GA22" s="4"/>
      <c r="GB22" s="4"/>
      <c r="GC22" s="4"/>
      <c r="GD22" s="4"/>
      <c r="GE22" s="4"/>
      <c r="GF22" s="4"/>
      <c r="GG22" s="4"/>
      <c r="GH22" s="4"/>
      <c r="GI22" s="654"/>
      <c r="GJ22" s="655"/>
      <c r="GK22" s="4"/>
      <c r="GL22" s="4"/>
      <c r="GM22" s="4"/>
      <c r="GN22" s="4"/>
      <c r="GO22" s="4"/>
      <c r="GP22" s="4"/>
      <c r="GQ22" s="4"/>
      <c r="GR22" s="4"/>
      <c r="GS22" s="4"/>
      <c r="GT22" s="4"/>
      <c r="GU22" s="722"/>
      <c r="GV22" s="715"/>
    </row>
    <row r="23" spans="1:204" x14ac:dyDescent="0.25">
      <c r="A23" t="s">
        <v>661</v>
      </c>
      <c r="B23" s="2" t="s">
        <v>662</v>
      </c>
      <c r="C23" s="619">
        <v>44371</v>
      </c>
      <c r="D23" s="2">
        <v>18235</v>
      </c>
      <c r="E23" t="s">
        <v>59</v>
      </c>
      <c r="F23" s="2" t="s">
        <v>532</v>
      </c>
      <c r="G23" t="s">
        <v>534</v>
      </c>
      <c r="H23" s="690" t="s">
        <v>85</v>
      </c>
      <c r="I23" s="691" t="s">
        <v>532</v>
      </c>
      <c r="J23" s="721" t="s">
        <v>533</v>
      </c>
      <c r="K23" s="691" t="s">
        <v>472</v>
      </c>
      <c r="L23" s="721">
        <v>4802543000183</v>
      </c>
      <c r="M23" s="718" t="s">
        <v>3</v>
      </c>
      <c r="N23" s="717" t="s">
        <v>13</v>
      </c>
      <c r="O23" s="719">
        <v>44562</v>
      </c>
      <c r="P23" s="720">
        <v>44926</v>
      </c>
      <c r="Q23" s="718">
        <v>305</v>
      </c>
      <c r="R23" s="717">
        <v>4</v>
      </c>
      <c r="S23" s="691" t="s">
        <v>54</v>
      </c>
      <c r="T23" t="s">
        <v>649</v>
      </c>
      <c r="U23" s="673">
        <v>44348</v>
      </c>
      <c r="V23" s="690">
        <v>1</v>
      </c>
      <c r="W23" s="657" t="s">
        <v>329</v>
      </c>
      <c r="X23" s="723">
        <v>4</v>
      </c>
      <c r="Y23" s="4">
        <v>4</v>
      </c>
      <c r="Z23" s="4">
        <v>4</v>
      </c>
      <c r="AA23" s="4">
        <v>4</v>
      </c>
      <c r="AB23" s="4">
        <v>4</v>
      </c>
      <c r="AC23" s="4">
        <v>4</v>
      </c>
      <c r="AD23" s="4">
        <v>4</v>
      </c>
      <c r="AE23" s="4">
        <v>4</v>
      </c>
      <c r="AF23" s="4">
        <v>4</v>
      </c>
      <c r="AG23" s="4">
        <v>4</v>
      </c>
      <c r="AH23" s="4">
        <v>4</v>
      </c>
      <c r="AI23" s="654">
        <v>4</v>
      </c>
      <c r="AJ23" s="655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654"/>
      <c r="AV23" s="655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654"/>
      <c r="BH23" s="655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654"/>
      <c r="BT23" s="655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693"/>
      <c r="CF23" s="723">
        <v>325.21869272209017</v>
      </c>
      <c r="CG23" s="4">
        <v>325.21869272209017</v>
      </c>
      <c r="CH23" s="4">
        <v>325.21869272209017</v>
      </c>
      <c r="CI23" s="4">
        <v>325.21869272209017</v>
      </c>
      <c r="CJ23" s="4">
        <v>325.21869272209017</v>
      </c>
      <c r="CK23" s="4">
        <v>325.21869272209017</v>
      </c>
      <c r="CL23" s="4">
        <v>325.21869272209017</v>
      </c>
      <c r="CM23" s="4">
        <v>325.21869272209017</v>
      </c>
      <c r="CN23" s="4">
        <v>325.21869272209017</v>
      </c>
      <c r="CO23" s="4">
        <v>325.21869272209017</v>
      </c>
      <c r="CP23" s="4">
        <v>325.21869272209017</v>
      </c>
      <c r="CQ23" s="654">
        <v>325.21869272209017</v>
      </c>
      <c r="CR23" s="655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654"/>
      <c r="DD23" s="655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654"/>
      <c r="DP23" s="655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654"/>
      <c r="EB23" s="655"/>
      <c r="EC23" s="4"/>
      <c r="ED23" s="4"/>
      <c r="EE23" s="4"/>
      <c r="EF23" s="4"/>
      <c r="EG23" s="4"/>
      <c r="EH23" s="4"/>
      <c r="EI23" s="4"/>
      <c r="EJ23" s="4"/>
      <c r="EK23" s="4"/>
      <c r="EL23" s="4"/>
      <c r="EM23" s="693"/>
      <c r="EN23" s="723">
        <v>325.21869272209017</v>
      </c>
      <c r="EO23" s="4">
        <v>325.21869272209017</v>
      </c>
      <c r="EP23" s="4">
        <v>325.21869272209017</v>
      </c>
      <c r="EQ23" s="4">
        <v>325.21869272209017</v>
      </c>
      <c r="ER23" s="4">
        <v>325.21869272209017</v>
      </c>
      <c r="ES23" s="4">
        <v>325.21869272209017</v>
      </c>
      <c r="ET23" s="4">
        <v>325.21869272209017</v>
      </c>
      <c r="EU23" s="4">
        <v>325.21869272209017</v>
      </c>
      <c r="EV23" s="4">
        <v>325.21869272209017</v>
      </c>
      <c r="EW23" s="4">
        <v>325.21869272209017</v>
      </c>
      <c r="EX23" s="4">
        <v>325.21869272209017</v>
      </c>
      <c r="EY23" s="654">
        <v>325.21869272209017</v>
      </c>
      <c r="EZ23" s="655"/>
      <c r="FA23" s="4"/>
      <c r="FB23" s="4"/>
      <c r="FC23" s="4"/>
      <c r="FD23" s="4"/>
      <c r="FE23" s="4"/>
      <c r="FF23" s="4"/>
      <c r="FG23" s="4"/>
      <c r="FH23" s="4"/>
      <c r="FI23" s="4"/>
      <c r="FJ23" s="4"/>
      <c r="FK23" s="654"/>
      <c r="FL23" s="655"/>
      <c r="FM23" s="4"/>
      <c r="FN23" s="4"/>
      <c r="FO23" s="4"/>
      <c r="FP23" s="4"/>
      <c r="FQ23" s="4"/>
      <c r="FR23" s="4"/>
      <c r="FS23" s="4"/>
      <c r="FT23" s="4"/>
      <c r="FU23" s="4"/>
      <c r="FV23" s="4"/>
      <c r="FW23" s="654"/>
      <c r="FX23" s="655"/>
      <c r="FY23" s="4"/>
      <c r="FZ23" s="4"/>
      <c r="GA23" s="4"/>
      <c r="GB23" s="4"/>
      <c r="GC23" s="4"/>
      <c r="GD23" s="4"/>
      <c r="GE23" s="4"/>
      <c r="GF23" s="4"/>
      <c r="GG23" s="4"/>
      <c r="GH23" s="4"/>
      <c r="GI23" s="654"/>
      <c r="GJ23" s="655"/>
      <c r="GK23" s="4"/>
      <c r="GL23" s="4"/>
      <c r="GM23" s="4"/>
      <c r="GN23" s="4"/>
      <c r="GO23" s="4"/>
      <c r="GP23" s="4"/>
      <c r="GQ23" s="4"/>
      <c r="GR23" s="4"/>
      <c r="GS23" s="4"/>
      <c r="GT23" s="4"/>
      <c r="GU23" s="722"/>
      <c r="GV23" s="715"/>
    </row>
    <row r="24" spans="1:204" x14ac:dyDescent="0.25">
      <c r="A24" t="s">
        <v>663</v>
      </c>
      <c r="B24" s="2" t="s">
        <v>664</v>
      </c>
      <c r="C24" s="619">
        <v>44371</v>
      </c>
      <c r="D24" s="2">
        <v>17252</v>
      </c>
      <c r="E24" t="s">
        <v>59</v>
      </c>
      <c r="F24" s="2" t="s">
        <v>532</v>
      </c>
      <c r="G24" t="s">
        <v>534</v>
      </c>
      <c r="H24" s="690" t="s">
        <v>85</v>
      </c>
      <c r="I24" s="691" t="s">
        <v>532</v>
      </c>
      <c r="J24" s="721" t="s">
        <v>533</v>
      </c>
      <c r="K24" s="691" t="s">
        <v>465</v>
      </c>
      <c r="L24" s="721">
        <v>11085823000183</v>
      </c>
      <c r="M24" s="718" t="s">
        <v>3</v>
      </c>
      <c r="N24" s="717" t="s">
        <v>13</v>
      </c>
      <c r="O24" s="719">
        <v>44562</v>
      </c>
      <c r="P24" s="720">
        <v>44926</v>
      </c>
      <c r="Q24" s="718">
        <v>307</v>
      </c>
      <c r="R24" s="717">
        <v>8</v>
      </c>
      <c r="S24" s="691" t="s">
        <v>54</v>
      </c>
      <c r="T24" t="s">
        <v>649</v>
      </c>
      <c r="U24" s="673">
        <v>44348</v>
      </c>
      <c r="V24" s="690">
        <v>1</v>
      </c>
      <c r="W24" s="657" t="s">
        <v>329</v>
      </c>
      <c r="X24" s="723">
        <v>8</v>
      </c>
      <c r="Y24" s="4">
        <v>8</v>
      </c>
      <c r="Z24" s="4">
        <v>8</v>
      </c>
      <c r="AA24" s="4">
        <v>8</v>
      </c>
      <c r="AB24" s="4">
        <v>8</v>
      </c>
      <c r="AC24" s="4">
        <v>8</v>
      </c>
      <c r="AD24" s="4">
        <v>8</v>
      </c>
      <c r="AE24" s="4">
        <v>8</v>
      </c>
      <c r="AF24" s="4">
        <v>8</v>
      </c>
      <c r="AG24" s="4">
        <v>8</v>
      </c>
      <c r="AH24" s="4">
        <v>8</v>
      </c>
      <c r="AI24" s="654">
        <v>8</v>
      </c>
      <c r="AJ24" s="655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654"/>
      <c r="AV24" s="655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654"/>
      <c r="BH24" s="655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654"/>
      <c r="BT24" s="655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693"/>
      <c r="CF24" s="723">
        <v>327.35127431371046</v>
      </c>
      <c r="CG24" s="4">
        <v>327.35127431371046</v>
      </c>
      <c r="CH24" s="4">
        <v>327.35127431371046</v>
      </c>
      <c r="CI24" s="4">
        <v>327.35127431371046</v>
      </c>
      <c r="CJ24" s="4">
        <v>327.35127431371046</v>
      </c>
      <c r="CK24" s="4">
        <v>327.35127431371046</v>
      </c>
      <c r="CL24" s="4">
        <v>327.35127431371046</v>
      </c>
      <c r="CM24" s="4">
        <v>327.35127431371046</v>
      </c>
      <c r="CN24" s="4">
        <v>327.35127431371046</v>
      </c>
      <c r="CO24" s="4">
        <v>327.35127431371046</v>
      </c>
      <c r="CP24" s="4">
        <v>327.35127431371046</v>
      </c>
      <c r="CQ24" s="654">
        <v>327.35127431371046</v>
      </c>
      <c r="CR24" s="655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654"/>
      <c r="DD24" s="655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654"/>
      <c r="DP24" s="655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654"/>
      <c r="EB24" s="655"/>
      <c r="EC24" s="4"/>
      <c r="ED24" s="4"/>
      <c r="EE24" s="4"/>
      <c r="EF24" s="4"/>
      <c r="EG24" s="4"/>
      <c r="EH24" s="4"/>
      <c r="EI24" s="4"/>
      <c r="EJ24" s="4"/>
      <c r="EK24" s="4"/>
      <c r="EL24" s="4"/>
      <c r="EM24" s="693"/>
      <c r="EN24" s="723">
        <v>327.35127431371046</v>
      </c>
      <c r="EO24" s="4">
        <v>327.35127431371046</v>
      </c>
      <c r="EP24" s="4">
        <v>327.35127431371046</v>
      </c>
      <c r="EQ24" s="4">
        <v>327.35127431371046</v>
      </c>
      <c r="ER24" s="4">
        <v>327.35127431371046</v>
      </c>
      <c r="ES24" s="4">
        <v>327.35127431371046</v>
      </c>
      <c r="ET24" s="4">
        <v>327.35127431371046</v>
      </c>
      <c r="EU24" s="4">
        <v>327.35127431371046</v>
      </c>
      <c r="EV24" s="4">
        <v>327.35127431371046</v>
      </c>
      <c r="EW24" s="4">
        <v>327.35127431371046</v>
      </c>
      <c r="EX24" s="4">
        <v>327.35127431371046</v>
      </c>
      <c r="EY24" s="654">
        <v>327.35127431371046</v>
      </c>
      <c r="EZ24" s="655"/>
      <c r="FA24" s="4"/>
      <c r="FB24" s="4"/>
      <c r="FC24" s="4"/>
      <c r="FD24" s="4"/>
      <c r="FE24" s="4"/>
      <c r="FF24" s="4"/>
      <c r="FG24" s="4"/>
      <c r="FH24" s="4"/>
      <c r="FI24" s="4"/>
      <c r="FJ24" s="4"/>
      <c r="FK24" s="654"/>
      <c r="FL24" s="655"/>
      <c r="FM24" s="4"/>
      <c r="FN24" s="4"/>
      <c r="FO24" s="4"/>
      <c r="FP24" s="4"/>
      <c r="FQ24" s="4"/>
      <c r="FR24" s="4"/>
      <c r="FS24" s="4"/>
      <c r="FT24" s="4"/>
      <c r="FU24" s="4"/>
      <c r="FV24" s="4"/>
      <c r="FW24" s="654"/>
      <c r="FX24" s="655"/>
      <c r="FY24" s="4"/>
      <c r="FZ24" s="4"/>
      <c r="GA24" s="4"/>
      <c r="GB24" s="4"/>
      <c r="GC24" s="4"/>
      <c r="GD24" s="4"/>
      <c r="GE24" s="4"/>
      <c r="GF24" s="4"/>
      <c r="GG24" s="4"/>
      <c r="GH24" s="4"/>
      <c r="GI24" s="654"/>
      <c r="GJ24" s="655"/>
      <c r="GK24" s="4"/>
      <c r="GL24" s="4"/>
      <c r="GM24" s="4"/>
      <c r="GN24" s="4"/>
      <c r="GO24" s="4"/>
      <c r="GP24" s="4"/>
      <c r="GQ24" s="4"/>
      <c r="GR24" s="4"/>
      <c r="GS24" s="4"/>
      <c r="GT24" s="4"/>
      <c r="GU24" s="722"/>
      <c r="GV24" s="715"/>
    </row>
    <row r="25" spans="1:204" x14ac:dyDescent="0.25">
      <c r="A25" t="s">
        <v>665</v>
      </c>
      <c r="B25" s="2" t="s">
        <v>666</v>
      </c>
      <c r="C25" s="619">
        <v>44371</v>
      </c>
      <c r="D25" s="2">
        <v>17976</v>
      </c>
      <c r="E25" t="s">
        <v>59</v>
      </c>
      <c r="F25" s="2" t="s">
        <v>532</v>
      </c>
      <c r="G25" t="s">
        <v>534</v>
      </c>
      <c r="H25" s="690" t="s">
        <v>85</v>
      </c>
      <c r="I25" s="691" t="s">
        <v>532</v>
      </c>
      <c r="J25" s="721" t="s">
        <v>533</v>
      </c>
      <c r="K25" s="691" t="s">
        <v>405</v>
      </c>
      <c r="L25" s="721">
        <v>58177643000195</v>
      </c>
      <c r="M25" s="718" t="s">
        <v>3</v>
      </c>
      <c r="N25" s="717" t="s">
        <v>13</v>
      </c>
      <c r="O25" s="719">
        <v>44562</v>
      </c>
      <c r="P25" s="720">
        <v>44926</v>
      </c>
      <c r="Q25" s="718">
        <v>302</v>
      </c>
      <c r="R25" s="717">
        <v>20</v>
      </c>
      <c r="S25" s="691" t="s">
        <v>54</v>
      </c>
      <c r="T25" t="s">
        <v>649</v>
      </c>
      <c r="U25" s="673">
        <v>44348</v>
      </c>
      <c r="V25" s="690">
        <v>1</v>
      </c>
      <c r="W25" s="657" t="s">
        <v>329</v>
      </c>
      <c r="X25" s="723">
        <v>20</v>
      </c>
      <c r="Y25" s="4">
        <v>20</v>
      </c>
      <c r="Z25" s="4">
        <v>20</v>
      </c>
      <c r="AA25" s="4">
        <v>20</v>
      </c>
      <c r="AB25" s="4">
        <v>20</v>
      </c>
      <c r="AC25" s="4">
        <v>20</v>
      </c>
      <c r="AD25" s="4">
        <v>20</v>
      </c>
      <c r="AE25" s="4">
        <v>20</v>
      </c>
      <c r="AF25" s="4">
        <v>20</v>
      </c>
      <c r="AG25" s="4">
        <v>20</v>
      </c>
      <c r="AH25" s="4">
        <v>20</v>
      </c>
      <c r="AI25" s="654">
        <v>20</v>
      </c>
      <c r="AJ25" s="655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654"/>
      <c r="AV25" s="655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654"/>
      <c r="BH25" s="655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654"/>
      <c r="BT25" s="655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693"/>
      <c r="CF25" s="723">
        <v>322.01982033465981</v>
      </c>
      <c r="CG25" s="4">
        <v>322.01982033465981</v>
      </c>
      <c r="CH25" s="4">
        <v>322.01982033465981</v>
      </c>
      <c r="CI25" s="4">
        <v>322.01982033465981</v>
      </c>
      <c r="CJ25" s="4">
        <v>322.01982033465981</v>
      </c>
      <c r="CK25" s="4">
        <v>322.01982033465981</v>
      </c>
      <c r="CL25" s="4">
        <v>322.01982033465981</v>
      </c>
      <c r="CM25" s="4">
        <v>322.01982033465981</v>
      </c>
      <c r="CN25" s="4">
        <v>322.01982033465981</v>
      </c>
      <c r="CO25" s="4">
        <v>322.01982033465981</v>
      </c>
      <c r="CP25" s="4">
        <v>322.01982033465981</v>
      </c>
      <c r="CQ25" s="654">
        <v>322.01982033465981</v>
      </c>
      <c r="CR25" s="655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654"/>
      <c r="DD25" s="655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654"/>
      <c r="DP25" s="655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654"/>
      <c r="EB25" s="655"/>
      <c r="EC25" s="4"/>
      <c r="ED25" s="4"/>
      <c r="EE25" s="4"/>
      <c r="EF25" s="4"/>
      <c r="EG25" s="4"/>
      <c r="EH25" s="4"/>
      <c r="EI25" s="4"/>
      <c r="EJ25" s="4"/>
      <c r="EK25" s="4"/>
      <c r="EL25" s="4"/>
      <c r="EM25" s="693"/>
      <c r="EN25" s="723">
        <v>322.01982033465981</v>
      </c>
      <c r="EO25" s="4">
        <v>322.01982033465981</v>
      </c>
      <c r="EP25" s="4">
        <v>322.01982033465981</v>
      </c>
      <c r="EQ25" s="4">
        <v>322.01982033465981</v>
      </c>
      <c r="ER25" s="4">
        <v>322.01982033465981</v>
      </c>
      <c r="ES25" s="4">
        <v>322.01982033465981</v>
      </c>
      <c r="ET25" s="4">
        <v>322.01982033465981</v>
      </c>
      <c r="EU25" s="4">
        <v>322.01982033465981</v>
      </c>
      <c r="EV25" s="4">
        <v>322.01982033465981</v>
      </c>
      <c r="EW25" s="4">
        <v>322.01982033465981</v>
      </c>
      <c r="EX25" s="4">
        <v>322.01982033465981</v>
      </c>
      <c r="EY25" s="654">
        <v>322.01982033465981</v>
      </c>
      <c r="EZ25" s="655"/>
      <c r="FA25" s="4"/>
      <c r="FB25" s="4"/>
      <c r="FC25" s="4"/>
      <c r="FD25" s="4"/>
      <c r="FE25" s="4"/>
      <c r="FF25" s="4"/>
      <c r="FG25" s="4"/>
      <c r="FH25" s="4"/>
      <c r="FI25" s="4"/>
      <c r="FJ25" s="4"/>
      <c r="FK25" s="654"/>
      <c r="FL25" s="655"/>
      <c r="FM25" s="4"/>
      <c r="FN25" s="4"/>
      <c r="FO25" s="4"/>
      <c r="FP25" s="4"/>
      <c r="FQ25" s="4"/>
      <c r="FR25" s="4"/>
      <c r="FS25" s="4"/>
      <c r="FT25" s="4"/>
      <c r="FU25" s="4"/>
      <c r="FV25" s="4"/>
      <c r="FW25" s="654"/>
      <c r="FX25" s="655"/>
      <c r="FY25" s="4"/>
      <c r="FZ25" s="4"/>
      <c r="GA25" s="4"/>
      <c r="GB25" s="4"/>
      <c r="GC25" s="4"/>
      <c r="GD25" s="4"/>
      <c r="GE25" s="4"/>
      <c r="GF25" s="4"/>
      <c r="GG25" s="4"/>
      <c r="GH25" s="4"/>
      <c r="GI25" s="654"/>
      <c r="GJ25" s="655"/>
      <c r="GK25" s="4"/>
      <c r="GL25" s="4"/>
      <c r="GM25" s="4"/>
      <c r="GN25" s="4"/>
      <c r="GO25" s="4"/>
      <c r="GP25" s="4"/>
      <c r="GQ25" s="4"/>
      <c r="GR25" s="4"/>
      <c r="GS25" s="4"/>
      <c r="GT25" s="4"/>
      <c r="GU25" s="722"/>
      <c r="GV25" s="715"/>
    </row>
    <row r="26" spans="1:204" x14ac:dyDescent="0.25">
      <c r="A26" t="s">
        <v>667</v>
      </c>
      <c r="B26" s="2" t="s">
        <v>668</v>
      </c>
      <c r="C26" s="619">
        <v>44371</v>
      </c>
      <c r="D26" s="2">
        <v>17416</v>
      </c>
      <c r="E26" t="s">
        <v>59</v>
      </c>
      <c r="F26" s="2" t="s">
        <v>532</v>
      </c>
      <c r="G26" t="s">
        <v>534</v>
      </c>
      <c r="H26" s="690" t="s">
        <v>85</v>
      </c>
      <c r="I26" s="691" t="s">
        <v>532</v>
      </c>
      <c r="J26" s="721" t="s">
        <v>533</v>
      </c>
      <c r="K26" s="691" t="s">
        <v>357</v>
      </c>
      <c r="L26" s="721">
        <v>7760179000124</v>
      </c>
      <c r="M26" s="718" t="s">
        <v>3</v>
      </c>
      <c r="N26" s="717" t="s">
        <v>13</v>
      </c>
      <c r="O26" s="719">
        <v>44562</v>
      </c>
      <c r="P26" s="720">
        <v>44926</v>
      </c>
      <c r="Q26" s="718">
        <v>305</v>
      </c>
      <c r="R26" s="717">
        <v>10</v>
      </c>
      <c r="S26" s="691" t="s">
        <v>54</v>
      </c>
      <c r="T26" t="s">
        <v>649</v>
      </c>
      <c r="U26" s="673">
        <v>44348</v>
      </c>
      <c r="V26" s="690">
        <v>1</v>
      </c>
      <c r="W26" s="657" t="s">
        <v>329</v>
      </c>
      <c r="X26" s="723">
        <v>10</v>
      </c>
      <c r="Y26" s="4">
        <v>10</v>
      </c>
      <c r="Z26" s="4">
        <v>10</v>
      </c>
      <c r="AA26" s="4">
        <v>10</v>
      </c>
      <c r="AB26" s="4">
        <v>10</v>
      </c>
      <c r="AC26" s="4">
        <v>10</v>
      </c>
      <c r="AD26" s="4">
        <v>10</v>
      </c>
      <c r="AE26" s="4">
        <v>10</v>
      </c>
      <c r="AF26" s="4">
        <v>10</v>
      </c>
      <c r="AG26" s="4">
        <v>10</v>
      </c>
      <c r="AH26" s="4">
        <v>10</v>
      </c>
      <c r="AI26" s="654">
        <v>10</v>
      </c>
      <c r="AJ26" s="655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654"/>
      <c r="AV26" s="655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654"/>
      <c r="BH26" s="655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654"/>
      <c r="BT26" s="655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693"/>
      <c r="CF26" s="723">
        <v>325.21869272209017</v>
      </c>
      <c r="CG26" s="4">
        <v>325.21869272209017</v>
      </c>
      <c r="CH26" s="4">
        <v>325.21869272209017</v>
      </c>
      <c r="CI26" s="4">
        <v>325.21869272209017</v>
      </c>
      <c r="CJ26" s="4">
        <v>325.21869272209017</v>
      </c>
      <c r="CK26" s="4">
        <v>325.21869272209017</v>
      </c>
      <c r="CL26" s="4">
        <v>325.21869272209017</v>
      </c>
      <c r="CM26" s="4">
        <v>325.21869272209017</v>
      </c>
      <c r="CN26" s="4">
        <v>325.21869272209017</v>
      </c>
      <c r="CO26" s="4">
        <v>325.21869272209017</v>
      </c>
      <c r="CP26" s="4">
        <v>325.21869272209017</v>
      </c>
      <c r="CQ26" s="654">
        <v>325.21869272209017</v>
      </c>
      <c r="CR26" s="655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654"/>
      <c r="DD26" s="655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654"/>
      <c r="DP26" s="655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654"/>
      <c r="EB26" s="655"/>
      <c r="EC26" s="4"/>
      <c r="ED26" s="4"/>
      <c r="EE26" s="4"/>
      <c r="EF26" s="4"/>
      <c r="EG26" s="4"/>
      <c r="EH26" s="4"/>
      <c r="EI26" s="4"/>
      <c r="EJ26" s="4"/>
      <c r="EK26" s="4"/>
      <c r="EL26" s="4"/>
      <c r="EM26" s="693"/>
      <c r="EN26" s="723">
        <v>325.21869272209017</v>
      </c>
      <c r="EO26" s="4">
        <v>325.21869272209017</v>
      </c>
      <c r="EP26" s="4">
        <v>325.21869272209017</v>
      </c>
      <c r="EQ26" s="4">
        <v>325.21869272209017</v>
      </c>
      <c r="ER26" s="4">
        <v>325.21869272209017</v>
      </c>
      <c r="ES26" s="4">
        <v>325.21869272209017</v>
      </c>
      <c r="ET26" s="4">
        <v>325.21869272209017</v>
      </c>
      <c r="EU26" s="4">
        <v>325.21869272209017</v>
      </c>
      <c r="EV26" s="4">
        <v>325.21869272209017</v>
      </c>
      <c r="EW26" s="4">
        <v>325.21869272209017</v>
      </c>
      <c r="EX26" s="4">
        <v>325.21869272209017</v>
      </c>
      <c r="EY26" s="654">
        <v>325.21869272209017</v>
      </c>
      <c r="EZ26" s="655"/>
      <c r="FA26" s="4"/>
      <c r="FB26" s="4"/>
      <c r="FC26" s="4"/>
      <c r="FD26" s="4"/>
      <c r="FE26" s="4"/>
      <c r="FF26" s="4"/>
      <c r="FG26" s="4"/>
      <c r="FH26" s="4"/>
      <c r="FI26" s="4"/>
      <c r="FJ26" s="4"/>
      <c r="FK26" s="654"/>
      <c r="FL26" s="655"/>
      <c r="FM26" s="4"/>
      <c r="FN26" s="4"/>
      <c r="FO26" s="4"/>
      <c r="FP26" s="4"/>
      <c r="FQ26" s="4"/>
      <c r="FR26" s="4"/>
      <c r="FS26" s="4"/>
      <c r="FT26" s="4"/>
      <c r="FU26" s="4"/>
      <c r="FV26" s="4"/>
      <c r="FW26" s="654"/>
      <c r="FX26" s="655"/>
      <c r="FY26" s="4"/>
      <c r="FZ26" s="4"/>
      <c r="GA26" s="4"/>
      <c r="GB26" s="4"/>
      <c r="GC26" s="4"/>
      <c r="GD26" s="4"/>
      <c r="GE26" s="4"/>
      <c r="GF26" s="4"/>
      <c r="GG26" s="4"/>
      <c r="GH26" s="4"/>
      <c r="GI26" s="654"/>
      <c r="GJ26" s="655"/>
      <c r="GK26" s="4"/>
      <c r="GL26" s="4"/>
      <c r="GM26" s="4"/>
      <c r="GN26" s="4"/>
      <c r="GO26" s="4"/>
      <c r="GP26" s="4"/>
      <c r="GQ26" s="4"/>
      <c r="GR26" s="4"/>
      <c r="GS26" s="4"/>
      <c r="GT26" s="4"/>
      <c r="GU26" s="722"/>
      <c r="GV26" s="715"/>
    </row>
    <row r="27" spans="1:204" x14ac:dyDescent="0.25">
      <c r="A27" t="s">
        <v>669</v>
      </c>
      <c r="B27" s="2" t="s">
        <v>670</v>
      </c>
      <c r="C27" s="619">
        <v>44371</v>
      </c>
      <c r="D27" s="2">
        <v>17104</v>
      </c>
      <c r="E27" t="s">
        <v>59</v>
      </c>
      <c r="F27" s="2" t="s">
        <v>532</v>
      </c>
      <c r="G27" t="s">
        <v>534</v>
      </c>
      <c r="H27" s="690" t="s">
        <v>85</v>
      </c>
      <c r="I27" s="691" t="s">
        <v>532</v>
      </c>
      <c r="J27" s="721" t="s">
        <v>533</v>
      </c>
      <c r="K27" s="691" t="s">
        <v>355</v>
      </c>
      <c r="L27" s="721">
        <v>7685694000510</v>
      </c>
      <c r="M27" s="718" t="s">
        <v>3</v>
      </c>
      <c r="N27" s="717" t="s">
        <v>13</v>
      </c>
      <c r="O27" s="719">
        <v>44562</v>
      </c>
      <c r="P27" s="720">
        <v>44926</v>
      </c>
      <c r="Q27" s="718">
        <v>315</v>
      </c>
      <c r="R27" s="717">
        <v>5</v>
      </c>
      <c r="S27" s="691" t="s">
        <v>54</v>
      </c>
      <c r="T27" t="s">
        <v>649</v>
      </c>
      <c r="U27" s="673">
        <v>44348</v>
      </c>
      <c r="V27" s="690">
        <v>1</v>
      </c>
      <c r="W27" s="657" t="s">
        <v>329</v>
      </c>
      <c r="X27" s="723">
        <v>5</v>
      </c>
      <c r="Y27" s="4">
        <v>5</v>
      </c>
      <c r="Z27" s="4">
        <v>5</v>
      </c>
      <c r="AA27" s="4">
        <v>5</v>
      </c>
      <c r="AB27" s="4">
        <v>5</v>
      </c>
      <c r="AC27" s="4">
        <v>5</v>
      </c>
      <c r="AD27" s="4">
        <v>5</v>
      </c>
      <c r="AE27" s="4">
        <v>5</v>
      </c>
      <c r="AF27" s="4">
        <v>5</v>
      </c>
      <c r="AG27" s="4">
        <v>5</v>
      </c>
      <c r="AH27" s="4">
        <v>5</v>
      </c>
      <c r="AI27" s="654">
        <v>5</v>
      </c>
      <c r="AJ27" s="655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654"/>
      <c r="AV27" s="655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654"/>
      <c r="BH27" s="655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654"/>
      <c r="BT27" s="655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693"/>
      <c r="CF27" s="723">
        <v>335.88160068019153</v>
      </c>
      <c r="CG27" s="4">
        <v>335.88160068019153</v>
      </c>
      <c r="CH27" s="4">
        <v>335.88160068019153</v>
      </c>
      <c r="CI27" s="4">
        <v>335.88160068019153</v>
      </c>
      <c r="CJ27" s="4">
        <v>335.88160068019153</v>
      </c>
      <c r="CK27" s="4">
        <v>335.88160068019153</v>
      </c>
      <c r="CL27" s="4">
        <v>335.88160068019153</v>
      </c>
      <c r="CM27" s="4">
        <v>335.88160068019153</v>
      </c>
      <c r="CN27" s="4">
        <v>335.88160068019153</v>
      </c>
      <c r="CO27" s="4">
        <v>335.88160068019153</v>
      </c>
      <c r="CP27" s="4">
        <v>335.88160068019153</v>
      </c>
      <c r="CQ27" s="654">
        <v>335.88160068019153</v>
      </c>
      <c r="CR27" s="655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654"/>
      <c r="DD27" s="655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654"/>
      <c r="DP27" s="655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654"/>
      <c r="EB27" s="655"/>
      <c r="EC27" s="4"/>
      <c r="ED27" s="4"/>
      <c r="EE27" s="4"/>
      <c r="EF27" s="4"/>
      <c r="EG27" s="4"/>
      <c r="EH27" s="4"/>
      <c r="EI27" s="4"/>
      <c r="EJ27" s="4"/>
      <c r="EK27" s="4"/>
      <c r="EL27" s="4"/>
      <c r="EM27" s="693"/>
      <c r="EN27" s="723">
        <v>335.88160068019153</v>
      </c>
      <c r="EO27" s="4">
        <v>335.88160068019153</v>
      </c>
      <c r="EP27" s="4">
        <v>335.88160068019153</v>
      </c>
      <c r="EQ27" s="4">
        <v>335.88160068019153</v>
      </c>
      <c r="ER27" s="4">
        <v>335.88160068019153</v>
      </c>
      <c r="ES27" s="4">
        <v>335.88160068019153</v>
      </c>
      <c r="ET27" s="4">
        <v>335.88160068019153</v>
      </c>
      <c r="EU27" s="4">
        <v>335.88160068019153</v>
      </c>
      <c r="EV27" s="4">
        <v>335.88160068019153</v>
      </c>
      <c r="EW27" s="4">
        <v>335.88160068019153</v>
      </c>
      <c r="EX27" s="4">
        <v>335.88160068019153</v>
      </c>
      <c r="EY27" s="654">
        <v>335.88160068019153</v>
      </c>
      <c r="EZ27" s="655"/>
      <c r="FA27" s="4"/>
      <c r="FB27" s="4"/>
      <c r="FC27" s="4"/>
      <c r="FD27" s="4"/>
      <c r="FE27" s="4"/>
      <c r="FF27" s="4"/>
      <c r="FG27" s="4"/>
      <c r="FH27" s="4"/>
      <c r="FI27" s="4"/>
      <c r="FJ27" s="4"/>
      <c r="FK27" s="654"/>
      <c r="FL27" s="655"/>
      <c r="FM27" s="4"/>
      <c r="FN27" s="4"/>
      <c r="FO27" s="4"/>
      <c r="FP27" s="4"/>
      <c r="FQ27" s="4"/>
      <c r="FR27" s="4"/>
      <c r="FS27" s="4"/>
      <c r="FT27" s="4"/>
      <c r="FU27" s="4"/>
      <c r="FV27" s="4"/>
      <c r="FW27" s="654"/>
      <c r="FX27" s="655"/>
      <c r="FY27" s="4"/>
      <c r="FZ27" s="4"/>
      <c r="GA27" s="4"/>
      <c r="GB27" s="4"/>
      <c r="GC27" s="4"/>
      <c r="GD27" s="4"/>
      <c r="GE27" s="4"/>
      <c r="GF27" s="4"/>
      <c r="GG27" s="4"/>
      <c r="GH27" s="4"/>
      <c r="GI27" s="654"/>
      <c r="GJ27" s="655"/>
      <c r="GK27" s="4"/>
      <c r="GL27" s="4"/>
      <c r="GM27" s="4"/>
      <c r="GN27" s="4"/>
      <c r="GO27" s="4"/>
      <c r="GP27" s="4"/>
      <c r="GQ27" s="4"/>
      <c r="GR27" s="4"/>
      <c r="GS27" s="4"/>
      <c r="GT27" s="4"/>
      <c r="GU27" s="722"/>
      <c r="GV27" s="715"/>
    </row>
    <row r="28" spans="1:204" x14ac:dyDescent="0.25">
      <c r="A28" t="s">
        <v>671</v>
      </c>
      <c r="B28" s="2" t="s">
        <v>672</v>
      </c>
      <c r="C28" s="619">
        <v>44378</v>
      </c>
      <c r="D28" s="2" t="s">
        <v>522</v>
      </c>
      <c r="E28" t="s">
        <v>59</v>
      </c>
      <c r="F28" s="2" t="s">
        <v>43</v>
      </c>
      <c r="G28" t="s">
        <v>40</v>
      </c>
      <c r="H28" s="690" t="s">
        <v>85</v>
      </c>
      <c r="I28" s="691" t="s">
        <v>43</v>
      </c>
      <c r="J28" s="721">
        <v>3780401000108</v>
      </c>
      <c r="K28" s="691" t="s">
        <v>502</v>
      </c>
      <c r="L28" s="721">
        <v>4270778000171</v>
      </c>
      <c r="M28" s="718" t="s">
        <v>3</v>
      </c>
      <c r="N28" s="717" t="s">
        <v>13</v>
      </c>
      <c r="O28" s="719">
        <v>44743</v>
      </c>
      <c r="P28" s="720">
        <v>44926</v>
      </c>
      <c r="Q28" s="718">
        <v>305</v>
      </c>
      <c r="R28" s="717">
        <v>10</v>
      </c>
      <c r="S28" s="691" t="s">
        <v>54</v>
      </c>
      <c r="T28" t="s">
        <v>649</v>
      </c>
      <c r="U28" s="673">
        <v>44378</v>
      </c>
      <c r="V28" s="690">
        <v>7</v>
      </c>
      <c r="W28" s="657" t="s">
        <v>329</v>
      </c>
      <c r="X28" s="723"/>
      <c r="Y28" s="4"/>
      <c r="Z28" s="4"/>
      <c r="AA28" s="4"/>
      <c r="AB28" s="4"/>
      <c r="AC28" s="4"/>
      <c r="AD28" s="4">
        <v>10</v>
      </c>
      <c r="AE28" s="4">
        <v>10</v>
      </c>
      <c r="AF28" s="4">
        <v>10</v>
      </c>
      <c r="AG28" s="4">
        <v>10</v>
      </c>
      <c r="AH28" s="4">
        <v>10</v>
      </c>
      <c r="AI28" s="654">
        <v>10</v>
      </c>
      <c r="AJ28" s="655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654"/>
      <c r="AV28" s="655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654"/>
      <c r="BH28" s="655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654"/>
      <c r="BT28" s="655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693"/>
      <c r="CF28" s="723"/>
      <c r="CG28" s="4"/>
      <c r="CH28" s="4"/>
      <c r="CI28" s="4"/>
      <c r="CJ28" s="4"/>
      <c r="CK28" s="4"/>
      <c r="CL28" s="4">
        <v>323.50410226725228</v>
      </c>
      <c r="CM28" s="4">
        <v>323.50410226725228</v>
      </c>
      <c r="CN28" s="4">
        <v>323.50410226725228</v>
      </c>
      <c r="CO28" s="4">
        <v>323.50410226725228</v>
      </c>
      <c r="CP28" s="4">
        <v>323.50410226725228</v>
      </c>
      <c r="CQ28" s="654">
        <v>323.50410226725228</v>
      </c>
      <c r="CR28" s="655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654"/>
      <c r="DD28" s="655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654"/>
      <c r="DP28" s="655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654"/>
      <c r="EB28" s="655"/>
      <c r="EC28" s="4"/>
      <c r="ED28" s="4"/>
      <c r="EE28" s="4"/>
      <c r="EF28" s="4"/>
      <c r="EG28" s="4"/>
      <c r="EH28" s="4"/>
      <c r="EI28" s="4"/>
      <c r="EJ28" s="4"/>
      <c r="EK28" s="4"/>
      <c r="EL28" s="4"/>
      <c r="EM28" s="693"/>
      <c r="EN28" s="723"/>
      <c r="EO28" s="4"/>
      <c r="EP28" s="4"/>
      <c r="EQ28" s="4"/>
      <c r="ER28" s="4"/>
      <c r="ES28" s="4"/>
      <c r="ET28" s="4">
        <v>323.50410226725228</v>
      </c>
      <c r="EU28" s="4">
        <v>323.50410226725228</v>
      </c>
      <c r="EV28" s="4">
        <v>323.50410226725228</v>
      </c>
      <c r="EW28" s="4">
        <v>323.50410226725228</v>
      </c>
      <c r="EX28" s="4">
        <v>323.50410226725228</v>
      </c>
      <c r="EY28" s="654">
        <v>323.50410226725228</v>
      </c>
      <c r="EZ28" s="655"/>
      <c r="FA28" s="4"/>
      <c r="FB28" s="4"/>
      <c r="FC28" s="4"/>
      <c r="FD28" s="4"/>
      <c r="FE28" s="4"/>
      <c r="FF28" s="4"/>
      <c r="FG28" s="4"/>
      <c r="FH28" s="4"/>
      <c r="FI28" s="4"/>
      <c r="FJ28" s="4"/>
      <c r="FK28" s="654"/>
      <c r="FL28" s="655"/>
      <c r="FM28" s="4"/>
      <c r="FN28" s="4"/>
      <c r="FO28" s="4"/>
      <c r="FP28" s="4"/>
      <c r="FQ28" s="4"/>
      <c r="FR28" s="4"/>
      <c r="FS28" s="4"/>
      <c r="FT28" s="4"/>
      <c r="FU28" s="4"/>
      <c r="FV28" s="4"/>
      <c r="FW28" s="654"/>
      <c r="FX28" s="655"/>
      <c r="FY28" s="4"/>
      <c r="FZ28" s="4"/>
      <c r="GA28" s="4"/>
      <c r="GB28" s="4"/>
      <c r="GC28" s="4"/>
      <c r="GD28" s="4"/>
      <c r="GE28" s="4"/>
      <c r="GF28" s="4"/>
      <c r="GG28" s="4"/>
      <c r="GH28" s="4"/>
      <c r="GI28" s="654"/>
      <c r="GJ28" s="655"/>
      <c r="GK28" s="4"/>
      <c r="GL28" s="4"/>
      <c r="GM28" s="4"/>
      <c r="GN28" s="4"/>
      <c r="GO28" s="4"/>
      <c r="GP28" s="4"/>
      <c r="GQ28" s="4"/>
      <c r="GR28" s="4"/>
      <c r="GS28" s="4"/>
      <c r="GT28" s="4"/>
      <c r="GU28" s="722"/>
      <c r="GV28" s="715"/>
    </row>
    <row r="29" spans="1:204" x14ac:dyDescent="0.25">
      <c r="A29" t="s">
        <v>673</v>
      </c>
      <c r="B29" s="2" t="s">
        <v>358</v>
      </c>
      <c r="C29" s="619">
        <v>44386</v>
      </c>
      <c r="D29" s="2" t="s">
        <v>523</v>
      </c>
      <c r="E29" t="s">
        <v>59</v>
      </c>
      <c r="F29" s="2" t="s">
        <v>43</v>
      </c>
      <c r="G29" t="s">
        <v>40</v>
      </c>
      <c r="H29" s="690" t="s">
        <v>85</v>
      </c>
      <c r="I29" s="691" t="s">
        <v>43</v>
      </c>
      <c r="J29" s="721">
        <v>3780401000108</v>
      </c>
      <c r="K29" s="691" t="s">
        <v>467</v>
      </c>
      <c r="L29" s="721">
        <v>25099255000184</v>
      </c>
      <c r="M29" s="718" t="s">
        <v>3</v>
      </c>
      <c r="N29" s="717" t="s">
        <v>44</v>
      </c>
      <c r="O29" s="719">
        <v>44562</v>
      </c>
      <c r="P29" s="720">
        <v>44651</v>
      </c>
      <c r="Q29" s="718">
        <v>425</v>
      </c>
      <c r="R29" s="717">
        <v>2</v>
      </c>
      <c r="S29" s="691" t="s">
        <v>54</v>
      </c>
      <c r="T29" t="s">
        <v>649</v>
      </c>
      <c r="U29" s="673">
        <v>44386</v>
      </c>
      <c r="V29" s="690">
        <v>1</v>
      </c>
      <c r="W29" s="657" t="s">
        <v>214</v>
      </c>
      <c r="X29" s="723">
        <v>2</v>
      </c>
      <c r="Y29" s="4">
        <v>2</v>
      </c>
      <c r="Z29" s="4">
        <v>2</v>
      </c>
      <c r="AA29" s="4"/>
      <c r="AB29" s="4"/>
      <c r="AC29" s="4"/>
      <c r="AD29" s="4"/>
      <c r="AE29" s="4"/>
      <c r="AF29" s="4"/>
      <c r="AG29" s="4"/>
      <c r="AH29" s="4"/>
      <c r="AI29" s="654"/>
      <c r="AJ29" s="655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654"/>
      <c r="AV29" s="655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654"/>
      <c r="BH29" s="655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654"/>
      <c r="BT29" s="655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693"/>
      <c r="CF29" s="723">
        <v>450.78440479863025</v>
      </c>
      <c r="CG29" s="4">
        <v>450.78440479863025</v>
      </c>
      <c r="CH29" s="4">
        <v>450.78440479863025</v>
      </c>
      <c r="CI29" s="4"/>
      <c r="CJ29" s="4"/>
      <c r="CK29" s="4"/>
      <c r="CL29" s="4"/>
      <c r="CM29" s="4"/>
      <c r="CN29" s="4"/>
      <c r="CO29" s="4"/>
      <c r="CP29" s="4"/>
      <c r="CQ29" s="654"/>
      <c r="CR29" s="655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654"/>
      <c r="DD29" s="655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654"/>
      <c r="DP29" s="655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654"/>
      <c r="EB29" s="655"/>
      <c r="EC29" s="4"/>
      <c r="ED29" s="4"/>
      <c r="EE29" s="4"/>
      <c r="EF29" s="4"/>
      <c r="EG29" s="4"/>
      <c r="EH29" s="4"/>
      <c r="EI29" s="4"/>
      <c r="EJ29" s="4"/>
      <c r="EK29" s="4"/>
      <c r="EL29" s="4"/>
      <c r="EM29" s="693"/>
      <c r="EN29" s="723">
        <v>450.78440479863025</v>
      </c>
      <c r="EO29" s="4">
        <v>450.78440479863025</v>
      </c>
      <c r="EP29" s="4">
        <v>450.78440479863025</v>
      </c>
      <c r="EQ29" s="4"/>
      <c r="ER29" s="4"/>
      <c r="ES29" s="4"/>
      <c r="ET29" s="4"/>
      <c r="EU29" s="4"/>
      <c r="EV29" s="4"/>
      <c r="EW29" s="4"/>
      <c r="EX29" s="4"/>
      <c r="EY29" s="654"/>
      <c r="EZ29" s="655"/>
      <c r="FA29" s="4"/>
      <c r="FB29" s="4"/>
      <c r="FC29" s="4"/>
      <c r="FD29" s="4"/>
      <c r="FE29" s="4"/>
      <c r="FF29" s="4"/>
      <c r="FG29" s="4"/>
      <c r="FH29" s="4"/>
      <c r="FI29" s="4"/>
      <c r="FJ29" s="4"/>
      <c r="FK29" s="654"/>
      <c r="FL29" s="655"/>
      <c r="FM29" s="4"/>
      <c r="FN29" s="4"/>
      <c r="FO29" s="4"/>
      <c r="FP29" s="4"/>
      <c r="FQ29" s="4"/>
      <c r="FR29" s="4"/>
      <c r="FS29" s="4"/>
      <c r="FT29" s="4"/>
      <c r="FU29" s="4"/>
      <c r="FV29" s="4"/>
      <c r="FW29" s="654"/>
      <c r="FX29" s="655"/>
      <c r="FY29" s="4"/>
      <c r="FZ29" s="4"/>
      <c r="GA29" s="4"/>
      <c r="GB29" s="4"/>
      <c r="GC29" s="4"/>
      <c r="GD29" s="4"/>
      <c r="GE29" s="4"/>
      <c r="GF29" s="4"/>
      <c r="GG29" s="4"/>
      <c r="GH29" s="4"/>
      <c r="GI29" s="654"/>
      <c r="GJ29" s="655"/>
      <c r="GK29" s="4"/>
      <c r="GL29" s="4"/>
      <c r="GM29" s="4"/>
      <c r="GN29" s="4"/>
      <c r="GO29" s="4"/>
      <c r="GP29" s="4"/>
      <c r="GQ29" s="4"/>
      <c r="GR29" s="4"/>
      <c r="GS29" s="4"/>
      <c r="GT29" s="4"/>
      <c r="GU29" s="722"/>
      <c r="GV29" s="715"/>
    </row>
    <row r="30" spans="1:204" x14ac:dyDescent="0.25">
      <c r="A30" t="s">
        <v>674</v>
      </c>
      <c r="B30" s="2" t="s">
        <v>358</v>
      </c>
      <c r="C30" s="619">
        <v>44390</v>
      </c>
      <c r="D30" s="2" t="s">
        <v>524</v>
      </c>
      <c r="E30" t="s">
        <v>59</v>
      </c>
      <c r="F30" s="2" t="s">
        <v>43</v>
      </c>
      <c r="G30" t="s">
        <v>40</v>
      </c>
      <c r="H30" s="690" t="s">
        <v>85</v>
      </c>
      <c r="I30" s="691" t="s">
        <v>43</v>
      </c>
      <c r="J30" s="721">
        <v>3780401000108</v>
      </c>
      <c r="K30" s="691" t="s">
        <v>464</v>
      </c>
      <c r="L30" s="721">
        <v>11599292000147</v>
      </c>
      <c r="M30" s="718" t="s">
        <v>3</v>
      </c>
      <c r="N30" s="717" t="s">
        <v>44</v>
      </c>
      <c r="O30" s="719">
        <v>44562</v>
      </c>
      <c r="P30" s="720">
        <v>44651</v>
      </c>
      <c r="Q30" s="718">
        <v>430</v>
      </c>
      <c r="R30" s="717">
        <v>1</v>
      </c>
      <c r="S30" s="691" t="s">
        <v>54</v>
      </c>
      <c r="T30" t="s">
        <v>649</v>
      </c>
      <c r="U30" s="673">
        <v>44390</v>
      </c>
      <c r="V30" s="690">
        <v>1</v>
      </c>
      <c r="W30" s="657" t="s">
        <v>214</v>
      </c>
      <c r="X30" s="723">
        <v>1</v>
      </c>
      <c r="Y30" s="4">
        <v>1</v>
      </c>
      <c r="Z30" s="4">
        <v>1</v>
      </c>
      <c r="AA30" s="4"/>
      <c r="AB30" s="4"/>
      <c r="AC30" s="4"/>
      <c r="AD30" s="4"/>
      <c r="AE30" s="4"/>
      <c r="AF30" s="4"/>
      <c r="AG30" s="4"/>
      <c r="AH30" s="4"/>
      <c r="AI30" s="654"/>
      <c r="AJ30" s="655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654"/>
      <c r="AV30" s="655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654"/>
      <c r="BH30" s="655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654"/>
      <c r="BT30" s="655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693"/>
      <c r="CF30" s="723">
        <v>456.08775073743766</v>
      </c>
      <c r="CG30" s="4">
        <v>456.08775073743766</v>
      </c>
      <c r="CH30" s="4">
        <v>456.08775073743766</v>
      </c>
      <c r="CI30" s="4"/>
      <c r="CJ30" s="4"/>
      <c r="CK30" s="4"/>
      <c r="CL30" s="4"/>
      <c r="CM30" s="4"/>
      <c r="CN30" s="4"/>
      <c r="CO30" s="4"/>
      <c r="CP30" s="4"/>
      <c r="CQ30" s="654"/>
      <c r="CR30" s="655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654"/>
      <c r="DD30" s="655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654"/>
      <c r="DP30" s="655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654"/>
      <c r="EB30" s="655"/>
      <c r="EC30" s="4"/>
      <c r="ED30" s="4"/>
      <c r="EE30" s="4"/>
      <c r="EF30" s="4"/>
      <c r="EG30" s="4"/>
      <c r="EH30" s="4"/>
      <c r="EI30" s="4"/>
      <c r="EJ30" s="4"/>
      <c r="EK30" s="4"/>
      <c r="EL30" s="4"/>
      <c r="EM30" s="693"/>
      <c r="EN30" s="723">
        <v>456.08775073743766</v>
      </c>
      <c r="EO30" s="4">
        <v>456.08775073743766</v>
      </c>
      <c r="EP30" s="4">
        <v>456.08775073743766</v>
      </c>
      <c r="EQ30" s="4"/>
      <c r="ER30" s="4"/>
      <c r="ES30" s="4"/>
      <c r="ET30" s="4"/>
      <c r="EU30" s="4"/>
      <c r="EV30" s="4"/>
      <c r="EW30" s="4"/>
      <c r="EX30" s="4"/>
      <c r="EY30" s="654"/>
      <c r="EZ30" s="655"/>
      <c r="FA30" s="4"/>
      <c r="FB30" s="4"/>
      <c r="FC30" s="4"/>
      <c r="FD30" s="4"/>
      <c r="FE30" s="4"/>
      <c r="FF30" s="4"/>
      <c r="FG30" s="4"/>
      <c r="FH30" s="4"/>
      <c r="FI30" s="4"/>
      <c r="FJ30" s="4"/>
      <c r="FK30" s="654"/>
      <c r="FL30" s="655"/>
      <c r="FM30" s="4"/>
      <c r="FN30" s="4"/>
      <c r="FO30" s="4"/>
      <c r="FP30" s="4"/>
      <c r="FQ30" s="4"/>
      <c r="FR30" s="4"/>
      <c r="FS30" s="4"/>
      <c r="FT30" s="4"/>
      <c r="FU30" s="4"/>
      <c r="FV30" s="4"/>
      <c r="FW30" s="654"/>
      <c r="FX30" s="655"/>
      <c r="FY30" s="4"/>
      <c r="FZ30" s="4"/>
      <c r="GA30" s="4"/>
      <c r="GB30" s="4"/>
      <c r="GC30" s="4"/>
      <c r="GD30" s="4"/>
      <c r="GE30" s="4"/>
      <c r="GF30" s="4"/>
      <c r="GG30" s="4"/>
      <c r="GH30" s="4"/>
      <c r="GI30" s="654"/>
      <c r="GJ30" s="655"/>
      <c r="GK30" s="4"/>
      <c r="GL30" s="4"/>
      <c r="GM30" s="4"/>
      <c r="GN30" s="4"/>
      <c r="GO30" s="4"/>
      <c r="GP30" s="4"/>
      <c r="GQ30" s="4"/>
      <c r="GR30" s="4"/>
      <c r="GS30" s="4"/>
      <c r="GT30" s="4"/>
      <c r="GU30" s="722"/>
      <c r="GV30" s="715"/>
    </row>
    <row r="31" spans="1:204" x14ac:dyDescent="0.25">
      <c r="A31" t="s">
        <v>675</v>
      </c>
      <c r="B31" s="2" t="s">
        <v>358</v>
      </c>
      <c r="C31" s="619">
        <v>44390</v>
      </c>
      <c r="D31" s="2">
        <v>17334</v>
      </c>
      <c r="E31" t="s">
        <v>58</v>
      </c>
      <c r="F31" s="2" t="s">
        <v>43</v>
      </c>
      <c r="G31" t="s">
        <v>40</v>
      </c>
      <c r="H31" s="690" t="s">
        <v>84</v>
      </c>
      <c r="I31" s="691" t="s">
        <v>387</v>
      </c>
      <c r="J31" s="721">
        <v>2016507000169</v>
      </c>
      <c r="K31" s="691" t="s">
        <v>43</v>
      </c>
      <c r="L31" s="721">
        <v>3780401000108</v>
      </c>
      <c r="M31" s="718" t="s">
        <v>3</v>
      </c>
      <c r="N31" s="717" t="s">
        <v>44</v>
      </c>
      <c r="O31" s="719">
        <v>44562</v>
      </c>
      <c r="P31" s="720">
        <v>44926</v>
      </c>
      <c r="Q31" s="718">
        <v>345.1</v>
      </c>
      <c r="R31" s="717">
        <v>2</v>
      </c>
      <c r="S31" s="691" t="s">
        <v>54</v>
      </c>
      <c r="T31" t="s">
        <v>649</v>
      </c>
      <c r="U31" s="673">
        <v>44390</v>
      </c>
      <c r="V31" s="690">
        <v>1</v>
      </c>
      <c r="W31" s="657" t="s">
        <v>214</v>
      </c>
      <c r="X31" s="723">
        <v>2</v>
      </c>
      <c r="Y31" s="4">
        <v>2</v>
      </c>
      <c r="Z31" s="4">
        <v>2</v>
      </c>
      <c r="AA31" s="4">
        <v>2</v>
      </c>
      <c r="AB31" s="4">
        <v>2</v>
      </c>
      <c r="AC31" s="4">
        <v>2</v>
      </c>
      <c r="AD31" s="4">
        <v>2</v>
      </c>
      <c r="AE31" s="4">
        <v>2</v>
      </c>
      <c r="AF31" s="4">
        <v>2</v>
      </c>
      <c r="AG31" s="4">
        <v>2</v>
      </c>
      <c r="AH31" s="4">
        <v>2</v>
      </c>
      <c r="AI31" s="654">
        <v>2</v>
      </c>
      <c r="AJ31" s="655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654"/>
      <c r="AV31" s="655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654"/>
      <c r="BH31" s="655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654"/>
      <c r="BT31" s="655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693"/>
      <c r="CF31" s="723">
        <v>366.03693669648777</v>
      </c>
      <c r="CG31" s="4">
        <v>366.03693669648777</v>
      </c>
      <c r="CH31" s="4">
        <v>366.03693669648777</v>
      </c>
      <c r="CI31" s="4">
        <v>366.03693669648777</v>
      </c>
      <c r="CJ31" s="4">
        <v>366.03693669648777</v>
      </c>
      <c r="CK31" s="4">
        <v>366.03693669648777</v>
      </c>
      <c r="CL31" s="4">
        <v>366.03693669648777</v>
      </c>
      <c r="CM31" s="4">
        <v>366.03693669648777</v>
      </c>
      <c r="CN31" s="4">
        <v>366.03693669648777</v>
      </c>
      <c r="CO31" s="4">
        <v>366.03693669648777</v>
      </c>
      <c r="CP31" s="4">
        <v>366.03693669648777</v>
      </c>
      <c r="CQ31" s="654">
        <v>366.03693669648777</v>
      </c>
      <c r="CR31" s="655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654"/>
      <c r="DD31" s="655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654"/>
      <c r="DP31" s="655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654"/>
      <c r="EB31" s="655"/>
      <c r="EC31" s="4"/>
      <c r="ED31" s="4"/>
      <c r="EE31" s="4"/>
      <c r="EF31" s="4"/>
      <c r="EG31" s="4"/>
      <c r="EH31" s="4"/>
      <c r="EI31" s="4"/>
      <c r="EJ31" s="4"/>
      <c r="EK31" s="4"/>
      <c r="EL31" s="4"/>
      <c r="EM31" s="693"/>
      <c r="EN31" s="723">
        <v>366.03693669648777</v>
      </c>
      <c r="EO31" s="4">
        <v>366.03693669648777</v>
      </c>
      <c r="EP31" s="4">
        <v>366.03693669648777</v>
      </c>
      <c r="EQ31" s="4">
        <v>366.03693669648777</v>
      </c>
      <c r="ER31" s="4">
        <v>366.03693669648777</v>
      </c>
      <c r="ES31" s="4">
        <v>366.03693669648777</v>
      </c>
      <c r="ET31" s="4">
        <v>366.03693669648777</v>
      </c>
      <c r="EU31" s="4">
        <v>366.03693669648777</v>
      </c>
      <c r="EV31" s="4">
        <v>366.03693669648777</v>
      </c>
      <c r="EW31" s="4">
        <v>366.03693669648777</v>
      </c>
      <c r="EX31" s="4">
        <v>366.03693669648777</v>
      </c>
      <c r="EY31" s="654">
        <v>366.03693669648777</v>
      </c>
      <c r="EZ31" s="655"/>
      <c r="FA31" s="4"/>
      <c r="FB31" s="4"/>
      <c r="FC31" s="4"/>
      <c r="FD31" s="4"/>
      <c r="FE31" s="4"/>
      <c r="FF31" s="4"/>
      <c r="FG31" s="4"/>
      <c r="FH31" s="4"/>
      <c r="FI31" s="4"/>
      <c r="FJ31" s="4"/>
      <c r="FK31" s="654"/>
      <c r="FL31" s="655"/>
      <c r="FM31" s="4"/>
      <c r="FN31" s="4"/>
      <c r="FO31" s="4"/>
      <c r="FP31" s="4"/>
      <c r="FQ31" s="4"/>
      <c r="FR31" s="4"/>
      <c r="FS31" s="4"/>
      <c r="FT31" s="4"/>
      <c r="FU31" s="4"/>
      <c r="FV31" s="4"/>
      <c r="FW31" s="654"/>
      <c r="FX31" s="655"/>
      <c r="FY31" s="4"/>
      <c r="FZ31" s="4"/>
      <c r="GA31" s="4"/>
      <c r="GB31" s="4"/>
      <c r="GC31" s="4"/>
      <c r="GD31" s="4"/>
      <c r="GE31" s="4"/>
      <c r="GF31" s="4"/>
      <c r="GG31" s="4"/>
      <c r="GH31" s="4"/>
      <c r="GI31" s="654"/>
      <c r="GJ31" s="655"/>
      <c r="GK31" s="4"/>
      <c r="GL31" s="4"/>
      <c r="GM31" s="4"/>
      <c r="GN31" s="4"/>
      <c r="GO31" s="4"/>
      <c r="GP31" s="4"/>
      <c r="GQ31" s="4"/>
      <c r="GR31" s="4"/>
      <c r="GS31" s="4"/>
      <c r="GT31" s="4"/>
      <c r="GU31" s="722"/>
      <c r="GV31" s="715"/>
    </row>
    <row r="32" spans="1:204" x14ac:dyDescent="0.25">
      <c r="A32" t="s">
        <v>676</v>
      </c>
      <c r="B32" s="2" t="s">
        <v>677</v>
      </c>
      <c r="C32" s="619">
        <v>44406</v>
      </c>
      <c r="D32" s="2" t="s">
        <v>525</v>
      </c>
      <c r="E32" t="s">
        <v>58</v>
      </c>
      <c r="F32" s="2" t="s">
        <v>43</v>
      </c>
      <c r="G32" t="s">
        <v>40</v>
      </c>
      <c r="H32" s="690" t="s">
        <v>84</v>
      </c>
      <c r="I32" s="691" t="s">
        <v>620</v>
      </c>
      <c r="J32" s="721">
        <v>4149295000113</v>
      </c>
      <c r="K32" s="691" t="s">
        <v>43</v>
      </c>
      <c r="L32" s="721">
        <v>3780401000108</v>
      </c>
      <c r="M32" s="718" t="s">
        <v>3</v>
      </c>
      <c r="N32" s="717" t="s">
        <v>44</v>
      </c>
      <c r="O32" s="719">
        <v>44927</v>
      </c>
      <c r="P32" s="720">
        <v>45291</v>
      </c>
      <c r="Q32" s="718">
        <v>239</v>
      </c>
      <c r="R32" s="717">
        <v>1</v>
      </c>
      <c r="S32" s="691" t="s">
        <v>54</v>
      </c>
      <c r="T32" t="s">
        <v>649</v>
      </c>
      <c r="U32" s="673">
        <v>44409</v>
      </c>
      <c r="V32" s="690">
        <v>1</v>
      </c>
      <c r="W32" s="657" t="s">
        <v>329</v>
      </c>
      <c r="X32" s="723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654"/>
      <c r="AJ32" s="655">
        <v>1</v>
      </c>
      <c r="AK32" s="4">
        <v>1</v>
      </c>
      <c r="AL32" s="4">
        <v>1</v>
      </c>
      <c r="AM32" s="4">
        <v>1</v>
      </c>
      <c r="AN32" s="4">
        <v>1</v>
      </c>
      <c r="AO32" s="4">
        <v>1</v>
      </c>
      <c r="AP32" s="4">
        <v>1</v>
      </c>
      <c r="AQ32" s="4">
        <v>1</v>
      </c>
      <c r="AR32" s="4">
        <v>1</v>
      </c>
      <c r="AS32" s="4">
        <v>1</v>
      </c>
      <c r="AT32" s="4">
        <v>1</v>
      </c>
      <c r="AU32" s="654">
        <v>1</v>
      </c>
      <c r="AV32" s="655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654"/>
      <c r="BH32" s="655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654"/>
      <c r="BT32" s="655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693"/>
      <c r="CF32" s="723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654"/>
      <c r="CR32" s="655">
        <v>265.24573283812703</v>
      </c>
      <c r="CS32" s="4">
        <v>265.24573283812703</v>
      </c>
      <c r="CT32" s="4">
        <v>265.24573283812703</v>
      </c>
      <c r="CU32" s="4">
        <v>265.24573283812703</v>
      </c>
      <c r="CV32" s="4">
        <v>265.24573283812703</v>
      </c>
      <c r="CW32" s="4">
        <v>265.24573283812703</v>
      </c>
      <c r="CX32" s="4">
        <v>265.24573283812703</v>
      </c>
      <c r="CY32" s="4">
        <v>265.24573283812703</v>
      </c>
      <c r="CZ32" s="4">
        <v>265.24573283812703</v>
      </c>
      <c r="DA32" s="4">
        <v>265.24573283812703</v>
      </c>
      <c r="DB32" s="4">
        <v>265.24573283812703</v>
      </c>
      <c r="DC32" s="654">
        <v>265.24573283812703</v>
      </c>
      <c r="DD32" s="655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654"/>
      <c r="DP32" s="655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654"/>
      <c r="EB32" s="655"/>
      <c r="EC32" s="4"/>
      <c r="ED32" s="4"/>
      <c r="EE32" s="4"/>
      <c r="EF32" s="4"/>
      <c r="EG32" s="4"/>
      <c r="EH32" s="4"/>
      <c r="EI32" s="4"/>
      <c r="EJ32" s="4"/>
      <c r="EK32" s="4"/>
      <c r="EL32" s="4"/>
      <c r="EM32" s="693"/>
      <c r="EN32" s="723"/>
      <c r="EO32" s="4"/>
      <c r="EP32" s="4"/>
      <c r="EQ32" s="4"/>
      <c r="ER32" s="4"/>
      <c r="ES32" s="4"/>
      <c r="ET32" s="4"/>
      <c r="EU32" s="4"/>
      <c r="EV32" s="4"/>
      <c r="EW32" s="4"/>
      <c r="EX32" s="4"/>
      <c r="EY32" s="654"/>
      <c r="EZ32" s="655">
        <v>265.24573283812703</v>
      </c>
      <c r="FA32" s="4">
        <v>265.24573283812703</v>
      </c>
      <c r="FB32" s="4">
        <v>265.24573283812703</v>
      </c>
      <c r="FC32" s="4">
        <v>265.24573283812703</v>
      </c>
      <c r="FD32" s="4">
        <v>265.24573283812703</v>
      </c>
      <c r="FE32" s="4">
        <v>265.24573283812703</v>
      </c>
      <c r="FF32" s="4">
        <v>265.24573283812703</v>
      </c>
      <c r="FG32" s="4">
        <v>265.24573283812703</v>
      </c>
      <c r="FH32" s="4">
        <v>265.24573283812703</v>
      </c>
      <c r="FI32" s="4">
        <v>265.24573283812703</v>
      </c>
      <c r="FJ32" s="4">
        <v>265.24573283812703</v>
      </c>
      <c r="FK32" s="654">
        <v>265.24573283812703</v>
      </c>
      <c r="FL32" s="655"/>
      <c r="FM32" s="4"/>
      <c r="FN32" s="4"/>
      <c r="FO32" s="4"/>
      <c r="FP32" s="4"/>
      <c r="FQ32" s="4"/>
      <c r="FR32" s="4"/>
      <c r="FS32" s="4"/>
      <c r="FT32" s="4"/>
      <c r="FU32" s="4"/>
      <c r="FV32" s="4"/>
      <c r="FW32" s="654"/>
      <c r="FX32" s="655"/>
      <c r="FY32" s="4"/>
      <c r="FZ32" s="4"/>
      <c r="GA32" s="4"/>
      <c r="GB32" s="4"/>
      <c r="GC32" s="4"/>
      <c r="GD32" s="4"/>
      <c r="GE32" s="4"/>
      <c r="GF32" s="4"/>
      <c r="GG32" s="4"/>
      <c r="GH32" s="4"/>
      <c r="GI32" s="654"/>
      <c r="GJ32" s="655"/>
      <c r="GK32" s="4"/>
      <c r="GL32" s="4"/>
      <c r="GM32" s="4"/>
      <c r="GN32" s="4"/>
      <c r="GO32" s="4"/>
      <c r="GP32" s="4"/>
      <c r="GQ32" s="4"/>
      <c r="GR32" s="4"/>
      <c r="GS32" s="4"/>
      <c r="GT32" s="4"/>
      <c r="GU32" s="722"/>
      <c r="GV32" s="715"/>
    </row>
    <row r="33" spans="1:204" x14ac:dyDescent="0.25">
      <c r="A33" t="s">
        <v>678</v>
      </c>
      <c r="B33" s="2" t="s">
        <v>358</v>
      </c>
      <c r="C33" s="619">
        <v>44406</v>
      </c>
      <c r="D33" s="2" t="s">
        <v>526</v>
      </c>
      <c r="E33" t="s">
        <v>59</v>
      </c>
      <c r="F33" s="2" t="s">
        <v>43</v>
      </c>
      <c r="G33" t="s">
        <v>40</v>
      </c>
      <c r="H33" s="690" t="s">
        <v>85</v>
      </c>
      <c r="I33" s="691" t="s">
        <v>43</v>
      </c>
      <c r="J33" s="721">
        <v>3780401000108</v>
      </c>
      <c r="K33" s="691" t="s">
        <v>346</v>
      </c>
      <c r="L33" s="721" t="e">
        <v>#VALUE!</v>
      </c>
      <c r="M33" s="718" t="s">
        <v>3</v>
      </c>
      <c r="N33" s="717" t="s">
        <v>44</v>
      </c>
      <c r="O33" s="719">
        <v>44562</v>
      </c>
      <c r="P33" s="720">
        <v>44926</v>
      </c>
      <c r="Q33" s="718">
        <v>346</v>
      </c>
      <c r="R33" s="717">
        <v>0.4</v>
      </c>
      <c r="S33" s="691" t="s">
        <v>54</v>
      </c>
      <c r="T33" t="s">
        <v>649</v>
      </c>
      <c r="U33" s="673">
        <v>44406</v>
      </c>
      <c r="V33" s="690">
        <v>1</v>
      </c>
      <c r="W33" s="657" t="s">
        <v>214</v>
      </c>
      <c r="X33" s="723">
        <v>0.4</v>
      </c>
      <c r="Y33" s="4">
        <v>0.4</v>
      </c>
      <c r="Z33" s="4">
        <v>0.4</v>
      </c>
      <c r="AA33" s="4">
        <v>0.4</v>
      </c>
      <c r="AB33" s="4">
        <v>0.4</v>
      </c>
      <c r="AC33" s="4">
        <v>0.4</v>
      </c>
      <c r="AD33" s="4">
        <v>0.4</v>
      </c>
      <c r="AE33" s="4">
        <v>0.4</v>
      </c>
      <c r="AF33" s="4">
        <v>0.4</v>
      </c>
      <c r="AG33" s="4">
        <v>0.4</v>
      </c>
      <c r="AH33" s="4">
        <v>0.4</v>
      </c>
      <c r="AI33" s="654">
        <v>0.4</v>
      </c>
      <c r="AJ33" s="655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654"/>
      <c r="AV33" s="655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654"/>
      <c r="BH33" s="655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654"/>
      <c r="BT33" s="655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693"/>
      <c r="CF33" s="723">
        <v>366.99153896547307</v>
      </c>
      <c r="CG33" s="4">
        <v>366.99153896547307</v>
      </c>
      <c r="CH33" s="4">
        <v>366.99153896547307</v>
      </c>
      <c r="CI33" s="4">
        <v>366.99153896547307</v>
      </c>
      <c r="CJ33" s="4">
        <v>366.99153896547307</v>
      </c>
      <c r="CK33" s="4">
        <v>366.99153896547307</v>
      </c>
      <c r="CL33" s="4">
        <v>366.99153896547307</v>
      </c>
      <c r="CM33" s="4">
        <v>366.99153896547307</v>
      </c>
      <c r="CN33" s="4">
        <v>366.99153896547307</v>
      </c>
      <c r="CO33" s="4">
        <v>366.99153896547307</v>
      </c>
      <c r="CP33" s="4">
        <v>366.99153896547307</v>
      </c>
      <c r="CQ33" s="654">
        <v>366.99153896547307</v>
      </c>
      <c r="CR33" s="655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654"/>
      <c r="DD33" s="655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654"/>
      <c r="DP33" s="655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654"/>
      <c r="EB33" s="655"/>
      <c r="EC33" s="4"/>
      <c r="ED33" s="4"/>
      <c r="EE33" s="4"/>
      <c r="EF33" s="4"/>
      <c r="EG33" s="4"/>
      <c r="EH33" s="4"/>
      <c r="EI33" s="4"/>
      <c r="EJ33" s="4"/>
      <c r="EK33" s="4"/>
      <c r="EL33" s="4"/>
      <c r="EM33" s="693"/>
      <c r="EN33" s="723">
        <v>366.99153896547307</v>
      </c>
      <c r="EO33" s="4">
        <v>366.99153896547307</v>
      </c>
      <c r="EP33" s="4">
        <v>366.99153896547307</v>
      </c>
      <c r="EQ33" s="4">
        <v>366.99153896547307</v>
      </c>
      <c r="ER33" s="4">
        <v>366.99153896547307</v>
      </c>
      <c r="ES33" s="4">
        <v>366.99153896547307</v>
      </c>
      <c r="ET33" s="4">
        <v>366.99153896547307</v>
      </c>
      <c r="EU33" s="4">
        <v>366.99153896547307</v>
      </c>
      <c r="EV33" s="4">
        <v>366.99153896547307</v>
      </c>
      <c r="EW33" s="4">
        <v>366.99153896547307</v>
      </c>
      <c r="EX33" s="4">
        <v>366.99153896547307</v>
      </c>
      <c r="EY33" s="654">
        <v>366.99153896547307</v>
      </c>
      <c r="EZ33" s="655"/>
      <c r="FA33" s="4"/>
      <c r="FB33" s="4"/>
      <c r="FC33" s="4"/>
      <c r="FD33" s="4"/>
      <c r="FE33" s="4"/>
      <c r="FF33" s="4"/>
      <c r="FG33" s="4"/>
      <c r="FH33" s="4"/>
      <c r="FI33" s="4"/>
      <c r="FJ33" s="4"/>
      <c r="FK33" s="654"/>
      <c r="FL33" s="655"/>
      <c r="FM33" s="4"/>
      <c r="FN33" s="4"/>
      <c r="FO33" s="4"/>
      <c r="FP33" s="4"/>
      <c r="FQ33" s="4"/>
      <c r="FR33" s="4"/>
      <c r="FS33" s="4"/>
      <c r="FT33" s="4"/>
      <c r="FU33" s="4"/>
      <c r="FV33" s="4"/>
      <c r="FW33" s="654"/>
      <c r="FX33" s="655"/>
      <c r="FY33" s="4"/>
      <c r="FZ33" s="4"/>
      <c r="GA33" s="4"/>
      <c r="GB33" s="4"/>
      <c r="GC33" s="4"/>
      <c r="GD33" s="4"/>
      <c r="GE33" s="4"/>
      <c r="GF33" s="4"/>
      <c r="GG33" s="4"/>
      <c r="GH33" s="4"/>
      <c r="GI33" s="654"/>
      <c r="GJ33" s="655"/>
      <c r="GK33" s="4"/>
      <c r="GL33" s="4"/>
      <c r="GM33" s="4"/>
      <c r="GN33" s="4"/>
      <c r="GO33" s="4"/>
      <c r="GP33" s="4"/>
      <c r="GQ33" s="4"/>
      <c r="GR33" s="4"/>
      <c r="GS33" s="4"/>
      <c r="GT33" s="4"/>
      <c r="GU33" s="722"/>
      <c r="GV33" s="715"/>
    </row>
    <row r="34" spans="1:204" x14ac:dyDescent="0.25">
      <c r="A34" t="s">
        <v>679</v>
      </c>
      <c r="B34" s="2" t="s">
        <v>358</v>
      </c>
      <c r="C34" s="619">
        <v>44417</v>
      </c>
      <c r="D34" s="2" t="s">
        <v>527</v>
      </c>
      <c r="E34" t="s">
        <v>59</v>
      </c>
      <c r="F34" s="2" t="s">
        <v>43</v>
      </c>
      <c r="G34" t="s">
        <v>40</v>
      </c>
      <c r="H34" s="690" t="s">
        <v>85</v>
      </c>
      <c r="I34" s="691" t="s">
        <v>43</v>
      </c>
      <c r="J34" s="721">
        <v>3780401000108</v>
      </c>
      <c r="K34" s="691" t="s">
        <v>357</v>
      </c>
      <c r="L34" s="721">
        <v>7760179000124</v>
      </c>
      <c r="M34" s="718" t="s">
        <v>3</v>
      </c>
      <c r="N34" s="717" t="s">
        <v>44</v>
      </c>
      <c r="O34" s="719">
        <v>44562</v>
      </c>
      <c r="P34" s="720">
        <v>44926</v>
      </c>
      <c r="Q34" s="718">
        <v>352</v>
      </c>
      <c r="R34" s="717">
        <v>1.6</v>
      </c>
      <c r="S34" s="691" t="s">
        <v>54</v>
      </c>
      <c r="T34" t="s">
        <v>649</v>
      </c>
      <c r="U34" s="673">
        <v>44417</v>
      </c>
      <c r="V34" s="690">
        <v>1</v>
      </c>
      <c r="W34" s="657" t="s">
        <v>214</v>
      </c>
      <c r="X34" s="723">
        <v>1.6</v>
      </c>
      <c r="Y34" s="4">
        <v>1.6</v>
      </c>
      <c r="Z34" s="4">
        <v>1.6</v>
      </c>
      <c r="AA34" s="4">
        <v>1.6</v>
      </c>
      <c r="AB34" s="4">
        <v>1.6</v>
      </c>
      <c r="AC34" s="4">
        <v>1.6</v>
      </c>
      <c r="AD34" s="4">
        <v>1.6</v>
      </c>
      <c r="AE34" s="4">
        <v>1.6</v>
      </c>
      <c r="AF34" s="4">
        <v>1.6</v>
      </c>
      <c r="AG34" s="4">
        <v>1.6</v>
      </c>
      <c r="AH34" s="4">
        <v>1.6</v>
      </c>
      <c r="AI34" s="654">
        <v>1.6</v>
      </c>
      <c r="AJ34" s="655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654"/>
      <c r="AV34" s="655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654"/>
      <c r="BH34" s="655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654"/>
      <c r="BT34" s="655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693"/>
      <c r="CF34" s="723">
        <v>369.80553681568728</v>
      </c>
      <c r="CG34" s="4">
        <v>369.80553681568728</v>
      </c>
      <c r="CH34" s="4">
        <v>369.80553681568728</v>
      </c>
      <c r="CI34" s="4">
        <v>369.80553681568728</v>
      </c>
      <c r="CJ34" s="4">
        <v>369.80553681568728</v>
      </c>
      <c r="CK34" s="4">
        <v>369.80553681568728</v>
      </c>
      <c r="CL34" s="4">
        <v>369.80553681568728</v>
      </c>
      <c r="CM34" s="4">
        <v>369.80553681568728</v>
      </c>
      <c r="CN34" s="4">
        <v>369.80553681568728</v>
      </c>
      <c r="CO34" s="4">
        <v>369.80553681568728</v>
      </c>
      <c r="CP34" s="4">
        <v>369.80553681568728</v>
      </c>
      <c r="CQ34" s="654">
        <v>369.80553681568728</v>
      </c>
      <c r="CR34" s="655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654"/>
      <c r="DD34" s="655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654"/>
      <c r="DP34" s="655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654"/>
      <c r="EB34" s="655"/>
      <c r="EC34" s="4"/>
      <c r="ED34" s="4"/>
      <c r="EE34" s="4"/>
      <c r="EF34" s="4"/>
      <c r="EG34" s="4"/>
      <c r="EH34" s="4"/>
      <c r="EI34" s="4"/>
      <c r="EJ34" s="4"/>
      <c r="EK34" s="4"/>
      <c r="EL34" s="4"/>
      <c r="EM34" s="693"/>
      <c r="EN34" s="723">
        <v>369.80553681568728</v>
      </c>
      <c r="EO34" s="4">
        <v>369.80553681568728</v>
      </c>
      <c r="EP34" s="4">
        <v>369.80553681568728</v>
      </c>
      <c r="EQ34" s="4">
        <v>369.80553681568728</v>
      </c>
      <c r="ER34" s="4">
        <v>369.80553681568728</v>
      </c>
      <c r="ES34" s="4">
        <v>369.80553681568728</v>
      </c>
      <c r="ET34" s="4">
        <v>369.80553681568728</v>
      </c>
      <c r="EU34" s="4">
        <v>369.80553681568728</v>
      </c>
      <c r="EV34" s="4">
        <v>369.80553681568728</v>
      </c>
      <c r="EW34" s="4">
        <v>369.80553681568728</v>
      </c>
      <c r="EX34" s="4">
        <v>369.80553681568728</v>
      </c>
      <c r="EY34" s="654">
        <v>369.80553681568728</v>
      </c>
      <c r="EZ34" s="655"/>
      <c r="FA34" s="4"/>
      <c r="FB34" s="4"/>
      <c r="FC34" s="4"/>
      <c r="FD34" s="4"/>
      <c r="FE34" s="4"/>
      <c r="FF34" s="4"/>
      <c r="FG34" s="4"/>
      <c r="FH34" s="4"/>
      <c r="FI34" s="4"/>
      <c r="FJ34" s="4"/>
      <c r="FK34" s="654"/>
      <c r="FL34" s="655"/>
      <c r="FM34" s="4"/>
      <c r="FN34" s="4"/>
      <c r="FO34" s="4"/>
      <c r="FP34" s="4"/>
      <c r="FQ34" s="4"/>
      <c r="FR34" s="4"/>
      <c r="FS34" s="4"/>
      <c r="FT34" s="4"/>
      <c r="FU34" s="4"/>
      <c r="FV34" s="4"/>
      <c r="FW34" s="654"/>
      <c r="FX34" s="655"/>
      <c r="FY34" s="4"/>
      <c r="FZ34" s="4"/>
      <c r="GA34" s="4"/>
      <c r="GB34" s="4"/>
      <c r="GC34" s="4"/>
      <c r="GD34" s="4"/>
      <c r="GE34" s="4"/>
      <c r="GF34" s="4"/>
      <c r="GG34" s="4"/>
      <c r="GH34" s="4"/>
      <c r="GI34" s="654"/>
      <c r="GJ34" s="655"/>
      <c r="GK34" s="4"/>
      <c r="GL34" s="4"/>
      <c r="GM34" s="4"/>
      <c r="GN34" s="4"/>
      <c r="GO34" s="4"/>
      <c r="GP34" s="4"/>
      <c r="GQ34" s="4"/>
      <c r="GR34" s="4"/>
      <c r="GS34" s="4"/>
      <c r="GT34" s="4"/>
      <c r="GU34" s="722"/>
      <c r="GV34" s="715"/>
    </row>
    <row r="35" spans="1:204" x14ac:dyDescent="0.25">
      <c r="A35" t="s">
        <v>680</v>
      </c>
      <c r="B35" s="2" t="s">
        <v>681</v>
      </c>
      <c r="C35" s="619">
        <v>44441</v>
      </c>
      <c r="D35" s="2" t="s">
        <v>528</v>
      </c>
      <c r="E35" t="s">
        <v>58</v>
      </c>
      <c r="F35" s="2" t="s">
        <v>43</v>
      </c>
      <c r="G35" t="s">
        <v>40</v>
      </c>
      <c r="H35" s="690" t="s">
        <v>84</v>
      </c>
      <c r="I35" s="691" t="s">
        <v>507</v>
      </c>
      <c r="J35" s="721">
        <v>11315117000180</v>
      </c>
      <c r="K35" s="691" t="s">
        <v>43</v>
      </c>
      <c r="L35" s="721">
        <v>3780401000108</v>
      </c>
      <c r="M35" s="718" t="s">
        <v>3</v>
      </c>
      <c r="N35" s="717" t="s">
        <v>44</v>
      </c>
      <c r="O35" s="719">
        <v>44927</v>
      </c>
      <c r="P35" s="720">
        <v>45291</v>
      </c>
      <c r="Q35" s="718">
        <v>248</v>
      </c>
      <c r="R35" s="717">
        <v>0.3</v>
      </c>
      <c r="S35" s="691" t="s">
        <v>54</v>
      </c>
      <c r="T35" t="s">
        <v>649</v>
      </c>
      <c r="U35" s="673">
        <v>44441</v>
      </c>
      <c r="V35" s="690">
        <v>1</v>
      </c>
      <c r="W35" s="657" t="s">
        <v>329</v>
      </c>
      <c r="X35" s="723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654"/>
      <c r="AJ35" s="655">
        <v>0.3</v>
      </c>
      <c r="AK35" s="4">
        <v>0.3</v>
      </c>
      <c r="AL35" s="4">
        <v>0.3</v>
      </c>
      <c r="AM35" s="4">
        <v>0.3</v>
      </c>
      <c r="AN35" s="4">
        <v>0.3</v>
      </c>
      <c r="AO35" s="4">
        <v>0.3</v>
      </c>
      <c r="AP35" s="4">
        <v>0.3</v>
      </c>
      <c r="AQ35" s="4">
        <v>0.3</v>
      </c>
      <c r="AR35" s="4">
        <v>0.3</v>
      </c>
      <c r="AS35" s="4">
        <v>0.3</v>
      </c>
      <c r="AT35" s="4">
        <v>0.3</v>
      </c>
      <c r="AU35" s="654">
        <v>0.3</v>
      </c>
      <c r="AV35" s="655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654"/>
      <c r="BH35" s="655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654"/>
      <c r="BT35" s="655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693"/>
      <c r="CF35" s="723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654"/>
      <c r="CR35" s="655">
        <v>272.86021567544179</v>
      </c>
      <c r="CS35" s="4">
        <v>272.86021567544179</v>
      </c>
      <c r="CT35" s="4">
        <v>272.86021567544179</v>
      </c>
      <c r="CU35" s="4">
        <v>272.86021567544179</v>
      </c>
      <c r="CV35" s="4">
        <v>272.86021567544179</v>
      </c>
      <c r="CW35" s="4">
        <v>272.86021567544179</v>
      </c>
      <c r="CX35" s="4">
        <v>272.86021567544179</v>
      </c>
      <c r="CY35" s="4">
        <v>272.86021567544179</v>
      </c>
      <c r="CZ35" s="4">
        <v>272.86021567544179</v>
      </c>
      <c r="DA35" s="4">
        <v>272.86021567544179</v>
      </c>
      <c r="DB35" s="4">
        <v>272.86021567544179</v>
      </c>
      <c r="DC35" s="654">
        <v>272.86021567544179</v>
      </c>
      <c r="DD35" s="655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654"/>
      <c r="DP35" s="655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654"/>
      <c r="EB35" s="655"/>
      <c r="EC35" s="4"/>
      <c r="ED35" s="4"/>
      <c r="EE35" s="4"/>
      <c r="EF35" s="4"/>
      <c r="EG35" s="4"/>
      <c r="EH35" s="4"/>
      <c r="EI35" s="4"/>
      <c r="EJ35" s="4"/>
      <c r="EK35" s="4"/>
      <c r="EL35" s="4"/>
      <c r="EM35" s="693"/>
      <c r="EN35" s="723"/>
      <c r="EO35" s="4"/>
      <c r="EP35" s="4"/>
      <c r="EQ35" s="4"/>
      <c r="ER35" s="4"/>
      <c r="ES35" s="4"/>
      <c r="ET35" s="4"/>
      <c r="EU35" s="4"/>
      <c r="EV35" s="4"/>
      <c r="EW35" s="4"/>
      <c r="EX35" s="4"/>
      <c r="EY35" s="654"/>
      <c r="EZ35" s="655">
        <v>272.86021567544179</v>
      </c>
      <c r="FA35" s="4">
        <v>272.86021567544179</v>
      </c>
      <c r="FB35" s="4">
        <v>272.86021567544179</v>
      </c>
      <c r="FC35" s="4">
        <v>272.86021567544179</v>
      </c>
      <c r="FD35" s="4">
        <v>272.86021567544179</v>
      </c>
      <c r="FE35" s="4">
        <v>272.86021567544179</v>
      </c>
      <c r="FF35" s="4">
        <v>272.86021567544179</v>
      </c>
      <c r="FG35" s="4">
        <v>272.86021567544179</v>
      </c>
      <c r="FH35" s="4">
        <v>272.86021567544179</v>
      </c>
      <c r="FI35" s="4">
        <v>272.86021567544179</v>
      </c>
      <c r="FJ35" s="4">
        <v>272.86021567544179</v>
      </c>
      <c r="FK35" s="654">
        <v>272.86021567544179</v>
      </c>
      <c r="FL35" s="655"/>
      <c r="FM35" s="4"/>
      <c r="FN35" s="4"/>
      <c r="FO35" s="4"/>
      <c r="FP35" s="4"/>
      <c r="FQ35" s="4"/>
      <c r="FR35" s="4"/>
      <c r="FS35" s="4"/>
      <c r="FT35" s="4"/>
      <c r="FU35" s="4"/>
      <c r="FV35" s="4"/>
      <c r="FW35" s="654"/>
      <c r="FX35" s="655"/>
      <c r="FY35" s="4"/>
      <c r="FZ35" s="4"/>
      <c r="GA35" s="4"/>
      <c r="GB35" s="4"/>
      <c r="GC35" s="4"/>
      <c r="GD35" s="4"/>
      <c r="GE35" s="4"/>
      <c r="GF35" s="4"/>
      <c r="GG35" s="4"/>
      <c r="GH35" s="4"/>
      <c r="GI35" s="654"/>
      <c r="GJ35" s="655"/>
      <c r="GK35" s="4"/>
      <c r="GL35" s="4"/>
      <c r="GM35" s="4"/>
      <c r="GN35" s="4"/>
      <c r="GO35" s="4"/>
      <c r="GP35" s="4"/>
      <c r="GQ35" s="4"/>
      <c r="GR35" s="4"/>
      <c r="GS35" s="4"/>
      <c r="GT35" s="4"/>
      <c r="GU35" s="722"/>
      <c r="GV35" s="715"/>
    </row>
    <row r="36" spans="1:204" x14ac:dyDescent="0.25">
      <c r="A36" t="s">
        <v>682</v>
      </c>
      <c r="B36" s="2" t="s">
        <v>683</v>
      </c>
      <c r="C36" s="619">
        <v>44441</v>
      </c>
      <c r="D36" s="2" t="s">
        <v>529</v>
      </c>
      <c r="E36" t="s">
        <v>58</v>
      </c>
      <c r="F36" s="2" t="s">
        <v>43</v>
      </c>
      <c r="G36" t="s">
        <v>40</v>
      </c>
      <c r="H36" s="690" t="s">
        <v>84</v>
      </c>
      <c r="I36" s="691" t="s">
        <v>507</v>
      </c>
      <c r="J36" s="721">
        <v>11315117000180</v>
      </c>
      <c r="K36" s="691" t="s">
        <v>43</v>
      </c>
      <c r="L36" s="721">
        <v>3780401000108</v>
      </c>
      <c r="M36" s="718" t="s">
        <v>3</v>
      </c>
      <c r="N36" s="717" t="s">
        <v>44</v>
      </c>
      <c r="O36" s="719">
        <v>44562</v>
      </c>
      <c r="P36" s="720">
        <v>44926</v>
      </c>
      <c r="Q36" s="718">
        <v>354</v>
      </c>
      <c r="R36" s="717">
        <v>0.3</v>
      </c>
      <c r="S36" s="691" t="s">
        <v>54</v>
      </c>
      <c r="T36" t="s">
        <v>649</v>
      </c>
      <c r="U36" s="673">
        <v>44441</v>
      </c>
      <c r="V36" s="690">
        <v>1</v>
      </c>
      <c r="W36" s="657" t="s">
        <v>329</v>
      </c>
      <c r="X36" s="723">
        <v>0.3</v>
      </c>
      <c r="Y36" s="4">
        <v>0.3</v>
      </c>
      <c r="Z36" s="4">
        <v>0.3</v>
      </c>
      <c r="AA36" s="4">
        <v>0.3</v>
      </c>
      <c r="AB36" s="4">
        <v>0.3</v>
      </c>
      <c r="AC36" s="4">
        <v>0.3</v>
      </c>
      <c r="AD36" s="4">
        <v>0.3</v>
      </c>
      <c r="AE36" s="4">
        <v>0.3</v>
      </c>
      <c r="AF36" s="4">
        <v>0.3</v>
      </c>
      <c r="AG36" s="4">
        <v>0.3</v>
      </c>
      <c r="AH36" s="4">
        <v>0.3</v>
      </c>
      <c r="AI36" s="654">
        <v>0.3</v>
      </c>
      <c r="AJ36" s="655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654"/>
      <c r="AV36" s="655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654"/>
      <c r="BH36" s="655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654"/>
      <c r="BT36" s="655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693"/>
      <c r="CF36" s="723">
        <v>368.69906825163162</v>
      </c>
      <c r="CG36" s="4">
        <v>368.69906825163162</v>
      </c>
      <c r="CH36" s="4">
        <v>368.69906825163162</v>
      </c>
      <c r="CI36" s="4">
        <v>368.69906825163162</v>
      </c>
      <c r="CJ36" s="4">
        <v>368.69906825163162</v>
      </c>
      <c r="CK36" s="4">
        <v>368.69906825163162</v>
      </c>
      <c r="CL36" s="4">
        <v>368.69906825163162</v>
      </c>
      <c r="CM36" s="4">
        <v>368.69906825163162</v>
      </c>
      <c r="CN36" s="4">
        <v>368.69906825163162</v>
      </c>
      <c r="CO36" s="4">
        <v>368.69906825163162</v>
      </c>
      <c r="CP36" s="4">
        <v>368.69906825163162</v>
      </c>
      <c r="CQ36" s="654">
        <v>368.69906825163162</v>
      </c>
      <c r="CR36" s="655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654"/>
      <c r="DD36" s="655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654"/>
      <c r="DP36" s="655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654"/>
      <c r="EB36" s="655"/>
      <c r="EC36" s="4"/>
      <c r="ED36" s="4"/>
      <c r="EE36" s="4"/>
      <c r="EF36" s="4"/>
      <c r="EG36" s="4"/>
      <c r="EH36" s="4"/>
      <c r="EI36" s="4"/>
      <c r="EJ36" s="4"/>
      <c r="EK36" s="4"/>
      <c r="EL36" s="4"/>
      <c r="EM36" s="693"/>
      <c r="EN36" s="723">
        <v>368.69906825163162</v>
      </c>
      <c r="EO36" s="4">
        <v>368.69906825163162</v>
      </c>
      <c r="EP36" s="4">
        <v>368.69906825163162</v>
      </c>
      <c r="EQ36" s="4">
        <v>368.69906825163162</v>
      </c>
      <c r="ER36" s="4">
        <v>368.69906825163162</v>
      </c>
      <c r="ES36" s="4">
        <v>368.69906825163162</v>
      </c>
      <c r="ET36" s="4">
        <v>368.69906825163162</v>
      </c>
      <c r="EU36" s="4">
        <v>368.69906825163162</v>
      </c>
      <c r="EV36" s="4">
        <v>368.69906825163162</v>
      </c>
      <c r="EW36" s="4">
        <v>368.69906825163162</v>
      </c>
      <c r="EX36" s="4">
        <v>368.69906825163162</v>
      </c>
      <c r="EY36" s="654">
        <v>368.69906825163162</v>
      </c>
      <c r="EZ36" s="655"/>
      <c r="FA36" s="4"/>
      <c r="FB36" s="4"/>
      <c r="FC36" s="4"/>
      <c r="FD36" s="4"/>
      <c r="FE36" s="4"/>
      <c r="FF36" s="4"/>
      <c r="FG36" s="4"/>
      <c r="FH36" s="4"/>
      <c r="FI36" s="4"/>
      <c r="FJ36" s="4"/>
      <c r="FK36" s="654"/>
      <c r="FL36" s="655"/>
      <c r="FM36" s="4"/>
      <c r="FN36" s="4"/>
      <c r="FO36" s="4"/>
      <c r="FP36" s="4"/>
      <c r="FQ36" s="4"/>
      <c r="FR36" s="4"/>
      <c r="FS36" s="4"/>
      <c r="FT36" s="4"/>
      <c r="FU36" s="4"/>
      <c r="FV36" s="4"/>
      <c r="FW36" s="654"/>
      <c r="FX36" s="655"/>
      <c r="FY36" s="4"/>
      <c r="FZ36" s="4"/>
      <c r="GA36" s="4"/>
      <c r="GB36" s="4"/>
      <c r="GC36" s="4"/>
      <c r="GD36" s="4"/>
      <c r="GE36" s="4"/>
      <c r="GF36" s="4"/>
      <c r="GG36" s="4"/>
      <c r="GH36" s="4"/>
      <c r="GI36" s="654"/>
      <c r="GJ36" s="655"/>
      <c r="GK36" s="4"/>
      <c r="GL36" s="4"/>
      <c r="GM36" s="4"/>
      <c r="GN36" s="4"/>
      <c r="GO36" s="4"/>
      <c r="GP36" s="4"/>
      <c r="GQ36" s="4"/>
      <c r="GR36" s="4"/>
      <c r="GS36" s="4"/>
      <c r="GT36" s="4"/>
      <c r="GU36" s="722"/>
      <c r="GV36" s="715"/>
    </row>
    <row r="37" spans="1:204" x14ac:dyDescent="0.25">
      <c r="A37" t="s">
        <v>684</v>
      </c>
      <c r="B37" s="2" t="s">
        <v>685</v>
      </c>
      <c r="C37" s="619">
        <v>44448</v>
      </c>
      <c r="D37" s="2" t="s">
        <v>540</v>
      </c>
      <c r="E37" t="s">
        <v>58</v>
      </c>
      <c r="F37" s="2" t="s">
        <v>43</v>
      </c>
      <c r="G37" t="s">
        <v>40</v>
      </c>
      <c r="H37" s="690" t="s">
        <v>84</v>
      </c>
      <c r="I37" s="691" t="s">
        <v>464</v>
      </c>
      <c r="J37" s="721">
        <v>11599292000147</v>
      </c>
      <c r="K37" s="691" t="s">
        <v>43</v>
      </c>
      <c r="L37" s="721">
        <v>3780401000108</v>
      </c>
      <c r="M37" s="718" t="s">
        <v>3</v>
      </c>
      <c r="N37" s="717" t="s">
        <v>44</v>
      </c>
      <c r="O37" s="719">
        <v>44562</v>
      </c>
      <c r="P37" s="720">
        <v>44592</v>
      </c>
      <c r="Q37" s="718">
        <v>515</v>
      </c>
      <c r="R37" s="717">
        <v>10</v>
      </c>
      <c r="S37" s="691" t="s">
        <v>54</v>
      </c>
      <c r="T37" t="s">
        <v>358</v>
      </c>
      <c r="U37" s="673" t="s">
        <v>358</v>
      </c>
      <c r="V37" s="690" t="s">
        <v>358</v>
      </c>
      <c r="W37" s="657" t="s">
        <v>329</v>
      </c>
      <c r="X37" s="723">
        <v>10</v>
      </c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654"/>
      <c r="AJ37" s="655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654"/>
      <c r="AV37" s="655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654"/>
      <c r="BH37" s="655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654"/>
      <c r="BT37" s="655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693"/>
      <c r="CF37" s="723">
        <v>515</v>
      </c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654"/>
      <c r="CR37" s="655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654"/>
      <c r="DD37" s="655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654"/>
      <c r="DP37" s="655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654"/>
      <c r="EB37" s="655"/>
      <c r="EC37" s="4"/>
      <c r="ED37" s="4"/>
      <c r="EE37" s="4"/>
      <c r="EF37" s="4"/>
      <c r="EG37" s="4"/>
      <c r="EH37" s="4"/>
      <c r="EI37" s="4"/>
      <c r="EJ37" s="4"/>
      <c r="EK37" s="4"/>
      <c r="EL37" s="4"/>
      <c r="EM37" s="693"/>
      <c r="EN37" s="723">
        <v>515</v>
      </c>
      <c r="EO37" s="4"/>
      <c r="EP37" s="4"/>
      <c r="EQ37" s="4"/>
      <c r="ER37" s="4"/>
      <c r="ES37" s="4"/>
      <c r="ET37" s="4"/>
      <c r="EU37" s="4"/>
      <c r="EV37" s="4"/>
      <c r="EW37" s="4"/>
      <c r="EX37" s="4"/>
      <c r="EY37" s="654"/>
      <c r="EZ37" s="655"/>
      <c r="FA37" s="4"/>
      <c r="FB37" s="4"/>
      <c r="FC37" s="4"/>
      <c r="FD37" s="4"/>
      <c r="FE37" s="4"/>
      <c r="FF37" s="4"/>
      <c r="FG37" s="4"/>
      <c r="FH37" s="4"/>
      <c r="FI37" s="4"/>
      <c r="FJ37" s="4"/>
      <c r="FK37" s="654"/>
      <c r="FL37" s="655"/>
      <c r="FM37" s="4"/>
      <c r="FN37" s="4"/>
      <c r="FO37" s="4"/>
      <c r="FP37" s="4"/>
      <c r="FQ37" s="4"/>
      <c r="FR37" s="4"/>
      <c r="FS37" s="4"/>
      <c r="FT37" s="4"/>
      <c r="FU37" s="4"/>
      <c r="FV37" s="4"/>
      <c r="FW37" s="654"/>
      <c r="FX37" s="655"/>
      <c r="FY37" s="4"/>
      <c r="FZ37" s="4"/>
      <c r="GA37" s="4"/>
      <c r="GB37" s="4"/>
      <c r="GC37" s="4"/>
      <c r="GD37" s="4"/>
      <c r="GE37" s="4"/>
      <c r="GF37" s="4"/>
      <c r="GG37" s="4"/>
      <c r="GH37" s="4"/>
      <c r="GI37" s="654"/>
      <c r="GJ37" s="655"/>
      <c r="GK37" s="4"/>
      <c r="GL37" s="4"/>
      <c r="GM37" s="4"/>
      <c r="GN37" s="4"/>
      <c r="GO37" s="4"/>
      <c r="GP37" s="4"/>
      <c r="GQ37" s="4"/>
      <c r="GR37" s="4"/>
      <c r="GS37" s="4"/>
      <c r="GT37" s="4"/>
      <c r="GU37" s="722"/>
      <c r="GV37" s="715"/>
    </row>
    <row r="38" spans="1:204" x14ac:dyDescent="0.25">
      <c r="A38" t="s">
        <v>686</v>
      </c>
      <c r="B38" s="2" t="s">
        <v>687</v>
      </c>
      <c r="C38" s="619">
        <v>44448</v>
      </c>
      <c r="D38" s="2" t="s">
        <v>541</v>
      </c>
      <c r="E38" t="s">
        <v>59</v>
      </c>
      <c r="F38" s="2" t="s">
        <v>43</v>
      </c>
      <c r="G38" t="s">
        <v>40</v>
      </c>
      <c r="H38" s="690" t="s">
        <v>85</v>
      </c>
      <c r="I38" s="691" t="s">
        <v>43</v>
      </c>
      <c r="J38" s="721">
        <v>3780401000108</v>
      </c>
      <c r="K38" s="691" t="s">
        <v>464</v>
      </c>
      <c r="L38" s="721">
        <v>11599292000147</v>
      </c>
      <c r="M38" s="718" t="s">
        <v>3</v>
      </c>
      <c r="N38" s="717" t="s">
        <v>44</v>
      </c>
      <c r="O38" s="719">
        <v>44621</v>
      </c>
      <c r="P38" s="720">
        <v>44651</v>
      </c>
      <c r="Q38" s="718">
        <v>375</v>
      </c>
      <c r="R38" s="717">
        <v>10</v>
      </c>
      <c r="S38" s="691" t="s">
        <v>54</v>
      </c>
      <c r="T38" t="s">
        <v>358</v>
      </c>
      <c r="U38" s="673" t="s">
        <v>358</v>
      </c>
      <c r="V38" s="690" t="s">
        <v>358</v>
      </c>
      <c r="W38" s="657" t="s">
        <v>329</v>
      </c>
      <c r="X38" s="723"/>
      <c r="Y38" s="4"/>
      <c r="Z38" s="4">
        <v>10</v>
      </c>
      <c r="AA38" s="4"/>
      <c r="AB38" s="4"/>
      <c r="AC38" s="4"/>
      <c r="AD38" s="4"/>
      <c r="AE38" s="4"/>
      <c r="AF38" s="4"/>
      <c r="AG38" s="4"/>
      <c r="AH38" s="4"/>
      <c r="AI38" s="654"/>
      <c r="AJ38" s="655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654"/>
      <c r="AV38" s="655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654"/>
      <c r="BH38" s="655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654"/>
      <c r="BT38" s="655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693"/>
      <c r="CF38" s="723"/>
      <c r="CG38" s="4"/>
      <c r="CH38" s="4">
        <v>375</v>
      </c>
      <c r="CI38" s="4"/>
      <c r="CJ38" s="4"/>
      <c r="CK38" s="4"/>
      <c r="CL38" s="4"/>
      <c r="CM38" s="4"/>
      <c r="CN38" s="4"/>
      <c r="CO38" s="4"/>
      <c r="CP38" s="4"/>
      <c r="CQ38" s="654"/>
      <c r="CR38" s="655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654"/>
      <c r="DD38" s="655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654"/>
      <c r="DP38" s="655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654"/>
      <c r="EB38" s="655"/>
      <c r="EC38" s="4"/>
      <c r="ED38" s="4"/>
      <c r="EE38" s="4"/>
      <c r="EF38" s="4"/>
      <c r="EG38" s="4"/>
      <c r="EH38" s="4"/>
      <c r="EI38" s="4"/>
      <c r="EJ38" s="4"/>
      <c r="EK38" s="4"/>
      <c r="EL38" s="4"/>
      <c r="EM38" s="693"/>
      <c r="EN38" s="723"/>
      <c r="EO38" s="4"/>
      <c r="EP38" s="4">
        <v>375</v>
      </c>
      <c r="EQ38" s="4"/>
      <c r="ER38" s="4"/>
      <c r="ES38" s="4"/>
      <c r="ET38" s="4"/>
      <c r="EU38" s="4"/>
      <c r="EV38" s="4"/>
      <c r="EW38" s="4"/>
      <c r="EX38" s="4"/>
      <c r="EY38" s="654"/>
      <c r="EZ38" s="655"/>
      <c r="FA38" s="4"/>
      <c r="FB38" s="4"/>
      <c r="FC38" s="4"/>
      <c r="FD38" s="4"/>
      <c r="FE38" s="4"/>
      <c r="FF38" s="4"/>
      <c r="FG38" s="4"/>
      <c r="FH38" s="4"/>
      <c r="FI38" s="4"/>
      <c r="FJ38" s="4"/>
      <c r="FK38" s="654"/>
      <c r="FL38" s="655"/>
      <c r="FM38" s="4"/>
      <c r="FN38" s="4"/>
      <c r="FO38" s="4"/>
      <c r="FP38" s="4"/>
      <c r="FQ38" s="4"/>
      <c r="FR38" s="4"/>
      <c r="FS38" s="4"/>
      <c r="FT38" s="4"/>
      <c r="FU38" s="4"/>
      <c r="FV38" s="4"/>
      <c r="FW38" s="654"/>
      <c r="FX38" s="655"/>
      <c r="FY38" s="4"/>
      <c r="FZ38" s="4"/>
      <c r="GA38" s="4"/>
      <c r="GB38" s="4"/>
      <c r="GC38" s="4"/>
      <c r="GD38" s="4"/>
      <c r="GE38" s="4"/>
      <c r="GF38" s="4"/>
      <c r="GG38" s="4"/>
      <c r="GH38" s="4"/>
      <c r="GI38" s="654"/>
      <c r="GJ38" s="655"/>
      <c r="GK38" s="4"/>
      <c r="GL38" s="4"/>
      <c r="GM38" s="4"/>
      <c r="GN38" s="4"/>
      <c r="GO38" s="4"/>
      <c r="GP38" s="4"/>
      <c r="GQ38" s="4"/>
      <c r="GR38" s="4"/>
      <c r="GS38" s="4"/>
      <c r="GT38" s="4"/>
      <c r="GU38" s="722"/>
      <c r="GV38" s="715"/>
    </row>
    <row r="39" spans="1:204" x14ac:dyDescent="0.25">
      <c r="A39" t="s">
        <v>688</v>
      </c>
      <c r="B39" s="2" t="s">
        <v>689</v>
      </c>
      <c r="C39" s="619">
        <v>44448</v>
      </c>
      <c r="D39" s="2" t="s">
        <v>542</v>
      </c>
      <c r="E39" t="s">
        <v>58</v>
      </c>
      <c r="F39" s="2" t="s">
        <v>43</v>
      </c>
      <c r="G39" t="s">
        <v>40</v>
      </c>
      <c r="H39" s="690" t="s">
        <v>84</v>
      </c>
      <c r="I39" s="691" t="s">
        <v>348</v>
      </c>
      <c r="J39" s="721">
        <v>13777004000122</v>
      </c>
      <c r="K39" s="691" t="s">
        <v>43</v>
      </c>
      <c r="L39" s="721">
        <v>3780401000108</v>
      </c>
      <c r="M39" s="718" t="s">
        <v>3</v>
      </c>
      <c r="N39" s="717" t="s">
        <v>44</v>
      </c>
      <c r="O39" s="719">
        <v>44743</v>
      </c>
      <c r="P39" s="720">
        <v>44834</v>
      </c>
      <c r="Q39" s="718">
        <v>370</v>
      </c>
      <c r="R39" s="717">
        <v>7</v>
      </c>
      <c r="S39" s="691" t="s">
        <v>54</v>
      </c>
      <c r="T39" t="s">
        <v>358</v>
      </c>
      <c r="U39" s="673" t="s">
        <v>358</v>
      </c>
      <c r="V39" s="690" t="s">
        <v>358</v>
      </c>
      <c r="W39" s="657" t="s">
        <v>329</v>
      </c>
      <c r="X39" s="723"/>
      <c r="Y39" s="4"/>
      <c r="Z39" s="4"/>
      <c r="AA39" s="4"/>
      <c r="AB39" s="4"/>
      <c r="AC39" s="4"/>
      <c r="AD39" s="4">
        <v>7</v>
      </c>
      <c r="AE39" s="4">
        <v>7</v>
      </c>
      <c r="AF39" s="4">
        <v>7</v>
      </c>
      <c r="AG39" s="4"/>
      <c r="AH39" s="4"/>
      <c r="AI39" s="654"/>
      <c r="AJ39" s="655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654"/>
      <c r="AV39" s="655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654"/>
      <c r="BH39" s="655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654"/>
      <c r="BT39" s="655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693"/>
      <c r="CF39" s="723"/>
      <c r="CG39" s="4"/>
      <c r="CH39" s="4"/>
      <c r="CI39" s="4"/>
      <c r="CJ39" s="4"/>
      <c r="CK39" s="4"/>
      <c r="CL39" s="4">
        <v>370</v>
      </c>
      <c r="CM39" s="4">
        <v>370</v>
      </c>
      <c r="CN39" s="4">
        <v>370</v>
      </c>
      <c r="CO39" s="4"/>
      <c r="CP39" s="4"/>
      <c r="CQ39" s="654"/>
      <c r="CR39" s="655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654"/>
      <c r="DD39" s="655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654"/>
      <c r="DP39" s="655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654"/>
      <c r="EB39" s="655"/>
      <c r="EC39" s="4"/>
      <c r="ED39" s="4"/>
      <c r="EE39" s="4"/>
      <c r="EF39" s="4"/>
      <c r="EG39" s="4"/>
      <c r="EH39" s="4"/>
      <c r="EI39" s="4"/>
      <c r="EJ39" s="4"/>
      <c r="EK39" s="4"/>
      <c r="EL39" s="4"/>
      <c r="EM39" s="693"/>
      <c r="EN39" s="723"/>
      <c r="EO39" s="4"/>
      <c r="EP39" s="4"/>
      <c r="EQ39" s="4"/>
      <c r="ER39" s="4"/>
      <c r="ES39" s="4"/>
      <c r="ET39" s="4">
        <v>370</v>
      </c>
      <c r="EU39" s="4">
        <v>370</v>
      </c>
      <c r="EV39" s="4">
        <v>370</v>
      </c>
      <c r="EW39" s="4"/>
      <c r="EX39" s="4"/>
      <c r="EY39" s="654"/>
      <c r="EZ39" s="655"/>
      <c r="FA39" s="4"/>
      <c r="FB39" s="4"/>
      <c r="FC39" s="4"/>
      <c r="FD39" s="4"/>
      <c r="FE39" s="4"/>
      <c r="FF39" s="4"/>
      <c r="FG39" s="4"/>
      <c r="FH39" s="4"/>
      <c r="FI39" s="4"/>
      <c r="FJ39" s="4"/>
      <c r="FK39" s="654"/>
      <c r="FL39" s="655"/>
      <c r="FM39" s="4"/>
      <c r="FN39" s="4"/>
      <c r="FO39" s="4"/>
      <c r="FP39" s="4"/>
      <c r="FQ39" s="4"/>
      <c r="FR39" s="4"/>
      <c r="FS39" s="4"/>
      <c r="FT39" s="4"/>
      <c r="FU39" s="4"/>
      <c r="FV39" s="4"/>
      <c r="FW39" s="654"/>
      <c r="FX39" s="655"/>
      <c r="FY39" s="4"/>
      <c r="FZ39" s="4"/>
      <c r="GA39" s="4"/>
      <c r="GB39" s="4"/>
      <c r="GC39" s="4"/>
      <c r="GD39" s="4"/>
      <c r="GE39" s="4"/>
      <c r="GF39" s="4"/>
      <c r="GG39" s="4"/>
      <c r="GH39" s="4"/>
      <c r="GI39" s="654"/>
      <c r="GJ39" s="655"/>
      <c r="GK39" s="4"/>
      <c r="GL39" s="4"/>
      <c r="GM39" s="4"/>
      <c r="GN39" s="4"/>
      <c r="GO39" s="4"/>
      <c r="GP39" s="4"/>
      <c r="GQ39" s="4"/>
      <c r="GR39" s="4"/>
      <c r="GS39" s="4"/>
      <c r="GT39" s="4"/>
      <c r="GU39" s="722"/>
      <c r="GV39" s="715"/>
    </row>
    <row r="40" spans="1:204" x14ac:dyDescent="0.25">
      <c r="A40" t="s">
        <v>690</v>
      </c>
      <c r="B40" s="2" t="s">
        <v>691</v>
      </c>
      <c r="C40" s="619">
        <v>44448</v>
      </c>
      <c r="D40" s="2" t="s">
        <v>543</v>
      </c>
      <c r="E40" t="s">
        <v>59</v>
      </c>
      <c r="F40" s="2" t="s">
        <v>43</v>
      </c>
      <c r="G40" t="s">
        <v>40</v>
      </c>
      <c r="H40" s="690" t="s">
        <v>85</v>
      </c>
      <c r="I40" s="691" t="s">
        <v>43</v>
      </c>
      <c r="J40" s="721">
        <v>3780401000108</v>
      </c>
      <c r="K40" s="691" t="s">
        <v>348</v>
      </c>
      <c r="L40" s="721">
        <v>13777004000122</v>
      </c>
      <c r="M40" s="718" t="s">
        <v>3</v>
      </c>
      <c r="N40" s="717" t="s">
        <v>44</v>
      </c>
      <c r="O40" s="719">
        <v>44562</v>
      </c>
      <c r="P40" s="720">
        <v>44651</v>
      </c>
      <c r="Q40" s="718">
        <v>440</v>
      </c>
      <c r="R40" s="717">
        <v>7</v>
      </c>
      <c r="S40" s="691" t="s">
        <v>54</v>
      </c>
      <c r="T40" t="s">
        <v>358</v>
      </c>
      <c r="U40" s="673" t="s">
        <v>358</v>
      </c>
      <c r="V40" s="690" t="s">
        <v>358</v>
      </c>
      <c r="W40" s="657" t="s">
        <v>329</v>
      </c>
      <c r="X40" s="723">
        <v>7</v>
      </c>
      <c r="Y40" s="4">
        <v>7</v>
      </c>
      <c r="Z40" s="4">
        <v>7</v>
      </c>
      <c r="AA40" s="4"/>
      <c r="AB40" s="4"/>
      <c r="AC40" s="4"/>
      <c r="AD40" s="4"/>
      <c r="AE40" s="4"/>
      <c r="AF40" s="4"/>
      <c r="AG40" s="4"/>
      <c r="AH40" s="4"/>
      <c r="AI40" s="654"/>
      <c r="AJ40" s="655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654"/>
      <c r="AV40" s="655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654"/>
      <c r="BH40" s="655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654"/>
      <c r="BT40" s="655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693"/>
      <c r="CF40" s="723">
        <v>440</v>
      </c>
      <c r="CG40" s="4">
        <v>440</v>
      </c>
      <c r="CH40" s="4">
        <v>440</v>
      </c>
      <c r="CI40" s="4"/>
      <c r="CJ40" s="4"/>
      <c r="CK40" s="4"/>
      <c r="CL40" s="4"/>
      <c r="CM40" s="4"/>
      <c r="CN40" s="4"/>
      <c r="CO40" s="4"/>
      <c r="CP40" s="4"/>
      <c r="CQ40" s="654"/>
      <c r="CR40" s="655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654"/>
      <c r="DD40" s="655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654"/>
      <c r="DP40" s="655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654"/>
      <c r="EB40" s="655"/>
      <c r="EC40" s="4"/>
      <c r="ED40" s="4"/>
      <c r="EE40" s="4"/>
      <c r="EF40" s="4"/>
      <c r="EG40" s="4"/>
      <c r="EH40" s="4"/>
      <c r="EI40" s="4"/>
      <c r="EJ40" s="4"/>
      <c r="EK40" s="4"/>
      <c r="EL40" s="4"/>
      <c r="EM40" s="693"/>
      <c r="EN40" s="723">
        <v>440</v>
      </c>
      <c r="EO40" s="4">
        <v>440</v>
      </c>
      <c r="EP40" s="4">
        <v>440</v>
      </c>
      <c r="EQ40" s="4"/>
      <c r="ER40" s="4"/>
      <c r="ES40" s="4"/>
      <c r="ET40" s="4"/>
      <c r="EU40" s="4"/>
      <c r="EV40" s="4"/>
      <c r="EW40" s="4"/>
      <c r="EX40" s="4"/>
      <c r="EY40" s="654"/>
      <c r="EZ40" s="655"/>
      <c r="FA40" s="4"/>
      <c r="FB40" s="4"/>
      <c r="FC40" s="4"/>
      <c r="FD40" s="4"/>
      <c r="FE40" s="4"/>
      <c r="FF40" s="4"/>
      <c r="FG40" s="4"/>
      <c r="FH40" s="4"/>
      <c r="FI40" s="4"/>
      <c r="FJ40" s="4"/>
      <c r="FK40" s="654"/>
      <c r="FL40" s="655"/>
      <c r="FM40" s="4"/>
      <c r="FN40" s="4"/>
      <c r="FO40" s="4"/>
      <c r="FP40" s="4"/>
      <c r="FQ40" s="4"/>
      <c r="FR40" s="4"/>
      <c r="FS40" s="4"/>
      <c r="FT40" s="4"/>
      <c r="FU40" s="4"/>
      <c r="FV40" s="4"/>
      <c r="FW40" s="654"/>
      <c r="FX40" s="655"/>
      <c r="FY40" s="4"/>
      <c r="FZ40" s="4"/>
      <c r="GA40" s="4"/>
      <c r="GB40" s="4"/>
      <c r="GC40" s="4"/>
      <c r="GD40" s="4"/>
      <c r="GE40" s="4"/>
      <c r="GF40" s="4"/>
      <c r="GG40" s="4"/>
      <c r="GH40" s="4"/>
      <c r="GI40" s="654"/>
      <c r="GJ40" s="655"/>
      <c r="GK40" s="4"/>
      <c r="GL40" s="4"/>
      <c r="GM40" s="4"/>
      <c r="GN40" s="4"/>
      <c r="GO40" s="4"/>
      <c r="GP40" s="4"/>
      <c r="GQ40" s="4"/>
      <c r="GR40" s="4"/>
      <c r="GS40" s="4"/>
      <c r="GT40" s="4"/>
      <c r="GU40" s="722"/>
      <c r="GV40" s="715"/>
    </row>
    <row r="41" spans="1:204" x14ac:dyDescent="0.25">
      <c r="A41" t="s">
        <v>692</v>
      </c>
      <c r="B41" s="2" t="s">
        <v>358</v>
      </c>
      <c r="C41" s="619">
        <v>44460</v>
      </c>
      <c r="D41" s="2" t="s">
        <v>544</v>
      </c>
      <c r="E41" t="s">
        <v>58</v>
      </c>
      <c r="F41" s="2" t="s">
        <v>43</v>
      </c>
      <c r="G41" t="s">
        <v>40</v>
      </c>
      <c r="H41" s="690" t="s">
        <v>84</v>
      </c>
      <c r="I41" s="691" t="s">
        <v>405</v>
      </c>
      <c r="J41" s="721">
        <v>58177643000195</v>
      </c>
      <c r="K41" s="691" t="s">
        <v>43</v>
      </c>
      <c r="L41" s="721">
        <v>3780401000108</v>
      </c>
      <c r="M41" s="718" t="s">
        <v>3</v>
      </c>
      <c r="N41" s="717" t="s">
        <v>44</v>
      </c>
      <c r="O41" s="719">
        <v>44562</v>
      </c>
      <c r="P41" s="720">
        <v>44926</v>
      </c>
      <c r="Q41" s="718">
        <v>246</v>
      </c>
      <c r="R41" s="717">
        <v>3</v>
      </c>
      <c r="S41" s="691" t="s">
        <v>54</v>
      </c>
      <c r="T41" t="s">
        <v>649</v>
      </c>
      <c r="U41" s="673">
        <v>44460</v>
      </c>
      <c r="V41" s="690">
        <v>1</v>
      </c>
      <c r="W41" s="657" t="s">
        <v>214</v>
      </c>
      <c r="X41" s="723">
        <v>3</v>
      </c>
      <c r="Y41" s="4">
        <v>3</v>
      </c>
      <c r="Z41" s="4">
        <v>3</v>
      </c>
      <c r="AA41" s="4">
        <v>3</v>
      </c>
      <c r="AB41" s="4">
        <v>3</v>
      </c>
      <c r="AC41" s="4">
        <v>3</v>
      </c>
      <c r="AD41" s="4">
        <v>3</v>
      </c>
      <c r="AE41" s="4">
        <v>3</v>
      </c>
      <c r="AF41" s="4">
        <v>3</v>
      </c>
      <c r="AG41" s="4">
        <v>3</v>
      </c>
      <c r="AH41" s="4">
        <v>3</v>
      </c>
      <c r="AI41" s="654">
        <v>3</v>
      </c>
      <c r="AJ41" s="655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654"/>
      <c r="AV41" s="655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654"/>
      <c r="BH41" s="655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654"/>
      <c r="BT41" s="655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693"/>
      <c r="CF41" s="723">
        <v>256.21460675113383</v>
      </c>
      <c r="CG41" s="4">
        <v>256.21460675113383</v>
      </c>
      <c r="CH41" s="4">
        <v>256.21460675113383</v>
      </c>
      <c r="CI41" s="4">
        <v>256.21460675113383</v>
      </c>
      <c r="CJ41" s="4">
        <v>256.21460675113383</v>
      </c>
      <c r="CK41" s="4">
        <v>256.21460675113383</v>
      </c>
      <c r="CL41" s="4">
        <v>256.21460675113383</v>
      </c>
      <c r="CM41" s="4">
        <v>256.21460675113383</v>
      </c>
      <c r="CN41" s="4">
        <v>256.21460675113383</v>
      </c>
      <c r="CO41" s="4">
        <v>256.21460675113383</v>
      </c>
      <c r="CP41" s="4">
        <v>256.21460675113383</v>
      </c>
      <c r="CQ41" s="654">
        <v>256.21460675113383</v>
      </c>
      <c r="CR41" s="655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654"/>
      <c r="DD41" s="655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654"/>
      <c r="DP41" s="655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654"/>
      <c r="EB41" s="655"/>
      <c r="EC41" s="4"/>
      <c r="ED41" s="4"/>
      <c r="EE41" s="4"/>
      <c r="EF41" s="4"/>
      <c r="EG41" s="4"/>
      <c r="EH41" s="4"/>
      <c r="EI41" s="4"/>
      <c r="EJ41" s="4"/>
      <c r="EK41" s="4"/>
      <c r="EL41" s="4"/>
      <c r="EM41" s="693"/>
      <c r="EN41" s="723">
        <v>256.21460675113383</v>
      </c>
      <c r="EO41" s="4">
        <v>256.21460675113383</v>
      </c>
      <c r="EP41" s="4">
        <v>256.21460675113383</v>
      </c>
      <c r="EQ41" s="4">
        <v>256.21460675113383</v>
      </c>
      <c r="ER41" s="4">
        <v>256.21460675113383</v>
      </c>
      <c r="ES41" s="4">
        <v>256.21460675113383</v>
      </c>
      <c r="ET41" s="4">
        <v>256.21460675113383</v>
      </c>
      <c r="EU41" s="4">
        <v>256.21460675113383</v>
      </c>
      <c r="EV41" s="4">
        <v>256.21460675113383</v>
      </c>
      <c r="EW41" s="4">
        <v>256.21460675113383</v>
      </c>
      <c r="EX41" s="4">
        <v>256.21460675113383</v>
      </c>
      <c r="EY41" s="654">
        <v>256.21460675113383</v>
      </c>
      <c r="EZ41" s="655"/>
      <c r="FA41" s="4"/>
      <c r="FB41" s="4"/>
      <c r="FC41" s="4"/>
      <c r="FD41" s="4"/>
      <c r="FE41" s="4"/>
      <c r="FF41" s="4"/>
      <c r="FG41" s="4"/>
      <c r="FH41" s="4"/>
      <c r="FI41" s="4"/>
      <c r="FJ41" s="4"/>
      <c r="FK41" s="654"/>
      <c r="FL41" s="655"/>
      <c r="FM41" s="4"/>
      <c r="FN41" s="4"/>
      <c r="FO41" s="4"/>
      <c r="FP41" s="4"/>
      <c r="FQ41" s="4"/>
      <c r="FR41" s="4"/>
      <c r="FS41" s="4"/>
      <c r="FT41" s="4"/>
      <c r="FU41" s="4"/>
      <c r="FV41" s="4"/>
      <c r="FW41" s="654"/>
      <c r="FX41" s="655"/>
      <c r="FY41" s="4"/>
      <c r="FZ41" s="4"/>
      <c r="GA41" s="4"/>
      <c r="GB41" s="4"/>
      <c r="GC41" s="4"/>
      <c r="GD41" s="4"/>
      <c r="GE41" s="4"/>
      <c r="GF41" s="4"/>
      <c r="GG41" s="4"/>
      <c r="GH41" s="4"/>
      <c r="GI41" s="654"/>
      <c r="GJ41" s="655"/>
      <c r="GK41" s="4"/>
      <c r="GL41" s="4"/>
      <c r="GM41" s="4"/>
      <c r="GN41" s="4"/>
      <c r="GO41" s="4"/>
      <c r="GP41" s="4"/>
      <c r="GQ41" s="4"/>
      <c r="GR41" s="4"/>
      <c r="GS41" s="4"/>
      <c r="GT41" s="4"/>
      <c r="GU41" s="722"/>
      <c r="GV41" s="715"/>
    </row>
    <row r="42" spans="1:204" x14ac:dyDescent="0.25">
      <c r="A42" t="s">
        <v>693</v>
      </c>
      <c r="B42" s="2" t="s">
        <v>358</v>
      </c>
      <c r="C42" s="619">
        <v>44461</v>
      </c>
      <c r="D42" s="2" t="s">
        <v>358</v>
      </c>
      <c r="E42" t="s">
        <v>58</v>
      </c>
      <c r="F42" s="2" t="s">
        <v>43</v>
      </c>
      <c r="G42" t="s">
        <v>40</v>
      </c>
      <c r="H42" s="690" t="s">
        <v>547</v>
      </c>
      <c r="I42" s="691" t="s">
        <v>468</v>
      </c>
      <c r="J42" s="721">
        <v>13145928000106</v>
      </c>
      <c r="K42" s="691" t="s">
        <v>43</v>
      </c>
      <c r="L42" s="721">
        <v>3780401000108</v>
      </c>
      <c r="M42" s="718" t="s">
        <v>3</v>
      </c>
      <c r="N42" s="717" t="s">
        <v>44</v>
      </c>
      <c r="O42" s="719">
        <v>44562</v>
      </c>
      <c r="P42" s="720">
        <v>44926</v>
      </c>
      <c r="Q42" s="718">
        <v>0</v>
      </c>
      <c r="R42" s="717">
        <v>1.0703270547945205</v>
      </c>
      <c r="S42" s="691" t="s">
        <v>54</v>
      </c>
      <c r="T42" t="s">
        <v>358</v>
      </c>
      <c r="U42" s="673" t="s">
        <v>358</v>
      </c>
      <c r="V42" s="690" t="s">
        <v>358</v>
      </c>
      <c r="W42" s="657" t="s">
        <v>214</v>
      </c>
      <c r="X42" s="723">
        <v>1.050186491935484</v>
      </c>
      <c r="Y42" s="4">
        <v>1.1627064732142858</v>
      </c>
      <c r="Z42" s="4">
        <v>1.050186491935484</v>
      </c>
      <c r="AA42" s="4">
        <v>1.0851927083333333</v>
      </c>
      <c r="AB42" s="4">
        <v>1.050186491935484</v>
      </c>
      <c r="AC42" s="4">
        <v>1.0851927083333333</v>
      </c>
      <c r="AD42" s="4">
        <v>1.050186491935484</v>
      </c>
      <c r="AE42" s="4">
        <v>1.050186491935484</v>
      </c>
      <c r="AF42" s="4">
        <v>1.0851927083333333</v>
      </c>
      <c r="AG42" s="4">
        <v>1.050186491935484</v>
      </c>
      <c r="AH42" s="4">
        <v>1.0851927083333333</v>
      </c>
      <c r="AI42" s="654">
        <v>1.050186491935484</v>
      </c>
      <c r="AJ42" s="655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654"/>
      <c r="AV42" s="655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654"/>
      <c r="BH42" s="655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654"/>
      <c r="BT42" s="655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693"/>
      <c r="CF42" s="723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  <c r="CO42" s="4">
        <v>0</v>
      </c>
      <c r="CP42" s="4">
        <v>0</v>
      </c>
      <c r="CQ42" s="654">
        <v>0</v>
      </c>
      <c r="CR42" s="655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654"/>
      <c r="DD42" s="655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654"/>
      <c r="DP42" s="655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654"/>
      <c r="EB42" s="655"/>
      <c r="EC42" s="4"/>
      <c r="ED42" s="4"/>
      <c r="EE42" s="4"/>
      <c r="EF42" s="4"/>
      <c r="EG42" s="4"/>
      <c r="EH42" s="4"/>
      <c r="EI42" s="4"/>
      <c r="EJ42" s="4"/>
      <c r="EK42" s="4"/>
      <c r="EL42" s="4"/>
      <c r="EM42" s="693"/>
      <c r="EN42" s="723">
        <v>0</v>
      </c>
      <c r="EO42" s="4">
        <v>0</v>
      </c>
      <c r="EP42" s="4">
        <v>0</v>
      </c>
      <c r="EQ42" s="4">
        <v>0</v>
      </c>
      <c r="ER42" s="4">
        <v>0</v>
      </c>
      <c r="ES42" s="4">
        <v>0</v>
      </c>
      <c r="ET42" s="4">
        <v>0</v>
      </c>
      <c r="EU42" s="4">
        <v>0</v>
      </c>
      <c r="EV42" s="4">
        <v>0</v>
      </c>
      <c r="EW42" s="4">
        <v>0</v>
      </c>
      <c r="EX42" s="4">
        <v>0</v>
      </c>
      <c r="EY42" s="654">
        <v>0</v>
      </c>
      <c r="EZ42" s="655"/>
      <c r="FA42" s="4"/>
      <c r="FB42" s="4"/>
      <c r="FC42" s="4"/>
      <c r="FD42" s="4"/>
      <c r="FE42" s="4"/>
      <c r="FF42" s="4"/>
      <c r="FG42" s="4"/>
      <c r="FH42" s="4"/>
      <c r="FI42" s="4"/>
      <c r="FJ42" s="4"/>
      <c r="FK42" s="654"/>
      <c r="FL42" s="655"/>
      <c r="FM42" s="4"/>
      <c r="FN42" s="4"/>
      <c r="FO42" s="4"/>
      <c r="FP42" s="4"/>
      <c r="FQ42" s="4"/>
      <c r="FR42" s="4"/>
      <c r="FS42" s="4"/>
      <c r="FT42" s="4"/>
      <c r="FU42" s="4"/>
      <c r="FV42" s="4"/>
      <c r="FW42" s="654"/>
      <c r="FX42" s="655"/>
      <c r="FY42" s="4"/>
      <c r="FZ42" s="4"/>
      <c r="GA42" s="4"/>
      <c r="GB42" s="4"/>
      <c r="GC42" s="4"/>
      <c r="GD42" s="4"/>
      <c r="GE42" s="4"/>
      <c r="GF42" s="4"/>
      <c r="GG42" s="4"/>
      <c r="GH42" s="4"/>
      <c r="GI42" s="654"/>
      <c r="GJ42" s="655"/>
      <c r="GK42" s="4"/>
      <c r="GL42" s="4"/>
      <c r="GM42" s="4"/>
      <c r="GN42" s="4"/>
      <c r="GO42" s="4"/>
      <c r="GP42" s="4"/>
      <c r="GQ42" s="4"/>
      <c r="GR42" s="4"/>
      <c r="GS42" s="4"/>
      <c r="GT42" s="4"/>
      <c r="GU42" s="722"/>
      <c r="GV42" s="715"/>
    </row>
    <row r="43" spans="1:204" x14ac:dyDescent="0.25">
      <c r="A43" t="s">
        <v>694</v>
      </c>
      <c r="B43" s="2" t="s">
        <v>358</v>
      </c>
      <c r="C43" s="619">
        <v>44461</v>
      </c>
      <c r="D43" s="2" t="s">
        <v>358</v>
      </c>
      <c r="E43" t="s">
        <v>59</v>
      </c>
      <c r="F43" s="2" t="s">
        <v>43</v>
      </c>
      <c r="G43" t="s">
        <v>40</v>
      </c>
      <c r="H43" s="690" t="s">
        <v>547</v>
      </c>
      <c r="I43" s="691" t="s">
        <v>43</v>
      </c>
      <c r="J43" s="721">
        <v>3780401000108</v>
      </c>
      <c r="K43" s="691" t="s">
        <v>468</v>
      </c>
      <c r="L43" s="721">
        <v>13145928000106</v>
      </c>
      <c r="M43" s="718" t="s">
        <v>3</v>
      </c>
      <c r="N43" s="717" t="s">
        <v>44</v>
      </c>
      <c r="O43" s="719">
        <v>44562</v>
      </c>
      <c r="P43" s="720">
        <v>44926</v>
      </c>
      <c r="Q43" s="718">
        <v>40</v>
      </c>
      <c r="R43" s="717">
        <v>1.0703270547945205</v>
      </c>
      <c r="S43" s="691" t="s">
        <v>54</v>
      </c>
      <c r="T43" t="s">
        <v>358</v>
      </c>
      <c r="U43" s="673" t="s">
        <v>358</v>
      </c>
      <c r="V43" s="690" t="s">
        <v>358</v>
      </c>
      <c r="W43" s="657" t="s">
        <v>214</v>
      </c>
      <c r="X43" s="723">
        <v>1.050186491935484</v>
      </c>
      <c r="Y43" s="4">
        <v>1.1627064732142858</v>
      </c>
      <c r="Z43" s="4">
        <v>1.050186491935484</v>
      </c>
      <c r="AA43" s="4">
        <v>1.0851927083333333</v>
      </c>
      <c r="AB43" s="4">
        <v>1.050186491935484</v>
      </c>
      <c r="AC43" s="4">
        <v>1.0851927083333333</v>
      </c>
      <c r="AD43" s="4">
        <v>1.050186491935484</v>
      </c>
      <c r="AE43" s="4">
        <v>1.050186491935484</v>
      </c>
      <c r="AF43" s="4">
        <v>1.0851927083333333</v>
      </c>
      <c r="AG43" s="4">
        <v>1.050186491935484</v>
      </c>
      <c r="AH43" s="4">
        <v>1.0851927083333333</v>
      </c>
      <c r="AI43" s="654">
        <v>1.050186491935484</v>
      </c>
      <c r="AJ43" s="655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654"/>
      <c r="AV43" s="655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654"/>
      <c r="BH43" s="655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654"/>
      <c r="BT43" s="655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693"/>
      <c r="CF43" s="723">
        <v>40</v>
      </c>
      <c r="CG43" s="4">
        <v>40</v>
      </c>
      <c r="CH43" s="4">
        <v>40</v>
      </c>
      <c r="CI43" s="4">
        <v>40</v>
      </c>
      <c r="CJ43" s="4">
        <v>40</v>
      </c>
      <c r="CK43" s="4">
        <v>40</v>
      </c>
      <c r="CL43" s="4">
        <v>40</v>
      </c>
      <c r="CM43" s="4">
        <v>40</v>
      </c>
      <c r="CN43" s="4">
        <v>40</v>
      </c>
      <c r="CO43" s="4">
        <v>40</v>
      </c>
      <c r="CP43" s="4">
        <v>40</v>
      </c>
      <c r="CQ43" s="654">
        <v>40</v>
      </c>
      <c r="CR43" s="655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654"/>
      <c r="DD43" s="655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654"/>
      <c r="DP43" s="655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654"/>
      <c r="EB43" s="655"/>
      <c r="EC43" s="4"/>
      <c r="ED43" s="4"/>
      <c r="EE43" s="4"/>
      <c r="EF43" s="4"/>
      <c r="EG43" s="4"/>
      <c r="EH43" s="4"/>
      <c r="EI43" s="4"/>
      <c r="EJ43" s="4"/>
      <c r="EK43" s="4"/>
      <c r="EL43" s="4"/>
      <c r="EM43" s="693"/>
      <c r="EN43" s="723">
        <v>40</v>
      </c>
      <c r="EO43" s="4">
        <v>40</v>
      </c>
      <c r="EP43" s="4">
        <v>40</v>
      </c>
      <c r="EQ43" s="4">
        <v>40</v>
      </c>
      <c r="ER43" s="4">
        <v>40</v>
      </c>
      <c r="ES43" s="4">
        <v>40</v>
      </c>
      <c r="ET43" s="4">
        <v>40</v>
      </c>
      <c r="EU43" s="4">
        <v>40</v>
      </c>
      <c r="EV43" s="4">
        <v>40</v>
      </c>
      <c r="EW43" s="4">
        <v>40</v>
      </c>
      <c r="EX43" s="4">
        <v>40</v>
      </c>
      <c r="EY43" s="654">
        <v>40</v>
      </c>
      <c r="EZ43" s="655"/>
      <c r="FA43" s="4"/>
      <c r="FB43" s="4"/>
      <c r="FC43" s="4"/>
      <c r="FD43" s="4"/>
      <c r="FE43" s="4"/>
      <c r="FF43" s="4"/>
      <c r="FG43" s="4"/>
      <c r="FH43" s="4"/>
      <c r="FI43" s="4"/>
      <c r="FJ43" s="4"/>
      <c r="FK43" s="654"/>
      <c r="FL43" s="655"/>
      <c r="FM43" s="4"/>
      <c r="FN43" s="4"/>
      <c r="FO43" s="4"/>
      <c r="FP43" s="4"/>
      <c r="FQ43" s="4"/>
      <c r="FR43" s="4"/>
      <c r="FS43" s="4"/>
      <c r="FT43" s="4"/>
      <c r="FU43" s="4"/>
      <c r="FV43" s="4"/>
      <c r="FW43" s="654"/>
      <c r="FX43" s="655"/>
      <c r="FY43" s="4"/>
      <c r="FZ43" s="4"/>
      <c r="GA43" s="4"/>
      <c r="GB43" s="4"/>
      <c r="GC43" s="4"/>
      <c r="GD43" s="4"/>
      <c r="GE43" s="4"/>
      <c r="GF43" s="4"/>
      <c r="GG43" s="4"/>
      <c r="GH43" s="4"/>
      <c r="GI43" s="654"/>
      <c r="GJ43" s="655"/>
      <c r="GK43" s="4"/>
      <c r="GL43" s="4"/>
      <c r="GM43" s="4"/>
      <c r="GN43" s="4"/>
      <c r="GO43" s="4"/>
      <c r="GP43" s="4"/>
      <c r="GQ43" s="4"/>
      <c r="GR43" s="4"/>
      <c r="GS43" s="4"/>
      <c r="GT43" s="4"/>
      <c r="GU43" s="722"/>
      <c r="GV43" s="715"/>
    </row>
    <row r="44" spans="1:204" x14ac:dyDescent="0.25">
      <c r="A44" t="s">
        <v>695</v>
      </c>
      <c r="B44" s="2" t="s">
        <v>358</v>
      </c>
      <c r="C44" s="619">
        <v>44475</v>
      </c>
      <c r="D44" s="2" t="s">
        <v>552</v>
      </c>
      <c r="E44" t="s">
        <v>59</v>
      </c>
      <c r="F44" s="2" t="s">
        <v>43</v>
      </c>
      <c r="G44" t="s">
        <v>40</v>
      </c>
      <c r="H44" s="690" t="s">
        <v>85</v>
      </c>
      <c r="I44" s="691" t="s">
        <v>43</v>
      </c>
      <c r="J44" s="721">
        <v>3780401000108</v>
      </c>
      <c r="K44" s="691" t="s">
        <v>509</v>
      </c>
      <c r="L44" s="721">
        <v>9149503000360</v>
      </c>
      <c r="M44" s="718" t="s">
        <v>3</v>
      </c>
      <c r="N44" s="717" t="s">
        <v>44</v>
      </c>
      <c r="O44" s="719">
        <v>44562</v>
      </c>
      <c r="P44" s="720">
        <v>44926</v>
      </c>
      <c r="Q44" s="718">
        <v>275</v>
      </c>
      <c r="R44" s="717">
        <v>3</v>
      </c>
      <c r="S44" s="691" t="s">
        <v>54</v>
      </c>
      <c r="T44" t="s">
        <v>358</v>
      </c>
      <c r="U44" s="673" t="s">
        <v>358</v>
      </c>
      <c r="V44" s="690" t="s">
        <v>358</v>
      </c>
      <c r="W44" s="657" t="s">
        <v>214</v>
      </c>
      <c r="X44" s="723">
        <v>3</v>
      </c>
      <c r="Y44" s="4">
        <v>3</v>
      </c>
      <c r="Z44" s="4">
        <v>3</v>
      </c>
      <c r="AA44" s="4">
        <v>3</v>
      </c>
      <c r="AB44" s="4">
        <v>3</v>
      </c>
      <c r="AC44" s="4">
        <v>3</v>
      </c>
      <c r="AD44" s="4">
        <v>3</v>
      </c>
      <c r="AE44" s="4">
        <v>3</v>
      </c>
      <c r="AF44" s="4">
        <v>3</v>
      </c>
      <c r="AG44" s="4">
        <v>3</v>
      </c>
      <c r="AH44" s="4">
        <v>3</v>
      </c>
      <c r="AI44" s="654">
        <v>3</v>
      </c>
      <c r="AJ44" s="655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654"/>
      <c r="AV44" s="655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654"/>
      <c r="BH44" s="655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654"/>
      <c r="BT44" s="655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693"/>
      <c r="CF44" s="723">
        <v>275</v>
      </c>
      <c r="CG44" s="4">
        <v>275</v>
      </c>
      <c r="CH44" s="4">
        <v>275</v>
      </c>
      <c r="CI44" s="4">
        <v>275</v>
      </c>
      <c r="CJ44" s="4">
        <v>275</v>
      </c>
      <c r="CK44" s="4">
        <v>275</v>
      </c>
      <c r="CL44" s="4">
        <v>275</v>
      </c>
      <c r="CM44" s="4">
        <v>275</v>
      </c>
      <c r="CN44" s="4">
        <v>275</v>
      </c>
      <c r="CO44" s="4">
        <v>275</v>
      </c>
      <c r="CP44" s="4">
        <v>275</v>
      </c>
      <c r="CQ44" s="654">
        <v>275</v>
      </c>
      <c r="CR44" s="655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654"/>
      <c r="DD44" s="655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654"/>
      <c r="DP44" s="655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654"/>
      <c r="EB44" s="655"/>
      <c r="EC44" s="4"/>
      <c r="ED44" s="4"/>
      <c r="EE44" s="4"/>
      <c r="EF44" s="4"/>
      <c r="EG44" s="4"/>
      <c r="EH44" s="4"/>
      <c r="EI44" s="4"/>
      <c r="EJ44" s="4"/>
      <c r="EK44" s="4"/>
      <c r="EL44" s="4"/>
      <c r="EM44" s="693"/>
      <c r="EN44" s="723">
        <v>275</v>
      </c>
      <c r="EO44" s="4">
        <v>275</v>
      </c>
      <c r="EP44" s="4">
        <v>275</v>
      </c>
      <c r="EQ44" s="4">
        <v>275</v>
      </c>
      <c r="ER44" s="4">
        <v>275</v>
      </c>
      <c r="ES44" s="4">
        <v>275</v>
      </c>
      <c r="ET44" s="4">
        <v>275</v>
      </c>
      <c r="EU44" s="4">
        <v>275</v>
      </c>
      <c r="EV44" s="4">
        <v>275</v>
      </c>
      <c r="EW44" s="4">
        <v>275</v>
      </c>
      <c r="EX44" s="4">
        <v>275</v>
      </c>
      <c r="EY44" s="654">
        <v>275</v>
      </c>
      <c r="EZ44" s="655"/>
      <c r="FA44" s="4"/>
      <c r="FB44" s="4"/>
      <c r="FC44" s="4"/>
      <c r="FD44" s="4"/>
      <c r="FE44" s="4"/>
      <c r="FF44" s="4"/>
      <c r="FG44" s="4"/>
      <c r="FH44" s="4"/>
      <c r="FI44" s="4"/>
      <c r="FJ44" s="4"/>
      <c r="FK44" s="654"/>
      <c r="FL44" s="655"/>
      <c r="FM44" s="4"/>
      <c r="FN44" s="4"/>
      <c r="FO44" s="4"/>
      <c r="FP44" s="4"/>
      <c r="FQ44" s="4"/>
      <c r="FR44" s="4"/>
      <c r="FS44" s="4"/>
      <c r="FT44" s="4"/>
      <c r="FU44" s="4"/>
      <c r="FV44" s="4"/>
      <c r="FW44" s="654"/>
      <c r="FX44" s="655"/>
      <c r="FY44" s="4"/>
      <c r="FZ44" s="4"/>
      <c r="GA44" s="4"/>
      <c r="GB44" s="4"/>
      <c r="GC44" s="4"/>
      <c r="GD44" s="4"/>
      <c r="GE44" s="4"/>
      <c r="GF44" s="4"/>
      <c r="GG44" s="4"/>
      <c r="GH44" s="4"/>
      <c r="GI44" s="654"/>
      <c r="GJ44" s="655"/>
      <c r="GK44" s="4"/>
      <c r="GL44" s="4"/>
      <c r="GM44" s="4"/>
      <c r="GN44" s="4"/>
      <c r="GO44" s="4"/>
      <c r="GP44" s="4"/>
      <c r="GQ44" s="4"/>
      <c r="GR44" s="4"/>
      <c r="GS44" s="4"/>
      <c r="GT44" s="4"/>
      <c r="GU44" s="722"/>
      <c r="GV44" s="715"/>
    </row>
    <row r="45" spans="1:204" x14ac:dyDescent="0.25">
      <c r="A45" t="s">
        <v>696</v>
      </c>
      <c r="B45" s="2" t="s">
        <v>358</v>
      </c>
      <c r="C45" s="619">
        <v>44475</v>
      </c>
      <c r="D45" s="2" t="s">
        <v>553</v>
      </c>
      <c r="E45" t="s">
        <v>58</v>
      </c>
      <c r="F45" s="2" t="s">
        <v>43</v>
      </c>
      <c r="G45" t="s">
        <v>40</v>
      </c>
      <c r="H45" s="690" t="s">
        <v>84</v>
      </c>
      <c r="I45" s="691" t="s">
        <v>511</v>
      </c>
      <c r="J45" s="721">
        <v>5352237000155</v>
      </c>
      <c r="K45" s="691" t="s">
        <v>43</v>
      </c>
      <c r="L45" s="721">
        <v>3780401000108</v>
      </c>
      <c r="M45" s="718" t="s">
        <v>3</v>
      </c>
      <c r="N45" s="717" t="s">
        <v>44</v>
      </c>
      <c r="O45" s="719">
        <v>44652</v>
      </c>
      <c r="P45" s="720">
        <v>44742</v>
      </c>
      <c r="Q45" s="718">
        <v>200</v>
      </c>
      <c r="R45" s="717">
        <v>3</v>
      </c>
      <c r="S45" s="691" t="s">
        <v>54</v>
      </c>
      <c r="T45" t="s">
        <v>358</v>
      </c>
      <c r="U45" s="673" t="s">
        <v>358</v>
      </c>
      <c r="V45" s="690" t="s">
        <v>358</v>
      </c>
      <c r="W45" s="657" t="s">
        <v>214</v>
      </c>
      <c r="X45" s="723"/>
      <c r="Y45" s="4"/>
      <c r="Z45" s="4"/>
      <c r="AA45" s="4">
        <v>3</v>
      </c>
      <c r="AB45" s="4">
        <v>3</v>
      </c>
      <c r="AC45" s="4">
        <v>3</v>
      </c>
      <c r="AD45" s="4"/>
      <c r="AE45" s="4"/>
      <c r="AF45" s="4"/>
      <c r="AG45" s="4"/>
      <c r="AH45" s="4"/>
      <c r="AI45" s="654"/>
      <c r="AJ45" s="655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654"/>
      <c r="AV45" s="655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654"/>
      <c r="BH45" s="655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654"/>
      <c r="BT45" s="655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693"/>
      <c r="CF45" s="723"/>
      <c r="CG45" s="4"/>
      <c r="CH45" s="4"/>
      <c r="CI45" s="4">
        <v>200</v>
      </c>
      <c r="CJ45" s="4">
        <v>200</v>
      </c>
      <c r="CK45" s="4">
        <v>200</v>
      </c>
      <c r="CL45" s="4"/>
      <c r="CM45" s="4"/>
      <c r="CN45" s="4"/>
      <c r="CO45" s="4"/>
      <c r="CP45" s="4"/>
      <c r="CQ45" s="654"/>
      <c r="CR45" s="655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654"/>
      <c r="DD45" s="655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654"/>
      <c r="DP45" s="655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654"/>
      <c r="EB45" s="655"/>
      <c r="EC45" s="4"/>
      <c r="ED45" s="4"/>
      <c r="EE45" s="4"/>
      <c r="EF45" s="4"/>
      <c r="EG45" s="4"/>
      <c r="EH45" s="4"/>
      <c r="EI45" s="4"/>
      <c r="EJ45" s="4"/>
      <c r="EK45" s="4"/>
      <c r="EL45" s="4"/>
      <c r="EM45" s="693"/>
      <c r="EN45" s="723"/>
      <c r="EO45" s="4"/>
      <c r="EP45" s="4"/>
      <c r="EQ45" s="4">
        <v>200</v>
      </c>
      <c r="ER45" s="4">
        <v>200</v>
      </c>
      <c r="ES45" s="4">
        <v>200</v>
      </c>
      <c r="ET45" s="4"/>
      <c r="EU45" s="4"/>
      <c r="EV45" s="4"/>
      <c r="EW45" s="4"/>
      <c r="EX45" s="4"/>
      <c r="EY45" s="654"/>
      <c r="EZ45" s="655"/>
      <c r="FA45" s="4"/>
      <c r="FB45" s="4"/>
      <c r="FC45" s="4"/>
      <c r="FD45" s="4"/>
      <c r="FE45" s="4"/>
      <c r="FF45" s="4"/>
      <c r="FG45" s="4"/>
      <c r="FH45" s="4"/>
      <c r="FI45" s="4"/>
      <c r="FJ45" s="4"/>
      <c r="FK45" s="654"/>
      <c r="FL45" s="655"/>
      <c r="FM45" s="4"/>
      <c r="FN45" s="4"/>
      <c r="FO45" s="4"/>
      <c r="FP45" s="4"/>
      <c r="FQ45" s="4"/>
      <c r="FR45" s="4"/>
      <c r="FS45" s="4"/>
      <c r="FT45" s="4"/>
      <c r="FU45" s="4"/>
      <c r="FV45" s="4"/>
      <c r="FW45" s="654"/>
      <c r="FX45" s="655"/>
      <c r="FY45" s="4"/>
      <c r="FZ45" s="4"/>
      <c r="GA45" s="4"/>
      <c r="GB45" s="4"/>
      <c r="GC45" s="4"/>
      <c r="GD45" s="4"/>
      <c r="GE45" s="4"/>
      <c r="GF45" s="4"/>
      <c r="GG45" s="4"/>
      <c r="GH45" s="4"/>
      <c r="GI45" s="654"/>
      <c r="GJ45" s="655"/>
      <c r="GK45" s="4"/>
      <c r="GL45" s="4"/>
      <c r="GM45" s="4"/>
      <c r="GN45" s="4"/>
      <c r="GO45" s="4"/>
      <c r="GP45" s="4"/>
      <c r="GQ45" s="4"/>
      <c r="GR45" s="4"/>
      <c r="GS45" s="4"/>
      <c r="GT45" s="4"/>
      <c r="GU45" s="722"/>
      <c r="GV45" s="715"/>
    </row>
    <row r="46" spans="1:204" x14ac:dyDescent="0.25">
      <c r="A46" t="s">
        <v>697</v>
      </c>
      <c r="B46" s="2" t="s">
        <v>358</v>
      </c>
      <c r="C46" s="619">
        <v>44475</v>
      </c>
      <c r="D46" s="2" t="s">
        <v>554</v>
      </c>
      <c r="E46" t="s">
        <v>58</v>
      </c>
      <c r="F46" s="2" t="s">
        <v>43</v>
      </c>
      <c r="G46" t="s">
        <v>40</v>
      </c>
      <c r="H46" s="690" t="s">
        <v>84</v>
      </c>
      <c r="I46" s="691" t="s">
        <v>404</v>
      </c>
      <c r="J46" s="721">
        <v>18384740000134</v>
      </c>
      <c r="K46" s="691" t="s">
        <v>43</v>
      </c>
      <c r="L46" s="721">
        <v>3780401000108</v>
      </c>
      <c r="M46" s="718" t="s">
        <v>3</v>
      </c>
      <c r="N46" s="717" t="s">
        <v>44</v>
      </c>
      <c r="O46" s="719">
        <v>44562</v>
      </c>
      <c r="P46" s="720">
        <v>44651</v>
      </c>
      <c r="Q46" s="718">
        <v>282</v>
      </c>
      <c r="R46" s="717">
        <v>3</v>
      </c>
      <c r="S46" s="691" t="s">
        <v>54</v>
      </c>
      <c r="T46" t="s">
        <v>358</v>
      </c>
      <c r="U46" s="673" t="s">
        <v>358</v>
      </c>
      <c r="V46" s="690" t="s">
        <v>358</v>
      </c>
      <c r="W46" s="657" t="s">
        <v>214</v>
      </c>
      <c r="X46" s="723">
        <v>3</v>
      </c>
      <c r="Y46" s="4">
        <v>3</v>
      </c>
      <c r="Z46" s="4">
        <v>3</v>
      </c>
      <c r="AA46" s="4"/>
      <c r="AB46" s="4"/>
      <c r="AC46" s="4"/>
      <c r="AD46" s="4"/>
      <c r="AE46" s="4"/>
      <c r="AF46" s="4"/>
      <c r="AG46" s="4"/>
      <c r="AH46" s="4"/>
      <c r="AI46" s="654"/>
      <c r="AJ46" s="655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654"/>
      <c r="AV46" s="655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654"/>
      <c r="BH46" s="655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654"/>
      <c r="BT46" s="655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693"/>
      <c r="CF46" s="723">
        <v>282</v>
      </c>
      <c r="CG46" s="4">
        <v>282</v>
      </c>
      <c r="CH46" s="4">
        <v>282</v>
      </c>
      <c r="CI46" s="4"/>
      <c r="CJ46" s="4"/>
      <c r="CK46" s="4"/>
      <c r="CL46" s="4"/>
      <c r="CM46" s="4"/>
      <c r="CN46" s="4"/>
      <c r="CO46" s="4"/>
      <c r="CP46" s="4"/>
      <c r="CQ46" s="654"/>
      <c r="CR46" s="655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654"/>
      <c r="DD46" s="655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654"/>
      <c r="DP46" s="655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654"/>
      <c r="EB46" s="655"/>
      <c r="EC46" s="4"/>
      <c r="ED46" s="4"/>
      <c r="EE46" s="4"/>
      <c r="EF46" s="4"/>
      <c r="EG46" s="4"/>
      <c r="EH46" s="4"/>
      <c r="EI46" s="4"/>
      <c r="EJ46" s="4"/>
      <c r="EK46" s="4"/>
      <c r="EL46" s="4"/>
      <c r="EM46" s="693"/>
      <c r="EN46" s="723">
        <v>282</v>
      </c>
      <c r="EO46" s="4">
        <v>282</v>
      </c>
      <c r="EP46" s="4">
        <v>282</v>
      </c>
      <c r="EQ46" s="4"/>
      <c r="ER46" s="4"/>
      <c r="ES46" s="4"/>
      <c r="ET46" s="4"/>
      <c r="EU46" s="4"/>
      <c r="EV46" s="4"/>
      <c r="EW46" s="4"/>
      <c r="EX46" s="4"/>
      <c r="EY46" s="654"/>
      <c r="EZ46" s="655"/>
      <c r="FA46" s="4"/>
      <c r="FB46" s="4"/>
      <c r="FC46" s="4"/>
      <c r="FD46" s="4"/>
      <c r="FE46" s="4"/>
      <c r="FF46" s="4"/>
      <c r="FG46" s="4"/>
      <c r="FH46" s="4"/>
      <c r="FI46" s="4"/>
      <c r="FJ46" s="4"/>
      <c r="FK46" s="654"/>
      <c r="FL46" s="655"/>
      <c r="FM46" s="4"/>
      <c r="FN46" s="4"/>
      <c r="FO46" s="4"/>
      <c r="FP46" s="4"/>
      <c r="FQ46" s="4"/>
      <c r="FR46" s="4"/>
      <c r="FS46" s="4"/>
      <c r="FT46" s="4"/>
      <c r="FU46" s="4"/>
      <c r="FV46" s="4"/>
      <c r="FW46" s="654"/>
      <c r="FX46" s="655"/>
      <c r="FY46" s="4"/>
      <c r="FZ46" s="4"/>
      <c r="GA46" s="4"/>
      <c r="GB46" s="4"/>
      <c r="GC46" s="4"/>
      <c r="GD46" s="4"/>
      <c r="GE46" s="4"/>
      <c r="GF46" s="4"/>
      <c r="GG46" s="4"/>
      <c r="GH46" s="4"/>
      <c r="GI46" s="654"/>
      <c r="GJ46" s="655"/>
      <c r="GK46" s="4"/>
      <c r="GL46" s="4"/>
      <c r="GM46" s="4"/>
      <c r="GN46" s="4"/>
      <c r="GO46" s="4"/>
      <c r="GP46" s="4"/>
      <c r="GQ46" s="4"/>
      <c r="GR46" s="4"/>
      <c r="GS46" s="4"/>
      <c r="GT46" s="4"/>
      <c r="GU46" s="722"/>
      <c r="GV46" s="715"/>
    </row>
    <row r="47" spans="1:204" x14ac:dyDescent="0.25">
      <c r="A47" t="s">
        <v>698</v>
      </c>
      <c r="B47" s="2" t="s">
        <v>358</v>
      </c>
      <c r="C47" s="619">
        <v>44475</v>
      </c>
      <c r="D47" s="2" t="s">
        <v>555</v>
      </c>
      <c r="E47" t="s">
        <v>58</v>
      </c>
      <c r="F47" s="2" t="s">
        <v>43</v>
      </c>
      <c r="G47" t="s">
        <v>40</v>
      </c>
      <c r="H47" s="690" t="s">
        <v>84</v>
      </c>
      <c r="I47" s="691" t="s">
        <v>620</v>
      </c>
      <c r="J47" s="721">
        <v>4149295000113</v>
      </c>
      <c r="K47" s="691" t="s">
        <v>43</v>
      </c>
      <c r="L47" s="721">
        <v>3780401000108</v>
      </c>
      <c r="M47" s="718" t="s">
        <v>3</v>
      </c>
      <c r="N47" s="717" t="s">
        <v>44</v>
      </c>
      <c r="O47" s="719">
        <v>44743</v>
      </c>
      <c r="P47" s="720">
        <v>44926</v>
      </c>
      <c r="Q47" s="718">
        <v>300</v>
      </c>
      <c r="R47" s="717">
        <v>3</v>
      </c>
      <c r="S47" s="691" t="s">
        <v>54</v>
      </c>
      <c r="T47" t="s">
        <v>358</v>
      </c>
      <c r="U47" s="673" t="s">
        <v>358</v>
      </c>
      <c r="V47" s="690" t="s">
        <v>358</v>
      </c>
      <c r="W47" s="657" t="s">
        <v>214</v>
      </c>
      <c r="X47" s="723"/>
      <c r="Y47" s="4"/>
      <c r="Z47" s="4"/>
      <c r="AA47" s="4"/>
      <c r="AB47" s="4"/>
      <c r="AC47" s="4"/>
      <c r="AD47" s="4">
        <v>3</v>
      </c>
      <c r="AE47" s="4">
        <v>3</v>
      </c>
      <c r="AF47" s="4">
        <v>3</v>
      </c>
      <c r="AG47" s="4">
        <v>3</v>
      </c>
      <c r="AH47" s="4">
        <v>3</v>
      </c>
      <c r="AI47" s="654">
        <v>3</v>
      </c>
      <c r="AJ47" s="655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654"/>
      <c r="AV47" s="655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654"/>
      <c r="BH47" s="655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654"/>
      <c r="BT47" s="655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693"/>
      <c r="CF47" s="723"/>
      <c r="CG47" s="4"/>
      <c r="CH47" s="4"/>
      <c r="CI47" s="4"/>
      <c r="CJ47" s="4"/>
      <c r="CK47" s="4"/>
      <c r="CL47" s="4">
        <v>300</v>
      </c>
      <c r="CM47" s="4">
        <v>300</v>
      </c>
      <c r="CN47" s="4">
        <v>300</v>
      </c>
      <c r="CO47" s="4">
        <v>300</v>
      </c>
      <c r="CP47" s="4">
        <v>300</v>
      </c>
      <c r="CQ47" s="654">
        <v>300</v>
      </c>
      <c r="CR47" s="655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654"/>
      <c r="DD47" s="655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654"/>
      <c r="DP47" s="655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654"/>
      <c r="EB47" s="655"/>
      <c r="EC47" s="4"/>
      <c r="ED47" s="4"/>
      <c r="EE47" s="4"/>
      <c r="EF47" s="4"/>
      <c r="EG47" s="4"/>
      <c r="EH47" s="4"/>
      <c r="EI47" s="4"/>
      <c r="EJ47" s="4"/>
      <c r="EK47" s="4"/>
      <c r="EL47" s="4"/>
      <c r="EM47" s="693"/>
      <c r="EN47" s="723"/>
      <c r="EO47" s="4"/>
      <c r="EP47" s="4"/>
      <c r="EQ47" s="4"/>
      <c r="ER47" s="4"/>
      <c r="ES47" s="4"/>
      <c r="ET47" s="4">
        <v>300</v>
      </c>
      <c r="EU47" s="4">
        <v>300</v>
      </c>
      <c r="EV47" s="4">
        <v>300</v>
      </c>
      <c r="EW47" s="4">
        <v>300</v>
      </c>
      <c r="EX47" s="4">
        <v>300</v>
      </c>
      <c r="EY47" s="654">
        <v>300</v>
      </c>
      <c r="EZ47" s="655"/>
      <c r="FA47" s="4"/>
      <c r="FB47" s="4"/>
      <c r="FC47" s="4"/>
      <c r="FD47" s="4"/>
      <c r="FE47" s="4"/>
      <c r="FF47" s="4"/>
      <c r="FG47" s="4"/>
      <c r="FH47" s="4"/>
      <c r="FI47" s="4"/>
      <c r="FJ47" s="4"/>
      <c r="FK47" s="654"/>
      <c r="FL47" s="655"/>
      <c r="FM47" s="4"/>
      <c r="FN47" s="4"/>
      <c r="FO47" s="4"/>
      <c r="FP47" s="4"/>
      <c r="FQ47" s="4"/>
      <c r="FR47" s="4"/>
      <c r="FS47" s="4"/>
      <c r="FT47" s="4"/>
      <c r="FU47" s="4"/>
      <c r="FV47" s="4"/>
      <c r="FW47" s="654"/>
      <c r="FX47" s="655"/>
      <c r="FY47" s="4"/>
      <c r="FZ47" s="4"/>
      <c r="GA47" s="4"/>
      <c r="GB47" s="4"/>
      <c r="GC47" s="4"/>
      <c r="GD47" s="4"/>
      <c r="GE47" s="4"/>
      <c r="GF47" s="4"/>
      <c r="GG47" s="4"/>
      <c r="GH47" s="4"/>
      <c r="GI47" s="654"/>
      <c r="GJ47" s="655"/>
      <c r="GK47" s="4"/>
      <c r="GL47" s="4"/>
      <c r="GM47" s="4"/>
      <c r="GN47" s="4"/>
      <c r="GO47" s="4"/>
      <c r="GP47" s="4"/>
      <c r="GQ47" s="4"/>
      <c r="GR47" s="4"/>
      <c r="GS47" s="4"/>
      <c r="GT47" s="4"/>
      <c r="GU47" s="722"/>
      <c r="GV47" s="715"/>
    </row>
    <row r="48" spans="1:204" x14ac:dyDescent="0.25">
      <c r="A48" t="s">
        <v>699</v>
      </c>
      <c r="B48" s="2" t="s">
        <v>700</v>
      </c>
      <c r="C48" s="619">
        <v>44483</v>
      </c>
      <c r="D48" s="2" t="s">
        <v>556</v>
      </c>
      <c r="E48" t="s">
        <v>59</v>
      </c>
      <c r="F48" s="2" t="s">
        <v>43</v>
      </c>
      <c r="G48" t="s">
        <v>40</v>
      </c>
      <c r="H48" s="690" t="s">
        <v>85</v>
      </c>
      <c r="I48" s="691" t="s">
        <v>43</v>
      </c>
      <c r="J48" s="721">
        <v>3780401000108</v>
      </c>
      <c r="K48" s="691" t="s">
        <v>513</v>
      </c>
      <c r="L48" s="721">
        <v>26537119000191</v>
      </c>
      <c r="M48" s="718" t="s">
        <v>3</v>
      </c>
      <c r="N48" s="717" t="s">
        <v>44</v>
      </c>
      <c r="O48" s="719">
        <v>44743</v>
      </c>
      <c r="P48" s="720">
        <v>44834</v>
      </c>
      <c r="Q48" s="718">
        <v>335</v>
      </c>
      <c r="R48" s="717">
        <v>2</v>
      </c>
      <c r="S48" s="691" t="s">
        <v>54</v>
      </c>
      <c r="T48" t="s">
        <v>358</v>
      </c>
      <c r="U48" s="673" t="s">
        <v>358</v>
      </c>
      <c r="V48" s="690" t="s">
        <v>358</v>
      </c>
      <c r="W48" s="657" t="s">
        <v>329</v>
      </c>
      <c r="X48" s="723"/>
      <c r="Y48" s="4"/>
      <c r="Z48" s="4"/>
      <c r="AA48" s="4"/>
      <c r="AB48" s="4"/>
      <c r="AC48" s="4"/>
      <c r="AD48" s="4">
        <v>2</v>
      </c>
      <c r="AE48" s="4">
        <v>2</v>
      </c>
      <c r="AF48" s="4">
        <v>2</v>
      </c>
      <c r="AG48" s="4"/>
      <c r="AH48" s="4"/>
      <c r="AI48" s="654"/>
      <c r="AJ48" s="655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654"/>
      <c r="AV48" s="655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654"/>
      <c r="BH48" s="655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654"/>
      <c r="BT48" s="655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693"/>
      <c r="CF48" s="723"/>
      <c r="CG48" s="4"/>
      <c r="CH48" s="4"/>
      <c r="CI48" s="4"/>
      <c r="CJ48" s="4"/>
      <c r="CK48" s="4"/>
      <c r="CL48" s="4">
        <v>335</v>
      </c>
      <c r="CM48" s="4">
        <v>335</v>
      </c>
      <c r="CN48" s="4">
        <v>335</v>
      </c>
      <c r="CO48" s="4"/>
      <c r="CP48" s="4"/>
      <c r="CQ48" s="654"/>
      <c r="CR48" s="655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654"/>
      <c r="DD48" s="655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654"/>
      <c r="DP48" s="655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654"/>
      <c r="EB48" s="655"/>
      <c r="EC48" s="4"/>
      <c r="ED48" s="4"/>
      <c r="EE48" s="4"/>
      <c r="EF48" s="4"/>
      <c r="EG48" s="4"/>
      <c r="EH48" s="4"/>
      <c r="EI48" s="4"/>
      <c r="EJ48" s="4"/>
      <c r="EK48" s="4"/>
      <c r="EL48" s="4"/>
      <c r="EM48" s="693"/>
      <c r="EN48" s="723"/>
      <c r="EO48" s="4"/>
      <c r="EP48" s="4"/>
      <c r="EQ48" s="4"/>
      <c r="ER48" s="4"/>
      <c r="ES48" s="4"/>
      <c r="ET48" s="4">
        <v>335</v>
      </c>
      <c r="EU48" s="4">
        <v>335</v>
      </c>
      <c r="EV48" s="4">
        <v>335</v>
      </c>
      <c r="EW48" s="4"/>
      <c r="EX48" s="4"/>
      <c r="EY48" s="654"/>
      <c r="EZ48" s="655"/>
      <c r="FA48" s="4"/>
      <c r="FB48" s="4"/>
      <c r="FC48" s="4"/>
      <c r="FD48" s="4"/>
      <c r="FE48" s="4"/>
      <c r="FF48" s="4"/>
      <c r="FG48" s="4"/>
      <c r="FH48" s="4"/>
      <c r="FI48" s="4"/>
      <c r="FJ48" s="4"/>
      <c r="FK48" s="654"/>
      <c r="FL48" s="655"/>
      <c r="FM48" s="4"/>
      <c r="FN48" s="4"/>
      <c r="FO48" s="4"/>
      <c r="FP48" s="4"/>
      <c r="FQ48" s="4"/>
      <c r="FR48" s="4"/>
      <c r="FS48" s="4"/>
      <c r="FT48" s="4"/>
      <c r="FU48" s="4"/>
      <c r="FV48" s="4"/>
      <c r="FW48" s="654"/>
      <c r="FX48" s="655"/>
      <c r="FY48" s="4"/>
      <c r="FZ48" s="4"/>
      <c r="GA48" s="4"/>
      <c r="GB48" s="4"/>
      <c r="GC48" s="4"/>
      <c r="GD48" s="4"/>
      <c r="GE48" s="4"/>
      <c r="GF48" s="4"/>
      <c r="GG48" s="4"/>
      <c r="GH48" s="4"/>
      <c r="GI48" s="654"/>
      <c r="GJ48" s="655"/>
      <c r="GK48" s="4"/>
      <c r="GL48" s="4"/>
      <c r="GM48" s="4"/>
      <c r="GN48" s="4"/>
      <c r="GO48" s="4"/>
      <c r="GP48" s="4"/>
      <c r="GQ48" s="4"/>
      <c r="GR48" s="4"/>
      <c r="GS48" s="4"/>
      <c r="GT48" s="4"/>
      <c r="GU48" s="722"/>
      <c r="GV48" s="715"/>
    </row>
    <row r="49" spans="1:204" x14ac:dyDescent="0.25">
      <c r="A49" t="s">
        <v>701</v>
      </c>
      <c r="B49" s="2" t="s">
        <v>702</v>
      </c>
      <c r="C49" s="619">
        <v>44483</v>
      </c>
      <c r="D49" s="2" t="s">
        <v>557</v>
      </c>
      <c r="E49" t="s">
        <v>58</v>
      </c>
      <c r="F49" s="2" t="s">
        <v>43</v>
      </c>
      <c r="G49" t="s">
        <v>40</v>
      </c>
      <c r="H49" s="690" t="s">
        <v>84</v>
      </c>
      <c r="I49" s="691" t="s">
        <v>513</v>
      </c>
      <c r="J49" s="721">
        <v>26537119000191</v>
      </c>
      <c r="K49" s="691" t="s">
        <v>43</v>
      </c>
      <c r="L49" s="721">
        <v>3780401000108</v>
      </c>
      <c r="M49" s="718" t="s">
        <v>3</v>
      </c>
      <c r="N49" s="717" t="s">
        <v>44</v>
      </c>
      <c r="O49" s="719">
        <v>44652</v>
      </c>
      <c r="P49" s="720">
        <v>44742</v>
      </c>
      <c r="Q49" s="718">
        <v>200</v>
      </c>
      <c r="R49" s="717">
        <v>2</v>
      </c>
      <c r="S49" s="691" t="s">
        <v>54</v>
      </c>
      <c r="T49" t="s">
        <v>358</v>
      </c>
      <c r="U49" s="673" t="s">
        <v>358</v>
      </c>
      <c r="V49" s="690" t="s">
        <v>358</v>
      </c>
      <c r="W49" s="657" t="s">
        <v>329</v>
      </c>
      <c r="X49" s="723"/>
      <c r="Y49" s="4"/>
      <c r="Z49" s="4"/>
      <c r="AA49" s="4">
        <v>2</v>
      </c>
      <c r="AB49" s="4">
        <v>2</v>
      </c>
      <c r="AC49" s="4">
        <v>2</v>
      </c>
      <c r="AD49" s="4"/>
      <c r="AE49" s="4"/>
      <c r="AF49" s="4"/>
      <c r="AG49" s="4"/>
      <c r="AH49" s="4"/>
      <c r="AI49" s="654"/>
      <c r="AJ49" s="655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654"/>
      <c r="AV49" s="655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654"/>
      <c r="BH49" s="655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654"/>
      <c r="BT49" s="655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693"/>
      <c r="CF49" s="723"/>
      <c r="CG49" s="4"/>
      <c r="CH49" s="4"/>
      <c r="CI49" s="4">
        <v>200</v>
      </c>
      <c r="CJ49" s="4">
        <v>200</v>
      </c>
      <c r="CK49" s="4">
        <v>200</v>
      </c>
      <c r="CL49" s="4"/>
      <c r="CM49" s="4"/>
      <c r="CN49" s="4"/>
      <c r="CO49" s="4"/>
      <c r="CP49" s="4"/>
      <c r="CQ49" s="654"/>
      <c r="CR49" s="655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654"/>
      <c r="DD49" s="655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654"/>
      <c r="DP49" s="655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654"/>
      <c r="EB49" s="655"/>
      <c r="EC49" s="4"/>
      <c r="ED49" s="4"/>
      <c r="EE49" s="4"/>
      <c r="EF49" s="4"/>
      <c r="EG49" s="4"/>
      <c r="EH49" s="4"/>
      <c r="EI49" s="4"/>
      <c r="EJ49" s="4"/>
      <c r="EK49" s="4"/>
      <c r="EL49" s="4"/>
      <c r="EM49" s="693"/>
      <c r="EN49" s="723"/>
      <c r="EO49" s="4"/>
      <c r="EP49" s="4"/>
      <c r="EQ49" s="4">
        <v>200</v>
      </c>
      <c r="ER49" s="4">
        <v>200</v>
      </c>
      <c r="ES49" s="4">
        <v>200</v>
      </c>
      <c r="ET49" s="4"/>
      <c r="EU49" s="4"/>
      <c r="EV49" s="4"/>
      <c r="EW49" s="4"/>
      <c r="EX49" s="4"/>
      <c r="EY49" s="654"/>
      <c r="EZ49" s="655"/>
      <c r="FA49" s="4"/>
      <c r="FB49" s="4"/>
      <c r="FC49" s="4"/>
      <c r="FD49" s="4"/>
      <c r="FE49" s="4"/>
      <c r="FF49" s="4"/>
      <c r="FG49" s="4"/>
      <c r="FH49" s="4"/>
      <c r="FI49" s="4"/>
      <c r="FJ49" s="4"/>
      <c r="FK49" s="654"/>
      <c r="FL49" s="655"/>
      <c r="FM49" s="4"/>
      <c r="FN49" s="4"/>
      <c r="FO49" s="4"/>
      <c r="FP49" s="4"/>
      <c r="FQ49" s="4"/>
      <c r="FR49" s="4"/>
      <c r="FS49" s="4"/>
      <c r="FT49" s="4"/>
      <c r="FU49" s="4"/>
      <c r="FV49" s="4"/>
      <c r="FW49" s="654"/>
      <c r="FX49" s="655"/>
      <c r="FY49" s="4"/>
      <c r="FZ49" s="4"/>
      <c r="GA49" s="4"/>
      <c r="GB49" s="4"/>
      <c r="GC49" s="4"/>
      <c r="GD49" s="4"/>
      <c r="GE49" s="4"/>
      <c r="GF49" s="4"/>
      <c r="GG49" s="4"/>
      <c r="GH49" s="4"/>
      <c r="GI49" s="654"/>
      <c r="GJ49" s="655"/>
      <c r="GK49" s="4"/>
      <c r="GL49" s="4"/>
      <c r="GM49" s="4"/>
      <c r="GN49" s="4"/>
      <c r="GO49" s="4"/>
      <c r="GP49" s="4"/>
      <c r="GQ49" s="4"/>
      <c r="GR49" s="4"/>
      <c r="GS49" s="4"/>
      <c r="GT49" s="4"/>
      <c r="GU49" s="722"/>
      <c r="GV49" s="715"/>
    </row>
    <row r="50" spans="1:204" x14ac:dyDescent="0.25">
      <c r="A50" t="s">
        <v>703</v>
      </c>
      <c r="B50" s="2" t="s">
        <v>704</v>
      </c>
      <c r="C50" s="619">
        <v>44488</v>
      </c>
      <c r="D50" s="2" t="s">
        <v>558</v>
      </c>
      <c r="E50" t="s">
        <v>58</v>
      </c>
      <c r="F50" s="2" t="s">
        <v>43</v>
      </c>
      <c r="G50" t="s">
        <v>40</v>
      </c>
      <c r="H50" s="690" t="s">
        <v>84</v>
      </c>
      <c r="I50" s="691" t="s">
        <v>506</v>
      </c>
      <c r="J50" s="721">
        <v>33652516000170</v>
      </c>
      <c r="K50" s="691" t="s">
        <v>43</v>
      </c>
      <c r="L50" s="721">
        <v>3780401000108</v>
      </c>
      <c r="M50" s="718" t="s">
        <v>3</v>
      </c>
      <c r="N50" s="717" t="s">
        <v>44</v>
      </c>
      <c r="O50" s="719">
        <v>44652</v>
      </c>
      <c r="P50" s="720">
        <v>44742</v>
      </c>
      <c r="Q50" s="718">
        <v>195</v>
      </c>
      <c r="R50" s="717">
        <v>5</v>
      </c>
      <c r="S50" s="691" t="s">
        <v>54</v>
      </c>
      <c r="T50" t="s">
        <v>358</v>
      </c>
      <c r="U50" s="673" t="s">
        <v>358</v>
      </c>
      <c r="V50" s="690" t="s">
        <v>358</v>
      </c>
      <c r="W50" s="657" t="s">
        <v>329</v>
      </c>
      <c r="X50" s="723"/>
      <c r="Y50" s="4"/>
      <c r="Z50" s="4"/>
      <c r="AA50" s="4">
        <v>5</v>
      </c>
      <c r="AB50" s="4">
        <v>5</v>
      </c>
      <c r="AC50" s="4">
        <v>5</v>
      </c>
      <c r="AD50" s="4"/>
      <c r="AE50" s="4"/>
      <c r="AF50" s="4"/>
      <c r="AG50" s="4"/>
      <c r="AH50" s="4"/>
      <c r="AI50" s="654"/>
      <c r="AJ50" s="655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654"/>
      <c r="AV50" s="655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654"/>
      <c r="BH50" s="655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654"/>
      <c r="BT50" s="655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693"/>
      <c r="CF50" s="723"/>
      <c r="CG50" s="4"/>
      <c r="CH50" s="4"/>
      <c r="CI50" s="4">
        <v>195</v>
      </c>
      <c r="CJ50" s="4">
        <v>195</v>
      </c>
      <c r="CK50" s="4">
        <v>195</v>
      </c>
      <c r="CL50" s="4"/>
      <c r="CM50" s="4"/>
      <c r="CN50" s="4"/>
      <c r="CO50" s="4"/>
      <c r="CP50" s="4"/>
      <c r="CQ50" s="654"/>
      <c r="CR50" s="655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654"/>
      <c r="DD50" s="655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654"/>
      <c r="DP50" s="655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654"/>
      <c r="EB50" s="655"/>
      <c r="EC50" s="4"/>
      <c r="ED50" s="4"/>
      <c r="EE50" s="4"/>
      <c r="EF50" s="4"/>
      <c r="EG50" s="4"/>
      <c r="EH50" s="4"/>
      <c r="EI50" s="4"/>
      <c r="EJ50" s="4"/>
      <c r="EK50" s="4"/>
      <c r="EL50" s="4"/>
      <c r="EM50" s="693"/>
      <c r="EN50" s="723"/>
      <c r="EO50" s="4"/>
      <c r="EP50" s="4"/>
      <c r="EQ50" s="4">
        <v>195</v>
      </c>
      <c r="ER50" s="4">
        <v>195</v>
      </c>
      <c r="ES50" s="4">
        <v>195</v>
      </c>
      <c r="ET50" s="4"/>
      <c r="EU50" s="4"/>
      <c r="EV50" s="4"/>
      <c r="EW50" s="4"/>
      <c r="EX50" s="4"/>
      <c r="EY50" s="654"/>
      <c r="EZ50" s="655"/>
      <c r="FA50" s="4"/>
      <c r="FB50" s="4"/>
      <c r="FC50" s="4"/>
      <c r="FD50" s="4"/>
      <c r="FE50" s="4"/>
      <c r="FF50" s="4"/>
      <c r="FG50" s="4"/>
      <c r="FH50" s="4"/>
      <c r="FI50" s="4"/>
      <c r="FJ50" s="4"/>
      <c r="FK50" s="654"/>
      <c r="FL50" s="655"/>
      <c r="FM50" s="4"/>
      <c r="FN50" s="4"/>
      <c r="FO50" s="4"/>
      <c r="FP50" s="4"/>
      <c r="FQ50" s="4"/>
      <c r="FR50" s="4"/>
      <c r="FS50" s="4"/>
      <c r="FT50" s="4"/>
      <c r="FU50" s="4"/>
      <c r="FV50" s="4"/>
      <c r="FW50" s="654"/>
      <c r="FX50" s="655"/>
      <c r="FY50" s="4"/>
      <c r="FZ50" s="4"/>
      <c r="GA50" s="4"/>
      <c r="GB50" s="4"/>
      <c r="GC50" s="4"/>
      <c r="GD50" s="4"/>
      <c r="GE50" s="4"/>
      <c r="GF50" s="4"/>
      <c r="GG50" s="4"/>
      <c r="GH50" s="4"/>
      <c r="GI50" s="654"/>
      <c r="GJ50" s="655"/>
      <c r="GK50" s="4"/>
      <c r="GL50" s="4"/>
      <c r="GM50" s="4"/>
      <c r="GN50" s="4"/>
      <c r="GO50" s="4"/>
      <c r="GP50" s="4"/>
      <c r="GQ50" s="4"/>
      <c r="GR50" s="4"/>
      <c r="GS50" s="4"/>
      <c r="GT50" s="4"/>
      <c r="GU50" s="722"/>
      <c r="GV50" s="715"/>
    </row>
    <row r="51" spans="1:204" x14ac:dyDescent="0.25">
      <c r="A51" t="s">
        <v>705</v>
      </c>
      <c r="B51" s="2" t="s">
        <v>706</v>
      </c>
      <c r="C51" s="619">
        <v>44488</v>
      </c>
      <c r="D51" s="2" t="s">
        <v>559</v>
      </c>
      <c r="E51" t="s">
        <v>58</v>
      </c>
      <c r="F51" s="2" t="s">
        <v>43</v>
      </c>
      <c r="G51" t="s">
        <v>40</v>
      </c>
      <c r="H51" s="690" t="s">
        <v>84</v>
      </c>
      <c r="I51" s="691" t="s">
        <v>506</v>
      </c>
      <c r="J51" s="721">
        <v>33652516000170</v>
      </c>
      <c r="K51" s="691" t="s">
        <v>43</v>
      </c>
      <c r="L51" s="721">
        <v>3780401000108</v>
      </c>
      <c r="M51" s="718" t="s">
        <v>3</v>
      </c>
      <c r="N51" s="717" t="s">
        <v>44</v>
      </c>
      <c r="O51" s="719">
        <v>44652</v>
      </c>
      <c r="P51" s="720">
        <v>44742</v>
      </c>
      <c r="Q51" s="718">
        <v>200</v>
      </c>
      <c r="R51" s="717">
        <v>5</v>
      </c>
      <c r="S51" s="691" t="s">
        <v>54</v>
      </c>
      <c r="T51" t="s">
        <v>358</v>
      </c>
      <c r="U51" s="673" t="s">
        <v>358</v>
      </c>
      <c r="V51" s="690" t="s">
        <v>358</v>
      </c>
      <c r="W51" s="657" t="s">
        <v>329</v>
      </c>
      <c r="X51" s="723"/>
      <c r="Y51" s="4"/>
      <c r="Z51" s="4"/>
      <c r="AA51" s="4">
        <v>5</v>
      </c>
      <c r="AB51" s="4">
        <v>5</v>
      </c>
      <c r="AC51" s="4">
        <v>5</v>
      </c>
      <c r="AD51" s="4"/>
      <c r="AE51" s="4"/>
      <c r="AF51" s="4"/>
      <c r="AG51" s="4"/>
      <c r="AH51" s="4"/>
      <c r="AI51" s="654"/>
      <c r="AJ51" s="655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654"/>
      <c r="AV51" s="655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654"/>
      <c r="BH51" s="655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654"/>
      <c r="BT51" s="655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693"/>
      <c r="CF51" s="723"/>
      <c r="CG51" s="4"/>
      <c r="CH51" s="4"/>
      <c r="CI51" s="4">
        <v>200</v>
      </c>
      <c r="CJ51" s="4">
        <v>200</v>
      </c>
      <c r="CK51" s="4">
        <v>200</v>
      </c>
      <c r="CL51" s="4"/>
      <c r="CM51" s="4"/>
      <c r="CN51" s="4"/>
      <c r="CO51" s="4"/>
      <c r="CP51" s="4"/>
      <c r="CQ51" s="654"/>
      <c r="CR51" s="655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654"/>
      <c r="DD51" s="655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654"/>
      <c r="DP51" s="655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654"/>
      <c r="EB51" s="655"/>
      <c r="EC51" s="4"/>
      <c r="ED51" s="4"/>
      <c r="EE51" s="4"/>
      <c r="EF51" s="4"/>
      <c r="EG51" s="4"/>
      <c r="EH51" s="4"/>
      <c r="EI51" s="4"/>
      <c r="EJ51" s="4"/>
      <c r="EK51" s="4"/>
      <c r="EL51" s="4"/>
      <c r="EM51" s="693"/>
      <c r="EN51" s="723"/>
      <c r="EO51" s="4"/>
      <c r="EP51" s="4"/>
      <c r="EQ51" s="4">
        <v>200</v>
      </c>
      <c r="ER51" s="4">
        <v>200</v>
      </c>
      <c r="ES51" s="4">
        <v>200</v>
      </c>
      <c r="ET51" s="4"/>
      <c r="EU51" s="4"/>
      <c r="EV51" s="4"/>
      <c r="EW51" s="4"/>
      <c r="EX51" s="4"/>
      <c r="EY51" s="654"/>
      <c r="EZ51" s="655"/>
      <c r="FA51" s="4"/>
      <c r="FB51" s="4"/>
      <c r="FC51" s="4"/>
      <c r="FD51" s="4"/>
      <c r="FE51" s="4"/>
      <c r="FF51" s="4"/>
      <c r="FG51" s="4"/>
      <c r="FH51" s="4"/>
      <c r="FI51" s="4"/>
      <c r="FJ51" s="4"/>
      <c r="FK51" s="654"/>
      <c r="FL51" s="655"/>
      <c r="FM51" s="4"/>
      <c r="FN51" s="4"/>
      <c r="FO51" s="4"/>
      <c r="FP51" s="4"/>
      <c r="FQ51" s="4"/>
      <c r="FR51" s="4"/>
      <c r="FS51" s="4"/>
      <c r="FT51" s="4"/>
      <c r="FU51" s="4"/>
      <c r="FV51" s="4"/>
      <c r="FW51" s="654"/>
      <c r="FX51" s="655"/>
      <c r="FY51" s="4"/>
      <c r="FZ51" s="4"/>
      <c r="GA51" s="4"/>
      <c r="GB51" s="4"/>
      <c r="GC51" s="4"/>
      <c r="GD51" s="4"/>
      <c r="GE51" s="4"/>
      <c r="GF51" s="4"/>
      <c r="GG51" s="4"/>
      <c r="GH51" s="4"/>
      <c r="GI51" s="654"/>
      <c r="GJ51" s="655"/>
      <c r="GK51" s="4"/>
      <c r="GL51" s="4"/>
      <c r="GM51" s="4"/>
      <c r="GN51" s="4"/>
      <c r="GO51" s="4"/>
      <c r="GP51" s="4"/>
      <c r="GQ51" s="4"/>
      <c r="GR51" s="4"/>
      <c r="GS51" s="4"/>
      <c r="GT51" s="4"/>
      <c r="GU51" s="722"/>
      <c r="GV51" s="715"/>
    </row>
    <row r="52" spans="1:204" x14ac:dyDescent="0.25">
      <c r="A52" t="s">
        <v>707</v>
      </c>
      <c r="B52" s="2" t="s">
        <v>708</v>
      </c>
      <c r="C52" s="619">
        <v>44488</v>
      </c>
      <c r="D52" s="2" t="s">
        <v>560</v>
      </c>
      <c r="E52" t="s">
        <v>59</v>
      </c>
      <c r="F52" s="2" t="s">
        <v>43</v>
      </c>
      <c r="G52" t="s">
        <v>40</v>
      </c>
      <c r="H52" s="690" t="s">
        <v>85</v>
      </c>
      <c r="I52" s="691" t="s">
        <v>43</v>
      </c>
      <c r="J52" s="721">
        <v>3780401000108</v>
      </c>
      <c r="K52" s="691" t="s">
        <v>357</v>
      </c>
      <c r="L52" s="721">
        <v>7760179000124</v>
      </c>
      <c r="M52" s="718" t="s">
        <v>3</v>
      </c>
      <c r="N52" s="717" t="s">
        <v>44</v>
      </c>
      <c r="O52" s="719">
        <v>44743</v>
      </c>
      <c r="P52" s="720">
        <v>44834</v>
      </c>
      <c r="Q52" s="718">
        <v>322</v>
      </c>
      <c r="R52" s="717">
        <v>5</v>
      </c>
      <c r="S52" s="691" t="s">
        <v>54</v>
      </c>
      <c r="T52" t="s">
        <v>358</v>
      </c>
      <c r="U52" s="673" t="s">
        <v>358</v>
      </c>
      <c r="V52" s="690" t="s">
        <v>358</v>
      </c>
      <c r="W52" s="657" t="s">
        <v>329</v>
      </c>
      <c r="X52" s="723"/>
      <c r="Y52" s="4"/>
      <c r="Z52" s="4"/>
      <c r="AA52" s="4"/>
      <c r="AB52" s="4"/>
      <c r="AC52" s="4"/>
      <c r="AD52" s="4">
        <v>5</v>
      </c>
      <c r="AE52" s="4">
        <v>5</v>
      </c>
      <c r="AF52" s="4">
        <v>5</v>
      </c>
      <c r="AG52" s="4"/>
      <c r="AH52" s="4"/>
      <c r="AI52" s="654"/>
      <c r="AJ52" s="655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654"/>
      <c r="AV52" s="655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654"/>
      <c r="BH52" s="655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654"/>
      <c r="BT52" s="655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693"/>
      <c r="CF52" s="723"/>
      <c r="CG52" s="4"/>
      <c r="CH52" s="4"/>
      <c r="CI52" s="4"/>
      <c r="CJ52" s="4"/>
      <c r="CK52" s="4"/>
      <c r="CL52" s="4">
        <v>322</v>
      </c>
      <c r="CM52" s="4">
        <v>322</v>
      </c>
      <c r="CN52" s="4">
        <v>322</v>
      </c>
      <c r="CO52" s="4"/>
      <c r="CP52" s="4"/>
      <c r="CQ52" s="654"/>
      <c r="CR52" s="655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654"/>
      <c r="DD52" s="655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654"/>
      <c r="DP52" s="655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654"/>
      <c r="EB52" s="655"/>
      <c r="EC52" s="4"/>
      <c r="ED52" s="4"/>
      <c r="EE52" s="4"/>
      <c r="EF52" s="4"/>
      <c r="EG52" s="4"/>
      <c r="EH52" s="4"/>
      <c r="EI52" s="4"/>
      <c r="EJ52" s="4"/>
      <c r="EK52" s="4"/>
      <c r="EL52" s="4"/>
      <c r="EM52" s="693"/>
      <c r="EN52" s="723"/>
      <c r="EO52" s="4"/>
      <c r="EP52" s="4"/>
      <c r="EQ52" s="4"/>
      <c r="ER52" s="4"/>
      <c r="ES52" s="4"/>
      <c r="ET52" s="4">
        <v>322</v>
      </c>
      <c r="EU52" s="4">
        <v>322</v>
      </c>
      <c r="EV52" s="4">
        <v>322</v>
      </c>
      <c r="EW52" s="4"/>
      <c r="EX52" s="4"/>
      <c r="EY52" s="654"/>
      <c r="EZ52" s="655"/>
      <c r="FA52" s="4"/>
      <c r="FB52" s="4"/>
      <c r="FC52" s="4"/>
      <c r="FD52" s="4"/>
      <c r="FE52" s="4"/>
      <c r="FF52" s="4"/>
      <c r="FG52" s="4"/>
      <c r="FH52" s="4"/>
      <c r="FI52" s="4"/>
      <c r="FJ52" s="4"/>
      <c r="FK52" s="654"/>
      <c r="FL52" s="655"/>
      <c r="FM52" s="4"/>
      <c r="FN52" s="4"/>
      <c r="FO52" s="4"/>
      <c r="FP52" s="4"/>
      <c r="FQ52" s="4"/>
      <c r="FR52" s="4"/>
      <c r="FS52" s="4"/>
      <c r="FT52" s="4"/>
      <c r="FU52" s="4"/>
      <c r="FV52" s="4"/>
      <c r="FW52" s="654"/>
      <c r="FX52" s="655"/>
      <c r="FY52" s="4"/>
      <c r="FZ52" s="4"/>
      <c r="GA52" s="4"/>
      <c r="GB52" s="4"/>
      <c r="GC52" s="4"/>
      <c r="GD52" s="4"/>
      <c r="GE52" s="4"/>
      <c r="GF52" s="4"/>
      <c r="GG52" s="4"/>
      <c r="GH52" s="4"/>
      <c r="GI52" s="654"/>
      <c r="GJ52" s="655"/>
      <c r="GK52" s="4"/>
      <c r="GL52" s="4"/>
      <c r="GM52" s="4"/>
      <c r="GN52" s="4"/>
      <c r="GO52" s="4"/>
      <c r="GP52" s="4"/>
      <c r="GQ52" s="4"/>
      <c r="GR52" s="4"/>
      <c r="GS52" s="4"/>
      <c r="GT52" s="4"/>
      <c r="GU52" s="722"/>
      <c r="GV52" s="715"/>
    </row>
    <row r="53" spans="1:204" x14ac:dyDescent="0.25">
      <c r="A53" t="s">
        <v>709</v>
      </c>
      <c r="B53" s="2" t="s">
        <v>710</v>
      </c>
      <c r="C53" s="619">
        <v>44488</v>
      </c>
      <c r="D53" s="2" t="s">
        <v>561</v>
      </c>
      <c r="E53" t="s">
        <v>59</v>
      </c>
      <c r="F53" s="2" t="s">
        <v>43</v>
      </c>
      <c r="G53" t="s">
        <v>40</v>
      </c>
      <c r="H53" s="690" t="s">
        <v>85</v>
      </c>
      <c r="I53" s="691" t="s">
        <v>43</v>
      </c>
      <c r="J53" s="721">
        <v>3780401000108</v>
      </c>
      <c r="K53" s="691" t="s">
        <v>478</v>
      </c>
      <c r="L53" s="721">
        <v>18483400000160</v>
      </c>
      <c r="M53" s="718" t="s">
        <v>3</v>
      </c>
      <c r="N53" s="717" t="s">
        <v>44</v>
      </c>
      <c r="O53" s="719">
        <v>44743</v>
      </c>
      <c r="P53" s="720">
        <v>44834</v>
      </c>
      <c r="Q53" s="718">
        <v>320</v>
      </c>
      <c r="R53" s="717">
        <v>2</v>
      </c>
      <c r="S53" s="691" t="s">
        <v>54</v>
      </c>
      <c r="T53" t="s">
        <v>358</v>
      </c>
      <c r="U53" s="673" t="s">
        <v>358</v>
      </c>
      <c r="V53" s="690" t="s">
        <v>358</v>
      </c>
      <c r="W53" s="657" t="s">
        <v>329</v>
      </c>
      <c r="X53" s="723"/>
      <c r="Y53" s="4"/>
      <c r="Z53" s="4"/>
      <c r="AA53" s="4"/>
      <c r="AB53" s="4"/>
      <c r="AC53" s="4"/>
      <c r="AD53" s="4">
        <v>2</v>
      </c>
      <c r="AE53" s="4">
        <v>2</v>
      </c>
      <c r="AF53" s="4">
        <v>2</v>
      </c>
      <c r="AG53" s="4"/>
      <c r="AH53" s="4"/>
      <c r="AI53" s="654"/>
      <c r="AJ53" s="655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654"/>
      <c r="AV53" s="655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654"/>
      <c r="BH53" s="655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654"/>
      <c r="BT53" s="655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693"/>
      <c r="CF53" s="723"/>
      <c r="CG53" s="4"/>
      <c r="CH53" s="4"/>
      <c r="CI53" s="4"/>
      <c r="CJ53" s="4"/>
      <c r="CK53" s="4"/>
      <c r="CL53" s="4">
        <v>320</v>
      </c>
      <c r="CM53" s="4">
        <v>320</v>
      </c>
      <c r="CN53" s="4">
        <v>320</v>
      </c>
      <c r="CO53" s="4"/>
      <c r="CP53" s="4"/>
      <c r="CQ53" s="654"/>
      <c r="CR53" s="655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654"/>
      <c r="DD53" s="655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654"/>
      <c r="DP53" s="655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654"/>
      <c r="EB53" s="655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693"/>
      <c r="EN53" s="723"/>
      <c r="EO53" s="4"/>
      <c r="EP53" s="4"/>
      <c r="EQ53" s="4"/>
      <c r="ER53" s="4"/>
      <c r="ES53" s="4"/>
      <c r="ET53" s="4">
        <v>320</v>
      </c>
      <c r="EU53" s="4">
        <v>320</v>
      </c>
      <c r="EV53" s="4">
        <v>320</v>
      </c>
      <c r="EW53" s="4"/>
      <c r="EX53" s="4"/>
      <c r="EY53" s="654"/>
      <c r="EZ53" s="655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654"/>
      <c r="FL53" s="655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654"/>
      <c r="FX53" s="655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654"/>
      <c r="GJ53" s="655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722"/>
      <c r="GV53" s="715"/>
    </row>
    <row r="54" spans="1:204" x14ac:dyDescent="0.25">
      <c r="A54" t="s">
        <v>711</v>
      </c>
      <c r="B54" s="2" t="s">
        <v>712</v>
      </c>
      <c r="C54" s="619">
        <v>44488</v>
      </c>
      <c r="D54" s="2" t="s">
        <v>562</v>
      </c>
      <c r="E54" t="s">
        <v>58</v>
      </c>
      <c r="F54" s="2" t="s">
        <v>43</v>
      </c>
      <c r="G54" t="s">
        <v>40</v>
      </c>
      <c r="H54" s="690" t="s">
        <v>84</v>
      </c>
      <c r="I54" s="691" t="s">
        <v>349</v>
      </c>
      <c r="J54" s="721">
        <v>4973790000142</v>
      </c>
      <c r="K54" s="691" t="s">
        <v>43</v>
      </c>
      <c r="L54" s="721">
        <v>3780401000108</v>
      </c>
      <c r="M54" s="718" t="s">
        <v>3</v>
      </c>
      <c r="N54" s="717" t="s">
        <v>44</v>
      </c>
      <c r="O54" s="719">
        <v>44652</v>
      </c>
      <c r="P54" s="720">
        <v>44742</v>
      </c>
      <c r="Q54" s="718">
        <v>200</v>
      </c>
      <c r="R54" s="717">
        <v>2</v>
      </c>
      <c r="S54" s="691" t="s">
        <v>54</v>
      </c>
      <c r="T54" t="s">
        <v>358</v>
      </c>
      <c r="U54" s="673" t="s">
        <v>358</v>
      </c>
      <c r="V54" s="690" t="s">
        <v>358</v>
      </c>
      <c r="W54" s="657" t="s">
        <v>329</v>
      </c>
      <c r="X54" s="723"/>
      <c r="Y54" s="4"/>
      <c r="Z54" s="4"/>
      <c r="AA54" s="4">
        <v>2</v>
      </c>
      <c r="AB54" s="4">
        <v>2</v>
      </c>
      <c r="AC54" s="4">
        <v>2</v>
      </c>
      <c r="AD54" s="4"/>
      <c r="AE54" s="4"/>
      <c r="AF54" s="4"/>
      <c r="AG54" s="4"/>
      <c r="AH54" s="4"/>
      <c r="AI54" s="654"/>
      <c r="AJ54" s="655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654"/>
      <c r="AV54" s="655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654"/>
      <c r="BH54" s="655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654"/>
      <c r="BT54" s="655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693"/>
      <c r="CF54" s="723"/>
      <c r="CG54" s="4"/>
      <c r="CH54" s="4"/>
      <c r="CI54" s="4">
        <v>200</v>
      </c>
      <c r="CJ54" s="4">
        <v>200</v>
      </c>
      <c r="CK54" s="4">
        <v>200</v>
      </c>
      <c r="CL54" s="4"/>
      <c r="CM54" s="4"/>
      <c r="CN54" s="4"/>
      <c r="CO54" s="4"/>
      <c r="CP54" s="4"/>
      <c r="CQ54" s="654"/>
      <c r="CR54" s="655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654"/>
      <c r="DD54" s="655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654"/>
      <c r="DP54" s="655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654"/>
      <c r="EB54" s="655"/>
      <c r="EC54" s="4"/>
      <c r="ED54" s="4"/>
      <c r="EE54" s="4"/>
      <c r="EF54" s="4"/>
      <c r="EG54" s="4"/>
      <c r="EH54" s="4"/>
      <c r="EI54" s="4"/>
      <c r="EJ54" s="4"/>
      <c r="EK54" s="4"/>
      <c r="EL54" s="4"/>
      <c r="EM54" s="693"/>
      <c r="EN54" s="723"/>
      <c r="EO54" s="4"/>
      <c r="EP54" s="4"/>
      <c r="EQ54" s="4">
        <v>200</v>
      </c>
      <c r="ER54" s="4">
        <v>200</v>
      </c>
      <c r="ES54" s="4">
        <v>200</v>
      </c>
      <c r="ET54" s="4"/>
      <c r="EU54" s="4"/>
      <c r="EV54" s="4"/>
      <c r="EW54" s="4"/>
      <c r="EX54" s="4"/>
      <c r="EY54" s="654"/>
      <c r="EZ54" s="655"/>
      <c r="FA54" s="4"/>
      <c r="FB54" s="4"/>
      <c r="FC54" s="4"/>
      <c r="FD54" s="4"/>
      <c r="FE54" s="4"/>
      <c r="FF54" s="4"/>
      <c r="FG54" s="4"/>
      <c r="FH54" s="4"/>
      <c r="FI54" s="4"/>
      <c r="FJ54" s="4"/>
      <c r="FK54" s="654"/>
      <c r="FL54" s="655"/>
      <c r="FM54" s="4"/>
      <c r="FN54" s="4"/>
      <c r="FO54" s="4"/>
      <c r="FP54" s="4"/>
      <c r="FQ54" s="4"/>
      <c r="FR54" s="4"/>
      <c r="FS54" s="4"/>
      <c r="FT54" s="4"/>
      <c r="FU54" s="4"/>
      <c r="FV54" s="4"/>
      <c r="FW54" s="654"/>
      <c r="FX54" s="655"/>
      <c r="FY54" s="4"/>
      <c r="FZ54" s="4"/>
      <c r="GA54" s="4"/>
      <c r="GB54" s="4"/>
      <c r="GC54" s="4"/>
      <c r="GD54" s="4"/>
      <c r="GE54" s="4"/>
      <c r="GF54" s="4"/>
      <c r="GG54" s="4"/>
      <c r="GH54" s="4"/>
      <c r="GI54" s="654"/>
      <c r="GJ54" s="655"/>
      <c r="GK54" s="4"/>
      <c r="GL54" s="4"/>
      <c r="GM54" s="4"/>
      <c r="GN54" s="4"/>
      <c r="GO54" s="4"/>
      <c r="GP54" s="4"/>
      <c r="GQ54" s="4"/>
      <c r="GR54" s="4"/>
      <c r="GS54" s="4"/>
      <c r="GT54" s="4"/>
      <c r="GU54" s="722"/>
      <c r="GV54" s="715"/>
    </row>
    <row r="55" spans="1:204" x14ac:dyDescent="0.25">
      <c r="A55" t="s">
        <v>713</v>
      </c>
      <c r="B55" s="2" t="s">
        <v>714</v>
      </c>
      <c r="C55" s="619">
        <v>44488</v>
      </c>
      <c r="D55" s="2" t="s">
        <v>563</v>
      </c>
      <c r="E55" t="s">
        <v>59</v>
      </c>
      <c r="F55" s="2" t="s">
        <v>43</v>
      </c>
      <c r="G55" t="s">
        <v>40</v>
      </c>
      <c r="H55" s="690" t="s">
        <v>85</v>
      </c>
      <c r="I55" s="691" t="s">
        <v>43</v>
      </c>
      <c r="J55" s="721">
        <v>3780401000108</v>
      </c>
      <c r="K55" s="691" t="s">
        <v>474</v>
      </c>
      <c r="L55" s="721">
        <v>30483222000173</v>
      </c>
      <c r="M55" s="718" t="s">
        <v>3</v>
      </c>
      <c r="N55" s="717" t="s">
        <v>44</v>
      </c>
      <c r="O55" s="719">
        <v>44743</v>
      </c>
      <c r="P55" s="720">
        <v>44834</v>
      </c>
      <c r="Q55" s="718">
        <v>320</v>
      </c>
      <c r="R55" s="717">
        <v>5</v>
      </c>
      <c r="S55" s="691" t="s">
        <v>54</v>
      </c>
      <c r="T55" t="s">
        <v>358</v>
      </c>
      <c r="U55" s="673" t="s">
        <v>358</v>
      </c>
      <c r="V55" s="690" t="s">
        <v>358</v>
      </c>
      <c r="W55" s="657" t="s">
        <v>329</v>
      </c>
      <c r="X55" s="723"/>
      <c r="Y55" s="4"/>
      <c r="Z55" s="4"/>
      <c r="AA55" s="4"/>
      <c r="AB55" s="4"/>
      <c r="AC55" s="4"/>
      <c r="AD55" s="4">
        <v>5</v>
      </c>
      <c r="AE55" s="4">
        <v>5</v>
      </c>
      <c r="AF55" s="4">
        <v>5</v>
      </c>
      <c r="AG55" s="4"/>
      <c r="AH55" s="4"/>
      <c r="AI55" s="654"/>
      <c r="AJ55" s="655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654"/>
      <c r="AV55" s="655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654"/>
      <c r="BH55" s="655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654"/>
      <c r="BT55" s="655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693"/>
      <c r="CF55" s="723"/>
      <c r="CG55" s="4"/>
      <c r="CH55" s="4"/>
      <c r="CI55" s="4"/>
      <c r="CJ55" s="4"/>
      <c r="CK55" s="4"/>
      <c r="CL55" s="4">
        <v>320</v>
      </c>
      <c r="CM55" s="4">
        <v>320</v>
      </c>
      <c r="CN55" s="4">
        <v>320</v>
      </c>
      <c r="CO55" s="4"/>
      <c r="CP55" s="4"/>
      <c r="CQ55" s="654"/>
      <c r="CR55" s="655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654"/>
      <c r="DD55" s="655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654"/>
      <c r="DP55" s="655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654"/>
      <c r="EB55" s="655"/>
      <c r="EC55" s="4"/>
      <c r="ED55" s="4"/>
      <c r="EE55" s="4"/>
      <c r="EF55" s="4"/>
      <c r="EG55" s="4"/>
      <c r="EH55" s="4"/>
      <c r="EI55" s="4"/>
      <c r="EJ55" s="4"/>
      <c r="EK55" s="4"/>
      <c r="EL55" s="4"/>
      <c r="EM55" s="693"/>
      <c r="EN55" s="723"/>
      <c r="EO55" s="4"/>
      <c r="EP55" s="4"/>
      <c r="EQ55" s="4"/>
      <c r="ER55" s="4"/>
      <c r="ES55" s="4"/>
      <c r="ET55" s="4">
        <v>320</v>
      </c>
      <c r="EU55" s="4">
        <v>320</v>
      </c>
      <c r="EV55" s="4">
        <v>320</v>
      </c>
      <c r="EW55" s="4"/>
      <c r="EX55" s="4"/>
      <c r="EY55" s="654"/>
      <c r="EZ55" s="655"/>
      <c r="FA55" s="4"/>
      <c r="FB55" s="4"/>
      <c r="FC55" s="4"/>
      <c r="FD55" s="4"/>
      <c r="FE55" s="4"/>
      <c r="FF55" s="4"/>
      <c r="FG55" s="4"/>
      <c r="FH55" s="4"/>
      <c r="FI55" s="4"/>
      <c r="FJ55" s="4"/>
      <c r="FK55" s="654"/>
      <c r="FL55" s="655"/>
      <c r="FM55" s="4"/>
      <c r="FN55" s="4"/>
      <c r="FO55" s="4"/>
      <c r="FP55" s="4"/>
      <c r="FQ55" s="4"/>
      <c r="FR55" s="4"/>
      <c r="FS55" s="4"/>
      <c r="FT55" s="4"/>
      <c r="FU55" s="4"/>
      <c r="FV55" s="4"/>
      <c r="FW55" s="654"/>
      <c r="FX55" s="655"/>
      <c r="FY55" s="4"/>
      <c r="FZ55" s="4"/>
      <c r="GA55" s="4"/>
      <c r="GB55" s="4"/>
      <c r="GC55" s="4"/>
      <c r="GD55" s="4"/>
      <c r="GE55" s="4"/>
      <c r="GF55" s="4"/>
      <c r="GG55" s="4"/>
      <c r="GH55" s="4"/>
      <c r="GI55" s="654"/>
      <c r="GJ55" s="655"/>
      <c r="GK55" s="4"/>
      <c r="GL55" s="4"/>
      <c r="GM55" s="4"/>
      <c r="GN55" s="4"/>
      <c r="GO55" s="4"/>
      <c r="GP55" s="4"/>
      <c r="GQ55" s="4"/>
      <c r="GR55" s="4"/>
      <c r="GS55" s="4"/>
      <c r="GT55" s="4"/>
      <c r="GU55" s="722"/>
      <c r="GV55" s="715"/>
    </row>
    <row r="56" spans="1:204" x14ac:dyDescent="0.25">
      <c r="A56" t="s">
        <v>715</v>
      </c>
      <c r="B56" s="2" t="s">
        <v>716</v>
      </c>
      <c r="C56" s="619">
        <v>44490</v>
      </c>
      <c r="D56" s="2" t="s">
        <v>565</v>
      </c>
      <c r="E56" t="s">
        <v>59</v>
      </c>
      <c r="F56" s="2" t="s">
        <v>43</v>
      </c>
      <c r="G56" t="s">
        <v>40</v>
      </c>
      <c r="H56" s="690" t="s">
        <v>85</v>
      </c>
      <c r="I56" s="691" t="s">
        <v>43</v>
      </c>
      <c r="J56" s="721">
        <v>3780401000108</v>
      </c>
      <c r="K56" s="691" t="s">
        <v>357</v>
      </c>
      <c r="L56" s="721">
        <v>7760179000124</v>
      </c>
      <c r="M56" s="718" t="s">
        <v>3</v>
      </c>
      <c r="N56" s="717" t="s">
        <v>44</v>
      </c>
      <c r="O56" s="719">
        <v>44743</v>
      </c>
      <c r="P56" s="720">
        <v>44834</v>
      </c>
      <c r="Q56" s="718">
        <v>322</v>
      </c>
      <c r="R56" s="717">
        <v>5</v>
      </c>
      <c r="S56" s="691" t="s">
        <v>54</v>
      </c>
      <c r="T56" t="s">
        <v>358</v>
      </c>
      <c r="U56" s="673" t="s">
        <v>358</v>
      </c>
      <c r="V56" s="690" t="s">
        <v>358</v>
      </c>
      <c r="W56" s="657" t="s">
        <v>329</v>
      </c>
      <c r="X56" s="723"/>
      <c r="Y56" s="4"/>
      <c r="Z56" s="4"/>
      <c r="AA56" s="4"/>
      <c r="AB56" s="4"/>
      <c r="AC56" s="4"/>
      <c r="AD56" s="4">
        <v>5</v>
      </c>
      <c r="AE56" s="4">
        <v>5</v>
      </c>
      <c r="AF56" s="4">
        <v>5</v>
      </c>
      <c r="AG56" s="4"/>
      <c r="AH56" s="4"/>
      <c r="AI56" s="654"/>
      <c r="AJ56" s="655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654"/>
      <c r="AV56" s="655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654"/>
      <c r="BH56" s="655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654"/>
      <c r="BT56" s="655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693"/>
      <c r="CF56" s="723"/>
      <c r="CG56" s="4"/>
      <c r="CH56" s="4"/>
      <c r="CI56" s="4"/>
      <c r="CJ56" s="4"/>
      <c r="CK56" s="4"/>
      <c r="CL56" s="4">
        <v>322</v>
      </c>
      <c r="CM56" s="4">
        <v>322</v>
      </c>
      <c r="CN56" s="4">
        <v>322</v>
      </c>
      <c r="CO56" s="4"/>
      <c r="CP56" s="4"/>
      <c r="CQ56" s="654"/>
      <c r="CR56" s="655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654"/>
      <c r="DD56" s="655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654"/>
      <c r="DP56" s="655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654"/>
      <c r="EB56" s="655"/>
      <c r="EC56" s="4"/>
      <c r="ED56" s="4"/>
      <c r="EE56" s="4"/>
      <c r="EF56" s="4"/>
      <c r="EG56" s="4"/>
      <c r="EH56" s="4"/>
      <c r="EI56" s="4"/>
      <c r="EJ56" s="4"/>
      <c r="EK56" s="4"/>
      <c r="EL56" s="4"/>
      <c r="EM56" s="693"/>
      <c r="EN56" s="723"/>
      <c r="EO56" s="4"/>
      <c r="EP56" s="4"/>
      <c r="EQ56" s="4"/>
      <c r="ER56" s="4"/>
      <c r="ES56" s="4"/>
      <c r="ET56" s="4">
        <v>322</v>
      </c>
      <c r="EU56" s="4">
        <v>322</v>
      </c>
      <c r="EV56" s="4">
        <v>322</v>
      </c>
      <c r="EW56" s="4"/>
      <c r="EX56" s="4"/>
      <c r="EY56" s="654"/>
      <c r="EZ56" s="655"/>
      <c r="FA56" s="4"/>
      <c r="FB56" s="4"/>
      <c r="FC56" s="4"/>
      <c r="FD56" s="4"/>
      <c r="FE56" s="4"/>
      <c r="FF56" s="4"/>
      <c r="FG56" s="4"/>
      <c r="FH56" s="4"/>
      <c r="FI56" s="4"/>
      <c r="FJ56" s="4"/>
      <c r="FK56" s="654"/>
      <c r="FL56" s="655"/>
      <c r="FM56" s="4"/>
      <c r="FN56" s="4"/>
      <c r="FO56" s="4"/>
      <c r="FP56" s="4"/>
      <c r="FQ56" s="4"/>
      <c r="FR56" s="4"/>
      <c r="FS56" s="4"/>
      <c r="FT56" s="4"/>
      <c r="FU56" s="4"/>
      <c r="FV56" s="4"/>
      <c r="FW56" s="654"/>
      <c r="FX56" s="655"/>
      <c r="FY56" s="4"/>
      <c r="FZ56" s="4"/>
      <c r="GA56" s="4"/>
      <c r="GB56" s="4"/>
      <c r="GC56" s="4"/>
      <c r="GD56" s="4"/>
      <c r="GE56" s="4"/>
      <c r="GF56" s="4"/>
      <c r="GG56" s="4"/>
      <c r="GH56" s="4"/>
      <c r="GI56" s="654"/>
      <c r="GJ56" s="655"/>
      <c r="GK56" s="4"/>
      <c r="GL56" s="4"/>
      <c r="GM56" s="4"/>
      <c r="GN56" s="4"/>
      <c r="GO56" s="4"/>
      <c r="GP56" s="4"/>
      <c r="GQ56" s="4"/>
      <c r="GR56" s="4"/>
      <c r="GS56" s="4"/>
      <c r="GT56" s="4"/>
      <c r="GU56" s="722"/>
      <c r="GV56" s="715"/>
    </row>
    <row r="57" spans="1:204" x14ac:dyDescent="0.25">
      <c r="A57" t="s">
        <v>717</v>
      </c>
      <c r="B57" s="2" t="s">
        <v>718</v>
      </c>
      <c r="C57" s="619">
        <v>44490</v>
      </c>
      <c r="D57" s="2" t="s">
        <v>566</v>
      </c>
      <c r="E57" t="s">
        <v>58</v>
      </c>
      <c r="F57" s="2" t="s">
        <v>43</v>
      </c>
      <c r="G57" t="s">
        <v>40</v>
      </c>
      <c r="H57" s="690" t="s">
        <v>84</v>
      </c>
      <c r="I57" s="691" t="s">
        <v>506</v>
      </c>
      <c r="J57" s="721">
        <v>33652516000170</v>
      </c>
      <c r="K57" s="691" t="s">
        <v>43</v>
      </c>
      <c r="L57" s="721">
        <v>3780401000108</v>
      </c>
      <c r="M57" s="718" t="s">
        <v>3</v>
      </c>
      <c r="N57" s="717" t="s">
        <v>44</v>
      </c>
      <c r="O57" s="719">
        <v>44652</v>
      </c>
      <c r="P57" s="720">
        <v>44742</v>
      </c>
      <c r="Q57" s="718">
        <v>196</v>
      </c>
      <c r="R57" s="717">
        <v>5</v>
      </c>
      <c r="S57" s="691" t="s">
        <v>54</v>
      </c>
      <c r="T57" t="s">
        <v>358</v>
      </c>
      <c r="U57" s="673" t="s">
        <v>358</v>
      </c>
      <c r="V57" s="690" t="s">
        <v>358</v>
      </c>
      <c r="W57" s="657" t="s">
        <v>329</v>
      </c>
      <c r="X57" s="723"/>
      <c r="Y57" s="4"/>
      <c r="Z57" s="4"/>
      <c r="AA57" s="4">
        <v>5</v>
      </c>
      <c r="AB57" s="4">
        <v>5</v>
      </c>
      <c r="AC57" s="4">
        <v>5</v>
      </c>
      <c r="AD57" s="4"/>
      <c r="AE57" s="4"/>
      <c r="AF57" s="4"/>
      <c r="AG57" s="4"/>
      <c r="AH57" s="4"/>
      <c r="AI57" s="654"/>
      <c r="AJ57" s="655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654"/>
      <c r="AV57" s="655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654"/>
      <c r="BH57" s="655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654"/>
      <c r="BT57" s="655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693"/>
      <c r="CF57" s="723"/>
      <c r="CG57" s="4"/>
      <c r="CH57" s="4"/>
      <c r="CI57" s="4">
        <v>196</v>
      </c>
      <c r="CJ57" s="4">
        <v>196</v>
      </c>
      <c r="CK57" s="4">
        <v>196</v>
      </c>
      <c r="CL57" s="4"/>
      <c r="CM57" s="4"/>
      <c r="CN57" s="4"/>
      <c r="CO57" s="4"/>
      <c r="CP57" s="4"/>
      <c r="CQ57" s="654"/>
      <c r="CR57" s="655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654"/>
      <c r="DD57" s="655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654"/>
      <c r="DP57" s="655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654"/>
      <c r="EB57" s="655"/>
      <c r="EC57" s="4"/>
      <c r="ED57" s="4"/>
      <c r="EE57" s="4"/>
      <c r="EF57" s="4"/>
      <c r="EG57" s="4"/>
      <c r="EH57" s="4"/>
      <c r="EI57" s="4"/>
      <c r="EJ57" s="4"/>
      <c r="EK57" s="4"/>
      <c r="EL57" s="4"/>
      <c r="EM57" s="693"/>
      <c r="EN57" s="723"/>
      <c r="EO57" s="4"/>
      <c r="EP57" s="4"/>
      <c r="EQ57" s="4">
        <v>196</v>
      </c>
      <c r="ER57" s="4">
        <v>196</v>
      </c>
      <c r="ES57" s="4">
        <v>196</v>
      </c>
      <c r="ET57" s="4"/>
      <c r="EU57" s="4"/>
      <c r="EV57" s="4"/>
      <c r="EW57" s="4"/>
      <c r="EX57" s="4"/>
      <c r="EY57" s="654"/>
      <c r="EZ57" s="655"/>
      <c r="FA57" s="4"/>
      <c r="FB57" s="4"/>
      <c r="FC57" s="4"/>
      <c r="FD57" s="4"/>
      <c r="FE57" s="4"/>
      <c r="FF57" s="4"/>
      <c r="FG57" s="4"/>
      <c r="FH57" s="4"/>
      <c r="FI57" s="4"/>
      <c r="FJ57" s="4"/>
      <c r="FK57" s="654"/>
      <c r="FL57" s="655"/>
      <c r="FM57" s="4"/>
      <c r="FN57" s="4"/>
      <c r="FO57" s="4"/>
      <c r="FP57" s="4"/>
      <c r="FQ57" s="4"/>
      <c r="FR57" s="4"/>
      <c r="FS57" s="4"/>
      <c r="FT57" s="4"/>
      <c r="FU57" s="4"/>
      <c r="FV57" s="4"/>
      <c r="FW57" s="654"/>
      <c r="FX57" s="655"/>
      <c r="FY57" s="4"/>
      <c r="FZ57" s="4"/>
      <c r="GA57" s="4"/>
      <c r="GB57" s="4"/>
      <c r="GC57" s="4"/>
      <c r="GD57" s="4"/>
      <c r="GE57" s="4"/>
      <c r="GF57" s="4"/>
      <c r="GG57" s="4"/>
      <c r="GH57" s="4"/>
      <c r="GI57" s="654"/>
      <c r="GJ57" s="655"/>
      <c r="GK57" s="4"/>
      <c r="GL57" s="4"/>
      <c r="GM57" s="4"/>
      <c r="GN57" s="4"/>
      <c r="GO57" s="4"/>
      <c r="GP57" s="4"/>
      <c r="GQ57" s="4"/>
      <c r="GR57" s="4"/>
      <c r="GS57" s="4"/>
      <c r="GT57" s="4"/>
      <c r="GU57" s="722"/>
      <c r="GV57" s="715"/>
    </row>
    <row r="58" spans="1:204" x14ac:dyDescent="0.25">
      <c r="A58" t="s">
        <v>719</v>
      </c>
      <c r="B58" s="2" t="s">
        <v>358</v>
      </c>
      <c r="C58" s="619">
        <v>44495</v>
      </c>
      <c r="D58" s="2" t="s">
        <v>567</v>
      </c>
      <c r="E58" t="s">
        <v>59</v>
      </c>
      <c r="F58" s="2" t="s">
        <v>43</v>
      </c>
      <c r="G58" t="s">
        <v>40</v>
      </c>
      <c r="H58" s="690" t="s">
        <v>85</v>
      </c>
      <c r="I58" s="691" t="s">
        <v>43</v>
      </c>
      <c r="J58" s="721">
        <v>3780401000108</v>
      </c>
      <c r="K58" s="691" t="s">
        <v>501</v>
      </c>
      <c r="L58" s="721">
        <v>15732189000184</v>
      </c>
      <c r="M58" s="718" t="s">
        <v>3</v>
      </c>
      <c r="N58" s="717" t="s">
        <v>44</v>
      </c>
      <c r="O58" s="719">
        <v>44562</v>
      </c>
      <c r="P58" s="720">
        <v>44592</v>
      </c>
      <c r="Q58" s="718">
        <v>250</v>
      </c>
      <c r="R58" s="717">
        <v>1</v>
      </c>
      <c r="S58" s="691" t="s">
        <v>54</v>
      </c>
      <c r="T58" t="s">
        <v>358</v>
      </c>
      <c r="U58" s="673" t="s">
        <v>358</v>
      </c>
      <c r="V58" s="690" t="s">
        <v>358</v>
      </c>
      <c r="W58" s="657" t="s">
        <v>214</v>
      </c>
      <c r="X58" s="723">
        <v>1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654"/>
      <c r="AJ58" s="655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654"/>
      <c r="AV58" s="655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654"/>
      <c r="BH58" s="655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654"/>
      <c r="BT58" s="655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693"/>
      <c r="CF58" s="723">
        <v>250</v>
      </c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654"/>
      <c r="CR58" s="655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654"/>
      <c r="DD58" s="655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654"/>
      <c r="DP58" s="655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654"/>
      <c r="EB58" s="655"/>
      <c r="EC58" s="4"/>
      <c r="ED58" s="4"/>
      <c r="EE58" s="4"/>
      <c r="EF58" s="4"/>
      <c r="EG58" s="4"/>
      <c r="EH58" s="4"/>
      <c r="EI58" s="4"/>
      <c r="EJ58" s="4"/>
      <c r="EK58" s="4"/>
      <c r="EL58" s="4"/>
      <c r="EM58" s="693"/>
      <c r="EN58" s="723">
        <v>250</v>
      </c>
      <c r="EO58" s="4"/>
      <c r="EP58" s="4"/>
      <c r="EQ58" s="4"/>
      <c r="ER58" s="4"/>
      <c r="ES58" s="4"/>
      <c r="ET58" s="4"/>
      <c r="EU58" s="4"/>
      <c r="EV58" s="4"/>
      <c r="EW58" s="4"/>
      <c r="EX58" s="4"/>
      <c r="EY58" s="654"/>
      <c r="EZ58" s="655"/>
      <c r="FA58" s="4"/>
      <c r="FB58" s="4"/>
      <c r="FC58" s="4"/>
      <c r="FD58" s="4"/>
      <c r="FE58" s="4"/>
      <c r="FF58" s="4"/>
      <c r="FG58" s="4"/>
      <c r="FH58" s="4"/>
      <c r="FI58" s="4"/>
      <c r="FJ58" s="4"/>
      <c r="FK58" s="654"/>
      <c r="FL58" s="655"/>
      <c r="FM58" s="4"/>
      <c r="FN58" s="4"/>
      <c r="FO58" s="4"/>
      <c r="FP58" s="4"/>
      <c r="FQ58" s="4"/>
      <c r="FR58" s="4"/>
      <c r="FS58" s="4"/>
      <c r="FT58" s="4"/>
      <c r="FU58" s="4"/>
      <c r="FV58" s="4"/>
      <c r="FW58" s="654"/>
      <c r="FX58" s="655"/>
      <c r="FY58" s="4"/>
      <c r="FZ58" s="4"/>
      <c r="GA58" s="4"/>
      <c r="GB58" s="4"/>
      <c r="GC58" s="4"/>
      <c r="GD58" s="4"/>
      <c r="GE58" s="4"/>
      <c r="GF58" s="4"/>
      <c r="GG58" s="4"/>
      <c r="GH58" s="4"/>
      <c r="GI58" s="654"/>
      <c r="GJ58" s="655"/>
      <c r="GK58" s="4"/>
      <c r="GL58" s="4"/>
      <c r="GM58" s="4"/>
      <c r="GN58" s="4"/>
      <c r="GO58" s="4"/>
      <c r="GP58" s="4"/>
      <c r="GQ58" s="4"/>
      <c r="GR58" s="4"/>
      <c r="GS58" s="4"/>
      <c r="GT58" s="4"/>
      <c r="GU58" s="722"/>
      <c r="GV58" s="715"/>
    </row>
    <row r="59" spans="1:204" x14ac:dyDescent="0.25">
      <c r="A59" t="s">
        <v>720</v>
      </c>
      <c r="B59" s="2" t="s">
        <v>358</v>
      </c>
      <c r="C59" s="619">
        <v>44495</v>
      </c>
      <c r="D59" s="2" t="s">
        <v>568</v>
      </c>
      <c r="E59" t="s">
        <v>59</v>
      </c>
      <c r="F59" s="2" t="s">
        <v>43</v>
      </c>
      <c r="G59" t="s">
        <v>40</v>
      </c>
      <c r="H59" s="690" t="s">
        <v>85</v>
      </c>
      <c r="I59" s="691" t="s">
        <v>43</v>
      </c>
      <c r="J59" s="721">
        <v>3780401000108</v>
      </c>
      <c r="K59" s="691" t="s">
        <v>508</v>
      </c>
      <c r="L59" s="721">
        <v>8773135000100</v>
      </c>
      <c r="M59" s="718" t="s">
        <v>3</v>
      </c>
      <c r="N59" s="717" t="s">
        <v>44</v>
      </c>
      <c r="O59" s="719">
        <v>44562</v>
      </c>
      <c r="P59" s="720">
        <v>44592</v>
      </c>
      <c r="Q59" s="718">
        <v>247</v>
      </c>
      <c r="R59" s="717">
        <v>3</v>
      </c>
      <c r="S59" s="691" t="s">
        <v>54</v>
      </c>
      <c r="T59" t="s">
        <v>358</v>
      </c>
      <c r="U59" s="673" t="s">
        <v>358</v>
      </c>
      <c r="V59" s="690" t="s">
        <v>358</v>
      </c>
      <c r="W59" s="657" t="s">
        <v>214</v>
      </c>
      <c r="X59" s="723">
        <v>3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654"/>
      <c r="AJ59" s="655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654"/>
      <c r="AV59" s="655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654"/>
      <c r="BH59" s="655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654"/>
      <c r="BT59" s="655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693"/>
      <c r="CF59" s="723">
        <v>247</v>
      </c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654"/>
      <c r="CR59" s="655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654"/>
      <c r="DD59" s="655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654"/>
      <c r="DP59" s="655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654"/>
      <c r="EB59" s="655"/>
      <c r="EC59" s="4"/>
      <c r="ED59" s="4"/>
      <c r="EE59" s="4"/>
      <c r="EF59" s="4"/>
      <c r="EG59" s="4"/>
      <c r="EH59" s="4"/>
      <c r="EI59" s="4"/>
      <c r="EJ59" s="4"/>
      <c r="EK59" s="4"/>
      <c r="EL59" s="4"/>
      <c r="EM59" s="693"/>
      <c r="EN59" s="723">
        <v>247</v>
      </c>
      <c r="EO59" s="4"/>
      <c r="EP59" s="4"/>
      <c r="EQ59" s="4"/>
      <c r="ER59" s="4"/>
      <c r="ES59" s="4"/>
      <c r="ET59" s="4"/>
      <c r="EU59" s="4"/>
      <c r="EV59" s="4"/>
      <c r="EW59" s="4"/>
      <c r="EX59" s="4"/>
      <c r="EY59" s="654"/>
      <c r="EZ59" s="655"/>
      <c r="FA59" s="4"/>
      <c r="FB59" s="4"/>
      <c r="FC59" s="4"/>
      <c r="FD59" s="4"/>
      <c r="FE59" s="4"/>
      <c r="FF59" s="4"/>
      <c r="FG59" s="4"/>
      <c r="FH59" s="4"/>
      <c r="FI59" s="4"/>
      <c r="FJ59" s="4"/>
      <c r="FK59" s="654"/>
      <c r="FL59" s="655"/>
      <c r="FM59" s="4"/>
      <c r="FN59" s="4"/>
      <c r="FO59" s="4"/>
      <c r="FP59" s="4"/>
      <c r="FQ59" s="4"/>
      <c r="FR59" s="4"/>
      <c r="FS59" s="4"/>
      <c r="FT59" s="4"/>
      <c r="FU59" s="4"/>
      <c r="FV59" s="4"/>
      <c r="FW59" s="654"/>
      <c r="FX59" s="655"/>
      <c r="FY59" s="4"/>
      <c r="FZ59" s="4"/>
      <c r="GA59" s="4"/>
      <c r="GB59" s="4"/>
      <c r="GC59" s="4"/>
      <c r="GD59" s="4"/>
      <c r="GE59" s="4"/>
      <c r="GF59" s="4"/>
      <c r="GG59" s="4"/>
      <c r="GH59" s="4"/>
      <c r="GI59" s="654"/>
      <c r="GJ59" s="655"/>
      <c r="GK59" s="4"/>
      <c r="GL59" s="4"/>
      <c r="GM59" s="4"/>
      <c r="GN59" s="4"/>
      <c r="GO59" s="4"/>
      <c r="GP59" s="4"/>
      <c r="GQ59" s="4"/>
      <c r="GR59" s="4"/>
      <c r="GS59" s="4"/>
      <c r="GT59" s="4"/>
      <c r="GU59" s="722"/>
      <c r="GV59" s="715"/>
    </row>
    <row r="60" spans="1:204" x14ac:dyDescent="0.25">
      <c r="A60" t="s">
        <v>721</v>
      </c>
      <c r="B60" s="2" t="s">
        <v>722</v>
      </c>
      <c r="C60" s="619">
        <v>44512</v>
      </c>
      <c r="D60" s="2" t="s">
        <v>569</v>
      </c>
      <c r="E60" t="s">
        <v>58</v>
      </c>
      <c r="F60" s="2" t="s">
        <v>43</v>
      </c>
      <c r="G60" t="s">
        <v>40</v>
      </c>
      <c r="H60" s="690" t="s">
        <v>84</v>
      </c>
      <c r="I60" s="691" t="s">
        <v>502</v>
      </c>
      <c r="J60" s="721">
        <v>4270778000171</v>
      </c>
      <c r="K60" s="691" t="s">
        <v>43</v>
      </c>
      <c r="L60" s="721">
        <v>3780401000108</v>
      </c>
      <c r="M60" s="718" t="s">
        <v>3</v>
      </c>
      <c r="N60" s="717" t="s">
        <v>44</v>
      </c>
      <c r="O60" s="719">
        <v>44652</v>
      </c>
      <c r="P60" s="720">
        <v>44742</v>
      </c>
      <c r="Q60" s="718">
        <v>175</v>
      </c>
      <c r="R60" s="717">
        <v>10</v>
      </c>
      <c r="S60" s="691" t="s">
        <v>54</v>
      </c>
      <c r="T60" t="s">
        <v>358</v>
      </c>
      <c r="U60" s="673" t="s">
        <v>358</v>
      </c>
      <c r="V60" s="690" t="s">
        <v>358</v>
      </c>
      <c r="W60" s="657" t="s">
        <v>329</v>
      </c>
      <c r="X60" s="723"/>
      <c r="Y60" s="4"/>
      <c r="Z60" s="4"/>
      <c r="AA60" s="4">
        <v>10</v>
      </c>
      <c r="AB60" s="4">
        <v>10</v>
      </c>
      <c r="AC60" s="4">
        <v>10</v>
      </c>
      <c r="AD60" s="4"/>
      <c r="AE60" s="4"/>
      <c r="AF60" s="4"/>
      <c r="AG60" s="4"/>
      <c r="AH60" s="4"/>
      <c r="AI60" s="654"/>
      <c r="AJ60" s="655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654"/>
      <c r="AV60" s="655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654"/>
      <c r="BH60" s="655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654"/>
      <c r="BT60" s="655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693"/>
      <c r="CF60" s="723"/>
      <c r="CG60" s="4"/>
      <c r="CH60" s="4"/>
      <c r="CI60" s="4">
        <v>175</v>
      </c>
      <c r="CJ60" s="4">
        <v>175</v>
      </c>
      <c r="CK60" s="4">
        <v>175</v>
      </c>
      <c r="CL60" s="4"/>
      <c r="CM60" s="4"/>
      <c r="CN60" s="4"/>
      <c r="CO60" s="4"/>
      <c r="CP60" s="4"/>
      <c r="CQ60" s="654"/>
      <c r="CR60" s="655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654"/>
      <c r="DD60" s="655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654"/>
      <c r="DP60" s="655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654"/>
      <c r="EB60" s="655"/>
      <c r="EC60" s="4"/>
      <c r="ED60" s="4"/>
      <c r="EE60" s="4"/>
      <c r="EF60" s="4"/>
      <c r="EG60" s="4"/>
      <c r="EH60" s="4"/>
      <c r="EI60" s="4"/>
      <c r="EJ60" s="4"/>
      <c r="EK60" s="4"/>
      <c r="EL60" s="4"/>
      <c r="EM60" s="693"/>
      <c r="EN60" s="723"/>
      <c r="EO60" s="4"/>
      <c r="EP60" s="4"/>
      <c r="EQ60" s="4">
        <v>175</v>
      </c>
      <c r="ER60" s="4">
        <v>175</v>
      </c>
      <c r="ES60" s="4">
        <v>175</v>
      </c>
      <c r="ET60" s="4"/>
      <c r="EU60" s="4"/>
      <c r="EV60" s="4"/>
      <c r="EW60" s="4"/>
      <c r="EX60" s="4"/>
      <c r="EY60" s="654"/>
      <c r="EZ60" s="655"/>
      <c r="FA60" s="4"/>
      <c r="FB60" s="4"/>
      <c r="FC60" s="4"/>
      <c r="FD60" s="4"/>
      <c r="FE60" s="4"/>
      <c r="FF60" s="4"/>
      <c r="FG60" s="4"/>
      <c r="FH60" s="4"/>
      <c r="FI60" s="4"/>
      <c r="FJ60" s="4"/>
      <c r="FK60" s="654"/>
      <c r="FL60" s="655"/>
      <c r="FM60" s="4"/>
      <c r="FN60" s="4"/>
      <c r="FO60" s="4"/>
      <c r="FP60" s="4"/>
      <c r="FQ60" s="4"/>
      <c r="FR60" s="4"/>
      <c r="FS60" s="4"/>
      <c r="FT60" s="4"/>
      <c r="FU60" s="4"/>
      <c r="FV60" s="4"/>
      <c r="FW60" s="654"/>
      <c r="FX60" s="655"/>
      <c r="FY60" s="4"/>
      <c r="FZ60" s="4"/>
      <c r="GA60" s="4"/>
      <c r="GB60" s="4"/>
      <c r="GC60" s="4"/>
      <c r="GD60" s="4"/>
      <c r="GE60" s="4"/>
      <c r="GF60" s="4"/>
      <c r="GG60" s="4"/>
      <c r="GH60" s="4"/>
      <c r="GI60" s="654"/>
      <c r="GJ60" s="655"/>
      <c r="GK60" s="4"/>
      <c r="GL60" s="4"/>
      <c r="GM60" s="4"/>
      <c r="GN60" s="4"/>
      <c r="GO60" s="4"/>
      <c r="GP60" s="4"/>
      <c r="GQ60" s="4"/>
      <c r="GR60" s="4"/>
      <c r="GS60" s="4"/>
      <c r="GT60" s="4"/>
      <c r="GU60" s="722"/>
      <c r="GV60" s="715"/>
    </row>
    <row r="61" spans="1:204" x14ac:dyDescent="0.25">
      <c r="A61" t="s">
        <v>723</v>
      </c>
      <c r="B61" s="2" t="s">
        <v>724</v>
      </c>
      <c r="C61" s="619">
        <v>44512</v>
      </c>
      <c r="D61" s="2" t="s">
        <v>570</v>
      </c>
      <c r="E61" t="s">
        <v>59</v>
      </c>
      <c r="F61" s="2" t="s">
        <v>43</v>
      </c>
      <c r="G61" t="s">
        <v>40</v>
      </c>
      <c r="H61" s="690" t="s">
        <v>85</v>
      </c>
      <c r="I61" s="691" t="s">
        <v>43</v>
      </c>
      <c r="J61" s="721">
        <v>3780401000108</v>
      </c>
      <c r="K61" s="691" t="s">
        <v>502</v>
      </c>
      <c r="L61" s="721">
        <v>4270778000171</v>
      </c>
      <c r="M61" s="718" t="s">
        <v>3</v>
      </c>
      <c r="N61" s="717" t="s">
        <v>44</v>
      </c>
      <c r="O61" s="719">
        <v>44743</v>
      </c>
      <c r="P61" s="720">
        <v>44834</v>
      </c>
      <c r="Q61" s="718">
        <v>270</v>
      </c>
      <c r="R61" s="717">
        <v>10</v>
      </c>
      <c r="S61" s="691" t="s">
        <v>54</v>
      </c>
      <c r="T61" t="s">
        <v>358</v>
      </c>
      <c r="U61" s="673" t="s">
        <v>358</v>
      </c>
      <c r="V61" s="690" t="s">
        <v>358</v>
      </c>
      <c r="W61" s="657" t="s">
        <v>329</v>
      </c>
      <c r="X61" s="723"/>
      <c r="Y61" s="4"/>
      <c r="Z61" s="4"/>
      <c r="AA61" s="4"/>
      <c r="AB61" s="4"/>
      <c r="AC61" s="4"/>
      <c r="AD61" s="4">
        <v>10</v>
      </c>
      <c r="AE61" s="4">
        <v>10</v>
      </c>
      <c r="AF61" s="4">
        <v>10</v>
      </c>
      <c r="AG61" s="4"/>
      <c r="AH61" s="4"/>
      <c r="AI61" s="654"/>
      <c r="AJ61" s="655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654"/>
      <c r="AV61" s="655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654"/>
      <c r="BH61" s="655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654"/>
      <c r="BT61" s="655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693"/>
      <c r="CF61" s="723"/>
      <c r="CG61" s="4"/>
      <c r="CH61" s="4"/>
      <c r="CI61" s="4"/>
      <c r="CJ61" s="4"/>
      <c r="CK61" s="4"/>
      <c r="CL61" s="4">
        <v>270</v>
      </c>
      <c r="CM61" s="4">
        <v>270</v>
      </c>
      <c r="CN61" s="4">
        <v>270</v>
      </c>
      <c r="CO61" s="4"/>
      <c r="CP61" s="4"/>
      <c r="CQ61" s="654"/>
      <c r="CR61" s="655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654"/>
      <c r="DD61" s="655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654"/>
      <c r="DP61" s="655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654"/>
      <c r="EB61" s="655"/>
      <c r="EC61" s="4"/>
      <c r="ED61" s="4"/>
      <c r="EE61" s="4"/>
      <c r="EF61" s="4"/>
      <c r="EG61" s="4"/>
      <c r="EH61" s="4"/>
      <c r="EI61" s="4"/>
      <c r="EJ61" s="4"/>
      <c r="EK61" s="4"/>
      <c r="EL61" s="4"/>
      <c r="EM61" s="693"/>
      <c r="EN61" s="723"/>
      <c r="EO61" s="4"/>
      <c r="EP61" s="4"/>
      <c r="EQ61" s="4"/>
      <c r="ER61" s="4"/>
      <c r="ES61" s="4"/>
      <c r="ET61" s="4">
        <v>270</v>
      </c>
      <c r="EU61" s="4">
        <v>270</v>
      </c>
      <c r="EV61" s="4">
        <v>270</v>
      </c>
      <c r="EW61" s="4"/>
      <c r="EX61" s="4"/>
      <c r="EY61" s="654"/>
      <c r="EZ61" s="655"/>
      <c r="FA61" s="4"/>
      <c r="FB61" s="4"/>
      <c r="FC61" s="4"/>
      <c r="FD61" s="4"/>
      <c r="FE61" s="4"/>
      <c r="FF61" s="4"/>
      <c r="FG61" s="4"/>
      <c r="FH61" s="4"/>
      <c r="FI61" s="4"/>
      <c r="FJ61" s="4"/>
      <c r="FK61" s="654"/>
      <c r="FL61" s="655"/>
      <c r="FM61" s="4"/>
      <c r="FN61" s="4"/>
      <c r="FO61" s="4"/>
      <c r="FP61" s="4"/>
      <c r="FQ61" s="4"/>
      <c r="FR61" s="4"/>
      <c r="FS61" s="4"/>
      <c r="FT61" s="4"/>
      <c r="FU61" s="4"/>
      <c r="FV61" s="4"/>
      <c r="FW61" s="654"/>
      <c r="FX61" s="655"/>
      <c r="FY61" s="4"/>
      <c r="FZ61" s="4"/>
      <c r="GA61" s="4"/>
      <c r="GB61" s="4"/>
      <c r="GC61" s="4"/>
      <c r="GD61" s="4"/>
      <c r="GE61" s="4"/>
      <c r="GF61" s="4"/>
      <c r="GG61" s="4"/>
      <c r="GH61" s="4"/>
      <c r="GI61" s="654"/>
      <c r="GJ61" s="655"/>
      <c r="GK61" s="4"/>
      <c r="GL61" s="4"/>
      <c r="GM61" s="4"/>
      <c r="GN61" s="4"/>
      <c r="GO61" s="4"/>
      <c r="GP61" s="4"/>
      <c r="GQ61" s="4"/>
      <c r="GR61" s="4"/>
      <c r="GS61" s="4"/>
      <c r="GT61" s="4"/>
      <c r="GU61" s="722"/>
      <c r="GV61" s="715"/>
    </row>
    <row r="62" spans="1:204" x14ac:dyDescent="0.25">
      <c r="A62" t="s">
        <v>725</v>
      </c>
      <c r="B62" s="2" t="s">
        <v>726</v>
      </c>
      <c r="C62" s="619">
        <v>44512</v>
      </c>
      <c r="D62" s="2">
        <v>23081</v>
      </c>
      <c r="E62" t="s">
        <v>58</v>
      </c>
      <c r="F62" s="2" t="s">
        <v>43</v>
      </c>
      <c r="G62" t="s">
        <v>40</v>
      </c>
      <c r="H62" s="690" t="s">
        <v>84</v>
      </c>
      <c r="I62" s="691" t="s">
        <v>571</v>
      </c>
      <c r="J62" s="721" t="s">
        <v>572</v>
      </c>
      <c r="K62" s="691" t="s">
        <v>43</v>
      </c>
      <c r="L62" s="721"/>
      <c r="M62" s="718" t="s">
        <v>3</v>
      </c>
      <c r="N62" s="717" t="s">
        <v>44</v>
      </c>
      <c r="O62" s="719">
        <v>44927</v>
      </c>
      <c r="P62" s="720">
        <v>45291</v>
      </c>
      <c r="Q62" s="718">
        <v>204</v>
      </c>
      <c r="R62" s="717">
        <v>2</v>
      </c>
      <c r="S62" s="691" t="s">
        <v>54</v>
      </c>
      <c r="T62" t="s">
        <v>649</v>
      </c>
      <c r="U62" s="673">
        <v>44501</v>
      </c>
      <c r="V62" s="690">
        <v>1</v>
      </c>
      <c r="W62" s="657" t="s">
        <v>329</v>
      </c>
      <c r="X62" s="723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654"/>
      <c r="AJ62" s="655">
        <v>2</v>
      </c>
      <c r="AK62" s="4">
        <v>2</v>
      </c>
      <c r="AL62" s="4">
        <v>2</v>
      </c>
      <c r="AM62" s="4">
        <v>2</v>
      </c>
      <c r="AN62" s="4">
        <v>2</v>
      </c>
      <c r="AO62" s="4">
        <v>2</v>
      </c>
      <c r="AP62" s="4">
        <v>2</v>
      </c>
      <c r="AQ62" s="4">
        <v>2</v>
      </c>
      <c r="AR62" s="4">
        <v>2</v>
      </c>
      <c r="AS62" s="4">
        <v>2</v>
      </c>
      <c r="AT62" s="4">
        <v>2</v>
      </c>
      <c r="AU62" s="654">
        <v>2</v>
      </c>
      <c r="AV62" s="655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654"/>
      <c r="BH62" s="655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654"/>
      <c r="BT62" s="655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693"/>
      <c r="CF62" s="723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654"/>
      <c r="CR62" s="655">
        <v>219.13674214591981</v>
      </c>
      <c r="CS62" s="4">
        <v>219.13674214591981</v>
      </c>
      <c r="CT62" s="4">
        <v>219.13674214591981</v>
      </c>
      <c r="CU62" s="4">
        <v>219.13674214591981</v>
      </c>
      <c r="CV62" s="4">
        <v>219.13674214591981</v>
      </c>
      <c r="CW62" s="4">
        <v>219.13674214591981</v>
      </c>
      <c r="CX62" s="4">
        <v>219.13674214591981</v>
      </c>
      <c r="CY62" s="4">
        <v>219.13674214591981</v>
      </c>
      <c r="CZ62" s="4">
        <v>219.13674214591981</v>
      </c>
      <c r="DA62" s="4">
        <v>219.13674214591981</v>
      </c>
      <c r="DB62" s="4">
        <v>219.13674214591981</v>
      </c>
      <c r="DC62" s="654">
        <v>219.13674214591981</v>
      </c>
      <c r="DD62" s="655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654"/>
      <c r="DP62" s="655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654"/>
      <c r="EB62" s="655"/>
      <c r="EC62" s="4"/>
      <c r="ED62" s="4"/>
      <c r="EE62" s="4"/>
      <c r="EF62" s="4"/>
      <c r="EG62" s="4"/>
      <c r="EH62" s="4"/>
      <c r="EI62" s="4"/>
      <c r="EJ62" s="4"/>
      <c r="EK62" s="4"/>
      <c r="EL62" s="4"/>
      <c r="EM62" s="693"/>
      <c r="EN62" s="723"/>
      <c r="EO62" s="4"/>
      <c r="EP62" s="4"/>
      <c r="EQ62" s="4"/>
      <c r="ER62" s="4"/>
      <c r="ES62" s="4"/>
      <c r="ET62" s="4"/>
      <c r="EU62" s="4"/>
      <c r="EV62" s="4"/>
      <c r="EW62" s="4"/>
      <c r="EX62" s="4"/>
      <c r="EY62" s="654"/>
      <c r="EZ62" s="655">
        <v>219.13674214591981</v>
      </c>
      <c r="FA62" s="4">
        <v>219.13674214591981</v>
      </c>
      <c r="FB62" s="4">
        <v>219.13674214591981</v>
      </c>
      <c r="FC62" s="4">
        <v>219.13674214591981</v>
      </c>
      <c r="FD62" s="4">
        <v>219.13674214591981</v>
      </c>
      <c r="FE62" s="4">
        <v>219.13674214591981</v>
      </c>
      <c r="FF62" s="4">
        <v>219.13674214591981</v>
      </c>
      <c r="FG62" s="4">
        <v>219.13674214591981</v>
      </c>
      <c r="FH62" s="4">
        <v>219.13674214591981</v>
      </c>
      <c r="FI62" s="4">
        <v>219.13674214591981</v>
      </c>
      <c r="FJ62" s="4">
        <v>219.13674214591981</v>
      </c>
      <c r="FK62" s="654">
        <v>219.13674214591981</v>
      </c>
      <c r="FL62" s="655"/>
      <c r="FM62" s="4"/>
      <c r="FN62" s="4"/>
      <c r="FO62" s="4"/>
      <c r="FP62" s="4"/>
      <c r="FQ62" s="4"/>
      <c r="FR62" s="4"/>
      <c r="FS62" s="4"/>
      <c r="FT62" s="4"/>
      <c r="FU62" s="4"/>
      <c r="FV62" s="4"/>
      <c r="FW62" s="654"/>
      <c r="FX62" s="655"/>
      <c r="FY62" s="4"/>
      <c r="FZ62" s="4"/>
      <c r="GA62" s="4"/>
      <c r="GB62" s="4"/>
      <c r="GC62" s="4"/>
      <c r="GD62" s="4"/>
      <c r="GE62" s="4"/>
      <c r="GF62" s="4"/>
      <c r="GG62" s="4"/>
      <c r="GH62" s="4"/>
      <c r="GI62" s="654"/>
      <c r="GJ62" s="655"/>
      <c r="GK62" s="4"/>
      <c r="GL62" s="4"/>
      <c r="GM62" s="4"/>
      <c r="GN62" s="4"/>
      <c r="GO62" s="4"/>
      <c r="GP62" s="4"/>
      <c r="GQ62" s="4"/>
      <c r="GR62" s="4"/>
      <c r="GS62" s="4"/>
      <c r="GT62" s="4"/>
      <c r="GU62" s="722"/>
      <c r="GV62" s="715"/>
    </row>
    <row r="63" spans="1:204" x14ac:dyDescent="0.25">
      <c r="A63" t="s">
        <v>727</v>
      </c>
      <c r="B63" s="2" t="s">
        <v>728</v>
      </c>
      <c r="C63" s="619">
        <v>44529</v>
      </c>
      <c r="D63" s="2" t="s">
        <v>573</v>
      </c>
      <c r="E63" t="s">
        <v>58</v>
      </c>
      <c r="F63" s="2" t="s">
        <v>43</v>
      </c>
      <c r="G63" t="s">
        <v>40</v>
      </c>
      <c r="H63" s="690" t="s">
        <v>84</v>
      </c>
      <c r="I63" s="691" t="s">
        <v>348</v>
      </c>
      <c r="J63" s="721">
        <v>13777004000122</v>
      </c>
      <c r="K63" s="691" t="s">
        <v>43</v>
      </c>
      <c r="L63" s="721">
        <v>3780401000108</v>
      </c>
      <c r="M63" s="718" t="s">
        <v>3</v>
      </c>
      <c r="N63" s="717" t="s">
        <v>44</v>
      </c>
      <c r="O63" s="719">
        <v>44896</v>
      </c>
      <c r="P63" s="720">
        <v>44926</v>
      </c>
      <c r="Q63" s="718">
        <v>225</v>
      </c>
      <c r="R63" s="717">
        <v>30</v>
      </c>
      <c r="S63" s="691" t="s">
        <v>54</v>
      </c>
      <c r="T63" t="s">
        <v>358</v>
      </c>
      <c r="U63" s="673" t="s">
        <v>358</v>
      </c>
      <c r="V63" s="690" t="s">
        <v>358</v>
      </c>
      <c r="W63" s="657" t="s">
        <v>329</v>
      </c>
      <c r="X63" s="723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654">
        <v>30</v>
      </c>
      <c r="AJ63" s="655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654"/>
      <c r="AV63" s="655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654"/>
      <c r="BH63" s="655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654"/>
      <c r="BT63" s="655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693"/>
      <c r="CF63" s="723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654">
        <v>225</v>
      </c>
      <c r="CR63" s="655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654"/>
      <c r="DD63" s="655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654"/>
      <c r="DP63" s="655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654"/>
      <c r="EB63" s="655"/>
      <c r="EC63" s="4"/>
      <c r="ED63" s="4"/>
      <c r="EE63" s="4"/>
      <c r="EF63" s="4"/>
      <c r="EG63" s="4"/>
      <c r="EH63" s="4"/>
      <c r="EI63" s="4"/>
      <c r="EJ63" s="4"/>
      <c r="EK63" s="4"/>
      <c r="EL63" s="4"/>
      <c r="EM63" s="693"/>
      <c r="EN63" s="723"/>
      <c r="EO63" s="4"/>
      <c r="EP63" s="4"/>
      <c r="EQ63" s="4"/>
      <c r="ER63" s="4"/>
      <c r="ES63" s="4"/>
      <c r="ET63" s="4"/>
      <c r="EU63" s="4"/>
      <c r="EV63" s="4"/>
      <c r="EW63" s="4"/>
      <c r="EX63" s="4"/>
      <c r="EY63" s="654">
        <v>225</v>
      </c>
      <c r="EZ63" s="655"/>
      <c r="FA63" s="4"/>
      <c r="FB63" s="4"/>
      <c r="FC63" s="4"/>
      <c r="FD63" s="4"/>
      <c r="FE63" s="4"/>
      <c r="FF63" s="4"/>
      <c r="FG63" s="4"/>
      <c r="FH63" s="4"/>
      <c r="FI63" s="4"/>
      <c r="FJ63" s="4"/>
      <c r="FK63" s="654"/>
      <c r="FL63" s="655"/>
      <c r="FM63" s="4"/>
      <c r="FN63" s="4"/>
      <c r="FO63" s="4"/>
      <c r="FP63" s="4"/>
      <c r="FQ63" s="4"/>
      <c r="FR63" s="4"/>
      <c r="FS63" s="4"/>
      <c r="FT63" s="4"/>
      <c r="FU63" s="4"/>
      <c r="FV63" s="4"/>
      <c r="FW63" s="654"/>
      <c r="FX63" s="655"/>
      <c r="FY63" s="4"/>
      <c r="FZ63" s="4"/>
      <c r="GA63" s="4"/>
      <c r="GB63" s="4"/>
      <c r="GC63" s="4"/>
      <c r="GD63" s="4"/>
      <c r="GE63" s="4"/>
      <c r="GF63" s="4"/>
      <c r="GG63" s="4"/>
      <c r="GH63" s="4"/>
      <c r="GI63" s="654"/>
      <c r="GJ63" s="655"/>
      <c r="GK63" s="4"/>
      <c r="GL63" s="4"/>
      <c r="GM63" s="4"/>
      <c r="GN63" s="4"/>
      <c r="GO63" s="4"/>
      <c r="GP63" s="4"/>
      <c r="GQ63" s="4"/>
      <c r="GR63" s="4"/>
      <c r="GS63" s="4"/>
      <c r="GT63" s="4"/>
      <c r="GU63" s="722"/>
      <c r="GV63" s="715"/>
    </row>
    <row r="64" spans="1:204" x14ac:dyDescent="0.25">
      <c r="A64" t="s">
        <v>729</v>
      </c>
      <c r="B64" s="2" t="s">
        <v>730</v>
      </c>
      <c r="C64" s="619">
        <v>44529</v>
      </c>
      <c r="D64" s="2" t="s">
        <v>574</v>
      </c>
      <c r="E64" t="s">
        <v>59</v>
      </c>
      <c r="F64" s="2" t="s">
        <v>43</v>
      </c>
      <c r="G64" t="s">
        <v>40</v>
      </c>
      <c r="H64" s="690" t="s">
        <v>85</v>
      </c>
      <c r="I64" s="691" t="s">
        <v>43</v>
      </c>
      <c r="J64" s="721">
        <v>3780401000108</v>
      </c>
      <c r="K64" s="691" t="s">
        <v>348</v>
      </c>
      <c r="L64" s="721">
        <v>13777004000122</v>
      </c>
      <c r="M64" s="718" t="s">
        <v>3</v>
      </c>
      <c r="N64" s="717" t="s">
        <v>44</v>
      </c>
      <c r="O64" s="719">
        <v>44866</v>
      </c>
      <c r="P64" s="720">
        <v>44895</v>
      </c>
      <c r="Q64" s="718">
        <v>250</v>
      </c>
      <c r="R64" s="717">
        <v>15.5</v>
      </c>
      <c r="S64" s="691" t="s">
        <v>54</v>
      </c>
      <c r="T64" t="s">
        <v>358</v>
      </c>
      <c r="U64" s="673" t="s">
        <v>358</v>
      </c>
      <c r="V64" s="690" t="s">
        <v>358</v>
      </c>
      <c r="W64" s="657" t="s">
        <v>329</v>
      </c>
      <c r="X64" s="723"/>
      <c r="Y64" s="4"/>
      <c r="Z64" s="4"/>
      <c r="AA64" s="4"/>
      <c r="AB64" s="4"/>
      <c r="AC64" s="4"/>
      <c r="AD64" s="4"/>
      <c r="AE64" s="4"/>
      <c r="AF64" s="4"/>
      <c r="AG64" s="4"/>
      <c r="AH64" s="4">
        <v>15.5</v>
      </c>
      <c r="AI64" s="654"/>
      <c r="AJ64" s="655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654"/>
      <c r="AV64" s="655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654"/>
      <c r="BH64" s="655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654"/>
      <c r="BT64" s="655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693"/>
      <c r="CF64" s="723"/>
      <c r="CG64" s="4"/>
      <c r="CH64" s="4"/>
      <c r="CI64" s="4"/>
      <c r="CJ64" s="4"/>
      <c r="CK64" s="4"/>
      <c r="CL64" s="4"/>
      <c r="CM64" s="4"/>
      <c r="CN64" s="4"/>
      <c r="CO64" s="4"/>
      <c r="CP64" s="4">
        <v>250</v>
      </c>
      <c r="CQ64" s="654"/>
      <c r="CR64" s="655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654"/>
      <c r="DD64" s="655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654"/>
      <c r="DP64" s="655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654"/>
      <c r="EB64" s="655"/>
      <c r="EC64" s="4"/>
      <c r="ED64" s="4"/>
      <c r="EE64" s="4"/>
      <c r="EF64" s="4"/>
      <c r="EG64" s="4"/>
      <c r="EH64" s="4"/>
      <c r="EI64" s="4"/>
      <c r="EJ64" s="4"/>
      <c r="EK64" s="4"/>
      <c r="EL64" s="4"/>
      <c r="EM64" s="693"/>
      <c r="EN64" s="723"/>
      <c r="EO64" s="4"/>
      <c r="EP64" s="4"/>
      <c r="EQ64" s="4"/>
      <c r="ER64" s="4"/>
      <c r="ES64" s="4"/>
      <c r="ET64" s="4"/>
      <c r="EU64" s="4"/>
      <c r="EV64" s="4"/>
      <c r="EW64" s="4"/>
      <c r="EX64" s="4">
        <v>250</v>
      </c>
      <c r="EY64" s="654"/>
      <c r="EZ64" s="655"/>
      <c r="FA64" s="4"/>
      <c r="FB64" s="4"/>
      <c r="FC64" s="4"/>
      <c r="FD64" s="4"/>
      <c r="FE64" s="4"/>
      <c r="FF64" s="4"/>
      <c r="FG64" s="4"/>
      <c r="FH64" s="4"/>
      <c r="FI64" s="4"/>
      <c r="FJ64" s="4"/>
      <c r="FK64" s="654"/>
      <c r="FL64" s="655"/>
      <c r="FM64" s="4"/>
      <c r="FN64" s="4"/>
      <c r="FO64" s="4"/>
      <c r="FP64" s="4"/>
      <c r="FQ64" s="4"/>
      <c r="FR64" s="4"/>
      <c r="FS64" s="4"/>
      <c r="FT64" s="4"/>
      <c r="FU64" s="4"/>
      <c r="FV64" s="4"/>
      <c r="FW64" s="654"/>
      <c r="FX64" s="655"/>
      <c r="FY64" s="4"/>
      <c r="FZ64" s="4"/>
      <c r="GA64" s="4"/>
      <c r="GB64" s="4"/>
      <c r="GC64" s="4"/>
      <c r="GD64" s="4"/>
      <c r="GE64" s="4"/>
      <c r="GF64" s="4"/>
      <c r="GG64" s="4"/>
      <c r="GH64" s="4"/>
      <c r="GI64" s="654"/>
      <c r="GJ64" s="655"/>
      <c r="GK64" s="4"/>
      <c r="GL64" s="4"/>
      <c r="GM64" s="4"/>
      <c r="GN64" s="4"/>
      <c r="GO64" s="4"/>
      <c r="GP64" s="4"/>
      <c r="GQ64" s="4"/>
      <c r="GR64" s="4"/>
      <c r="GS64" s="4"/>
      <c r="GT64" s="4"/>
      <c r="GU64" s="722"/>
      <c r="GV64" s="715"/>
    </row>
    <row r="65" spans="1:204" x14ac:dyDescent="0.25">
      <c r="A65" t="s">
        <v>731</v>
      </c>
      <c r="B65" s="2" t="s">
        <v>732</v>
      </c>
      <c r="C65" s="619">
        <v>44529</v>
      </c>
      <c r="D65" s="2" t="s">
        <v>575</v>
      </c>
      <c r="E65" t="s">
        <v>59</v>
      </c>
      <c r="F65" s="2" t="s">
        <v>43</v>
      </c>
      <c r="G65" t="s">
        <v>40</v>
      </c>
      <c r="H65" s="690" t="s">
        <v>85</v>
      </c>
      <c r="I65" s="691" t="s">
        <v>43</v>
      </c>
      <c r="J65" s="721">
        <v>3780401000108</v>
      </c>
      <c r="K65" s="691" t="s">
        <v>348</v>
      </c>
      <c r="L65" s="721">
        <v>13777004000122</v>
      </c>
      <c r="M65" s="718" t="s">
        <v>3</v>
      </c>
      <c r="N65" s="717" t="s">
        <v>44</v>
      </c>
      <c r="O65" s="719">
        <v>44835</v>
      </c>
      <c r="P65" s="720">
        <v>44865</v>
      </c>
      <c r="Q65" s="718">
        <v>250</v>
      </c>
      <c r="R65" s="717">
        <v>15</v>
      </c>
      <c r="S65" s="691" t="s">
        <v>54</v>
      </c>
      <c r="T65" t="s">
        <v>358</v>
      </c>
      <c r="U65" s="673" t="s">
        <v>358</v>
      </c>
      <c r="V65" s="690" t="s">
        <v>358</v>
      </c>
      <c r="W65" s="657" t="s">
        <v>329</v>
      </c>
      <c r="X65" s="723"/>
      <c r="Y65" s="4"/>
      <c r="Z65" s="4"/>
      <c r="AA65" s="4"/>
      <c r="AB65" s="4"/>
      <c r="AC65" s="4"/>
      <c r="AD65" s="4"/>
      <c r="AE65" s="4"/>
      <c r="AF65" s="4"/>
      <c r="AG65" s="4">
        <v>15</v>
      </c>
      <c r="AH65" s="4"/>
      <c r="AI65" s="654"/>
      <c r="AJ65" s="655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654"/>
      <c r="AV65" s="655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654"/>
      <c r="BH65" s="655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654"/>
      <c r="BT65" s="655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693"/>
      <c r="CF65" s="723"/>
      <c r="CG65" s="4"/>
      <c r="CH65" s="4"/>
      <c r="CI65" s="4"/>
      <c r="CJ65" s="4"/>
      <c r="CK65" s="4"/>
      <c r="CL65" s="4"/>
      <c r="CM65" s="4"/>
      <c r="CN65" s="4"/>
      <c r="CO65" s="4">
        <v>250</v>
      </c>
      <c r="CP65" s="4"/>
      <c r="CQ65" s="654"/>
      <c r="CR65" s="655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654"/>
      <c r="DD65" s="655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654"/>
      <c r="DP65" s="655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654"/>
      <c r="EB65" s="655"/>
      <c r="EC65" s="4"/>
      <c r="ED65" s="4"/>
      <c r="EE65" s="4"/>
      <c r="EF65" s="4"/>
      <c r="EG65" s="4"/>
      <c r="EH65" s="4"/>
      <c r="EI65" s="4"/>
      <c r="EJ65" s="4"/>
      <c r="EK65" s="4"/>
      <c r="EL65" s="4"/>
      <c r="EM65" s="693"/>
      <c r="EN65" s="723"/>
      <c r="EO65" s="4"/>
      <c r="EP65" s="4"/>
      <c r="EQ65" s="4"/>
      <c r="ER65" s="4"/>
      <c r="ES65" s="4"/>
      <c r="ET65" s="4"/>
      <c r="EU65" s="4"/>
      <c r="EV65" s="4"/>
      <c r="EW65" s="4">
        <v>250</v>
      </c>
      <c r="EX65" s="4"/>
      <c r="EY65" s="654"/>
      <c r="EZ65" s="655"/>
      <c r="FA65" s="4"/>
      <c r="FB65" s="4"/>
      <c r="FC65" s="4"/>
      <c r="FD65" s="4"/>
      <c r="FE65" s="4"/>
      <c r="FF65" s="4"/>
      <c r="FG65" s="4"/>
      <c r="FH65" s="4"/>
      <c r="FI65" s="4"/>
      <c r="FJ65" s="4"/>
      <c r="FK65" s="654"/>
      <c r="FL65" s="655"/>
      <c r="FM65" s="4"/>
      <c r="FN65" s="4"/>
      <c r="FO65" s="4"/>
      <c r="FP65" s="4"/>
      <c r="FQ65" s="4"/>
      <c r="FR65" s="4"/>
      <c r="FS65" s="4"/>
      <c r="FT65" s="4"/>
      <c r="FU65" s="4"/>
      <c r="FV65" s="4"/>
      <c r="FW65" s="654"/>
      <c r="FX65" s="655"/>
      <c r="FY65" s="4"/>
      <c r="FZ65" s="4"/>
      <c r="GA65" s="4"/>
      <c r="GB65" s="4"/>
      <c r="GC65" s="4"/>
      <c r="GD65" s="4"/>
      <c r="GE65" s="4"/>
      <c r="GF65" s="4"/>
      <c r="GG65" s="4"/>
      <c r="GH65" s="4"/>
      <c r="GI65" s="654"/>
      <c r="GJ65" s="655"/>
      <c r="GK65" s="4"/>
      <c r="GL65" s="4"/>
      <c r="GM65" s="4"/>
      <c r="GN65" s="4"/>
      <c r="GO65" s="4"/>
      <c r="GP65" s="4"/>
      <c r="GQ65" s="4"/>
      <c r="GR65" s="4"/>
      <c r="GS65" s="4"/>
      <c r="GT65" s="4"/>
      <c r="GU65" s="722"/>
      <c r="GV65" s="715"/>
    </row>
    <row r="66" spans="1:204" x14ac:dyDescent="0.25">
      <c r="A66" t="s">
        <v>733</v>
      </c>
      <c r="B66" s="2" t="s">
        <v>734</v>
      </c>
      <c r="C66" s="619">
        <v>44529</v>
      </c>
      <c r="D66" s="2" t="s">
        <v>576</v>
      </c>
      <c r="E66" t="s">
        <v>58</v>
      </c>
      <c r="F66" s="2" t="s">
        <v>43</v>
      </c>
      <c r="G66" t="s">
        <v>40</v>
      </c>
      <c r="H66" s="690" t="s">
        <v>84</v>
      </c>
      <c r="I66" s="691" t="s">
        <v>478</v>
      </c>
      <c r="J66" s="721">
        <v>18483400000160</v>
      </c>
      <c r="K66" s="691" t="s">
        <v>43</v>
      </c>
      <c r="L66" s="721">
        <v>3780401000108</v>
      </c>
      <c r="M66" s="718" t="s">
        <v>3</v>
      </c>
      <c r="N66" s="717" t="s">
        <v>44</v>
      </c>
      <c r="O66" s="719">
        <v>44896</v>
      </c>
      <c r="P66" s="720">
        <v>44926</v>
      </c>
      <c r="Q66" s="718">
        <v>218</v>
      </c>
      <c r="R66" s="717">
        <v>10</v>
      </c>
      <c r="S66" s="691" t="s">
        <v>54</v>
      </c>
      <c r="T66" t="s">
        <v>358</v>
      </c>
      <c r="U66" s="673" t="s">
        <v>358</v>
      </c>
      <c r="V66" s="690" t="s">
        <v>358</v>
      </c>
      <c r="W66" s="657" t="s">
        <v>329</v>
      </c>
      <c r="X66" s="723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654">
        <v>10</v>
      </c>
      <c r="AJ66" s="655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654"/>
      <c r="AV66" s="655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654"/>
      <c r="BH66" s="655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654"/>
      <c r="BT66" s="655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693"/>
      <c r="CF66" s="723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654">
        <v>218</v>
      </c>
      <c r="CR66" s="655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654"/>
      <c r="DD66" s="655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654"/>
      <c r="DP66" s="655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654"/>
      <c r="EB66" s="655"/>
      <c r="EC66" s="4"/>
      <c r="ED66" s="4"/>
      <c r="EE66" s="4"/>
      <c r="EF66" s="4"/>
      <c r="EG66" s="4"/>
      <c r="EH66" s="4"/>
      <c r="EI66" s="4"/>
      <c r="EJ66" s="4"/>
      <c r="EK66" s="4"/>
      <c r="EL66" s="4"/>
      <c r="EM66" s="693"/>
      <c r="EN66" s="723"/>
      <c r="EO66" s="4"/>
      <c r="EP66" s="4"/>
      <c r="EQ66" s="4"/>
      <c r="ER66" s="4"/>
      <c r="ES66" s="4"/>
      <c r="ET66" s="4"/>
      <c r="EU66" s="4"/>
      <c r="EV66" s="4"/>
      <c r="EW66" s="4"/>
      <c r="EX66" s="4"/>
      <c r="EY66" s="654">
        <v>218</v>
      </c>
      <c r="EZ66" s="655"/>
      <c r="FA66" s="4"/>
      <c r="FB66" s="4"/>
      <c r="FC66" s="4"/>
      <c r="FD66" s="4"/>
      <c r="FE66" s="4"/>
      <c r="FF66" s="4"/>
      <c r="FG66" s="4"/>
      <c r="FH66" s="4"/>
      <c r="FI66" s="4"/>
      <c r="FJ66" s="4"/>
      <c r="FK66" s="654"/>
      <c r="FL66" s="655"/>
      <c r="FM66" s="4"/>
      <c r="FN66" s="4"/>
      <c r="FO66" s="4"/>
      <c r="FP66" s="4"/>
      <c r="FQ66" s="4"/>
      <c r="FR66" s="4"/>
      <c r="FS66" s="4"/>
      <c r="FT66" s="4"/>
      <c r="FU66" s="4"/>
      <c r="FV66" s="4"/>
      <c r="FW66" s="654"/>
      <c r="FX66" s="655"/>
      <c r="FY66" s="4"/>
      <c r="FZ66" s="4"/>
      <c r="GA66" s="4"/>
      <c r="GB66" s="4"/>
      <c r="GC66" s="4"/>
      <c r="GD66" s="4"/>
      <c r="GE66" s="4"/>
      <c r="GF66" s="4"/>
      <c r="GG66" s="4"/>
      <c r="GH66" s="4"/>
      <c r="GI66" s="654"/>
      <c r="GJ66" s="655"/>
      <c r="GK66" s="4"/>
      <c r="GL66" s="4"/>
      <c r="GM66" s="4"/>
      <c r="GN66" s="4"/>
      <c r="GO66" s="4"/>
      <c r="GP66" s="4"/>
      <c r="GQ66" s="4"/>
      <c r="GR66" s="4"/>
      <c r="GS66" s="4"/>
      <c r="GT66" s="4"/>
      <c r="GU66" s="722"/>
      <c r="GV66" s="715"/>
    </row>
    <row r="67" spans="1:204" x14ac:dyDescent="0.25">
      <c r="A67" t="s">
        <v>735</v>
      </c>
      <c r="B67" s="2" t="s">
        <v>736</v>
      </c>
      <c r="C67" s="619">
        <v>44529</v>
      </c>
      <c r="D67" s="2" t="s">
        <v>577</v>
      </c>
      <c r="E67" t="s">
        <v>59</v>
      </c>
      <c r="F67" s="2" t="s">
        <v>43</v>
      </c>
      <c r="G67" t="s">
        <v>40</v>
      </c>
      <c r="H67" s="690" t="s">
        <v>85</v>
      </c>
      <c r="I67" s="691" t="s">
        <v>43</v>
      </c>
      <c r="J67" s="721">
        <v>3780401000108</v>
      </c>
      <c r="K67" s="691" t="s">
        <v>478</v>
      </c>
      <c r="L67" s="721">
        <v>18483400000160</v>
      </c>
      <c r="M67" s="718" t="s">
        <v>3</v>
      </c>
      <c r="N67" s="717" t="s">
        <v>44</v>
      </c>
      <c r="O67" s="719">
        <v>44835</v>
      </c>
      <c r="P67" s="720">
        <v>44895</v>
      </c>
      <c r="Q67" s="718">
        <v>240</v>
      </c>
      <c r="R67" s="717">
        <v>5</v>
      </c>
      <c r="S67" s="691" t="s">
        <v>54</v>
      </c>
      <c r="T67" t="s">
        <v>358</v>
      </c>
      <c r="U67" s="673" t="s">
        <v>358</v>
      </c>
      <c r="V67" s="690" t="s">
        <v>358</v>
      </c>
      <c r="W67" s="657" t="s">
        <v>329</v>
      </c>
      <c r="X67" s="723"/>
      <c r="Y67" s="4"/>
      <c r="Z67" s="4"/>
      <c r="AA67" s="4"/>
      <c r="AB67" s="4"/>
      <c r="AC67" s="4"/>
      <c r="AD67" s="4"/>
      <c r="AE67" s="4"/>
      <c r="AF67" s="4"/>
      <c r="AG67" s="4">
        <v>5</v>
      </c>
      <c r="AH67" s="4">
        <v>5</v>
      </c>
      <c r="AI67" s="654"/>
      <c r="AJ67" s="655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654"/>
      <c r="AV67" s="655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654"/>
      <c r="BH67" s="655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654"/>
      <c r="BT67" s="655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693"/>
      <c r="CF67" s="723"/>
      <c r="CG67" s="4"/>
      <c r="CH67" s="4"/>
      <c r="CI67" s="4"/>
      <c r="CJ67" s="4"/>
      <c r="CK67" s="4"/>
      <c r="CL67" s="4"/>
      <c r="CM67" s="4"/>
      <c r="CN67" s="4"/>
      <c r="CO67" s="4">
        <v>240</v>
      </c>
      <c r="CP67" s="4">
        <v>240</v>
      </c>
      <c r="CQ67" s="654"/>
      <c r="CR67" s="655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654"/>
      <c r="DD67" s="655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654"/>
      <c r="DP67" s="655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654"/>
      <c r="EB67" s="655"/>
      <c r="EC67" s="4"/>
      <c r="ED67" s="4"/>
      <c r="EE67" s="4"/>
      <c r="EF67" s="4"/>
      <c r="EG67" s="4"/>
      <c r="EH67" s="4"/>
      <c r="EI67" s="4"/>
      <c r="EJ67" s="4"/>
      <c r="EK67" s="4"/>
      <c r="EL67" s="4"/>
      <c r="EM67" s="693"/>
      <c r="EN67" s="723"/>
      <c r="EO67" s="4"/>
      <c r="EP67" s="4"/>
      <c r="EQ67" s="4"/>
      <c r="ER67" s="4"/>
      <c r="ES67" s="4"/>
      <c r="ET67" s="4"/>
      <c r="EU67" s="4"/>
      <c r="EV67" s="4"/>
      <c r="EW67" s="4">
        <v>240</v>
      </c>
      <c r="EX67" s="4">
        <v>240</v>
      </c>
      <c r="EY67" s="654"/>
      <c r="EZ67" s="655"/>
      <c r="FA67" s="4"/>
      <c r="FB67" s="4"/>
      <c r="FC67" s="4"/>
      <c r="FD67" s="4"/>
      <c r="FE67" s="4"/>
      <c r="FF67" s="4"/>
      <c r="FG67" s="4"/>
      <c r="FH67" s="4"/>
      <c r="FI67" s="4"/>
      <c r="FJ67" s="4"/>
      <c r="FK67" s="654"/>
      <c r="FL67" s="655"/>
      <c r="FM67" s="4"/>
      <c r="FN67" s="4"/>
      <c r="FO67" s="4"/>
      <c r="FP67" s="4"/>
      <c r="FQ67" s="4"/>
      <c r="FR67" s="4"/>
      <c r="FS67" s="4"/>
      <c r="FT67" s="4"/>
      <c r="FU67" s="4"/>
      <c r="FV67" s="4"/>
      <c r="FW67" s="654"/>
      <c r="FX67" s="655"/>
      <c r="FY67" s="4"/>
      <c r="FZ67" s="4"/>
      <c r="GA67" s="4"/>
      <c r="GB67" s="4"/>
      <c r="GC67" s="4"/>
      <c r="GD67" s="4"/>
      <c r="GE67" s="4"/>
      <c r="GF67" s="4"/>
      <c r="GG67" s="4"/>
      <c r="GH67" s="4"/>
      <c r="GI67" s="654"/>
      <c r="GJ67" s="655"/>
      <c r="GK67" s="4"/>
      <c r="GL67" s="4"/>
      <c r="GM67" s="4"/>
      <c r="GN67" s="4"/>
      <c r="GO67" s="4"/>
      <c r="GP67" s="4"/>
      <c r="GQ67" s="4"/>
      <c r="GR67" s="4"/>
      <c r="GS67" s="4"/>
      <c r="GT67" s="4"/>
      <c r="GU67" s="722"/>
      <c r="GV67" s="715"/>
    </row>
    <row r="68" spans="1:204" x14ac:dyDescent="0.25">
      <c r="A68" t="s">
        <v>737</v>
      </c>
      <c r="B68" s="2" t="s">
        <v>358</v>
      </c>
      <c r="C68" s="619">
        <v>44530</v>
      </c>
      <c r="D68" s="2" t="s">
        <v>578</v>
      </c>
      <c r="E68" t="s">
        <v>58</v>
      </c>
      <c r="F68" s="2" t="s">
        <v>43</v>
      </c>
      <c r="G68" t="s">
        <v>40</v>
      </c>
      <c r="H68" s="690" t="s">
        <v>84</v>
      </c>
      <c r="I68" s="691" t="s">
        <v>476</v>
      </c>
      <c r="J68" s="721">
        <v>17077752000153</v>
      </c>
      <c r="K68" s="691" t="s">
        <v>43</v>
      </c>
      <c r="L68" s="721">
        <v>3780401000108</v>
      </c>
      <c r="M68" s="718" t="s">
        <v>3</v>
      </c>
      <c r="N68" s="717" t="s">
        <v>44</v>
      </c>
      <c r="O68" s="719">
        <v>44562</v>
      </c>
      <c r="P68" s="720">
        <v>44592</v>
      </c>
      <c r="Q68" s="718">
        <v>178.5</v>
      </c>
      <c r="R68" s="717">
        <v>1</v>
      </c>
      <c r="S68" s="691" t="s">
        <v>54</v>
      </c>
      <c r="T68" t="s">
        <v>358</v>
      </c>
      <c r="U68" s="673" t="s">
        <v>358</v>
      </c>
      <c r="V68" s="690" t="s">
        <v>358</v>
      </c>
      <c r="W68" s="657" t="s">
        <v>214</v>
      </c>
      <c r="X68" s="723">
        <v>1</v>
      </c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654"/>
      <c r="AJ68" s="655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654"/>
      <c r="AV68" s="655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654"/>
      <c r="BH68" s="655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654"/>
      <c r="BT68" s="655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693"/>
      <c r="CF68" s="723">
        <v>178.5</v>
      </c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654"/>
      <c r="CR68" s="655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654"/>
      <c r="DD68" s="655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654"/>
      <c r="DP68" s="655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654"/>
      <c r="EB68" s="655"/>
      <c r="EC68" s="4"/>
      <c r="ED68" s="4"/>
      <c r="EE68" s="4"/>
      <c r="EF68" s="4"/>
      <c r="EG68" s="4"/>
      <c r="EH68" s="4"/>
      <c r="EI68" s="4"/>
      <c r="EJ68" s="4"/>
      <c r="EK68" s="4"/>
      <c r="EL68" s="4"/>
      <c r="EM68" s="693"/>
      <c r="EN68" s="723">
        <v>178.5</v>
      </c>
      <c r="EO68" s="4"/>
      <c r="EP68" s="4"/>
      <c r="EQ68" s="4"/>
      <c r="ER68" s="4"/>
      <c r="ES68" s="4"/>
      <c r="ET68" s="4"/>
      <c r="EU68" s="4"/>
      <c r="EV68" s="4"/>
      <c r="EW68" s="4"/>
      <c r="EX68" s="4"/>
      <c r="EY68" s="654"/>
      <c r="EZ68" s="655"/>
      <c r="FA68" s="4"/>
      <c r="FB68" s="4"/>
      <c r="FC68" s="4"/>
      <c r="FD68" s="4"/>
      <c r="FE68" s="4"/>
      <c r="FF68" s="4"/>
      <c r="FG68" s="4"/>
      <c r="FH68" s="4"/>
      <c r="FI68" s="4"/>
      <c r="FJ68" s="4"/>
      <c r="FK68" s="654"/>
      <c r="FL68" s="655"/>
      <c r="FM68" s="4"/>
      <c r="FN68" s="4"/>
      <c r="FO68" s="4"/>
      <c r="FP68" s="4"/>
      <c r="FQ68" s="4"/>
      <c r="FR68" s="4"/>
      <c r="FS68" s="4"/>
      <c r="FT68" s="4"/>
      <c r="FU68" s="4"/>
      <c r="FV68" s="4"/>
      <c r="FW68" s="654"/>
      <c r="FX68" s="655"/>
      <c r="FY68" s="4"/>
      <c r="FZ68" s="4"/>
      <c r="GA68" s="4"/>
      <c r="GB68" s="4"/>
      <c r="GC68" s="4"/>
      <c r="GD68" s="4"/>
      <c r="GE68" s="4"/>
      <c r="GF68" s="4"/>
      <c r="GG68" s="4"/>
      <c r="GH68" s="4"/>
      <c r="GI68" s="654"/>
      <c r="GJ68" s="655"/>
      <c r="GK68" s="4"/>
      <c r="GL68" s="4"/>
      <c r="GM68" s="4"/>
      <c r="GN68" s="4"/>
      <c r="GO68" s="4"/>
      <c r="GP68" s="4"/>
      <c r="GQ68" s="4"/>
      <c r="GR68" s="4"/>
      <c r="GS68" s="4"/>
      <c r="GT68" s="4"/>
      <c r="GU68" s="722"/>
      <c r="GV68" s="715"/>
    </row>
    <row r="69" spans="1:204" x14ac:dyDescent="0.25">
      <c r="A69" t="s">
        <v>738</v>
      </c>
      <c r="B69" s="2" t="s">
        <v>739</v>
      </c>
      <c r="C69" s="619">
        <v>44530</v>
      </c>
      <c r="D69" s="2" t="s">
        <v>579</v>
      </c>
      <c r="E69" t="s">
        <v>58</v>
      </c>
      <c r="F69" s="2" t="s">
        <v>43</v>
      </c>
      <c r="G69" t="s">
        <v>40</v>
      </c>
      <c r="H69" s="690" t="s">
        <v>84</v>
      </c>
      <c r="I69" s="691" t="s">
        <v>354</v>
      </c>
      <c r="J69" s="721">
        <v>8573833000153</v>
      </c>
      <c r="K69" s="691" t="s">
        <v>43</v>
      </c>
      <c r="L69" s="721">
        <v>3780401000108</v>
      </c>
      <c r="M69" s="718" t="s">
        <v>3</v>
      </c>
      <c r="N69" s="717" t="s">
        <v>44</v>
      </c>
      <c r="O69" s="719">
        <v>44562</v>
      </c>
      <c r="P69" s="720">
        <v>44651</v>
      </c>
      <c r="Q69" s="718">
        <v>195</v>
      </c>
      <c r="R69" s="717">
        <v>1</v>
      </c>
      <c r="S69" s="691" t="s">
        <v>54</v>
      </c>
      <c r="T69" t="s">
        <v>358</v>
      </c>
      <c r="U69" s="673" t="s">
        <v>358</v>
      </c>
      <c r="V69" s="690" t="s">
        <v>358</v>
      </c>
      <c r="W69" s="657" t="s">
        <v>329</v>
      </c>
      <c r="X69" s="723">
        <v>1</v>
      </c>
      <c r="Y69" s="4">
        <v>1</v>
      </c>
      <c r="Z69" s="4">
        <v>1</v>
      </c>
      <c r="AA69" s="4"/>
      <c r="AB69" s="4"/>
      <c r="AC69" s="4"/>
      <c r="AD69" s="4"/>
      <c r="AE69" s="4"/>
      <c r="AF69" s="4"/>
      <c r="AG69" s="4"/>
      <c r="AH69" s="4"/>
      <c r="AI69" s="654"/>
      <c r="AJ69" s="655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654"/>
      <c r="AV69" s="655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654"/>
      <c r="BH69" s="655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654"/>
      <c r="BT69" s="655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693"/>
      <c r="CF69" s="723">
        <v>195</v>
      </c>
      <c r="CG69" s="4">
        <v>195</v>
      </c>
      <c r="CH69" s="4">
        <v>195</v>
      </c>
      <c r="CI69" s="4"/>
      <c r="CJ69" s="4"/>
      <c r="CK69" s="4"/>
      <c r="CL69" s="4"/>
      <c r="CM69" s="4"/>
      <c r="CN69" s="4"/>
      <c r="CO69" s="4"/>
      <c r="CP69" s="4"/>
      <c r="CQ69" s="654"/>
      <c r="CR69" s="655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654"/>
      <c r="DD69" s="655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654"/>
      <c r="DP69" s="655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654"/>
      <c r="EB69" s="655"/>
      <c r="EC69" s="4"/>
      <c r="ED69" s="4"/>
      <c r="EE69" s="4"/>
      <c r="EF69" s="4"/>
      <c r="EG69" s="4"/>
      <c r="EH69" s="4"/>
      <c r="EI69" s="4"/>
      <c r="EJ69" s="4"/>
      <c r="EK69" s="4"/>
      <c r="EL69" s="4"/>
      <c r="EM69" s="693"/>
      <c r="EN69" s="723">
        <v>195</v>
      </c>
      <c r="EO69" s="4">
        <v>195</v>
      </c>
      <c r="EP69" s="4">
        <v>195</v>
      </c>
      <c r="EQ69" s="4"/>
      <c r="ER69" s="4"/>
      <c r="ES69" s="4"/>
      <c r="ET69" s="4"/>
      <c r="EU69" s="4"/>
      <c r="EV69" s="4"/>
      <c r="EW69" s="4"/>
      <c r="EX69" s="4"/>
      <c r="EY69" s="654"/>
      <c r="EZ69" s="655"/>
      <c r="FA69" s="4"/>
      <c r="FB69" s="4"/>
      <c r="FC69" s="4"/>
      <c r="FD69" s="4"/>
      <c r="FE69" s="4"/>
      <c r="FF69" s="4"/>
      <c r="FG69" s="4"/>
      <c r="FH69" s="4"/>
      <c r="FI69" s="4"/>
      <c r="FJ69" s="4"/>
      <c r="FK69" s="654"/>
      <c r="FL69" s="655"/>
      <c r="FM69" s="4"/>
      <c r="FN69" s="4"/>
      <c r="FO69" s="4"/>
      <c r="FP69" s="4"/>
      <c r="FQ69" s="4"/>
      <c r="FR69" s="4"/>
      <c r="FS69" s="4"/>
      <c r="FT69" s="4"/>
      <c r="FU69" s="4"/>
      <c r="FV69" s="4"/>
      <c r="FW69" s="654"/>
      <c r="FX69" s="655"/>
      <c r="FY69" s="4"/>
      <c r="FZ69" s="4"/>
      <c r="GA69" s="4"/>
      <c r="GB69" s="4"/>
      <c r="GC69" s="4"/>
      <c r="GD69" s="4"/>
      <c r="GE69" s="4"/>
      <c r="GF69" s="4"/>
      <c r="GG69" s="4"/>
      <c r="GH69" s="4"/>
      <c r="GI69" s="654"/>
      <c r="GJ69" s="655"/>
      <c r="GK69" s="4"/>
      <c r="GL69" s="4"/>
      <c r="GM69" s="4"/>
      <c r="GN69" s="4"/>
      <c r="GO69" s="4"/>
      <c r="GP69" s="4"/>
      <c r="GQ69" s="4"/>
      <c r="GR69" s="4"/>
      <c r="GS69" s="4"/>
      <c r="GT69" s="4"/>
      <c r="GU69" s="722"/>
      <c r="GV69" s="715"/>
    </row>
    <row r="70" spans="1:204" x14ac:dyDescent="0.25">
      <c r="A70" t="s">
        <v>740</v>
      </c>
      <c r="B70" s="2" t="s">
        <v>741</v>
      </c>
      <c r="C70" s="619">
        <v>44530</v>
      </c>
      <c r="D70" s="2" t="s">
        <v>580</v>
      </c>
      <c r="E70" t="s">
        <v>58</v>
      </c>
      <c r="F70" s="2" t="s">
        <v>43</v>
      </c>
      <c r="G70" t="s">
        <v>40</v>
      </c>
      <c r="H70" s="690" t="s">
        <v>84</v>
      </c>
      <c r="I70" s="691" t="s">
        <v>502</v>
      </c>
      <c r="J70" s="721">
        <v>4270778000171</v>
      </c>
      <c r="K70" s="691" t="s">
        <v>43</v>
      </c>
      <c r="L70" s="721">
        <v>3780401000108</v>
      </c>
      <c r="M70" s="718" t="s">
        <v>3</v>
      </c>
      <c r="N70" s="717" t="s">
        <v>44</v>
      </c>
      <c r="O70" s="719">
        <v>44562</v>
      </c>
      <c r="P70" s="720">
        <v>44651</v>
      </c>
      <c r="Q70" s="718">
        <v>194.5</v>
      </c>
      <c r="R70" s="717">
        <v>3</v>
      </c>
      <c r="S70" s="691" t="s">
        <v>54</v>
      </c>
      <c r="T70" t="s">
        <v>358</v>
      </c>
      <c r="U70" s="673" t="s">
        <v>358</v>
      </c>
      <c r="V70" s="690" t="s">
        <v>358</v>
      </c>
      <c r="W70" s="657" t="s">
        <v>329</v>
      </c>
      <c r="X70" s="723">
        <v>3</v>
      </c>
      <c r="Y70" s="4">
        <v>3</v>
      </c>
      <c r="Z70" s="4">
        <v>3</v>
      </c>
      <c r="AA70" s="4"/>
      <c r="AB70" s="4"/>
      <c r="AC70" s="4"/>
      <c r="AD70" s="4"/>
      <c r="AE70" s="4"/>
      <c r="AF70" s="4"/>
      <c r="AG70" s="4"/>
      <c r="AH70" s="4"/>
      <c r="AI70" s="654"/>
      <c r="AJ70" s="655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654"/>
      <c r="AV70" s="655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654"/>
      <c r="BH70" s="655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654"/>
      <c r="BT70" s="655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693"/>
      <c r="CF70" s="723">
        <v>194.5</v>
      </c>
      <c r="CG70" s="4">
        <v>194.5</v>
      </c>
      <c r="CH70" s="4">
        <v>194.5</v>
      </c>
      <c r="CI70" s="4"/>
      <c r="CJ70" s="4"/>
      <c r="CK70" s="4"/>
      <c r="CL70" s="4"/>
      <c r="CM70" s="4"/>
      <c r="CN70" s="4"/>
      <c r="CO70" s="4"/>
      <c r="CP70" s="4"/>
      <c r="CQ70" s="654"/>
      <c r="CR70" s="655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654"/>
      <c r="DD70" s="655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654"/>
      <c r="DP70" s="655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654"/>
      <c r="EB70" s="655"/>
      <c r="EC70" s="4"/>
      <c r="ED70" s="4"/>
      <c r="EE70" s="4"/>
      <c r="EF70" s="4"/>
      <c r="EG70" s="4"/>
      <c r="EH70" s="4"/>
      <c r="EI70" s="4"/>
      <c r="EJ70" s="4"/>
      <c r="EK70" s="4"/>
      <c r="EL70" s="4"/>
      <c r="EM70" s="693"/>
      <c r="EN70" s="723">
        <v>194.5</v>
      </c>
      <c r="EO70" s="4">
        <v>194.5</v>
      </c>
      <c r="EP70" s="4">
        <v>194.5</v>
      </c>
      <c r="EQ70" s="4"/>
      <c r="ER70" s="4"/>
      <c r="ES70" s="4"/>
      <c r="ET70" s="4"/>
      <c r="EU70" s="4"/>
      <c r="EV70" s="4"/>
      <c r="EW70" s="4"/>
      <c r="EX70" s="4"/>
      <c r="EY70" s="654"/>
      <c r="EZ70" s="655"/>
      <c r="FA70" s="4"/>
      <c r="FB70" s="4"/>
      <c r="FC70" s="4"/>
      <c r="FD70" s="4"/>
      <c r="FE70" s="4"/>
      <c r="FF70" s="4"/>
      <c r="FG70" s="4"/>
      <c r="FH70" s="4"/>
      <c r="FI70" s="4"/>
      <c r="FJ70" s="4"/>
      <c r="FK70" s="654"/>
      <c r="FL70" s="655"/>
      <c r="FM70" s="4"/>
      <c r="FN70" s="4"/>
      <c r="FO70" s="4"/>
      <c r="FP70" s="4"/>
      <c r="FQ70" s="4"/>
      <c r="FR70" s="4"/>
      <c r="FS70" s="4"/>
      <c r="FT70" s="4"/>
      <c r="FU70" s="4"/>
      <c r="FV70" s="4"/>
      <c r="FW70" s="654"/>
      <c r="FX70" s="655"/>
      <c r="FY70" s="4"/>
      <c r="FZ70" s="4"/>
      <c r="GA70" s="4"/>
      <c r="GB70" s="4"/>
      <c r="GC70" s="4"/>
      <c r="GD70" s="4"/>
      <c r="GE70" s="4"/>
      <c r="GF70" s="4"/>
      <c r="GG70" s="4"/>
      <c r="GH70" s="4"/>
      <c r="GI70" s="654"/>
      <c r="GJ70" s="655"/>
      <c r="GK70" s="4"/>
      <c r="GL70" s="4"/>
      <c r="GM70" s="4"/>
      <c r="GN70" s="4"/>
      <c r="GO70" s="4"/>
      <c r="GP70" s="4"/>
      <c r="GQ70" s="4"/>
      <c r="GR70" s="4"/>
      <c r="GS70" s="4"/>
      <c r="GT70" s="4"/>
      <c r="GU70" s="722"/>
      <c r="GV70" s="715"/>
    </row>
    <row r="71" spans="1:204" x14ac:dyDescent="0.25">
      <c r="A71" t="s">
        <v>742</v>
      </c>
      <c r="B71" s="2" t="s">
        <v>743</v>
      </c>
      <c r="C71" s="619">
        <v>44530</v>
      </c>
      <c r="D71" s="2" t="s">
        <v>581</v>
      </c>
      <c r="E71" t="s">
        <v>58</v>
      </c>
      <c r="F71" s="2" t="s">
        <v>43</v>
      </c>
      <c r="G71" t="s">
        <v>40</v>
      </c>
      <c r="H71" s="690" t="s">
        <v>84</v>
      </c>
      <c r="I71" s="691" t="s">
        <v>406</v>
      </c>
      <c r="J71" s="721">
        <v>12458962000178</v>
      </c>
      <c r="K71" s="691" t="s">
        <v>43</v>
      </c>
      <c r="L71" s="721">
        <v>3780401000108</v>
      </c>
      <c r="M71" s="718" t="s">
        <v>3</v>
      </c>
      <c r="N71" s="717" t="s">
        <v>44</v>
      </c>
      <c r="O71" s="719">
        <v>44562</v>
      </c>
      <c r="P71" s="720">
        <v>44651</v>
      </c>
      <c r="Q71" s="718">
        <v>193.5</v>
      </c>
      <c r="R71" s="717">
        <v>1</v>
      </c>
      <c r="S71" s="691" t="s">
        <v>54</v>
      </c>
      <c r="T71" t="s">
        <v>358</v>
      </c>
      <c r="U71" s="673" t="s">
        <v>358</v>
      </c>
      <c r="V71" s="690" t="s">
        <v>358</v>
      </c>
      <c r="W71" s="657" t="s">
        <v>329</v>
      </c>
      <c r="X71" s="723">
        <v>1</v>
      </c>
      <c r="Y71" s="4">
        <v>1</v>
      </c>
      <c r="Z71" s="4">
        <v>1</v>
      </c>
      <c r="AA71" s="4"/>
      <c r="AB71" s="4"/>
      <c r="AC71" s="4"/>
      <c r="AD71" s="4"/>
      <c r="AE71" s="4"/>
      <c r="AF71" s="4"/>
      <c r="AG71" s="4"/>
      <c r="AH71" s="4"/>
      <c r="AI71" s="654"/>
      <c r="AJ71" s="655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654"/>
      <c r="AV71" s="655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654"/>
      <c r="BH71" s="655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654"/>
      <c r="BT71" s="655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693"/>
      <c r="CF71" s="723">
        <v>193.5</v>
      </c>
      <c r="CG71" s="4">
        <v>193.5</v>
      </c>
      <c r="CH71" s="4">
        <v>193.5</v>
      </c>
      <c r="CI71" s="4"/>
      <c r="CJ71" s="4"/>
      <c r="CK71" s="4"/>
      <c r="CL71" s="4"/>
      <c r="CM71" s="4"/>
      <c r="CN71" s="4"/>
      <c r="CO71" s="4"/>
      <c r="CP71" s="4"/>
      <c r="CQ71" s="654"/>
      <c r="CR71" s="655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654"/>
      <c r="DD71" s="655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654"/>
      <c r="DP71" s="655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654"/>
      <c r="EB71" s="655"/>
      <c r="EC71" s="4"/>
      <c r="ED71" s="4"/>
      <c r="EE71" s="4"/>
      <c r="EF71" s="4"/>
      <c r="EG71" s="4"/>
      <c r="EH71" s="4"/>
      <c r="EI71" s="4"/>
      <c r="EJ71" s="4"/>
      <c r="EK71" s="4"/>
      <c r="EL71" s="4"/>
      <c r="EM71" s="693"/>
      <c r="EN71" s="723">
        <v>193.5</v>
      </c>
      <c r="EO71" s="4">
        <v>193.5</v>
      </c>
      <c r="EP71" s="4">
        <v>193.5</v>
      </c>
      <c r="EQ71" s="4"/>
      <c r="ER71" s="4"/>
      <c r="ES71" s="4"/>
      <c r="ET71" s="4"/>
      <c r="EU71" s="4"/>
      <c r="EV71" s="4"/>
      <c r="EW71" s="4"/>
      <c r="EX71" s="4"/>
      <c r="EY71" s="654"/>
      <c r="EZ71" s="655"/>
      <c r="FA71" s="4"/>
      <c r="FB71" s="4"/>
      <c r="FC71" s="4"/>
      <c r="FD71" s="4"/>
      <c r="FE71" s="4"/>
      <c r="FF71" s="4"/>
      <c r="FG71" s="4"/>
      <c r="FH71" s="4"/>
      <c r="FI71" s="4"/>
      <c r="FJ71" s="4"/>
      <c r="FK71" s="654"/>
      <c r="FL71" s="655"/>
      <c r="FM71" s="4"/>
      <c r="FN71" s="4"/>
      <c r="FO71" s="4"/>
      <c r="FP71" s="4"/>
      <c r="FQ71" s="4"/>
      <c r="FR71" s="4"/>
      <c r="FS71" s="4"/>
      <c r="FT71" s="4"/>
      <c r="FU71" s="4"/>
      <c r="FV71" s="4"/>
      <c r="FW71" s="654"/>
      <c r="FX71" s="655"/>
      <c r="FY71" s="4"/>
      <c r="FZ71" s="4"/>
      <c r="GA71" s="4"/>
      <c r="GB71" s="4"/>
      <c r="GC71" s="4"/>
      <c r="GD71" s="4"/>
      <c r="GE71" s="4"/>
      <c r="GF71" s="4"/>
      <c r="GG71" s="4"/>
      <c r="GH71" s="4"/>
      <c r="GI71" s="654"/>
      <c r="GJ71" s="655"/>
      <c r="GK71" s="4"/>
      <c r="GL71" s="4"/>
      <c r="GM71" s="4"/>
      <c r="GN71" s="4"/>
      <c r="GO71" s="4"/>
      <c r="GP71" s="4"/>
      <c r="GQ71" s="4"/>
      <c r="GR71" s="4"/>
      <c r="GS71" s="4"/>
      <c r="GT71" s="4"/>
      <c r="GU71" s="722"/>
      <c r="GV71" s="715"/>
    </row>
    <row r="72" spans="1:204" x14ac:dyDescent="0.25">
      <c r="A72" t="s">
        <v>744</v>
      </c>
      <c r="B72" s="2" t="s">
        <v>745</v>
      </c>
      <c r="C72" s="619">
        <v>44530</v>
      </c>
      <c r="D72" s="2" t="s">
        <v>582</v>
      </c>
      <c r="E72" t="s">
        <v>59</v>
      </c>
      <c r="F72" s="2" t="s">
        <v>43</v>
      </c>
      <c r="G72" t="s">
        <v>40</v>
      </c>
      <c r="H72" s="690" t="s">
        <v>85</v>
      </c>
      <c r="I72" s="691" t="s">
        <v>43</v>
      </c>
      <c r="J72" s="721">
        <v>3780401000108</v>
      </c>
      <c r="K72" s="691" t="s">
        <v>585</v>
      </c>
      <c r="L72" s="721">
        <v>33933760000100</v>
      </c>
      <c r="M72" s="718" t="s">
        <v>3</v>
      </c>
      <c r="N72" s="717" t="s">
        <v>44</v>
      </c>
      <c r="O72" s="719">
        <v>44743</v>
      </c>
      <c r="P72" s="720">
        <v>44926</v>
      </c>
      <c r="Q72" s="718">
        <v>267</v>
      </c>
      <c r="R72" s="717">
        <v>3</v>
      </c>
      <c r="S72" s="691" t="s">
        <v>54</v>
      </c>
      <c r="T72" t="s">
        <v>358</v>
      </c>
      <c r="U72" s="673" t="s">
        <v>358</v>
      </c>
      <c r="V72" s="690" t="s">
        <v>358</v>
      </c>
      <c r="W72" s="657" t="s">
        <v>329</v>
      </c>
      <c r="X72" s="723"/>
      <c r="Y72" s="4"/>
      <c r="Z72" s="4"/>
      <c r="AA72" s="4"/>
      <c r="AB72" s="4"/>
      <c r="AC72" s="4"/>
      <c r="AD72" s="4">
        <v>3</v>
      </c>
      <c r="AE72" s="4">
        <v>3</v>
      </c>
      <c r="AF72" s="4">
        <v>3</v>
      </c>
      <c r="AG72" s="4">
        <v>3</v>
      </c>
      <c r="AH72" s="4">
        <v>3</v>
      </c>
      <c r="AI72" s="654">
        <v>3</v>
      </c>
      <c r="AJ72" s="655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654"/>
      <c r="AV72" s="655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654"/>
      <c r="BH72" s="655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654"/>
      <c r="BT72" s="655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693"/>
      <c r="CF72" s="723"/>
      <c r="CG72" s="4"/>
      <c r="CH72" s="4"/>
      <c r="CI72" s="4"/>
      <c r="CJ72" s="4"/>
      <c r="CK72" s="4"/>
      <c r="CL72" s="4">
        <v>267</v>
      </c>
      <c r="CM72" s="4">
        <v>267</v>
      </c>
      <c r="CN72" s="4">
        <v>267</v>
      </c>
      <c r="CO72" s="4">
        <v>267</v>
      </c>
      <c r="CP72" s="4">
        <v>267</v>
      </c>
      <c r="CQ72" s="654">
        <v>267</v>
      </c>
      <c r="CR72" s="655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654"/>
      <c r="DD72" s="655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654"/>
      <c r="DP72" s="655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654"/>
      <c r="EB72" s="655"/>
      <c r="EC72" s="4"/>
      <c r="ED72" s="4"/>
      <c r="EE72" s="4"/>
      <c r="EF72" s="4"/>
      <c r="EG72" s="4"/>
      <c r="EH72" s="4"/>
      <c r="EI72" s="4"/>
      <c r="EJ72" s="4"/>
      <c r="EK72" s="4"/>
      <c r="EL72" s="4"/>
      <c r="EM72" s="693"/>
      <c r="EN72" s="723"/>
      <c r="EO72" s="4"/>
      <c r="EP72" s="4"/>
      <c r="EQ72" s="4"/>
      <c r="ER72" s="4"/>
      <c r="ES72" s="4"/>
      <c r="ET72" s="4">
        <v>267</v>
      </c>
      <c r="EU72" s="4">
        <v>267</v>
      </c>
      <c r="EV72" s="4">
        <v>267</v>
      </c>
      <c r="EW72" s="4">
        <v>267</v>
      </c>
      <c r="EX72" s="4">
        <v>267</v>
      </c>
      <c r="EY72" s="654">
        <v>267</v>
      </c>
      <c r="EZ72" s="655"/>
      <c r="FA72" s="4"/>
      <c r="FB72" s="4"/>
      <c r="FC72" s="4"/>
      <c r="FD72" s="4"/>
      <c r="FE72" s="4"/>
      <c r="FF72" s="4"/>
      <c r="FG72" s="4"/>
      <c r="FH72" s="4"/>
      <c r="FI72" s="4"/>
      <c r="FJ72" s="4"/>
      <c r="FK72" s="654"/>
      <c r="FL72" s="655"/>
      <c r="FM72" s="4"/>
      <c r="FN72" s="4"/>
      <c r="FO72" s="4"/>
      <c r="FP72" s="4"/>
      <c r="FQ72" s="4"/>
      <c r="FR72" s="4"/>
      <c r="FS72" s="4"/>
      <c r="FT72" s="4"/>
      <c r="FU72" s="4"/>
      <c r="FV72" s="4"/>
      <c r="FW72" s="654"/>
      <c r="FX72" s="655"/>
      <c r="FY72" s="4"/>
      <c r="FZ72" s="4"/>
      <c r="GA72" s="4"/>
      <c r="GB72" s="4"/>
      <c r="GC72" s="4"/>
      <c r="GD72" s="4"/>
      <c r="GE72" s="4"/>
      <c r="GF72" s="4"/>
      <c r="GG72" s="4"/>
      <c r="GH72" s="4"/>
      <c r="GI72" s="654"/>
      <c r="GJ72" s="655"/>
      <c r="GK72" s="4"/>
      <c r="GL72" s="4"/>
      <c r="GM72" s="4"/>
      <c r="GN72" s="4"/>
      <c r="GO72" s="4"/>
      <c r="GP72" s="4"/>
      <c r="GQ72" s="4"/>
      <c r="GR72" s="4"/>
      <c r="GS72" s="4"/>
      <c r="GT72" s="4"/>
      <c r="GU72" s="722"/>
      <c r="GV72" s="715"/>
    </row>
    <row r="73" spans="1:204" x14ac:dyDescent="0.25">
      <c r="A73" t="s">
        <v>746</v>
      </c>
      <c r="B73" s="2" t="s">
        <v>747</v>
      </c>
      <c r="C73" s="619">
        <v>44530</v>
      </c>
      <c r="D73" s="2" t="s">
        <v>583</v>
      </c>
      <c r="E73" t="s">
        <v>59</v>
      </c>
      <c r="F73" s="2" t="s">
        <v>43</v>
      </c>
      <c r="G73" t="s">
        <v>40</v>
      </c>
      <c r="H73" s="690" t="s">
        <v>85</v>
      </c>
      <c r="I73" s="691" t="s">
        <v>43</v>
      </c>
      <c r="J73" s="721">
        <v>3780401000108</v>
      </c>
      <c r="K73" s="691" t="s">
        <v>477</v>
      </c>
      <c r="L73" s="721">
        <v>11322550000224</v>
      </c>
      <c r="M73" s="718" t="s">
        <v>3</v>
      </c>
      <c r="N73" s="717" t="s">
        <v>44</v>
      </c>
      <c r="O73" s="719">
        <v>44835</v>
      </c>
      <c r="P73" s="720">
        <v>44895</v>
      </c>
      <c r="Q73" s="718">
        <v>250</v>
      </c>
      <c r="R73" s="717">
        <v>2.5</v>
      </c>
      <c r="S73" s="691" t="s">
        <v>54</v>
      </c>
      <c r="T73" t="s">
        <v>358</v>
      </c>
      <c r="U73" s="673" t="s">
        <v>358</v>
      </c>
      <c r="V73" s="690" t="s">
        <v>358</v>
      </c>
      <c r="W73" s="657" t="s">
        <v>329</v>
      </c>
      <c r="X73" s="723"/>
      <c r="Y73" s="4"/>
      <c r="Z73" s="4"/>
      <c r="AA73" s="4"/>
      <c r="AB73" s="4"/>
      <c r="AC73" s="4"/>
      <c r="AD73" s="4"/>
      <c r="AE73" s="4"/>
      <c r="AF73" s="4"/>
      <c r="AG73" s="4">
        <v>2.5</v>
      </c>
      <c r="AH73" s="4">
        <v>2.5</v>
      </c>
      <c r="AI73" s="654"/>
      <c r="AJ73" s="655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654"/>
      <c r="AV73" s="655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654"/>
      <c r="BH73" s="655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654"/>
      <c r="BT73" s="655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693"/>
      <c r="CF73" s="723"/>
      <c r="CG73" s="4"/>
      <c r="CH73" s="4"/>
      <c r="CI73" s="4"/>
      <c r="CJ73" s="4"/>
      <c r="CK73" s="4"/>
      <c r="CL73" s="4"/>
      <c r="CM73" s="4"/>
      <c r="CN73" s="4"/>
      <c r="CO73" s="4">
        <v>250</v>
      </c>
      <c r="CP73" s="4">
        <v>250</v>
      </c>
      <c r="CQ73" s="654"/>
      <c r="CR73" s="655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654"/>
      <c r="DD73" s="655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654"/>
      <c r="DP73" s="655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654"/>
      <c r="EB73" s="655"/>
      <c r="EC73" s="4"/>
      <c r="ED73" s="4"/>
      <c r="EE73" s="4"/>
      <c r="EF73" s="4"/>
      <c r="EG73" s="4"/>
      <c r="EH73" s="4"/>
      <c r="EI73" s="4"/>
      <c r="EJ73" s="4"/>
      <c r="EK73" s="4"/>
      <c r="EL73" s="4"/>
      <c r="EM73" s="693"/>
      <c r="EN73" s="723"/>
      <c r="EO73" s="4"/>
      <c r="EP73" s="4"/>
      <c r="EQ73" s="4"/>
      <c r="ER73" s="4"/>
      <c r="ES73" s="4"/>
      <c r="ET73" s="4"/>
      <c r="EU73" s="4"/>
      <c r="EV73" s="4"/>
      <c r="EW73" s="4">
        <v>250</v>
      </c>
      <c r="EX73" s="4">
        <v>250</v>
      </c>
      <c r="EY73" s="654"/>
      <c r="EZ73" s="655"/>
      <c r="FA73" s="4"/>
      <c r="FB73" s="4"/>
      <c r="FC73" s="4"/>
      <c r="FD73" s="4"/>
      <c r="FE73" s="4"/>
      <c r="FF73" s="4"/>
      <c r="FG73" s="4"/>
      <c r="FH73" s="4"/>
      <c r="FI73" s="4"/>
      <c r="FJ73" s="4"/>
      <c r="FK73" s="654"/>
      <c r="FL73" s="655"/>
      <c r="FM73" s="4"/>
      <c r="FN73" s="4"/>
      <c r="FO73" s="4"/>
      <c r="FP73" s="4"/>
      <c r="FQ73" s="4"/>
      <c r="FR73" s="4"/>
      <c r="FS73" s="4"/>
      <c r="FT73" s="4"/>
      <c r="FU73" s="4"/>
      <c r="FV73" s="4"/>
      <c r="FW73" s="654"/>
      <c r="FX73" s="655"/>
      <c r="FY73" s="4"/>
      <c r="FZ73" s="4"/>
      <c r="GA73" s="4"/>
      <c r="GB73" s="4"/>
      <c r="GC73" s="4"/>
      <c r="GD73" s="4"/>
      <c r="GE73" s="4"/>
      <c r="GF73" s="4"/>
      <c r="GG73" s="4"/>
      <c r="GH73" s="4"/>
      <c r="GI73" s="654"/>
      <c r="GJ73" s="655"/>
      <c r="GK73" s="4"/>
      <c r="GL73" s="4"/>
      <c r="GM73" s="4"/>
      <c r="GN73" s="4"/>
      <c r="GO73" s="4"/>
      <c r="GP73" s="4"/>
      <c r="GQ73" s="4"/>
      <c r="GR73" s="4"/>
      <c r="GS73" s="4"/>
      <c r="GT73" s="4"/>
      <c r="GU73" s="722"/>
      <c r="GV73" s="715"/>
    </row>
    <row r="74" spans="1:204" x14ac:dyDescent="0.25">
      <c r="A74" t="s">
        <v>748</v>
      </c>
      <c r="B74" s="2" t="s">
        <v>749</v>
      </c>
      <c r="C74" s="619">
        <v>44530</v>
      </c>
      <c r="D74" s="2" t="s">
        <v>584</v>
      </c>
      <c r="E74" t="s">
        <v>58</v>
      </c>
      <c r="F74" s="2" t="s">
        <v>43</v>
      </c>
      <c r="G74" t="s">
        <v>40</v>
      </c>
      <c r="H74" s="690" t="s">
        <v>84</v>
      </c>
      <c r="I74" s="691" t="s">
        <v>477</v>
      </c>
      <c r="J74" s="721">
        <v>11322550000224</v>
      </c>
      <c r="K74" s="691" t="s">
        <v>43</v>
      </c>
      <c r="L74" s="721">
        <v>3780401000108</v>
      </c>
      <c r="M74" s="718" t="s">
        <v>3</v>
      </c>
      <c r="N74" s="717" t="s">
        <v>44</v>
      </c>
      <c r="O74" s="719">
        <v>44896</v>
      </c>
      <c r="P74" s="720">
        <v>44926</v>
      </c>
      <c r="Q74" s="718">
        <v>225</v>
      </c>
      <c r="R74" s="717">
        <v>5</v>
      </c>
      <c r="S74" s="691" t="s">
        <v>54</v>
      </c>
      <c r="T74" t="s">
        <v>358</v>
      </c>
      <c r="U74" s="673" t="s">
        <v>358</v>
      </c>
      <c r="V74" s="690" t="s">
        <v>358</v>
      </c>
      <c r="W74" s="657" t="s">
        <v>329</v>
      </c>
      <c r="X74" s="723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654">
        <v>5</v>
      </c>
      <c r="AJ74" s="655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654"/>
      <c r="AV74" s="655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654"/>
      <c r="BH74" s="655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654"/>
      <c r="BT74" s="655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693"/>
      <c r="CF74" s="723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654">
        <v>225</v>
      </c>
      <c r="CR74" s="655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654"/>
      <c r="DD74" s="655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654"/>
      <c r="DP74" s="655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654"/>
      <c r="EB74" s="655"/>
      <c r="EC74" s="4"/>
      <c r="ED74" s="4"/>
      <c r="EE74" s="4"/>
      <c r="EF74" s="4"/>
      <c r="EG74" s="4"/>
      <c r="EH74" s="4"/>
      <c r="EI74" s="4"/>
      <c r="EJ74" s="4"/>
      <c r="EK74" s="4"/>
      <c r="EL74" s="4"/>
      <c r="EM74" s="693"/>
      <c r="EN74" s="723"/>
      <c r="EO74" s="4"/>
      <c r="EP74" s="4"/>
      <c r="EQ74" s="4"/>
      <c r="ER74" s="4"/>
      <c r="ES74" s="4"/>
      <c r="ET74" s="4"/>
      <c r="EU74" s="4"/>
      <c r="EV74" s="4"/>
      <c r="EW74" s="4"/>
      <c r="EX74" s="4"/>
      <c r="EY74" s="654">
        <v>225</v>
      </c>
      <c r="EZ74" s="655"/>
      <c r="FA74" s="4"/>
      <c r="FB74" s="4"/>
      <c r="FC74" s="4"/>
      <c r="FD74" s="4"/>
      <c r="FE74" s="4"/>
      <c r="FF74" s="4"/>
      <c r="FG74" s="4"/>
      <c r="FH74" s="4"/>
      <c r="FI74" s="4"/>
      <c r="FJ74" s="4"/>
      <c r="FK74" s="654"/>
      <c r="FL74" s="655"/>
      <c r="FM74" s="4"/>
      <c r="FN74" s="4"/>
      <c r="FO74" s="4"/>
      <c r="FP74" s="4"/>
      <c r="FQ74" s="4"/>
      <c r="FR74" s="4"/>
      <c r="FS74" s="4"/>
      <c r="FT74" s="4"/>
      <c r="FU74" s="4"/>
      <c r="FV74" s="4"/>
      <c r="FW74" s="654"/>
      <c r="FX74" s="655"/>
      <c r="FY74" s="4"/>
      <c r="FZ74" s="4"/>
      <c r="GA74" s="4"/>
      <c r="GB74" s="4"/>
      <c r="GC74" s="4"/>
      <c r="GD74" s="4"/>
      <c r="GE74" s="4"/>
      <c r="GF74" s="4"/>
      <c r="GG74" s="4"/>
      <c r="GH74" s="4"/>
      <c r="GI74" s="654"/>
      <c r="GJ74" s="655"/>
      <c r="GK74" s="4"/>
      <c r="GL74" s="4"/>
      <c r="GM74" s="4"/>
      <c r="GN74" s="4"/>
      <c r="GO74" s="4"/>
      <c r="GP74" s="4"/>
      <c r="GQ74" s="4"/>
      <c r="GR74" s="4"/>
      <c r="GS74" s="4"/>
      <c r="GT74" s="4"/>
      <c r="GU74" s="722"/>
      <c r="GV74" s="715"/>
    </row>
    <row r="75" spans="1:204" x14ac:dyDescent="0.25">
      <c r="A75" t="s">
        <v>750</v>
      </c>
      <c r="B75" s="2" t="s">
        <v>751</v>
      </c>
      <c r="C75" s="619">
        <v>44531</v>
      </c>
      <c r="D75" s="2" t="s">
        <v>586</v>
      </c>
      <c r="E75" t="s">
        <v>58</v>
      </c>
      <c r="F75" s="2" t="s">
        <v>43</v>
      </c>
      <c r="G75" t="s">
        <v>40</v>
      </c>
      <c r="H75" s="690" t="s">
        <v>84</v>
      </c>
      <c r="I75" s="691" t="s">
        <v>507</v>
      </c>
      <c r="J75" s="721">
        <v>11315117000180</v>
      </c>
      <c r="K75" s="691" t="s">
        <v>43</v>
      </c>
      <c r="L75" s="721">
        <v>3780401000108</v>
      </c>
      <c r="M75" s="718" t="s">
        <v>3</v>
      </c>
      <c r="N75" s="717" t="s">
        <v>44</v>
      </c>
      <c r="O75" s="719">
        <v>44562</v>
      </c>
      <c r="P75" s="720">
        <v>44651</v>
      </c>
      <c r="Q75" s="718">
        <v>201</v>
      </c>
      <c r="R75" s="717">
        <v>3</v>
      </c>
      <c r="S75" s="691" t="s">
        <v>54</v>
      </c>
      <c r="T75" t="s">
        <v>358</v>
      </c>
      <c r="U75" s="673" t="s">
        <v>358</v>
      </c>
      <c r="V75" s="690" t="s">
        <v>358</v>
      </c>
      <c r="W75" s="657" t="s">
        <v>329</v>
      </c>
      <c r="X75" s="723">
        <v>3</v>
      </c>
      <c r="Y75" s="4">
        <v>3</v>
      </c>
      <c r="Z75" s="4">
        <v>3</v>
      </c>
      <c r="AA75" s="4"/>
      <c r="AB75" s="4"/>
      <c r="AC75" s="4"/>
      <c r="AD75" s="4"/>
      <c r="AE75" s="4"/>
      <c r="AF75" s="4"/>
      <c r="AG75" s="4"/>
      <c r="AH75" s="4"/>
      <c r="AI75" s="654"/>
      <c r="AJ75" s="655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654"/>
      <c r="AV75" s="655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654"/>
      <c r="BH75" s="655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654"/>
      <c r="BT75" s="655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693"/>
      <c r="CF75" s="723">
        <v>201</v>
      </c>
      <c r="CG75" s="4">
        <v>201</v>
      </c>
      <c r="CH75" s="4">
        <v>201</v>
      </c>
      <c r="CI75" s="4"/>
      <c r="CJ75" s="4"/>
      <c r="CK75" s="4"/>
      <c r="CL75" s="4"/>
      <c r="CM75" s="4"/>
      <c r="CN75" s="4"/>
      <c r="CO75" s="4"/>
      <c r="CP75" s="4"/>
      <c r="CQ75" s="654"/>
      <c r="CR75" s="655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654"/>
      <c r="DD75" s="655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654"/>
      <c r="DP75" s="655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654"/>
      <c r="EB75" s="655"/>
      <c r="EC75" s="4"/>
      <c r="ED75" s="4"/>
      <c r="EE75" s="4"/>
      <c r="EF75" s="4"/>
      <c r="EG75" s="4"/>
      <c r="EH75" s="4"/>
      <c r="EI75" s="4"/>
      <c r="EJ75" s="4"/>
      <c r="EK75" s="4"/>
      <c r="EL75" s="4"/>
      <c r="EM75" s="693"/>
      <c r="EN75" s="723">
        <v>201</v>
      </c>
      <c r="EO75" s="4">
        <v>201</v>
      </c>
      <c r="EP75" s="4">
        <v>201</v>
      </c>
      <c r="EQ75" s="4"/>
      <c r="ER75" s="4"/>
      <c r="ES75" s="4"/>
      <c r="ET75" s="4"/>
      <c r="EU75" s="4"/>
      <c r="EV75" s="4"/>
      <c r="EW75" s="4"/>
      <c r="EX75" s="4"/>
      <c r="EY75" s="654"/>
      <c r="EZ75" s="655"/>
      <c r="FA75" s="4"/>
      <c r="FB75" s="4"/>
      <c r="FC75" s="4"/>
      <c r="FD75" s="4"/>
      <c r="FE75" s="4"/>
      <c r="FF75" s="4"/>
      <c r="FG75" s="4"/>
      <c r="FH75" s="4"/>
      <c r="FI75" s="4"/>
      <c r="FJ75" s="4"/>
      <c r="FK75" s="654"/>
      <c r="FL75" s="655"/>
      <c r="FM75" s="4"/>
      <c r="FN75" s="4"/>
      <c r="FO75" s="4"/>
      <c r="FP75" s="4"/>
      <c r="FQ75" s="4"/>
      <c r="FR75" s="4"/>
      <c r="FS75" s="4"/>
      <c r="FT75" s="4"/>
      <c r="FU75" s="4"/>
      <c r="FV75" s="4"/>
      <c r="FW75" s="654"/>
      <c r="FX75" s="655"/>
      <c r="FY75" s="4"/>
      <c r="FZ75" s="4"/>
      <c r="GA75" s="4"/>
      <c r="GB75" s="4"/>
      <c r="GC75" s="4"/>
      <c r="GD75" s="4"/>
      <c r="GE75" s="4"/>
      <c r="GF75" s="4"/>
      <c r="GG75" s="4"/>
      <c r="GH75" s="4"/>
      <c r="GI75" s="654"/>
      <c r="GJ75" s="655"/>
      <c r="GK75" s="4"/>
      <c r="GL75" s="4"/>
      <c r="GM75" s="4"/>
      <c r="GN75" s="4"/>
      <c r="GO75" s="4"/>
      <c r="GP75" s="4"/>
      <c r="GQ75" s="4"/>
      <c r="GR75" s="4"/>
      <c r="GS75" s="4"/>
      <c r="GT75" s="4"/>
      <c r="GU75" s="722"/>
      <c r="GV75" s="715"/>
    </row>
    <row r="76" spans="1:204" x14ac:dyDescent="0.25">
      <c r="A76" t="s">
        <v>752</v>
      </c>
      <c r="B76" s="2" t="s">
        <v>753</v>
      </c>
      <c r="C76" s="619">
        <v>44531</v>
      </c>
      <c r="D76" s="2" t="s">
        <v>587</v>
      </c>
      <c r="E76" t="s">
        <v>59</v>
      </c>
      <c r="F76" s="2" t="s">
        <v>43</v>
      </c>
      <c r="G76" t="s">
        <v>40</v>
      </c>
      <c r="H76" s="690" t="s">
        <v>85</v>
      </c>
      <c r="I76" s="691" t="s">
        <v>43</v>
      </c>
      <c r="J76" s="721">
        <v>3780401000108</v>
      </c>
      <c r="K76" s="691" t="s">
        <v>1689</v>
      </c>
      <c r="L76" s="721" t="s">
        <v>1690</v>
      </c>
      <c r="M76" s="718" t="s">
        <v>3</v>
      </c>
      <c r="N76" s="717" t="s">
        <v>44</v>
      </c>
      <c r="O76" s="719">
        <v>44743</v>
      </c>
      <c r="P76" s="720">
        <v>44834</v>
      </c>
      <c r="Q76" s="718">
        <v>290</v>
      </c>
      <c r="R76" s="717">
        <v>7</v>
      </c>
      <c r="S76" s="691" t="s">
        <v>54</v>
      </c>
      <c r="T76" t="s">
        <v>358</v>
      </c>
      <c r="U76" s="673" t="s">
        <v>358</v>
      </c>
      <c r="V76" s="690" t="s">
        <v>358</v>
      </c>
      <c r="W76" s="657" t="s">
        <v>329</v>
      </c>
      <c r="X76" s="723"/>
      <c r="Y76" s="4"/>
      <c r="Z76" s="4"/>
      <c r="AA76" s="4"/>
      <c r="AB76" s="4"/>
      <c r="AC76" s="4"/>
      <c r="AD76" s="4">
        <v>7</v>
      </c>
      <c r="AE76" s="4">
        <v>7</v>
      </c>
      <c r="AF76" s="4">
        <v>7</v>
      </c>
      <c r="AG76" s="4"/>
      <c r="AH76" s="4"/>
      <c r="AI76" s="654"/>
      <c r="AJ76" s="655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654"/>
      <c r="AV76" s="655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654"/>
      <c r="BH76" s="655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654"/>
      <c r="BT76" s="655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693"/>
      <c r="CF76" s="723"/>
      <c r="CG76" s="4"/>
      <c r="CH76" s="4"/>
      <c r="CI76" s="4"/>
      <c r="CJ76" s="4"/>
      <c r="CK76" s="4"/>
      <c r="CL76" s="4">
        <v>290</v>
      </c>
      <c r="CM76" s="4">
        <v>290</v>
      </c>
      <c r="CN76" s="4">
        <v>290</v>
      </c>
      <c r="CO76" s="4"/>
      <c r="CP76" s="4"/>
      <c r="CQ76" s="654"/>
      <c r="CR76" s="655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654"/>
      <c r="DD76" s="655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654"/>
      <c r="DP76" s="655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654"/>
      <c r="EB76" s="655"/>
      <c r="EC76" s="4"/>
      <c r="ED76" s="4"/>
      <c r="EE76" s="4"/>
      <c r="EF76" s="4"/>
      <c r="EG76" s="4"/>
      <c r="EH76" s="4"/>
      <c r="EI76" s="4"/>
      <c r="EJ76" s="4"/>
      <c r="EK76" s="4"/>
      <c r="EL76" s="4"/>
      <c r="EM76" s="693"/>
      <c r="EN76" s="723"/>
      <c r="EO76" s="4"/>
      <c r="EP76" s="4"/>
      <c r="EQ76" s="4"/>
      <c r="ER76" s="4"/>
      <c r="ES76" s="4"/>
      <c r="ET76" s="4">
        <v>290</v>
      </c>
      <c r="EU76" s="4">
        <v>290</v>
      </c>
      <c r="EV76" s="4">
        <v>290</v>
      </c>
      <c r="EW76" s="4"/>
      <c r="EX76" s="4"/>
      <c r="EY76" s="654"/>
      <c r="EZ76" s="655"/>
      <c r="FA76" s="4"/>
      <c r="FB76" s="4"/>
      <c r="FC76" s="4"/>
      <c r="FD76" s="4"/>
      <c r="FE76" s="4"/>
      <c r="FF76" s="4"/>
      <c r="FG76" s="4"/>
      <c r="FH76" s="4"/>
      <c r="FI76" s="4"/>
      <c r="FJ76" s="4"/>
      <c r="FK76" s="654"/>
      <c r="FL76" s="655"/>
      <c r="FM76" s="4"/>
      <c r="FN76" s="4"/>
      <c r="FO76" s="4"/>
      <c r="FP76" s="4"/>
      <c r="FQ76" s="4"/>
      <c r="FR76" s="4"/>
      <c r="FS76" s="4"/>
      <c r="FT76" s="4"/>
      <c r="FU76" s="4"/>
      <c r="FV76" s="4"/>
      <c r="FW76" s="654"/>
      <c r="FX76" s="655"/>
      <c r="FY76" s="4"/>
      <c r="FZ76" s="4"/>
      <c r="GA76" s="4"/>
      <c r="GB76" s="4"/>
      <c r="GC76" s="4"/>
      <c r="GD76" s="4"/>
      <c r="GE76" s="4"/>
      <c r="GF76" s="4"/>
      <c r="GG76" s="4"/>
      <c r="GH76" s="4"/>
      <c r="GI76" s="654"/>
      <c r="GJ76" s="655"/>
      <c r="GK76" s="4"/>
      <c r="GL76" s="4"/>
      <c r="GM76" s="4"/>
      <c r="GN76" s="4"/>
      <c r="GO76" s="4"/>
      <c r="GP76" s="4"/>
      <c r="GQ76" s="4"/>
      <c r="GR76" s="4"/>
      <c r="GS76" s="4"/>
      <c r="GT76" s="4"/>
      <c r="GU76" s="722"/>
      <c r="GV76" s="715"/>
    </row>
    <row r="77" spans="1:204" x14ac:dyDescent="0.25">
      <c r="A77" t="s">
        <v>754</v>
      </c>
      <c r="B77" s="2" t="s">
        <v>755</v>
      </c>
      <c r="C77" s="619">
        <v>44531</v>
      </c>
      <c r="D77" s="2" t="s">
        <v>588</v>
      </c>
      <c r="E77" t="s">
        <v>58</v>
      </c>
      <c r="F77" s="2" t="s">
        <v>43</v>
      </c>
      <c r="G77" t="s">
        <v>40</v>
      </c>
      <c r="H77" s="690" t="s">
        <v>84</v>
      </c>
      <c r="I77" s="691" t="s">
        <v>503</v>
      </c>
      <c r="J77" s="721">
        <v>17386017000121</v>
      </c>
      <c r="K77" s="691" t="s">
        <v>43</v>
      </c>
      <c r="L77" s="721">
        <v>3780401000108</v>
      </c>
      <c r="M77" s="718" t="s">
        <v>3</v>
      </c>
      <c r="N77" s="717" t="s">
        <v>44</v>
      </c>
      <c r="O77" s="719">
        <v>44652</v>
      </c>
      <c r="P77" s="720">
        <v>44742</v>
      </c>
      <c r="Q77" s="718">
        <v>187</v>
      </c>
      <c r="R77" s="717">
        <v>4</v>
      </c>
      <c r="S77" s="691" t="s">
        <v>54</v>
      </c>
      <c r="T77" t="s">
        <v>358</v>
      </c>
      <c r="U77" s="673" t="s">
        <v>358</v>
      </c>
      <c r="V77" s="690" t="s">
        <v>358</v>
      </c>
      <c r="W77" s="657" t="s">
        <v>329</v>
      </c>
      <c r="X77" s="723"/>
      <c r="Y77" s="4"/>
      <c r="Z77" s="4"/>
      <c r="AA77" s="4">
        <v>4</v>
      </c>
      <c r="AB77" s="4">
        <v>4</v>
      </c>
      <c r="AC77" s="4">
        <v>4</v>
      </c>
      <c r="AD77" s="4"/>
      <c r="AE77" s="4"/>
      <c r="AF77" s="4"/>
      <c r="AG77" s="4"/>
      <c r="AH77" s="4"/>
      <c r="AI77" s="654"/>
      <c r="AJ77" s="655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654"/>
      <c r="AV77" s="655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654"/>
      <c r="BH77" s="655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654"/>
      <c r="BT77" s="655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693"/>
      <c r="CF77" s="723"/>
      <c r="CG77" s="4"/>
      <c r="CH77" s="4"/>
      <c r="CI77" s="4">
        <v>187</v>
      </c>
      <c r="CJ77" s="4">
        <v>187</v>
      </c>
      <c r="CK77" s="4">
        <v>187</v>
      </c>
      <c r="CL77" s="4"/>
      <c r="CM77" s="4"/>
      <c r="CN77" s="4"/>
      <c r="CO77" s="4"/>
      <c r="CP77" s="4"/>
      <c r="CQ77" s="654"/>
      <c r="CR77" s="655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654"/>
      <c r="DD77" s="655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654"/>
      <c r="DP77" s="655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654"/>
      <c r="EB77" s="655"/>
      <c r="EC77" s="4"/>
      <c r="ED77" s="4"/>
      <c r="EE77" s="4"/>
      <c r="EF77" s="4"/>
      <c r="EG77" s="4"/>
      <c r="EH77" s="4"/>
      <c r="EI77" s="4"/>
      <c r="EJ77" s="4"/>
      <c r="EK77" s="4"/>
      <c r="EL77" s="4"/>
      <c r="EM77" s="693"/>
      <c r="EN77" s="723"/>
      <c r="EO77" s="4"/>
      <c r="EP77" s="4"/>
      <c r="EQ77" s="4">
        <v>187</v>
      </c>
      <c r="ER77" s="4">
        <v>187</v>
      </c>
      <c r="ES77" s="4">
        <v>187</v>
      </c>
      <c r="ET77" s="4"/>
      <c r="EU77" s="4"/>
      <c r="EV77" s="4"/>
      <c r="EW77" s="4"/>
      <c r="EX77" s="4"/>
      <c r="EY77" s="654"/>
      <c r="EZ77" s="655"/>
      <c r="FA77" s="4"/>
      <c r="FB77" s="4"/>
      <c r="FC77" s="4"/>
      <c r="FD77" s="4"/>
      <c r="FE77" s="4"/>
      <c r="FF77" s="4"/>
      <c r="FG77" s="4"/>
      <c r="FH77" s="4"/>
      <c r="FI77" s="4"/>
      <c r="FJ77" s="4"/>
      <c r="FK77" s="654"/>
      <c r="FL77" s="655"/>
      <c r="FM77" s="4"/>
      <c r="FN77" s="4"/>
      <c r="FO77" s="4"/>
      <c r="FP77" s="4"/>
      <c r="FQ77" s="4"/>
      <c r="FR77" s="4"/>
      <c r="FS77" s="4"/>
      <c r="FT77" s="4"/>
      <c r="FU77" s="4"/>
      <c r="FV77" s="4"/>
      <c r="FW77" s="654"/>
      <c r="FX77" s="655"/>
      <c r="FY77" s="4"/>
      <c r="FZ77" s="4"/>
      <c r="GA77" s="4"/>
      <c r="GB77" s="4"/>
      <c r="GC77" s="4"/>
      <c r="GD77" s="4"/>
      <c r="GE77" s="4"/>
      <c r="GF77" s="4"/>
      <c r="GG77" s="4"/>
      <c r="GH77" s="4"/>
      <c r="GI77" s="654"/>
      <c r="GJ77" s="655"/>
      <c r="GK77" s="4"/>
      <c r="GL77" s="4"/>
      <c r="GM77" s="4"/>
      <c r="GN77" s="4"/>
      <c r="GO77" s="4"/>
      <c r="GP77" s="4"/>
      <c r="GQ77" s="4"/>
      <c r="GR77" s="4"/>
      <c r="GS77" s="4"/>
      <c r="GT77" s="4"/>
      <c r="GU77" s="722"/>
      <c r="GV77" s="715"/>
    </row>
    <row r="78" spans="1:204" x14ac:dyDescent="0.25">
      <c r="A78" t="s">
        <v>756</v>
      </c>
      <c r="B78" s="2" t="s">
        <v>757</v>
      </c>
      <c r="C78" s="619">
        <v>44531</v>
      </c>
      <c r="D78" s="2" t="s">
        <v>589</v>
      </c>
      <c r="E78" t="s">
        <v>58</v>
      </c>
      <c r="F78" s="2" t="s">
        <v>43</v>
      </c>
      <c r="G78" t="s">
        <v>40</v>
      </c>
      <c r="H78" s="690" t="s">
        <v>84</v>
      </c>
      <c r="I78" s="691" t="s">
        <v>590</v>
      </c>
      <c r="J78" s="721">
        <v>7358761005632</v>
      </c>
      <c r="K78" s="691" t="s">
        <v>43</v>
      </c>
      <c r="L78" s="721">
        <v>3780401000108</v>
      </c>
      <c r="M78" s="718" t="s">
        <v>3</v>
      </c>
      <c r="N78" s="717" t="s">
        <v>44</v>
      </c>
      <c r="O78" s="719">
        <v>44652</v>
      </c>
      <c r="P78" s="720">
        <v>44742</v>
      </c>
      <c r="Q78" s="718">
        <v>187</v>
      </c>
      <c r="R78" s="717">
        <v>1</v>
      </c>
      <c r="S78" s="691" t="s">
        <v>54</v>
      </c>
      <c r="T78" t="s">
        <v>358</v>
      </c>
      <c r="U78" s="673" t="s">
        <v>358</v>
      </c>
      <c r="V78" s="690" t="s">
        <v>358</v>
      </c>
      <c r="W78" s="657" t="s">
        <v>329</v>
      </c>
      <c r="X78" s="723"/>
      <c r="Y78" s="4"/>
      <c r="Z78" s="4"/>
      <c r="AA78" s="4">
        <v>1</v>
      </c>
      <c r="AB78" s="4">
        <v>1</v>
      </c>
      <c r="AC78" s="4">
        <v>1</v>
      </c>
      <c r="AD78" s="4"/>
      <c r="AE78" s="4"/>
      <c r="AF78" s="4"/>
      <c r="AG78" s="4"/>
      <c r="AH78" s="4"/>
      <c r="AI78" s="654"/>
      <c r="AJ78" s="655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654"/>
      <c r="AV78" s="655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654"/>
      <c r="BH78" s="655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654"/>
      <c r="BT78" s="655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693"/>
      <c r="CF78" s="723"/>
      <c r="CG78" s="4"/>
      <c r="CH78" s="4"/>
      <c r="CI78" s="4">
        <v>187</v>
      </c>
      <c r="CJ78" s="4">
        <v>187</v>
      </c>
      <c r="CK78" s="4">
        <v>187</v>
      </c>
      <c r="CL78" s="4"/>
      <c r="CM78" s="4"/>
      <c r="CN78" s="4"/>
      <c r="CO78" s="4"/>
      <c r="CP78" s="4"/>
      <c r="CQ78" s="654"/>
      <c r="CR78" s="655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654"/>
      <c r="DD78" s="655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654"/>
      <c r="DP78" s="655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654"/>
      <c r="EB78" s="655"/>
      <c r="EC78" s="4"/>
      <c r="ED78" s="4"/>
      <c r="EE78" s="4"/>
      <c r="EF78" s="4"/>
      <c r="EG78" s="4"/>
      <c r="EH78" s="4"/>
      <c r="EI78" s="4"/>
      <c r="EJ78" s="4"/>
      <c r="EK78" s="4"/>
      <c r="EL78" s="4"/>
      <c r="EM78" s="693"/>
      <c r="EN78" s="723"/>
      <c r="EO78" s="4"/>
      <c r="EP78" s="4"/>
      <c r="EQ78" s="4">
        <v>187</v>
      </c>
      <c r="ER78" s="4">
        <v>187</v>
      </c>
      <c r="ES78" s="4">
        <v>187</v>
      </c>
      <c r="ET78" s="4"/>
      <c r="EU78" s="4"/>
      <c r="EV78" s="4"/>
      <c r="EW78" s="4"/>
      <c r="EX78" s="4"/>
      <c r="EY78" s="654"/>
      <c r="EZ78" s="655"/>
      <c r="FA78" s="4"/>
      <c r="FB78" s="4"/>
      <c r="FC78" s="4"/>
      <c r="FD78" s="4"/>
      <c r="FE78" s="4"/>
      <c r="FF78" s="4"/>
      <c r="FG78" s="4"/>
      <c r="FH78" s="4"/>
      <c r="FI78" s="4"/>
      <c r="FJ78" s="4"/>
      <c r="FK78" s="654"/>
      <c r="FL78" s="655"/>
      <c r="FM78" s="4"/>
      <c r="FN78" s="4"/>
      <c r="FO78" s="4"/>
      <c r="FP78" s="4"/>
      <c r="FQ78" s="4"/>
      <c r="FR78" s="4"/>
      <c r="FS78" s="4"/>
      <c r="FT78" s="4"/>
      <c r="FU78" s="4"/>
      <c r="FV78" s="4"/>
      <c r="FW78" s="654"/>
      <c r="FX78" s="655"/>
      <c r="FY78" s="4"/>
      <c r="FZ78" s="4"/>
      <c r="GA78" s="4"/>
      <c r="GB78" s="4"/>
      <c r="GC78" s="4"/>
      <c r="GD78" s="4"/>
      <c r="GE78" s="4"/>
      <c r="GF78" s="4"/>
      <c r="GG78" s="4"/>
      <c r="GH78" s="4"/>
      <c r="GI78" s="654"/>
      <c r="GJ78" s="655"/>
      <c r="GK78" s="4"/>
      <c r="GL78" s="4"/>
      <c r="GM78" s="4"/>
      <c r="GN78" s="4"/>
      <c r="GO78" s="4"/>
      <c r="GP78" s="4"/>
      <c r="GQ78" s="4"/>
      <c r="GR78" s="4"/>
      <c r="GS78" s="4"/>
      <c r="GT78" s="4"/>
      <c r="GU78" s="722"/>
      <c r="GV78" s="715"/>
    </row>
    <row r="79" spans="1:204" x14ac:dyDescent="0.25">
      <c r="A79" t="s">
        <v>758</v>
      </c>
      <c r="B79" s="2" t="s">
        <v>759</v>
      </c>
      <c r="C79" s="619">
        <v>44532</v>
      </c>
      <c r="D79" s="2" t="s">
        <v>591</v>
      </c>
      <c r="E79" t="s">
        <v>59</v>
      </c>
      <c r="F79" s="2" t="s">
        <v>43</v>
      </c>
      <c r="G79" t="s">
        <v>40</v>
      </c>
      <c r="H79" s="690" t="s">
        <v>85</v>
      </c>
      <c r="I79" s="691" t="s">
        <v>43</v>
      </c>
      <c r="J79" s="721">
        <v>3780401000108</v>
      </c>
      <c r="K79" s="691" t="s">
        <v>356</v>
      </c>
      <c r="L79" s="721">
        <v>31635668000139</v>
      </c>
      <c r="M79" s="718" t="s">
        <v>3</v>
      </c>
      <c r="N79" s="717" t="s">
        <v>44</v>
      </c>
      <c r="O79" s="719">
        <v>44743</v>
      </c>
      <c r="P79" s="720">
        <v>44926</v>
      </c>
      <c r="Q79" s="718">
        <v>278</v>
      </c>
      <c r="R79" s="717">
        <v>3</v>
      </c>
      <c r="S79" s="691" t="s">
        <v>54</v>
      </c>
      <c r="T79" t="s">
        <v>358</v>
      </c>
      <c r="U79" s="673" t="s">
        <v>358</v>
      </c>
      <c r="V79" s="690" t="s">
        <v>358</v>
      </c>
      <c r="W79" s="657" t="s">
        <v>329</v>
      </c>
      <c r="X79" s="723"/>
      <c r="Y79" s="4"/>
      <c r="Z79" s="4"/>
      <c r="AA79" s="4"/>
      <c r="AB79" s="4"/>
      <c r="AC79" s="4"/>
      <c r="AD79" s="4">
        <v>3</v>
      </c>
      <c r="AE79" s="4">
        <v>3</v>
      </c>
      <c r="AF79" s="4">
        <v>3</v>
      </c>
      <c r="AG79" s="4">
        <v>3</v>
      </c>
      <c r="AH79" s="4">
        <v>3</v>
      </c>
      <c r="AI79" s="654">
        <v>3</v>
      </c>
      <c r="AJ79" s="655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654"/>
      <c r="AV79" s="655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654"/>
      <c r="BH79" s="655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654"/>
      <c r="BT79" s="655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693"/>
      <c r="CF79" s="723"/>
      <c r="CG79" s="4"/>
      <c r="CH79" s="4"/>
      <c r="CI79" s="4"/>
      <c r="CJ79" s="4"/>
      <c r="CK79" s="4"/>
      <c r="CL79" s="4">
        <v>278</v>
      </c>
      <c r="CM79" s="4">
        <v>278</v>
      </c>
      <c r="CN79" s="4">
        <v>278</v>
      </c>
      <c r="CO79" s="4">
        <v>278</v>
      </c>
      <c r="CP79" s="4">
        <v>278</v>
      </c>
      <c r="CQ79" s="654">
        <v>278</v>
      </c>
      <c r="CR79" s="655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654"/>
      <c r="DD79" s="655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654"/>
      <c r="DP79" s="655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654"/>
      <c r="EB79" s="655"/>
      <c r="EC79" s="4"/>
      <c r="ED79" s="4"/>
      <c r="EE79" s="4"/>
      <c r="EF79" s="4"/>
      <c r="EG79" s="4"/>
      <c r="EH79" s="4"/>
      <c r="EI79" s="4"/>
      <c r="EJ79" s="4"/>
      <c r="EK79" s="4"/>
      <c r="EL79" s="4"/>
      <c r="EM79" s="693"/>
      <c r="EN79" s="723"/>
      <c r="EO79" s="4"/>
      <c r="EP79" s="4"/>
      <c r="EQ79" s="4"/>
      <c r="ER79" s="4"/>
      <c r="ES79" s="4"/>
      <c r="ET79" s="4">
        <v>278</v>
      </c>
      <c r="EU79" s="4">
        <v>278</v>
      </c>
      <c r="EV79" s="4">
        <v>278</v>
      </c>
      <c r="EW79" s="4">
        <v>278</v>
      </c>
      <c r="EX79" s="4">
        <v>278</v>
      </c>
      <c r="EY79" s="654">
        <v>278</v>
      </c>
      <c r="EZ79" s="655"/>
      <c r="FA79" s="4"/>
      <c r="FB79" s="4"/>
      <c r="FC79" s="4"/>
      <c r="FD79" s="4"/>
      <c r="FE79" s="4"/>
      <c r="FF79" s="4"/>
      <c r="FG79" s="4"/>
      <c r="FH79" s="4"/>
      <c r="FI79" s="4"/>
      <c r="FJ79" s="4"/>
      <c r="FK79" s="654"/>
      <c r="FL79" s="655"/>
      <c r="FM79" s="4"/>
      <c r="FN79" s="4"/>
      <c r="FO79" s="4"/>
      <c r="FP79" s="4"/>
      <c r="FQ79" s="4"/>
      <c r="FR79" s="4"/>
      <c r="FS79" s="4"/>
      <c r="FT79" s="4"/>
      <c r="FU79" s="4"/>
      <c r="FV79" s="4"/>
      <c r="FW79" s="654"/>
      <c r="FX79" s="655"/>
      <c r="FY79" s="4"/>
      <c r="FZ79" s="4"/>
      <c r="GA79" s="4"/>
      <c r="GB79" s="4"/>
      <c r="GC79" s="4"/>
      <c r="GD79" s="4"/>
      <c r="GE79" s="4"/>
      <c r="GF79" s="4"/>
      <c r="GG79" s="4"/>
      <c r="GH79" s="4"/>
      <c r="GI79" s="654"/>
      <c r="GJ79" s="655"/>
      <c r="GK79" s="4"/>
      <c r="GL79" s="4"/>
      <c r="GM79" s="4"/>
      <c r="GN79" s="4"/>
      <c r="GO79" s="4"/>
      <c r="GP79" s="4"/>
      <c r="GQ79" s="4"/>
      <c r="GR79" s="4"/>
      <c r="GS79" s="4"/>
      <c r="GT79" s="4"/>
      <c r="GU79" s="722"/>
      <c r="GV79" s="715"/>
    </row>
    <row r="80" spans="1:204" x14ac:dyDescent="0.25">
      <c r="A80" t="s">
        <v>760</v>
      </c>
      <c r="B80" s="2" t="s">
        <v>358</v>
      </c>
      <c r="C80" s="619">
        <v>44532</v>
      </c>
      <c r="D80" s="2" t="s">
        <v>592</v>
      </c>
      <c r="E80" t="s">
        <v>58</v>
      </c>
      <c r="F80" s="2" t="s">
        <v>43</v>
      </c>
      <c r="G80" t="s">
        <v>40</v>
      </c>
      <c r="H80" s="690" t="s">
        <v>84</v>
      </c>
      <c r="I80" s="691" t="s">
        <v>503</v>
      </c>
      <c r="J80" s="721">
        <v>17386017000121</v>
      </c>
      <c r="K80" s="691" t="s">
        <v>43</v>
      </c>
      <c r="L80" s="721">
        <v>3780401000108</v>
      </c>
      <c r="M80" s="718" t="s">
        <v>3</v>
      </c>
      <c r="N80" s="717" t="s">
        <v>44</v>
      </c>
      <c r="O80" s="719">
        <v>44562</v>
      </c>
      <c r="P80" s="720">
        <v>44592</v>
      </c>
      <c r="Q80" s="718">
        <v>182</v>
      </c>
      <c r="R80" s="717">
        <v>3</v>
      </c>
      <c r="S80" s="691" t="s">
        <v>54</v>
      </c>
      <c r="T80" t="s">
        <v>358</v>
      </c>
      <c r="U80" s="673" t="s">
        <v>358</v>
      </c>
      <c r="V80" s="690" t="s">
        <v>358</v>
      </c>
      <c r="W80" s="657" t="s">
        <v>214</v>
      </c>
      <c r="X80" s="723">
        <v>3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654"/>
      <c r="AJ80" s="655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654"/>
      <c r="AV80" s="655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654"/>
      <c r="BH80" s="655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654"/>
      <c r="BT80" s="655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693"/>
      <c r="CF80" s="723">
        <v>182</v>
      </c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654"/>
      <c r="CR80" s="655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654"/>
      <c r="DD80" s="655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654"/>
      <c r="DP80" s="655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654"/>
      <c r="EB80" s="655"/>
      <c r="EC80" s="4"/>
      <c r="ED80" s="4"/>
      <c r="EE80" s="4"/>
      <c r="EF80" s="4"/>
      <c r="EG80" s="4"/>
      <c r="EH80" s="4"/>
      <c r="EI80" s="4"/>
      <c r="EJ80" s="4"/>
      <c r="EK80" s="4"/>
      <c r="EL80" s="4"/>
      <c r="EM80" s="693"/>
      <c r="EN80" s="723">
        <v>182</v>
      </c>
      <c r="EO80" s="4"/>
      <c r="EP80" s="4"/>
      <c r="EQ80" s="4"/>
      <c r="ER80" s="4"/>
      <c r="ES80" s="4"/>
      <c r="ET80" s="4"/>
      <c r="EU80" s="4"/>
      <c r="EV80" s="4"/>
      <c r="EW80" s="4"/>
      <c r="EX80" s="4"/>
      <c r="EY80" s="654"/>
      <c r="EZ80" s="655"/>
      <c r="FA80" s="4"/>
      <c r="FB80" s="4"/>
      <c r="FC80" s="4"/>
      <c r="FD80" s="4"/>
      <c r="FE80" s="4"/>
      <c r="FF80" s="4"/>
      <c r="FG80" s="4"/>
      <c r="FH80" s="4"/>
      <c r="FI80" s="4"/>
      <c r="FJ80" s="4"/>
      <c r="FK80" s="654"/>
      <c r="FL80" s="655"/>
      <c r="FM80" s="4"/>
      <c r="FN80" s="4"/>
      <c r="FO80" s="4"/>
      <c r="FP80" s="4"/>
      <c r="FQ80" s="4"/>
      <c r="FR80" s="4"/>
      <c r="FS80" s="4"/>
      <c r="FT80" s="4"/>
      <c r="FU80" s="4"/>
      <c r="FV80" s="4"/>
      <c r="FW80" s="654"/>
      <c r="FX80" s="655"/>
      <c r="FY80" s="4"/>
      <c r="FZ80" s="4"/>
      <c r="GA80" s="4"/>
      <c r="GB80" s="4"/>
      <c r="GC80" s="4"/>
      <c r="GD80" s="4"/>
      <c r="GE80" s="4"/>
      <c r="GF80" s="4"/>
      <c r="GG80" s="4"/>
      <c r="GH80" s="4"/>
      <c r="GI80" s="654"/>
      <c r="GJ80" s="655"/>
      <c r="GK80" s="4"/>
      <c r="GL80" s="4"/>
      <c r="GM80" s="4"/>
      <c r="GN80" s="4"/>
      <c r="GO80" s="4"/>
      <c r="GP80" s="4"/>
      <c r="GQ80" s="4"/>
      <c r="GR80" s="4"/>
      <c r="GS80" s="4"/>
      <c r="GT80" s="4"/>
      <c r="GU80" s="722"/>
      <c r="GV80" s="715"/>
    </row>
    <row r="81" spans="1:204" x14ac:dyDescent="0.25">
      <c r="A81" t="s">
        <v>761</v>
      </c>
      <c r="B81" s="2" t="s">
        <v>762</v>
      </c>
      <c r="C81" s="619">
        <v>44532</v>
      </c>
      <c r="D81" s="2" t="s">
        <v>593</v>
      </c>
      <c r="E81" t="s">
        <v>58</v>
      </c>
      <c r="F81" s="2" t="s">
        <v>43</v>
      </c>
      <c r="G81" t="s">
        <v>40</v>
      </c>
      <c r="H81" s="690" t="s">
        <v>84</v>
      </c>
      <c r="I81" s="691" t="s">
        <v>506</v>
      </c>
      <c r="J81" s="721">
        <v>33652516000170</v>
      </c>
      <c r="K81" s="691" t="s">
        <v>43</v>
      </c>
      <c r="L81" s="721">
        <v>3780401000108</v>
      </c>
      <c r="M81" s="718" t="s">
        <v>3</v>
      </c>
      <c r="N81" s="717" t="s">
        <v>44</v>
      </c>
      <c r="O81" s="719">
        <v>44562</v>
      </c>
      <c r="P81" s="720">
        <v>44651</v>
      </c>
      <c r="Q81" s="718">
        <v>202</v>
      </c>
      <c r="R81" s="717">
        <v>5</v>
      </c>
      <c r="S81" s="691" t="s">
        <v>54</v>
      </c>
      <c r="T81" t="s">
        <v>358</v>
      </c>
      <c r="U81" s="673" t="s">
        <v>358</v>
      </c>
      <c r="V81" s="690" t="s">
        <v>358</v>
      </c>
      <c r="W81" s="657" t="s">
        <v>329</v>
      </c>
      <c r="X81" s="723">
        <v>5</v>
      </c>
      <c r="Y81" s="4">
        <v>5</v>
      </c>
      <c r="Z81" s="4">
        <v>5</v>
      </c>
      <c r="AA81" s="4"/>
      <c r="AB81" s="4"/>
      <c r="AC81" s="4"/>
      <c r="AD81" s="4"/>
      <c r="AE81" s="4"/>
      <c r="AF81" s="4"/>
      <c r="AG81" s="4"/>
      <c r="AH81" s="4"/>
      <c r="AI81" s="654"/>
      <c r="AJ81" s="655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654"/>
      <c r="AV81" s="655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654"/>
      <c r="BH81" s="655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654"/>
      <c r="BT81" s="655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693"/>
      <c r="CF81" s="723">
        <v>202</v>
      </c>
      <c r="CG81" s="4">
        <v>202</v>
      </c>
      <c r="CH81" s="4">
        <v>202</v>
      </c>
      <c r="CI81" s="4"/>
      <c r="CJ81" s="4"/>
      <c r="CK81" s="4"/>
      <c r="CL81" s="4"/>
      <c r="CM81" s="4"/>
      <c r="CN81" s="4"/>
      <c r="CO81" s="4"/>
      <c r="CP81" s="4"/>
      <c r="CQ81" s="654"/>
      <c r="CR81" s="655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654"/>
      <c r="DD81" s="655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654"/>
      <c r="DP81" s="655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654"/>
      <c r="EB81" s="655"/>
      <c r="EC81" s="4"/>
      <c r="ED81" s="4"/>
      <c r="EE81" s="4"/>
      <c r="EF81" s="4"/>
      <c r="EG81" s="4"/>
      <c r="EH81" s="4"/>
      <c r="EI81" s="4"/>
      <c r="EJ81" s="4"/>
      <c r="EK81" s="4"/>
      <c r="EL81" s="4"/>
      <c r="EM81" s="693"/>
      <c r="EN81" s="723">
        <v>202</v>
      </c>
      <c r="EO81" s="4">
        <v>202</v>
      </c>
      <c r="EP81" s="4">
        <v>202</v>
      </c>
      <c r="EQ81" s="4"/>
      <c r="ER81" s="4"/>
      <c r="ES81" s="4"/>
      <c r="ET81" s="4"/>
      <c r="EU81" s="4"/>
      <c r="EV81" s="4"/>
      <c r="EW81" s="4"/>
      <c r="EX81" s="4"/>
      <c r="EY81" s="654"/>
      <c r="EZ81" s="655"/>
      <c r="FA81" s="4"/>
      <c r="FB81" s="4"/>
      <c r="FC81" s="4"/>
      <c r="FD81" s="4"/>
      <c r="FE81" s="4"/>
      <c r="FF81" s="4"/>
      <c r="FG81" s="4"/>
      <c r="FH81" s="4"/>
      <c r="FI81" s="4"/>
      <c r="FJ81" s="4"/>
      <c r="FK81" s="654"/>
      <c r="FL81" s="655"/>
      <c r="FM81" s="4"/>
      <c r="FN81" s="4"/>
      <c r="FO81" s="4"/>
      <c r="FP81" s="4"/>
      <c r="FQ81" s="4"/>
      <c r="FR81" s="4"/>
      <c r="FS81" s="4"/>
      <c r="FT81" s="4"/>
      <c r="FU81" s="4"/>
      <c r="FV81" s="4"/>
      <c r="FW81" s="654"/>
      <c r="FX81" s="655"/>
      <c r="FY81" s="4"/>
      <c r="FZ81" s="4"/>
      <c r="GA81" s="4"/>
      <c r="GB81" s="4"/>
      <c r="GC81" s="4"/>
      <c r="GD81" s="4"/>
      <c r="GE81" s="4"/>
      <c r="GF81" s="4"/>
      <c r="GG81" s="4"/>
      <c r="GH81" s="4"/>
      <c r="GI81" s="654"/>
      <c r="GJ81" s="655"/>
      <c r="GK81" s="4"/>
      <c r="GL81" s="4"/>
      <c r="GM81" s="4"/>
      <c r="GN81" s="4"/>
      <c r="GO81" s="4"/>
      <c r="GP81" s="4"/>
      <c r="GQ81" s="4"/>
      <c r="GR81" s="4"/>
      <c r="GS81" s="4"/>
      <c r="GT81" s="4"/>
      <c r="GU81" s="722"/>
      <c r="GV81" s="715"/>
    </row>
    <row r="82" spans="1:204" x14ac:dyDescent="0.25">
      <c r="A82" t="s">
        <v>763</v>
      </c>
      <c r="B82" s="2" t="s">
        <v>764</v>
      </c>
      <c r="C82" s="619">
        <v>44537</v>
      </c>
      <c r="D82" s="2" t="s">
        <v>594</v>
      </c>
      <c r="E82" t="s">
        <v>58</v>
      </c>
      <c r="F82" s="2" t="s">
        <v>43</v>
      </c>
      <c r="G82" t="s">
        <v>40</v>
      </c>
      <c r="H82" s="690" t="s">
        <v>83</v>
      </c>
      <c r="I82" s="691" t="s">
        <v>354</v>
      </c>
      <c r="J82" s="721">
        <v>8573833000153</v>
      </c>
      <c r="K82" s="691" t="s">
        <v>43</v>
      </c>
      <c r="L82" s="721">
        <v>3780401000108</v>
      </c>
      <c r="M82" s="718" t="s">
        <v>3</v>
      </c>
      <c r="N82" s="717" t="s">
        <v>44</v>
      </c>
      <c r="O82" s="719">
        <v>44743</v>
      </c>
      <c r="P82" s="720">
        <v>44834</v>
      </c>
      <c r="Q82" s="718">
        <v>300</v>
      </c>
      <c r="R82" s="717">
        <v>4</v>
      </c>
      <c r="S82" s="691" t="s">
        <v>54</v>
      </c>
      <c r="T82" t="s">
        <v>358</v>
      </c>
      <c r="U82" s="673" t="s">
        <v>358</v>
      </c>
      <c r="V82" s="690" t="s">
        <v>358</v>
      </c>
      <c r="W82" s="657" t="s">
        <v>329</v>
      </c>
      <c r="X82" s="723"/>
      <c r="Y82" s="4"/>
      <c r="Z82" s="4"/>
      <c r="AA82" s="4"/>
      <c r="AB82" s="4"/>
      <c r="AC82" s="4"/>
      <c r="AD82" s="4">
        <v>4</v>
      </c>
      <c r="AE82" s="4">
        <v>4</v>
      </c>
      <c r="AF82" s="4">
        <v>4</v>
      </c>
      <c r="AG82" s="4"/>
      <c r="AH82" s="4"/>
      <c r="AI82" s="654"/>
      <c r="AJ82" s="655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654"/>
      <c r="AV82" s="655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654"/>
      <c r="BH82" s="655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654"/>
      <c r="BT82" s="655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693"/>
      <c r="CF82" s="723"/>
      <c r="CG82" s="4"/>
      <c r="CH82" s="4"/>
      <c r="CI82" s="4"/>
      <c r="CJ82" s="4"/>
      <c r="CK82" s="4"/>
      <c r="CL82" s="4">
        <v>300</v>
      </c>
      <c r="CM82" s="4">
        <v>300</v>
      </c>
      <c r="CN82" s="4">
        <v>300</v>
      </c>
      <c r="CO82" s="4"/>
      <c r="CP82" s="4"/>
      <c r="CQ82" s="654"/>
      <c r="CR82" s="655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654"/>
      <c r="DD82" s="655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654"/>
      <c r="DP82" s="655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654"/>
      <c r="EB82" s="655"/>
      <c r="EC82" s="4"/>
      <c r="ED82" s="4"/>
      <c r="EE82" s="4"/>
      <c r="EF82" s="4"/>
      <c r="EG82" s="4"/>
      <c r="EH82" s="4"/>
      <c r="EI82" s="4"/>
      <c r="EJ82" s="4"/>
      <c r="EK82" s="4"/>
      <c r="EL82" s="4"/>
      <c r="EM82" s="693"/>
      <c r="EN82" s="723"/>
      <c r="EO82" s="4"/>
      <c r="EP82" s="4"/>
      <c r="EQ82" s="4"/>
      <c r="ER82" s="4"/>
      <c r="ES82" s="4"/>
      <c r="ET82" s="4">
        <v>300</v>
      </c>
      <c r="EU82" s="4">
        <v>300</v>
      </c>
      <c r="EV82" s="4">
        <v>300</v>
      </c>
      <c r="EW82" s="4"/>
      <c r="EX82" s="4"/>
      <c r="EY82" s="654"/>
      <c r="EZ82" s="655"/>
      <c r="FA82" s="4"/>
      <c r="FB82" s="4"/>
      <c r="FC82" s="4"/>
      <c r="FD82" s="4"/>
      <c r="FE82" s="4"/>
      <c r="FF82" s="4"/>
      <c r="FG82" s="4"/>
      <c r="FH82" s="4"/>
      <c r="FI82" s="4"/>
      <c r="FJ82" s="4"/>
      <c r="FK82" s="654"/>
      <c r="FL82" s="655"/>
      <c r="FM82" s="4"/>
      <c r="FN82" s="4"/>
      <c r="FO82" s="4"/>
      <c r="FP82" s="4"/>
      <c r="FQ82" s="4"/>
      <c r="FR82" s="4"/>
      <c r="FS82" s="4"/>
      <c r="FT82" s="4"/>
      <c r="FU82" s="4"/>
      <c r="FV82" s="4"/>
      <c r="FW82" s="654"/>
      <c r="FX82" s="655"/>
      <c r="FY82" s="4"/>
      <c r="FZ82" s="4"/>
      <c r="GA82" s="4"/>
      <c r="GB82" s="4"/>
      <c r="GC82" s="4"/>
      <c r="GD82" s="4"/>
      <c r="GE82" s="4"/>
      <c r="GF82" s="4"/>
      <c r="GG82" s="4"/>
      <c r="GH82" s="4"/>
      <c r="GI82" s="654"/>
      <c r="GJ82" s="655"/>
      <c r="GK82" s="4"/>
      <c r="GL82" s="4"/>
      <c r="GM82" s="4"/>
      <c r="GN82" s="4"/>
      <c r="GO82" s="4"/>
      <c r="GP82" s="4"/>
      <c r="GQ82" s="4"/>
      <c r="GR82" s="4"/>
      <c r="GS82" s="4"/>
      <c r="GT82" s="4"/>
      <c r="GU82" s="722"/>
      <c r="GV82" s="715"/>
    </row>
    <row r="83" spans="1:204" x14ac:dyDescent="0.25">
      <c r="A83" t="s">
        <v>765</v>
      </c>
      <c r="B83" s="2" t="s">
        <v>766</v>
      </c>
      <c r="C83" s="619">
        <v>44537</v>
      </c>
      <c r="D83" s="2" t="s">
        <v>595</v>
      </c>
      <c r="E83" t="s">
        <v>59</v>
      </c>
      <c r="F83" s="2" t="s">
        <v>43</v>
      </c>
      <c r="G83" t="s">
        <v>40</v>
      </c>
      <c r="H83" s="690" t="s">
        <v>83</v>
      </c>
      <c r="I83" s="691" t="s">
        <v>43</v>
      </c>
      <c r="J83" s="721">
        <v>3780401000108</v>
      </c>
      <c r="K83" s="691" t="s">
        <v>354</v>
      </c>
      <c r="L83" s="721">
        <v>8573833000153</v>
      </c>
      <c r="M83" s="718" t="s">
        <v>3</v>
      </c>
      <c r="N83" s="717" t="s">
        <v>44</v>
      </c>
      <c r="O83" s="719">
        <v>44835</v>
      </c>
      <c r="P83" s="720">
        <v>44926</v>
      </c>
      <c r="Q83" s="718">
        <v>270</v>
      </c>
      <c r="R83" s="717">
        <v>4</v>
      </c>
      <c r="S83" s="691" t="s">
        <v>54</v>
      </c>
      <c r="T83" t="s">
        <v>358</v>
      </c>
      <c r="U83" s="673" t="s">
        <v>358</v>
      </c>
      <c r="V83" s="690" t="s">
        <v>358</v>
      </c>
      <c r="W83" s="657" t="s">
        <v>329</v>
      </c>
      <c r="X83" s="723"/>
      <c r="Y83" s="4"/>
      <c r="Z83" s="4"/>
      <c r="AA83" s="4"/>
      <c r="AB83" s="4"/>
      <c r="AC83" s="4"/>
      <c r="AD83" s="4"/>
      <c r="AE83" s="4"/>
      <c r="AF83" s="4"/>
      <c r="AG83" s="4">
        <v>4</v>
      </c>
      <c r="AH83" s="4">
        <v>4</v>
      </c>
      <c r="AI83" s="654">
        <v>4</v>
      </c>
      <c r="AJ83" s="655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654"/>
      <c r="AV83" s="655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654"/>
      <c r="BH83" s="655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654"/>
      <c r="BT83" s="655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693"/>
      <c r="CF83" s="723"/>
      <c r="CG83" s="4"/>
      <c r="CH83" s="4"/>
      <c r="CI83" s="4"/>
      <c r="CJ83" s="4"/>
      <c r="CK83" s="4"/>
      <c r="CL83" s="4"/>
      <c r="CM83" s="4"/>
      <c r="CN83" s="4"/>
      <c r="CO83" s="4">
        <v>270</v>
      </c>
      <c r="CP83" s="4">
        <v>270</v>
      </c>
      <c r="CQ83" s="654">
        <v>270</v>
      </c>
      <c r="CR83" s="655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654"/>
      <c r="DD83" s="655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654"/>
      <c r="DP83" s="655"/>
      <c r="DQ83" s="4"/>
      <c r="DR83" s="4"/>
      <c r="DS83" s="4"/>
      <c r="DT83" s="4"/>
      <c r="DU83" s="4"/>
      <c r="DV83" s="4"/>
      <c r="DW83" s="4"/>
      <c r="DX83" s="4"/>
      <c r="DY83" s="4"/>
      <c r="DZ83" s="4"/>
      <c r="EA83" s="654"/>
      <c r="EB83" s="655"/>
      <c r="EC83" s="4"/>
      <c r="ED83" s="4"/>
      <c r="EE83" s="4"/>
      <c r="EF83" s="4"/>
      <c r="EG83" s="4"/>
      <c r="EH83" s="4"/>
      <c r="EI83" s="4"/>
      <c r="EJ83" s="4"/>
      <c r="EK83" s="4"/>
      <c r="EL83" s="4"/>
      <c r="EM83" s="693"/>
      <c r="EN83" s="723"/>
      <c r="EO83" s="4"/>
      <c r="EP83" s="4"/>
      <c r="EQ83" s="4"/>
      <c r="ER83" s="4"/>
      <c r="ES83" s="4"/>
      <c r="ET83" s="4"/>
      <c r="EU83" s="4"/>
      <c r="EV83" s="4"/>
      <c r="EW83" s="4">
        <v>270</v>
      </c>
      <c r="EX83" s="4">
        <v>270</v>
      </c>
      <c r="EY83" s="654">
        <v>270</v>
      </c>
      <c r="EZ83" s="655"/>
      <c r="FA83" s="4"/>
      <c r="FB83" s="4"/>
      <c r="FC83" s="4"/>
      <c r="FD83" s="4"/>
      <c r="FE83" s="4"/>
      <c r="FF83" s="4"/>
      <c r="FG83" s="4"/>
      <c r="FH83" s="4"/>
      <c r="FI83" s="4"/>
      <c r="FJ83" s="4"/>
      <c r="FK83" s="654"/>
      <c r="FL83" s="655"/>
      <c r="FM83" s="4"/>
      <c r="FN83" s="4"/>
      <c r="FO83" s="4"/>
      <c r="FP83" s="4"/>
      <c r="FQ83" s="4"/>
      <c r="FR83" s="4"/>
      <c r="FS83" s="4"/>
      <c r="FT83" s="4"/>
      <c r="FU83" s="4"/>
      <c r="FV83" s="4"/>
      <c r="FW83" s="654"/>
      <c r="FX83" s="655"/>
      <c r="FY83" s="4"/>
      <c r="FZ83" s="4"/>
      <c r="GA83" s="4"/>
      <c r="GB83" s="4"/>
      <c r="GC83" s="4"/>
      <c r="GD83" s="4"/>
      <c r="GE83" s="4"/>
      <c r="GF83" s="4"/>
      <c r="GG83" s="4"/>
      <c r="GH83" s="4"/>
      <c r="GI83" s="654"/>
      <c r="GJ83" s="655"/>
      <c r="GK83" s="4"/>
      <c r="GL83" s="4"/>
      <c r="GM83" s="4"/>
      <c r="GN83" s="4"/>
      <c r="GO83" s="4"/>
      <c r="GP83" s="4"/>
      <c r="GQ83" s="4"/>
      <c r="GR83" s="4"/>
      <c r="GS83" s="4"/>
      <c r="GT83" s="4"/>
      <c r="GU83" s="722"/>
      <c r="GV83" s="715"/>
    </row>
    <row r="84" spans="1:204" x14ac:dyDescent="0.25">
      <c r="A84" t="s">
        <v>767</v>
      </c>
      <c r="B84" s="2" t="s">
        <v>768</v>
      </c>
      <c r="C84" s="619">
        <v>44540</v>
      </c>
      <c r="D84" s="2" t="s">
        <v>596</v>
      </c>
      <c r="E84" t="s">
        <v>58</v>
      </c>
      <c r="F84" s="2" t="s">
        <v>43</v>
      </c>
      <c r="G84" t="s">
        <v>40</v>
      </c>
      <c r="H84" s="690" t="s">
        <v>83</v>
      </c>
      <c r="I84" s="691" t="s">
        <v>504</v>
      </c>
      <c r="J84" s="721">
        <v>4100556000100</v>
      </c>
      <c r="K84" s="691" t="s">
        <v>43</v>
      </c>
      <c r="L84" s="721">
        <v>3780401000108</v>
      </c>
      <c r="M84" s="718" t="s">
        <v>3</v>
      </c>
      <c r="N84" s="717" t="s">
        <v>44</v>
      </c>
      <c r="O84" s="719">
        <v>44562</v>
      </c>
      <c r="P84" s="720">
        <v>44651</v>
      </c>
      <c r="Q84" s="718">
        <v>230</v>
      </c>
      <c r="R84" s="717">
        <v>10</v>
      </c>
      <c r="S84" s="691" t="s">
        <v>54</v>
      </c>
      <c r="T84" t="s">
        <v>358</v>
      </c>
      <c r="U84" s="673" t="s">
        <v>358</v>
      </c>
      <c r="V84" s="690" t="s">
        <v>358</v>
      </c>
      <c r="W84" s="657" t="s">
        <v>329</v>
      </c>
      <c r="X84" s="723">
        <v>10</v>
      </c>
      <c r="Y84" s="4">
        <v>10</v>
      </c>
      <c r="Z84" s="4">
        <v>10</v>
      </c>
      <c r="AA84" s="4"/>
      <c r="AB84" s="4"/>
      <c r="AC84" s="4"/>
      <c r="AD84" s="4"/>
      <c r="AE84" s="4"/>
      <c r="AF84" s="4"/>
      <c r="AG84" s="4"/>
      <c r="AH84" s="4"/>
      <c r="AI84" s="654"/>
      <c r="AJ84" s="655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654"/>
      <c r="AV84" s="655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654"/>
      <c r="BH84" s="655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654"/>
      <c r="BT84" s="655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693"/>
      <c r="CF84" s="723">
        <v>230</v>
      </c>
      <c r="CG84" s="4">
        <v>230</v>
      </c>
      <c r="CH84" s="4">
        <v>230</v>
      </c>
      <c r="CI84" s="4"/>
      <c r="CJ84" s="4"/>
      <c r="CK84" s="4"/>
      <c r="CL84" s="4"/>
      <c r="CM84" s="4"/>
      <c r="CN84" s="4"/>
      <c r="CO84" s="4"/>
      <c r="CP84" s="4"/>
      <c r="CQ84" s="654"/>
      <c r="CR84" s="655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654"/>
      <c r="DD84" s="655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654"/>
      <c r="DP84" s="655"/>
      <c r="DQ84" s="4"/>
      <c r="DR84" s="4"/>
      <c r="DS84" s="4"/>
      <c r="DT84" s="4"/>
      <c r="DU84" s="4"/>
      <c r="DV84" s="4"/>
      <c r="DW84" s="4"/>
      <c r="DX84" s="4"/>
      <c r="DY84" s="4"/>
      <c r="DZ84" s="4"/>
      <c r="EA84" s="654"/>
      <c r="EB84" s="655"/>
      <c r="EC84" s="4"/>
      <c r="ED84" s="4"/>
      <c r="EE84" s="4"/>
      <c r="EF84" s="4"/>
      <c r="EG84" s="4"/>
      <c r="EH84" s="4"/>
      <c r="EI84" s="4"/>
      <c r="EJ84" s="4"/>
      <c r="EK84" s="4"/>
      <c r="EL84" s="4"/>
      <c r="EM84" s="693"/>
      <c r="EN84" s="723">
        <v>230</v>
      </c>
      <c r="EO84" s="4">
        <v>230</v>
      </c>
      <c r="EP84" s="4">
        <v>230</v>
      </c>
      <c r="EQ84" s="4"/>
      <c r="ER84" s="4"/>
      <c r="ES84" s="4"/>
      <c r="ET84" s="4"/>
      <c r="EU84" s="4"/>
      <c r="EV84" s="4"/>
      <c r="EW84" s="4"/>
      <c r="EX84" s="4"/>
      <c r="EY84" s="654"/>
      <c r="EZ84" s="655"/>
      <c r="FA84" s="4"/>
      <c r="FB84" s="4"/>
      <c r="FC84" s="4"/>
      <c r="FD84" s="4"/>
      <c r="FE84" s="4"/>
      <c r="FF84" s="4"/>
      <c r="FG84" s="4"/>
      <c r="FH84" s="4"/>
      <c r="FI84" s="4"/>
      <c r="FJ84" s="4"/>
      <c r="FK84" s="654"/>
      <c r="FL84" s="655"/>
      <c r="FM84" s="4"/>
      <c r="FN84" s="4"/>
      <c r="FO84" s="4"/>
      <c r="FP84" s="4"/>
      <c r="FQ84" s="4"/>
      <c r="FR84" s="4"/>
      <c r="FS84" s="4"/>
      <c r="FT84" s="4"/>
      <c r="FU84" s="4"/>
      <c r="FV84" s="4"/>
      <c r="FW84" s="654"/>
      <c r="FX84" s="655"/>
      <c r="FY84" s="4"/>
      <c r="FZ84" s="4"/>
      <c r="GA84" s="4"/>
      <c r="GB84" s="4"/>
      <c r="GC84" s="4"/>
      <c r="GD84" s="4"/>
      <c r="GE84" s="4"/>
      <c r="GF84" s="4"/>
      <c r="GG84" s="4"/>
      <c r="GH84" s="4"/>
      <c r="GI84" s="654"/>
      <c r="GJ84" s="655"/>
      <c r="GK84" s="4"/>
      <c r="GL84" s="4"/>
      <c r="GM84" s="4"/>
      <c r="GN84" s="4"/>
      <c r="GO84" s="4"/>
      <c r="GP84" s="4"/>
      <c r="GQ84" s="4"/>
      <c r="GR84" s="4"/>
      <c r="GS84" s="4"/>
      <c r="GT84" s="4"/>
      <c r="GU84" s="722"/>
      <c r="GV84" s="715"/>
    </row>
    <row r="85" spans="1:204" x14ac:dyDescent="0.25">
      <c r="A85" t="s">
        <v>769</v>
      </c>
      <c r="B85" s="2" t="s">
        <v>770</v>
      </c>
      <c r="C85" s="619">
        <v>44540</v>
      </c>
      <c r="D85" s="2" t="s">
        <v>597</v>
      </c>
      <c r="E85" t="s">
        <v>59</v>
      </c>
      <c r="F85" s="2" t="s">
        <v>43</v>
      </c>
      <c r="G85" t="s">
        <v>40</v>
      </c>
      <c r="H85" s="690" t="s">
        <v>83</v>
      </c>
      <c r="I85" s="691" t="s">
        <v>43</v>
      </c>
      <c r="J85" s="721">
        <v>3780401000108</v>
      </c>
      <c r="K85" s="691" t="s">
        <v>504</v>
      </c>
      <c r="L85" s="721">
        <v>4100556000100</v>
      </c>
      <c r="M85" s="718" t="s">
        <v>3</v>
      </c>
      <c r="N85" s="717" t="s">
        <v>44</v>
      </c>
      <c r="O85" s="719">
        <v>44743</v>
      </c>
      <c r="P85" s="720">
        <v>44926</v>
      </c>
      <c r="Q85" s="718">
        <v>290</v>
      </c>
      <c r="R85" s="717">
        <v>5</v>
      </c>
      <c r="S85" s="691" t="s">
        <v>54</v>
      </c>
      <c r="T85" t="s">
        <v>358</v>
      </c>
      <c r="U85" s="673" t="s">
        <v>358</v>
      </c>
      <c r="V85" s="690" t="s">
        <v>358</v>
      </c>
      <c r="W85" s="657" t="s">
        <v>329</v>
      </c>
      <c r="X85" s="723"/>
      <c r="Y85" s="4"/>
      <c r="Z85" s="4"/>
      <c r="AA85" s="4"/>
      <c r="AB85" s="4"/>
      <c r="AC85" s="4"/>
      <c r="AD85" s="4">
        <v>5</v>
      </c>
      <c r="AE85" s="4">
        <v>5</v>
      </c>
      <c r="AF85" s="4">
        <v>5</v>
      </c>
      <c r="AG85" s="4">
        <v>5</v>
      </c>
      <c r="AH85" s="4">
        <v>5</v>
      </c>
      <c r="AI85" s="654">
        <v>5</v>
      </c>
      <c r="AJ85" s="655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654"/>
      <c r="AV85" s="655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654"/>
      <c r="BH85" s="655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654"/>
      <c r="BT85" s="655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693"/>
      <c r="CF85" s="723"/>
      <c r="CG85" s="4"/>
      <c r="CH85" s="4"/>
      <c r="CI85" s="4"/>
      <c r="CJ85" s="4"/>
      <c r="CK85" s="4"/>
      <c r="CL85" s="4">
        <v>290</v>
      </c>
      <c r="CM85" s="4">
        <v>290</v>
      </c>
      <c r="CN85" s="4">
        <v>290</v>
      </c>
      <c r="CO85" s="4">
        <v>290</v>
      </c>
      <c r="CP85" s="4">
        <v>290</v>
      </c>
      <c r="CQ85" s="654">
        <v>290</v>
      </c>
      <c r="CR85" s="655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654"/>
      <c r="DD85" s="655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654"/>
      <c r="DP85" s="655"/>
      <c r="DQ85" s="4"/>
      <c r="DR85" s="4"/>
      <c r="DS85" s="4"/>
      <c r="DT85" s="4"/>
      <c r="DU85" s="4"/>
      <c r="DV85" s="4"/>
      <c r="DW85" s="4"/>
      <c r="DX85" s="4"/>
      <c r="DY85" s="4"/>
      <c r="DZ85" s="4"/>
      <c r="EA85" s="654"/>
      <c r="EB85" s="655"/>
      <c r="EC85" s="4"/>
      <c r="ED85" s="4"/>
      <c r="EE85" s="4"/>
      <c r="EF85" s="4"/>
      <c r="EG85" s="4"/>
      <c r="EH85" s="4"/>
      <c r="EI85" s="4"/>
      <c r="EJ85" s="4"/>
      <c r="EK85" s="4"/>
      <c r="EL85" s="4"/>
      <c r="EM85" s="693"/>
      <c r="EN85" s="723"/>
      <c r="EO85" s="4"/>
      <c r="EP85" s="4"/>
      <c r="EQ85" s="4"/>
      <c r="ER85" s="4"/>
      <c r="ES85" s="4"/>
      <c r="ET85" s="4">
        <v>290</v>
      </c>
      <c r="EU85" s="4">
        <v>290</v>
      </c>
      <c r="EV85" s="4">
        <v>290</v>
      </c>
      <c r="EW85" s="4">
        <v>290</v>
      </c>
      <c r="EX85" s="4">
        <v>290</v>
      </c>
      <c r="EY85" s="654">
        <v>290</v>
      </c>
      <c r="EZ85" s="655"/>
      <c r="FA85" s="4"/>
      <c r="FB85" s="4"/>
      <c r="FC85" s="4"/>
      <c r="FD85" s="4"/>
      <c r="FE85" s="4"/>
      <c r="FF85" s="4"/>
      <c r="FG85" s="4"/>
      <c r="FH85" s="4"/>
      <c r="FI85" s="4"/>
      <c r="FJ85" s="4"/>
      <c r="FK85" s="654"/>
      <c r="FL85" s="655"/>
      <c r="FM85" s="4"/>
      <c r="FN85" s="4"/>
      <c r="FO85" s="4"/>
      <c r="FP85" s="4"/>
      <c r="FQ85" s="4"/>
      <c r="FR85" s="4"/>
      <c r="FS85" s="4"/>
      <c r="FT85" s="4"/>
      <c r="FU85" s="4"/>
      <c r="FV85" s="4"/>
      <c r="FW85" s="654"/>
      <c r="FX85" s="655"/>
      <c r="FY85" s="4"/>
      <c r="FZ85" s="4"/>
      <c r="GA85" s="4"/>
      <c r="GB85" s="4"/>
      <c r="GC85" s="4"/>
      <c r="GD85" s="4"/>
      <c r="GE85" s="4"/>
      <c r="GF85" s="4"/>
      <c r="GG85" s="4"/>
      <c r="GH85" s="4"/>
      <c r="GI85" s="654"/>
      <c r="GJ85" s="655"/>
      <c r="GK85" s="4"/>
      <c r="GL85" s="4"/>
      <c r="GM85" s="4"/>
      <c r="GN85" s="4"/>
      <c r="GO85" s="4"/>
      <c r="GP85" s="4"/>
      <c r="GQ85" s="4"/>
      <c r="GR85" s="4"/>
      <c r="GS85" s="4"/>
      <c r="GT85" s="4"/>
      <c r="GU85" s="722"/>
      <c r="GV85" s="715"/>
    </row>
    <row r="86" spans="1:204" x14ac:dyDescent="0.25">
      <c r="A86" t="s">
        <v>771</v>
      </c>
      <c r="B86" s="2" t="s">
        <v>772</v>
      </c>
      <c r="C86" s="619">
        <v>44543</v>
      </c>
      <c r="D86" s="2" t="s">
        <v>598</v>
      </c>
      <c r="E86" t="s">
        <v>59</v>
      </c>
      <c r="F86" s="2" t="s">
        <v>43</v>
      </c>
      <c r="G86" t="s">
        <v>40</v>
      </c>
      <c r="H86" s="690" t="s">
        <v>85</v>
      </c>
      <c r="I86" s="691" t="s">
        <v>43</v>
      </c>
      <c r="J86" s="721">
        <v>3780401000108</v>
      </c>
      <c r="K86" s="691" t="s">
        <v>509</v>
      </c>
      <c r="L86" s="721" t="s">
        <v>629</v>
      </c>
      <c r="M86" s="718" t="s">
        <v>3</v>
      </c>
      <c r="N86" s="717" t="s">
        <v>44</v>
      </c>
      <c r="O86" s="719">
        <v>44562</v>
      </c>
      <c r="P86" s="720">
        <v>44926</v>
      </c>
      <c r="Q86" s="718">
        <v>232</v>
      </c>
      <c r="R86" s="717">
        <v>2</v>
      </c>
      <c r="S86" s="691" t="s">
        <v>54</v>
      </c>
      <c r="T86" t="s">
        <v>358</v>
      </c>
      <c r="U86" s="673" t="s">
        <v>358</v>
      </c>
      <c r="V86" s="690" t="s">
        <v>358</v>
      </c>
      <c r="W86" s="657" t="s">
        <v>329</v>
      </c>
      <c r="X86" s="723">
        <v>2</v>
      </c>
      <c r="Y86" s="4">
        <v>2</v>
      </c>
      <c r="Z86" s="4">
        <v>2</v>
      </c>
      <c r="AA86" s="4">
        <v>2</v>
      </c>
      <c r="AB86" s="4">
        <v>2</v>
      </c>
      <c r="AC86" s="4">
        <v>2</v>
      </c>
      <c r="AD86" s="4">
        <v>2</v>
      </c>
      <c r="AE86" s="4">
        <v>2</v>
      </c>
      <c r="AF86" s="4">
        <v>2</v>
      </c>
      <c r="AG86" s="4">
        <v>2</v>
      </c>
      <c r="AH86" s="4">
        <v>2</v>
      </c>
      <c r="AI86" s="654">
        <v>2</v>
      </c>
      <c r="AJ86" s="655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654"/>
      <c r="AV86" s="655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654"/>
      <c r="BH86" s="655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654"/>
      <c r="BT86" s="655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693"/>
      <c r="CF86" s="723">
        <v>232</v>
      </c>
      <c r="CG86" s="4">
        <v>232</v>
      </c>
      <c r="CH86" s="4">
        <v>232</v>
      </c>
      <c r="CI86" s="4">
        <v>232</v>
      </c>
      <c r="CJ86" s="4">
        <v>232</v>
      </c>
      <c r="CK86" s="4">
        <v>232</v>
      </c>
      <c r="CL86" s="4">
        <v>232</v>
      </c>
      <c r="CM86" s="4">
        <v>232</v>
      </c>
      <c r="CN86" s="4">
        <v>232</v>
      </c>
      <c r="CO86" s="4">
        <v>232</v>
      </c>
      <c r="CP86" s="4">
        <v>232</v>
      </c>
      <c r="CQ86" s="654">
        <v>232</v>
      </c>
      <c r="CR86" s="655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654"/>
      <c r="DD86" s="655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654"/>
      <c r="DP86" s="655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654"/>
      <c r="EB86" s="655"/>
      <c r="EC86" s="4"/>
      <c r="ED86" s="4"/>
      <c r="EE86" s="4"/>
      <c r="EF86" s="4"/>
      <c r="EG86" s="4"/>
      <c r="EH86" s="4"/>
      <c r="EI86" s="4"/>
      <c r="EJ86" s="4"/>
      <c r="EK86" s="4"/>
      <c r="EL86" s="4"/>
      <c r="EM86" s="693"/>
      <c r="EN86" s="723">
        <v>232</v>
      </c>
      <c r="EO86" s="4">
        <v>232</v>
      </c>
      <c r="EP86" s="4">
        <v>232</v>
      </c>
      <c r="EQ86" s="4">
        <v>232</v>
      </c>
      <c r="ER86" s="4">
        <v>232</v>
      </c>
      <c r="ES86" s="4">
        <v>232</v>
      </c>
      <c r="ET86" s="4">
        <v>232</v>
      </c>
      <c r="EU86" s="4">
        <v>232</v>
      </c>
      <c r="EV86" s="4">
        <v>232</v>
      </c>
      <c r="EW86" s="4">
        <v>232</v>
      </c>
      <c r="EX86" s="4">
        <v>232</v>
      </c>
      <c r="EY86" s="654">
        <v>232</v>
      </c>
      <c r="EZ86" s="655"/>
      <c r="FA86" s="4"/>
      <c r="FB86" s="4"/>
      <c r="FC86" s="4"/>
      <c r="FD86" s="4"/>
      <c r="FE86" s="4"/>
      <c r="FF86" s="4"/>
      <c r="FG86" s="4"/>
      <c r="FH86" s="4"/>
      <c r="FI86" s="4"/>
      <c r="FJ86" s="4"/>
      <c r="FK86" s="654"/>
      <c r="FL86" s="655"/>
      <c r="FM86" s="4"/>
      <c r="FN86" s="4"/>
      <c r="FO86" s="4"/>
      <c r="FP86" s="4"/>
      <c r="FQ86" s="4"/>
      <c r="FR86" s="4"/>
      <c r="FS86" s="4"/>
      <c r="FT86" s="4"/>
      <c r="FU86" s="4"/>
      <c r="FV86" s="4"/>
      <c r="FW86" s="654"/>
      <c r="FX86" s="655"/>
      <c r="FY86" s="4"/>
      <c r="FZ86" s="4"/>
      <c r="GA86" s="4"/>
      <c r="GB86" s="4"/>
      <c r="GC86" s="4"/>
      <c r="GD86" s="4"/>
      <c r="GE86" s="4"/>
      <c r="GF86" s="4"/>
      <c r="GG86" s="4"/>
      <c r="GH86" s="4"/>
      <c r="GI86" s="654"/>
      <c r="GJ86" s="655"/>
      <c r="GK86" s="4"/>
      <c r="GL86" s="4"/>
      <c r="GM86" s="4"/>
      <c r="GN86" s="4"/>
      <c r="GO86" s="4"/>
      <c r="GP86" s="4"/>
      <c r="GQ86" s="4"/>
      <c r="GR86" s="4"/>
      <c r="GS86" s="4"/>
      <c r="GT86" s="4"/>
      <c r="GU86" s="722"/>
      <c r="GV86" s="715"/>
    </row>
    <row r="87" spans="1:204" x14ac:dyDescent="0.25">
      <c r="A87" t="s">
        <v>773</v>
      </c>
      <c r="B87" s="2" t="s">
        <v>774</v>
      </c>
      <c r="C87" s="619">
        <v>44543</v>
      </c>
      <c r="D87" s="2" t="s">
        <v>599</v>
      </c>
      <c r="E87" t="s">
        <v>59</v>
      </c>
      <c r="F87" s="2" t="s">
        <v>43</v>
      </c>
      <c r="G87" t="s">
        <v>40</v>
      </c>
      <c r="H87" s="690" t="s">
        <v>85</v>
      </c>
      <c r="I87" s="691" t="s">
        <v>43</v>
      </c>
      <c r="J87" s="721">
        <v>3780401000108</v>
      </c>
      <c r="K87" s="691" t="s">
        <v>510</v>
      </c>
      <c r="L87" s="721">
        <v>28397998000129</v>
      </c>
      <c r="M87" s="718" t="s">
        <v>3</v>
      </c>
      <c r="N87" s="717" t="s">
        <v>44</v>
      </c>
      <c r="O87" s="719">
        <v>44743</v>
      </c>
      <c r="P87" s="720">
        <v>44926</v>
      </c>
      <c r="Q87" s="718">
        <v>282</v>
      </c>
      <c r="R87" s="717">
        <v>2</v>
      </c>
      <c r="S87" s="691" t="s">
        <v>54</v>
      </c>
      <c r="T87" t="s">
        <v>358</v>
      </c>
      <c r="U87" s="673" t="s">
        <v>358</v>
      </c>
      <c r="V87" s="690" t="s">
        <v>358</v>
      </c>
      <c r="W87" s="657" t="s">
        <v>329</v>
      </c>
      <c r="X87" s="723"/>
      <c r="Y87" s="4"/>
      <c r="Z87" s="4"/>
      <c r="AA87" s="4"/>
      <c r="AB87" s="4"/>
      <c r="AC87" s="4"/>
      <c r="AD87" s="4">
        <v>2</v>
      </c>
      <c r="AE87" s="4">
        <v>2</v>
      </c>
      <c r="AF87" s="4">
        <v>2</v>
      </c>
      <c r="AG87" s="4">
        <v>2</v>
      </c>
      <c r="AH87" s="4">
        <v>2</v>
      </c>
      <c r="AI87" s="654">
        <v>2</v>
      </c>
      <c r="AJ87" s="655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654"/>
      <c r="AV87" s="655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654"/>
      <c r="BH87" s="655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654"/>
      <c r="BT87" s="655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693"/>
      <c r="CF87" s="723"/>
      <c r="CG87" s="4"/>
      <c r="CH87" s="4"/>
      <c r="CI87" s="4"/>
      <c r="CJ87" s="4"/>
      <c r="CK87" s="4"/>
      <c r="CL87" s="4">
        <v>282</v>
      </c>
      <c r="CM87" s="4">
        <v>282</v>
      </c>
      <c r="CN87" s="4">
        <v>282</v>
      </c>
      <c r="CO87" s="4">
        <v>282</v>
      </c>
      <c r="CP87" s="4">
        <v>282</v>
      </c>
      <c r="CQ87" s="654">
        <v>282</v>
      </c>
      <c r="CR87" s="655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654"/>
      <c r="DD87" s="655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654"/>
      <c r="DP87" s="655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654"/>
      <c r="EB87" s="655"/>
      <c r="EC87" s="4"/>
      <c r="ED87" s="4"/>
      <c r="EE87" s="4"/>
      <c r="EF87" s="4"/>
      <c r="EG87" s="4"/>
      <c r="EH87" s="4"/>
      <c r="EI87" s="4"/>
      <c r="EJ87" s="4"/>
      <c r="EK87" s="4"/>
      <c r="EL87" s="4"/>
      <c r="EM87" s="693"/>
      <c r="EN87" s="723"/>
      <c r="EO87" s="4"/>
      <c r="EP87" s="4"/>
      <c r="EQ87" s="4"/>
      <c r="ER87" s="4"/>
      <c r="ES87" s="4"/>
      <c r="ET87" s="4">
        <v>282</v>
      </c>
      <c r="EU87" s="4">
        <v>282</v>
      </c>
      <c r="EV87" s="4">
        <v>282</v>
      </c>
      <c r="EW87" s="4">
        <v>282</v>
      </c>
      <c r="EX87" s="4">
        <v>282</v>
      </c>
      <c r="EY87" s="654">
        <v>282</v>
      </c>
      <c r="EZ87" s="655"/>
      <c r="FA87" s="4"/>
      <c r="FB87" s="4"/>
      <c r="FC87" s="4"/>
      <c r="FD87" s="4"/>
      <c r="FE87" s="4"/>
      <c r="FF87" s="4"/>
      <c r="FG87" s="4"/>
      <c r="FH87" s="4"/>
      <c r="FI87" s="4"/>
      <c r="FJ87" s="4"/>
      <c r="FK87" s="654"/>
      <c r="FL87" s="655"/>
      <c r="FM87" s="4"/>
      <c r="FN87" s="4"/>
      <c r="FO87" s="4"/>
      <c r="FP87" s="4"/>
      <c r="FQ87" s="4"/>
      <c r="FR87" s="4"/>
      <c r="FS87" s="4"/>
      <c r="FT87" s="4"/>
      <c r="FU87" s="4"/>
      <c r="FV87" s="4"/>
      <c r="FW87" s="654"/>
      <c r="FX87" s="655"/>
      <c r="FY87" s="4"/>
      <c r="FZ87" s="4"/>
      <c r="GA87" s="4"/>
      <c r="GB87" s="4"/>
      <c r="GC87" s="4"/>
      <c r="GD87" s="4"/>
      <c r="GE87" s="4"/>
      <c r="GF87" s="4"/>
      <c r="GG87" s="4"/>
      <c r="GH87" s="4"/>
      <c r="GI87" s="654"/>
      <c r="GJ87" s="655"/>
      <c r="GK87" s="4"/>
      <c r="GL87" s="4"/>
      <c r="GM87" s="4"/>
      <c r="GN87" s="4"/>
      <c r="GO87" s="4"/>
      <c r="GP87" s="4"/>
      <c r="GQ87" s="4"/>
      <c r="GR87" s="4"/>
      <c r="GS87" s="4"/>
      <c r="GT87" s="4"/>
      <c r="GU87" s="722"/>
      <c r="GV87" s="715"/>
    </row>
    <row r="88" spans="1:204" x14ac:dyDescent="0.25">
      <c r="A88" t="s">
        <v>775</v>
      </c>
      <c r="B88" s="2" t="s">
        <v>776</v>
      </c>
      <c r="C88" s="619">
        <v>44543</v>
      </c>
      <c r="D88" s="2" t="s">
        <v>600</v>
      </c>
      <c r="E88" t="s">
        <v>58</v>
      </c>
      <c r="F88" s="2" t="s">
        <v>43</v>
      </c>
      <c r="G88" t="s">
        <v>40</v>
      </c>
      <c r="H88" s="690" t="s">
        <v>84</v>
      </c>
      <c r="I88" s="691" t="s">
        <v>467</v>
      </c>
      <c r="J88" s="721">
        <v>25099255000184</v>
      </c>
      <c r="K88" s="691" t="s">
        <v>43</v>
      </c>
      <c r="L88" s="721">
        <v>3780401000108</v>
      </c>
      <c r="M88" s="718" t="s">
        <v>3</v>
      </c>
      <c r="N88" s="717" t="s">
        <v>44</v>
      </c>
      <c r="O88" s="719">
        <v>44562</v>
      </c>
      <c r="P88" s="720">
        <v>44592</v>
      </c>
      <c r="Q88" s="718">
        <v>184</v>
      </c>
      <c r="R88" s="717">
        <v>2</v>
      </c>
      <c r="S88" s="691" t="s">
        <v>54</v>
      </c>
      <c r="T88" t="s">
        <v>358</v>
      </c>
      <c r="U88" s="673" t="s">
        <v>358</v>
      </c>
      <c r="V88" s="690" t="s">
        <v>358</v>
      </c>
      <c r="W88" s="657" t="s">
        <v>329</v>
      </c>
      <c r="X88" s="723">
        <v>2</v>
      </c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654"/>
      <c r="AJ88" s="655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654"/>
      <c r="AV88" s="655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654"/>
      <c r="BH88" s="655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654"/>
      <c r="BT88" s="655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693"/>
      <c r="CF88" s="723">
        <v>184</v>
      </c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654"/>
      <c r="CR88" s="655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654"/>
      <c r="DD88" s="655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654"/>
      <c r="DP88" s="655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654"/>
      <c r="EB88" s="655"/>
      <c r="EC88" s="4"/>
      <c r="ED88" s="4"/>
      <c r="EE88" s="4"/>
      <c r="EF88" s="4"/>
      <c r="EG88" s="4"/>
      <c r="EH88" s="4"/>
      <c r="EI88" s="4"/>
      <c r="EJ88" s="4"/>
      <c r="EK88" s="4"/>
      <c r="EL88" s="4"/>
      <c r="EM88" s="693"/>
      <c r="EN88" s="723">
        <v>184</v>
      </c>
      <c r="EO88" s="4"/>
      <c r="EP88" s="4"/>
      <c r="EQ88" s="4"/>
      <c r="ER88" s="4"/>
      <c r="ES88" s="4"/>
      <c r="ET88" s="4"/>
      <c r="EU88" s="4"/>
      <c r="EV88" s="4"/>
      <c r="EW88" s="4"/>
      <c r="EX88" s="4"/>
      <c r="EY88" s="654"/>
      <c r="EZ88" s="655"/>
      <c r="FA88" s="4"/>
      <c r="FB88" s="4"/>
      <c r="FC88" s="4"/>
      <c r="FD88" s="4"/>
      <c r="FE88" s="4"/>
      <c r="FF88" s="4"/>
      <c r="FG88" s="4"/>
      <c r="FH88" s="4"/>
      <c r="FI88" s="4"/>
      <c r="FJ88" s="4"/>
      <c r="FK88" s="654"/>
      <c r="FL88" s="655"/>
      <c r="FM88" s="4"/>
      <c r="FN88" s="4"/>
      <c r="FO88" s="4"/>
      <c r="FP88" s="4"/>
      <c r="FQ88" s="4"/>
      <c r="FR88" s="4"/>
      <c r="FS88" s="4"/>
      <c r="FT88" s="4"/>
      <c r="FU88" s="4"/>
      <c r="FV88" s="4"/>
      <c r="FW88" s="654"/>
      <c r="FX88" s="655"/>
      <c r="FY88" s="4"/>
      <c r="FZ88" s="4"/>
      <c r="GA88" s="4"/>
      <c r="GB88" s="4"/>
      <c r="GC88" s="4"/>
      <c r="GD88" s="4"/>
      <c r="GE88" s="4"/>
      <c r="GF88" s="4"/>
      <c r="GG88" s="4"/>
      <c r="GH88" s="4"/>
      <c r="GI88" s="654"/>
      <c r="GJ88" s="655"/>
      <c r="GK88" s="4"/>
      <c r="GL88" s="4"/>
      <c r="GM88" s="4"/>
      <c r="GN88" s="4"/>
      <c r="GO88" s="4"/>
      <c r="GP88" s="4"/>
      <c r="GQ88" s="4"/>
      <c r="GR88" s="4"/>
      <c r="GS88" s="4"/>
      <c r="GT88" s="4"/>
      <c r="GU88" s="722"/>
      <c r="GV88" s="715"/>
    </row>
    <row r="89" spans="1:204" x14ac:dyDescent="0.25">
      <c r="A89" t="s">
        <v>777</v>
      </c>
      <c r="B89" s="2" t="s">
        <v>778</v>
      </c>
      <c r="C89" s="619">
        <v>44543</v>
      </c>
      <c r="D89" s="2" t="s">
        <v>601</v>
      </c>
      <c r="E89" t="s">
        <v>58</v>
      </c>
      <c r="F89" s="2" t="s">
        <v>43</v>
      </c>
      <c r="G89" t="s">
        <v>40</v>
      </c>
      <c r="H89" s="690" t="s">
        <v>84</v>
      </c>
      <c r="I89" s="691" t="s">
        <v>466</v>
      </c>
      <c r="J89" s="721">
        <v>26940979000171</v>
      </c>
      <c r="K89" s="691" t="s">
        <v>43</v>
      </c>
      <c r="L89" s="721">
        <v>3780401000108</v>
      </c>
      <c r="M89" s="718" t="s">
        <v>3</v>
      </c>
      <c r="N89" s="717" t="s">
        <v>44</v>
      </c>
      <c r="O89" s="719">
        <v>44562</v>
      </c>
      <c r="P89" s="720">
        <v>44592</v>
      </c>
      <c r="Q89" s="718">
        <v>185</v>
      </c>
      <c r="R89" s="717">
        <v>2</v>
      </c>
      <c r="S89" s="691" t="s">
        <v>54</v>
      </c>
      <c r="T89" t="s">
        <v>358</v>
      </c>
      <c r="U89" s="673" t="s">
        <v>358</v>
      </c>
      <c r="V89" s="690" t="s">
        <v>358</v>
      </c>
      <c r="W89" s="657" t="s">
        <v>329</v>
      </c>
      <c r="X89" s="723">
        <v>2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654"/>
      <c r="AJ89" s="655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654"/>
      <c r="AV89" s="655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654"/>
      <c r="BH89" s="655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654"/>
      <c r="BT89" s="655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693"/>
      <c r="CF89" s="723">
        <v>185</v>
      </c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654"/>
      <c r="CR89" s="655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654"/>
      <c r="DD89" s="655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654"/>
      <c r="DP89" s="655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654"/>
      <c r="EB89" s="655"/>
      <c r="EC89" s="4"/>
      <c r="ED89" s="4"/>
      <c r="EE89" s="4"/>
      <c r="EF89" s="4"/>
      <c r="EG89" s="4"/>
      <c r="EH89" s="4"/>
      <c r="EI89" s="4"/>
      <c r="EJ89" s="4"/>
      <c r="EK89" s="4"/>
      <c r="EL89" s="4"/>
      <c r="EM89" s="693"/>
      <c r="EN89" s="723">
        <v>185</v>
      </c>
      <c r="EO89" s="4"/>
      <c r="EP89" s="4"/>
      <c r="EQ89" s="4"/>
      <c r="ER89" s="4"/>
      <c r="ES89" s="4"/>
      <c r="ET89" s="4"/>
      <c r="EU89" s="4"/>
      <c r="EV89" s="4"/>
      <c r="EW89" s="4"/>
      <c r="EX89" s="4"/>
      <c r="EY89" s="654"/>
      <c r="EZ89" s="655"/>
      <c r="FA89" s="4"/>
      <c r="FB89" s="4"/>
      <c r="FC89" s="4"/>
      <c r="FD89" s="4"/>
      <c r="FE89" s="4"/>
      <c r="FF89" s="4"/>
      <c r="FG89" s="4"/>
      <c r="FH89" s="4"/>
      <c r="FI89" s="4"/>
      <c r="FJ89" s="4"/>
      <c r="FK89" s="654"/>
      <c r="FL89" s="655"/>
      <c r="FM89" s="4"/>
      <c r="FN89" s="4"/>
      <c r="FO89" s="4"/>
      <c r="FP89" s="4"/>
      <c r="FQ89" s="4"/>
      <c r="FR89" s="4"/>
      <c r="FS89" s="4"/>
      <c r="FT89" s="4"/>
      <c r="FU89" s="4"/>
      <c r="FV89" s="4"/>
      <c r="FW89" s="654"/>
      <c r="FX89" s="655"/>
      <c r="FY89" s="4"/>
      <c r="FZ89" s="4"/>
      <c r="GA89" s="4"/>
      <c r="GB89" s="4"/>
      <c r="GC89" s="4"/>
      <c r="GD89" s="4"/>
      <c r="GE89" s="4"/>
      <c r="GF89" s="4"/>
      <c r="GG89" s="4"/>
      <c r="GH89" s="4"/>
      <c r="GI89" s="654"/>
      <c r="GJ89" s="655"/>
      <c r="GK89" s="4"/>
      <c r="GL89" s="4"/>
      <c r="GM89" s="4"/>
      <c r="GN89" s="4"/>
      <c r="GO89" s="4"/>
      <c r="GP89" s="4"/>
      <c r="GQ89" s="4"/>
      <c r="GR89" s="4"/>
      <c r="GS89" s="4"/>
      <c r="GT89" s="4"/>
      <c r="GU89" s="722"/>
      <c r="GV89" s="715"/>
    </row>
    <row r="90" spans="1:204" x14ac:dyDescent="0.25">
      <c r="A90" t="s">
        <v>779</v>
      </c>
      <c r="B90" s="2" t="s">
        <v>780</v>
      </c>
      <c r="C90" s="619">
        <v>44543</v>
      </c>
      <c r="D90" s="2" t="s">
        <v>602</v>
      </c>
      <c r="E90" t="s">
        <v>58</v>
      </c>
      <c r="F90" s="2" t="s">
        <v>43</v>
      </c>
      <c r="G90" t="s">
        <v>40</v>
      </c>
      <c r="H90" s="690" t="s">
        <v>84</v>
      </c>
      <c r="I90" s="691" t="s">
        <v>473</v>
      </c>
      <c r="J90" s="721">
        <v>15042149000100</v>
      </c>
      <c r="K90" s="691" t="s">
        <v>43</v>
      </c>
      <c r="L90" s="721">
        <v>3780401000108</v>
      </c>
      <c r="M90" s="718" t="s">
        <v>3</v>
      </c>
      <c r="N90" s="717" t="s">
        <v>44</v>
      </c>
      <c r="O90" s="719">
        <v>44593</v>
      </c>
      <c r="P90" s="720">
        <v>44620</v>
      </c>
      <c r="Q90" s="718">
        <v>228</v>
      </c>
      <c r="R90" s="717">
        <v>4</v>
      </c>
      <c r="S90" s="691" t="s">
        <v>54</v>
      </c>
      <c r="T90" t="s">
        <v>358</v>
      </c>
      <c r="U90" s="673" t="s">
        <v>358</v>
      </c>
      <c r="V90" s="690" t="s">
        <v>358</v>
      </c>
      <c r="W90" s="657" t="s">
        <v>329</v>
      </c>
      <c r="X90" s="723"/>
      <c r="Y90" s="4">
        <v>4</v>
      </c>
      <c r="Z90" s="4"/>
      <c r="AA90" s="4"/>
      <c r="AB90" s="4"/>
      <c r="AC90" s="4"/>
      <c r="AD90" s="4"/>
      <c r="AE90" s="4"/>
      <c r="AF90" s="4"/>
      <c r="AG90" s="4"/>
      <c r="AH90" s="4"/>
      <c r="AI90" s="654"/>
      <c r="AJ90" s="655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654"/>
      <c r="AV90" s="655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654"/>
      <c r="BH90" s="655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654"/>
      <c r="BT90" s="655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693"/>
      <c r="CF90" s="723"/>
      <c r="CG90" s="4">
        <v>228</v>
      </c>
      <c r="CH90" s="4"/>
      <c r="CI90" s="4"/>
      <c r="CJ90" s="4"/>
      <c r="CK90" s="4"/>
      <c r="CL90" s="4"/>
      <c r="CM90" s="4"/>
      <c r="CN90" s="4"/>
      <c r="CO90" s="4"/>
      <c r="CP90" s="4"/>
      <c r="CQ90" s="654"/>
      <c r="CR90" s="655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654"/>
      <c r="DD90" s="655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654"/>
      <c r="DP90" s="655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654"/>
      <c r="EB90" s="655"/>
      <c r="EC90" s="4"/>
      <c r="ED90" s="4"/>
      <c r="EE90" s="4"/>
      <c r="EF90" s="4"/>
      <c r="EG90" s="4"/>
      <c r="EH90" s="4"/>
      <c r="EI90" s="4"/>
      <c r="EJ90" s="4"/>
      <c r="EK90" s="4"/>
      <c r="EL90" s="4"/>
      <c r="EM90" s="693"/>
      <c r="EN90" s="723"/>
      <c r="EO90" s="4">
        <v>228</v>
      </c>
      <c r="EP90" s="4"/>
      <c r="EQ90" s="4"/>
      <c r="ER90" s="4"/>
      <c r="ES90" s="4"/>
      <c r="ET90" s="4"/>
      <c r="EU90" s="4"/>
      <c r="EV90" s="4"/>
      <c r="EW90" s="4"/>
      <c r="EX90" s="4"/>
      <c r="EY90" s="654"/>
      <c r="EZ90" s="655"/>
      <c r="FA90" s="4"/>
      <c r="FB90" s="4"/>
      <c r="FC90" s="4"/>
      <c r="FD90" s="4"/>
      <c r="FE90" s="4"/>
      <c r="FF90" s="4"/>
      <c r="FG90" s="4"/>
      <c r="FH90" s="4"/>
      <c r="FI90" s="4"/>
      <c r="FJ90" s="4"/>
      <c r="FK90" s="654"/>
      <c r="FL90" s="655"/>
      <c r="FM90" s="4"/>
      <c r="FN90" s="4"/>
      <c r="FO90" s="4"/>
      <c r="FP90" s="4"/>
      <c r="FQ90" s="4"/>
      <c r="FR90" s="4"/>
      <c r="FS90" s="4"/>
      <c r="FT90" s="4"/>
      <c r="FU90" s="4"/>
      <c r="FV90" s="4"/>
      <c r="FW90" s="654"/>
      <c r="FX90" s="655"/>
      <c r="FY90" s="4"/>
      <c r="FZ90" s="4"/>
      <c r="GA90" s="4"/>
      <c r="GB90" s="4"/>
      <c r="GC90" s="4"/>
      <c r="GD90" s="4"/>
      <c r="GE90" s="4"/>
      <c r="GF90" s="4"/>
      <c r="GG90" s="4"/>
      <c r="GH90" s="4"/>
      <c r="GI90" s="654"/>
      <c r="GJ90" s="655"/>
      <c r="GK90" s="4"/>
      <c r="GL90" s="4"/>
      <c r="GM90" s="4"/>
      <c r="GN90" s="4"/>
      <c r="GO90" s="4"/>
      <c r="GP90" s="4"/>
      <c r="GQ90" s="4"/>
      <c r="GR90" s="4"/>
      <c r="GS90" s="4"/>
      <c r="GT90" s="4"/>
      <c r="GU90" s="722"/>
      <c r="GV90" s="715"/>
    </row>
    <row r="91" spans="1:204" x14ac:dyDescent="0.25">
      <c r="A91" t="s">
        <v>781</v>
      </c>
      <c r="B91" s="2" t="s">
        <v>782</v>
      </c>
      <c r="C91" s="619">
        <v>44543</v>
      </c>
      <c r="D91" s="2" t="s">
        <v>603</v>
      </c>
      <c r="E91" t="s">
        <v>58</v>
      </c>
      <c r="F91" s="2" t="s">
        <v>43</v>
      </c>
      <c r="G91" t="s">
        <v>40</v>
      </c>
      <c r="H91" s="690" t="s">
        <v>84</v>
      </c>
      <c r="I91" s="691" t="s">
        <v>473</v>
      </c>
      <c r="J91" s="721">
        <v>15042149000100</v>
      </c>
      <c r="K91" s="691" t="s">
        <v>43</v>
      </c>
      <c r="L91" s="721">
        <v>3780401000108</v>
      </c>
      <c r="M91" s="718" t="s">
        <v>3</v>
      </c>
      <c r="N91" s="717" t="s">
        <v>44</v>
      </c>
      <c r="O91" s="719">
        <v>44621</v>
      </c>
      <c r="P91" s="720">
        <v>44651</v>
      </c>
      <c r="Q91" s="718">
        <v>220</v>
      </c>
      <c r="R91" s="717">
        <v>4</v>
      </c>
      <c r="S91" s="691" t="s">
        <v>54</v>
      </c>
      <c r="T91" t="s">
        <v>358</v>
      </c>
      <c r="U91" s="673" t="s">
        <v>358</v>
      </c>
      <c r="V91" s="690" t="s">
        <v>358</v>
      </c>
      <c r="W91" s="657" t="s">
        <v>329</v>
      </c>
      <c r="X91" s="723"/>
      <c r="Y91" s="4"/>
      <c r="Z91" s="4">
        <v>4</v>
      </c>
      <c r="AA91" s="4"/>
      <c r="AB91" s="4"/>
      <c r="AC91" s="4"/>
      <c r="AD91" s="4"/>
      <c r="AE91" s="4"/>
      <c r="AF91" s="4"/>
      <c r="AG91" s="4"/>
      <c r="AH91" s="4"/>
      <c r="AI91" s="654"/>
      <c r="AJ91" s="655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654"/>
      <c r="AV91" s="655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654"/>
      <c r="BH91" s="655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654"/>
      <c r="BT91" s="655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693"/>
      <c r="CF91" s="723"/>
      <c r="CG91" s="4"/>
      <c r="CH91" s="4">
        <v>220</v>
      </c>
      <c r="CI91" s="4"/>
      <c r="CJ91" s="4"/>
      <c r="CK91" s="4"/>
      <c r="CL91" s="4"/>
      <c r="CM91" s="4"/>
      <c r="CN91" s="4"/>
      <c r="CO91" s="4"/>
      <c r="CP91" s="4"/>
      <c r="CQ91" s="654"/>
      <c r="CR91" s="655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654"/>
      <c r="DD91" s="655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654"/>
      <c r="DP91" s="655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654"/>
      <c r="EB91" s="655"/>
      <c r="EC91" s="4"/>
      <c r="ED91" s="4"/>
      <c r="EE91" s="4"/>
      <c r="EF91" s="4"/>
      <c r="EG91" s="4"/>
      <c r="EH91" s="4"/>
      <c r="EI91" s="4"/>
      <c r="EJ91" s="4"/>
      <c r="EK91" s="4"/>
      <c r="EL91" s="4"/>
      <c r="EM91" s="693"/>
      <c r="EN91" s="723"/>
      <c r="EO91" s="4"/>
      <c r="EP91" s="4">
        <v>220</v>
      </c>
      <c r="EQ91" s="4"/>
      <c r="ER91" s="4"/>
      <c r="ES91" s="4"/>
      <c r="ET91" s="4"/>
      <c r="EU91" s="4"/>
      <c r="EV91" s="4"/>
      <c r="EW91" s="4"/>
      <c r="EX91" s="4"/>
      <c r="EY91" s="654"/>
      <c r="EZ91" s="655"/>
      <c r="FA91" s="4"/>
      <c r="FB91" s="4"/>
      <c r="FC91" s="4"/>
      <c r="FD91" s="4"/>
      <c r="FE91" s="4"/>
      <c r="FF91" s="4"/>
      <c r="FG91" s="4"/>
      <c r="FH91" s="4"/>
      <c r="FI91" s="4"/>
      <c r="FJ91" s="4"/>
      <c r="FK91" s="654"/>
      <c r="FL91" s="655"/>
      <c r="FM91" s="4"/>
      <c r="FN91" s="4"/>
      <c r="FO91" s="4"/>
      <c r="FP91" s="4"/>
      <c r="FQ91" s="4"/>
      <c r="FR91" s="4"/>
      <c r="FS91" s="4"/>
      <c r="FT91" s="4"/>
      <c r="FU91" s="4"/>
      <c r="FV91" s="4"/>
      <c r="FW91" s="654"/>
      <c r="FX91" s="655"/>
      <c r="FY91" s="4"/>
      <c r="FZ91" s="4"/>
      <c r="GA91" s="4"/>
      <c r="GB91" s="4"/>
      <c r="GC91" s="4"/>
      <c r="GD91" s="4"/>
      <c r="GE91" s="4"/>
      <c r="GF91" s="4"/>
      <c r="GG91" s="4"/>
      <c r="GH91" s="4"/>
      <c r="GI91" s="654"/>
      <c r="GJ91" s="655"/>
      <c r="GK91" s="4"/>
      <c r="GL91" s="4"/>
      <c r="GM91" s="4"/>
      <c r="GN91" s="4"/>
      <c r="GO91" s="4"/>
      <c r="GP91" s="4"/>
      <c r="GQ91" s="4"/>
      <c r="GR91" s="4"/>
      <c r="GS91" s="4"/>
      <c r="GT91" s="4"/>
      <c r="GU91" s="722"/>
      <c r="GV91" s="715"/>
    </row>
    <row r="92" spans="1:204" x14ac:dyDescent="0.25">
      <c r="A92" t="s">
        <v>783</v>
      </c>
      <c r="B92" s="2" t="s">
        <v>784</v>
      </c>
      <c r="C92" s="619">
        <v>44544</v>
      </c>
      <c r="D92" s="2" t="s">
        <v>604</v>
      </c>
      <c r="E92" t="s">
        <v>59</v>
      </c>
      <c r="F92" s="2" t="s">
        <v>43</v>
      </c>
      <c r="G92" t="s">
        <v>40</v>
      </c>
      <c r="H92" s="690" t="s">
        <v>85</v>
      </c>
      <c r="I92" s="691" t="s">
        <v>43</v>
      </c>
      <c r="J92" s="721">
        <v>3780401000108</v>
      </c>
      <c r="K92" s="691" t="s">
        <v>509</v>
      </c>
      <c r="L92" s="721" t="s">
        <v>629</v>
      </c>
      <c r="M92" s="718" t="s">
        <v>3</v>
      </c>
      <c r="N92" s="717" t="s">
        <v>44</v>
      </c>
      <c r="O92" s="719">
        <v>44562</v>
      </c>
      <c r="P92" s="720">
        <v>44926</v>
      </c>
      <c r="Q92" s="718">
        <v>227</v>
      </c>
      <c r="R92" s="717">
        <v>2</v>
      </c>
      <c r="S92" s="691" t="s">
        <v>54</v>
      </c>
      <c r="T92" t="s">
        <v>358</v>
      </c>
      <c r="U92" s="673" t="s">
        <v>358</v>
      </c>
      <c r="V92" s="690" t="s">
        <v>358</v>
      </c>
      <c r="W92" s="657" t="s">
        <v>329</v>
      </c>
      <c r="X92" s="723">
        <v>2</v>
      </c>
      <c r="Y92" s="4">
        <v>2</v>
      </c>
      <c r="Z92" s="4">
        <v>2</v>
      </c>
      <c r="AA92" s="4">
        <v>2</v>
      </c>
      <c r="AB92" s="4">
        <v>2</v>
      </c>
      <c r="AC92" s="4">
        <v>2</v>
      </c>
      <c r="AD92" s="4">
        <v>2</v>
      </c>
      <c r="AE92" s="4">
        <v>2</v>
      </c>
      <c r="AF92" s="4">
        <v>2</v>
      </c>
      <c r="AG92" s="4">
        <v>2</v>
      </c>
      <c r="AH92" s="4">
        <v>2</v>
      </c>
      <c r="AI92" s="654">
        <v>2</v>
      </c>
      <c r="AJ92" s="655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654"/>
      <c r="AV92" s="655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654"/>
      <c r="BH92" s="655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654"/>
      <c r="BT92" s="655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693"/>
      <c r="CF92" s="723">
        <v>227</v>
      </c>
      <c r="CG92" s="4">
        <v>227</v>
      </c>
      <c r="CH92" s="4">
        <v>227</v>
      </c>
      <c r="CI92" s="4">
        <v>227</v>
      </c>
      <c r="CJ92" s="4">
        <v>227</v>
      </c>
      <c r="CK92" s="4">
        <v>227</v>
      </c>
      <c r="CL92" s="4">
        <v>227</v>
      </c>
      <c r="CM92" s="4">
        <v>227</v>
      </c>
      <c r="CN92" s="4">
        <v>227</v>
      </c>
      <c r="CO92" s="4">
        <v>227</v>
      </c>
      <c r="CP92" s="4">
        <v>227</v>
      </c>
      <c r="CQ92" s="654">
        <v>227</v>
      </c>
      <c r="CR92" s="655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654"/>
      <c r="DD92" s="655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654"/>
      <c r="DP92" s="655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654"/>
      <c r="EB92" s="655"/>
      <c r="EC92" s="4"/>
      <c r="ED92" s="4"/>
      <c r="EE92" s="4"/>
      <c r="EF92" s="4"/>
      <c r="EG92" s="4"/>
      <c r="EH92" s="4"/>
      <c r="EI92" s="4"/>
      <c r="EJ92" s="4"/>
      <c r="EK92" s="4"/>
      <c r="EL92" s="4"/>
      <c r="EM92" s="693"/>
      <c r="EN92" s="723">
        <v>227</v>
      </c>
      <c r="EO92" s="4">
        <v>227</v>
      </c>
      <c r="EP92" s="4">
        <v>227</v>
      </c>
      <c r="EQ92" s="4">
        <v>227</v>
      </c>
      <c r="ER92" s="4">
        <v>227</v>
      </c>
      <c r="ES92" s="4">
        <v>227</v>
      </c>
      <c r="ET92" s="4">
        <v>227</v>
      </c>
      <c r="EU92" s="4">
        <v>227</v>
      </c>
      <c r="EV92" s="4">
        <v>227</v>
      </c>
      <c r="EW92" s="4">
        <v>227</v>
      </c>
      <c r="EX92" s="4">
        <v>227</v>
      </c>
      <c r="EY92" s="654">
        <v>227</v>
      </c>
      <c r="EZ92" s="655"/>
      <c r="FA92" s="4"/>
      <c r="FB92" s="4"/>
      <c r="FC92" s="4"/>
      <c r="FD92" s="4"/>
      <c r="FE92" s="4"/>
      <c r="FF92" s="4"/>
      <c r="FG92" s="4"/>
      <c r="FH92" s="4"/>
      <c r="FI92" s="4"/>
      <c r="FJ92" s="4"/>
      <c r="FK92" s="654"/>
      <c r="FL92" s="655"/>
      <c r="FM92" s="4"/>
      <c r="FN92" s="4"/>
      <c r="FO92" s="4"/>
      <c r="FP92" s="4"/>
      <c r="FQ92" s="4"/>
      <c r="FR92" s="4"/>
      <c r="FS92" s="4"/>
      <c r="FT92" s="4"/>
      <c r="FU92" s="4"/>
      <c r="FV92" s="4"/>
      <c r="FW92" s="654"/>
      <c r="FX92" s="655"/>
      <c r="FY92" s="4"/>
      <c r="FZ92" s="4"/>
      <c r="GA92" s="4"/>
      <c r="GB92" s="4"/>
      <c r="GC92" s="4"/>
      <c r="GD92" s="4"/>
      <c r="GE92" s="4"/>
      <c r="GF92" s="4"/>
      <c r="GG92" s="4"/>
      <c r="GH92" s="4"/>
      <c r="GI92" s="654"/>
      <c r="GJ92" s="655"/>
      <c r="GK92" s="4"/>
      <c r="GL92" s="4"/>
      <c r="GM92" s="4"/>
      <c r="GN92" s="4"/>
      <c r="GO92" s="4"/>
      <c r="GP92" s="4"/>
      <c r="GQ92" s="4"/>
      <c r="GR92" s="4"/>
      <c r="GS92" s="4"/>
      <c r="GT92" s="4"/>
      <c r="GU92" s="722"/>
      <c r="GV92" s="715"/>
    </row>
    <row r="93" spans="1:204" x14ac:dyDescent="0.25">
      <c r="A93" t="s">
        <v>785</v>
      </c>
      <c r="B93" s="2" t="s">
        <v>786</v>
      </c>
      <c r="C93" s="619">
        <v>44544</v>
      </c>
      <c r="D93" s="2" t="s">
        <v>605</v>
      </c>
      <c r="E93" t="s">
        <v>58</v>
      </c>
      <c r="F93" s="2" t="s">
        <v>43</v>
      </c>
      <c r="G93" t="s">
        <v>40</v>
      </c>
      <c r="H93" s="690" t="s">
        <v>84</v>
      </c>
      <c r="I93" s="691" t="s">
        <v>472</v>
      </c>
      <c r="J93" s="721">
        <v>4802543000183</v>
      </c>
      <c r="K93" s="691" t="s">
        <v>43</v>
      </c>
      <c r="L93" s="721">
        <v>3780401000108</v>
      </c>
      <c r="M93" s="718" t="s">
        <v>3</v>
      </c>
      <c r="N93" s="717" t="s">
        <v>44</v>
      </c>
      <c r="O93" s="719">
        <v>44593</v>
      </c>
      <c r="P93" s="720">
        <v>44620</v>
      </c>
      <c r="Q93" s="718">
        <v>199</v>
      </c>
      <c r="R93" s="717">
        <v>2</v>
      </c>
      <c r="S93" s="691" t="s">
        <v>54</v>
      </c>
      <c r="T93" t="s">
        <v>358</v>
      </c>
      <c r="U93" s="673" t="s">
        <v>358</v>
      </c>
      <c r="V93" s="690" t="s">
        <v>358</v>
      </c>
      <c r="W93" s="657" t="s">
        <v>329</v>
      </c>
      <c r="X93" s="723"/>
      <c r="Y93" s="4">
        <v>2</v>
      </c>
      <c r="Z93" s="4"/>
      <c r="AA93" s="4"/>
      <c r="AB93" s="4"/>
      <c r="AC93" s="4"/>
      <c r="AD93" s="4"/>
      <c r="AE93" s="4"/>
      <c r="AF93" s="4"/>
      <c r="AG93" s="4"/>
      <c r="AH93" s="4"/>
      <c r="AI93" s="654"/>
      <c r="AJ93" s="655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654"/>
      <c r="AV93" s="655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654"/>
      <c r="BH93" s="655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654"/>
      <c r="BT93" s="655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693"/>
      <c r="CF93" s="723"/>
      <c r="CG93" s="4">
        <v>199</v>
      </c>
      <c r="CH93" s="4"/>
      <c r="CI93" s="4"/>
      <c r="CJ93" s="4"/>
      <c r="CK93" s="4"/>
      <c r="CL93" s="4"/>
      <c r="CM93" s="4"/>
      <c r="CN93" s="4"/>
      <c r="CO93" s="4"/>
      <c r="CP93" s="4"/>
      <c r="CQ93" s="654"/>
      <c r="CR93" s="655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654"/>
      <c r="DD93" s="655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654"/>
      <c r="DP93" s="655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654"/>
      <c r="EB93" s="655"/>
      <c r="EC93" s="4"/>
      <c r="ED93" s="4"/>
      <c r="EE93" s="4"/>
      <c r="EF93" s="4"/>
      <c r="EG93" s="4"/>
      <c r="EH93" s="4"/>
      <c r="EI93" s="4"/>
      <c r="EJ93" s="4"/>
      <c r="EK93" s="4"/>
      <c r="EL93" s="4"/>
      <c r="EM93" s="693"/>
      <c r="EN93" s="723"/>
      <c r="EO93" s="4">
        <v>199</v>
      </c>
      <c r="EP93" s="4"/>
      <c r="EQ93" s="4"/>
      <c r="ER93" s="4"/>
      <c r="ES93" s="4"/>
      <c r="ET93" s="4"/>
      <c r="EU93" s="4"/>
      <c r="EV93" s="4"/>
      <c r="EW93" s="4"/>
      <c r="EX93" s="4"/>
      <c r="EY93" s="654"/>
      <c r="EZ93" s="655"/>
      <c r="FA93" s="4"/>
      <c r="FB93" s="4"/>
      <c r="FC93" s="4"/>
      <c r="FD93" s="4"/>
      <c r="FE93" s="4"/>
      <c r="FF93" s="4"/>
      <c r="FG93" s="4"/>
      <c r="FH93" s="4"/>
      <c r="FI93" s="4"/>
      <c r="FJ93" s="4"/>
      <c r="FK93" s="654"/>
      <c r="FL93" s="655"/>
      <c r="FM93" s="4"/>
      <c r="FN93" s="4"/>
      <c r="FO93" s="4"/>
      <c r="FP93" s="4"/>
      <c r="FQ93" s="4"/>
      <c r="FR93" s="4"/>
      <c r="FS93" s="4"/>
      <c r="FT93" s="4"/>
      <c r="FU93" s="4"/>
      <c r="FV93" s="4"/>
      <c r="FW93" s="654"/>
      <c r="FX93" s="655"/>
      <c r="FY93" s="4"/>
      <c r="FZ93" s="4"/>
      <c r="GA93" s="4"/>
      <c r="GB93" s="4"/>
      <c r="GC93" s="4"/>
      <c r="GD93" s="4"/>
      <c r="GE93" s="4"/>
      <c r="GF93" s="4"/>
      <c r="GG93" s="4"/>
      <c r="GH93" s="4"/>
      <c r="GI93" s="654"/>
      <c r="GJ93" s="655"/>
      <c r="GK93" s="4"/>
      <c r="GL93" s="4"/>
      <c r="GM93" s="4"/>
      <c r="GN93" s="4"/>
      <c r="GO93" s="4"/>
      <c r="GP93" s="4"/>
      <c r="GQ93" s="4"/>
      <c r="GR93" s="4"/>
      <c r="GS93" s="4"/>
      <c r="GT93" s="4"/>
      <c r="GU93" s="722"/>
      <c r="GV93" s="715"/>
    </row>
    <row r="94" spans="1:204" x14ac:dyDescent="0.25">
      <c r="A94" t="s">
        <v>787</v>
      </c>
      <c r="B94" s="2" t="s">
        <v>788</v>
      </c>
      <c r="C94" s="619">
        <v>44544</v>
      </c>
      <c r="D94" s="2" t="s">
        <v>606</v>
      </c>
      <c r="E94" t="s">
        <v>59</v>
      </c>
      <c r="F94" s="2" t="s">
        <v>43</v>
      </c>
      <c r="G94" t="s">
        <v>40</v>
      </c>
      <c r="H94" s="690" t="s">
        <v>85</v>
      </c>
      <c r="I94" s="691" t="s">
        <v>43</v>
      </c>
      <c r="J94" s="721">
        <v>3780401000108</v>
      </c>
      <c r="K94" s="691" t="s">
        <v>619</v>
      </c>
      <c r="L94" s="721">
        <v>12009135000105</v>
      </c>
      <c r="M94" s="718" t="s">
        <v>3</v>
      </c>
      <c r="N94" s="717" t="s">
        <v>44</v>
      </c>
      <c r="O94" s="719">
        <v>44743</v>
      </c>
      <c r="P94" s="720">
        <v>44926</v>
      </c>
      <c r="Q94" s="718">
        <v>265</v>
      </c>
      <c r="R94" s="717">
        <v>9</v>
      </c>
      <c r="S94" s="691" t="s">
        <v>54</v>
      </c>
      <c r="T94" t="s">
        <v>358</v>
      </c>
      <c r="U94" s="673" t="s">
        <v>358</v>
      </c>
      <c r="V94" s="690" t="s">
        <v>358</v>
      </c>
      <c r="W94" s="657" t="s">
        <v>329</v>
      </c>
      <c r="X94" s="723"/>
      <c r="Y94" s="4"/>
      <c r="Z94" s="4"/>
      <c r="AA94" s="4"/>
      <c r="AB94" s="4"/>
      <c r="AC94" s="4"/>
      <c r="AD94" s="4">
        <v>9</v>
      </c>
      <c r="AE94" s="4">
        <v>9</v>
      </c>
      <c r="AF94" s="4">
        <v>9</v>
      </c>
      <c r="AG94" s="4">
        <v>9</v>
      </c>
      <c r="AH94" s="4">
        <v>9</v>
      </c>
      <c r="AI94" s="654">
        <v>9</v>
      </c>
      <c r="AJ94" s="655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654"/>
      <c r="AV94" s="655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654"/>
      <c r="BH94" s="655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654"/>
      <c r="BT94" s="655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693"/>
      <c r="CF94" s="723"/>
      <c r="CG94" s="4"/>
      <c r="CH94" s="4"/>
      <c r="CI94" s="4"/>
      <c r="CJ94" s="4"/>
      <c r="CK94" s="4"/>
      <c r="CL94" s="4">
        <v>265</v>
      </c>
      <c r="CM94" s="4">
        <v>265</v>
      </c>
      <c r="CN94" s="4">
        <v>265</v>
      </c>
      <c r="CO94" s="4">
        <v>265</v>
      </c>
      <c r="CP94" s="4">
        <v>265</v>
      </c>
      <c r="CQ94" s="654">
        <v>265</v>
      </c>
      <c r="CR94" s="655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654"/>
      <c r="DD94" s="655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654"/>
      <c r="DP94" s="655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654"/>
      <c r="EB94" s="655"/>
      <c r="EC94" s="4"/>
      <c r="ED94" s="4"/>
      <c r="EE94" s="4"/>
      <c r="EF94" s="4"/>
      <c r="EG94" s="4"/>
      <c r="EH94" s="4"/>
      <c r="EI94" s="4"/>
      <c r="EJ94" s="4"/>
      <c r="EK94" s="4"/>
      <c r="EL94" s="4"/>
      <c r="EM94" s="693"/>
      <c r="EN94" s="723"/>
      <c r="EO94" s="4"/>
      <c r="EP94" s="4"/>
      <c r="EQ94" s="4"/>
      <c r="ER94" s="4"/>
      <c r="ES94" s="4"/>
      <c r="ET94" s="4">
        <v>265</v>
      </c>
      <c r="EU94" s="4">
        <v>265</v>
      </c>
      <c r="EV94" s="4">
        <v>265</v>
      </c>
      <c r="EW94" s="4">
        <v>265</v>
      </c>
      <c r="EX94" s="4">
        <v>265</v>
      </c>
      <c r="EY94" s="654">
        <v>265</v>
      </c>
      <c r="EZ94" s="655"/>
      <c r="FA94" s="4"/>
      <c r="FB94" s="4"/>
      <c r="FC94" s="4"/>
      <c r="FD94" s="4"/>
      <c r="FE94" s="4"/>
      <c r="FF94" s="4"/>
      <c r="FG94" s="4"/>
      <c r="FH94" s="4"/>
      <c r="FI94" s="4"/>
      <c r="FJ94" s="4"/>
      <c r="FK94" s="654"/>
      <c r="FL94" s="655"/>
      <c r="FM94" s="4"/>
      <c r="FN94" s="4"/>
      <c r="FO94" s="4"/>
      <c r="FP94" s="4"/>
      <c r="FQ94" s="4"/>
      <c r="FR94" s="4"/>
      <c r="FS94" s="4"/>
      <c r="FT94" s="4"/>
      <c r="FU94" s="4"/>
      <c r="FV94" s="4"/>
      <c r="FW94" s="654"/>
      <c r="FX94" s="655"/>
      <c r="FY94" s="4"/>
      <c r="FZ94" s="4"/>
      <c r="GA94" s="4"/>
      <c r="GB94" s="4"/>
      <c r="GC94" s="4"/>
      <c r="GD94" s="4"/>
      <c r="GE94" s="4"/>
      <c r="GF94" s="4"/>
      <c r="GG94" s="4"/>
      <c r="GH94" s="4"/>
      <c r="GI94" s="654"/>
      <c r="GJ94" s="655"/>
      <c r="GK94" s="4"/>
      <c r="GL94" s="4"/>
      <c r="GM94" s="4"/>
      <c r="GN94" s="4"/>
      <c r="GO94" s="4"/>
      <c r="GP94" s="4"/>
      <c r="GQ94" s="4"/>
      <c r="GR94" s="4"/>
      <c r="GS94" s="4"/>
      <c r="GT94" s="4"/>
      <c r="GU94" s="722"/>
      <c r="GV94" s="715"/>
    </row>
    <row r="95" spans="1:204" x14ac:dyDescent="0.25">
      <c r="A95" t="s">
        <v>789</v>
      </c>
      <c r="B95" s="2" t="s">
        <v>790</v>
      </c>
      <c r="C95" s="619">
        <v>44544</v>
      </c>
      <c r="D95" s="2" t="s">
        <v>607</v>
      </c>
      <c r="E95" t="s">
        <v>58</v>
      </c>
      <c r="F95" s="2" t="s">
        <v>43</v>
      </c>
      <c r="G95" t="s">
        <v>40</v>
      </c>
      <c r="H95" s="690" t="s">
        <v>84</v>
      </c>
      <c r="I95" s="691" t="s">
        <v>531</v>
      </c>
      <c r="J95" s="721">
        <v>31102147000116</v>
      </c>
      <c r="K95" s="691" t="s">
        <v>43</v>
      </c>
      <c r="L95" s="721">
        <v>3780401000108</v>
      </c>
      <c r="M95" s="718" t="s">
        <v>3</v>
      </c>
      <c r="N95" s="717" t="s">
        <v>44</v>
      </c>
      <c r="O95" s="719">
        <v>44593</v>
      </c>
      <c r="P95" s="720">
        <v>44620</v>
      </c>
      <c r="Q95" s="718">
        <v>197</v>
      </c>
      <c r="R95" s="717">
        <v>1</v>
      </c>
      <c r="S95" s="691" t="s">
        <v>54</v>
      </c>
      <c r="T95" t="s">
        <v>358</v>
      </c>
      <c r="U95" s="673" t="s">
        <v>358</v>
      </c>
      <c r="V95" s="690" t="s">
        <v>358</v>
      </c>
      <c r="W95" s="657" t="s">
        <v>329</v>
      </c>
      <c r="X95" s="723"/>
      <c r="Y95" s="4">
        <v>1</v>
      </c>
      <c r="Z95" s="4"/>
      <c r="AA95" s="4"/>
      <c r="AB95" s="4"/>
      <c r="AC95" s="4"/>
      <c r="AD95" s="4"/>
      <c r="AE95" s="4"/>
      <c r="AF95" s="4"/>
      <c r="AG95" s="4"/>
      <c r="AH95" s="4"/>
      <c r="AI95" s="654"/>
      <c r="AJ95" s="655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654"/>
      <c r="AV95" s="655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654"/>
      <c r="BH95" s="655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654"/>
      <c r="BT95" s="655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693"/>
      <c r="CF95" s="723"/>
      <c r="CG95" s="4">
        <v>197</v>
      </c>
      <c r="CH95" s="4"/>
      <c r="CI95" s="4"/>
      <c r="CJ95" s="4"/>
      <c r="CK95" s="4"/>
      <c r="CL95" s="4"/>
      <c r="CM95" s="4"/>
      <c r="CN95" s="4"/>
      <c r="CO95" s="4"/>
      <c r="CP95" s="4"/>
      <c r="CQ95" s="654"/>
      <c r="CR95" s="655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654"/>
      <c r="DD95" s="655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654"/>
      <c r="DP95" s="655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654"/>
      <c r="EB95" s="655"/>
      <c r="EC95" s="4"/>
      <c r="ED95" s="4"/>
      <c r="EE95" s="4"/>
      <c r="EF95" s="4"/>
      <c r="EG95" s="4"/>
      <c r="EH95" s="4"/>
      <c r="EI95" s="4"/>
      <c r="EJ95" s="4"/>
      <c r="EK95" s="4"/>
      <c r="EL95" s="4"/>
      <c r="EM95" s="693"/>
      <c r="EN95" s="723"/>
      <c r="EO95" s="4">
        <v>197</v>
      </c>
      <c r="EP95" s="4"/>
      <c r="EQ95" s="4"/>
      <c r="ER95" s="4"/>
      <c r="ES95" s="4"/>
      <c r="ET95" s="4"/>
      <c r="EU95" s="4"/>
      <c r="EV95" s="4"/>
      <c r="EW95" s="4"/>
      <c r="EX95" s="4"/>
      <c r="EY95" s="654"/>
      <c r="EZ95" s="655"/>
      <c r="FA95" s="4"/>
      <c r="FB95" s="4"/>
      <c r="FC95" s="4"/>
      <c r="FD95" s="4"/>
      <c r="FE95" s="4"/>
      <c r="FF95" s="4"/>
      <c r="FG95" s="4"/>
      <c r="FH95" s="4"/>
      <c r="FI95" s="4"/>
      <c r="FJ95" s="4"/>
      <c r="FK95" s="654"/>
      <c r="FL95" s="655"/>
      <c r="FM95" s="4"/>
      <c r="FN95" s="4"/>
      <c r="FO95" s="4"/>
      <c r="FP95" s="4"/>
      <c r="FQ95" s="4"/>
      <c r="FR95" s="4"/>
      <c r="FS95" s="4"/>
      <c r="FT95" s="4"/>
      <c r="FU95" s="4"/>
      <c r="FV95" s="4"/>
      <c r="FW95" s="654"/>
      <c r="FX95" s="655"/>
      <c r="FY95" s="4"/>
      <c r="FZ95" s="4"/>
      <c r="GA95" s="4"/>
      <c r="GB95" s="4"/>
      <c r="GC95" s="4"/>
      <c r="GD95" s="4"/>
      <c r="GE95" s="4"/>
      <c r="GF95" s="4"/>
      <c r="GG95" s="4"/>
      <c r="GH95" s="4"/>
      <c r="GI95" s="654"/>
      <c r="GJ95" s="655"/>
      <c r="GK95" s="4"/>
      <c r="GL95" s="4"/>
      <c r="GM95" s="4"/>
      <c r="GN95" s="4"/>
      <c r="GO95" s="4"/>
      <c r="GP95" s="4"/>
      <c r="GQ95" s="4"/>
      <c r="GR95" s="4"/>
      <c r="GS95" s="4"/>
      <c r="GT95" s="4"/>
      <c r="GU95" s="722"/>
      <c r="GV95" s="715"/>
    </row>
    <row r="96" spans="1:204" x14ac:dyDescent="0.25">
      <c r="A96" t="s">
        <v>791</v>
      </c>
      <c r="B96" s="2" t="s">
        <v>792</v>
      </c>
      <c r="C96" s="619">
        <v>44544</v>
      </c>
      <c r="D96" s="2" t="s">
        <v>608</v>
      </c>
      <c r="E96" t="s">
        <v>59</v>
      </c>
      <c r="F96" s="2" t="s">
        <v>43</v>
      </c>
      <c r="G96" t="s">
        <v>40</v>
      </c>
      <c r="H96" s="690" t="s">
        <v>85</v>
      </c>
      <c r="I96" s="691" t="s">
        <v>43</v>
      </c>
      <c r="J96" s="721">
        <v>3780401000108</v>
      </c>
      <c r="K96" s="691" t="s">
        <v>620</v>
      </c>
      <c r="L96" s="721">
        <v>4149295000113</v>
      </c>
      <c r="M96" s="718" t="s">
        <v>3</v>
      </c>
      <c r="N96" s="717" t="s">
        <v>44</v>
      </c>
      <c r="O96" s="719">
        <v>44652</v>
      </c>
      <c r="P96" s="720">
        <v>44742</v>
      </c>
      <c r="Q96" s="718">
        <v>178</v>
      </c>
      <c r="R96" s="717">
        <v>6</v>
      </c>
      <c r="S96" s="691" t="s">
        <v>54</v>
      </c>
      <c r="T96" t="s">
        <v>358</v>
      </c>
      <c r="U96" s="673" t="s">
        <v>358</v>
      </c>
      <c r="V96" s="690" t="s">
        <v>358</v>
      </c>
      <c r="W96" s="657" t="s">
        <v>329</v>
      </c>
      <c r="X96" s="723"/>
      <c r="Y96" s="4"/>
      <c r="Z96" s="4"/>
      <c r="AA96" s="4">
        <v>6</v>
      </c>
      <c r="AB96" s="4">
        <v>6</v>
      </c>
      <c r="AC96" s="4">
        <v>6</v>
      </c>
      <c r="AD96" s="4"/>
      <c r="AE96" s="4"/>
      <c r="AF96" s="4"/>
      <c r="AG96" s="4"/>
      <c r="AH96" s="4"/>
      <c r="AI96" s="654"/>
      <c r="AJ96" s="655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654"/>
      <c r="AV96" s="655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654"/>
      <c r="BH96" s="655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654"/>
      <c r="BT96" s="655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693"/>
      <c r="CF96" s="723"/>
      <c r="CG96" s="4"/>
      <c r="CH96" s="4"/>
      <c r="CI96" s="4">
        <v>178</v>
      </c>
      <c r="CJ96" s="4">
        <v>178</v>
      </c>
      <c r="CK96" s="4">
        <v>178</v>
      </c>
      <c r="CL96" s="4"/>
      <c r="CM96" s="4"/>
      <c r="CN96" s="4"/>
      <c r="CO96" s="4"/>
      <c r="CP96" s="4"/>
      <c r="CQ96" s="654"/>
      <c r="CR96" s="655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654"/>
      <c r="DD96" s="655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654"/>
      <c r="DP96" s="655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654"/>
      <c r="EB96" s="655"/>
      <c r="EC96" s="4"/>
      <c r="ED96" s="4"/>
      <c r="EE96" s="4"/>
      <c r="EF96" s="4"/>
      <c r="EG96" s="4"/>
      <c r="EH96" s="4"/>
      <c r="EI96" s="4"/>
      <c r="EJ96" s="4"/>
      <c r="EK96" s="4"/>
      <c r="EL96" s="4"/>
      <c r="EM96" s="693"/>
      <c r="EN96" s="723"/>
      <c r="EO96" s="4"/>
      <c r="EP96" s="4"/>
      <c r="EQ96" s="4">
        <v>178</v>
      </c>
      <c r="ER96" s="4">
        <v>178</v>
      </c>
      <c r="ES96" s="4">
        <v>178</v>
      </c>
      <c r="ET96" s="4"/>
      <c r="EU96" s="4"/>
      <c r="EV96" s="4"/>
      <c r="EW96" s="4"/>
      <c r="EX96" s="4"/>
      <c r="EY96" s="654"/>
      <c r="EZ96" s="655"/>
      <c r="FA96" s="4"/>
      <c r="FB96" s="4"/>
      <c r="FC96" s="4"/>
      <c r="FD96" s="4"/>
      <c r="FE96" s="4"/>
      <c r="FF96" s="4"/>
      <c r="FG96" s="4"/>
      <c r="FH96" s="4"/>
      <c r="FI96" s="4"/>
      <c r="FJ96" s="4"/>
      <c r="FK96" s="654"/>
      <c r="FL96" s="655"/>
      <c r="FM96" s="4"/>
      <c r="FN96" s="4"/>
      <c r="FO96" s="4"/>
      <c r="FP96" s="4"/>
      <c r="FQ96" s="4"/>
      <c r="FR96" s="4"/>
      <c r="FS96" s="4"/>
      <c r="FT96" s="4"/>
      <c r="FU96" s="4"/>
      <c r="FV96" s="4"/>
      <c r="FW96" s="654"/>
      <c r="FX96" s="655"/>
      <c r="FY96" s="4"/>
      <c r="FZ96" s="4"/>
      <c r="GA96" s="4"/>
      <c r="GB96" s="4"/>
      <c r="GC96" s="4"/>
      <c r="GD96" s="4"/>
      <c r="GE96" s="4"/>
      <c r="GF96" s="4"/>
      <c r="GG96" s="4"/>
      <c r="GH96" s="4"/>
      <c r="GI96" s="654"/>
      <c r="GJ96" s="655"/>
      <c r="GK96" s="4"/>
      <c r="GL96" s="4"/>
      <c r="GM96" s="4"/>
      <c r="GN96" s="4"/>
      <c r="GO96" s="4"/>
      <c r="GP96" s="4"/>
      <c r="GQ96" s="4"/>
      <c r="GR96" s="4"/>
      <c r="GS96" s="4"/>
      <c r="GT96" s="4"/>
      <c r="GU96" s="722"/>
      <c r="GV96" s="715"/>
    </row>
    <row r="97" spans="1:204" x14ac:dyDescent="0.25">
      <c r="A97" t="s">
        <v>793</v>
      </c>
      <c r="B97" s="2" t="s">
        <v>794</v>
      </c>
      <c r="C97" s="619">
        <v>44544</v>
      </c>
      <c r="D97" s="2" t="s">
        <v>609</v>
      </c>
      <c r="E97" t="s">
        <v>58</v>
      </c>
      <c r="F97" s="2" t="s">
        <v>43</v>
      </c>
      <c r="G97" t="s">
        <v>40</v>
      </c>
      <c r="H97" s="690" t="s">
        <v>84</v>
      </c>
      <c r="I97" s="691" t="s">
        <v>475</v>
      </c>
      <c r="J97" s="721">
        <v>27796415000170</v>
      </c>
      <c r="K97" s="691" t="s">
        <v>43</v>
      </c>
      <c r="L97" s="721">
        <v>3780401000108</v>
      </c>
      <c r="M97" s="718" t="s">
        <v>3</v>
      </c>
      <c r="N97" s="717" t="s">
        <v>44</v>
      </c>
      <c r="O97" s="719">
        <v>44896</v>
      </c>
      <c r="P97" s="720">
        <v>44926</v>
      </c>
      <c r="Q97" s="718">
        <v>237</v>
      </c>
      <c r="R97" s="717">
        <v>10</v>
      </c>
      <c r="S97" s="691" t="s">
        <v>54</v>
      </c>
      <c r="T97" t="s">
        <v>358</v>
      </c>
      <c r="U97" s="673" t="s">
        <v>358</v>
      </c>
      <c r="V97" s="690" t="s">
        <v>358</v>
      </c>
      <c r="W97" s="657" t="s">
        <v>329</v>
      </c>
      <c r="X97" s="723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654">
        <v>10</v>
      </c>
      <c r="AJ97" s="655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654"/>
      <c r="AV97" s="655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654"/>
      <c r="BH97" s="655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654"/>
      <c r="BT97" s="655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693"/>
      <c r="CF97" s="723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654">
        <v>237</v>
      </c>
      <c r="CR97" s="655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654"/>
      <c r="DD97" s="655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654"/>
      <c r="DP97" s="655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654"/>
      <c r="EB97" s="655"/>
      <c r="EC97" s="4"/>
      <c r="ED97" s="4"/>
      <c r="EE97" s="4"/>
      <c r="EF97" s="4"/>
      <c r="EG97" s="4"/>
      <c r="EH97" s="4"/>
      <c r="EI97" s="4"/>
      <c r="EJ97" s="4"/>
      <c r="EK97" s="4"/>
      <c r="EL97" s="4"/>
      <c r="EM97" s="693"/>
      <c r="EN97" s="723"/>
      <c r="EO97" s="4"/>
      <c r="EP97" s="4"/>
      <c r="EQ97" s="4"/>
      <c r="ER97" s="4"/>
      <c r="ES97" s="4"/>
      <c r="ET97" s="4"/>
      <c r="EU97" s="4"/>
      <c r="EV97" s="4"/>
      <c r="EW97" s="4"/>
      <c r="EX97" s="4"/>
      <c r="EY97" s="654">
        <v>237</v>
      </c>
      <c r="EZ97" s="655"/>
      <c r="FA97" s="4"/>
      <c r="FB97" s="4"/>
      <c r="FC97" s="4"/>
      <c r="FD97" s="4"/>
      <c r="FE97" s="4"/>
      <c r="FF97" s="4"/>
      <c r="FG97" s="4"/>
      <c r="FH97" s="4"/>
      <c r="FI97" s="4"/>
      <c r="FJ97" s="4"/>
      <c r="FK97" s="654"/>
      <c r="FL97" s="655"/>
      <c r="FM97" s="4"/>
      <c r="FN97" s="4"/>
      <c r="FO97" s="4"/>
      <c r="FP97" s="4"/>
      <c r="FQ97" s="4"/>
      <c r="FR97" s="4"/>
      <c r="FS97" s="4"/>
      <c r="FT97" s="4"/>
      <c r="FU97" s="4"/>
      <c r="FV97" s="4"/>
      <c r="FW97" s="654"/>
      <c r="FX97" s="655"/>
      <c r="FY97" s="4"/>
      <c r="FZ97" s="4"/>
      <c r="GA97" s="4"/>
      <c r="GB97" s="4"/>
      <c r="GC97" s="4"/>
      <c r="GD97" s="4"/>
      <c r="GE97" s="4"/>
      <c r="GF97" s="4"/>
      <c r="GG97" s="4"/>
      <c r="GH97" s="4"/>
      <c r="GI97" s="654"/>
      <c r="GJ97" s="655"/>
      <c r="GK97" s="4"/>
      <c r="GL97" s="4"/>
      <c r="GM97" s="4"/>
      <c r="GN97" s="4"/>
      <c r="GO97" s="4"/>
      <c r="GP97" s="4"/>
      <c r="GQ97" s="4"/>
      <c r="GR97" s="4"/>
      <c r="GS97" s="4"/>
      <c r="GT97" s="4"/>
      <c r="GU97" s="722"/>
      <c r="GV97" s="715"/>
    </row>
    <row r="98" spans="1:204" x14ac:dyDescent="0.25">
      <c r="A98" t="s">
        <v>795</v>
      </c>
      <c r="B98" s="2" t="s">
        <v>796</v>
      </c>
      <c r="C98" s="619">
        <v>44544</v>
      </c>
      <c r="D98" s="2" t="s">
        <v>610</v>
      </c>
      <c r="E98" t="s">
        <v>59</v>
      </c>
      <c r="F98" s="2" t="s">
        <v>43</v>
      </c>
      <c r="G98" t="s">
        <v>40</v>
      </c>
      <c r="H98" s="690" t="s">
        <v>85</v>
      </c>
      <c r="I98" s="691" t="s">
        <v>43</v>
      </c>
      <c r="J98" s="721">
        <v>3780401000108</v>
      </c>
      <c r="K98" s="691" t="s">
        <v>475</v>
      </c>
      <c r="L98" s="721">
        <v>27796415000170</v>
      </c>
      <c r="M98" s="718" t="s">
        <v>3</v>
      </c>
      <c r="N98" s="717" t="s">
        <v>44</v>
      </c>
      <c r="O98" s="719">
        <v>44866</v>
      </c>
      <c r="P98" s="720">
        <v>44895</v>
      </c>
      <c r="Q98" s="718">
        <v>262</v>
      </c>
      <c r="R98" s="717">
        <v>5</v>
      </c>
      <c r="S98" s="691" t="s">
        <v>54</v>
      </c>
      <c r="T98" t="s">
        <v>358</v>
      </c>
      <c r="U98" s="673" t="s">
        <v>358</v>
      </c>
      <c r="V98" s="690" t="s">
        <v>358</v>
      </c>
      <c r="W98" s="657" t="s">
        <v>329</v>
      </c>
      <c r="X98" s="723"/>
      <c r="Y98" s="4"/>
      <c r="Z98" s="4"/>
      <c r="AA98" s="4"/>
      <c r="AB98" s="4"/>
      <c r="AC98" s="4"/>
      <c r="AD98" s="4"/>
      <c r="AE98" s="4"/>
      <c r="AF98" s="4"/>
      <c r="AG98" s="4"/>
      <c r="AH98" s="4">
        <v>5</v>
      </c>
      <c r="AI98" s="654"/>
      <c r="AJ98" s="655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654"/>
      <c r="AV98" s="655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654"/>
      <c r="BH98" s="655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654"/>
      <c r="BT98" s="655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693"/>
      <c r="CF98" s="723"/>
      <c r="CG98" s="4"/>
      <c r="CH98" s="4"/>
      <c r="CI98" s="4"/>
      <c r="CJ98" s="4"/>
      <c r="CK98" s="4"/>
      <c r="CL98" s="4"/>
      <c r="CM98" s="4"/>
      <c r="CN98" s="4"/>
      <c r="CO98" s="4"/>
      <c r="CP98" s="4">
        <v>262</v>
      </c>
      <c r="CQ98" s="654"/>
      <c r="CR98" s="655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654"/>
      <c r="DD98" s="655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654"/>
      <c r="DP98" s="655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654"/>
      <c r="EB98" s="655"/>
      <c r="EC98" s="4"/>
      <c r="ED98" s="4"/>
      <c r="EE98" s="4"/>
      <c r="EF98" s="4"/>
      <c r="EG98" s="4"/>
      <c r="EH98" s="4"/>
      <c r="EI98" s="4"/>
      <c r="EJ98" s="4"/>
      <c r="EK98" s="4"/>
      <c r="EL98" s="4"/>
      <c r="EM98" s="693"/>
      <c r="EN98" s="723"/>
      <c r="EO98" s="4"/>
      <c r="EP98" s="4"/>
      <c r="EQ98" s="4"/>
      <c r="ER98" s="4"/>
      <c r="ES98" s="4"/>
      <c r="ET98" s="4"/>
      <c r="EU98" s="4"/>
      <c r="EV98" s="4"/>
      <c r="EW98" s="4"/>
      <c r="EX98" s="4">
        <v>262</v>
      </c>
      <c r="EY98" s="654"/>
      <c r="EZ98" s="655"/>
      <c r="FA98" s="4"/>
      <c r="FB98" s="4"/>
      <c r="FC98" s="4"/>
      <c r="FD98" s="4"/>
      <c r="FE98" s="4"/>
      <c r="FF98" s="4"/>
      <c r="FG98" s="4"/>
      <c r="FH98" s="4"/>
      <c r="FI98" s="4"/>
      <c r="FJ98" s="4"/>
      <c r="FK98" s="654"/>
      <c r="FL98" s="655"/>
      <c r="FM98" s="4"/>
      <c r="FN98" s="4"/>
      <c r="FO98" s="4"/>
      <c r="FP98" s="4"/>
      <c r="FQ98" s="4"/>
      <c r="FR98" s="4"/>
      <c r="FS98" s="4"/>
      <c r="FT98" s="4"/>
      <c r="FU98" s="4"/>
      <c r="FV98" s="4"/>
      <c r="FW98" s="654"/>
      <c r="FX98" s="655"/>
      <c r="FY98" s="4"/>
      <c r="FZ98" s="4"/>
      <c r="GA98" s="4"/>
      <c r="GB98" s="4"/>
      <c r="GC98" s="4"/>
      <c r="GD98" s="4"/>
      <c r="GE98" s="4"/>
      <c r="GF98" s="4"/>
      <c r="GG98" s="4"/>
      <c r="GH98" s="4"/>
      <c r="GI98" s="654"/>
      <c r="GJ98" s="655"/>
      <c r="GK98" s="4"/>
      <c r="GL98" s="4"/>
      <c r="GM98" s="4"/>
      <c r="GN98" s="4"/>
      <c r="GO98" s="4"/>
      <c r="GP98" s="4"/>
      <c r="GQ98" s="4"/>
      <c r="GR98" s="4"/>
      <c r="GS98" s="4"/>
      <c r="GT98" s="4"/>
      <c r="GU98" s="722"/>
      <c r="GV98" s="715"/>
    </row>
    <row r="99" spans="1:204" x14ac:dyDescent="0.25">
      <c r="A99" t="s">
        <v>797</v>
      </c>
      <c r="B99" s="2" t="s">
        <v>798</v>
      </c>
      <c r="C99" s="619">
        <v>44544</v>
      </c>
      <c r="D99" s="2" t="s">
        <v>611</v>
      </c>
      <c r="E99" t="s">
        <v>59</v>
      </c>
      <c r="F99" s="2" t="s">
        <v>43</v>
      </c>
      <c r="G99" t="s">
        <v>40</v>
      </c>
      <c r="H99" s="690" t="s">
        <v>85</v>
      </c>
      <c r="I99" s="691" t="s">
        <v>43</v>
      </c>
      <c r="J99" s="721">
        <v>3780401000108</v>
      </c>
      <c r="K99" s="691" t="s">
        <v>475</v>
      </c>
      <c r="L99" s="721">
        <v>27796415000170</v>
      </c>
      <c r="M99" s="718" t="s">
        <v>3</v>
      </c>
      <c r="N99" s="717" t="s">
        <v>44</v>
      </c>
      <c r="O99" s="719">
        <v>44835</v>
      </c>
      <c r="P99" s="720">
        <v>44865</v>
      </c>
      <c r="Q99" s="718">
        <v>262</v>
      </c>
      <c r="R99" s="717">
        <v>5.1612900000000002</v>
      </c>
      <c r="S99" s="691" t="s">
        <v>54</v>
      </c>
      <c r="T99" t="s">
        <v>358</v>
      </c>
      <c r="U99" s="673" t="s">
        <v>358</v>
      </c>
      <c r="V99" s="690" t="s">
        <v>358</v>
      </c>
      <c r="W99" s="657" t="s">
        <v>329</v>
      </c>
      <c r="X99" s="723"/>
      <c r="Y99" s="4"/>
      <c r="Z99" s="4"/>
      <c r="AA99" s="4"/>
      <c r="AB99" s="4"/>
      <c r="AC99" s="4"/>
      <c r="AD99" s="4"/>
      <c r="AE99" s="4"/>
      <c r="AF99" s="4"/>
      <c r="AG99" s="4">
        <v>5.1612900000000002</v>
      </c>
      <c r="AH99" s="4"/>
      <c r="AI99" s="654"/>
      <c r="AJ99" s="655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654"/>
      <c r="AV99" s="655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654"/>
      <c r="BH99" s="655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654"/>
      <c r="BT99" s="655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693"/>
      <c r="CF99" s="723"/>
      <c r="CG99" s="4"/>
      <c r="CH99" s="4"/>
      <c r="CI99" s="4"/>
      <c r="CJ99" s="4"/>
      <c r="CK99" s="4"/>
      <c r="CL99" s="4"/>
      <c r="CM99" s="4"/>
      <c r="CN99" s="4"/>
      <c r="CO99" s="4">
        <v>262</v>
      </c>
      <c r="CP99" s="4"/>
      <c r="CQ99" s="654"/>
      <c r="CR99" s="655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654"/>
      <c r="DD99" s="655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654"/>
      <c r="DP99" s="655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654"/>
      <c r="EB99" s="655"/>
      <c r="EC99" s="4"/>
      <c r="ED99" s="4"/>
      <c r="EE99" s="4"/>
      <c r="EF99" s="4"/>
      <c r="EG99" s="4"/>
      <c r="EH99" s="4"/>
      <c r="EI99" s="4"/>
      <c r="EJ99" s="4"/>
      <c r="EK99" s="4"/>
      <c r="EL99" s="4"/>
      <c r="EM99" s="693"/>
      <c r="EN99" s="723"/>
      <c r="EO99" s="4"/>
      <c r="EP99" s="4"/>
      <c r="EQ99" s="4"/>
      <c r="ER99" s="4"/>
      <c r="ES99" s="4"/>
      <c r="ET99" s="4"/>
      <c r="EU99" s="4"/>
      <c r="EV99" s="4"/>
      <c r="EW99" s="4">
        <v>262</v>
      </c>
      <c r="EX99" s="4"/>
      <c r="EY99" s="654"/>
      <c r="EZ99" s="655"/>
      <c r="FA99" s="4"/>
      <c r="FB99" s="4"/>
      <c r="FC99" s="4"/>
      <c r="FD99" s="4"/>
      <c r="FE99" s="4"/>
      <c r="FF99" s="4"/>
      <c r="FG99" s="4"/>
      <c r="FH99" s="4"/>
      <c r="FI99" s="4"/>
      <c r="FJ99" s="4"/>
      <c r="FK99" s="654"/>
      <c r="FL99" s="655"/>
      <c r="FM99" s="4"/>
      <c r="FN99" s="4"/>
      <c r="FO99" s="4"/>
      <c r="FP99" s="4"/>
      <c r="FQ99" s="4"/>
      <c r="FR99" s="4"/>
      <c r="FS99" s="4"/>
      <c r="FT99" s="4"/>
      <c r="FU99" s="4"/>
      <c r="FV99" s="4"/>
      <c r="FW99" s="654"/>
      <c r="FX99" s="655"/>
      <c r="FY99" s="4"/>
      <c r="FZ99" s="4"/>
      <c r="GA99" s="4"/>
      <c r="GB99" s="4"/>
      <c r="GC99" s="4"/>
      <c r="GD99" s="4"/>
      <c r="GE99" s="4"/>
      <c r="GF99" s="4"/>
      <c r="GG99" s="4"/>
      <c r="GH99" s="4"/>
      <c r="GI99" s="654"/>
      <c r="GJ99" s="655"/>
      <c r="GK99" s="4"/>
      <c r="GL99" s="4"/>
      <c r="GM99" s="4"/>
      <c r="GN99" s="4"/>
      <c r="GO99" s="4"/>
      <c r="GP99" s="4"/>
      <c r="GQ99" s="4"/>
      <c r="GR99" s="4"/>
      <c r="GS99" s="4"/>
      <c r="GT99" s="4"/>
      <c r="GU99" s="722"/>
      <c r="GV99" s="715"/>
    </row>
    <row r="100" spans="1:204" x14ac:dyDescent="0.25">
      <c r="A100" t="s">
        <v>799</v>
      </c>
      <c r="B100" s="2" t="s">
        <v>800</v>
      </c>
      <c r="C100" s="619">
        <v>44544</v>
      </c>
      <c r="D100" s="2" t="s">
        <v>612</v>
      </c>
      <c r="E100" t="s">
        <v>59</v>
      </c>
      <c r="F100" s="2" t="s">
        <v>43</v>
      </c>
      <c r="G100" t="s">
        <v>40</v>
      </c>
      <c r="H100" s="690" t="s">
        <v>85</v>
      </c>
      <c r="I100" s="691" t="s">
        <v>43</v>
      </c>
      <c r="J100" s="721">
        <v>3780401000108</v>
      </c>
      <c r="K100" s="691" t="s">
        <v>1689</v>
      </c>
      <c r="L100" s="721" t="s">
        <v>1690</v>
      </c>
      <c r="M100" s="718" t="s">
        <v>3</v>
      </c>
      <c r="N100" s="717" t="s">
        <v>44</v>
      </c>
      <c r="O100" s="719">
        <v>44562</v>
      </c>
      <c r="P100" s="720">
        <v>44926</v>
      </c>
      <c r="Q100" s="718">
        <v>225</v>
      </c>
      <c r="R100" s="717">
        <v>5</v>
      </c>
      <c r="S100" s="691" t="s">
        <v>54</v>
      </c>
      <c r="T100" t="s">
        <v>358</v>
      </c>
      <c r="U100" s="673" t="s">
        <v>358</v>
      </c>
      <c r="V100" s="690" t="s">
        <v>358</v>
      </c>
      <c r="W100" s="657" t="s">
        <v>329</v>
      </c>
      <c r="X100" s="723">
        <v>5</v>
      </c>
      <c r="Y100" s="4">
        <v>5</v>
      </c>
      <c r="Z100" s="4">
        <v>5</v>
      </c>
      <c r="AA100" s="4">
        <v>5</v>
      </c>
      <c r="AB100" s="4">
        <v>5</v>
      </c>
      <c r="AC100" s="4">
        <v>5</v>
      </c>
      <c r="AD100" s="4">
        <v>5</v>
      </c>
      <c r="AE100" s="4">
        <v>5</v>
      </c>
      <c r="AF100" s="4">
        <v>5</v>
      </c>
      <c r="AG100" s="4">
        <v>5</v>
      </c>
      <c r="AH100" s="4">
        <v>5</v>
      </c>
      <c r="AI100" s="654">
        <v>5</v>
      </c>
      <c r="AJ100" s="655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654"/>
      <c r="AV100" s="655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654"/>
      <c r="BH100" s="655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654"/>
      <c r="BT100" s="655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693"/>
      <c r="CF100" s="723">
        <v>225</v>
      </c>
      <c r="CG100" s="4">
        <v>225</v>
      </c>
      <c r="CH100" s="4">
        <v>225</v>
      </c>
      <c r="CI100" s="4">
        <v>225</v>
      </c>
      <c r="CJ100" s="4">
        <v>225</v>
      </c>
      <c r="CK100" s="4">
        <v>225</v>
      </c>
      <c r="CL100" s="4">
        <v>225</v>
      </c>
      <c r="CM100" s="4">
        <v>225</v>
      </c>
      <c r="CN100" s="4">
        <v>225</v>
      </c>
      <c r="CO100" s="4">
        <v>225</v>
      </c>
      <c r="CP100" s="4">
        <v>225</v>
      </c>
      <c r="CQ100" s="654">
        <v>225</v>
      </c>
      <c r="CR100" s="655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654"/>
      <c r="DD100" s="655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654"/>
      <c r="DP100" s="655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654"/>
      <c r="EB100" s="655"/>
      <c r="EC100" s="4"/>
      <c r="ED100" s="4"/>
      <c r="EE100" s="4"/>
      <c r="EF100" s="4"/>
      <c r="EG100" s="4"/>
      <c r="EH100" s="4"/>
      <c r="EI100" s="4"/>
      <c r="EJ100" s="4"/>
      <c r="EK100" s="4"/>
      <c r="EL100" s="4"/>
      <c r="EM100" s="693"/>
      <c r="EN100" s="723">
        <v>225</v>
      </c>
      <c r="EO100" s="4">
        <v>225</v>
      </c>
      <c r="EP100" s="4">
        <v>225</v>
      </c>
      <c r="EQ100" s="4">
        <v>225</v>
      </c>
      <c r="ER100" s="4">
        <v>225</v>
      </c>
      <c r="ES100" s="4">
        <v>225</v>
      </c>
      <c r="ET100" s="4">
        <v>225</v>
      </c>
      <c r="EU100" s="4">
        <v>225</v>
      </c>
      <c r="EV100" s="4">
        <v>225</v>
      </c>
      <c r="EW100" s="4">
        <v>225</v>
      </c>
      <c r="EX100" s="4">
        <v>225</v>
      </c>
      <c r="EY100" s="654">
        <v>225</v>
      </c>
      <c r="EZ100" s="655"/>
      <c r="FA100" s="4"/>
      <c r="FB100" s="4"/>
      <c r="FC100" s="4"/>
      <c r="FD100" s="4"/>
      <c r="FE100" s="4"/>
      <c r="FF100" s="4"/>
      <c r="FG100" s="4"/>
      <c r="FH100" s="4"/>
      <c r="FI100" s="4"/>
      <c r="FJ100" s="4"/>
      <c r="FK100" s="654"/>
      <c r="FL100" s="655"/>
      <c r="FM100" s="4"/>
      <c r="FN100" s="4"/>
      <c r="FO100" s="4"/>
      <c r="FP100" s="4"/>
      <c r="FQ100" s="4"/>
      <c r="FR100" s="4"/>
      <c r="FS100" s="4"/>
      <c r="FT100" s="4"/>
      <c r="FU100" s="4"/>
      <c r="FV100" s="4"/>
      <c r="FW100" s="654"/>
      <c r="FX100" s="655"/>
      <c r="FY100" s="4"/>
      <c r="FZ100" s="4"/>
      <c r="GA100" s="4"/>
      <c r="GB100" s="4"/>
      <c r="GC100" s="4"/>
      <c r="GD100" s="4"/>
      <c r="GE100" s="4"/>
      <c r="GF100" s="4"/>
      <c r="GG100" s="4"/>
      <c r="GH100" s="4"/>
      <c r="GI100" s="654"/>
      <c r="GJ100" s="655"/>
      <c r="GK100" s="4"/>
      <c r="GL100" s="4"/>
      <c r="GM100" s="4"/>
      <c r="GN100" s="4"/>
      <c r="GO100" s="4"/>
      <c r="GP100" s="4"/>
      <c r="GQ100" s="4"/>
      <c r="GR100" s="4"/>
      <c r="GS100" s="4"/>
      <c r="GT100" s="4"/>
      <c r="GU100" s="722"/>
      <c r="GV100" s="715"/>
    </row>
    <row r="101" spans="1:204" x14ac:dyDescent="0.25">
      <c r="A101" t="s">
        <v>801</v>
      </c>
      <c r="B101" s="2" t="s">
        <v>802</v>
      </c>
      <c r="C101" s="619">
        <v>44544</v>
      </c>
      <c r="D101" s="2" t="s">
        <v>613</v>
      </c>
      <c r="E101" t="s">
        <v>59</v>
      </c>
      <c r="F101" s="2" t="s">
        <v>43</v>
      </c>
      <c r="G101" t="s">
        <v>40</v>
      </c>
      <c r="H101" s="690" t="s">
        <v>85</v>
      </c>
      <c r="I101" s="691" t="s">
        <v>43</v>
      </c>
      <c r="J101" s="721">
        <v>3780401000108</v>
      </c>
      <c r="K101" s="691" t="s">
        <v>621</v>
      </c>
      <c r="L101" s="721">
        <v>29198324000168</v>
      </c>
      <c r="M101" s="718" t="s">
        <v>3</v>
      </c>
      <c r="N101" s="717" t="s">
        <v>44</v>
      </c>
      <c r="O101" s="719">
        <v>44743</v>
      </c>
      <c r="P101" s="720">
        <v>44926</v>
      </c>
      <c r="Q101" s="718">
        <v>266</v>
      </c>
      <c r="R101" s="717">
        <v>1</v>
      </c>
      <c r="S101" s="691" t="s">
        <v>54</v>
      </c>
      <c r="T101" t="s">
        <v>358</v>
      </c>
      <c r="U101" s="673" t="s">
        <v>358</v>
      </c>
      <c r="V101" s="690" t="s">
        <v>358</v>
      </c>
      <c r="W101" s="657" t="s">
        <v>329</v>
      </c>
      <c r="X101" s="723"/>
      <c r="Y101" s="4"/>
      <c r="Z101" s="4"/>
      <c r="AA101" s="4"/>
      <c r="AB101" s="4"/>
      <c r="AC101" s="4"/>
      <c r="AD101" s="4">
        <v>1</v>
      </c>
      <c r="AE101" s="4">
        <v>1</v>
      </c>
      <c r="AF101" s="4">
        <v>1</v>
      </c>
      <c r="AG101" s="4">
        <v>1</v>
      </c>
      <c r="AH101" s="4">
        <v>1</v>
      </c>
      <c r="AI101" s="654">
        <v>1</v>
      </c>
      <c r="AJ101" s="655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654"/>
      <c r="AV101" s="655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654"/>
      <c r="BH101" s="655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654"/>
      <c r="BT101" s="655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693"/>
      <c r="CF101" s="723"/>
      <c r="CG101" s="4"/>
      <c r="CH101" s="4"/>
      <c r="CI101" s="4"/>
      <c r="CJ101" s="4"/>
      <c r="CK101" s="4"/>
      <c r="CL101" s="4">
        <v>266</v>
      </c>
      <c r="CM101" s="4">
        <v>266</v>
      </c>
      <c r="CN101" s="4">
        <v>266</v>
      </c>
      <c r="CO101" s="4">
        <v>266</v>
      </c>
      <c r="CP101" s="4">
        <v>266</v>
      </c>
      <c r="CQ101" s="654">
        <v>266</v>
      </c>
      <c r="CR101" s="655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654"/>
      <c r="DD101" s="655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654"/>
      <c r="DP101" s="655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654"/>
      <c r="EB101" s="655"/>
      <c r="EC101" s="4"/>
      <c r="ED101" s="4"/>
      <c r="EE101" s="4"/>
      <c r="EF101" s="4"/>
      <c r="EG101" s="4"/>
      <c r="EH101" s="4"/>
      <c r="EI101" s="4"/>
      <c r="EJ101" s="4"/>
      <c r="EK101" s="4"/>
      <c r="EL101" s="4"/>
      <c r="EM101" s="693"/>
      <c r="EN101" s="723"/>
      <c r="EO101" s="4"/>
      <c r="EP101" s="4"/>
      <c r="EQ101" s="4"/>
      <c r="ER101" s="4"/>
      <c r="ES101" s="4"/>
      <c r="ET101" s="4">
        <v>266</v>
      </c>
      <c r="EU101" s="4">
        <v>266</v>
      </c>
      <c r="EV101" s="4">
        <v>266</v>
      </c>
      <c r="EW101" s="4">
        <v>266</v>
      </c>
      <c r="EX101" s="4">
        <v>266</v>
      </c>
      <c r="EY101" s="654">
        <v>266</v>
      </c>
      <c r="EZ101" s="655"/>
      <c r="FA101" s="4"/>
      <c r="FB101" s="4"/>
      <c r="FC101" s="4"/>
      <c r="FD101" s="4"/>
      <c r="FE101" s="4"/>
      <c r="FF101" s="4"/>
      <c r="FG101" s="4"/>
      <c r="FH101" s="4"/>
      <c r="FI101" s="4"/>
      <c r="FJ101" s="4"/>
      <c r="FK101" s="654"/>
      <c r="FL101" s="655"/>
      <c r="FM101" s="4"/>
      <c r="FN101" s="4"/>
      <c r="FO101" s="4"/>
      <c r="FP101" s="4"/>
      <c r="FQ101" s="4"/>
      <c r="FR101" s="4"/>
      <c r="FS101" s="4"/>
      <c r="FT101" s="4"/>
      <c r="FU101" s="4"/>
      <c r="FV101" s="4"/>
      <c r="FW101" s="654"/>
      <c r="FX101" s="655"/>
      <c r="FY101" s="4"/>
      <c r="FZ101" s="4"/>
      <c r="GA101" s="4"/>
      <c r="GB101" s="4"/>
      <c r="GC101" s="4"/>
      <c r="GD101" s="4"/>
      <c r="GE101" s="4"/>
      <c r="GF101" s="4"/>
      <c r="GG101" s="4"/>
      <c r="GH101" s="4"/>
      <c r="GI101" s="654"/>
      <c r="GJ101" s="655"/>
      <c r="GK101" s="4"/>
      <c r="GL101" s="4"/>
      <c r="GM101" s="4"/>
      <c r="GN101" s="4"/>
      <c r="GO101" s="4"/>
      <c r="GP101" s="4"/>
      <c r="GQ101" s="4"/>
      <c r="GR101" s="4"/>
      <c r="GS101" s="4"/>
      <c r="GT101" s="4"/>
      <c r="GU101" s="722"/>
      <c r="GV101" s="715"/>
    </row>
    <row r="102" spans="1:204" x14ac:dyDescent="0.25">
      <c r="A102" t="s">
        <v>803</v>
      </c>
      <c r="B102" s="2" t="s">
        <v>804</v>
      </c>
      <c r="C102" s="619">
        <v>44544</v>
      </c>
      <c r="D102" s="2" t="s">
        <v>614</v>
      </c>
      <c r="E102" t="s">
        <v>58</v>
      </c>
      <c r="F102" s="2" t="s">
        <v>43</v>
      </c>
      <c r="G102" t="s">
        <v>40</v>
      </c>
      <c r="H102" s="690" t="s">
        <v>84</v>
      </c>
      <c r="I102" s="691" t="s">
        <v>621</v>
      </c>
      <c r="J102" s="721">
        <v>29198324000168</v>
      </c>
      <c r="K102" s="691" t="s">
        <v>43</v>
      </c>
      <c r="L102" s="721">
        <v>3780401000108</v>
      </c>
      <c r="M102" s="718" t="s">
        <v>3</v>
      </c>
      <c r="N102" s="717" t="s">
        <v>44</v>
      </c>
      <c r="O102" s="719">
        <v>44621</v>
      </c>
      <c r="P102" s="720">
        <v>44651</v>
      </c>
      <c r="Q102" s="718">
        <v>190</v>
      </c>
      <c r="R102" s="717">
        <v>4</v>
      </c>
      <c r="S102" s="691" t="s">
        <v>54</v>
      </c>
      <c r="T102" t="s">
        <v>358</v>
      </c>
      <c r="U102" s="673" t="s">
        <v>358</v>
      </c>
      <c r="V102" s="690" t="s">
        <v>358</v>
      </c>
      <c r="W102" s="657" t="s">
        <v>329</v>
      </c>
      <c r="X102" s="723"/>
      <c r="Y102" s="4"/>
      <c r="Z102" s="4">
        <v>4</v>
      </c>
      <c r="AA102" s="4"/>
      <c r="AB102" s="4"/>
      <c r="AC102" s="4"/>
      <c r="AD102" s="4"/>
      <c r="AE102" s="4"/>
      <c r="AF102" s="4"/>
      <c r="AG102" s="4"/>
      <c r="AH102" s="4"/>
      <c r="AI102" s="654"/>
      <c r="AJ102" s="655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654"/>
      <c r="AV102" s="655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654"/>
      <c r="BH102" s="655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654"/>
      <c r="BT102" s="655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693"/>
      <c r="CF102" s="723"/>
      <c r="CG102" s="4"/>
      <c r="CH102" s="4">
        <v>190</v>
      </c>
      <c r="CI102" s="4"/>
      <c r="CJ102" s="4"/>
      <c r="CK102" s="4"/>
      <c r="CL102" s="4"/>
      <c r="CM102" s="4"/>
      <c r="CN102" s="4"/>
      <c r="CO102" s="4"/>
      <c r="CP102" s="4"/>
      <c r="CQ102" s="654"/>
      <c r="CR102" s="655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654"/>
      <c r="DD102" s="655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654"/>
      <c r="DP102" s="655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654"/>
      <c r="EB102" s="655"/>
      <c r="EC102" s="4"/>
      <c r="ED102" s="4"/>
      <c r="EE102" s="4"/>
      <c r="EF102" s="4"/>
      <c r="EG102" s="4"/>
      <c r="EH102" s="4"/>
      <c r="EI102" s="4"/>
      <c r="EJ102" s="4"/>
      <c r="EK102" s="4"/>
      <c r="EL102" s="4"/>
      <c r="EM102" s="693"/>
      <c r="EN102" s="723"/>
      <c r="EO102" s="4"/>
      <c r="EP102" s="4">
        <v>190</v>
      </c>
      <c r="EQ102" s="4"/>
      <c r="ER102" s="4"/>
      <c r="ES102" s="4"/>
      <c r="ET102" s="4"/>
      <c r="EU102" s="4"/>
      <c r="EV102" s="4"/>
      <c r="EW102" s="4"/>
      <c r="EX102" s="4"/>
      <c r="EY102" s="654"/>
      <c r="EZ102" s="655"/>
      <c r="FA102" s="4"/>
      <c r="FB102" s="4"/>
      <c r="FC102" s="4"/>
      <c r="FD102" s="4"/>
      <c r="FE102" s="4"/>
      <c r="FF102" s="4"/>
      <c r="FG102" s="4"/>
      <c r="FH102" s="4"/>
      <c r="FI102" s="4"/>
      <c r="FJ102" s="4"/>
      <c r="FK102" s="654"/>
      <c r="FL102" s="655"/>
      <c r="FM102" s="4"/>
      <c r="FN102" s="4"/>
      <c r="FO102" s="4"/>
      <c r="FP102" s="4"/>
      <c r="FQ102" s="4"/>
      <c r="FR102" s="4"/>
      <c r="FS102" s="4"/>
      <c r="FT102" s="4"/>
      <c r="FU102" s="4"/>
      <c r="FV102" s="4"/>
      <c r="FW102" s="654"/>
      <c r="FX102" s="655"/>
      <c r="FY102" s="4"/>
      <c r="FZ102" s="4"/>
      <c r="GA102" s="4"/>
      <c r="GB102" s="4"/>
      <c r="GC102" s="4"/>
      <c r="GD102" s="4"/>
      <c r="GE102" s="4"/>
      <c r="GF102" s="4"/>
      <c r="GG102" s="4"/>
      <c r="GH102" s="4"/>
      <c r="GI102" s="654"/>
      <c r="GJ102" s="655"/>
      <c r="GK102" s="4"/>
      <c r="GL102" s="4"/>
      <c r="GM102" s="4"/>
      <c r="GN102" s="4"/>
      <c r="GO102" s="4"/>
      <c r="GP102" s="4"/>
      <c r="GQ102" s="4"/>
      <c r="GR102" s="4"/>
      <c r="GS102" s="4"/>
      <c r="GT102" s="4"/>
      <c r="GU102" s="722"/>
      <c r="GV102" s="715"/>
    </row>
    <row r="103" spans="1:204" x14ac:dyDescent="0.25">
      <c r="A103" t="s">
        <v>805</v>
      </c>
      <c r="B103" s="2" t="s">
        <v>806</v>
      </c>
      <c r="C103" s="619">
        <v>44544</v>
      </c>
      <c r="D103" s="2" t="s">
        <v>615</v>
      </c>
      <c r="E103" t="s">
        <v>58</v>
      </c>
      <c r="F103" s="2" t="s">
        <v>43</v>
      </c>
      <c r="G103" t="s">
        <v>40</v>
      </c>
      <c r="H103" s="690" t="s">
        <v>84</v>
      </c>
      <c r="I103" s="691" t="s">
        <v>348</v>
      </c>
      <c r="J103" s="721">
        <v>13777004000122</v>
      </c>
      <c r="K103" s="691" t="s">
        <v>43</v>
      </c>
      <c r="L103" s="721">
        <v>3780401000108</v>
      </c>
      <c r="M103" s="718" t="s">
        <v>3</v>
      </c>
      <c r="N103" s="717" t="s">
        <v>44</v>
      </c>
      <c r="O103" s="719">
        <v>44593</v>
      </c>
      <c r="P103" s="720">
        <v>44620</v>
      </c>
      <c r="Q103" s="718">
        <v>194.5</v>
      </c>
      <c r="R103" s="717">
        <v>1</v>
      </c>
      <c r="S103" s="691" t="s">
        <v>54</v>
      </c>
      <c r="T103" t="s">
        <v>358</v>
      </c>
      <c r="U103" s="673" t="s">
        <v>358</v>
      </c>
      <c r="V103" s="690" t="s">
        <v>358</v>
      </c>
      <c r="W103" s="657" t="s">
        <v>329</v>
      </c>
      <c r="X103" s="723"/>
      <c r="Y103" s="4">
        <v>1</v>
      </c>
      <c r="Z103" s="4"/>
      <c r="AA103" s="4"/>
      <c r="AB103" s="4"/>
      <c r="AC103" s="4"/>
      <c r="AD103" s="4"/>
      <c r="AE103" s="4"/>
      <c r="AF103" s="4"/>
      <c r="AG103" s="4"/>
      <c r="AH103" s="4"/>
      <c r="AI103" s="654"/>
      <c r="AJ103" s="655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654"/>
      <c r="AV103" s="655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654"/>
      <c r="BH103" s="655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654"/>
      <c r="BT103" s="655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693"/>
      <c r="CF103" s="723"/>
      <c r="CG103" s="4">
        <v>194.5</v>
      </c>
      <c r="CH103" s="4"/>
      <c r="CI103" s="4"/>
      <c r="CJ103" s="4"/>
      <c r="CK103" s="4"/>
      <c r="CL103" s="4"/>
      <c r="CM103" s="4"/>
      <c r="CN103" s="4"/>
      <c r="CO103" s="4"/>
      <c r="CP103" s="4"/>
      <c r="CQ103" s="654"/>
      <c r="CR103" s="655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654"/>
      <c r="DD103" s="655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654"/>
      <c r="DP103" s="655"/>
      <c r="DQ103" s="4"/>
      <c r="DR103" s="4"/>
      <c r="DS103" s="4"/>
      <c r="DT103" s="4"/>
      <c r="DU103" s="4"/>
      <c r="DV103" s="4"/>
      <c r="DW103" s="4"/>
      <c r="DX103" s="4"/>
      <c r="DY103" s="4"/>
      <c r="DZ103" s="4"/>
      <c r="EA103" s="654"/>
      <c r="EB103" s="655"/>
      <c r="EC103" s="4"/>
      <c r="ED103" s="4"/>
      <c r="EE103" s="4"/>
      <c r="EF103" s="4"/>
      <c r="EG103" s="4"/>
      <c r="EH103" s="4"/>
      <c r="EI103" s="4"/>
      <c r="EJ103" s="4"/>
      <c r="EK103" s="4"/>
      <c r="EL103" s="4"/>
      <c r="EM103" s="693"/>
      <c r="EN103" s="723"/>
      <c r="EO103" s="4">
        <v>194.5</v>
      </c>
      <c r="EP103" s="4"/>
      <c r="EQ103" s="4"/>
      <c r="ER103" s="4"/>
      <c r="ES103" s="4"/>
      <c r="ET103" s="4"/>
      <c r="EU103" s="4"/>
      <c r="EV103" s="4"/>
      <c r="EW103" s="4"/>
      <c r="EX103" s="4"/>
      <c r="EY103" s="654"/>
      <c r="EZ103" s="655"/>
      <c r="FA103" s="4"/>
      <c r="FB103" s="4"/>
      <c r="FC103" s="4"/>
      <c r="FD103" s="4"/>
      <c r="FE103" s="4"/>
      <c r="FF103" s="4"/>
      <c r="FG103" s="4"/>
      <c r="FH103" s="4"/>
      <c r="FI103" s="4"/>
      <c r="FJ103" s="4"/>
      <c r="FK103" s="654"/>
      <c r="FL103" s="655"/>
      <c r="FM103" s="4"/>
      <c r="FN103" s="4"/>
      <c r="FO103" s="4"/>
      <c r="FP103" s="4"/>
      <c r="FQ103" s="4"/>
      <c r="FR103" s="4"/>
      <c r="FS103" s="4"/>
      <c r="FT103" s="4"/>
      <c r="FU103" s="4"/>
      <c r="FV103" s="4"/>
      <c r="FW103" s="654"/>
      <c r="FX103" s="655"/>
      <c r="FY103" s="4"/>
      <c r="FZ103" s="4"/>
      <c r="GA103" s="4"/>
      <c r="GB103" s="4"/>
      <c r="GC103" s="4"/>
      <c r="GD103" s="4"/>
      <c r="GE103" s="4"/>
      <c r="GF103" s="4"/>
      <c r="GG103" s="4"/>
      <c r="GH103" s="4"/>
      <c r="GI103" s="654"/>
      <c r="GJ103" s="655"/>
      <c r="GK103" s="4"/>
      <c r="GL103" s="4"/>
      <c r="GM103" s="4"/>
      <c r="GN103" s="4"/>
      <c r="GO103" s="4"/>
      <c r="GP103" s="4"/>
      <c r="GQ103" s="4"/>
      <c r="GR103" s="4"/>
      <c r="GS103" s="4"/>
      <c r="GT103" s="4"/>
      <c r="GU103" s="722"/>
      <c r="GV103" s="715"/>
    </row>
    <row r="104" spans="1:204" x14ac:dyDescent="0.25">
      <c r="A104" t="s">
        <v>807</v>
      </c>
      <c r="B104" s="2" t="s">
        <v>808</v>
      </c>
      <c r="C104" s="619">
        <v>44544</v>
      </c>
      <c r="D104" s="2" t="s">
        <v>616</v>
      </c>
      <c r="E104" t="s">
        <v>59</v>
      </c>
      <c r="F104" s="2" t="s">
        <v>43</v>
      </c>
      <c r="G104" t="s">
        <v>40</v>
      </c>
      <c r="H104" s="690" t="s">
        <v>85</v>
      </c>
      <c r="I104" s="691" t="s">
        <v>43</v>
      </c>
      <c r="J104" s="721">
        <v>3780401000108</v>
      </c>
      <c r="K104" s="691" t="s">
        <v>410</v>
      </c>
      <c r="L104" s="721">
        <v>3631957000124</v>
      </c>
      <c r="M104" s="718" t="s">
        <v>3</v>
      </c>
      <c r="N104" s="717" t="s">
        <v>44</v>
      </c>
      <c r="O104" s="719">
        <v>44743</v>
      </c>
      <c r="P104" s="720">
        <v>44926</v>
      </c>
      <c r="Q104" s="718">
        <v>267</v>
      </c>
      <c r="R104" s="717">
        <v>1</v>
      </c>
      <c r="S104" s="691" t="s">
        <v>54</v>
      </c>
      <c r="T104" t="s">
        <v>358</v>
      </c>
      <c r="U104" s="673" t="s">
        <v>358</v>
      </c>
      <c r="V104" s="690" t="s">
        <v>358</v>
      </c>
      <c r="W104" s="657" t="s">
        <v>329</v>
      </c>
      <c r="X104" s="723"/>
      <c r="Y104" s="4"/>
      <c r="Z104" s="4"/>
      <c r="AA104" s="4"/>
      <c r="AB104" s="4"/>
      <c r="AC104" s="4"/>
      <c r="AD104" s="4">
        <v>1</v>
      </c>
      <c r="AE104" s="4">
        <v>1</v>
      </c>
      <c r="AF104" s="4">
        <v>1</v>
      </c>
      <c r="AG104" s="4">
        <v>1</v>
      </c>
      <c r="AH104" s="4">
        <v>1</v>
      </c>
      <c r="AI104" s="654">
        <v>1</v>
      </c>
      <c r="AJ104" s="655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654"/>
      <c r="AV104" s="655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654"/>
      <c r="BH104" s="655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654"/>
      <c r="BT104" s="655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693"/>
      <c r="CF104" s="723"/>
      <c r="CG104" s="4"/>
      <c r="CH104" s="4"/>
      <c r="CI104" s="4"/>
      <c r="CJ104" s="4"/>
      <c r="CK104" s="4"/>
      <c r="CL104" s="4">
        <v>267</v>
      </c>
      <c r="CM104" s="4">
        <v>267</v>
      </c>
      <c r="CN104" s="4">
        <v>267</v>
      </c>
      <c r="CO104" s="4">
        <v>267</v>
      </c>
      <c r="CP104" s="4">
        <v>267</v>
      </c>
      <c r="CQ104" s="654">
        <v>267</v>
      </c>
      <c r="CR104" s="655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654"/>
      <c r="DD104" s="655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654"/>
      <c r="DP104" s="655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654"/>
      <c r="EB104" s="655"/>
      <c r="EC104" s="4"/>
      <c r="ED104" s="4"/>
      <c r="EE104" s="4"/>
      <c r="EF104" s="4"/>
      <c r="EG104" s="4"/>
      <c r="EH104" s="4"/>
      <c r="EI104" s="4"/>
      <c r="EJ104" s="4"/>
      <c r="EK104" s="4"/>
      <c r="EL104" s="4"/>
      <c r="EM104" s="693"/>
      <c r="EN104" s="723"/>
      <c r="EO104" s="4"/>
      <c r="EP104" s="4"/>
      <c r="EQ104" s="4"/>
      <c r="ER104" s="4"/>
      <c r="ES104" s="4"/>
      <c r="ET104" s="4">
        <v>267</v>
      </c>
      <c r="EU104" s="4">
        <v>267</v>
      </c>
      <c r="EV104" s="4">
        <v>267</v>
      </c>
      <c r="EW104" s="4">
        <v>267</v>
      </c>
      <c r="EX104" s="4">
        <v>267</v>
      </c>
      <c r="EY104" s="654">
        <v>267</v>
      </c>
      <c r="EZ104" s="655"/>
      <c r="FA104" s="4"/>
      <c r="FB104" s="4"/>
      <c r="FC104" s="4"/>
      <c r="FD104" s="4"/>
      <c r="FE104" s="4"/>
      <c r="FF104" s="4"/>
      <c r="FG104" s="4"/>
      <c r="FH104" s="4"/>
      <c r="FI104" s="4"/>
      <c r="FJ104" s="4"/>
      <c r="FK104" s="654"/>
      <c r="FL104" s="655"/>
      <c r="FM104" s="4"/>
      <c r="FN104" s="4"/>
      <c r="FO104" s="4"/>
      <c r="FP104" s="4"/>
      <c r="FQ104" s="4"/>
      <c r="FR104" s="4"/>
      <c r="FS104" s="4"/>
      <c r="FT104" s="4"/>
      <c r="FU104" s="4"/>
      <c r="FV104" s="4"/>
      <c r="FW104" s="654"/>
      <c r="FX104" s="655"/>
      <c r="FY104" s="4"/>
      <c r="FZ104" s="4"/>
      <c r="GA104" s="4"/>
      <c r="GB104" s="4"/>
      <c r="GC104" s="4"/>
      <c r="GD104" s="4"/>
      <c r="GE104" s="4"/>
      <c r="GF104" s="4"/>
      <c r="GG104" s="4"/>
      <c r="GH104" s="4"/>
      <c r="GI104" s="654"/>
      <c r="GJ104" s="655"/>
      <c r="GK104" s="4"/>
      <c r="GL104" s="4"/>
      <c r="GM104" s="4"/>
      <c r="GN104" s="4"/>
      <c r="GO104" s="4"/>
      <c r="GP104" s="4"/>
      <c r="GQ104" s="4"/>
      <c r="GR104" s="4"/>
      <c r="GS104" s="4"/>
      <c r="GT104" s="4"/>
      <c r="GU104" s="722"/>
      <c r="GV104" s="715"/>
    </row>
    <row r="105" spans="1:204" x14ac:dyDescent="0.25">
      <c r="A105" t="s">
        <v>809</v>
      </c>
      <c r="B105" s="2" t="s">
        <v>358</v>
      </c>
      <c r="C105" s="619">
        <v>44544</v>
      </c>
      <c r="D105" s="2" t="s">
        <v>617</v>
      </c>
      <c r="E105" t="s">
        <v>58</v>
      </c>
      <c r="F105" s="2" t="s">
        <v>43</v>
      </c>
      <c r="G105" t="s">
        <v>40</v>
      </c>
      <c r="H105" s="690" t="s">
        <v>84</v>
      </c>
      <c r="I105" s="691" t="s">
        <v>346</v>
      </c>
      <c r="J105" s="721" t="e">
        <v>#VALUE!</v>
      </c>
      <c r="K105" s="691" t="s">
        <v>43</v>
      </c>
      <c r="L105" s="721">
        <v>3780401000108</v>
      </c>
      <c r="M105" s="718" t="s">
        <v>3</v>
      </c>
      <c r="N105" s="717" t="s">
        <v>44</v>
      </c>
      <c r="O105" s="719">
        <v>44562</v>
      </c>
      <c r="P105" s="720">
        <v>44651</v>
      </c>
      <c r="Q105" s="718">
        <v>183</v>
      </c>
      <c r="R105" s="717">
        <v>6</v>
      </c>
      <c r="S105" s="691" t="s">
        <v>54</v>
      </c>
      <c r="T105" t="s">
        <v>358</v>
      </c>
      <c r="U105" s="673" t="s">
        <v>358</v>
      </c>
      <c r="V105" s="690" t="s">
        <v>358</v>
      </c>
      <c r="W105" s="657" t="s">
        <v>214</v>
      </c>
      <c r="X105" s="723">
        <v>6</v>
      </c>
      <c r="Y105" s="4">
        <v>6</v>
      </c>
      <c r="Z105" s="4">
        <v>6</v>
      </c>
      <c r="AA105" s="4"/>
      <c r="AB105" s="4"/>
      <c r="AC105" s="4"/>
      <c r="AD105" s="4"/>
      <c r="AE105" s="4"/>
      <c r="AF105" s="4"/>
      <c r="AG105" s="4"/>
      <c r="AH105" s="4"/>
      <c r="AI105" s="654"/>
      <c r="AJ105" s="655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654"/>
      <c r="AV105" s="655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654"/>
      <c r="BH105" s="655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654"/>
      <c r="BT105" s="655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693"/>
      <c r="CF105" s="723">
        <v>183</v>
      </c>
      <c r="CG105" s="4">
        <v>183</v>
      </c>
      <c r="CH105" s="4">
        <v>183</v>
      </c>
      <c r="CI105" s="4"/>
      <c r="CJ105" s="4"/>
      <c r="CK105" s="4"/>
      <c r="CL105" s="4"/>
      <c r="CM105" s="4"/>
      <c r="CN105" s="4"/>
      <c r="CO105" s="4"/>
      <c r="CP105" s="4"/>
      <c r="CQ105" s="654"/>
      <c r="CR105" s="655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654"/>
      <c r="DD105" s="655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654"/>
      <c r="DP105" s="655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654"/>
      <c r="EB105" s="655"/>
      <c r="EC105" s="4"/>
      <c r="ED105" s="4"/>
      <c r="EE105" s="4"/>
      <c r="EF105" s="4"/>
      <c r="EG105" s="4"/>
      <c r="EH105" s="4"/>
      <c r="EI105" s="4"/>
      <c r="EJ105" s="4"/>
      <c r="EK105" s="4"/>
      <c r="EL105" s="4"/>
      <c r="EM105" s="693"/>
      <c r="EN105" s="723">
        <v>183</v>
      </c>
      <c r="EO105" s="4">
        <v>183</v>
      </c>
      <c r="EP105" s="4">
        <v>183</v>
      </c>
      <c r="EQ105" s="4"/>
      <c r="ER105" s="4"/>
      <c r="ES105" s="4"/>
      <c r="ET105" s="4"/>
      <c r="EU105" s="4"/>
      <c r="EV105" s="4"/>
      <c r="EW105" s="4"/>
      <c r="EX105" s="4"/>
      <c r="EY105" s="654"/>
      <c r="EZ105" s="655"/>
      <c r="FA105" s="4"/>
      <c r="FB105" s="4"/>
      <c r="FC105" s="4"/>
      <c r="FD105" s="4"/>
      <c r="FE105" s="4"/>
      <c r="FF105" s="4"/>
      <c r="FG105" s="4"/>
      <c r="FH105" s="4"/>
      <c r="FI105" s="4"/>
      <c r="FJ105" s="4"/>
      <c r="FK105" s="654"/>
      <c r="FL105" s="655"/>
      <c r="FM105" s="4"/>
      <c r="FN105" s="4"/>
      <c r="FO105" s="4"/>
      <c r="FP105" s="4"/>
      <c r="FQ105" s="4"/>
      <c r="FR105" s="4"/>
      <c r="FS105" s="4"/>
      <c r="FT105" s="4"/>
      <c r="FU105" s="4"/>
      <c r="FV105" s="4"/>
      <c r="FW105" s="654"/>
      <c r="FX105" s="655"/>
      <c r="FY105" s="4"/>
      <c r="FZ105" s="4"/>
      <c r="GA105" s="4"/>
      <c r="GB105" s="4"/>
      <c r="GC105" s="4"/>
      <c r="GD105" s="4"/>
      <c r="GE105" s="4"/>
      <c r="GF105" s="4"/>
      <c r="GG105" s="4"/>
      <c r="GH105" s="4"/>
      <c r="GI105" s="654"/>
      <c r="GJ105" s="655"/>
      <c r="GK105" s="4"/>
      <c r="GL105" s="4"/>
      <c r="GM105" s="4"/>
      <c r="GN105" s="4"/>
      <c r="GO105" s="4"/>
      <c r="GP105" s="4"/>
      <c r="GQ105" s="4"/>
      <c r="GR105" s="4"/>
      <c r="GS105" s="4"/>
      <c r="GT105" s="4"/>
      <c r="GU105" s="722"/>
      <c r="GV105" s="715"/>
    </row>
    <row r="106" spans="1:204" x14ac:dyDescent="0.25">
      <c r="A106" t="s">
        <v>810</v>
      </c>
      <c r="B106" s="2" t="s">
        <v>358</v>
      </c>
      <c r="C106" s="619">
        <v>44544</v>
      </c>
      <c r="D106" s="2" t="s">
        <v>618</v>
      </c>
      <c r="E106" t="s">
        <v>59</v>
      </c>
      <c r="F106" s="2" t="s">
        <v>43</v>
      </c>
      <c r="G106" t="s">
        <v>40</v>
      </c>
      <c r="H106" s="690" t="s">
        <v>85</v>
      </c>
      <c r="I106" s="691" t="s">
        <v>43</v>
      </c>
      <c r="J106" s="721">
        <v>3780401000108</v>
      </c>
      <c r="K106" s="691" t="s">
        <v>346</v>
      </c>
      <c r="L106" s="721" t="e">
        <v>#VALUE!</v>
      </c>
      <c r="M106" s="718" t="s">
        <v>3</v>
      </c>
      <c r="N106" s="717" t="s">
        <v>44</v>
      </c>
      <c r="O106" s="719">
        <v>44562</v>
      </c>
      <c r="P106" s="720">
        <v>44651</v>
      </c>
      <c r="Q106" s="718">
        <v>183</v>
      </c>
      <c r="R106" s="717">
        <v>6</v>
      </c>
      <c r="S106" s="691" t="s">
        <v>54</v>
      </c>
      <c r="T106" t="s">
        <v>358</v>
      </c>
      <c r="U106" s="673" t="s">
        <v>358</v>
      </c>
      <c r="V106" s="690" t="s">
        <v>358</v>
      </c>
      <c r="W106" s="657" t="s">
        <v>214</v>
      </c>
      <c r="X106" s="723">
        <v>6</v>
      </c>
      <c r="Y106" s="4">
        <v>6</v>
      </c>
      <c r="Z106" s="4">
        <v>6</v>
      </c>
      <c r="AA106" s="4"/>
      <c r="AB106" s="4"/>
      <c r="AC106" s="4"/>
      <c r="AD106" s="4"/>
      <c r="AE106" s="4"/>
      <c r="AF106" s="4"/>
      <c r="AG106" s="4"/>
      <c r="AH106" s="4"/>
      <c r="AI106" s="654"/>
      <c r="AJ106" s="655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654"/>
      <c r="AV106" s="655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654"/>
      <c r="BH106" s="655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654"/>
      <c r="BT106" s="655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693"/>
      <c r="CF106" s="723">
        <v>183</v>
      </c>
      <c r="CG106" s="4">
        <v>183</v>
      </c>
      <c r="CH106" s="4">
        <v>183</v>
      </c>
      <c r="CI106" s="4"/>
      <c r="CJ106" s="4"/>
      <c r="CK106" s="4"/>
      <c r="CL106" s="4"/>
      <c r="CM106" s="4"/>
      <c r="CN106" s="4"/>
      <c r="CO106" s="4"/>
      <c r="CP106" s="4"/>
      <c r="CQ106" s="654"/>
      <c r="CR106" s="655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654"/>
      <c r="DD106" s="655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654"/>
      <c r="DP106" s="655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654"/>
      <c r="EB106" s="655"/>
      <c r="EC106" s="4"/>
      <c r="ED106" s="4"/>
      <c r="EE106" s="4"/>
      <c r="EF106" s="4"/>
      <c r="EG106" s="4"/>
      <c r="EH106" s="4"/>
      <c r="EI106" s="4"/>
      <c r="EJ106" s="4"/>
      <c r="EK106" s="4"/>
      <c r="EL106" s="4"/>
      <c r="EM106" s="693"/>
      <c r="EN106" s="723">
        <v>183</v>
      </c>
      <c r="EO106" s="4">
        <v>183</v>
      </c>
      <c r="EP106" s="4">
        <v>183</v>
      </c>
      <c r="EQ106" s="4"/>
      <c r="ER106" s="4"/>
      <c r="ES106" s="4"/>
      <c r="ET106" s="4"/>
      <c r="EU106" s="4"/>
      <c r="EV106" s="4"/>
      <c r="EW106" s="4"/>
      <c r="EX106" s="4"/>
      <c r="EY106" s="654"/>
      <c r="EZ106" s="655"/>
      <c r="FA106" s="4"/>
      <c r="FB106" s="4"/>
      <c r="FC106" s="4"/>
      <c r="FD106" s="4"/>
      <c r="FE106" s="4"/>
      <c r="FF106" s="4"/>
      <c r="FG106" s="4"/>
      <c r="FH106" s="4"/>
      <c r="FI106" s="4"/>
      <c r="FJ106" s="4"/>
      <c r="FK106" s="654"/>
      <c r="FL106" s="655"/>
      <c r="FM106" s="4"/>
      <c r="FN106" s="4"/>
      <c r="FO106" s="4"/>
      <c r="FP106" s="4"/>
      <c r="FQ106" s="4"/>
      <c r="FR106" s="4"/>
      <c r="FS106" s="4"/>
      <c r="FT106" s="4"/>
      <c r="FU106" s="4"/>
      <c r="FV106" s="4"/>
      <c r="FW106" s="654"/>
      <c r="FX106" s="655"/>
      <c r="FY106" s="4"/>
      <c r="FZ106" s="4"/>
      <c r="GA106" s="4"/>
      <c r="GB106" s="4"/>
      <c r="GC106" s="4"/>
      <c r="GD106" s="4"/>
      <c r="GE106" s="4"/>
      <c r="GF106" s="4"/>
      <c r="GG106" s="4"/>
      <c r="GH106" s="4"/>
      <c r="GI106" s="654"/>
      <c r="GJ106" s="655"/>
      <c r="GK106" s="4"/>
      <c r="GL106" s="4"/>
      <c r="GM106" s="4"/>
      <c r="GN106" s="4"/>
      <c r="GO106" s="4"/>
      <c r="GP106" s="4"/>
      <c r="GQ106" s="4"/>
      <c r="GR106" s="4"/>
      <c r="GS106" s="4"/>
      <c r="GT106" s="4"/>
      <c r="GU106" s="722"/>
      <c r="GV106" s="715"/>
    </row>
    <row r="107" spans="1:204" x14ac:dyDescent="0.25">
      <c r="A107" t="s">
        <v>811</v>
      </c>
      <c r="B107" s="2" t="s">
        <v>812</v>
      </c>
      <c r="C107" s="619">
        <v>44545</v>
      </c>
      <c r="D107" s="2" t="s">
        <v>622</v>
      </c>
      <c r="E107" t="s">
        <v>59</v>
      </c>
      <c r="F107" s="2" t="s">
        <v>43</v>
      </c>
      <c r="G107" t="s">
        <v>40</v>
      </c>
      <c r="H107" s="690" t="s">
        <v>85</v>
      </c>
      <c r="I107" s="691" t="s">
        <v>43</v>
      </c>
      <c r="J107" s="721">
        <v>3780401000108</v>
      </c>
      <c r="K107" s="691" t="s">
        <v>620</v>
      </c>
      <c r="L107" s="721">
        <v>4149295000113</v>
      </c>
      <c r="M107" s="718" t="s">
        <v>3</v>
      </c>
      <c r="N107" s="717" t="s">
        <v>44</v>
      </c>
      <c r="O107" s="719">
        <v>44562</v>
      </c>
      <c r="P107" s="720">
        <v>44926</v>
      </c>
      <c r="Q107" s="718">
        <v>234</v>
      </c>
      <c r="R107" s="717">
        <v>2.25</v>
      </c>
      <c r="S107" s="691" t="s">
        <v>54</v>
      </c>
      <c r="T107" t="s">
        <v>358</v>
      </c>
      <c r="U107" s="673" t="s">
        <v>358</v>
      </c>
      <c r="V107" s="690" t="s">
        <v>358</v>
      </c>
      <c r="W107" s="657" t="s">
        <v>329</v>
      </c>
      <c r="X107" s="723">
        <v>2.25</v>
      </c>
      <c r="Y107" s="4">
        <v>2.25</v>
      </c>
      <c r="Z107" s="4">
        <v>2.25</v>
      </c>
      <c r="AA107" s="4">
        <v>2.25</v>
      </c>
      <c r="AB107" s="4">
        <v>2.25</v>
      </c>
      <c r="AC107" s="4">
        <v>2.25</v>
      </c>
      <c r="AD107" s="4">
        <v>2.25</v>
      </c>
      <c r="AE107" s="4">
        <v>2.25</v>
      </c>
      <c r="AF107" s="4">
        <v>2.25</v>
      </c>
      <c r="AG107" s="4">
        <v>2.25</v>
      </c>
      <c r="AH107" s="4">
        <v>2.25</v>
      </c>
      <c r="AI107" s="654">
        <v>2.25</v>
      </c>
      <c r="AJ107" s="655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654"/>
      <c r="AV107" s="655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654"/>
      <c r="BH107" s="655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654"/>
      <c r="BT107" s="655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693"/>
      <c r="CF107" s="723">
        <v>234</v>
      </c>
      <c r="CG107" s="4">
        <v>234</v>
      </c>
      <c r="CH107" s="4">
        <v>234</v>
      </c>
      <c r="CI107" s="4">
        <v>234</v>
      </c>
      <c r="CJ107" s="4">
        <v>234</v>
      </c>
      <c r="CK107" s="4">
        <v>234</v>
      </c>
      <c r="CL107" s="4">
        <v>234</v>
      </c>
      <c r="CM107" s="4">
        <v>234</v>
      </c>
      <c r="CN107" s="4">
        <v>234</v>
      </c>
      <c r="CO107" s="4">
        <v>234</v>
      </c>
      <c r="CP107" s="4">
        <v>234</v>
      </c>
      <c r="CQ107" s="654">
        <v>234</v>
      </c>
      <c r="CR107" s="655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654"/>
      <c r="DD107" s="655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654"/>
      <c r="DP107" s="655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654"/>
      <c r="EB107" s="655"/>
      <c r="EC107" s="4"/>
      <c r="ED107" s="4"/>
      <c r="EE107" s="4"/>
      <c r="EF107" s="4"/>
      <c r="EG107" s="4"/>
      <c r="EH107" s="4"/>
      <c r="EI107" s="4"/>
      <c r="EJ107" s="4"/>
      <c r="EK107" s="4"/>
      <c r="EL107" s="4"/>
      <c r="EM107" s="693"/>
      <c r="EN107" s="723">
        <v>234</v>
      </c>
      <c r="EO107" s="4">
        <v>234</v>
      </c>
      <c r="EP107" s="4">
        <v>234</v>
      </c>
      <c r="EQ107" s="4">
        <v>234</v>
      </c>
      <c r="ER107" s="4">
        <v>234</v>
      </c>
      <c r="ES107" s="4">
        <v>234</v>
      </c>
      <c r="ET107" s="4">
        <v>234</v>
      </c>
      <c r="EU107" s="4">
        <v>234</v>
      </c>
      <c r="EV107" s="4">
        <v>234</v>
      </c>
      <c r="EW107" s="4">
        <v>234</v>
      </c>
      <c r="EX107" s="4">
        <v>234</v>
      </c>
      <c r="EY107" s="654">
        <v>234</v>
      </c>
      <c r="EZ107" s="655"/>
      <c r="FA107" s="4"/>
      <c r="FB107" s="4"/>
      <c r="FC107" s="4"/>
      <c r="FD107" s="4"/>
      <c r="FE107" s="4"/>
      <c r="FF107" s="4"/>
      <c r="FG107" s="4"/>
      <c r="FH107" s="4"/>
      <c r="FI107" s="4"/>
      <c r="FJ107" s="4"/>
      <c r="FK107" s="654"/>
      <c r="FL107" s="655"/>
      <c r="FM107" s="4"/>
      <c r="FN107" s="4"/>
      <c r="FO107" s="4"/>
      <c r="FP107" s="4"/>
      <c r="FQ107" s="4"/>
      <c r="FR107" s="4"/>
      <c r="FS107" s="4"/>
      <c r="FT107" s="4"/>
      <c r="FU107" s="4"/>
      <c r="FV107" s="4"/>
      <c r="FW107" s="654"/>
      <c r="FX107" s="655"/>
      <c r="FY107" s="4"/>
      <c r="FZ107" s="4"/>
      <c r="GA107" s="4"/>
      <c r="GB107" s="4"/>
      <c r="GC107" s="4"/>
      <c r="GD107" s="4"/>
      <c r="GE107" s="4"/>
      <c r="GF107" s="4"/>
      <c r="GG107" s="4"/>
      <c r="GH107" s="4"/>
      <c r="GI107" s="654"/>
      <c r="GJ107" s="655"/>
      <c r="GK107" s="4"/>
      <c r="GL107" s="4"/>
      <c r="GM107" s="4"/>
      <c r="GN107" s="4"/>
      <c r="GO107" s="4"/>
      <c r="GP107" s="4"/>
      <c r="GQ107" s="4"/>
      <c r="GR107" s="4"/>
      <c r="GS107" s="4"/>
      <c r="GT107" s="4"/>
      <c r="GU107" s="722"/>
      <c r="GV107" s="715"/>
    </row>
    <row r="108" spans="1:204" x14ac:dyDescent="0.25">
      <c r="A108" t="s">
        <v>813</v>
      </c>
      <c r="B108" s="2" t="s">
        <v>814</v>
      </c>
      <c r="C108" s="619">
        <v>44545</v>
      </c>
      <c r="D108" s="2" t="s">
        <v>623</v>
      </c>
      <c r="E108" t="s">
        <v>59</v>
      </c>
      <c r="F108" s="2" t="s">
        <v>43</v>
      </c>
      <c r="G108" t="s">
        <v>40</v>
      </c>
      <c r="H108" s="690" t="s">
        <v>85</v>
      </c>
      <c r="I108" s="691" t="s">
        <v>43</v>
      </c>
      <c r="J108" s="721">
        <v>3780401000108</v>
      </c>
      <c r="K108" s="691" t="s">
        <v>465</v>
      </c>
      <c r="L108" s="721">
        <v>11085823000183</v>
      </c>
      <c r="M108" s="718" t="s">
        <v>3</v>
      </c>
      <c r="N108" s="717" t="s">
        <v>44</v>
      </c>
      <c r="O108" s="719">
        <v>44562</v>
      </c>
      <c r="P108" s="720">
        <v>44926</v>
      </c>
      <c r="Q108" s="718">
        <v>234</v>
      </c>
      <c r="R108" s="717">
        <v>5</v>
      </c>
      <c r="S108" s="691" t="s">
        <v>54</v>
      </c>
      <c r="T108" t="s">
        <v>358</v>
      </c>
      <c r="U108" s="673" t="s">
        <v>358</v>
      </c>
      <c r="V108" s="690" t="s">
        <v>358</v>
      </c>
      <c r="W108" s="657" t="s">
        <v>329</v>
      </c>
      <c r="X108" s="723">
        <v>5</v>
      </c>
      <c r="Y108" s="4">
        <v>5</v>
      </c>
      <c r="Z108" s="4">
        <v>5</v>
      </c>
      <c r="AA108" s="4">
        <v>5</v>
      </c>
      <c r="AB108" s="4">
        <v>5</v>
      </c>
      <c r="AC108" s="4">
        <v>5</v>
      </c>
      <c r="AD108" s="4">
        <v>5</v>
      </c>
      <c r="AE108" s="4">
        <v>5</v>
      </c>
      <c r="AF108" s="4">
        <v>5</v>
      </c>
      <c r="AG108" s="4">
        <v>5</v>
      </c>
      <c r="AH108" s="4">
        <v>5</v>
      </c>
      <c r="AI108" s="654">
        <v>5</v>
      </c>
      <c r="AJ108" s="655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654"/>
      <c r="AV108" s="655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654"/>
      <c r="BH108" s="655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654"/>
      <c r="BT108" s="655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693"/>
      <c r="CF108" s="723">
        <v>234</v>
      </c>
      <c r="CG108" s="4">
        <v>234</v>
      </c>
      <c r="CH108" s="4">
        <v>234</v>
      </c>
      <c r="CI108" s="4">
        <v>234</v>
      </c>
      <c r="CJ108" s="4">
        <v>234</v>
      </c>
      <c r="CK108" s="4">
        <v>234</v>
      </c>
      <c r="CL108" s="4">
        <v>234</v>
      </c>
      <c r="CM108" s="4">
        <v>234</v>
      </c>
      <c r="CN108" s="4">
        <v>234</v>
      </c>
      <c r="CO108" s="4">
        <v>234</v>
      </c>
      <c r="CP108" s="4">
        <v>234</v>
      </c>
      <c r="CQ108" s="654">
        <v>234</v>
      </c>
      <c r="CR108" s="655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654"/>
      <c r="DD108" s="655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654"/>
      <c r="DP108" s="655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654"/>
      <c r="EB108" s="655"/>
      <c r="EC108" s="4"/>
      <c r="ED108" s="4"/>
      <c r="EE108" s="4"/>
      <c r="EF108" s="4"/>
      <c r="EG108" s="4"/>
      <c r="EH108" s="4"/>
      <c r="EI108" s="4"/>
      <c r="EJ108" s="4"/>
      <c r="EK108" s="4"/>
      <c r="EL108" s="4"/>
      <c r="EM108" s="693"/>
      <c r="EN108" s="723">
        <v>234</v>
      </c>
      <c r="EO108" s="4">
        <v>234</v>
      </c>
      <c r="EP108" s="4">
        <v>234</v>
      </c>
      <c r="EQ108" s="4">
        <v>234</v>
      </c>
      <c r="ER108" s="4">
        <v>234</v>
      </c>
      <c r="ES108" s="4">
        <v>234</v>
      </c>
      <c r="ET108" s="4">
        <v>234</v>
      </c>
      <c r="EU108" s="4">
        <v>234</v>
      </c>
      <c r="EV108" s="4">
        <v>234</v>
      </c>
      <c r="EW108" s="4">
        <v>234</v>
      </c>
      <c r="EX108" s="4">
        <v>234</v>
      </c>
      <c r="EY108" s="654">
        <v>234</v>
      </c>
      <c r="EZ108" s="655"/>
      <c r="FA108" s="4"/>
      <c r="FB108" s="4"/>
      <c r="FC108" s="4"/>
      <c r="FD108" s="4"/>
      <c r="FE108" s="4"/>
      <c r="FF108" s="4"/>
      <c r="FG108" s="4"/>
      <c r="FH108" s="4"/>
      <c r="FI108" s="4"/>
      <c r="FJ108" s="4"/>
      <c r="FK108" s="654"/>
      <c r="FL108" s="655"/>
      <c r="FM108" s="4"/>
      <c r="FN108" s="4"/>
      <c r="FO108" s="4"/>
      <c r="FP108" s="4"/>
      <c r="FQ108" s="4"/>
      <c r="FR108" s="4"/>
      <c r="FS108" s="4"/>
      <c r="FT108" s="4"/>
      <c r="FU108" s="4"/>
      <c r="FV108" s="4"/>
      <c r="FW108" s="654"/>
      <c r="FX108" s="655"/>
      <c r="FY108" s="4"/>
      <c r="FZ108" s="4"/>
      <c r="GA108" s="4"/>
      <c r="GB108" s="4"/>
      <c r="GC108" s="4"/>
      <c r="GD108" s="4"/>
      <c r="GE108" s="4"/>
      <c r="GF108" s="4"/>
      <c r="GG108" s="4"/>
      <c r="GH108" s="4"/>
      <c r="GI108" s="654"/>
      <c r="GJ108" s="655"/>
      <c r="GK108" s="4"/>
      <c r="GL108" s="4"/>
      <c r="GM108" s="4"/>
      <c r="GN108" s="4"/>
      <c r="GO108" s="4"/>
      <c r="GP108" s="4"/>
      <c r="GQ108" s="4"/>
      <c r="GR108" s="4"/>
      <c r="GS108" s="4"/>
      <c r="GT108" s="4"/>
      <c r="GU108" s="722"/>
      <c r="GV108" s="715"/>
    </row>
    <row r="109" spans="1:204" x14ac:dyDescent="0.25">
      <c r="A109" t="s">
        <v>815</v>
      </c>
      <c r="B109" s="2" t="s">
        <v>358</v>
      </c>
      <c r="C109" s="619">
        <v>44545</v>
      </c>
      <c r="D109" s="2" t="s">
        <v>624</v>
      </c>
      <c r="E109" t="s">
        <v>58</v>
      </c>
      <c r="F109" s="2" t="s">
        <v>43</v>
      </c>
      <c r="G109" t="s">
        <v>40</v>
      </c>
      <c r="H109" s="690" t="s">
        <v>84</v>
      </c>
      <c r="I109" s="691" t="s">
        <v>346</v>
      </c>
      <c r="J109" s="721" t="e">
        <v>#VALUE!</v>
      </c>
      <c r="K109" s="691" t="s">
        <v>43</v>
      </c>
      <c r="L109" s="721">
        <v>3780401000108</v>
      </c>
      <c r="M109" s="718" t="s">
        <v>3</v>
      </c>
      <c r="N109" s="717" t="s">
        <v>44</v>
      </c>
      <c r="O109" s="719">
        <v>44562</v>
      </c>
      <c r="P109" s="720">
        <v>44926</v>
      </c>
      <c r="Q109" s="718">
        <v>234</v>
      </c>
      <c r="R109" s="717">
        <v>3</v>
      </c>
      <c r="S109" s="691" t="s">
        <v>54</v>
      </c>
      <c r="T109" t="s">
        <v>358</v>
      </c>
      <c r="U109" s="673" t="s">
        <v>358</v>
      </c>
      <c r="V109" s="690" t="s">
        <v>358</v>
      </c>
      <c r="W109" s="657" t="s">
        <v>214</v>
      </c>
      <c r="X109" s="723">
        <v>3</v>
      </c>
      <c r="Y109" s="4">
        <v>3</v>
      </c>
      <c r="Z109" s="4">
        <v>3</v>
      </c>
      <c r="AA109" s="4">
        <v>3</v>
      </c>
      <c r="AB109" s="4">
        <v>3</v>
      </c>
      <c r="AC109" s="4">
        <v>3</v>
      </c>
      <c r="AD109" s="4">
        <v>3</v>
      </c>
      <c r="AE109" s="4">
        <v>3</v>
      </c>
      <c r="AF109" s="4">
        <v>3</v>
      </c>
      <c r="AG109" s="4">
        <v>3</v>
      </c>
      <c r="AH109" s="4">
        <v>3</v>
      </c>
      <c r="AI109" s="654">
        <v>3</v>
      </c>
      <c r="AJ109" s="655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654"/>
      <c r="AV109" s="655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654"/>
      <c r="BH109" s="655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654"/>
      <c r="BT109" s="655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693"/>
      <c r="CF109" s="723">
        <v>234</v>
      </c>
      <c r="CG109" s="4">
        <v>234</v>
      </c>
      <c r="CH109" s="4">
        <v>234</v>
      </c>
      <c r="CI109" s="4">
        <v>234</v>
      </c>
      <c r="CJ109" s="4">
        <v>234</v>
      </c>
      <c r="CK109" s="4">
        <v>234</v>
      </c>
      <c r="CL109" s="4">
        <v>234</v>
      </c>
      <c r="CM109" s="4">
        <v>234</v>
      </c>
      <c r="CN109" s="4">
        <v>234</v>
      </c>
      <c r="CO109" s="4">
        <v>234</v>
      </c>
      <c r="CP109" s="4">
        <v>234</v>
      </c>
      <c r="CQ109" s="654">
        <v>234</v>
      </c>
      <c r="CR109" s="655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654"/>
      <c r="DD109" s="655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654"/>
      <c r="DP109" s="655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654"/>
      <c r="EB109" s="655"/>
      <c r="EC109" s="4"/>
      <c r="ED109" s="4"/>
      <c r="EE109" s="4"/>
      <c r="EF109" s="4"/>
      <c r="EG109" s="4"/>
      <c r="EH109" s="4"/>
      <c r="EI109" s="4"/>
      <c r="EJ109" s="4"/>
      <c r="EK109" s="4"/>
      <c r="EL109" s="4"/>
      <c r="EM109" s="693"/>
      <c r="EN109" s="723">
        <v>234</v>
      </c>
      <c r="EO109" s="4">
        <v>234</v>
      </c>
      <c r="EP109" s="4">
        <v>234</v>
      </c>
      <c r="EQ109" s="4">
        <v>234</v>
      </c>
      <c r="ER109" s="4">
        <v>234</v>
      </c>
      <c r="ES109" s="4">
        <v>234</v>
      </c>
      <c r="ET109" s="4">
        <v>234</v>
      </c>
      <c r="EU109" s="4">
        <v>234</v>
      </c>
      <c r="EV109" s="4">
        <v>234</v>
      </c>
      <c r="EW109" s="4">
        <v>234</v>
      </c>
      <c r="EX109" s="4">
        <v>234</v>
      </c>
      <c r="EY109" s="654">
        <v>234</v>
      </c>
      <c r="EZ109" s="655"/>
      <c r="FA109" s="4"/>
      <c r="FB109" s="4"/>
      <c r="FC109" s="4"/>
      <c r="FD109" s="4"/>
      <c r="FE109" s="4"/>
      <c r="FF109" s="4"/>
      <c r="FG109" s="4"/>
      <c r="FH109" s="4"/>
      <c r="FI109" s="4"/>
      <c r="FJ109" s="4"/>
      <c r="FK109" s="654"/>
      <c r="FL109" s="655"/>
      <c r="FM109" s="4"/>
      <c r="FN109" s="4"/>
      <c r="FO109" s="4"/>
      <c r="FP109" s="4"/>
      <c r="FQ109" s="4"/>
      <c r="FR109" s="4"/>
      <c r="FS109" s="4"/>
      <c r="FT109" s="4"/>
      <c r="FU109" s="4"/>
      <c r="FV109" s="4"/>
      <c r="FW109" s="654"/>
      <c r="FX109" s="655"/>
      <c r="FY109" s="4"/>
      <c r="FZ109" s="4"/>
      <c r="GA109" s="4"/>
      <c r="GB109" s="4"/>
      <c r="GC109" s="4"/>
      <c r="GD109" s="4"/>
      <c r="GE109" s="4"/>
      <c r="GF109" s="4"/>
      <c r="GG109" s="4"/>
      <c r="GH109" s="4"/>
      <c r="GI109" s="654"/>
      <c r="GJ109" s="655"/>
      <c r="GK109" s="4"/>
      <c r="GL109" s="4"/>
      <c r="GM109" s="4"/>
      <c r="GN109" s="4"/>
      <c r="GO109" s="4"/>
      <c r="GP109" s="4"/>
      <c r="GQ109" s="4"/>
      <c r="GR109" s="4"/>
      <c r="GS109" s="4"/>
      <c r="GT109" s="4"/>
      <c r="GU109" s="722"/>
      <c r="GV109" s="715"/>
    </row>
    <row r="110" spans="1:204" x14ac:dyDescent="0.25">
      <c r="A110" t="s">
        <v>816</v>
      </c>
      <c r="B110" s="2" t="s">
        <v>817</v>
      </c>
      <c r="C110" s="619">
        <v>44547</v>
      </c>
      <c r="D110" s="2" t="s">
        <v>625</v>
      </c>
      <c r="E110" t="s">
        <v>58</v>
      </c>
      <c r="F110" s="2" t="s">
        <v>43</v>
      </c>
      <c r="G110" t="s">
        <v>40</v>
      </c>
      <c r="H110" s="690" t="s">
        <v>84</v>
      </c>
      <c r="I110" s="691" t="s">
        <v>502</v>
      </c>
      <c r="J110" s="721">
        <v>4270778000171</v>
      </c>
      <c r="K110" s="691" t="s">
        <v>43</v>
      </c>
      <c r="L110" s="721">
        <v>3780401000108</v>
      </c>
      <c r="M110" s="718" t="s">
        <v>3</v>
      </c>
      <c r="N110" s="717" t="s">
        <v>44</v>
      </c>
      <c r="O110" s="719">
        <v>44562</v>
      </c>
      <c r="P110" s="720">
        <v>44592</v>
      </c>
      <c r="Q110" s="718">
        <v>161</v>
      </c>
      <c r="R110" s="717">
        <v>4</v>
      </c>
      <c r="S110" s="691" t="s">
        <v>54</v>
      </c>
      <c r="T110" t="s">
        <v>358</v>
      </c>
      <c r="U110" s="673" t="s">
        <v>358</v>
      </c>
      <c r="V110" s="690" t="s">
        <v>358</v>
      </c>
      <c r="W110" s="657" t="s">
        <v>329</v>
      </c>
      <c r="X110" s="723">
        <v>4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654"/>
      <c r="AJ110" s="655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654"/>
      <c r="AV110" s="655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654"/>
      <c r="BH110" s="655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654"/>
      <c r="BT110" s="655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693"/>
      <c r="CF110" s="723">
        <v>161</v>
      </c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654"/>
      <c r="CR110" s="655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654"/>
      <c r="DD110" s="655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654"/>
      <c r="DP110" s="655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654"/>
      <c r="EB110" s="655"/>
      <c r="EC110" s="4"/>
      <c r="ED110" s="4"/>
      <c r="EE110" s="4"/>
      <c r="EF110" s="4"/>
      <c r="EG110" s="4"/>
      <c r="EH110" s="4"/>
      <c r="EI110" s="4"/>
      <c r="EJ110" s="4"/>
      <c r="EK110" s="4"/>
      <c r="EL110" s="4"/>
      <c r="EM110" s="693"/>
      <c r="EN110" s="723">
        <v>161</v>
      </c>
      <c r="EO110" s="4"/>
      <c r="EP110" s="4"/>
      <c r="EQ110" s="4"/>
      <c r="ER110" s="4"/>
      <c r="ES110" s="4"/>
      <c r="ET110" s="4"/>
      <c r="EU110" s="4"/>
      <c r="EV110" s="4"/>
      <c r="EW110" s="4"/>
      <c r="EX110" s="4"/>
      <c r="EY110" s="654"/>
      <c r="EZ110" s="655"/>
      <c r="FA110" s="4"/>
      <c r="FB110" s="4"/>
      <c r="FC110" s="4"/>
      <c r="FD110" s="4"/>
      <c r="FE110" s="4"/>
      <c r="FF110" s="4"/>
      <c r="FG110" s="4"/>
      <c r="FH110" s="4"/>
      <c r="FI110" s="4"/>
      <c r="FJ110" s="4"/>
      <c r="FK110" s="654"/>
      <c r="FL110" s="655"/>
      <c r="FM110" s="4"/>
      <c r="FN110" s="4"/>
      <c r="FO110" s="4"/>
      <c r="FP110" s="4"/>
      <c r="FQ110" s="4"/>
      <c r="FR110" s="4"/>
      <c r="FS110" s="4"/>
      <c r="FT110" s="4"/>
      <c r="FU110" s="4"/>
      <c r="FV110" s="4"/>
      <c r="FW110" s="654"/>
      <c r="FX110" s="655"/>
      <c r="FY110" s="4"/>
      <c r="FZ110" s="4"/>
      <c r="GA110" s="4"/>
      <c r="GB110" s="4"/>
      <c r="GC110" s="4"/>
      <c r="GD110" s="4"/>
      <c r="GE110" s="4"/>
      <c r="GF110" s="4"/>
      <c r="GG110" s="4"/>
      <c r="GH110" s="4"/>
      <c r="GI110" s="654"/>
      <c r="GJ110" s="655"/>
      <c r="GK110" s="4"/>
      <c r="GL110" s="4"/>
      <c r="GM110" s="4"/>
      <c r="GN110" s="4"/>
      <c r="GO110" s="4"/>
      <c r="GP110" s="4"/>
      <c r="GQ110" s="4"/>
      <c r="GR110" s="4"/>
      <c r="GS110" s="4"/>
      <c r="GT110" s="4"/>
      <c r="GU110" s="722"/>
      <c r="GV110" s="715"/>
    </row>
    <row r="111" spans="1:204" x14ac:dyDescent="0.25">
      <c r="A111" t="s">
        <v>818</v>
      </c>
      <c r="B111" s="2" t="s">
        <v>819</v>
      </c>
      <c r="C111" s="619">
        <v>44547</v>
      </c>
      <c r="D111" s="2" t="s">
        <v>626</v>
      </c>
      <c r="E111" t="s">
        <v>58</v>
      </c>
      <c r="F111" s="2" t="s">
        <v>43</v>
      </c>
      <c r="G111" t="s">
        <v>40</v>
      </c>
      <c r="H111" s="690" t="s">
        <v>84</v>
      </c>
      <c r="I111" s="691" t="s">
        <v>508</v>
      </c>
      <c r="J111" s="721">
        <v>8773135000100</v>
      </c>
      <c r="K111" s="691" t="s">
        <v>43</v>
      </c>
      <c r="L111" s="721">
        <v>3780401000108</v>
      </c>
      <c r="M111" s="718" t="s">
        <v>3</v>
      </c>
      <c r="N111" s="717" t="s">
        <v>44</v>
      </c>
      <c r="O111" s="719">
        <v>44652</v>
      </c>
      <c r="P111" s="720">
        <v>44742</v>
      </c>
      <c r="Q111" s="718">
        <v>175</v>
      </c>
      <c r="R111" s="717">
        <v>1</v>
      </c>
      <c r="S111" s="691" t="s">
        <v>54</v>
      </c>
      <c r="T111" t="s">
        <v>358</v>
      </c>
      <c r="U111" s="673" t="s">
        <v>358</v>
      </c>
      <c r="V111" s="690" t="s">
        <v>358</v>
      </c>
      <c r="W111" s="657" t="s">
        <v>329</v>
      </c>
      <c r="X111" s="723"/>
      <c r="Y111" s="4"/>
      <c r="Z111" s="4"/>
      <c r="AA111" s="4">
        <v>1</v>
      </c>
      <c r="AB111" s="4">
        <v>1</v>
      </c>
      <c r="AC111" s="4">
        <v>1</v>
      </c>
      <c r="AD111" s="4"/>
      <c r="AE111" s="4"/>
      <c r="AF111" s="4"/>
      <c r="AG111" s="4"/>
      <c r="AH111" s="4"/>
      <c r="AI111" s="654"/>
      <c r="AJ111" s="655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654"/>
      <c r="AV111" s="655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654"/>
      <c r="BH111" s="655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654"/>
      <c r="BT111" s="655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693"/>
      <c r="CF111" s="723"/>
      <c r="CG111" s="4"/>
      <c r="CH111" s="4"/>
      <c r="CI111" s="4">
        <v>175</v>
      </c>
      <c r="CJ111" s="4">
        <v>175</v>
      </c>
      <c r="CK111" s="4">
        <v>175</v>
      </c>
      <c r="CL111" s="4"/>
      <c r="CM111" s="4"/>
      <c r="CN111" s="4"/>
      <c r="CO111" s="4"/>
      <c r="CP111" s="4"/>
      <c r="CQ111" s="654"/>
      <c r="CR111" s="655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654"/>
      <c r="DD111" s="655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654"/>
      <c r="DP111" s="655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654"/>
      <c r="EB111" s="655"/>
      <c r="EC111" s="4"/>
      <c r="ED111" s="4"/>
      <c r="EE111" s="4"/>
      <c r="EF111" s="4"/>
      <c r="EG111" s="4"/>
      <c r="EH111" s="4"/>
      <c r="EI111" s="4"/>
      <c r="EJ111" s="4"/>
      <c r="EK111" s="4"/>
      <c r="EL111" s="4"/>
      <c r="EM111" s="693"/>
      <c r="EN111" s="723"/>
      <c r="EO111" s="4"/>
      <c r="EP111" s="4"/>
      <c r="EQ111" s="4">
        <v>175</v>
      </c>
      <c r="ER111" s="4">
        <v>175</v>
      </c>
      <c r="ES111" s="4">
        <v>175</v>
      </c>
      <c r="ET111" s="4"/>
      <c r="EU111" s="4"/>
      <c r="EV111" s="4"/>
      <c r="EW111" s="4"/>
      <c r="EX111" s="4"/>
      <c r="EY111" s="654"/>
      <c r="EZ111" s="655"/>
      <c r="FA111" s="4"/>
      <c r="FB111" s="4"/>
      <c r="FC111" s="4"/>
      <c r="FD111" s="4"/>
      <c r="FE111" s="4"/>
      <c r="FF111" s="4"/>
      <c r="FG111" s="4"/>
      <c r="FH111" s="4"/>
      <c r="FI111" s="4"/>
      <c r="FJ111" s="4"/>
      <c r="FK111" s="654"/>
      <c r="FL111" s="655"/>
      <c r="FM111" s="4"/>
      <c r="FN111" s="4"/>
      <c r="FO111" s="4"/>
      <c r="FP111" s="4"/>
      <c r="FQ111" s="4"/>
      <c r="FR111" s="4"/>
      <c r="FS111" s="4"/>
      <c r="FT111" s="4"/>
      <c r="FU111" s="4"/>
      <c r="FV111" s="4"/>
      <c r="FW111" s="654"/>
      <c r="FX111" s="655"/>
      <c r="FY111" s="4"/>
      <c r="FZ111" s="4"/>
      <c r="GA111" s="4"/>
      <c r="GB111" s="4"/>
      <c r="GC111" s="4"/>
      <c r="GD111" s="4"/>
      <c r="GE111" s="4"/>
      <c r="GF111" s="4"/>
      <c r="GG111" s="4"/>
      <c r="GH111" s="4"/>
      <c r="GI111" s="654"/>
      <c r="GJ111" s="655"/>
      <c r="GK111" s="4"/>
      <c r="GL111" s="4"/>
      <c r="GM111" s="4"/>
      <c r="GN111" s="4"/>
      <c r="GO111" s="4"/>
      <c r="GP111" s="4"/>
      <c r="GQ111" s="4"/>
      <c r="GR111" s="4"/>
      <c r="GS111" s="4"/>
      <c r="GT111" s="4"/>
      <c r="GU111" s="722"/>
      <c r="GV111" s="715"/>
    </row>
    <row r="112" spans="1:204" x14ac:dyDescent="0.25">
      <c r="A112" t="s">
        <v>820</v>
      </c>
      <c r="B112" s="2" t="s">
        <v>821</v>
      </c>
      <c r="C112" s="619">
        <v>44547</v>
      </c>
      <c r="D112" s="2" t="s">
        <v>627</v>
      </c>
      <c r="E112" t="s">
        <v>58</v>
      </c>
      <c r="F112" s="2" t="s">
        <v>43</v>
      </c>
      <c r="G112" t="s">
        <v>40</v>
      </c>
      <c r="H112" s="690" t="s">
        <v>84</v>
      </c>
      <c r="I112" s="691" t="s">
        <v>505</v>
      </c>
      <c r="J112" s="721">
        <v>30902608000172</v>
      </c>
      <c r="K112" s="691" t="s">
        <v>43</v>
      </c>
      <c r="L112" s="721">
        <v>3780401000108</v>
      </c>
      <c r="M112" s="718" t="s">
        <v>3</v>
      </c>
      <c r="N112" s="717" t="s">
        <v>44</v>
      </c>
      <c r="O112" s="719">
        <v>44652</v>
      </c>
      <c r="P112" s="720">
        <v>44742</v>
      </c>
      <c r="Q112" s="718">
        <v>175</v>
      </c>
      <c r="R112" s="717">
        <v>2</v>
      </c>
      <c r="S112" s="691" t="s">
        <v>54</v>
      </c>
      <c r="T112" t="s">
        <v>358</v>
      </c>
      <c r="U112" s="673" t="s">
        <v>358</v>
      </c>
      <c r="V112" s="690" t="s">
        <v>358</v>
      </c>
      <c r="W112" s="657" t="s">
        <v>329</v>
      </c>
      <c r="X112" s="723"/>
      <c r="Y112" s="4"/>
      <c r="Z112" s="4"/>
      <c r="AA112" s="4">
        <v>2</v>
      </c>
      <c r="AB112" s="4">
        <v>2</v>
      </c>
      <c r="AC112" s="4">
        <v>2</v>
      </c>
      <c r="AD112" s="4"/>
      <c r="AE112" s="4"/>
      <c r="AF112" s="4"/>
      <c r="AG112" s="4"/>
      <c r="AH112" s="4"/>
      <c r="AI112" s="654"/>
      <c r="AJ112" s="655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654"/>
      <c r="AV112" s="655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654"/>
      <c r="BH112" s="655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654"/>
      <c r="BT112" s="655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693"/>
      <c r="CF112" s="723"/>
      <c r="CG112" s="4"/>
      <c r="CH112" s="4"/>
      <c r="CI112" s="4">
        <v>175</v>
      </c>
      <c r="CJ112" s="4">
        <v>175</v>
      </c>
      <c r="CK112" s="4">
        <v>175</v>
      </c>
      <c r="CL112" s="4"/>
      <c r="CM112" s="4"/>
      <c r="CN112" s="4"/>
      <c r="CO112" s="4"/>
      <c r="CP112" s="4"/>
      <c r="CQ112" s="654"/>
      <c r="CR112" s="655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654"/>
      <c r="DD112" s="655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654"/>
      <c r="DP112" s="655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654"/>
      <c r="EB112" s="655"/>
      <c r="EC112" s="4"/>
      <c r="ED112" s="4"/>
      <c r="EE112" s="4"/>
      <c r="EF112" s="4"/>
      <c r="EG112" s="4"/>
      <c r="EH112" s="4"/>
      <c r="EI112" s="4"/>
      <c r="EJ112" s="4"/>
      <c r="EK112" s="4"/>
      <c r="EL112" s="4"/>
      <c r="EM112" s="693"/>
      <c r="EN112" s="723"/>
      <c r="EO112" s="4"/>
      <c r="EP112" s="4"/>
      <c r="EQ112" s="4">
        <v>175</v>
      </c>
      <c r="ER112" s="4">
        <v>175</v>
      </c>
      <c r="ES112" s="4">
        <v>175</v>
      </c>
      <c r="ET112" s="4"/>
      <c r="EU112" s="4"/>
      <c r="EV112" s="4"/>
      <c r="EW112" s="4"/>
      <c r="EX112" s="4"/>
      <c r="EY112" s="654"/>
      <c r="EZ112" s="655"/>
      <c r="FA112" s="4"/>
      <c r="FB112" s="4"/>
      <c r="FC112" s="4"/>
      <c r="FD112" s="4"/>
      <c r="FE112" s="4"/>
      <c r="FF112" s="4"/>
      <c r="FG112" s="4"/>
      <c r="FH112" s="4"/>
      <c r="FI112" s="4"/>
      <c r="FJ112" s="4"/>
      <c r="FK112" s="654"/>
      <c r="FL112" s="655"/>
      <c r="FM112" s="4"/>
      <c r="FN112" s="4"/>
      <c r="FO112" s="4"/>
      <c r="FP112" s="4"/>
      <c r="FQ112" s="4"/>
      <c r="FR112" s="4"/>
      <c r="FS112" s="4"/>
      <c r="FT112" s="4"/>
      <c r="FU112" s="4"/>
      <c r="FV112" s="4"/>
      <c r="FW112" s="654"/>
      <c r="FX112" s="655"/>
      <c r="FY112" s="4"/>
      <c r="FZ112" s="4"/>
      <c r="GA112" s="4"/>
      <c r="GB112" s="4"/>
      <c r="GC112" s="4"/>
      <c r="GD112" s="4"/>
      <c r="GE112" s="4"/>
      <c r="GF112" s="4"/>
      <c r="GG112" s="4"/>
      <c r="GH112" s="4"/>
      <c r="GI112" s="654"/>
      <c r="GJ112" s="655"/>
      <c r="GK112" s="4"/>
      <c r="GL112" s="4"/>
      <c r="GM112" s="4"/>
      <c r="GN112" s="4"/>
      <c r="GO112" s="4"/>
      <c r="GP112" s="4"/>
      <c r="GQ112" s="4"/>
      <c r="GR112" s="4"/>
      <c r="GS112" s="4"/>
      <c r="GT112" s="4"/>
      <c r="GU112" s="722"/>
      <c r="GV112" s="715"/>
    </row>
    <row r="113" spans="1:204" x14ac:dyDescent="0.25">
      <c r="A113" t="s">
        <v>822</v>
      </c>
      <c r="B113" s="2" t="s">
        <v>823</v>
      </c>
      <c r="C113" s="619">
        <v>44551</v>
      </c>
      <c r="D113" s="2" t="s">
        <v>628</v>
      </c>
      <c r="E113" t="s">
        <v>58</v>
      </c>
      <c r="F113" s="2" t="s">
        <v>43</v>
      </c>
      <c r="G113" t="s">
        <v>40</v>
      </c>
      <c r="H113" s="690" t="s">
        <v>84</v>
      </c>
      <c r="I113" s="691" t="s">
        <v>404</v>
      </c>
      <c r="J113" s="721">
        <v>18384740000134</v>
      </c>
      <c r="K113" s="691" t="s">
        <v>43</v>
      </c>
      <c r="L113" s="721">
        <v>3780401000108</v>
      </c>
      <c r="M113" s="718" t="s">
        <v>3</v>
      </c>
      <c r="N113" s="717" t="s">
        <v>11</v>
      </c>
      <c r="O113" s="719">
        <v>44927</v>
      </c>
      <c r="P113" s="720">
        <v>45291</v>
      </c>
      <c r="Q113" s="718">
        <v>190</v>
      </c>
      <c r="R113" s="717">
        <v>1</v>
      </c>
      <c r="S113" s="691" t="s">
        <v>54</v>
      </c>
      <c r="T113" t="s">
        <v>649</v>
      </c>
      <c r="U113" s="673">
        <v>44551</v>
      </c>
      <c r="V113" s="690">
        <v>1</v>
      </c>
      <c r="W113" s="657" t="s">
        <v>329</v>
      </c>
      <c r="X113" s="723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654"/>
      <c r="AJ113" s="655">
        <v>1</v>
      </c>
      <c r="AK113" s="4">
        <v>1</v>
      </c>
      <c r="AL113" s="4">
        <v>1</v>
      </c>
      <c r="AM113" s="4">
        <v>1</v>
      </c>
      <c r="AN113" s="4">
        <v>1</v>
      </c>
      <c r="AO113" s="4">
        <v>1</v>
      </c>
      <c r="AP113" s="4">
        <v>1</v>
      </c>
      <c r="AQ113" s="4">
        <v>1</v>
      </c>
      <c r="AR113" s="4">
        <v>1</v>
      </c>
      <c r="AS113" s="4">
        <v>1</v>
      </c>
      <c r="AT113" s="4">
        <v>1</v>
      </c>
      <c r="AU113" s="654">
        <v>1</v>
      </c>
      <c r="AV113" s="655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654"/>
      <c r="BH113" s="655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654"/>
      <c r="BT113" s="655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693"/>
      <c r="CF113" s="723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654"/>
      <c r="CR113" s="655">
        <v>202.17712386254072</v>
      </c>
      <c r="CS113" s="4">
        <v>202.17712386254072</v>
      </c>
      <c r="CT113" s="4">
        <v>202.17712386254072</v>
      </c>
      <c r="CU113" s="4">
        <v>202.17712386254072</v>
      </c>
      <c r="CV113" s="4">
        <v>202.17712386254072</v>
      </c>
      <c r="CW113" s="4">
        <v>202.17712386254072</v>
      </c>
      <c r="CX113" s="4">
        <v>202.17712386254072</v>
      </c>
      <c r="CY113" s="4">
        <v>202.17712386254072</v>
      </c>
      <c r="CZ113" s="4">
        <v>202.17712386254072</v>
      </c>
      <c r="DA113" s="4">
        <v>202.17712386254072</v>
      </c>
      <c r="DB113" s="4">
        <v>202.17712386254072</v>
      </c>
      <c r="DC113" s="654">
        <v>202.17712386254072</v>
      </c>
      <c r="DD113" s="655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654"/>
      <c r="DP113" s="655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654"/>
      <c r="EB113" s="655"/>
      <c r="EC113" s="4"/>
      <c r="ED113" s="4"/>
      <c r="EE113" s="4"/>
      <c r="EF113" s="4"/>
      <c r="EG113" s="4"/>
      <c r="EH113" s="4"/>
      <c r="EI113" s="4"/>
      <c r="EJ113" s="4"/>
      <c r="EK113" s="4"/>
      <c r="EL113" s="4"/>
      <c r="EM113" s="693"/>
      <c r="EN113" s="723"/>
      <c r="EO113" s="4"/>
      <c r="EP113" s="4"/>
      <c r="EQ113" s="4"/>
      <c r="ER113" s="4"/>
      <c r="ES113" s="4"/>
      <c r="ET113" s="4"/>
      <c r="EU113" s="4"/>
      <c r="EV113" s="4"/>
      <c r="EW113" s="4"/>
      <c r="EX113" s="4"/>
      <c r="EY113" s="654"/>
      <c r="EZ113" s="655">
        <v>202.17712386254072</v>
      </c>
      <c r="FA113" s="4">
        <v>202.17712386254072</v>
      </c>
      <c r="FB113" s="4">
        <v>202.17712386254072</v>
      </c>
      <c r="FC113" s="4">
        <v>202.17712386254072</v>
      </c>
      <c r="FD113" s="4">
        <v>202.17712386254072</v>
      </c>
      <c r="FE113" s="4">
        <v>202.17712386254072</v>
      </c>
      <c r="FF113" s="4">
        <v>202.17712386254072</v>
      </c>
      <c r="FG113" s="4">
        <v>202.17712386254072</v>
      </c>
      <c r="FH113" s="4">
        <v>202.17712386254072</v>
      </c>
      <c r="FI113" s="4">
        <v>202.17712386254072</v>
      </c>
      <c r="FJ113" s="4">
        <v>202.17712386254072</v>
      </c>
      <c r="FK113" s="654">
        <v>202.17712386254072</v>
      </c>
      <c r="FL113" s="655"/>
      <c r="FM113" s="4"/>
      <c r="FN113" s="4"/>
      <c r="FO113" s="4"/>
      <c r="FP113" s="4"/>
      <c r="FQ113" s="4"/>
      <c r="FR113" s="4"/>
      <c r="FS113" s="4"/>
      <c r="FT113" s="4"/>
      <c r="FU113" s="4"/>
      <c r="FV113" s="4"/>
      <c r="FW113" s="654"/>
      <c r="FX113" s="655"/>
      <c r="FY113" s="4"/>
      <c r="FZ113" s="4"/>
      <c r="GA113" s="4"/>
      <c r="GB113" s="4"/>
      <c r="GC113" s="4"/>
      <c r="GD113" s="4"/>
      <c r="GE113" s="4"/>
      <c r="GF113" s="4"/>
      <c r="GG113" s="4"/>
      <c r="GH113" s="4"/>
      <c r="GI113" s="654"/>
      <c r="GJ113" s="655"/>
      <c r="GK113" s="4"/>
      <c r="GL113" s="4"/>
      <c r="GM113" s="4"/>
      <c r="GN113" s="4"/>
      <c r="GO113" s="4"/>
      <c r="GP113" s="4"/>
      <c r="GQ113" s="4"/>
      <c r="GR113" s="4"/>
      <c r="GS113" s="4"/>
      <c r="GT113" s="4"/>
      <c r="GU113" s="722"/>
      <c r="GV113" s="715"/>
    </row>
    <row r="114" spans="1:204" x14ac:dyDescent="0.25">
      <c r="A114" t="s">
        <v>824</v>
      </c>
      <c r="B114" s="2" t="s">
        <v>825</v>
      </c>
      <c r="C114" s="619">
        <v>44553</v>
      </c>
      <c r="D114" s="2" t="s">
        <v>630</v>
      </c>
      <c r="E114" t="s">
        <v>58</v>
      </c>
      <c r="F114" s="2" t="s">
        <v>43</v>
      </c>
      <c r="G114" t="s">
        <v>40</v>
      </c>
      <c r="H114" s="690" t="s">
        <v>84</v>
      </c>
      <c r="I114" s="691" t="s">
        <v>404</v>
      </c>
      <c r="J114" s="721">
        <v>18384740000134</v>
      </c>
      <c r="K114" s="691" t="s">
        <v>43</v>
      </c>
      <c r="L114" s="721">
        <v>3780401000108</v>
      </c>
      <c r="M114" s="718" t="s">
        <v>3</v>
      </c>
      <c r="N114" s="717" t="s">
        <v>13</v>
      </c>
      <c r="O114" s="719">
        <v>44927</v>
      </c>
      <c r="P114" s="720">
        <v>45291</v>
      </c>
      <c r="Q114" s="718">
        <v>202</v>
      </c>
      <c r="R114" s="717">
        <v>0.7</v>
      </c>
      <c r="S114" s="691" t="s">
        <v>54</v>
      </c>
      <c r="T114" t="s">
        <v>649</v>
      </c>
      <c r="U114" s="673">
        <v>44553</v>
      </c>
      <c r="V114" s="690">
        <v>1</v>
      </c>
      <c r="W114" s="657" t="s">
        <v>329</v>
      </c>
      <c r="X114" s="723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654"/>
      <c r="AJ114" s="655">
        <v>0.7</v>
      </c>
      <c r="AK114" s="4">
        <v>0.7</v>
      </c>
      <c r="AL114" s="4">
        <v>0.7</v>
      </c>
      <c r="AM114" s="4">
        <v>0.7</v>
      </c>
      <c r="AN114" s="4">
        <v>0.7</v>
      </c>
      <c r="AO114" s="4">
        <v>0.7</v>
      </c>
      <c r="AP114" s="4">
        <v>0.7</v>
      </c>
      <c r="AQ114" s="4">
        <v>0.7</v>
      </c>
      <c r="AR114" s="4">
        <v>0.7</v>
      </c>
      <c r="AS114" s="4">
        <v>0.7</v>
      </c>
      <c r="AT114" s="4">
        <v>0.7</v>
      </c>
      <c r="AU114" s="654">
        <v>0.7</v>
      </c>
      <c r="AV114" s="655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654"/>
      <c r="BH114" s="655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654"/>
      <c r="BT114" s="655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693"/>
      <c r="CF114" s="723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654"/>
      <c r="CR114" s="655">
        <v>214.94620536964857</v>
      </c>
      <c r="CS114" s="4">
        <v>214.94620536964857</v>
      </c>
      <c r="CT114" s="4">
        <v>214.94620536964857</v>
      </c>
      <c r="CU114" s="4">
        <v>214.94620536964857</v>
      </c>
      <c r="CV114" s="4">
        <v>214.94620536964857</v>
      </c>
      <c r="CW114" s="4">
        <v>214.94620536964857</v>
      </c>
      <c r="CX114" s="4">
        <v>214.94620536964857</v>
      </c>
      <c r="CY114" s="4">
        <v>214.94620536964857</v>
      </c>
      <c r="CZ114" s="4">
        <v>214.94620536964857</v>
      </c>
      <c r="DA114" s="4">
        <v>214.94620536964857</v>
      </c>
      <c r="DB114" s="4">
        <v>214.94620536964857</v>
      </c>
      <c r="DC114" s="654">
        <v>214.94620536964857</v>
      </c>
      <c r="DD114" s="655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654"/>
      <c r="DP114" s="655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654"/>
      <c r="EB114" s="655"/>
      <c r="EC114" s="4"/>
      <c r="ED114" s="4"/>
      <c r="EE114" s="4"/>
      <c r="EF114" s="4"/>
      <c r="EG114" s="4"/>
      <c r="EH114" s="4"/>
      <c r="EI114" s="4"/>
      <c r="EJ114" s="4"/>
      <c r="EK114" s="4"/>
      <c r="EL114" s="4"/>
      <c r="EM114" s="693"/>
      <c r="EN114" s="723"/>
      <c r="EO114" s="4"/>
      <c r="EP114" s="4"/>
      <c r="EQ114" s="4"/>
      <c r="ER114" s="4"/>
      <c r="ES114" s="4"/>
      <c r="ET114" s="4"/>
      <c r="EU114" s="4"/>
      <c r="EV114" s="4"/>
      <c r="EW114" s="4"/>
      <c r="EX114" s="4"/>
      <c r="EY114" s="654"/>
      <c r="EZ114" s="655">
        <v>214.94620536964857</v>
      </c>
      <c r="FA114" s="4">
        <v>214.94620536964857</v>
      </c>
      <c r="FB114" s="4">
        <v>214.94620536964857</v>
      </c>
      <c r="FC114" s="4">
        <v>214.94620536964857</v>
      </c>
      <c r="FD114" s="4">
        <v>214.94620536964857</v>
      </c>
      <c r="FE114" s="4">
        <v>214.94620536964857</v>
      </c>
      <c r="FF114" s="4">
        <v>214.94620536964857</v>
      </c>
      <c r="FG114" s="4">
        <v>214.94620536964857</v>
      </c>
      <c r="FH114" s="4">
        <v>214.94620536964857</v>
      </c>
      <c r="FI114" s="4">
        <v>214.94620536964857</v>
      </c>
      <c r="FJ114" s="4">
        <v>214.94620536964857</v>
      </c>
      <c r="FK114" s="654">
        <v>214.94620536964857</v>
      </c>
      <c r="FL114" s="655"/>
      <c r="FM114" s="4"/>
      <c r="FN114" s="4"/>
      <c r="FO114" s="4"/>
      <c r="FP114" s="4"/>
      <c r="FQ114" s="4"/>
      <c r="FR114" s="4"/>
      <c r="FS114" s="4"/>
      <c r="FT114" s="4"/>
      <c r="FU114" s="4"/>
      <c r="FV114" s="4"/>
      <c r="FW114" s="654"/>
      <c r="FX114" s="655"/>
      <c r="FY114" s="4"/>
      <c r="FZ114" s="4"/>
      <c r="GA114" s="4"/>
      <c r="GB114" s="4"/>
      <c r="GC114" s="4"/>
      <c r="GD114" s="4"/>
      <c r="GE114" s="4"/>
      <c r="GF114" s="4"/>
      <c r="GG114" s="4"/>
      <c r="GH114" s="4"/>
      <c r="GI114" s="654"/>
      <c r="GJ114" s="655"/>
      <c r="GK114" s="4"/>
      <c r="GL114" s="4"/>
      <c r="GM114" s="4"/>
      <c r="GN114" s="4"/>
      <c r="GO114" s="4"/>
      <c r="GP114" s="4"/>
      <c r="GQ114" s="4"/>
      <c r="GR114" s="4"/>
      <c r="GS114" s="4"/>
      <c r="GT114" s="4"/>
      <c r="GU114" s="722"/>
      <c r="GV114" s="715"/>
    </row>
    <row r="115" spans="1:204" x14ac:dyDescent="0.25">
      <c r="A115" t="s">
        <v>826</v>
      </c>
      <c r="B115" s="2" t="s">
        <v>358</v>
      </c>
      <c r="C115" s="619">
        <v>44557</v>
      </c>
      <c r="D115" s="2" t="s">
        <v>631</v>
      </c>
      <c r="E115" t="s">
        <v>59</v>
      </c>
      <c r="F115" s="2" t="s">
        <v>43</v>
      </c>
      <c r="G115" t="s">
        <v>40</v>
      </c>
      <c r="H115" s="690" t="s">
        <v>85</v>
      </c>
      <c r="I115" s="691" t="s">
        <v>43</v>
      </c>
      <c r="J115" s="721">
        <v>3780401000108</v>
      </c>
      <c r="K115" s="691" t="s">
        <v>349</v>
      </c>
      <c r="L115" s="721">
        <v>4973790000142</v>
      </c>
      <c r="M115" s="718" t="s">
        <v>3</v>
      </c>
      <c r="N115" s="717" t="s">
        <v>44</v>
      </c>
      <c r="O115" s="719">
        <v>44621</v>
      </c>
      <c r="P115" s="720">
        <v>44651</v>
      </c>
      <c r="Q115" s="718">
        <v>165</v>
      </c>
      <c r="R115" s="717">
        <v>2.5</v>
      </c>
      <c r="S115" s="691" t="s">
        <v>54</v>
      </c>
      <c r="T115" t="s">
        <v>358</v>
      </c>
      <c r="U115" s="673" t="s">
        <v>358</v>
      </c>
      <c r="V115" s="690" t="s">
        <v>358</v>
      </c>
      <c r="W115" s="657" t="s">
        <v>214</v>
      </c>
      <c r="X115" s="723"/>
      <c r="Y115" s="4"/>
      <c r="Z115" s="4">
        <v>2.5</v>
      </c>
      <c r="AA115" s="4"/>
      <c r="AB115" s="4"/>
      <c r="AC115" s="4"/>
      <c r="AD115" s="4"/>
      <c r="AE115" s="4"/>
      <c r="AF115" s="4"/>
      <c r="AG115" s="4"/>
      <c r="AH115" s="4"/>
      <c r="AI115" s="654"/>
      <c r="AJ115" s="655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654"/>
      <c r="AV115" s="655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654"/>
      <c r="BH115" s="655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654"/>
      <c r="BT115" s="655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693"/>
      <c r="CF115" s="723"/>
      <c r="CG115" s="4"/>
      <c r="CH115" s="4">
        <v>165</v>
      </c>
      <c r="CI115" s="4"/>
      <c r="CJ115" s="4"/>
      <c r="CK115" s="4"/>
      <c r="CL115" s="4"/>
      <c r="CM115" s="4"/>
      <c r="CN115" s="4"/>
      <c r="CO115" s="4"/>
      <c r="CP115" s="4"/>
      <c r="CQ115" s="654"/>
      <c r="CR115" s="655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654"/>
      <c r="DD115" s="655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654"/>
      <c r="DP115" s="655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654"/>
      <c r="EB115" s="655"/>
      <c r="EC115" s="4"/>
      <c r="ED115" s="4"/>
      <c r="EE115" s="4"/>
      <c r="EF115" s="4"/>
      <c r="EG115" s="4"/>
      <c r="EH115" s="4"/>
      <c r="EI115" s="4"/>
      <c r="EJ115" s="4"/>
      <c r="EK115" s="4"/>
      <c r="EL115" s="4"/>
      <c r="EM115" s="693"/>
      <c r="EN115" s="723"/>
      <c r="EO115" s="4"/>
      <c r="EP115" s="4">
        <v>165</v>
      </c>
      <c r="EQ115" s="4"/>
      <c r="ER115" s="4"/>
      <c r="ES115" s="4"/>
      <c r="ET115" s="4"/>
      <c r="EU115" s="4"/>
      <c r="EV115" s="4"/>
      <c r="EW115" s="4"/>
      <c r="EX115" s="4"/>
      <c r="EY115" s="654"/>
      <c r="EZ115" s="655"/>
      <c r="FA115" s="4"/>
      <c r="FB115" s="4"/>
      <c r="FC115" s="4"/>
      <c r="FD115" s="4"/>
      <c r="FE115" s="4"/>
      <c r="FF115" s="4"/>
      <c r="FG115" s="4"/>
      <c r="FH115" s="4"/>
      <c r="FI115" s="4"/>
      <c r="FJ115" s="4"/>
      <c r="FK115" s="654"/>
      <c r="FL115" s="655"/>
      <c r="FM115" s="4"/>
      <c r="FN115" s="4"/>
      <c r="FO115" s="4"/>
      <c r="FP115" s="4"/>
      <c r="FQ115" s="4"/>
      <c r="FR115" s="4"/>
      <c r="FS115" s="4"/>
      <c r="FT115" s="4"/>
      <c r="FU115" s="4"/>
      <c r="FV115" s="4"/>
      <c r="FW115" s="654"/>
      <c r="FX115" s="655"/>
      <c r="FY115" s="4"/>
      <c r="FZ115" s="4"/>
      <c r="GA115" s="4"/>
      <c r="GB115" s="4"/>
      <c r="GC115" s="4"/>
      <c r="GD115" s="4"/>
      <c r="GE115" s="4"/>
      <c r="GF115" s="4"/>
      <c r="GG115" s="4"/>
      <c r="GH115" s="4"/>
      <c r="GI115" s="654"/>
      <c r="GJ115" s="655"/>
      <c r="GK115" s="4"/>
      <c r="GL115" s="4"/>
      <c r="GM115" s="4"/>
      <c r="GN115" s="4"/>
      <c r="GO115" s="4"/>
      <c r="GP115" s="4"/>
      <c r="GQ115" s="4"/>
      <c r="GR115" s="4"/>
      <c r="GS115" s="4"/>
      <c r="GT115" s="4"/>
      <c r="GU115" s="722"/>
      <c r="GV115" s="715"/>
    </row>
    <row r="116" spans="1:204" x14ac:dyDescent="0.25">
      <c r="A116" t="s">
        <v>827</v>
      </c>
      <c r="B116" s="2" t="s">
        <v>358</v>
      </c>
      <c r="C116" s="619">
        <v>44557</v>
      </c>
      <c r="D116" s="2" t="s">
        <v>632</v>
      </c>
      <c r="E116" t="s">
        <v>59</v>
      </c>
      <c r="F116" s="2" t="s">
        <v>43</v>
      </c>
      <c r="G116" t="s">
        <v>40</v>
      </c>
      <c r="H116" s="690" t="s">
        <v>85</v>
      </c>
      <c r="I116" s="691" t="s">
        <v>43</v>
      </c>
      <c r="J116" s="721">
        <v>3780401000108</v>
      </c>
      <c r="K116" s="691" t="s">
        <v>349</v>
      </c>
      <c r="L116" s="721">
        <v>4973790000142</v>
      </c>
      <c r="M116" s="718" t="s">
        <v>3</v>
      </c>
      <c r="N116" s="717" t="s">
        <v>44</v>
      </c>
      <c r="O116" s="719">
        <v>44593</v>
      </c>
      <c r="P116" s="720">
        <v>44620</v>
      </c>
      <c r="Q116" s="718">
        <v>170</v>
      </c>
      <c r="R116" s="717">
        <v>2.5</v>
      </c>
      <c r="S116" s="691" t="s">
        <v>54</v>
      </c>
      <c r="T116" t="s">
        <v>358</v>
      </c>
      <c r="U116" s="673" t="s">
        <v>358</v>
      </c>
      <c r="V116" s="690" t="s">
        <v>358</v>
      </c>
      <c r="W116" s="657" t="s">
        <v>214</v>
      </c>
      <c r="X116" s="723"/>
      <c r="Y116" s="4">
        <v>2.5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654"/>
      <c r="AJ116" s="655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654"/>
      <c r="AV116" s="655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654"/>
      <c r="BH116" s="655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654"/>
      <c r="BT116" s="655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693"/>
      <c r="CF116" s="723"/>
      <c r="CG116" s="4">
        <v>170</v>
      </c>
      <c r="CH116" s="4"/>
      <c r="CI116" s="4"/>
      <c r="CJ116" s="4"/>
      <c r="CK116" s="4"/>
      <c r="CL116" s="4"/>
      <c r="CM116" s="4"/>
      <c r="CN116" s="4"/>
      <c r="CO116" s="4"/>
      <c r="CP116" s="4"/>
      <c r="CQ116" s="654"/>
      <c r="CR116" s="655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654"/>
      <c r="DD116" s="655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654"/>
      <c r="DP116" s="655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654"/>
      <c r="EB116" s="655"/>
      <c r="EC116" s="4"/>
      <c r="ED116" s="4"/>
      <c r="EE116" s="4"/>
      <c r="EF116" s="4"/>
      <c r="EG116" s="4"/>
      <c r="EH116" s="4"/>
      <c r="EI116" s="4"/>
      <c r="EJ116" s="4"/>
      <c r="EK116" s="4"/>
      <c r="EL116" s="4"/>
      <c r="EM116" s="693"/>
      <c r="EN116" s="723"/>
      <c r="EO116" s="4">
        <v>170</v>
      </c>
      <c r="EP116" s="4"/>
      <c r="EQ116" s="4"/>
      <c r="ER116" s="4"/>
      <c r="ES116" s="4"/>
      <c r="ET116" s="4"/>
      <c r="EU116" s="4"/>
      <c r="EV116" s="4"/>
      <c r="EW116" s="4"/>
      <c r="EX116" s="4"/>
      <c r="EY116" s="654"/>
      <c r="EZ116" s="655"/>
      <c r="FA116" s="4"/>
      <c r="FB116" s="4"/>
      <c r="FC116" s="4"/>
      <c r="FD116" s="4"/>
      <c r="FE116" s="4"/>
      <c r="FF116" s="4"/>
      <c r="FG116" s="4"/>
      <c r="FH116" s="4"/>
      <c r="FI116" s="4"/>
      <c r="FJ116" s="4"/>
      <c r="FK116" s="654"/>
      <c r="FL116" s="655"/>
      <c r="FM116" s="4"/>
      <c r="FN116" s="4"/>
      <c r="FO116" s="4"/>
      <c r="FP116" s="4"/>
      <c r="FQ116" s="4"/>
      <c r="FR116" s="4"/>
      <c r="FS116" s="4"/>
      <c r="FT116" s="4"/>
      <c r="FU116" s="4"/>
      <c r="FV116" s="4"/>
      <c r="FW116" s="654"/>
      <c r="FX116" s="655"/>
      <c r="FY116" s="4"/>
      <c r="FZ116" s="4"/>
      <c r="GA116" s="4"/>
      <c r="GB116" s="4"/>
      <c r="GC116" s="4"/>
      <c r="GD116" s="4"/>
      <c r="GE116" s="4"/>
      <c r="GF116" s="4"/>
      <c r="GG116" s="4"/>
      <c r="GH116" s="4"/>
      <c r="GI116" s="654"/>
      <c r="GJ116" s="655"/>
      <c r="GK116" s="4"/>
      <c r="GL116" s="4"/>
      <c r="GM116" s="4"/>
      <c r="GN116" s="4"/>
      <c r="GO116" s="4"/>
      <c r="GP116" s="4"/>
      <c r="GQ116" s="4"/>
      <c r="GR116" s="4"/>
      <c r="GS116" s="4"/>
      <c r="GT116" s="4"/>
      <c r="GU116" s="722"/>
      <c r="GV116" s="715"/>
    </row>
    <row r="117" spans="1:204" x14ac:dyDescent="0.25">
      <c r="A117" t="s">
        <v>828</v>
      </c>
      <c r="B117" s="2" t="s">
        <v>358</v>
      </c>
      <c r="C117" s="619">
        <v>44557</v>
      </c>
      <c r="D117" s="2" t="s">
        <v>633</v>
      </c>
      <c r="E117" t="s">
        <v>59</v>
      </c>
      <c r="F117" s="2" t="s">
        <v>43</v>
      </c>
      <c r="G117" t="s">
        <v>40</v>
      </c>
      <c r="H117" s="690" t="s">
        <v>85</v>
      </c>
      <c r="I117" s="691" t="s">
        <v>43</v>
      </c>
      <c r="J117" s="721">
        <v>3780401000108</v>
      </c>
      <c r="K117" s="691" t="s">
        <v>508</v>
      </c>
      <c r="L117" s="721">
        <v>8773135000100</v>
      </c>
      <c r="M117" s="718" t="s">
        <v>3</v>
      </c>
      <c r="N117" s="717" t="s">
        <v>44</v>
      </c>
      <c r="O117" s="719">
        <v>44562</v>
      </c>
      <c r="P117" s="720">
        <v>44592</v>
      </c>
      <c r="Q117" s="718">
        <v>125</v>
      </c>
      <c r="R117" s="717">
        <v>2.5</v>
      </c>
      <c r="S117" s="691" t="s">
        <v>54</v>
      </c>
      <c r="T117" t="s">
        <v>358</v>
      </c>
      <c r="U117" s="673" t="s">
        <v>358</v>
      </c>
      <c r="V117" s="690" t="s">
        <v>358</v>
      </c>
      <c r="W117" s="657" t="s">
        <v>214</v>
      </c>
      <c r="X117" s="723">
        <v>2.5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654"/>
      <c r="AJ117" s="655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654"/>
      <c r="AV117" s="655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654"/>
      <c r="BH117" s="655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654"/>
      <c r="BT117" s="655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693"/>
      <c r="CF117" s="723">
        <v>125</v>
      </c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654"/>
      <c r="CR117" s="655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654"/>
      <c r="DD117" s="655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654"/>
      <c r="DP117" s="655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654"/>
      <c r="EB117" s="655"/>
      <c r="EC117" s="4"/>
      <c r="ED117" s="4"/>
      <c r="EE117" s="4"/>
      <c r="EF117" s="4"/>
      <c r="EG117" s="4"/>
      <c r="EH117" s="4"/>
      <c r="EI117" s="4"/>
      <c r="EJ117" s="4"/>
      <c r="EK117" s="4"/>
      <c r="EL117" s="4"/>
      <c r="EM117" s="693"/>
      <c r="EN117" s="723">
        <v>125</v>
      </c>
      <c r="EO117" s="4"/>
      <c r="EP117" s="4"/>
      <c r="EQ117" s="4"/>
      <c r="ER117" s="4"/>
      <c r="ES117" s="4"/>
      <c r="ET117" s="4"/>
      <c r="EU117" s="4"/>
      <c r="EV117" s="4"/>
      <c r="EW117" s="4"/>
      <c r="EX117" s="4"/>
      <c r="EY117" s="654"/>
      <c r="EZ117" s="655"/>
      <c r="FA117" s="4"/>
      <c r="FB117" s="4"/>
      <c r="FC117" s="4"/>
      <c r="FD117" s="4"/>
      <c r="FE117" s="4"/>
      <c r="FF117" s="4"/>
      <c r="FG117" s="4"/>
      <c r="FH117" s="4"/>
      <c r="FI117" s="4"/>
      <c r="FJ117" s="4"/>
      <c r="FK117" s="654"/>
      <c r="FL117" s="655"/>
      <c r="FM117" s="4"/>
      <c r="FN117" s="4"/>
      <c r="FO117" s="4"/>
      <c r="FP117" s="4"/>
      <c r="FQ117" s="4"/>
      <c r="FR117" s="4"/>
      <c r="FS117" s="4"/>
      <c r="FT117" s="4"/>
      <c r="FU117" s="4"/>
      <c r="FV117" s="4"/>
      <c r="FW117" s="654"/>
      <c r="FX117" s="655"/>
      <c r="FY117" s="4"/>
      <c r="FZ117" s="4"/>
      <c r="GA117" s="4"/>
      <c r="GB117" s="4"/>
      <c r="GC117" s="4"/>
      <c r="GD117" s="4"/>
      <c r="GE117" s="4"/>
      <c r="GF117" s="4"/>
      <c r="GG117" s="4"/>
      <c r="GH117" s="4"/>
      <c r="GI117" s="654"/>
      <c r="GJ117" s="655"/>
      <c r="GK117" s="4"/>
      <c r="GL117" s="4"/>
      <c r="GM117" s="4"/>
      <c r="GN117" s="4"/>
      <c r="GO117" s="4"/>
      <c r="GP117" s="4"/>
      <c r="GQ117" s="4"/>
      <c r="GR117" s="4"/>
      <c r="GS117" s="4"/>
      <c r="GT117" s="4"/>
      <c r="GU117" s="722"/>
      <c r="GV117" s="715"/>
    </row>
    <row r="118" spans="1:204" x14ac:dyDescent="0.25">
      <c r="A118" t="s">
        <v>829</v>
      </c>
      <c r="B118" s="2" t="s">
        <v>358</v>
      </c>
      <c r="C118" s="619">
        <v>44557</v>
      </c>
      <c r="D118" s="2" t="s">
        <v>634</v>
      </c>
      <c r="E118" t="s">
        <v>59</v>
      </c>
      <c r="F118" s="2" t="s">
        <v>43</v>
      </c>
      <c r="G118" t="s">
        <v>40</v>
      </c>
      <c r="H118" s="690" t="s">
        <v>85</v>
      </c>
      <c r="I118" s="691" t="s">
        <v>43</v>
      </c>
      <c r="J118" s="721">
        <v>3780401000108</v>
      </c>
      <c r="K118" s="691" t="s">
        <v>353</v>
      </c>
      <c r="L118" s="721">
        <v>28758086000135</v>
      </c>
      <c r="M118" s="718" t="s">
        <v>3</v>
      </c>
      <c r="N118" s="717" t="s">
        <v>44</v>
      </c>
      <c r="O118" s="719">
        <v>44652</v>
      </c>
      <c r="P118" s="720">
        <v>44742</v>
      </c>
      <c r="Q118" s="718">
        <v>167</v>
      </c>
      <c r="R118" s="717">
        <v>1</v>
      </c>
      <c r="S118" s="691" t="s">
        <v>54</v>
      </c>
      <c r="T118" t="s">
        <v>358</v>
      </c>
      <c r="U118" s="673" t="s">
        <v>358</v>
      </c>
      <c r="V118" s="690" t="s">
        <v>358</v>
      </c>
      <c r="W118" s="657" t="s">
        <v>214</v>
      </c>
      <c r="X118" s="723"/>
      <c r="Y118" s="4"/>
      <c r="Z118" s="4"/>
      <c r="AA118" s="4">
        <v>1</v>
      </c>
      <c r="AB118" s="4">
        <v>1</v>
      </c>
      <c r="AC118" s="4">
        <v>1</v>
      </c>
      <c r="AD118" s="4"/>
      <c r="AE118" s="4"/>
      <c r="AF118" s="4"/>
      <c r="AG118" s="4"/>
      <c r="AH118" s="4"/>
      <c r="AI118" s="654"/>
      <c r="AJ118" s="655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654"/>
      <c r="AV118" s="655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654"/>
      <c r="BH118" s="655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654"/>
      <c r="BT118" s="655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693"/>
      <c r="CF118" s="723"/>
      <c r="CG118" s="4"/>
      <c r="CH118" s="4"/>
      <c r="CI118" s="4">
        <v>167</v>
      </c>
      <c r="CJ118" s="4">
        <v>167</v>
      </c>
      <c r="CK118" s="4">
        <v>167</v>
      </c>
      <c r="CL118" s="4"/>
      <c r="CM118" s="4"/>
      <c r="CN118" s="4"/>
      <c r="CO118" s="4"/>
      <c r="CP118" s="4"/>
      <c r="CQ118" s="654"/>
      <c r="CR118" s="655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654"/>
      <c r="DD118" s="655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654"/>
      <c r="DP118" s="655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654"/>
      <c r="EB118" s="655"/>
      <c r="EC118" s="4"/>
      <c r="ED118" s="4"/>
      <c r="EE118" s="4"/>
      <c r="EF118" s="4"/>
      <c r="EG118" s="4"/>
      <c r="EH118" s="4"/>
      <c r="EI118" s="4"/>
      <c r="EJ118" s="4"/>
      <c r="EK118" s="4"/>
      <c r="EL118" s="4"/>
      <c r="EM118" s="693"/>
      <c r="EN118" s="723"/>
      <c r="EO118" s="4"/>
      <c r="EP118" s="4"/>
      <c r="EQ118" s="4">
        <v>167</v>
      </c>
      <c r="ER118" s="4">
        <v>167</v>
      </c>
      <c r="ES118" s="4">
        <v>167</v>
      </c>
      <c r="ET118" s="4"/>
      <c r="EU118" s="4"/>
      <c r="EV118" s="4"/>
      <c r="EW118" s="4"/>
      <c r="EX118" s="4"/>
      <c r="EY118" s="654"/>
      <c r="EZ118" s="655"/>
      <c r="FA118" s="4"/>
      <c r="FB118" s="4"/>
      <c r="FC118" s="4"/>
      <c r="FD118" s="4"/>
      <c r="FE118" s="4"/>
      <c r="FF118" s="4"/>
      <c r="FG118" s="4"/>
      <c r="FH118" s="4"/>
      <c r="FI118" s="4"/>
      <c r="FJ118" s="4"/>
      <c r="FK118" s="654"/>
      <c r="FL118" s="655"/>
      <c r="FM118" s="4"/>
      <c r="FN118" s="4"/>
      <c r="FO118" s="4"/>
      <c r="FP118" s="4"/>
      <c r="FQ118" s="4"/>
      <c r="FR118" s="4"/>
      <c r="FS118" s="4"/>
      <c r="FT118" s="4"/>
      <c r="FU118" s="4"/>
      <c r="FV118" s="4"/>
      <c r="FW118" s="654"/>
      <c r="FX118" s="655"/>
      <c r="FY118" s="4"/>
      <c r="FZ118" s="4"/>
      <c r="GA118" s="4"/>
      <c r="GB118" s="4"/>
      <c r="GC118" s="4"/>
      <c r="GD118" s="4"/>
      <c r="GE118" s="4"/>
      <c r="GF118" s="4"/>
      <c r="GG118" s="4"/>
      <c r="GH118" s="4"/>
      <c r="GI118" s="654"/>
      <c r="GJ118" s="655"/>
      <c r="GK118" s="4"/>
      <c r="GL118" s="4"/>
      <c r="GM118" s="4"/>
      <c r="GN118" s="4"/>
      <c r="GO118" s="4"/>
      <c r="GP118" s="4"/>
      <c r="GQ118" s="4"/>
      <c r="GR118" s="4"/>
      <c r="GS118" s="4"/>
      <c r="GT118" s="4"/>
      <c r="GU118" s="722"/>
      <c r="GV118" s="715"/>
    </row>
    <row r="119" spans="1:204" x14ac:dyDescent="0.25">
      <c r="A119" t="s">
        <v>830</v>
      </c>
      <c r="B119" s="2" t="s">
        <v>358</v>
      </c>
      <c r="C119" s="619">
        <v>44557</v>
      </c>
      <c r="D119" s="2" t="s">
        <v>635</v>
      </c>
      <c r="E119" t="s">
        <v>59</v>
      </c>
      <c r="F119" s="2" t="s">
        <v>43</v>
      </c>
      <c r="G119" t="s">
        <v>40</v>
      </c>
      <c r="H119" s="690" t="s">
        <v>85</v>
      </c>
      <c r="I119" s="691" t="s">
        <v>43</v>
      </c>
      <c r="J119" s="721">
        <v>3780401000108</v>
      </c>
      <c r="K119" s="691" t="s">
        <v>469</v>
      </c>
      <c r="L119" s="721">
        <v>9495582000107</v>
      </c>
      <c r="M119" s="718" t="s">
        <v>3</v>
      </c>
      <c r="N119" s="717" t="s">
        <v>44</v>
      </c>
      <c r="O119" s="719">
        <v>44652</v>
      </c>
      <c r="P119" s="720">
        <v>44742</v>
      </c>
      <c r="Q119" s="718">
        <v>167</v>
      </c>
      <c r="R119" s="717">
        <v>1</v>
      </c>
      <c r="S119" s="691" t="s">
        <v>54</v>
      </c>
      <c r="T119" t="s">
        <v>358</v>
      </c>
      <c r="U119" s="673" t="s">
        <v>358</v>
      </c>
      <c r="V119" s="690" t="s">
        <v>358</v>
      </c>
      <c r="W119" s="657" t="s">
        <v>214</v>
      </c>
      <c r="X119" s="723"/>
      <c r="Y119" s="4"/>
      <c r="Z119" s="4"/>
      <c r="AA119" s="4">
        <v>1</v>
      </c>
      <c r="AB119" s="4">
        <v>1</v>
      </c>
      <c r="AC119" s="4">
        <v>1</v>
      </c>
      <c r="AD119" s="4"/>
      <c r="AE119" s="4"/>
      <c r="AF119" s="4"/>
      <c r="AG119" s="4"/>
      <c r="AH119" s="4"/>
      <c r="AI119" s="654"/>
      <c r="AJ119" s="655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654"/>
      <c r="AV119" s="655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654"/>
      <c r="BH119" s="655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654"/>
      <c r="BT119" s="655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693"/>
      <c r="CF119" s="723"/>
      <c r="CG119" s="4"/>
      <c r="CH119" s="4"/>
      <c r="CI119" s="4">
        <v>167</v>
      </c>
      <c r="CJ119" s="4">
        <v>167</v>
      </c>
      <c r="CK119" s="4">
        <v>167</v>
      </c>
      <c r="CL119" s="4"/>
      <c r="CM119" s="4"/>
      <c r="CN119" s="4"/>
      <c r="CO119" s="4"/>
      <c r="CP119" s="4"/>
      <c r="CQ119" s="654"/>
      <c r="CR119" s="655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654"/>
      <c r="DD119" s="655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654"/>
      <c r="DP119" s="655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654"/>
      <c r="EB119" s="655"/>
      <c r="EC119" s="4"/>
      <c r="ED119" s="4"/>
      <c r="EE119" s="4"/>
      <c r="EF119" s="4"/>
      <c r="EG119" s="4"/>
      <c r="EH119" s="4"/>
      <c r="EI119" s="4"/>
      <c r="EJ119" s="4"/>
      <c r="EK119" s="4"/>
      <c r="EL119" s="4"/>
      <c r="EM119" s="693"/>
      <c r="EN119" s="723"/>
      <c r="EO119" s="4"/>
      <c r="EP119" s="4"/>
      <c r="EQ119" s="4">
        <v>167</v>
      </c>
      <c r="ER119" s="4">
        <v>167</v>
      </c>
      <c r="ES119" s="4">
        <v>167</v>
      </c>
      <c r="ET119" s="4"/>
      <c r="EU119" s="4"/>
      <c r="EV119" s="4"/>
      <c r="EW119" s="4"/>
      <c r="EX119" s="4"/>
      <c r="EY119" s="654"/>
      <c r="EZ119" s="655"/>
      <c r="FA119" s="4"/>
      <c r="FB119" s="4"/>
      <c r="FC119" s="4"/>
      <c r="FD119" s="4"/>
      <c r="FE119" s="4"/>
      <c r="FF119" s="4"/>
      <c r="FG119" s="4"/>
      <c r="FH119" s="4"/>
      <c r="FI119" s="4"/>
      <c r="FJ119" s="4"/>
      <c r="FK119" s="654"/>
      <c r="FL119" s="655"/>
      <c r="FM119" s="4"/>
      <c r="FN119" s="4"/>
      <c r="FO119" s="4"/>
      <c r="FP119" s="4"/>
      <c r="FQ119" s="4"/>
      <c r="FR119" s="4"/>
      <c r="FS119" s="4"/>
      <c r="FT119" s="4"/>
      <c r="FU119" s="4"/>
      <c r="FV119" s="4"/>
      <c r="FW119" s="654"/>
      <c r="FX119" s="655"/>
      <c r="FY119" s="4"/>
      <c r="FZ119" s="4"/>
      <c r="GA119" s="4"/>
      <c r="GB119" s="4"/>
      <c r="GC119" s="4"/>
      <c r="GD119" s="4"/>
      <c r="GE119" s="4"/>
      <c r="GF119" s="4"/>
      <c r="GG119" s="4"/>
      <c r="GH119" s="4"/>
      <c r="GI119" s="654"/>
      <c r="GJ119" s="655"/>
      <c r="GK119" s="4"/>
      <c r="GL119" s="4"/>
      <c r="GM119" s="4"/>
      <c r="GN119" s="4"/>
      <c r="GO119" s="4"/>
      <c r="GP119" s="4"/>
      <c r="GQ119" s="4"/>
      <c r="GR119" s="4"/>
      <c r="GS119" s="4"/>
      <c r="GT119" s="4"/>
      <c r="GU119" s="722"/>
      <c r="GV119" s="715"/>
    </row>
    <row r="120" spans="1:204" x14ac:dyDescent="0.25">
      <c r="A120" t="s">
        <v>831</v>
      </c>
      <c r="B120" s="2" t="s">
        <v>358</v>
      </c>
      <c r="C120" s="619">
        <v>44557</v>
      </c>
      <c r="D120" s="2" t="s">
        <v>636</v>
      </c>
      <c r="E120" t="s">
        <v>59</v>
      </c>
      <c r="F120" s="2" t="s">
        <v>43</v>
      </c>
      <c r="G120" t="s">
        <v>40</v>
      </c>
      <c r="H120" s="690" t="s">
        <v>85</v>
      </c>
      <c r="I120" s="691" t="s">
        <v>43</v>
      </c>
      <c r="J120" s="721">
        <v>3780401000108</v>
      </c>
      <c r="K120" s="691" t="s">
        <v>410</v>
      </c>
      <c r="L120" s="721">
        <v>3631957000124</v>
      </c>
      <c r="M120" s="718" t="s">
        <v>3</v>
      </c>
      <c r="N120" s="717" t="s">
        <v>44</v>
      </c>
      <c r="O120" s="719">
        <v>44652</v>
      </c>
      <c r="P120" s="720">
        <v>44742</v>
      </c>
      <c r="Q120" s="718">
        <v>165</v>
      </c>
      <c r="R120" s="717">
        <v>0.5</v>
      </c>
      <c r="S120" s="691" t="s">
        <v>54</v>
      </c>
      <c r="T120" t="s">
        <v>358</v>
      </c>
      <c r="U120" s="673" t="s">
        <v>358</v>
      </c>
      <c r="V120" s="690" t="s">
        <v>358</v>
      </c>
      <c r="W120" s="657" t="s">
        <v>214</v>
      </c>
      <c r="X120" s="723"/>
      <c r="Y120" s="4"/>
      <c r="Z120" s="4"/>
      <c r="AA120" s="4">
        <v>0.5</v>
      </c>
      <c r="AB120" s="4">
        <v>0.5</v>
      </c>
      <c r="AC120" s="4">
        <v>0.5</v>
      </c>
      <c r="AD120" s="4"/>
      <c r="AE120" s="4"/>
      <c r="AF120" s="4"/>
      <c r="AG120" s="4"/>
      <c r="AH120" s="4"/>
      <c r="AI120" s="654"/>
      <c r="AJ120" s="655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654"/>
      <c r="AV120" s="655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654"/>
      <c r="BH120" s="655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654"/>
      <c r="BT120" s="655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693"/>
      <c r="CF120" s="723"/>
      <c r="CG120" s="4"/>
      <c r="CH120" s="4"/>
      <c r="CI120" s="4">
        <v>165</v>
      </c>
      <c r="CJ120" s="4">
        <v>165</v>
      </c>
      <c r="CK120" s="4">
        <v>165</v>
      </c>
      <c r="CL120" s="4"/>
      <c r="CM120" s="4"/>
      <c r="CN120" s="4"/>
      <c r="CO120" s="4"/>
      <c r="CP120" s="4"/>
      <c r="CQ120" s="654"/>
      <c r="CR120" s="655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654"/>
      <c r="DD120" s="655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654"/>
      <c r="DP120" s="655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654"/>
      <c r="EB120" s="655"/>
      <c r="EC120" s="4"/>
      <c r="ED120" s="4"/>
      <c r="EE120" s="4"/>
      <c r="EF120" s="4"/>
      <c r="EG120" s="4"/>
      <c r="EH120" s="4"/>
      <c r="EI120" s="4"/>
      <c r="EJ120" s="4"/>
      <c r="EK120" s="4"/>
      <c r="EL120" s="4"/>
      <c r="EM120" s="693"/>
      <c r="EN120" s="723"/>
      <c r="EO120" s="4"/>
      <c r="EP120" s="4"/>
      <c r="EQ120" s="4">
        <v>165</v>
      </c>
      <c r="ER120" s="4">
        <v>165</v>
      </c>
      <c r="ES120" s="4">
        <v>165</v>
      </c>
      <c r="ET120" s="4"/>
      <c r="EU120" s="4"/>
      <c r="EV120" s="4"/>
      <c r="EW120" s="4"/>
      <c r="EX120" s="4"/>
      <c r="EY120" s="654"/>
      <c r="EZ120" s="655"/>
      <c r="FA120" s="4"/>
      <c r="FB120" s="4"/>
      <c r="FC120" s="4"/>
      <c r="FD120" s="4"/>
      <c r="FE120" s="4"/>
      <c r="FF120" s="4"/>
      <c r="FG120" s="4"/>
      <c r="FH120" s="4"/>
      <c r="FI120" s="4"/>
      <c r="FJ120" s="4"/>
      <c r="FK120" s="654"/>
      <c r="FL120" s="655"/>
      <c r="FM120" s="4"/>
      <c r="FN120" s="4"/>
      <c r="FO120" s="4"/>
      <c r="FP120" s="4"/>
      <c r="FQ120" s="4"/>
      <c r="FR120" s="4"/>
      <c r="FS120" s="4"/>
      <c r="FT120" s="4"/>
      <c r="FU120" s="4"/>
      <c r="FV120" s="4"/>
      <c r="FW120" s="654"/>
      <c r="FX120" s="655"/>
      <c r="FY120" s="4"/>
      <c r="FZ120" s="4"/>
      <c r="GA120" s="4"/>
      <c r="GB120" s="4"/>
      <c r="GC120" s="4"/>
      <c r="GD120" s="4"/>
      <c r="GE120" s="4"/>
      <c r="GF120" s="4"/>
      <c r="GG120" s="4"/>
      <c r="GH120" s="4"/>
      <c r="GI120" s="654"/>
      <c r="GJ120" s="655"/>
      <c r="GK120" s="4"/>
      <c r="GL120" s="4"/>
      <c r="GM120" s="4"/>
      <c r="GN120" s="4"/>
      <c r="GO120" s="4"/>
      <c r="GP120" s="4"/>
      <c r="GQ120" s="4"/>
      <c r="GR120" s="4"/>
      <c r="GS120" s="4"/>
      <c r="GT120" s="4"/>
      <c r="GU120" s="722"/>
      <c r="GV120" s="715"/>
    </row>
    <row r="121" spans="1:204" x14ac:dyDescent="0.25">
      <c r="A121" t="s">
        <v>832</v>
      </c>
      <c r="B121" s="2" t="s">
        <v>358</v>
      </c>
      <c r="C121" s="619">
        <v>44557</v>
      </c>
      <c r="D121" s="2" t="s">
        <v>637</v>
      </c>
      <c r="E121" t="s">
        <v>59</v>
      </c>
      <c r="F121" s="2" t="s">
        <v>43</v>
      </c>
      <c r="G121" t="s">
        <v>40</v>
      </c>
      <c r="H121" s="690" t="s">
        <v>85</v>
      </c>
      <c r="I121" s="691" t="s">
        <v>43</v>
      </c>
      <c r="J121" s="721">
        <v>3780401000108</v>
      </c>
      <c r="K121" s="691" t="s">
        <v>639</v>
      </c>
      <c r="L121" s="721">
        <v>11820864000176</v>
      </c>
      <c r="M121" s="718" t="s">
        <v>3</v>
      </c>
      <c r="N121" s="717" t="s">
        <v>44</v>
      </c>
      <c r="O121" s="719">
        <v>44743</v>
      </c>
      <c r="P121" s="720">
        <v>44926</v>
      </c>
      <c r="Q121" s="718">
        <v>257</v>
      </c>
      <c r="R121" s="717">
        <v>2</v>
      </c>
      <c r="S121" s="691" t="s">
        <v>54</v>
      </c>
      <c r="T121" t="s">
        <v>358</v>
      </c>
      <c r="U121" s="673" t="s">
        <v>358</v>
      </c>
      <c r="V121" s="690" t="s">
        <v>358</v>
      </c>
      <c r="W121" s="657" t="s">
        <v>214</v>
      </c>
      <c r="X121" s="723"/>
      <c r="Y121" s="4"/>
      <c r="Z121" s="4"/>
      <c r="AA121" s="4"/>
      <c r="AB121" s="4"/>
      <c r="AC121" s="4"/>
      <c r="AD121" s="4">
        <v>2</v>
      </c>
      <c r="AE121" s="4">
        <v>2</v>
      </c>
      <c r="AF121" s="4">
        <v>2</v>
      </c>
      <c r="AG121" s="4">
        <v>2</v>
      </c>
      <c r="AH121" s="4">
        <v>2</v>
      </c>
      <c r="AI121" s="654">
        <v>2</v>
      </c>
      <c r="AJ121" s="655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654"/>
      <c r="AV121" s="655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654"/>
      <c r="BH121" s="655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654"/>
      <c r="BT121" s="655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693"/>
      <c r="CF121" s="723"/>
      <c r="CG121" s="4"/>
      <c r="CH121" s="4"/>
      <c r="CI121" s="4"/>
      <c r="CJ121" s="4"/>
      <c r="CK121" s="4"/>
      <c r="CL121" s="4">
        <v>257</v>
      </c>
      <c r="CM121" s="4">
        <v>257</v>
      </c>
      <c r="CN121" s="4">
        <v>257</v>
      </c>
      <c r="CO121" s="4">
        <v>257</v>
      </c>
      <c r="CP121" s="4">
        <v>257</v>
      </c>
      <c r="CQ121" s="654">
        <v>257</v>
      </c>
      <c r="CR121" s="655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654"/>
      <c r="DD121" s="655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654"/>
      <c r="DP121" s="655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654"/>
      <c r="EB121" s="655"/>
      <c r="EC121" s="4"/>
      <c r="ED121" s="4"/>
      <c r="EE121" s="4"/>
      <c r="EF121" s="4"/>
      <c r="EG121" s="4"/>
      <c r="EH121" s="4"/>
      <c r="EI121" s="4"/>
      <c r="EJ121" s="4"/>
      <c r="EK121" s="4"/>
      <c r="EL121" s="4"/>
      <c r="EM121" s="693"/>
      <c r="EN121" s="723"/>
      <c r="EO121" s="4"/>
      <c r="EP121" s="4"/>
      <c r="EQ121" s="4"/>
      <c r="ER121" s="4"/>
      <c r="ES121" s="4"/>
      <c r="ET121" s="4">
        <v>257</v>
      </c>
      <c r="EU121" s="4">
        <v>257</v>
      </c>
      <c r="EV121" s="4">
        <v>257</v>
      </c>
      <c r="EW121" s="4">
        <v>257</v>
      </c>
      <c r="EX121" s="4">
        <v>257</v>
      </c>
      <c r="EY121" s="654">
        <v>257</v>
      </c>
      <c r="EZ121" s="655"/>
      <c r="FA121" s="4"/>
      <c r="FB121" s="4"/>
      <c r="FC121" s="4"/>
      <c r="FD121" s="4"/>
      <c r="FE121" s="4"/>
      <c r="FF121" s="4"/>
      <c r="FG121" s="4"/>
      <c r="FH121" s="4"/>
      <c r="FI121" s="4"/>
      <c r="FJ121" s="4"/>
      <c r="FK121" s="654"/>
      <c r="FL121" s="655"/>
      <c r="FM121" s="4"/>
      <c r="FN121" s="4"/>
      <c r="FO121" s="4"/>
      <c r="FP121" s="4"/>
      <c r="FQ121" s="4"/>
      <c r="FR121" s="4"/>
      <c r="FS121" s="4"/>
      <c r="FT121" s="4"/>
      <c r="FU121" s="4"/>
      <c r="FV121" s="4"/>
      <c r="FW121" s="654"/>
      <c r="FX121" s="655"/>
      <c r="FY121" s="4"/>
      <c r="FZ121" s="4"/>
      <c r="GA121" s="4"/>
      <c r="GB121" s="4"/>
      <c r="GC121" s="4"/>
      <c r="GD121" s="4"/>
      <c r="GE121" s="4"/>
      <c r="GF121" s="4"/>
      <c r="GG121" s="4"/>
      <c r="GH121" s="4"/>
      <c r="GI121" s="654"/>
      <c r="GJ121" s="655"/>
      <c r="GK121" s="4"/>
      <c r="GL121" s="4"/>
      <c r="GM121" s="4"/>
      <c r="GN121" s="4"/>
      <c r="GO121" s="4"/>
      <c r="GP121" s="4"/>
      <c r="GQ121" s="4"/>
      <c r="GR121" s="4"/>
      <c r="GS121" s="4"/>
      <c r="GT121" s="4"/>
      <c r="GU121" s="722"/>
      <c r="GV121" s="715"/>
    </row>
    <row r="122" spans="1:204" x14ac:dyDescent="0.25">
      <c r="A122" t="s">
        <v>833</v>
      </c>
      <c r="B122" s="2" t="s">
        <v>358</v>
      </c>
      <c r="C122" s="619">
        <v>44557</v>
      </c>
      <c r="D122" s="2" t="s">
        <v>638</v>
      </c>
      <c r="E122" t="s">
        <v>59</v>
      </c>
      <c r="F122" s="2" t="s">
        <v>43</v>
      </c>
      <c r="G122" t="s">
        <v>40</v>
      </c>
      <c r="H122" s="690" t="s">
        <v>85</v>
      </c>
      <c r="I122" s="691" t="s">
        <v>43</v>
      </c>
      <c r="J122" s="721">
        <v>3780401000108</v>
      </c>
      <c r="K122" s="691" t="s">
        <v>350</v>
      </c>
      <c r="L122" s="721">
        <v>17858631000149</v>
      </c>
      <c r="M122" s="718" t="s">
        <v>3</v>
      </c>
      <c r="N122" s="717" t="s">
        <v>44</v>
      </c>
      <c r="O122" s="719">
        <v>44562</v>
      </c>
      <c r="P122" s="720">
        <v>44926</v>
      </c>
      <c r="Q122" s="718">
        <v>211</v>
      </c>
      <c r="R122" s="717">
        <v>0.5</v>
      </c>
      <c r="S122" s="691" t="s">
        <v>54</v>
      </c>
      <c r="T122" t="s">
        <v>358</v>
      </c>
      <c r="U122" s="673" t="s">
        <v>358</v>
      </c>
      <c r="V122" s="690" t="s">
        <v>358</v>
      </c>
      <c r="W122" s="657" t="s">
        <v>214</v>
      </c>
      <c r="X122" s="723">
        <v>0.5</v>
      </c>
      <c r="Y122" s="4">
        <v>0.5</v>
      </c>
      <c r="Z122" s="4">
        <v>0.5</v>
      </c>
      <c r="AA122" s="4">
        <v>0.5</v>
      </c>
      <c r="AB122" s="4">
        <v>0.5</v>
      </c>
      <c r="AC122" s="4">
        <v>0.5</v>
      </c>
      <c r="AD122" s="4">
        <v>0.5</v>
      </c>
      <c r="AE122" s="4">
        <v>0.5</v>
      </c>
      <c r="AF122" s="4">
        <v>0.5</v>
      </c>
      <c r="AG122" s="4">
        <v>0.5</v>
      </c>
      <c r="AH122" s="4">
        <v>0.5</v>
      </c>
      <c r="AI122" s="654">
        <v>0.5</v>
      </c>
      <c r="AJ122" s="655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654"/>
      <c r="AV122" s="655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654"/>
      <c r="BH122" s="655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654"/>
      <c r="BT122" s="655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693"/>
      <c r="CF122" s="723">
        <v>211</v>
      </c>
      <c r="CG122" s="4">
        <v>211</v>
      </c>
      <c r="CH122" s="4">
        <v>211</v>
      </c>
      <c r="CI122" s="4">
        <v>211</v>
      </c>
      <c r="CJ122" s="4">
        <v>211</v>
      </c>
      <c r="CK122" s="4">
        <v>211</v>
      </c>
      <c r="CL122" s="4">
        <v>211</v>
      </c>
      <c r="CM122" s="4">
        <v>211</v>
      </c>
      <c r="CN122" s="4">
        <v>211</v>
      </c>
      <c r="CO122" s="4">
        <v>211</v>
      </c>
      <c r="CP122" s="4">
        <v>211</v>
      </c>
      <c r="CQ122" s="654">
        <v>211</v>
      </c>
      <c r="CR122" s="655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654"/>
      <c r="DD122" s="655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654"/>
      <c r="DP122" s="655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654"/>
      <c r="EB122" s="655"/>
      <c r="EC122" s="4"/>
      <c r="ED122" s="4"/>
      <c r="EE122" s="4"/>
      <c r="EF122" s="4"/>
      <c r="EG122" s="4"/>
      <c r="EH122" s="4"/>
      <c r="EI122" s="4"/>
      <c r="EJ122" s="4"/>
      <c r="EK122" s="4"/>
      <c r="EL122" s="4"/>
      <c r="EM122" s="693"/>
      <c r="EN122" s="723">
        <v>211</v>
      </c>
      <c r="EO122" s="4">
        <v>211</v>
      </c>
      <c r="EP122" s="4">
        <v>211</v>
      </c>
      <c r="EQ122" s="4">
        <v>211</v>
      </c>
      <c r="ER122" s="4">
        <v>211</v>
      </c>
      <c r="ES122" s="4">
        <v>211</v>
      </c>
      <c r="ET122" s="4">
        <v>211</v>
      </c>
      <c r="EU122" s="4">
        <v>211</v>
      </c>
      <c r="EV122" s="4">
        <v>211</v>
      </c>
      <c r="EW122" s="4">
        <v>211</v>
      </c>
      <c r="EX122" s="4">
        <v>211</v>
      </c>
      <c r="EY122" s="654">
        <v>211</v>
      </c>
      <c r="EZ122" s="655"/>
      <c r="FA122" s="4"/>
      <c r="FB122" s="4"/>
      <c r="FC122" s="4"/>
      <c r="FD122" s="4"/>
      <c r="FE122" s="4"/>
      <c r="FF122" s="4"/>
      <c r="FG122" s="4"/>
      <c r="FH122" s="4"/>
      <c r="FI122" s="4"/>
      <c r="FJ122" s="4"/>
      <c r="FK122" s="654"/>
      <c r="FL122" s="655"/>
      <c r="FM122" s="4"/>
      <c r="FN122" s="4"/>
      <c r="FO122" s="4"/>
      <c r="FP122" s="4"/>
      <c r="FQ122" s="4"/>
      <c r="FR122" s="4"/>
      <c r="FS122" s="4"/>
      <c r="FT122" s="4"/>
      <c r="FU122" s="4"/>
      <c r="FV122" s="4"/>
      <c r="FW122" s="654"/>
      <c r="FX122" s="655"/>
      <c r="FY122" s="4"/>
      <c r="FZ122" s="4"/>
      <c r="GA122" s="4"/>
      <c r="GB122" s="4"/>
      <c r="GC122" s="4"/>
      <c r="GD122" s="4"/>
      <c r="GE122" s="4"/>
      <c r="GF122" s="4"/>
      <c r="GG122" s="4"/>
      <c r="GH122" s="4"/>
      <c r="GI122" s="654"/>
      <c r="GJ122" s="655"/>
      <c r="GK122" s="4"/>
      <c r="GL122" s="4"/>
      <c r="GM122" s="4"/>
      <c r="GN122" s="4"/>
      <c r="GO122" s="4"/>
      <c r="GP122" s="4"/>
      <c r="GQ122" s="4"/>
      <c r="GR122" s="4"/>
      <c r="GS122" s="4"/>
      <c r="GT122" s="4"/>
      <c r="GU122" s="722"/>
      <c r="GV122" s="715"/>
    </row>
    <row r="123" spans="1:204" x14ac:dyDescent="0.25">
      <c r="A123" t="s">
        <v>834</v>
      </c>
      <c r="B123" s="2" t="s">
        <v>358</v>
      </c>
      <c r="C123" s="619">
        <v>44558</v>
      </c>
      <c r="D123" s="2" t="s">
        <v>640</v>
      </c>
      <c r="E123" t="s">
        <v>59</v>
      </c>
      <c r="F123" s="2" t="s">
        <v>43</v>
      </c>
      <c r="G123" t="s">
        <v>40</v>
      </c>
      <c r="H123" s="690" t="s">
        <v>85</v>
      </c>
      <c r="I123" s="691" t="s">
        <v>43</v>
      </c>
      <c r="J123" s="721">
        <v>3780401000108</v>
      </c>
      <c r="K123" s="691" t="s">
        <v>465</v>
      </c>
      <c r="L123" s="721">
        <v>11085823000183</v>
      </c>
      <c r="M123" s="718" t="s">
        <v>3</v>
      </c>
      <c r="N123" s="717" t="s">
        <v>44</v>
      </c>
      <c r="O123" s="719">
        <v>44927</v>
      </c>
      <c r="P123" s="720">
        <v>45291</v>
      </c>
      <c r="Q123" s="718">
        <v>212</v>
      </c>
      <c r="R123" s="717">
        <v>1.2</v>
      </c>
      <c r="S123" s="691" t="s">
        <v>54</v>
      </c>
      <c r="T123" t="s">
        <v>649</v>
      </c>
      <c r="U123" s="673">
        <v>44558</v>
      </c>
      <c r="V123" s="690">
        <v>1</v>
      </c>
      <c r="W123" s="657" t="s">
        <v>214</v>
      </c>
      <c r="X123" s="723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654"/>
      <c r="AJ123" s="655">
        <v>1.2</v>
      </c>
      <c r="AK123" s="4">
        <v>1.2</v>
      </c>
      <c r="AL123" s="4">
        <v>1.2</v>
      </c>
      <c r="AM123" s="4">
        <v>1.2</v>
      </c>
      <c r="AN123" s="4">
        <v>1.2</v>
      </c>
      <c r="AO123" s="4">
        <v>1.2</v>
      </c>
      <c r="AP123" s="4">
        <v>1.2</v>
      </c>
      <c r="AQ123" s="4">
        <v>1.2</v>
      </c>
      <c r="AR123" s="4">
        <v>1.2</v>
      </c>
      <c r="AS123" s="4">
        <v>1.2</v>
      </c>
      <c r="AT123" s="4">
        <v>1.2</v>
      </c>
      <c r="AU123" s="654">
        <v>1.2</v>
      </c>
      <c r="AV123" s="655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654"/>
      <c r="BH123" s="655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654"/>
      <c r="BT123" s="655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693"/>
      <c r="CF123" s="723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654"/>
      <c r="CR123" s="655">
        <v>225.58710662557175</v>
      </c>
      <c r="CS123" s="4">
        <v>225.58710662557175</v>
      </c>
      <c r="CT123" s="4">
        <v>225.58710662557175</v>
      </c>
      <c r="CU123" s="4">
        <v>225.58710662557175</v>
      </c>
      <c r="CV123" s="4">
        <v>225.58710662557175</v>
      </c>
      <c r="CW123" s="4">
        <v>225.58710662557175</v>
      </c>
      <c r="CX123" s="4">
        <v>225.58710662557175</v>
      </c>
      <c r="CY123" s="4">
        <v>225.58710662557175</v>
      </c>
      <c r="CZ123" s="4">
        <v>225.58710662557175</v>
      </c>
      <c r="DA123" s="4">
        <v>225.58710662557175</v>
      </c>
      <c r="DB123" s="4">
        <v>225.58710662557175</v>
      </c>
      <c r="DC123" s="654">
        <v>225.58710662557175</v>
      </c>
      <c r="DD123" s="655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654"/>
      <c r="DP123" s="655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654"/>
      <c r="EB123" s="655"/>
      <c r="EC123" s="4"/>
      <c r="ED123" s="4"/>
      <c r="EE123" s="4"/>
      <c r="EF123" s="4"/>
      <c r="EG123" s="4"/>
      <c r="EH123" s="4"/>
      <c r="EI123" s="4"/>
      <c r="EJ123" s="4"/>
      <c r="EK123" s="4"/>
      <c r="EL123" s="4"/>
      <c r="EM123" s="693"/>
      <c r="EN123" s="723"/>
      <c r="EO123" s="4"/>
      <c r="EP123" s="4"/>
      <c r="EQ123" s="4"/>
      <c r="ER123" s="4"/>
      <c r="ES123" s="4"/>
      <c r="ET123" s="4"/>
      <c r="EU123" s="4"/>
      <c r="EV123" s="4"/>
      <c r="EW123" s="4"/>
      <c r="EX123" s="4"/>
      <c r="EY123" s="654"/>
      <c r="EZ123" s="655">
        <v>225.58710662557175</v>
      </c>
      <c r="FA123" s="4">
        <v>225.58710662557175</v>
      </c>
      <c r="FB123" s="4">
        <v>225.58710662557175</v>
      </c>
      <c r="FC123" s="4">
        <v>225.58710662557175</v>
      </c>
      <c r="FD123" s="4">
        <v>225.58710662557175</v>
      </c>
      <c r="FE123" s="4">
        <v>225.58710662557175</v>
      </c>
      <c r="FF123" s="4">
        <v>225.58710662557175</v>
      </c>
      <c r="FG123" s="4">
        <v>225.58710662557175</v>
      </c>
      <c r="FH123" s="4">
        <v>225.58710662557175</v>
      </c>
      <c r="FI123" s="4">
        <v>225.58710662557175</v>
      </c>
      <c r="FJ123" s="4">
        <v>225.58710662557175</v>
      </c>
      <c r="FK123" s="654">
        <v>225.58710662557175</v>
      </c>
      <c r="FL123" s="655"/>
      <c r="FM123" s="4"/>
      <c r="FN123" s="4"/>
      <c r="FO123" s="4"/>
      <c r="FP123" s="4"/>
      <c r="FQ123" s="4"/>
      <c r="FR123" s="4"/>
      <c r="FS123" s="4"/>
      <c r="FT123" s="4"/>
      <c r="FU123" s="4"/>
      <c r="FV123" s="4"/>
      <c r="FW123" s="654"/>
      <c r="FX123" s="655"/>
      <c r="FY123" s="4"/>
      <c r="FZ123" s="4"/>
      <c r="GA123" s="4"/>
      <c r="GB123" s="4"/>
      <c r="GC123" s="4"/>
      <c r="GD123" s="4"/>
      <c r="GE123" s="4"/>
      <c r="GF123" s="4"/>
      <c r="GG123" s="4"/>
      <c r="GH123" s="4"/>
      <c r="GI123" s="654"/>
      <c r="GJ123" s="655"/>
      <c r="GK123" s="4"/>
      <c r="GL123" s="4"/>
      <c r="GM123" s="4"/>
      <c r="GN123" s="4"/>
      <c r="GO123" s="4"/>
      <c r="GP123" s="4"/>
      <c r="GQ123" s="4"/>
      <c r="GR123" s="4"/>
      <c r="GS123" s="4"/>
      <c r="GT123" s="4"/>
      <c r="GU123" s="722"/>
      <c r="GV123" s="715"/>
    </row>
    <row r="124" spans="1:204" x14ac:dyDescent="0.25">
      <c r="A124" t="s">
        <v>835</v>
      </c>
      <c r="B124" s="2" t="s">
        <v>358</v>
      </c>
      <c r="C124" s="619">
        <v>44558</v>
      </c>
      <c r="D124" s="2" t="s">
        <v>641</v>
      </c>
      <c r="E124" t="s">
        <v>58</v>
      </c>
      <c r="F124" s="2" t="s">
        <v>43</v>
      </c>
      <c r="G124" t="s">
        <v>40</v>
      </c>
      <c r="H124" s="690" t="s">
        <v>84</v>
      </c>
      <c r="I124" s="691" t="s">
        <v>404</v>
      </c>
      <c r="J124" s="721">
        <v>18384740000134</v>
      </c>
      <c r="K124" s="691" t="s">
        <v>43</v>
      </c>
      <c r="L124" s="721">
        <v>3780401000108</v>
      </c>
      <c r="M124" s="718" t="s">
        <v>3</v>
      </c>
      <c r="N124" s="717" t="s">
        <v>44</v>
      </c>
      <c r="O124" s="719">
        <v>44927</v>
      </c>
      <c r="P124" s="720">
        <v>45291</v>
      </c>
      <c r="Q124" s="718">
        <v>210</v>
      </c>
      <c r="R124" s="717">
        <v>3</v>
      </c>
      <c r="S124" s="691" t="s">
        <v>54</v>
      </c>
      <c r="T124" t="s">
        <v>649</v>
      </c>
      <c r="U124" s="673">
        <v>44558</v>
      </c>
      <c r="V124" s="690">
        <v>1</v>
      </c>
      <c r="W124" s="657" t="s">
        <v>214</v>
      </c>
      <c r="X124" s="723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654"/>
      <c r="AJ124" s="655">
        <v>3</v>
      </c>
      <c r="AK124" s="4">
        <v>3</v>
      </c>
      <c r="AL124" s="4">
        <v>3</v>
      </c>
      <c r="AM124" s="4">
        <v>3</v>
      </c>
      <c r="AN124" s="4">
        <v>3</v>
      </c>
      <c r="AO124" s="4">
        <v>3</v>
      </c>
      <c r="AP124" s="4">
        <v>3</v>
      </c>
      <c r="AQ124" s="4">
        <v>3</v>
      </c>
      <c r="AR124" s="4">
        <v>3</v>
      </c>
      <c r="AS124" s="4">
        <v>3</v>
      </c>
      <c r="AT124" s="4">
        <v>3</v>
      </c>
      <c r="AU124" s="654">
        <v>3</v>
      </c>
      <c r="AV124" s="655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654"/>
      <c r="BH124" s="655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654"/>
      <c r="BT124" s="655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693"/>
      <c r="CF124" s="723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654"/>
      <c r="CR124" s="655">
        <v>223.45892637438712</v>
      </c>
      <c r="CS124" s="4">
        <v>223.45892637438712</v>
      </c>
      <c r="CT124" s="4">
        <v>223.45892637438712</v>
      </c>
      <c r="CU124" s="4">
        <v>223.45892637438712</v>
      </c>
      <c r="CV124" s="4">
        <v>223.45892637438712</v>
      </c>
      <c r="CW124" s="4">
        <v>223.45892637438712</v>
      </c>
      <c r="CX124" s="4">
        <v>223.45892637438712</v>
      </c>
      <c r="CY124" s="4">
        <v>223.45892637438712</v>
      </c>
      <c r="CZ124" s="4">
        <v>223.45892637438712</v>
      </c>
      <c r="DA124" s="4">
        <v>223.45892637438712</v>
      </c>
      <c r="DB124" s="4">
        <v>223.45892637438712</v>
      </c>
      <c r="DC124" s="654">
        <v>223.45892637438712</v>
      </c>
      <c r="DD124" s="655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654"/>
      <c r="DP124" s="655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654"/>
      <c r="EB124" s="655"/>
      <c r="EC124" s="4"/>
      <c r="ED124" s="4"/>
      <c r="EE124" s="4"/>
      <c r="EF124" s="4"/>
      <c r="EG124" s="4"/>
      <c r="EH124" s="4"/>
      <c r="EI124" s="4"/>
      <c r="EJ124" s="4"/>
      <c r="EK124" s="4"/>
      <c r="EL124" s="4"/>
      <c r="EM124" s="693"/>
      <c r="EN124" s="723"/>
      <c r="EO124" s="4"/>
      <c r="EP124" s="4"/>
      <c r="EQ124" s="4"/>
      <c r="ER124" s="4"/>
      <c r="ES124" s="4"/>
      <c r="ET124" s="4"/>
      <c r="EU124" s="4"/>
      <c r="EV124" s="4"/>
      <c r="EW124" s="4"/>
      <c r="EX124" s="4"/>
      <c r="EY124" s="654"/>
      <c r="EZ124" s="655">
        <v>223.45892637438712</v>
      </c>
      <c r="FA124" s="4">
        <v>223.45892637438712</v>
      </c>
      <c r="FB124" s="4">
        <v>223.45892637438712</v>
      </c>
      <c r="FC124" s="4">
        <v>223.45892637438712</v>
      </c>
      <c r="FD124" s="4">
        <v>223.45892637438712</v>
      </c>
      <c r="FE124" s="4">
        <v>223.45892637438712</v>
      </c>
      <c r="FF124" s="4">
        <v>223.45892637438712</v>
      </c>
      <c r="FG124" s="4">
        <v>223.45892637438712</v>
      </c>
      <c r="FH124" s="4">
        <v>223.45892637438712</v>
      </c>
      <c r="FI124" s="4">
        <v>223.45892637438712</v>
      </c>
      <c r="FJ124" s="4">
        <v>223.45892637438712</v>
      </c>
      <c r="FK124" s="654">
        <v>223.45892637438712</v>
      </c>
      <c r="FL124" s="655"/>
      <c r="FM124" s="4"/>
      <c r="FN124" s="4"/>
      <c r="FO124" s="4"/>
      <c r="FP124" s="4"/>
      <c r="FQ124" s="4"/>
      <c r="FR124" s="4"/>
      <c r="FS124" s="4"/>
      <c r="FT124" s="4"/>
      <c r="FU124" s="4"/>
      <c r="FV124" s="4"/>
      <c r="FW124" s="654"/>
      <c r="FX124" s="655"/>
      <c r="FY124" s="4"/>
      <c r="FZ124" s="4"/>
      <c r="GA124" s="4"/>
      <c r="GB124" s="4"/>
      <c r="GC124" s="4"/>
      <c r="GD124" s="4"/>
      <c r="GE124" s="4"/>
      <c r="GF124" s="4"/>
      <c r="GG124" s="4"/>
      <c r="GH124" s="4"/>
      <c r="GI124" s="654"/>
      <c r="GJ124" s="655"/>
      <c r="GK124" s="4"/>
      <c r="GL124" s="4"/>
      <c r="GM124" s="4"/>
      <c r="GN124" s="4"/>
      <c r="GO124" s="4"/>
      <c r="GP124" s="4"/>
      <c r="GQ124" s="4"/>
      <c r="GR124" s="4"/>
      <c r="GS124" s="4"/>
      <c r="GT124" s="4"/>
      <c r="GU124" s="722"/>
      <c r="GV124" s="715"/>
    </row>
    <row r="125" spans="1:204" x14ac:dyDescent="0.25">
      <c r="A125" t="s">
        <v>836</v>
      </c>
      <c r="B125" s="2" t="s">
        <v>358</v>
      </c>
      <c r="C125" s="619">
        <v>44558</v>
      </c>
      <c r="D125" s="2" t="s">
        <v>642</v>
      </c>
      <c r="E125" t="s">
        <v>59</v>
      </c>
      <c r="F125" s="2" t="s">
        <v>43</v>
      </c>
      <c r="G125" t="s">
        <v>40</v>
      </c>
      <c r="H125" s="690" t="s">
        <v>85</v>
      </c>
      <c r="I125" s="691" t="s">
        <v>43</v>
      </c>
      <c r="J125" s="721">
        <v>3780401000108</v>
      </c>
      <c r="K125" s="691" t="s">
        <v>346</v>
      </c>
      <c r="L125" s="721" t="e">
        <v>#VALUE!</v>
      </c>
      <c r="M125" s="718" t="s">
        <v>3</v>
      </c>
      <c r="N125" s="717" t="s">
        <v>44</v>
      </c>
      <c r="O125" s="719">
        <v>44927</v>
      </c>
      <c r="P125" s="720">
        <v>45291</v>
      </c>
      <c r="Q125" s="718">
        <v>210</v>
      </c>
      <c r="R125" s="717">
        <v>1.8</v>
      </c>
      <c r="S125" s="691" t="s">
        <v>54</v>
      </c>
      <c r="T125" t="s">
        <v>649</v>
      </c>
      <c r="U125" s="673">
        <v>44558</v>
      </c>
      <c r="V125" s="690">
        <v>1</v>
      </c>
      <c r="W125" s="657" t="s">
        <v>214</v>
      </c>
      <c r="X125" s="723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654"/>
      <c r="AJ125" s="655">
        <v>1.8</v>
      </c>
      <c r="AK125" s="4">
        <v>1.8</v>
      </c>
      <c r="AL125" s="4">
        <v>1.8</v>
      </c>
      <c r="AM125" s="4">
        <v>1.8</v>
      </c>
      <c r="AN125" s="4">
        <v>1.8</v>
      </c>
      <c r="AO125" s="4">
        <v>1.8</v>
      </c>
      <c r="AP125" s="4">
        <v>1.8</v>
      </c>
      <c r="AQ125" s="4">
        <v>1.8</v>
      </c>
      <c r="AR125" s="4">
        <v>1.8</v>
      </c>
      <c r="AS125" s="4">
        <v>1.8</v>
      </c>
      <c r="AT125" s="4">
        <v>1.8</v>
      </c>
      <c r="AU125" s="654">
        <v>1.8</v>
      </c>
      <c r="AV125" s="655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654"/>
      <c r="BH125" s="655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654"/>
      <c r="BT125" s="655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693"/>
      <c r="CF125" s="723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654"/>
      <c r="CR125" s="655">
        <v>223.45892637438712</v>
      </c>
      <c r="CS125" s="4">
        <v>223.45892637438712</v>
      </c>
      <c r="CT125" s="4">
        <v>223.45892637438712</v>
      </c>
      <c r="CU125" s="4">
        <v>223.45892637438712</v>
      </c>
      <c r="CV125" s="4">
        <v>223.45892637438712</v>
      </c>
      <c r="CW125" s="4">
        <v>223.45892637438712</v>
      </c>
      <c r="CX125" s="4">
        <v>223.45892637438712</v>
      </c>
      <c r="CY125" s="4">
        <v>223.45892637438712</v>
      </c>
      <c r="CZ125" s="4">
        <v>223.45892637438712</v>
      </c>
      <c r="DA125" s="4">
        <v>223.45892637438712</v>
      </c>
      <c r="DB125" s="4">
        <v>223.45892637438712</v>
      </c>
      <c r="DC125" s="654">
        <v>223.45892637438712</v>
      </c>
      <c r="DD125" s="655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654"/>
      <c r="DP125" s="655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654"/>
      <c r="EB125" s="655"/>
      <c r="EC125" s="4"/>
      <c r="ED125" s="4"/>
      <c r="EE125" s="4"/>
      <c r="EF125" s="4"/>
      <c r="EG125" s="4"/>
      <c r="EH125" s="4"/>
      <c r="EI125" s="4"/>
      <c r="EJ125" s="4"/>
      <c r="EK125" s="4"/>
      <c r="EL125" s="4"/>
      <c r="EM125" s="693"/>
      <c r="EN125" s="723"/>
      <c r="EO125" s="4"/>
      <c r="EP125" s="4"/>
      <c r="EQ125" s="4"/>
      <c r="ER125" s="4"/>
      <c r="ES125" s="4"/>
      <c r="ET125" s="4"/>
      <c r="EU125" s="4"/>
      <c r="EV125" s="4"/>
      <c r="EW125" s="4"/>
      <c r="EX125" s="4"/>
      <c r="EY125" s="654"/>
      <c r="EZ125" s="655">
        <v>223.45892637438712</v>
      </c>
      <c r="FA125" s="4">
        <v>223.45892637438712</v>
      </c>
      <c r="FB125" s="4">
        <v>223.45892637438712</v>
      </c>
      <c r="FC125" s="4">
        <v>223.45892637438712</v>
      </c>
      <c r="FD125" s="4">
        <v>223.45892637438712</v>
      </c>
      <c r="FE125" s="4">
        <v>223.45892637438712</v>
      </c>
      <c r="FF125" s="4">
        <v>223.45892637438712</v>
      </c>
      <c r="FG125" s="4">
        <v>223.45892637438712</v>
      </c>
      <c r="FH125" s="4">
        <v>223.45892637438712</v>
      </c>
      <c r="FI125" s="4">
        <v>223.45892637438712</v>
      </c>
      <c r="FJ125" s="4">
        <v>223.45892637438712</v>
      </c>
      <c r="FK125" s="654">
        <v>223.45892637438712</v>
      </c>
      <c r="FL125" s="655"/>
      <c r="FM125" s="4"/>
      <c r="FN125" s="4"/>
      <c r="FO125" s="4"/>
      <c r="FP125" s="4"/>
      <c r="FQ125" s="4"/>
      <c r="FR125" s="4"/>
      <c r="FS125" s="4"/>
      <c r="FT125" s="4"/>
      <c r="FU125" s="4"/>
      <c r="FV125" s="4"/>
      <c r="FW125" s="654"/>
      <c r="FX125" s="655"/>
      <c r="FY125" s="4"/>
      <c r="FZ125" s="4"/>
      <c r="GA125" s="4"/>
      <c r="GB125" s="4"/>
      <c r="GC125" s="4"/>
      <c r="GD125" s="4"/>
      <c r="GE125" s="4"/>
      <c r="GF125" s="4"/>
      <c r="GG125" s="4"/>
      <c r="GH125" s="4"/>
      <c r="GI125" s="654"/>
      <c r="GJ125" s="655"/>
      <c r="GK125" s="4"/>
      <c r="GL125" s="4"/>
      <c r="GM125" s="4"/>
      <c r="GN125" s="4"/>
      <c r="GO125" s="4"/>
      <c r="GP125" s="4"/>
      <c r="GQ125" s="4"/>
      <c r="GR125" s="4"/>
      <c r="GS125" s="4"/>
      <c r="GT125" s="4"/>
      <c r="GU125" s="722"/>
      <c r="GV125" s="715"/>
    </row>
    <row r="126" spans="1:204" x14ac:dyDescent="0.25">
      <c r="A126" t="s">
        <v>851</v>
      </c>
      <c r="B126" s="2" t="s">
        <v>850</v>
      </c>
      <c r="C126" s="619">
        <v>44568</v>
      </c>
      <c r="D126" s="2" t="s">
        <v>841</v>
      </c>
      <c r="E126" t="s">
        <v>59</v>
      </c>
      <c r="F126" s="2" t="s">
        <v>43</v>
      </c>
      <c r="G126" t="s">
        <v>40</v>
      </c>
      <c r="H126" s="690" t="s">
        <v>85</v>
      </c>
      <c r="I126" s="691" t="s">
        <v>43</v>
      </c>
      <c r="J126" s="721">
        <v>3780401000108</v>
      </c>
      <c r="K126" s="691" t="s">
        <v>475</v>
      </c>
      <c r="L126" s="721">
        <v>27796415000170</v>
      </c>
      <c r="M126" s="718" t="s">
        <v>3</v>
      </c>
      <c r="N126" s="717" t="s">
        <v>44</v>
      </c>
      <c r="O126" s="719">
        <v>44621</v>
      </c>
      <c r="P126" s="720">
        <v>44651</v>
      </c>
      <c r="Q126" s="718">
        <v>130</v>
      </c>
      <c r="R126" s="717">
        <v>20</v>
      </c>
      <c r="S126" s="691" t="s">
        <v>54</v>
      </c>
      <c r="T126" t="s">
        <v>358</v>
      </c>
      <c r="U126" s="673" t="s">
        <v>358</v>
      </c>
      <c r="V126" s="690" t="s">
        <v>358</v>
      </c>
      <c r="W126" s="657" t="s">
        <v>329</v>
      </c>
      <c r="X126" s="723"/>
      <c r="Y126" s="4"/>
      <c r="Z126" s="4">
        <v>20</v>
      </c>
      <c r="AA126" s="4"/>
      <c r="AB126" s="4"/>
      <c r="AC126" s="4"/>
      <c r="AD126" s="4"/>
      <c r="AE126" s="4"/>
      <c r="AF126" s="4"/>
      <c r="AG126" s="4"/>
      <c r="AH126" s="4"/>
      <c r="AI126" s="654"/>
      <c r="AJ126" s="655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654"/>
      <c r="AV126" s="655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654"/>
      <c r="BH126" s="655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654"/>
      <c r="BT126" s="655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693"/>
      <c r="CF126" s="723"/>
      <c r="CG126" s="4"/>
      <c r="CH126" s="4">
        <v>130</v>
      </c>
      <c r="CI126" s="4"/>
      <c r="CJ126" s="4"/>
      <c r="CK126" s="4"/>
      <c r="CL126" s="4"/>
      <c r="CM126" s="4"/>
      <c r="CN126" s="4"/>
      <c r="CO126" s="4"/>
      <c r="CP126" s="4"/>
      <c r="CQ126" s="654"/>
      <c r="CR126" s="655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654"/>
      <c r="DD126" s="655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654"/>
      <c r="DP126" s="655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654"/>
      <c r="EB126" s="655"/>
      <c r="EC126" s="4"/>
      <c r="ED126" s="4"/>
      <c r="EE126" s="4"/>
      <c r="EF126" s="4"/>
      <c r="EG126" s="4"/>
      <c r="EH126" s="4"/>
      <c r="EI126" s="4"/>
      <c r="EJ126" s="4"/>
      <c r="EK126" s="4"/>
      <c r="EL126" s="4"/>
      <c r="EM126" s="693"/>
      <c r="EN126" s="723"/>
      <c r="EO126" s="4"/>
      <c r="EP126" s="4">
        <v>130</v>
      </c>
      <c r="EQ126" s="4"/>
      <c r="ER126" s="4"/>
      <c r="ES126" s="4"/>
      <c r="ET126" s="4"/>
      <c r="EU126" s="4"/>
      <c r="EV126" s="4"/>
      <c r="EW126" s="4"/>
      <c r="EX126" s="4"/>
      <c r="EY126" s="654"/>
      <c r="EZ126" s="655"/>
      <c r="FA126" s="4"/>
      <c r="FB126" s="4"/>
      <c r="FC126" s="4"/>
      <c r="FD126" s="4"/>
      <c r="FE126" s="4"/>
      <c r="FF126" s="4"/>
      <c r="FG126" s="4"/>
      <c r="FH126" s="4"/>
      <c r="FI126" s="4"/>
      <c r="FJ126" s="4"/>
      <c r="FK126" s="654"/>
      <c r="FL126" s="655"/>
      <c r="FM126" s="4"/>
      <c r="FN126" s="4"/>
      <c r="FO126" s="4"/>
      <c r="FP126" s="4"/>
      <c r="FQ126" s="4"/>
      <c r="FR126" s="4"/>
      <c r="FS126" s="4"/>
      <c r="FT126" s="4"/>
      <c r="FU126" s="4"/>
      <c r="FV126" s="4"/>
      <c r="FW126" s="654"/>
      <c r="FX126" s="655"/>
      <c r="FY126" s="4"/>
      <c r="FZ126" s="4"/>
      <c r="GA126" s="4"/>
      <c r="GB126" s="4"/>
      <c r="GC126" s="4"/>
      <c r="GD126" s="4"/>
      <c r="GE126" s="4"/>
      <c r="GF126" s="4"/>
      <c r="GG126" s="4"/>
      <c r="GH126" s="4"/>
      <c r="GI126" s="654"/>
      <c r="GJ126" s="655"/>
      <c r="GK126" s="4"/>
      <c r="GL126" s="4"/>
      <c r="GM126" s="4"/>
      <c r="GN126" s="4"/>
      <c r="GO126" s="4"/>
      <c r="GP126" s="4"/>
      <c r="GQ126" s="4"/>
      <c r="GR126" s="4"/>
      <c r="GS126" s="4"/>
      <c r="GT126" s="4"/>
      <c r="GU126" s="722"/>
      <c r="GV126" s="715"/>
    </row>
    <row r="127" spans="1:204" x14ac:dyDescent="0.25">
      <c r="A127" t="s">
        <v>853</v>
      </c>
      <c r="B127" s="2" t="s">
        <v>852</v>
      </c>
      <c r="C127" s="619">
        <v>44568</v>
      </c>
      <c r="D127" s="2" t="s">
        <v>842</v>
      </c>
      <c r="E127" t="s">
        <v>58</v>
      </c>
      <c r="F127" s="2" t="s">
        <v>43</v>
      </c>
      <c r="G127" t="s">
        <v>40</v>
      </c>
      <c r="H127" s="690" t="s">
        <v>84</v>
      </c>
      <c r="I127" s="691" t="s">
        <v>502</v>
      </c>
      <c r="J127" s="721">
        <v>4270778000171</v>
      </c>
      <c r="K127" s="691" t="s">
        <v>43</v>
      </c>
      <c r="L127" s="721">
        <v>3780401000108</v>
      </c>
      <c r="M127" s="718" t="s">
        <v>3</v>
      </c>
      <c r="N127" s="717" t="s">
        <v>44</v>
      </c>
      <c r="O127" s="719">
        <v>44743</v>
      </c>
      <c r="P127" s="720">
        <v>44773</v>
      </c>
      <c r="Q127" s="718">
        <v>210</v>
      </c>
      <c r="R127" s="717">
        <v>20</v>
      </c>
      <c r="S127" s="691" t="s">
        <v>54</v>
      </c>
      <c r="T127" t="s">
        <v>358</v>
      </c>
      <c r="U127" s="673" t="s">
        <v>358</v>
      </c>
      <c r="V127" s="690" t="s">
        <v>358</v>
      </c>
      <c r="W127" s="657" t="s">
        <v>329</v>
      </c>
      <c r="X127" s="723"/>
      <c r="Y127" s="4"/>
      <c r="Z127" s="4"/>
      <c r="AA127" s="4"/>
      <c r="AB127" s="4"/>
      <c r="AC127" s="4"/>
      <c r="AD127" s="4">
        <v>20</v>
      </c>
      <c r="AE127" s="4"/>
      <c r="AF127" s="4"/>
      <c r="AG127" s="4"/>
      <c r="AH127" s="4"/>
      <c r="AI127" s="654"/>
      <c r="AJ127" s="655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654"/>
      <c r="AV127" s="655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654"/>
      <c r="BH127" s="655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654"/>
      <c r="BT127" s="655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693"/>
      <c r="CF127" s="723"/>
      <c r="CG127" s="4"/>
      <c r="CH127" s="4"/>
      <c r="CI127" s="4"/>
      <c r="CJ127" s="4"/>
      <c r="CK127" s="4"/>
      <c r="CL127" s="4">
        <v>210</v>
      </c>
      <c r="CM127" s="4"/>
      <c r="CN127" s="4"/>
      <c r="CO127" s="4"/>
      <c r="CP127" s="4"/>
      <c r="CQ127" s="654"/>
      <c r="CR127" s="655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654"/>
      <c r="DD127" s="655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654"/>
      <c r="DP127" s="655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654"/>
      <c r="EB127" s="655"/>
      <c r="EC127" s="4"/>
      <c r="ED127" s="4"/>
      <c r="EE127" s="4"/>
      <c r="EF127" s="4"/>
      <c r="EG127" s="4"/>
      <c r="EH127" s="4"/>
      <c r="EI127" s="4"/>
      <c r="EJ127" s="4"/>
      <c r="EK127" s="4"/>
      <c r="EL127" s="4"/>
      <c r="EM127" s="693"/>
      <c r="EN127" s="723"/>
      <c r="EO127" s="4"/>
      <c r="EP127" s="4"/>
      <c r="EQ127" s="4"/>
      <c r="ER127" s="4"/>
      <c r="ES127" s="4"/>
      <c r="ET127" s="4">
        <v>210</v>
      </c>
      <c r="EU127" s="4"/>
      <c r="EV127" s="4"/>
      <c r="EW127" s="4"/>
      <c r="EX127" s="4"/>
      <c r="EY127" s="654"/>
      <c r="EZ127" s="655"/>
      <c r="FA127" s="4"/>
      <c r="FB127" s="4"/>
      <c r="FC127" s="4"/>
      <c r="FD127" s="4"/>
      <c r="FE127" s="4"/>
      <c r="FF127" s="4"/>
      <c r="FG127" s="4"/>
      <c r="FH127" s="4"/>
      <c r="FI127" s="4"/>
      <c r="FJ127" s="4"/>
      <c r="FK127" s="654"/>
      <c r="FL127" s="655"/>
      <c r="FM127" s="4"/>
      <c r="FN127" s="4"/>
      <c r="FO127" s="4"/>
      <c r="FP127" s="4"/>
      <c r="FQ127" s="4"/>
      <c r="FR127" s="4"/>
      <c r="FS127" s="4"/>
      <c r="FT127" s="4"/>
      <c r="FU127" s="4"/>
      <c r="FV127" s="4"/>
      <c r="FW127" s="654"/>
      <c r="FX127" s="655"/>
      <c r="FY127" s="4"/>
      <c r="FZ127" s="4"/>
      <c r="GA127" s="4"/>
      <c r="GB127" s="4"/>
      <c r="GC127" s="4"/>
      <c r="GD127" s="4"/>
      <c r="GE127" s="4"/>
      <c r="GF127" s="4"/>
      <c r="GG127" s="4"/>
      <c r="GH127" s="4"/>
      <c r="GI127" s="654"/>
      <c r="GJ127" s="655"/>
      <c r="GK127" s="4"/>
      <c r="GL127" s="4"/>
      <c r="GM127" s="4"/>
      <c r="GN127" s="4"/>
      <c r="GO127" s="4"/>
      <c r="GP127" s="4"/>
      <c r="GQ127" s="4"/>
      <c r="GR127" s="4"/>
      <c r="GS127" s="4"/>
      <c r="GT127" s="4"/>
      <c r="GU127" s="722"/>
      <c r="GV127" s="715"/>
    </row>
    <row r="128" spans="1:204" x14ac:dyDescent="0.25">
      <c r="A128" t="s">
        <v>855</v>
      </c>
      <c r="B128" s="2" t="s">
        <v>854</v>
      </c>
      <c r="C128" s="619">
        <v>44568</v>
      </c>
      <c r="D128" s="2" t="s">
        <v>843</v>
      </c>
      <c r="E128" t="s">
        <v>58</v>
      </c>
      <c r="F128" s="2" t="s">
        <v>43</v>
      </c>
      <c r="G128" t="s">
        <v>40</v>
      </c>
      <c r="H128" s="690" t="s">
        <v>84</v>
      </c>
      <c r="I128" s="691" t="s">
        <v>510</v>
      </c>
      <c r="J128" s="721">
        <v>28397998000129</v>
      </c>
      <c r="K128" s="691" t="s">
        <v>43</v>
      </c>
      <c r="L128" s="721">
        <v>3780401000108</v>
      </c>
      <c r="M128" s="718" t="s">
        <v>3</v>
      </c>
      <c r="N128" s="717" t="s">
        <v>44</v>
      </c>
      <c r="O128" s="719">
        <v>44593</v>
      </c>
      <c r="P128" s="720">
        <v>44620</v>
      </c>
      <c r="Q128" s="718">
        <v>107</v>
      </c>
      <c r="R128" s="717">
        <v>0.6</v>
      </c>
      <c r="S128" s="691" t="s">
        <v>54</v>
      </c>
      <c r="T128" t="s">
        <v>358</v>
      </c>
      <c r="U128" s="673" t="s">
        <v>358</v>
      </c>
      <c r="V128" s="690" t="s">
        <v>358</v>
      </c>
      <c r="W128" s="657" t="s">
        <v>329</v>
      </c>
      <c r="X128" s="723"/>
      <c r="Y128" s="4">
        <v>0.6</v>
      </c>
      <c r="Z128" s="4"/>
      <c r="AA128" s="4"/>
      <c r="AB128" s="4"/>
      <c r="AC128" s="4"/>
      <c r="AD128" s="4"/>
      <c r="AE128" s="4"/>
      <c r="AF128" s="4"/>
      <c r="AG128" s="4"/>
      <c r="AH128" s="4"/>
      <c r="AI128" s="654"/>
      <c r="AJ128" s="655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654"/>
      <c r="AV128" s="655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654"/>
      <c r="BH128" s="655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654"/>
      <c r="BT128" s="655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693"/>
      <c r="CF128" s="723"/>
      <c r="CG128" s="4">
        <v>107</v>
      </c>
      <c r="CH128" s="4"/>
      <c r="CI128" s="4"/>
      <c r="CJ128" s="4"/>
      <c r="CK128" s="4"/>
      <c r="CL128" s="4"/>
      <c r="CM128" s="4"/>
      <c r="CN128" s="4"/>
      <c r="CO128" s="4"/>
      <c r="CP128" s="4"/>
      <c r="CQ128" s="654"/>
      <c r="CR128" s="655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654"/>
      <c r="DD128" s="655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654"/>
      <c r="DP128" s="655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654"/>
      <c r="EB128" s="655"/>
      <c r="EC128" s="4"/>
      <c r="ED128" s="4"/>
      <c r="EE128" s="4"/>
      <c r="EF128" s="4"/>
      <c r="EG128" s="4"/>
      <c r="EH128" s="4"/>
      <c r="EI128" s="4"/>
      <c r="EJ128" s="4"/>
      <c r="EK128" s="4"/>
      <c r="EL128" s="4"/>
      <c r="EM128" s="693"/>
      <c r="EN128" s="723"/>
      <c r="EO128" s="4">
        <v>107</v>
      </c>
      <c r="EP128" s="4"/>
      <c r="EQ128" s="4"/>
      <c r="ER128" s="4"/>
      <c r="ES128" s="4"/>
      <c r="ET128" s="4"/>
      <c r="EU128" s="4"/>
      <c r="EV128" s="4"/>
      <c r="EW128" s="4"/>
      <c r="EX128" s="4"/>
      <c r="EY128" s="654"/>
      <c r="EZ128" s="655"/>
      <c r="FA128" s="4"/>
      <c r="FB128" s="4"/>
      <c r="FC128" s="4"/>
      <c r="FD128" s="4"/>
      <c r="FE128" s="4"/>
      <c r="FF128" s="4"/>
      <c r="FG128" s="4"/>
      <c r="FH128" s="4"/>
      <c r="FI128" s="4"/>
      <c r="FJ128" s="4"/>
      <c r="FK128" s="654"/>
      <c r="FL128" s="655"/>
      <c r="FM128" s="4"/>
      <c r="FN128" s="4"/>
      <c r="FO128" s="4"/>
      <c r="FP128" s="4"/>
      <c r="FQ128" s="4"/>
      <c r="FR128" s="4"/>
      <c r="FS128" s="4"/>
      <c r="FT128" s="4"/>
      <c r="FU128" s="4"/>
      <c r="FV128" s="4"/>
      <c r="FW128" s="654"/>
      <c r="FX128" s="655"/>
      <c r="FY128" s="4"/>
      <c r="FZ128" s="4"/>
      <c r="GA128" s="4"/>
      <c r="GB128" s="4"/>
      <c r="GC128" s="4"/>
      <c r="GD128" s="4"/>
      <c r="GE128" s="4"/>
      <c r="GF128" s="4"/>
      <c r="GG128" s="4"/>
      <c r="GH128" s="4"/>
      <c r="GI128" s="654"/>
      <c r="GJ128" s="655"/>
      <c r="GK128" s="4"/>
      <c r="GL128" s="4"/>
      <c r="GM128" s="4"/>
      <c r="GN128" s="4"/>
      <c r="GO128" s="4"/>
      <c r="GP128" s="4"/>
      <c r="GQ128" s="4"/>
      <c r="GR128" s="4"/>
      <c r="GS128" s="4"/>
      <c r="GT128" s="4"/>
      <c r="GU128" s="722"/>
      <c r="GV128" s="715"/>
    </row>
    <row r="129" spans="1:204" x14ac:dyDescent="0.25">
      <c r="A129" t="s">
        <v>857</v>
      </c>
      <c r="B129" s="2" t="s">
        <v>856</v>
      </c>
      <c r="C129" s="619">
        <v>44568</v>
      </c>
      <c r="D129" s="2" t="s">
        <v>844</v>
      </c>
      <c r="E129" t="s">
        <v>58</v>
      </c>
      <c r="F129" s="2" t="s">
        <v>43</v>
      </c>
      <c r="G129" t="s">
        <v>40</v>
      </c>
      <c r="H129" s="690" t="s">
        <v>84</v>
      </c>
      <c r="I129" s="691" t="s">
        <v>620</v>
      </c>
      <c r="J129" s="721">
        <v>4149295000113</v>
      </c>
      <c r="K129" s="691" t="s">
        <v>43</v>
      </c>
      <c r="L129" s="721">
        <v>3780401000108</v>
      </c>
      <c r="M129" s="718" t="s">
        <v>3</v>
      </c>
      <c r="N129" s="717" t="s">
        <v>44</v>
      </c>
      <c r="O129" s="719">
        <v>44593</v>
      </c>
      <c r="P129" s="720">
        <v>44620</v>
      </c>
      <c r="Q129" s="718">
        <v>106</v>
      </c>
      <c r="R129" s="717">
        <v>1</v>
      </c>
      <c r="S129" s="691" t="s">
        <v>54</v>
      </c>
      <c r="T129" t="s">
        <v>358</v>
      </c>
      <c r="U129" s="673" t="s">
        <v>358</v>
      </c>
      <c r="V129" s="690" t="s">
        <v>358</v>
      </c>
      <c r="W129" s="657" t="s">
        <v>329</v>
      </c>
      <c r="X129" s="723"/>
      <c r="Y129" s="4">
        <v>1</v>
      </c>
      <c r="Z129" s="4"/>
      <c r="AA129" s="4"/>
      <c r="AB129" s="4"/>
      <c r="AC129" s="4"/>
      <c r="AD129" s="4"/>
      <c r="AE129" s="4"/>
      <c r="AF129" s="4"/>
      <c r="AG129" s="4"/>
      <c r="AH129" s="4"/>
      <c r="AI129" s="654"/>
      <c r="AJ129" s="655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654"/>
      <c r="AV129" s="655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654"/>
      <c r="BH129" s="655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654"/>
      <c r="BT129" s="655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693"/>
      <c r="CF129" s="723"/>
      <c r="CG129" s="4">
        <v>106</v>
      </c>
      <c r="CH129" s="4"/>
      <c r="CI129" s="4"/>
      <c r="CJ129" s="4"/>
      <c r="CK129" s="4"/>
      <c r="CL129" s="4"/>
      <c r="CM129" s="4"/>
      <c r="CN129" s="4"/>
      <c r="CO129" s="4"/>
      <c r="CP129" s="4"/>
      <c r="CQ129" s="654"/>
      <c r="CR129" s="655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654"/>
      <c r="DD129" s="655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654"/>
      <c r="DP129" s="655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654"/>
      <c r="EB129" s="655"/>
      <c r="EC129" s="4"/>
      <c r="ED129" s="4"/>
      <c r="EE129" s="4"/>
      <c r="EF129" s="4"/>
      <c r="EG129" s="4"/>
      <c r="EH129" s="4"/>
      <c r="EI129" s="4"/>
      <c r="EJ129" s="4"/>
      <c r="EK129" s="4"/>
      <c r="EL129" s="4"/>
      <c r="EM129" s="693"/>
      <c r="EN129" s="723"/>
      <c r="EO129" s="4">
        <v>106</v>
      </c>
      <c r="EP129" s="4"/>
      <c r="EQ129" s="4"/>
      <c r="ER129" s="4"/>
      <c r="ES129" s="4"/>
      <c r="ET129" s="4"/>
      <c r="EU129" s="4"/>
      <c r="EV129" s="4"/>
      <c r="EW129" s="4"/>
      <c r="EX129" s="4"/>
      <c r="EY129" s="654"/>
      <c r="EZ129" s="655"/>
      <c r="FA129" s="4"/>
      <c r="FB129" s="4"/>
      <c r="FC129" s="4"/>
      <c r="FD129" s="4"/>
      <c r="FE129" s="4"/>
      <c r="FF129" s="4"/>
      <c r="FG129" s="4"/>
      <c r="FH129" s="4"/>
      <c r="FI129" s="4"/>
      <c r="FJ129" s="4"/>
      <c r="FK129" s="654"/>
      <c r="FL129" s="655"/>
      <c r="FM129" s="4"/>
      <c r="FN129" s="4"/>
      <c r="FO129" s="4"/>
      <c r="FP129" s="4"/>
      <c r="FQ129" s="4"/>
      <c r="FR129" s="4"/>
      <c r="FS129" s="4"/>
      <c r="FT129" s="4"/>
      <c r="FU129" s="4"/>
      <c r="FV129" s="4"/>
      <c r="FW129" s="654"/>
      <c r="FX129" s="655"/>
      <c r="FY129" s="4"/>
      <c r="FZ129" s="4"/>
      <c r="GA129" s="4"/>
      <c r="GB129" s="4"/>
      <c r="GC129" s="4"/>
      <c r="GD129" s="4"/>
      <c r="GE129" s="4"/>
      <c r="GF129" s="4"/>
      <c r="GG129" s="4"/>
      <c r="GH129" s="4"/>
      <c r="GI129" s="654"/>
      <c r="GJ129" s="655"/>
      <c r="GK129" s="4"/>
      <c r="GL129" s="4"/>
      <c r="GM129" s="4"/>
      <c r="GN129" s="4"/>
      <c r="GO129" s="4"/>
      <c r="GP129" s="4"/>
      <c r="GQ129" s="4"/>
      <c r="GR129" s="4"/>
      <c r="GS129" s="4"/>
      <c r="GT129" s="4"/>
      <c r="GU129" s="722"/>
      <c r="GV129" s="715"/>
    </row>
    <row r="130" spans="1:204" x14ac:dyDescent="0.25">
      <c r="A130" t="s">
        <v>859</v>
      </c>
      <c r="B130" s="2" t="s">
        <v>858</v>
      </c>
      <c r="C130" s="619">
        <v>44568</v>
      </c>
      <c r="D130" s="2" t="s">
        <v>845</v>
      </c>
      <c r="E130" t="s">
        <v>58</v>
      </c>
      <c r="F130" s="2" t="s">
        <v>43</v>
      </c>
      <c r="G130" t="s">
        <v>40</v>
      </c>
      <c r="H130" s="690" t="s">
        <v>84</v>
      </c>
      <c r="I130" s="691" t="s">
        <v>467</v>
      </c>
      <c r="J130" s="721">
        <v>25099255000184</v>
      </c>
      <c r="K130" s="691" t="s">
        <v>43</v>
      </c>
      <c r="L130" s="721">
        <v>3780401000108</v>
      </c>
      <c r="M130" s="718" t="s">
        <v>3</v>
      </c>
      <c r="N130" s="717" t="s">
        <v>44</v>
      </c>
      <c r="O130" s="719">
        <v>44562</v>
      </c>
      <c r="P130" s="720">
        <v>44592</v>
      </c>
      <c r="Q130" s="718">
        <v>71</v>
      </c>
      <c r="R130" s="717">
        <v>1.6</v>
      </c>
      <c r="S130" s="691" t="s">
        <v>54</v>
      </c>
      <c r="T130" t="s">
        <v>358</v>
      </c>
      <c r="U130" s="673" t="s">
        <v>358</v>
      </c>
      <c r="V130" s="690" t="s">
        <v>358</v>
      </c>
      <c r="W130" s="657" t="s">
        <v>329</v>
      </c>
      <c r="X130" s="723">
        <v>1.6</v>
      </c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654"/>
      <c r="AJ130" s="655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654"/>
      <c r="AV130" s="655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654"/>
      <c r="BH130" s="655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654"/>
      <c r="BT130" s="655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693"/>
      <c r="CF130" s="723">
        <v>71</v>
      </c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654"/>
      <c r="CR130" s="655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654"/>
      <c r="DD130" s="655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654"/>
      <c r="DP130" s="655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654"/>
      <c r="EB130" s="655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693"/>
      <c r="EN130" s="723">
        <v>71</v>
      </c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654"/>
      <c r="EZ130" s="655"/>
      <c r="FA130" s="4"/>
      <c r="FB130" s="4"/>
      <c r="FC130" s="4"/>
      <c r="FD130" s="4"/>
      <c r="FE130" s="4"/>
      <c r="FF130" s="4"/>
      <c r="FG130" s="4"/>
      <c r="FH130" s="4"/>
      <c r="FI130" s="4"/>
      <c r="FJ130" s="4"/>
      <c r="FK130" s="654"/>
      <c r="FL130" s="655"/>
      <c r="FM130" s="4"/>
      <c r="FN130" s="4"/>
      <c r="FO130" s="4"/>
      <c r="FP130" s="4"/>
      <c r="FQ130" s="4"/>
      <c r="FR130" s="4"/>
      <c r="FS130" s="4"/>
      <c r="FT130" s="4"/>
      <c r="FU130" s="4"/>
      <c r="FV130" s="4"/>
      <c r="FW130" s="654"/>
      <c r="FX130" s="655"/>
      <c r="FY130" s="4"/>
      <c r="FZ130" s="4"/>
      <c r="GA130" s="4"/>
      <c r="GB130" s="4"/>
      <c r="GC130" s="4"/>
      <c r="GD130" s="4"/>
      <c r="GE130" s="4"/>
      <c r="GF130" s="4"/>
      <c r="GG130" s="4"/>
      <c r="GH130" s="4"/>
      <c r="GI130" s="654"/>
      <c r="GJ130" s="655"/>
      <c r="GK130" s="4"/>
      <c r="GL130" s="4"/>
      <c r="GM130" s="4"/>
      <c r="GN130" s="4"/>
      <c r="GO130" s="4"/>
      <c r="GP130" s="4"/>
      <c r="GQ130" s="4"/>
      <c r="GR130" s="4"/>
      <c r="GS130" s="4"/>
      <c r="GT130" s="4"/>
      <c r="GU130" s="722"/>
      <c r="GV130" s="715"/>
    </row>
    <row r="131" spans="1:204" x14ac:dyDescent="0.25">
      <c r="A131" t="s">
        <v>861</v>
      </c>
      <c r="B131" s="2" t="s">
        <v>860</v>
      </c>
      <c r="C131" s="619">
        <v>44568</v>
      </c>
      <c r="D131" s="2" t="s">
        <v>846</v>
      </c>
      <c r="E131" t="s">
        <v>58</v>
      </c>
      <c r="F131" s="2" t="s">
        <v>43</v>
      </c>
      <c r="G131" t="s">
        <v>40</v>
      </c>
      <c r="H131" s="690" t="s">
        <v>84</v>
      </c>
      <c r="I131" s="691" t="s">
        <v>350</v>
      </c>
      <c r="J131" s="721">
        <v>17858631000149</v>
      </c>
      <c r="K131" s="691" t="s">
        <v>43</v>
      </c>
      <c r="L131" s="721">
        <v>3780401000108</v>
      </c>
      <c r="M131" s="718" t="s">
        <v>3</v>
      </c>
      <c r="N131" s="717" t="s">
        <v>44</v>
      </c>
      <c r="O131" s="719">
        <v>44652</v>
      </c>
      <c r="P131" s="720">
        <v>44742</v>
      </c>
      <c r="Q131" s="718">
        <v>139</v>
      </c>
      <c r="R131" s="717">
        <v>1.6</v>
      </c>
      <c r="S131" s="691" t="s">
        <v>54</v>
      </c>
      <c r="T131" t="s">
        <v>358</v>
      </c>
      <c r="U131" s="673" t="s">
        <v>358</v>
      </c>
      <c r="V131" s="690" t="s">
        <v>358</v>
      </c>
      <c r="W131" s="657" t="s">
        <v>329</v>
      </c>
      <c r="X131" s="723"/>
      <c r="Y131" s="4"/>
      <c r="Z131" s="4"/>
      <c r="AA131" s="4">
        <v>1.6</v>
      </c>
      <c r="AB131" s="4">
        <v>1.6</v>
      </c>
      <c r="AC131" s="4">
        <v>1.6</v>
      </c>
      <c r="AD131" s="4"/>
      <c r="AE131" s="4"/>
      <c r="AF131" s="4"/>
      <c r="AG131" s="4"/>
      <c r="AH131" s="4"/>
      <c r="AI131" s="654"/>
      <c r="AJ131" s="655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654"/>
      <c r="AV131" s="655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654"/>
      <c r="BH131" s="655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654"/>
      <c r="BT131" s="655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693"/>
      <c r="CF131" s="723"/>
      <c r="CG131" s="4"/>
      <c r="CH131" s="4"/>
      <c r="CI131" s="4">
        <v>139</v>
      </c>
      <c r="CJ131" s="4">
        <v>139</v>
      </c>
      <c r="CK131" s="4">
        <v>139</v>
      </c>
      <c r="CL131" s="4"/>
      <c r="CM131" s="4"/>
      <c r="CN131" s="4"/>
      <c r="CO131" s="4"/>
      <c r="CP131" s="4"/>
      <c r="CQ131" s="654"/>
      <c r="CR131" s="655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654"/>
      <c r="DD131" s="655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654"/>
      <c r="DP131" s="655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654"/>
      <c r="EB131" s="655"/>
      <c r="EC131" s="4"/>
      <c r="ED131" s="4"/>
      <c r="EE131" s="4"/>
      <c r="EF131" s="4"/>
      <c r="EG131" s="4"/>
      <c r="EH131" s="4"/>
      <c r="EI131" s="4"/>
      <c r="EJ131" s="4"/>
      <c r="EK131" s="4"/>
      <c r="EL131" s="4"/>
      <c r="EM131" s="693"/>
      <c r="EN131" s="723"/>
      <c r="EO131" s="4"/>
      <c r="EP131" s="4"/>
      <c r="EQ131" s="4">
        <v>139</v>
      </c>
      <c r="ER131" s="4">
        <v>139</v>
      </c>
      <c r="ES131" s="4">
        <v>139</v>
      </c>
      <c r="ET131" s="4"/>
      <c r="EU131" s="4"/>
      <c r="EV131" s="4"/>
      <c r="EW131" s="4"/>
      <c r="EX131" s="4"/>
      <c r="EY131" s="654"/>
      <c r="EZ131" s="655"/>
      <c r="FA131" s="4"/>
      <c r="FB131" s="4"/>
      <c r="FC131" s="4"/>
      <c r="FD131" s="4"/>
      <c r="FE131" s="4"/>
      <c r="FF131" s="4"/>
      <c r="FG131" s="4"/>
      <c r="FH131" s="4"/>
      <c r="FI131" s="4"/>
      <c r="FJ131" s="4"/>
      <c r="FK131" s="654"/>
      <c r="FL131" s="655"/>
      <c r="FM131" s="4"/>
      <c r="FN131" s="4"/>
      <c r="FO131" s="4"/>
      <c r="FP131" s="4"/>
      <c r="FQ131" s="4"/>
      <c r="FR131" s="4"/>
      <c r="FS131" s="4"/>
      <c r="FT131" s="4"/>
      <c r="FU131" s="4"/>
      <c r="FV131" s="4"/>
      <c r="FW131" s="654"/>
      <c r="FX131" s="655"/>
      <c r="FY131" s="4"/>
      <c r="FZ131" s="4"/>
      <c r="GA131" s="4"/>
      <c r="GB131" s="4"/>
      <c r="GC131" s="4"/>
      <c r="GD131" s="4"/>
      <c r="GE131" s="4"/>
      <c r="GF131" s="4"/>
      <c r="GG131" s="4"/>
      <c r="GH131" s="4"/>
      <c r="GI131" s="654"/>
      <c r="GJ131" s="655"/>
      <c r="GK131" s="4"/>
      <c r="GL131" s="4"/>
      <c r="GM131" s="4"/>
      <c r="GN131" s="4"/>
      <c r="GO131" s="4"/>
      <c r="GP131" s="4"/>
      <c r="GQ131" s="4"/>
      <c r="GR131" s="4"/>
      <c r="GS131" s="4"/>
      <c r="GT131" s="4"/>
      <c r="GU131" s="722"/>
      <c r="GV131" s="715"/>
    </row>
    <row r="132" spans="1:204" x14ac:dyDescent="0.25">
      <c r="A132" t="s">
        <v>863</v>
      </c>
      <c r="B132" s="2" t="s">
        <v>862</v>
      </c>
      <c r="C132" s="619">
        <v>44568</v>
      </c>
      <c r="D132" s="2" t="s">
        <v>847</v>
      </c>
      <c r="E132" t="s">
        <v>58</v>
      </c>
      <c r="F132" s="2" t="s">
        <v>43</v>
      </c>
      <c r="G132" t="s">
        <v>40</v>
      </c>
      <c r="H132" s="690" t="s">
        <v>84</v>
      </c>
      <c r="I132" s="691" t="s">
        <v>409</v>
      </c>
      <c r="J132" s="721">
        <v>12809025000110</v>
      </c>
      <c r="K132" s="691" t="s">
        <v>43</v>
      </c>
      <c r="L132" s="721">
        <v>3780401000108</v>
      </c>
      <c r="M132" s="718" t="s">
        <v>3</v>
      </c>
      <c r="N132" s="717" t="s">
        <v>44</v>
      </c>
      <c r="O132" s="719">
        <v>44743</v>
      </c>
      <c r="P132" s="720">
        <v>44926</v>
      </c>
      <c r="Q132" s="718">
        <v>212</v>
      </c>
      <c r="R132" s="717">
        <v>1.6</v>
      </c>
      <c r="S132" s="691" t="s">
        <v>54</v>
      </c>
      <c r="T132" t="s">
        <v>358</v>
      </c>
      <c r="U132" s="673" t="s">
        <v>358</v>
      </c>
      <c r="V132" s="690" t="s">
        <v>358</v>
      </c>
      <c r="W132" s="657" t="s">
        <v>329</v>
      </c>
      <c r="X132" s="723"/>
      <c r="Y132" s="4"/>
      <c r="Z132" s="4"/>
      <c r="AA132" s="4"/>
      <c r="AB132" s="4"/>
      <c r="AC132" s="4"/>
      <c r="AD132" s="4">
        <v>1.6</v>
      </c>
      <c r="AE132" s="4">
        <v>1.6</v>
      </c>
      <c r="AF132" s="4">
        <v>1.6</v>
      </c>
      <c r="AG132" s="4">
        <v>1.6</v>
      </c>
      <c r="AH132" s="4">
        <v>1.6</v>
      </c>
      <c r="AI132" s="654">
        <v>1.6</v>
      </c>
      <c r="AJ132" s="655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654"/>
      <c r="AV132" s="655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654"/>
      <c r="BH132" s="655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654"/>
      <c r="BT132" s="655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693"/>
      <c r="CF132" s="723"/>
      <c r="CG132" s="4"/>
      <c r="CH132" s="4"/>
      <c r="CI132" s="4"/>
      <c r="CJ132" s="4"/>
      <c r="CK132" s="4"/>
      <c r="CL132" s="4">
        <v>212</v>
      </c>
      <c r="CM132" s="4">
        <v>212</v>
      </c>
      <c r="CN132" s="4">
        <v>212</v>
      </c>
      <c r="CO132" s="4">
        <v>212</v>
      </c>
      <c r="CP132" s="4">
        <v>212</v>
      </c>
      <c r="CQ132" s="654">
        <v>212</v>
      </c>
      <c r="CR132" s="655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654"/>
      <c r="DD132" s="655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654"/>
      <c r="DP132" s="655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654"/>
      <c r="EB132" s="655"/>
      <c r="EC132" s="4"/>
      <c r="ED132" s="4"/>
      <c r="EE132" s="4"/>
      <c r="EF132" s="4"/>
      <c r="EG132" s="4"/>
      <c r="EH132" s="4"/>
      <c r="EI132" s="4"/>
      <c r="EJ132" s="4"/>
      <c r="EK132" s="4"/>
      <c r="EL132" s="4"/>
      <c r="EM132" s="693"/>
      <c r="EN132" s="723"/>
      <c r="EO132" s="4"/>
      <c r="EP132" s="4"/>
      <c r="EQ132" s="4"/>
      <c r="ER132" s="4"/>
      <c r="ES132" s="4"/>
      <c r="ET132" s="4">
        <v>212</v>
      </c>
      <c r="EU132" s="4">
        <v>212</v>
      </c>
      <c r="EV132" s="4">
        <v>212</v>
      </c>
      <c r="EW132" s="4">
        <v>212</v>
      </c>
      <c r="EX132" s="4">
        <v>212</v>
      </c>
      <c r="EY132" s="654">
        <v>212</v>
      </c>
      <c r="EZ132" s="655"/>
      <c r="FA132" s="4"/>
      <c r="FB132" s="4"/>
      <c r="FC132" s="4"/>
      <c r="FD132" s="4"/>
      <c r="FE132" s="4"/>
      <c r="FF132" s="4"/>
      <c r="FG132" s="4"/>
      <c r="FH132" s="4"/>
      <c r="FI132" s="4"/>
      <c r="FJ132" s="4"/>
      <c r="FK132" s="654"/>
      <c r="FL132" s="655"/>
      <c r="FM132" s="4"/>
      <c r="FN132" s="4"/>
      <c r="FO132" s="4"/>
      <c r="FP132" s="4"/>
      <c r="FQ132" s="4"/>
      <c r="FR132" s="4"/>
      <c r="FS132" s="4"/>
      <c r="FT132" s="4"/>
      <c r="FU132" s="4"/>
      <c r="FV132" s="4"/>
      <c r="FW132" s="654"/>
      <c r="FX132" s="655"/>
      <c r="FY132" s="4"/>
      <c r="FZ132" s="4"/>
      <c r="GA132" s="4"/>
      <c r="GB132" s="4"/>
      <c r="GC132" s="4"/>
      <c r="GD132" s="4"/>
      <c r="GE132" s="4"/>
      <c r="GF132" s="4"/>
      <c r="GG132" s="4"/>
      <c r="GH132" s="4"/>
      <c r="GI132" s="654"/>
      <c r="GJ132" s="655"/>
      <c r="GK132" s="4"/>
      <c r="GL132" s="4"/>
      <c r="GM132" s="4"/>
      <c r="GN132" s="4"/>
      <c r="GO132" s="4"/>
      <c r="GP132" s="4"/>
      <c r="GQ132" s="4"/>
      <c r="GR132" s="4"/>
      <c r="GS132" s="4"/>
      <c r="GT132" s="4"/>
      <c r="GU132" s="722"/>
      <c r="GV132" s="715"/>
    </row>
    <row r="133" spans="1:204" x14ac:dyDescent="0.25">
      <c r="A133" t="s">
        <v>864</v>
      </c>
      <c r="B133" s="2" t="s">
        <v>358</v>
      </c>
      <c r="C133" s="619">
        <v>44568</v>
      </c>
      <c r="D133" s="2" t="s">
        <v>848</v>
      </c>
      <c r="E133" t="s">
        <v>58</v>
      </c>
      <c r="F133" s="2" t="s">
        <v>43</v>
      </c>
      <c r="G133" t="s">
        <v>40</v>
      </c>
      <c r="H133" s="690" t="s">
        <v>84</v>
      </c>
      <c r="I133" s="691" t="s">
        <v>346</v>
      </c>
      <c r="J133" s="721" t="e">
        <v>#VALUE!</v>
      </c>
      <c r="K133" s="691" t="s">
        <v>43</v>
      </c>
      <c r="L133" s="721">
        <v>3780401000108</v>
      </c>
      <c r="M133" s="718" t="s">
        <v>3</v>
      </c>
      <c r="N133" s="717" t="s">
        <v>44</v>
      </c>
      <c r="O133" s="719">
        <v>44621</v>
      </c>
      <c r="P133" s="720">
        <v>44651</v>
      </c>
      <c r="Q133" s="718">
        <v>130</v>
      </c>
      <c r="R133" s="717">
        <v>1.6</v>
      </c>
      <c r="S133" s="691" t="s">
        <v>54</v>
      </c>
      <c r="T133" t="s">
        <v>358</v>
      </c>
      <c r="U133" s="673" t="s">
        <v>358</v>
      </c>
      <c r="V133" s="690" t="s">
        <v>358</v>
      </c>
      <c r="W133" s="657" t="s">
        <v>214</v>
      </c>
      <c r="X133" s="723"/>
      <c r="Y133" s="4"/>
      <c r="Z133" s="4">
        <v>1.6</v>
      </c>
      <c r="AA133" s="4"/>
      <c r="AB133" s="4"/>
      <c r="AC133" s="4"/>
      <c r="AD133" s="4"/>
      <c r="AE133" s="4"/>
      <c r="AF133" s="4"/>
      <c r="AG133" s="4"/>
      <c r="AH133" s="4"/>
      <c r="AI133" s="654"/>
      <c r="AJ133" s="655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654"/>
      <c r="AV133" s="655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654"/>
      <c r="BH133" s="655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654"/>
      <c r="BT133" s="655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693"/>
      <c r="CF133" s="723"/>
      <c r="CG133" s="4"/>
      <c r="CH133" s="4">
        <v>130</v>
      </c>
      <c r="CI133" s="4"/>
      <c r="CJ133" s="4"/>
      <c r="CK133" s="4"/>
      <c r="CL133" s="4"/>
      <c r="CM133" s="4"/>
      <c r="CN133" s="4"/>
      <c r="CO133" s="4"/>
      <c r="CP133" s="4"/>
      <c r="CQ133" s="654"/>
      <c r="CR133" s="655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654"/>
      <c r="DD133" s="655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654"/>
      <c r="DP133" s="655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654"/>
      <c r="EB133" s="655"/>
      <c r="EC133" s="4"/>
      <c r="ED133" s="4"/>
      <c r="EE133" s="4"/>
      <c r="EF133" s="4"/>
      <c r="EG133" s="4"/>
      <c r="EH133" s="4"/>
      <c r="EI133" s="4"/>
      <c r="EJ133" s="4"/>
      <c r="EK133" s="4"/>
      <c r="EL133" s="4"/>
      <c r="EM133" s="693"/>
      <c r="EN133" s="723"/>
      <c r="EO133" s="4"/>
      <c r="EP133" s="4">
        <v>130</v>
      </c>
      <c r="EQ133" s="4"/>
      <c r="ER133" s="4"/>
      <c r="ES133" s="4"/>
      <c r="ET133" s="4"/>
      <c r="EU133" s="4"/>
      <c r="EV133" s="4"/>
      <c r="EW133" s="4"/>
      <c r="EX133" s="4"/>
      <c r="EY133" s="654"/>
      <c r="EZ133" s="655"/>
      <c r="FA133" s="4"/>
      <c r="FB133" s="4"/>
      <c r="FC133" s="4"/>
      <c r="FD133" s="4"/>
      <c r="FE133" s="4"/>
      <c r="FF133" s="4"/>
      <c r="FG133" s="4"/>
      <c r="FH133" s="4"/>
      <c r="FI133" s="4"/>
      <c r="FJ133" s="4"/>
      <c r="FK133" s="654"/>
      <c r="FL133" s="655"/>
      <c r="FM133" s="4"/>
      <c r="FN133" s="4"/>
      <c r="FO133" s="4"/>
      <c r="FP133" s="4"/>
      <c r="FQ133" s="4"/>
      <c r="FR133" s="4"/>
      <c r="FS133" s="4"/>
      <c r="FT133" s="4"/>
      <c r="FU133" s="4"/>
      <c r="FV133" s="4"/>
      <c r="FW133" s="654"/>
      <c r="FX133" s="655"/>
      <c r="FY133" s="4"/>
      <c r="FZ133" s="4"/>
      <c r="GA133" s="4"/>
      <c r="GB133" s="4"/>
      <c r="GC133" s="4"/>
      <c r="GD133" s="4"/>
      <c r="GE133" s="4"/>
      <c r="GF133" s="4"/>
      <c r="GG133" s="4"/>
      <c r="GH133" s="4"/>
      <c r="GI133" s="654"/>
      <c r="GJ133" s="655"/>
      <c r="GK133" s="4"/>
      <c r="GL133" s="4"/>
      <c r="GM133" s="4"/>
      <c r="GN133" s="4"/>
      <c r="GO133" s="4"/>
      <c r="GP133" s="4"/>
      <c r="GQ133" s="4"/>
      <c r="GR133" s="4"/>
      <c r="GS133" s="4"/>
      <c r="GT133" s="4"/>
      <c r="GU133" s="722"/>
      <c r="GV133" s="715"/>
    </row>
    <row r="134" spans="1:204" x14ac:dyDescent="0.25">
      <c r="A134" t="s">
        <v>865</v>
      </c>
      <c r="B134" s="2" t="s">
        <v>358</v>
      </c>
      <c r="C134" s="619">
        <v>44568</v>
      </c>
      <c r="D134" s="2" t="s">
        <v>849</v>
      </c>
      <c r="E134" t="s">
        <v>59</v>
      </c>
      <c r="F134" s="2" t="s">
        <v>43</v>
      </c>
      <c r="G134" t="s">
        <v>40</v>
      </c>
      <c r="H134" s="690" t="s">
        <v>85</v>
      </c>
      <c r="I134" s="691" t="s">
        <v>43</v>
      </c>
      <c r="J134" s="721">
        <v>3780401000108</v>
      </c>
      <c r="K134" s="691" t="s">
        <v>346</v>
      </c>
      <c r="L134" s="721" t="e">
        <v>#VALUE!</v>
      </c>
      <c r="M134" s="718" t="s">
        <v>3</v>
      </c>
      <c r="N134" s="717" t="s">
        <v>44</v>
      </c>
      <c r="O134" s="719">
        <v>44621</v>
      </c>
      <c r="P134" s="720">
        <v>44651</v>
      </c>
      <c r="Q134" s="718">
        <v>130</v>
      </c>
      <c r="R134" s="717">
        <v>1.6</v>
      </c>
      <c r="S134" s="691" t="s">
        <v>54</v>
      </c>
      <c r="T134" t="s">
        <v>358</v>
      </c>
      <c r="U134" s="673" t="s">
        <v>358</v>
      </c>
      <c r="V134" s="690" t="s">
        <v>358</v>
      </c>
      <c r="W134" s="657" t="s">
        <v>214</v>
      </c>
      <c r="X134" s="723"/>
      <c r="Y134" s="4"/>
      <c r="Z134" s="4">
        <v>1.6</v>
      </c>
      <c r="AA134" s="4"/>
      <c r="AB134" s="4"/>
      <c r="AC134" s="4"/>
      <c r="AD134" s="4"/>
      <c r="AE134" s="4"/>
      <c r="AF134" s="4"/>
      <c r="AG134" s="4"/>
      <c r="AH134" s="4"/>
      <c r="AI134" s="654"/>
      <c r="AJ134" s="655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654"/>
      <c r="AV134" s="655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654"/>
      <c r="BH134" s="655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654"/>
      <c r="BT134" s="655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693"/>
      <c r="CF134" s="723"/>
      <c r="CG134" s="4"/>
      <c r="CH134" s="4">
        <v>130</v>
      </c>
      <c r="CI134" s="4"/>
      <c r="CJ134" s="4"/>
      <c r="CK134" s="4"/>
      <c r="CL134" s="4"/>
      <c r="CM134" s="4"/>
      <c r="CN134" s="4"/>
      <c r="CO134" s="4"/>
      <c r="CP134" s="4"/>
      <c r="CQ134" s="654"/>
      <c r="CR134" s="655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654"/>
      <c r="DD134" s="655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654"/>
      <c r="DP134" s="655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654"/>
      <c r="EB134" s="655"/>
      <c r="EC134" s="4"/>
      <c r="ED134" s="4"/>
      <c r="EE134" s="4"/>
      <c r="EF134" s="4"/>
      <c r="EG134" s="4"/>
      <c r="EH134" s="4"/>
      <c r="EI134" s="4"/>
      <c r="EJ134" s="4"/>
      <c r="EK134" s="4"/>
      <c r="EL134" s="4"/>
      <c r="EM134" s="693"/>
      <c r="EN134" s="723"/>
      <c r="EO134" s="4"/>
      <c r="EP134" s="4">
        <v>130</v>
      </c>
      <c r="EQ134" s="4"/>
      <c r="ER134" s="4"/>
      <c r="ES134" s="4"/>
      <c r="ET134" s="4"/>
      <c r="EU134" s="4"/>
      <c r="EV134" s="4"/>
      <c r="EW134" s="4"/>
      <c r="EX134" s="4"/>
      <c r="EY134" s="654"/>
      <c r="EZ134" s="655"/>
      <c r="FA134" s="4"/>
      <c r="FB134" s="4"/>
      <c r="FC134" s="4"/>
      <c r="FD134" s="4"/>
      <c r="FE134" s="4"/>
      <c r="FF134" s="4"/>
      <c r="FG134" s="4"/>
      <c r="FH134" s="4"/>
      <c r="FI134" s="4"/>
      <c r="FJ134" s="4"/>
      <c r="FK134" s="654"/>
      <c r="FL134" s="655"/>
      <c r="FM134" s="4"/>
      <c r="FN134" s="4"/>
      <c r="FO134" s="4"/>
      <c r="FP134" s="4"/>
      <c r="FQ134" s="4"/>
      <c r="FR134" s="4"/>
      <c r="FS134" s="4"/>
      <c r="FT134" s="4"/>
      <c r="FU134" s="4"/>
      <c r="FV134" s="4"/>
      <c r="FW134" s="654"/>
      <c r="FX134" s="655"/>
      <c r="FY134" s="4"/>
      <c r="FZ134" s="4"/>
      <c r="GA134" s="4"/>
      <c r="GB134" s="4"/>
      <c r="GC134" s="4"/>
      <c r="GD134" s="4"/>
      <c r="GE134" s="4"/>
      <c r="GF134" s="4"/>
      <c r="GG134" s="4"/>
      <c r="GH134" s="4"/>
      <c r="GI134" s="654"/>
      <c r="GJ134" s="655"/>
      <c r="GK134" s="4"/>
      <c r="GL134" s="4"/>
      <c r="GM134" s="4"/>
      <c r="GN134" s="4"/>
      <c r="GO134" s="4"/>
      <c r="GP134" s="4"/>
      <c r="GQ134" s="4"/>
      <c r="GR134" s="4"/>
      <c r="GS134" s="4"/>
      <c r="GT134" s="4"/>
      <c r="GU134" s="722"/>
      <c r="GV134" s="715"/>
    </row>
    <row r="135" spans="1:204" x14ac:dyDescent="0.25">
      <c r="A135" t="s">
        <v>878</v>
      </c>
      <c r="B135" s="2" t="s">
        <v>877</v>
      </c>
      <c r="C135" s="619">
        <v>44571</v>
      </c>
      <c r="D135" s="2" t="s">
        <v>867</v>
      </c>
      <c r="E135" t="s">
        <v>59</v>
      </c>
      <c r="F135" s="2" t="s">
        <v>43</v>
      </c>
      <c r="G135" t="s">
        <v>40</v>
      </c>
      <c r="H135" s="690" t="s">
        <v>85</v>
      </c>
      <c r="I135" s="691" t="s">
        <v>43</v>
      </c>
      <c r="J135" s="721">
        <v>3780401000108</v>
      </c>
      <c r="K135" s="691" t="s">
        <v>585</v>
      </c>
      <c r="L135" s="721">
        <v>33933760000100</v>
      </c>
      <c r="M135" s="718" t="s">
        <v>3</v>
      </c>
      <c r="N135" s="717" t="s">
        <v>44</v>
      </c>
      <c r="O135" s="719">
        <v>44682</v>
      </c>
      <c r="P135" s="720">
        <v>44712</v>
      </c>
      <c r="Q135" s="718">
        <v>132</v>
      </c>
      <c r="R135" s="717">
        <v>5</v>
      </c>
      <c r="S135" s="691" t="s">
        <v>54</v>
      </c>
      <c r="T135" t="s">
        <v>358</v>
      </c>
      <c r="U135" s="673" t="s">
        <v>358</v>
      </c>
      <c r="V135" s="690" t="s">
        <v>358</v>
      </c>
      <c r="W135" s="657" t="s">
        <v>329</v>
      </c>
      <c r="X135" s="723"/>
      <c r="Y135" s="4"/>
      <c r="Z135" s="4"/>
      <c r="AA135" s="4"/>
      <c r="AB135" s="4">
        <v>5</v>
      </c>
      <c r="AC135" s="4"/>
      <c r="AD135" s="4"/>
      <c r="AE135" s="4"/>
      <c r="AF135" s="4"/>
      <c r="AG135" s="4"/>
      <c r="AH135" s="4"/>
      <c r="AI135" s="654"/>
      <c r="AJ135" s="655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654"/>
      <c r="AV135" s="655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654"/>
      <c r="BH135" s="655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654"/>
      <c r="BT135" s="655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693"/>
      <c r="CF135" s="723"/>
      <c r="CG135" s="4"/>
      <c r="CH135" s="4"/>
      <c r="CI135" s="4"/>
      <c r="CJ135" s="4">
        <v>132</v>
      </c>
      <c r="CK135" s="4"/>
      <c r="CL135" s="4"/>
      <c r="CM135" s="4"/>
      <c r="CN135" s="4"/>
      <c r="CO135" s="4"/>
      <c r="CP135" s="4"/>
      <c r="CQ135" s="654"/>
      <c r="CR135" s="655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654"/>
      <c r="DD135" s="655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654"/>
      <c r="DP135" s="655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654"/>
      <c r="EB135" s="655"/>
      <c r="EC135" s="4"/>
      <c r="ED135" s="4"/>
      <c r="EE135" s="4"/>
      <c r="EF135" s="4"/>
      <c r="EG135" s="4"/>
      <c r="EH135" s="4"/>
      <c r="EI135" s="4"/>
      <c r="EJ135" s="4"/>
      <c r="EK135" s="4"/>
      <c r="EL135" s="4"/>
      <c r="EM135" s="693"/>
      <c r="EN135" s="723"/>
      <c r="EO135" s="4"/>
      <c r="EP135" s="4"/>
      <c r="EQ135" s="4"/>
      <c r="ER135" s="4">
        <v>132</v>
      </c>
      <c r="ES135" s="4"/>
      <c r="ET135" s="4"/>
      <c r="EU135" s="4"/>
      <c r="EV135" s="4"/>
      <c r="EW135" s="4"/>
      <c r="EX135" s="4"/>
      <c r="EY135" s="654"/>
      <c r="EZ135" s="655"/>
      <c r="FA135" s="4"/>
      <c r="FB135" s="4"/>
      <c r="FC135" s="4"/>
      <c r="FD135" s="4"/>
      <c r="FE135" s="4"/>
      <c r="FF135" s="4"/>
      <c r="FG135" s="4"/>
      <c r="FH135" s="4"/>
      <c r="FI135" s="4"/>
      <c r="FJ135" s="4"/>
      <c r="FK135" s="654"/>
      <c r="FL135" s="655"/>
      <c r="FM135" s="4"/>
      <c r="FN135" s="4"/>
      <c r="FO135" s="4"/>
      <c r="FP135" s="4"/>
      <c r="FQ135" s="4"/>
      <c r="FR135" s="4"/>
      <c r="FS135" s="4"/>
      <c r="FT135" s="4"/>
      <c r="FU135" s="4"/>
      <c r="FV135" s="4"/>
      <c r="FW135" s="654"/>
      <c r="FX135" s="655"/>
      <c r="FY135" s="4"/>
      <c r="FZ135" s="4"/>
      <c r="GA135" s="4"/>
      <c r="GB135" s="4"/>
      <c r="GC135" s="4"/>
      <c r="GD135" s="4"/>
      <c r="GE135" s="4"/>
      <c r="GF135" s="4"/>
      <c r="GG135" s="4"/>
      <c r="GH135" s="4"/>
      <c r="GI135" s="654"/>
      <c r="GJ135" s="655"/>
      <c r="GK135" s="4"/>
      <c r="GL135" s="4"/>
      <c r="GM135" s="4"/>
      <c r="GN135" s="4"/>
      <c r="GO135" s="4"/>
      <c r="GP135" s="4"/>
      <c r="GQ135" s="4"/>
      <c r="GR135" s="4"/>
      <c r="GS135" s="4"/>
      <c r="GT135" s="4"/>
      <c r="GU135" s="722"/>
      <c r="GV135" s="715"/>
    </row>
    <row r="136" spans="1:204" x14ac:dyDescent="0.25">
      <c r="A136" t="s">
        <v>880</v>
      </c>
      <c r="B136" s="2" t="s">
        <v>879</v>
      </c>
      <c r="C136" s="619">
        <v>44571</v>
      </c>
      <c r="D136" s="2" t="s">
        <v>868</v>
      </c>
      <c r="E136" t="s">
        <v>59</v>
      </c>
      <c r="F136" s="2" t="s">
        <v>43</v>
      </c>
      <c r="G136" t="s">
        <v>40</v>
      </c>
      <c r="H136" s="690" t="s">
        <v>85</v>
      </c>
      <c r="I136" s="691" t="s">
        <v>43</v>
      </c>
      <c r="J136" s="721">
        <v>3780401000108</v>
      </c>
      <c r="K136" s="691" t="s">
        <v>585</v>
      </c>
      <c r="L136" s="721">
        <v>33933760000100</v>
      </c>
      <c r="M136" s="718" t="s">
        <v>3</v>
      </c>
      <c r="N136" s="717" t="s">
        <v>44</v>
      </c>
      <c r="O136" s="719">
        <v>44621</v>
      </c>
      <c r="P136" s="720">
        <v>44651</v>
      </c>
      <c r="Q136" s="718">
        <v>125</v>
      </c>
      <c r="R136" s="717">
        <v>5</v>
      </c>
      <c r="S136" s="691" t="s">
        <v>54</v>
      </c>
      <c r="T136" t="s">
        <v>358</v>
      </c>
      <c r="U136" s="673" t="s">
        <v>358</v>
      </c>
      <c r="V136" s="690" t="s">
        <v>358</v>
      </c>
      <c r="W136" s="657" t="s">
        <v>329</v>
      </c>
      <c r="X136" s="723"/>
      <c r="Y136" s="4"/>
      <c r="Z136" s="4">
        <v>5</v>
      </c>
      <c r="AA136" s="4"/>
      <c r="AB136" s="4"/>
      <c r="AC136" s="4"/>
      <c r="AD136" s="4"/>
      <c r="AE136" s="4"/>
      <c r="AF136" s="4"/>
      <c r="AG136" s="4"/>
      <c r="AH136" s="4"/>
      <c r="AI136" s="654"/>
      <c r="AJ136" s="655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654"/>
      <c r="AV136" s="655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654"/>
      <c r="BH136" s="655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654"/>
      <c r="BT136" s="655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693"/>
      <c r="CF136" s="723"/>
      <c r="CG136" s="4"/>
      <c r="CH136" s="4">
        <v>125</v>
      </c>
      <c r="CI136" s="4"/>
      <c r="CJ136" s="4"/>
      <c r="CK136" s="4"/>
      <c r="CL136" s="4"/>
      <c r="CM136" s="4"/>
      <c r="CN136" s="4"/>
      <c r="CO136" s="4"/>
      <c r="CP136" s="4"/>
      <c r="CQ136" s="654"/>
      <c r="CR136" s="655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654"/>
      <c r="DD136" s="655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654"/>
      <c r="DP136" s="655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654"/>
      <c r="EB136" s="655"/>
      <c r="EC136" s="4"/>
      <c r="ED136" s="4"/>
      <c r="EE136" s="4"/>
      <c r="EF136" s="4"/>
      <c r="EG136" s="4"/>
      <c r="EH136" s="4"/>
      <c r="EI136" s="4"/>
      <c r="EJ136" s="4"/>
      <c r="EK136" s="4"/>
      <c r="EL136" s="4"/>
      <c r="EM136" s="693"/>
      <c r="EN136" s="723"/>
      <c r="EO136" s="4"/>
      <c r="EP136" s="4">
        <v>125</v>
      </c>
      <c r="EQ136" s="4"/>
      <c r="ER136" s="4"/>
      <c r="ES136" s="4"/>
      <c r="ET136" s="4"/>
      <c r="EU136" s="4"/>
      <c r="EV136" s="4"/>
      <c r="EW136" s="4"/>
      <c r="EX136" s="4"/>
      <c r="EY136" s="654"/>
      <c r="EZ136" s="655"/>
      <c r="FA136" s="4"/>
      <c r="FB136" s="4"/>
      <c r="FC136" s="4"/>
      <c r="FD136" s="4"/>
      <c r="FE136" s="4"/>
      <c r="FF136" s="4"/>
      <c r="FG136" s="4"/>
      <c r="FH136" s="4"/>
      <c r="FI136" s="4"/>
      <c r="FJ136" s="4"/>
      <c r="FK136" s="654"/>
      <c r="FL136" s="655"/>
      <c r="FM136" s="4"/>
      <c r="FN136" s="4"/>
      <c r="FO136" s="4"/>
      <c r="FP136" s="4"/>
      <c r="FQ136" s="4"/>
      <c r="FR136" s="4"/>
      <c r="FS136" s="4"/>
      <c r="FT136" s="4"/>
      <c r="FU136" s="4"/>
      <c r="FV136" s="4"/>
      <c r="FW136" s="654"/>
      <c r="FX136" s="655"/>
      <c r="FY136" s="4"/>
      <c r="FZ136" s="4"/>
      <c r="GA136" s="4"/>
      <c r="GB136" s="4"/>
      <c r="GC136" s="4"/>
      <c r="GD136" s="4"/>
      <c r="GE136" s="4"/>
      <c r="GF136" s="4"/>
      <c r="GG136" s="4"/>
      <c r="GH136" s="4"/>
      <c r="GI136" s="654"/>
      <c r="GJ136" s="655"/>
      <c r="GK136" s="4"/>
      <c r="GL136" s="4"/>
      <c r="GM136" s="4"/>
      <c r="GN136" s="4"/>
      <c r="GO136" s="4"/>
      <c r="GP136" s="4"/>
      <c r="GQ136" s="4"/>
      <c r="GR136" s="4"/>
      <c r="GS136" s="4"/>
      <c r="GT136" s="4"/>
      <c r="GU136" s="722"/>
      <c r="GV136" s="715"/>
    </row>
    <row r="137" spans="1:204" x14ac:dyDescent="0.25">
      <c r="A137" t="s">
        <v>882</v>
      </c>
      <c r="B137" s="2" t="s">
        <v>881</v>
      </c>
      <c r="C137" s="619">
        <v>44571</v>
      </c>
      <c r="D137" s="2" t="s">
        <v>869</v>
      </c>
      <c r="E137" t="s">
        <v>59</v>
      </c>
      <c r="F137" s="2" t="s">
        <v>43</v>
      </c>
      <c r="G137" t="s">
        <v>40</v>
      </c>
      <c r="H137" s="690" t="s">
        <v>85</v>
      </c>
      <c r="I137" s="691" t="s">
        <v>43</v>
      </c>
      <c r="J137" s="721">
        <v>3780401000108</v>
      </c>
      <c r="K137" s="691" t="s">
        <v>349</v>
      </c>
      <c r="L137" s="721">
        <v>4973790000142</v>
      </c>
      <c r="M137" s="718" t="s">
        <v>3</v>
      </c>
      <c r="N137" s="717" t="s">
        <v>44</v>
      </c>
      <c r="O137" s="719">
        <v>44621</v>
      </c>
      <c r="P137" s="720">
        <v>44651</v>
      </c>
      <c r="Q137" s="718">
        <v>124</v>
      </c>
      <c r="R137" s="717">
        <v>20</v>
      </c>
      <c r="S137" s="691" t="s">
        <v>54</v>
      </c>
      <c r="T137" t="s">
        <v>358</v>
      </c>
      <c r="U137" s="673" t="s">
        <v>358</v>
      </c>
      <c r="V137" s="690" t="s">
        <v>358</v>
      </c>
      <c r="W137" s="657" t="s">
        <v>329</v>
      </c>
      <c r="X137" s="723"/>
      <c r="Y137" s="4"/>
      <c r="Z137" s="4">
        <v>20</v>
      </c>
      <c r="AA137" s="4"/>
      <c r="AB137" s="4"/>
      <c r="AC137" s="4"/>
      <c r="AD137" s="4"/>
      <c r="AE137" s="4"/>
      <c r="AF137" s="4"/>
      <c r="AG137" s="4"/>
      <c r="AH137" s="4"/>
      <c r="AI137" s="654"/>
      <c r="AJ137" s="655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654"/>
      <c r="AV137" s="655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654"/>
      <c r="BH137" s="655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654"/>
      <c r="BT137" s="655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693"/>
      <c r="CF137" s="723"/>
      <c r="CG137" s="4"/>
      <c r="CH137" s="4">
        <v>124</v>
      </c>
      <c r="CI137" s="4"/>
      <c r="CJ137" s="4"/>
      <c r="CK137" s="4"/>
      <c r="CL137" s="4"/>
      <c r="CM137" s="4"/>
      <c r="CN137" s="4"/>
      <c r="CO137" s="4"/>
      <c r="CP137" s="4"/>
      <c r="CQ137" s="654"/>
      <c r="CR137" s="655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654"/>
      <c r="DD137" s="655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654"/>
      <c r="DP137" s="655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654"/>
      <c r="EB137" s="655"/>
      <c r="EC137" s="4"/>
      <c r="ED137" s="4"/>
      <c r="EE137" s="4"/>
      <c r="EF137" s="4"/>
      <c r="EG137" s="4"/>
      <c r="EH137" s="4"/>
      <c r="EI137" s="4"/>
      <c r="EJ137" s="4"/>
      <c r="EK137" s="4"/>
      <c r="EL137" s="4"/>
      <c r="EM137" s="693"/>
      <c r="EN137" s="723"/>
      <c r="EO137" s="4"/>
      <c r="EP137" s="4">
        <v>124</v>
      </c>
      <c r="EQ137" s="4"/>
      <c r="ER137" s="4"/>
      <c r="ES137" s="4"/>
      <c r="ET137" s="4"/>
      <c r="EU137" s="4"/>
      <c r="EV137" s="4"/>
      <c r="EW137" s="4"/>
      <c r="EX137" s="4"/>
      <c r="EY137" s="654"/>
      <c r="EZ137" s="655"/>
      <c r="FA137" s="4"/>
      <c r="FB137" s="4"/>
      <c r="FC137" s="4"/>
      <c r="FD137" s="4"/>
      <c r="FE137" s="4"/>
      <c r="FF137" s="4"/>
      <c r="FG137" s="4"/>
      <c r="FH137" s="4"/>
      <c r="FI137" s="4"/>
      <c r="FJ137" s="4"/>
      <c r="FK137" s="654"/>
      <c r="FL137" s="655"/>
      <c r="FM137" s="4"/>
      <c r="FN137" s="4"/>
      <c r="FO137" s="4"/>
      <c r="FP137" s="4"/>
      <c r="FQ137" s="4"/>
      <c r="FR137" s="4"/>
      <c r="FS137" s="4"/>
      <c r="FT137" s="4"/>
      <c r="FU137" s="4"/>
      <c r="FV137" s="4"/>
      <c r="FW137" s="654"/>
      <c r="FX137" s="655"/>
      <c r="FY137" s="4"/>
      <c r="FZ137" s="4"/>
      <c r="GA137" s="4"/>
      <c r="GB137" s="4"/>
      <c r="GC137" s="4"/>
      <c r="GD137" s="4"/>
      <c r="GE137" s="4"/>
      <c r="GF137" s="4"/>
      <c r="GG137" s="4"/>
      <c r="GH137" s="4"/>
      <c r="GI137" s="654"/>
      <c r="GJ137" s="655"/>
      <c r="GK137" s="4"/>
      <c r="GL137" s="4"/>
      <c r="GM137" s="4"/>
      <c r="GN137" s="4"/>
      <c r="GO137" s="4"/>
      <c r="GP137" s="4"/>
      <c r="GQ137" s="4"/>
      <c r="GR137" s="4"/>
      <c r="GS137" s="4"/>
      <c r="GT137" s="4"/>
      <c r="GU137" s="722"/>
      <c r="GV137" s="715"/>
    </row>
    <row r="138" spans="1:204" x14ac:dyDescent="0.25">
      <c r="A138" t="s">
        <v>884</v>
      </c>
      <c r="B138" s="2" t="s">
        <v>883</v>
      </c>
      <c r="C138" s="619">
        <v>44571</v>
      </c>
      <c r="D138" s="2" t="s">
        <v>870</v>
      </c>
      <c r="E138" t="s">
        <v>58</v>
      </c>
      <c r="F138" s="2" t="s">
        <v>43</v>
      </c>
      <c r="G138" t="s">
        <v>40</v>
      </c>
      <c r="H138" s="690" t="s">
        <v>84</v>
      </c>
      <c r="I138" s="691" t="s">
        <v>349</v>
      </c>
      <c r="J138" s="721">
        <v>4973790000142</v>
      </c>
      <c r="K138" s="691" t="s">
        <v>43</v>
      </c>
      <c r="L138" s="721">
        <v>3780401000108</v>
      </c>
      <c r="M138" s="718" t="s">
        <v>3</v>
      </c>
      <c r="N138" s="717" t="s">
        <v>44</v>
      </c>
      <c r="O138" s="719">
        <v>44743</v>
      </c>
      <c r="P138" s="720">
        <v>44773</v>
      </c>
      <c r="Q138" s="718">
        <v>210</v>
      </c>
      <c r="R138" s="717">
        <v>20</v>
      </c>
      <c r="S138" s="691" t="s">
        <v>54</v>
      </c>
      <c r="T138" t="s">
        <v>358</v>
      </c>
      <c r="U138" s="673" t="s">
        <v>358</v>
      </c>
      <c r="V138" s="690" t="s">
        <v>358</v>
      </c>
      <c r="W138" s="657" t="s">
        <v>329</v>
      </c>
      <c r="X138" s="723"/>
      <c r="Y138" s="4"/>
      <c r="Z138" s="4"/>
      <c r="AA138" s="4"/>
      <c r="AB138" s="4"/>
      <c r="AC138" s="4"/>
      <c r="AD138" s="4">
        <v>20</v>
      </c>
      <c r="AE138" s="4"/>
      <c r="AF138" s="4"/>
      <c r="AG138" s="4"/>
      <c r="AH138" s="4"/>
      <c r="AI138" s="654"/>
      <c r="AJ138" s="655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654"/>
      <c r="AV138" s="655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654"/>
      <c r="BH138" s="655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654"/>
      <c r="BT138" s="655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693"/>
      <c r="CF138" s="723"/>
      <c r="CG138" s="4"/>
      <c r="CH138" s="4"/>
      <c r="CI138" s="4"/>
      <c r="CJ138" s="4"/>
      <c r="CK138" s="4"/>
      <c r="CL138" s="4">
        <v>210</v>
      </c>
      <c r="CM138" s="4"/>
      <c r="CN138" s="4"/>
      <c r="CO138" s="4"/>
      <c r="CP138" s="4"/>
      <c r="CQ138" s="654"/>
      <c r="CR138" s="655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654"/>
      <c r="DD138" s="655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654"/>
      <c r="DP138" s="655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654"/>
      <c r="EB138" s="655"/>
      <c r="EC138" s="4"/>
      <c r="ED138" s="4"/>
      <c r="EE138" s="4"/>
      <c r="EF138" s="4"/>
      <c r="EG138" s="4"/>
      <c r="EH138" s="4"/>
      <c r="EI138" s="4"/>
      <c r="EJ138" s="4"/>
      <c r="EK138" s="4"/>
      <c r="EL138" s="4"/>
      <c r="EM138" s="693"/>
      <c r="EN138" s="723"/>
      <c r="EO138" s="4"/>
      <c r="EP138" s="4"/>
      <c r="EQ138" s="4"/>
      <c r="ER138" s="4"/>
      <c r="ES138" s="4"/>
      <c r="ET138" s="4">
        <v>210</v>
      </c>
      <c r="EU138" s="4"/>
      <c r="EV138" s="4"/>
      <c r="EW138" s="4"/>
      <c r="EX138" s="4"/>
      <c r="EY138" s="654"/>
      <c r="EZ138" s="655"/>
      <c r="FA138" s="4"/>
      <c r="FB138" s="4"/>
      <c r="FC138" s="4"/>
      <c r="FD138" s="4"/>
      <c r="FE138" s="4"/>
      <c r="FF138" s="4"/>
      <c r="FG138" s="4"/>
      <c r="FH138" s="4"/>
      <c r="FI138" s="4"/>
      <c r="FJ138" s="4"/>
      <c r="FK138" s="654"/>
      <c r="FL138" s="655"/>
      <c r="FM138" s="4"/>
      <c r="FN138" s="4"/>
      <c r="FO138" s="4"/>
      <c r="FP138" s="4"/>
      <c r="FQ138" s="4"/>
      <c r="FR138" s="4"/>
      <c r="FS138" s="4"/>
      <c r="FT138" s="4"/>
      <c r="FU138" s="4"/>
      <c r="FV138" s="4"/>
      <c r="FW138" s="654"/>
      <c r="FX138" s="655"/>
      <c r="FY138" s="4"/>
      <c r="FZ138" s="4"/>
      <c r="GA138" s="4"/>
      <c r="GB138" s="4"/>
      <c r="GC138" s="4"/>
      <c r="GD138" s="4"/>
      <c r="GE138" s="4"/>
      <c r="GF138" s="4"/>
      <c r="GG138" s="4"/>
      <c r="GH138" s="4"/>
      <c r="GI138" s="654"/>
      <c r="GJ138" s="655"/>
      <c r="GK138" s="4"/>
      <c r="GL138" s="4"/>
      <c r="GM138" s="4"/>
      <c r="GN138" s="4"/>
      <c r="GO138" s="4"/>
      <c r="GP138" s="4"/>
      <c r="GQ138" s="4"/>
      <c r="GR138" s="4"/>
      <c r="GS138" s="4"/>
      <c r="GT138" s="4"/>
      <c r="GU138" s="722"/>
      <c r="GV138" s="715"/>
    </row>
    <row r="139" spans="1:204" x14ac:dyDescent="0.25">
      <c r="A139" t="s">
        <v>886</v>
      </c>
      <c r="B139" s="2" t="s">
        <v>885</v>
      </c>
      <c r="C139" s="619">
        <v>44571</v>
      </c>
      <c r="D139" s="2" t="s">
        <v>871</v>
      </c>
      <c r="E139" t="s">
        <v>58</v>
      </c>
      <c r="F139" s="2" t="s">
        <v>43</v>
      </c>
      <c r="G139" t="s">
        <v>40</v>
      </c>
      <c r="H139" s="690" t="s">
        <v>84</v>
      </c>
      <c r="I139" s="691" t="s">
        <v>410</v>
      </c>
      <c r="J139" s="721">
        <v>3631957000124</v>
      </c>
      <c r="K139" s="691" t="s">
        <v>43</v>
      </c>
      <c r="L139" s="721">
        <v>3780401000108</v>
      </c>
      <c r="M139" s="718" t="s">
        <v>3</v>
      </c>
      <c r="N139" s="717" t="s">
        <v>44</v>
      </c>
      <c r="O139" s="719">
        <v>44652</v>
      </c>
      <c r="P139" s="720">
        <v>44742</v>
      </c>
      <c r="Q139" s="718">
        <v>139</v>
      </c>
      <c r="R139" s="717">
        <v>2</v>
      </c>
      <c r="S139" s="691" t="s">
        <v>54</v>
      </c>
      <c r="T139" t="s">
        <v>358</v>
      </c>
      <c r="U139" s="673" t="s">
        <v>358</v>
      </c>
      <c r="V139" s="690" t="s">
        <v>358</v>
      </c>
      <c r="W139" s="657" t="s">
        <v>329</v>
      </c>
      <c r="X139" s="723"/>
      <c r="Y139" s="4"/>
      <c r="Z139" s="4"/>
      <c r="AA139" s="4">
        <v>2</v>
      </c>
      <c r="AB139" s="4">
        <v>2</v>
      </c>
      <c r="AC139" s="4">
        <v>2</v>
      </c>
      <c r="AD139" s="4"/>
      <c r="AE139" s="4"/>
      <c r="AF139" s="4"/>
      <c r="AG139" s="4"/>
      <c r="AH139" s="4"/>
      <c r="AI139" s="654"/>
      <c r="AJ139" s="655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654"/>
      <c r="AV139" s="655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654"/>
      <c r="BH139" s="655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654"/>
      <c r="BT139" s="655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693"/>
      <c r="CF139" s="723"/>
      <c r="CG139" s="4"/>
      <c r="CH139" s="4"/>
      <c r="CI139" s="4">
        <v>139</v>
      </c>
      <c r="CJ139" s="4">
        <v>139</v>
      </c>
      <c r="CK139" s="4">
        <v>139</v>
      </c>
      <c r="CL139" s="4"/>
      <c r="CM139" s="4"/>
      <c r="CN139" s="4"/>
      <c r="CO139" s="4"/>
      <c r="CP139" s="4"/>
      <c r="CQ139" s="654"/>
      <c r="CR139" s="655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654"/>
      <c r="DD139" s="655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654"/>
      <c r="DP139" s="655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654"/>
      <c r="EB139" s="655"/>
      <c r="EC139" s="4"/>
      <c r="ED139" s="4"/>
      <c r="EE139" s="4"/>
      <c r="EF139" s="4"/>
      <c r="EG139" s="4"/>
      <c r="EH139" s="4"/>
      <c r="EI139" s="4"/>
      <c r="EJ139" s="4"/>
      <c r="EK139" s="4"/>
      <c r="EL139" s="4"/>
      <c r="EM139" s="693"/>
      <c r="EN139" s="723"/>
      <c r="EO139" s="4"/>
      <c r="EP139" s="4"/>
      <c r="EQ139" s="4">
        <v>139</v>
      </c>
      <c r="ER139" s="4">
        <v>139</v>
      </c>
      <c r="ES139" s="4">
        <v>139</v>
      </c>
      <c r="ET139" s="4"/>
      <c r="EU139" s="4"/>
      <c r="EV139" s="4"/>
      <c r="EW139" s="4"/>
      <c r="EX139" s="4"/>
      <c r="EY139" s="654"/>
      <c r="EZ139" s="655"/>
      <c r="FA139" s="4"/>
      <c r="FB139" s="4"/>
      <c r="FC139" s="4"/>
      <c r="FD139" s="4"/>
      <c r="FE139" s="4"/>
      <c r="FF139" s="4"/>
      <c r="FG139" s="4"/>
      <c r="FH139" s="4"/>
      <c r="FI139" s="4"/>
      <c r="FJ139" s="4"/>
      <c r="FK139" s="654"/>
      <c r="FL139" s="655"/>
      <c r="FM139" s="4"/>
      <c r="FN139" s="4"/>
      <c r="FO139" s="4"/>
      <c r="FP139" s="4"/>
      <c r="FQ139" s="4"/>
      <c r="FR139" s="4"/>
      <c r="FS139" s="4"/>
      <c r="FT139" s="4"/>
      <c r="FU139" s="4"/>
      <c r="FV139" s="4"/>
      <c r="FW139" s="654"/>
      <c r="FX139" s="655"/>
      <c r="FY139" s="4"/>
      <c r="FZ139" s="4"/>
      <c r="GA139" s="4"/>
      <c r="GB139" s="4"/>
      <c r="GC139" s="4"/>
      <c r="GD139" s="4"/>
      <c r="GE139" s="4"/>
      <c r="GF139" s="4"/>
      <c r="GG139" s="4"/>
      <c r="GH139" s="4"/>
      <c r="GI139" s="654"/>
      <c r="GJ139" s="655"/>
      <c r="GK139" s="4"/>
      <c r="GL139" s="4"/>
      <c r="GM139" s="4"/>
      <c r="GN139" s="4"/>
      <c r="GO139" s="4"/>
      <c r="GP139" s="4"/>
      <c r="GQ139" s="4"/>
      <c r="GR139" s="4"/>
      <c r="GS139" s="4"/>
      <c r="GT139" s="4"/>
      <c r="GU139" s="722"/>
      <c r="GV139" s="715"/>
    </row>
    <row r="140" spans="1:204" x14ac:dyDescent="0.25">
      <c r="A140" t="s">
        <v>888</v>
      </c>
      <c r="B140" s="2" t="s">
        <v>887</v>
      </c>
      <c r="C140" s="619">
        <v>44571</v>
      </c>
      <c r="D140" s="2" t="s">
        <v>872</v>
      </c>
      <c r="E140" t="s">
        <v>58</v>
      </c>
      <c r="F140" s="2" t="s">
        <v>43</v>
      </c>
      <c r="G140" t="s">
        <v>40</v>
      </c>
      <c r="H140" s="690" t="s">
        <v>84</v>
      </c>
      <c r="I140" s="691" t="s">
        <v>875</v>
      </c>
      <c r="J140" s="721">
        <v>17112981000161</v>
      </c>
      <c r="K140" s="691" t="s">
        <v>43</v>
      </c>
      <c r="L140" s="721">
        <v>3780401000108</v>
      </c>
      <c r="M140" s="718" t="s">
        <v>3</v>
      </c>
      <c r="N140" s="717" t="s">
        <v>44</v>
      </c>
      <c r="O140" s="719">
        <v>44652</v>
      </c>
      <c r="P140" s="720">
        <v>44742</v>
      </c>
      <c r="Q140" s="718">
        <v>140</v>
      </c>
      <c r="R140" s="717">
        <v>1</v>
      </c>
      <c r="S140" s="691" t="s">
        <v>54</v>
      </c>
      <c r="T140" t="s">
        <v>358</v>
      </c>
      <c r="U140" s="673" t="s">
        <v>358</v>
      </c>
      <c r="V140" s="690" t="s">
        <v>358</v>
      </c>
      <c r="W140" s="657" t="s">
        <v>329</v>
      </c>
      <c r="X140" s="723"/>
      <c r="Y140" s="4"/>
      <c r="Z140" s="4"/>
      <c r="AA140" s="4">
        <v>1</v>
      </c>
      <c r="AB140" s="4">
        <v>1</v>
      </c>
      <c r="AC140" s="4">
        <v>1</v>
      </c>
      <c r="AD140" s="4"/>
      <c r="AE140" s="4"/>
      <c r="AF140" s="4"/>
      <c r="AG140" s="4"/>
      <c r="AH140" s="4"/>
      <c r="AI140" s="654"/>
      <c r="AJ140" s="655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654"/>
      <c r="AV140" s="655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654"/>
      <c r="BH140" s="655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654"/>
      <c r="BT140" s="655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693"/>
      <c r="CF140" s="723"/>
      <c r="CG140" s="4"/>
      <c r="CH140" s="4"/>
      <c r="CI140" s="4">
        <v>140</v>
      </c>
      <c r="CJ140" s="4">
        <v>140</v>
      </c>
      <c r="CK140" s="4">
        <v>140</v>
      </c>
      <c r="CL140" s="4"/>
      <c r="CM140" s="4"/>
      <c r="CN140" s="4"/>
      <c r="CO140" s="4"/>
      <c r="CP140" s="4"/>
      <c r="CQ140" s="654"/>
      <c r="CR140" s="655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654"/>
      <c r="DD140" s="655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654"/>
      <c r="DP140" s="655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654"/>
      <c r="EB140" s="655"/>
      <c r="EC140" s="4"/>
      <c r="ED140" s="4"/>
      <c r="EE140" s="4"/>
      <c r="EF140" s="4"/>
      <c r="EG140" s="4"/>
      <c r="EH140" s="4"/>
      <c r="EI140" s="4"/>
      <c r="EJ140" s="4"/>
      <c r="EK140" s="4"/>
      <c r="EL140" s="4"/>
      <c r="EM140" s="693"/>
      <c r="EN140" s="723"/>
      <c r="EO140" s="4"/>
      <c r="EP140" s="4"/>
      <c r="EQ140" s="4">
        <v>140</v>
      </c>
      <c r="ER140" s="4">
        <v>140</v>
      </c>
      <c r="ES140" s="4">
        <v>140</v>
      </c>
      <c r="ET140" s="4"/>
      <c r="EU140" s="4"/>
      <c r="EV140" s="4"/>
      <c r="EW140" s="4"/>
      <c r="EX140" s="4"/>
      <c r="EY140" s="654"/>
      <c r="EZ140" s="655"/>
      <c r="FA140" s="4"/>
      <c r="FB140" s="4"/>
      <c r="FC140" s="4"/>
      <c r="FD140" s="4"/>
      <c r="FE140" s="4"/>
      <c r="FF140" s="4"/>
      <c r="FG140" s="4"/>
      <c r="FH140" s="4"/>
      <c r="FI140" s="4"/>
      <c r="FJ140" s="4"/>
      <c r="FK140" s="654"/>
      <c r="FL140" s="655"/>
      <c r="FM140" s="4"/>
      <c r="FN140" s="4"/>
      <c r="FO140" s="4"/>
      <c r="FP140" s="4"/>
      <c r="FQ140" s="4"/>
      <c r="FR140" s="4"/>
      <c r="FS140" s="4"/>
      <c r="FT140" s="4"/>
      <c r="FU140" s="4"/>
      <c r="FV140" s="4"/>
      <c r="FW140" s="654"/>
      <c r="FX140" s="655"/>
      <c r="FY140" s="4"/>
      <c r="FZ140" s="4"/>
      <c r="GA140" s="4"/>
      <c r="GB140" s="4"/>
      <c r="GC140" s="4"/>
      <c r="GD140" s="4"/>
      <c r="GE140" s="4"/>
      <c r="GF140" s="4"/>
      <c r="GG140" s="4"/>
      <c r="GH140" s="4"/>
      <c r="GI140" s="654"/>
      <c r="GJ140" s="655"/>
      <c r="GK140" s="4"/>
      <c r="GL140" s="4"/>
      <c r="GM140" s="4"/>
      <c r="GN140" s="4"/>
      <c r="GO140" s="4"/>
      <c r="GP140" s="4"/>
      <c r="GQ140" s="4"/>
      <c r="GR140" s="4"/>
      <c r="GS140" s="4"/>
      <c r="GT140" s="4"/>
      <c r="GU140" s="722"/>
      <c r="GV140" s="715"/>
    </row>
    <row r="141" spans="1:204" x14ac:dyDescent="0.25">
      <c r="A141" t="s">
        <v>890</v>
      </c>
      <c r="B141" s="2" t="s">
        <v>889</v>
      </c>
      <c r="C141" s="619">
        <v>44571</v>
      </c>
      <c r="D141" s="2" t="s">
        <v>873</v>
      </c>
      <c r="E141" t="s">
        <v>59</v>
      </c>
      <c r="F141" s="2" t="s">
        <v>43</v>
      </c>
      <c r="G141" t="s">
        <v>40</v>
      </c>
      <c r="H141" s="690" t="s">
        <v>85</v>
      </c>
      <c r="I141" s="691" t="s">
        <v>43</v>
      </c>
      <c r="J141" s="721">
        <v>3780401000108</v>
      </c>
      <c r="K141" s="691" t="s">
        <v>585</v>
      </c>
      <c r="L141" s="721">
        <v>33933760000100</v>
      </c>
      <c r="M141" s="718" t="s">
        <v>3</v>
      </c>
      <c r="N141" s="717" t="s">
        <v>44</v>
      </c>
      <c r="O141" s="719">
        <v>44652</v>
      </c>
      <c r="P141" s="720">
        <v>44681</v>
      </c>
      <c r="Q141" s="718">
        <v>120</v>
      </c>
      <c r="R141" s="717">
        <v>5</v>
      </c>
      <c r="S141" s="691" t="s">
        <v>54</v>
      </c>
      <c r="T141" t="s">
        <v>358</v>
      </c>
      <c r="U141" s="673" t="s">
        <v>358</v>
      </c>
      <c r="V141" s="690" t="s">
        <v>358</v>
      </c>
      <c r="W141" s="657" t="s">
        <v>329</v>
      </c>
      <c r="X141" s="723"/>
      <c r="Y141" s="4"/>
      <c r="Z141" s="4"/>
      <c r="AA141" s="4">
        <v>5</v>
      </c>
      <c r="AB141" s="4"/>
      <c r="AC141" s="4"/>
      <c r="AD141" s="4"/>
      <c r="AE141" s="4"/>
      <c r="AF141" s="4"/>
      <c r="AG141" s="4"/>
      <c r="AH141" s="4"/>
      <c r="AI141" s="654"/>
      <c r="AJ141" s="655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654"/>
      <c r="AV141" s="655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654"/>
      <c r="BH141" s="655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654"/>
      <c r="BT141" s="655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693"/>
      <c r="CF141" s="723"/>
      <c r="CG141" s="4"/>
      <c r="CH141" s="4"/>
      <c r="CI141" s="4">
        <v>120</v>
      </c>
      <c r="CJ141" s="4"/>
      <c r="CK141" s="4"/>
      <c r="CL141" s="4"/>
      <c r="CM141" s="4"/>
      <c r="CN141" s="4"/>
      <c r="CO141" s="4"/>
      <c r="CP141" s="4"/>
      <c r="CQ141" s="654"/>
      <c r="CR141" s="655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654"/>
      <c r="DD141" s="655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654"/>
      <c r="DP141" s="655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654"/>
      <c r="EB141" s="655"/>
      <c r="EC141" s="4"/>
      <c r="ED141" s="4"/>
      <c r="EE141" s="4"/>
      <c r="EF141" s="4"/>
      <c r="EG141" s="4"/>
      <c r="EH141" s="4"/>
      <c r="EI141" s="4"/>
      <c r="EJ141" s="4"/>
      <c r="EK141" s="4"/>
      <c r="EL141" s="4"/>
      <c r="EM141" s="693"/>
      <c r="EN141" s="723"/>
      <c r="EO141" s="4"/>
      <c r="EP141" s="4"/>
      <c r="EQ141" s="4">
        <v>120</v>
      </c>
      <c r="ER141" s="4"/>
      <c r="ES141" s="4"/>
      <c r="ET141" s="4"/>
      <c r="EU141" s="4"/>
      <c r="EV141" s="4"/>
      <c r="EW141" s="4"/>
      <c r="EX141" s="4"/>
      <c r="EY141" s="654"/>
      <c r="EZ141" s="655"/>
      <c r="FA141" s="4"/>
      <c r="FB141" s="4"/>
      <c r="FC141" s="4"/>
      <c r="FD141" s="4"/>
      <c r="FE141" s="4"/>
      <c r="FF141" s="4"/>
      <c r="FG141" s="4"/>
      <c r="FH141" s="4"/>
      <c r="FI141" s="4"/>
      <c r="FJ141" s="4"/>
      <c r="FK141" s="654"/>
      <c r="FL141" s="655"/>
      <c r="FM141" s="4"/>
      <c r="FN141" s="4"/>
      <c r="FO141" s="4"/>
      <c r="FP141" s="4"/>
      <c r="FQ141" s="4"/>
      <c r="FR141" s="4"/>
      <c r="FS141" s="4"/>
      <c r="FT141" s="4"/>
      <c r="FU141" s="4"/>
      <c r="FV141" s="4"/>
      <c r="FW141" s="654"/>
      <c r="FX141" s="655"/>
      <c r="FY141" s="4"/>
      <c r="FZ141" s="4"/>
      <c r="GA141" s="4"/>
      <c r="GB141" s="4"/>
      <c r="GC141" s="4"/>
      <c r="GD141" s="4"/>
      <c r="GE141" s="4"/>
      <c r="GF141" s="4"/>
      <c r="GG141" s="4"/>
      <c r="GH141" s="4"/>
      <c r="GI141" s="654"/>
      <c r="GJ141" s="655"/>
      <c r="GK141" s="4"/>
      <c r="GL141" s="4"/>
      <c r="GM141" s="4"/>
      <c r="GN141" s="4"/>
      <c r="GO141" s="4"/>
      <c r="GP141" s="4"/>
      <c r="GQ141" s="4"/>
      <c r="GR141" s="4"/>
      <c r="GS141" s="4"/>
      <c r="GT141" s="4"/>
      <c r="GU141" s="722"/>
      <c r="GV141" s="715"/>
    </row>
    <row r="142" spans="1:204" x14ac:dyDescent="0.25">
      <c r="A142" t="s">
        <v>892</v>
      </c>
      <c r="B142" s="2" t="s">
        <v>891</v>
      </c>
      <c r="C142" s="619">
        <v>44571</v>
      </c>
      <c r="D142" s="2" t="s">
        <v>874</v>
      </c>
      <c r="E142" t="s">
        <v>58</v>
      </c>
      <c r="F142" s="2" t="s">
        <v>43</v>
      </c>
      <c r="G142" t="s">
        <v>40</v>
      </c>
      <c r="H142" s="690" t="s">
        <v>84</v>
      </c>
      <c r="I142" s="691" t="s">
        <v>876</v>
      </c>
      <c r="J142" s="721">
        <v>22109465000118</v>
      </c>
      <c r="K142" s="691" t="s">
        <v>43</v>
      </c>
      <c r="L142" s="721">
        <v>3780401000108</v>
      </c>
      <c r="M142" s="718" t="s">
        <v>3</v>
      </c>
      <c r="N142" s="717" t="s">
        <v>44</v>
      </c>
      <c r="O142" s="719">
        <v>44652</v>
      </c>
      <c r="P142" s="720">
        <v>44742</v>
      </c>
      <c r="Q142" s="718">
        <v>140</v>
      </c>
      <c r="R142" s="717">
        <v>2</v>
      </c>
      <c r="S142" s="691" t="s">
        <v>54</v>
      </c>
      <c r="T142" t="s">
        <v>358</v>
      </c>
      <c r="U142" s="673" t="s">
        <v>358</v>
      </c>
      <c r="V142" s="690" t="s">
        <v>358</v>
      </c>
      <c r="W142" s="657" t="s">
        <v>329</v>
      </c>
      <c r="X142" s="723"/>
      <c r="Y142" s="4"/>
      <c r="Z142" s="4"/>
      <c r="AA142" s="4">
        <v>2</v>
      </c>
      <c r="AB142" s="4">
        <v>2</v>
      </c>
      <c r="AC142" s="4">
        <v>2</v>
      </c>
      <c r="AD142" s="4"/>
      <c r="AE142" s="4"/>
      <c r="AF142" s="4"/>
      <c r="AG142" s="4"/>
      <c r="AH142" s="4"/>
      <c r="AI142" s="654"/>
      <c r="AJ142" s="655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654"/>
      <c r="AV142" s="655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654"/>
      <c r="BH142" s="655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654"/>
      <c r="BT142" s="655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693"/>
      <c r="CF142" s="723"/>
      <c r="CG142" s="4"/>
      <c r="CH142" s="4"/>
      <c r="CI142" s="4">
        <v>140</v>
      </c>
      <c r="CJ142" s="4">
        <v>140</v>
      </c>
      <c r="CK142" s="4">
        <v>140</v>
      </c>
      <c r="CL142" s="4"/>
      <c r="CM142" s="4"/>
      <c r="CN142" s="4"/>
      <c r="CO142" s="4"/>
      <c r="CP142" s="4"/>
      <c r="CQ142" s="654"/>
      <c r="CR142" s="655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654"/>
      <c r="DD142" s="655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654"/>
      <c r="DP142" s="655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654"/>
      <c r="EB142" s="655"/>
      <c r="EC142" s="4"/>
      <c r="ED142" s="4"/>
      <c r="EE142" s="4"/>
      <c r="EF142" s="4"/>
      <c r="EG142" s="4"/>
      <c r="EH142" s="4"/>
      <c r="EI142" s="4"/>
      <c r="EJ142" s="4"/>
      <c r="EK142" s="4"/>
      <c r="EL142" s="4"/>
      <c r="EM142" s="693"/>
      <c r="EN142" s="723"/>
      <c r="EO142" s="4"/>
      <c r="EP142" s="4"/>
      <c r="EQ142" s="4">
        <v>140</v>
      </c>
      <c r="ER142" s="4">
        <v>140</v>
      </c>
      <c r="ES142" s="4">
        <v>140</v>
      </c>
      <c r="ET142" s="4"/>
      <c r="EU142" s="4"/>
      <c r="EV142" s="4"/>
      <c r="EW142" s="4"/>
      <c r="EX142" s="4"/>
      <c r="EY142" s="654"/>
      <c r="EZ142" s="655"/>
      <c r="FA142" s="4"/>
      <c r="FB142" s="4"/>
      <c r="FC142" s="4"/>
      <c r="FD142" s="4"/>
      <c r="FE142" s="4"/>
      <c r="FF142" s="4"/>
      <c r="FG142" s="4"/>
      <c r="FH142" s="4"/>
      <c r="FI142" s="4"/>
      <c r="FJ142" s="4"/>
      <c r="FK142" s="654"/>
      <c r="FL142" s="655"/>
      <c r="FM142" s="4"/>
      <c r="FN142" s="4"/>
      <c r="FO142" s="4"/>
      <c r="FP142" s="4"/>
      <c r="FQ142" s="4"/>
      <c r="FR142" s="4"/>
      <c r="FS142" s="4"/>
      <c r="FT142" s="4"/>
      <c r="FU142" s="4"/>
      <c r="FV142" s="4"/>
      <c r="FW142" s="654"/>
      <c r="FX142" s="655"/>
      <c r="FY142" s="4"/>
      <c r="FZ142" s="4"/>
      <c r="GA142" s="4"/>
      <c r="GB142" s="4"/>
      <c r="GC142" s="4"/>
      <c r="GD142" s="4"/>
      <c r="GE142" s="4"/>
      <c r="GF142" s="4"/>
      <c r="GG142" s="4"/>
      <c r="GH142" s="4"/>
      <c r="GI142" s="654"/>
      <c r="GJ142" s="655"/>
      <c r="GK142" s="4"/>
      <c r="GL142" s="4"/>
      <c r="GM142" s="4"/>
      <c r="GN142" s="4"/>
      <c r="GO142" s="4"/>
      <c r="GP142" s="4"/>
      <c r="GQ142" s="4"/>
      <c r="GR142" s="4"/>
      <c r="GS142" s="4"/>
      <c r="GT142" s="4"/>
      <c r="GU142" s="722"/>
      <c r="GV142" s="715"/>
    </row>
    <row r="143" spans="1:204" x14ac:dyDescent="0.25">
      <c r="A143" t="s">
        <v>904</v>
      </c>
      <c r="B143" s="2" t="s">
        <v>903</v>
      </c>
      <c r="C143" s="619">
        <v>44572</v>
      </c>
      <c r="D143" s="2" t="s">
        <v>893</v>
      </c>
      <c r="E143" t="s">
        <v>59</v>
      </c>
      <c r="F143" s="2" t="s">
        <v>43</v>
      </c>
      <c r="G143" t="s">
        <v>40</v>
      </c>
      <c r="H143" s="690" t="s">
        <v>85</v>
      </c>
      <c r="I143" s="691" t="s">
        <v>43</v>
      </c>
      <c r="J143" s="721">
        <v>3780401000108</v>
      </c>
      <c r="K143" s="691" t="s">
        <v>469</v>
      </c>
      <c r="L143" s="721">
        <v>9495582000107</v>
      </c>
      <c r="M143" s="718" t="s">
        <v>3</v>
      </c>
      <c r="N143" s="717" t="s">
        <v>44</v>
      </c>
      <c r="O143" s="719">
        <v>44621</v>
      </c>
      <c r="P143" s="720">
        <v>44651</v>
      </c>
      <c r="Q143" s="718">
        <v>117</v>
      </c>
      <c r="R143" s="717">
        <v>2</v>
      </c>
      <c r="S143" s="691" t="s">
        <v>54</v>
      </c>
      <c r="T143" t="s">
        <v>358</v>
      </c>
      <c r="U143" s="673" t="s">
        <v>358</v>
      </c>
      <c r="V143" s="690" t="s">
        <v>358</v>
      </c>
      <c r="W143" s="657" t="s">
        <v>329</v>
      </c>
      <c r="X143" s="723"/>
      <c r="Y143" s="4"/>
      <c r="Z143" s="4">
        <v>2</v>
      </c>
      <c r="AA143" s="4"/>
      <c r="AB143" s="4"/>
      <c r="AC143" s="4"/>
      <c r="AD143" s="4"/>
      <c r="AE143" s="4"/>
      <c r="AF143" s="4"/>
      <c r="AG143" s="4"/>
      <c r="AH143" s="4"/>
      <c r="AI143" s="654"/>
      <c r="AJ143" s="655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654"/>
      <c r="AV143" s="655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654"/>
      <c r="BH143" s="655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654"/>
      <c r="BT143" s="655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693"/>
      <c r="CF143" s="723"/>
      <c r="CG143" s="4"/>
      <c r="CH143" s="4">
        <v>117</v>
      </c>
      <c r="CI143" s="4"/>
      <c r="CJ143" s="4"/>
      <c r="CK143" s="4"/>
      <c r="CL143" s="4"/>
      <c r="CM143" s="4"/>
      <c r="CN143" s="4"/>
      <c r="CO143" s="4"/>
      <c r="CP143" s="4"/>
      <c r="CQ143" s="654"/>
      <c r="CR143" s="655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654"/>
      <c r="DD143" s="655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654"/>
      <c r="DP143" s="655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654"/>
      <c r="EB143" s="655"/>
      <c r="EC143" s="4"/>
      <c r="ED143" s="4"/>
      <c r="EE143" s="4"/>
      <c r="EF143" s="4"/>
      <c r="EG143" s="4"/>
      <c r="EH143" s="4"/>
      <c r="EI143" s="4"/>
      <c r="EJ143" s="4"/>
      <c r="EK143" s="4"/>
      <c r="EL143" s="4"/>
      <c r="EM143" s="693"/>
      <c r="EN143" s="723"/>
      <c r="EO143" s="4"/>
      <c r="EP143" s="4">
        <v>117</v>
      </c>
      <c r="EQ143" s="4"/>
      <c r="ER143" s="4"/>
      <c r="ES143" s="4"/>
      <c r="ET143" s="4"/>
      <c r="EU143" s="4"/>
      <c r="EV143" s="4"/>
      <c r="EW143" s="4"/>
      <c r="EX143" s="4"/>
      <c r="EY143" s="654"/>
      <c r="EZ143" s="655"/>
      <c r="FA143" s="4"/>
      <c r="FB143" s="4"/>
      <c r="FC143" s="4"/>
      <c r="FD143" s="4"/>
      <c r="FE143" s="4"/>
      <c r="FF143" s="4"/>
      <c r="FG143" s="4"/>
      <c r="FH143" s="4"/>
      <c r="FI143" s="4"/>
      <c r="FJ143" s="4"/>
      <c r="FK143" s="654"/>
      <c r="FL143" s="655"/>
      <c r="FM143" s="4"/>
      <c r="FN143" s="4"/>
      <c r="FO143" s="4"/>
      <c r="FP143" s="4"/>
      <c r="FQ143" s="4"/>
      <c r="FR143" s="4"/>
      <c r="FS143" s="4"/>
      <c r="FT143" s="4"/>
      <c r="FU143" s="4"/>
      <c r="FV143" s="4"/>
      <c r="FW143" s="654"/>
      <c r="FX143" s="655"/>
      <c r="FY143" s="4"/>
      <c r="FZ143" s="4"/>
      <c r="GA143" s="4"/>
      <c r="GB143" s="4"/>
      <c r="GC143" s="4"/>
      <c r="GD143" s="4"/>
      <c r="GE143" s="4"/>
      <c r="GF143" s="4"/>
      <c r="GG143" s="4"/>
      <c r="GH143" s="4"/>
      <c r="GI143" s="654"/>
      <c r="GJ143" s="655"/>
      <c r="GK143" s="4"/>
      <c r="GL143" s="4"/>
      <c r="GM143" s="4"/>
      <c r="GN143" s="4"/>
      <c r="GO143" s="4"/>
      <c r="GP143" s="4"/>
      <c r="GQ143" s="4"/>
      <c r="GR143" s="4"/>
      <c r="GS143" s="4"/>
      <c r="GT143" s="4"/>
      <c r="GU143" s="722"/>
      <c r="GV143" s="715"/>
    </row>
    <row r="144" spans="1:204" x14ac:dyDescent="0.25">
      <c r="A144" t="s">
        <v>906</v>
      </c>
      <c r="B144" s="2" t="s">
        <v>905</v>
      </c>
      <c r="C144" s="619">
        <v>44572</v>
      </c>
      <c r="D144" s="2" t="s">
        <v>894</v>
      </c>
      <c r="E144" t="s">
        <v>59</v>
      </c>
      <c r="F144" s="2" t="s">
        <v>43</v>
      </c>
      <c r="G144" t="s">
        <v>40</v>
      </c>
      <c r="H144" s="690" t="s">
        <v>85</v>
      </c>
      <c r="I144" s="691" t="s">
        <v>43</v>
      </c>
      <c r="J144" s="721">
        <v>3780401000108</v>
      </c>
      <c r="K144" s="691" t="s">
        <v>474</v>
      </c>
      <c r="L144" s="721">
        <v>30483222000173</v>
      </c>
      <c r="M144" s="718" t="s">
        <v>3</v>
      </c>
      <c r="N144" s="717" t="s">
        <v>44</v>
      </c>
      <c r="O144" s="719">
        <v>44652</v>
      </c>
      <c r="P144" s="720">
        <v>44681</v>
      </c>
      <c r="Q144" s="718">
        <v>115.5</v>
      </c>
      <c r="R144" s="717">
        <v>3</v>
      </c>
      <c r="S144" s="691" t="s">
        <v>54</v>
      </c>
      <c r="T144" t="s">
        <v>358</v>
      </c>
      <c r="U144" s="673" t="s">
        <v>358</v>
      </c>
      <c r="V144" s="690" t="s">
        <v>358</v>
      </c>
      <c r="W144" s="657" t="s">
        <v>329</v>
      </c>
      <c r="X144" s="723"/>
      <c r="Y144" s="4"/>
      <c r="Z144" s="4"/>
      <c r="AA144" s="4">
        <v>3</v>
      </c>
      <c r="AB144" s="4"/>
      <c r="AC144" s="4"/>
      <c r="AD144" s="4"/>
      <c r="AE144" s="4"/>
      <c r="AF144" s="4"/>
      <c r="AG144" s="4"/>
      <c r="AH144" s="4"/>
      <c r="AI144" s="654"/>
      <c r="AJ144" s="655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654"/>
      <c r="AV144" s="655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654"/>
      <c r="BH144" s="655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654"/>
      <c r="BT144" s="655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693"/>
      <c r="CF144" s="723"/>
      <c r="CG144" s="4"/>
      <c r="CH144" s="4"/>
      <c r="CI144" s="4">
        <v>115.5</v>
      </c>
      <c r="CJ144" s="4"/>
      <c r="CK144" s="4"/>
      <c r="CL144" s="4"/>
      <c r="CM144" s="4"/>
      <c r="CN144" s="4"/>
      <c r="CO144" s="4"/>
      <c r="CP144" s="4"/>
      <c r="CQ144" s="654"/>
      <c r="CR144" s="655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654"/>
      <c r="DD144" s="655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654"/>
      <c r="DP144" s="655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654"/>
      <c r="EB144" s="655"/>
      <c r="EC144" s="4"/>
      <c r="ED144" s="4"/>
      <c r="EE144" s="4"/>
      <c r="EF144" s="4"/>
      <c r="EG144" s="4"/>
      <c r="EH144" s="4"/>
      <c r="EI144" s="4"/>
      <c r="EJ144" s="4"/>
      <c r="EK144" s="4"/>
      <c r="EL144" s="4"/>
      <c r="EM144" s="693"/>
      <c r="EN144" s="723"/>
      <c r="EO144" s="4"/>
      <c r="EP144" s="4"/>
      <c r="EQ144" s="4">
        <v>115.5</v>
      </c>
      <c r="ER144" s="4"/>
      <c r="ES144" s="4"/>
      <c r="ET144" s="4"/>
      <c r="EU144" s="4"/>
      <c r="EV144" s="4"/>
      <c r="EW144" s="4"/>
      <c r="EX144" s="4"/>
      <c r="EY144" s="654"/>
      <c r="EZ144" s="655"/>
      <c r="FA144" s="4"/>
      <c r="FB144" s="4"/>
      <c r="FC144" s="4"/>
      <c r="FD144" s="4"/>
      <c r="FE144" s="4"/>
      <c r="FF144" s="4"/>
      <c r="FG144" s="4"/>
      <c r="FH144" s="4"/>
      <c r="FI144" s="4"/>
      <c r="FJ144" s="4"/>
      <c r="FK144" s="654"/>
      <c r="FL144" s="655"/>
      <c r="FM144" s="4"/>
      <c r="FN144" s="4"/>
      <c r="FO144" s="4"/>
      <c r="FP144" s="4"/>
      <c r="FQ144" s="4"/>
      <c r="FR144" s="4"/>
      <c r="FS144" s="4"/>
      <c r="FT144" s="4"/>
      <c r="FU144" s="4"/>
      <c r="FV144" s="4"/>
      <c r="FW144" s="654"/>
      <c r="FX144" s="655"/>
      <c r="FY144" s="4"/>
      <c r="FZ144" s="4"/>
      <c r="GA144" s="4"/>
      <c r="GB144" s="4"/>
      <c r="GC144" s="4"/>
      <c r="GD144" s="4"/>
      <c r="GE144" s="4"/>
      <c r="GF144" s="4"/>
      <c r="GG144" s="4"/>
      <c r="GH144" s="4"/>
      <c r="GI144" s="654"/>
      <c r="GJ144" s="655"/>
      <c r="GK144" s="4"/>
      <c r="GL144" s="4"/>
      <c r="GM144" s="4"/>
      <c r="GN144" s="4"/>
      <c r="GO144" s="4"/>
      <c r="GP144" s="4"/>
      <c r="GQ144" s="4"/>
      <c r="GR144" s="4"/>
      <c r="GS144" s="4"/>
      <c r="GT144" s="4"/>
      <c r="GU144" s="722"/>
      <c r="GV144" s="715"/>
    </row>
    <row r="145" spans="1:204" x14ac:dyDescent="0.25">
      <c r="A145" t="s">
        <v>908</v>
      </c>
      <c r="B145" s="2" t="s">
        <v>907</v>
      </c>
      <c r="C145" s="619">
        <v>44572</v>
      </c>
      <c r="D145" s="2" t="s">
        <v>895</v>
      </c>
      <c r="E145" t="s">
        <v>59</v>
      </c>
      <c r="F145" s="2" t="s">
        <v>43</v>
      </c>
      <c r="G145" t="s">
        <v>40</v>
      </c>
      <c r="H145" s="690" t="s">
        <v>85</v>
      </c>
      <c r="I145" s="691" t="s">
        <v>43</v>
      </c>
      <c r="J145" s="721">
        <v>3780401000108</v>
      </c>
      <c r="K145" s="691" t="s">
        <v>902</v>
      </c>
      <c r="L145" s="721">
        <v>34475373000130</v>
      </c>
      <c r="M145" s="718" t="s">
        <v>3</v>
      </c>
      <c r="N145" s="717" t="s">
        <v>44</v>
      </c>
      <c r="O145" s="719">
        <v>44562</v>
      </c>
      <c r="P145" s="720">
        <v>44592</v>
      </c>
      <c r="Q145" s="718">
        <v>68.2</v>
      </c>
      <c r="R145" s="717">
        <v>1.6</v>
      </c>
      <c r="S145" s="691" t="s">
        <v>54</v>
      </c>
      <c r="T145" t="s">
        <v>358</v>
      </c>
      <c r="U145" s="673" t="s">
        <v>358</v>
      </c>
      <c r="V145" s="690" t="s">
        <v>358</v>
      </c>
      <c r="W145" s="657" t="s">
        <v>329</v>
      </c>
      <c r="X145" s="723">
        <v>1.6</v>
      </c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654"/>
      <c r="AJ145" s="655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654"/>
      <c r="AV145" s="655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654"/>
      <c r="BH145" s="655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654"/>
      <c r="BT145" s="655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693"/>
      <c r="CF145" s="723">
        <v>68.2</v>
      </c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654"/>
      <c r="CR145" s="655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654"/>
      <c r="DD145" s="655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654"/>
      <c r="DP145" s="655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654"/>
      <c r="EB145" s="655"/>
      <c r="EC145" s="4"/>
      <c r="ED145" s="4"/>
      <c r="EE145" s="4"/>
      <c r="EF145" s="4"/>
      <c r="EG145" s="4"/>
      <c r="EH145" s="4"/>
      <c r="EI145" s="4"/>
      <c r="EJ145" s="4"/>
      <c r="EK145" s="4"/>
      <c r="EL145" s="4"/>
      <c r="EM145" s="693"/>
      <c r="EN145" s="723">
        <v>68.2</v>
      </c>
      <c r="EO145" s="4"/>
      <c r="EP145" s="4"/>
      <c r="EQ145" s="4"/>
      <c r="ER145" s="4"/>
      <c r="ES145" s="4"/>
      <c r="ET145" s="4"/>
      <c r="EU145" s="4"/>
      <c r="EV145" s="4"/>
      <c r="EW145" s="4"/>
      <c r="EX145" s="4"/>
      <c r="EY145" s="654"/>
      <c r="EZ145" s="655"/>
      <c r="FA145" s="4"/>
      <c r="FB145" s="4"/>
      <c r="FC145" s="4"/>
      <c r="FD145" s="4"/>
      <c r="FE145" s="4"/>
      <c r="FF145" s="4"/>
      <c r="FG145" s="4"/>
      <c r="FH145" s="4"/>
      <c r="FI145" s="4"/>
      <c r="FJ145" s="4"/>
      <c r="FK145" s="654"/>
      <c r="FL145" s="655"/>
      <c r="FM145" s="4"/>
      <c r="FN145" s="4"/>
      <c r="FO145" s="4"/>
      <c r="FP145" s="4"/>
      <c r="FQ145" s="4"/>
      <c r="FR145" s="4"/>
      <c r="FS145" s="4"/>
      <c r="FT145" s="4"/>
      <c r="FU145" s="4"/>
      <c r="FV145" s="4"/>
      <c r="FW145" s="654"/>
      <c r="FX145" s="655"/>
      <c r="FY145" s="4"/>
      <c r="FZ145" s="4"/>
      <c r="GA145" s="4"/>
      <c r="GB145" s="4"/>
      <c r="GC145" s="4"/>
      <c r="GD145" s="4"/>
      <c r="GE145" s="4"/>
      <c r="GF145" s="4"/>
      <c r="GG145" s="4"/>
      <c r="GH145" s="4"/>
      <c r="GI145" s="654"/>
      <c r="GJ145" s="655"/>
      <c r="GK145" s="4"/>
      <c r="GL145" s="4"/>
      <c r="GM145" s="4"/>
      <c r="GN145" s="4"/>
      <c r="GO145" s="4"/>
      <c r="GP145" s="4"/>
      <c r="GQ145" s="4"/>
      <c r="GR145" s="4"/>
      <c r="GS145" s="4"/>
      <c r="GT145" s="4"/>
      <c r="GU145" s="722"/>
      <c r="GV145" s="715"/>
    </row>
    <row r="146" spans="1:204" x14ac:dyDescent="0.25">
      <c r="A146" t="s">
        <v>910</v>
      </c>
      <c r="B146" s="2" t="s">
        <v>909</v>
      </c>
      <c r="C146" s="619">
        <v>44572</v>
      </c>
      <c r="D146" s="2" t="s">
        <v>896</v>
      </c>
      <c r="E146" t="s">
        <v>58</v>
      </c>
      <c r="F146" s="2" t="s">
        <v>43</v>
      </c>
      <c r="G146" t="s">
        <v>40</v>
      </c>
      <c r="H146" s="690" t="s">
        <v>84</v>
      </c>
      <c r="I146" s="691" t="s">
        <v>475</v>
      </c>
      <c r="J146" s="721">
        <v>27796415000170</v>
      </c>
      <c r="K146" s="691" t="s">
        <v>43</v>
      </c>
      <c r="L146" s="721">
        <v>3780401000108</v>
      </c>
      <c r="M146" s="718" t="s">
        <v>3</v>
      </c>
      <c r="N146" s="717" t="s">
        <v>44</v>
      </c>
      <c r="O146" s="719">
        <v>44652</v>
      </c>
      <c r="P146" s="720">
        <v>44742</v>
      </c>
      <c r="Q146" s="718">
        <v>140</v>
      </c>
      <c r="R146" s="717">
        <v>5</v>
      </c>
      <c r="S146" s="691" t="s">
        <v>54</v>
      </c>
      <c r="T146" t="s">
        <v>358</v>
      </c>
      <c r="U146" s="673" t="s">
        <v>358</v>
      </c>
      <c r="V146" s="690" t="s">
        <v>358</v>
      </c>
      <c r="W146" s="657" t="s">
        <v>329</v>
      </c>
      <c r="X146" s="723"/>
      <c r="Y146" s="4"/>
      <c r="Z146" s="4"/>
      <c r="AA146" s="4">
        <v>5</v>
      </c>
      <c r="AB146" s="4">
        <v>5</v>
      </c>
      <c r="AC146" s="4">
        <v>5</v>
      </c>
      <c r="AD146" s="4"/>
      <c r="AE146" s="4"/>
      <c r="AF146" s="4"/>
      <c r="AG146" s="4"/>
      <c r="AH146" s="4"/>
      <c r="AI146" s="654"/>
      <c r="AJ146" s="655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654"/>
      <c r="AV146" s="655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654"/>
      <c r="BH146" s="655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654"/>
      <c r="BT146" s="655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693"/>
      <c r="CF146" s="723"/>
      <c r="CG146" s="4"/>
      <c r="CH146" s="4"/>
      <c r="CI146" s="4">
        <v>140</v>
      </c>
      <c r="CJ146" s="4">
        <v>140</v>
      </c>
      <c r="CK146" s="4">
        <v>140</v>
      </c>
      <c r="CL146" s="4"/>
      <c r="CM146" s="4"/>
      <c r="CN146" s="4"/>
      <c r="CO146" s="4"/>
      <c r="CP146" s="4"/>
      <c r="CQ146" s="654"/>
      <c r="CR146" s="655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654"/>
      <c r="DD146" s="655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654"/>
      <c r="DP146" s="655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654"/>
      <c r="EB146" s="655"/>
      <c r="EC146" s="4"/>
      <c r="ED146" s="4"/>
      <c r="EE146" s="4"/>
      <c r="EF146" s="4"/>
      <c r="EG146" s="4"/>
      <c r="EH146" s="4"/>
      <c r="EI146" s="4"/>
      <c r="EJ146" s="4"/>
      <c r="EK146" s="4"/>
      <c r="EL146" s="4"/>
      <c r="EM146" s="693"/>
      <c r="EN146" s="723"/>
      <c r="EO146" s="4"/>
      <c r="EP146" s="4"/>
      <c r="EQ146" s="4">
        <v>140</v>
      </c>
      <c r="ER146" s="4">
        <v>140</v>
      </c>
      <c r="ES146" s="4">
        <v>140</v>
      </c>
      <c r="ET146" s="4"/>
      <c r="EU146" s="4"/>
      <c r="EV146" s="4"/>
      <c r="EW146" s="4"/>
      <c r="EX146" s="4"/>
      <c r="EY146" s="654"/>
      <c r="EZ146" s="655"/>
      <c r="FA146" s="4"/>
      <c r="FB146" s="4"/>
      <c r="FC146" s="4"/>
      <c r="FD146" s="4"/>
      <c r="FE146" s="4"/>
      <c r="FF146" s="4"/>
      <c r="FG146" s="4"/>
      <c r="FH146" s="4"/>
      <c r="FI146" s="4"/>
      <c r="FJ146" s="4"/>
      <c r="FK146" s="654"/>
      <c r="FL146" s="655"/>
      <c r="FM146" s="4"/>
      <c r="FN146" s="4"/>
      <c r="FO146" s="4"/>
      <c r="FP146" s="4"/>
      <c r="FQ146" s="4"/>
      <c r="FR146" s="4"/>
      <c r="FS146" s="4"/>
      <c r="FT146" s="4"/>
      <c r="FU146" s="4"/>
      <c r="FV146" s="4"/>
      <c r="FW146" s="654"/>
      <c r="FX146" s="655"/>
      <c r="FY146" s="4"/>
      <c r="FZ146" s="4"/>
      <c r="GA146" s="4"/>
      <c r="GB146" s="4"/>
      <c r="GC146" s="4"/>
      <c r="GD146" s="4"/>
      <c r="GE146" s="4"/>
      <c r="GF146" s="4"/>
      <c r="GG146" s="4"/>
      <c r="GH146" s="4"/>
      <c r="GI146" s="654"/>
      <c r="GJ146" s="655"/>
      <c r="GK146" s="4"/>
      <c r="GL146" s="4"/>
      <c r="GM146" s="4"/>
      <c r="GN146" s="4"/>
      <c r="GO146" s="4"/>
      <c r="GP146" s="4"/>
      <c r="GQ146" s="4"/>
      <c r="GR146" s="4"/>
      <c r="GS146" s="4"/>
      <c r="GT146" s="4"/>
      <c r="GU146" s="722"/>
      <c r="GV146" s="715"/>
    </row>
    <row r="147" spans="1:204" x14ac:dyDescent="0.25">
      <c r="A147" t="s">
        <v>912</v>
      </c>
      <c r="B147" s="2" t="s">
        <v>911</v>
      </c>
      <c r="C147" s="619">
        <v>44572</v>
      </c>
      <c r="D147" s="2" t="s">
        <v>897</v>
      </c>
      <c r="E147" t="s">
        <v>59</v>
      </c>
      <c r="F147" s="2" t="s">
        <v>43</v>
      </c>
      <c r="G147" t="s">
        <v>40</v>
      </c>
      <c r="H147" s="690" t="s">
        <v>85</v>
      </c>
      <c r="I147" s="691" t="s">
        <v>43</v>
      </c>
      <c r="J147" s="721">
        <v>3780401000108</v>
      </c>
      <c r="K147" s="691" t="s">
        <v>585</v>
      </c>
      <c r="L147" s="721">
        <v>33933760000100</v>
      </c>
      <c r="M147" s="718" t="s">
        <v>3</v>
      </c>
      <c r="N147" s="717" t="s">
        <v>44</v>
      </c>
      <c r="O147" s="719">
        <v>44652</v>
      </c>
      <c r="P147" s="720">
        <v>44681</v>
      </c>
      <c r="Q147" s="718">
        <v>120</v>
      </c>
      <c r="R147" s="717">
        <v>5</v>
      </c>
      <c r="S147" s="691" t="s">
        <v>54</v>
      </c>
      <c r="T147" t="s">
        <v>358</v>
      </c>
      <c r="U147" s="673" t="s">
        <v>358</v>
      </c>
      <c r="V147" s="690" t="s">
        <v>358</v>
      </c>
      <c r="W147" s="657" t="s">
        <v>329</v>
      </c>
      <c r="X147" s="723"/>
      <c r="Y147" s="4"/>
      <c r="Z147" s="4"/>
      <c r="AA147" s="4">
        <v>5</v>
      </c>
      <c r="AB147" s="4"/>
      <c r="AC147" s="4"/>
      <c r="AD147" s="4"/>
      <c r="AE147" s="4"/>
      <c r="AF147" s="4"/>
      <c r="AG147" s="4"/>
      <c r="AH147" s="4"/>
      <c r="AI147" s="654"/>
      <c r="AJ147" s="655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654"/>
      <c r="AV147" s="655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654"/>
      <c r="BH147" s="655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654"/>
      <c r="BT147" s="655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693"/>
      <c r="CF147" s="723"/>
      <c r="CG147" s="4"/>
      <c r="CH147" s="4"/>
      <c r="CI147" s="4">
        <v>120</v>
      </c>
      <c r="CJ147" s="4"/>
      <c r="CK147" s="4"/>
      <c r="CL147" s="4"/>
      <c r="CM147" s="4"/>
      <c r="CN147" s="4"/>
      <c r="CO147" s="4"/>
      <c r="CP147" s="4"/>
      <c r="CQ147" s="654"/>
      <c r="CR147" s="655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654"/>
      <c r="DD147" s="655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654"/>
      <c r="DP147" s="655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654"/>
      <c r="EB147" s="655"/>
      <c r="EC147" s="4"/>
      <c r="ED147" s="4"/>
      <c r="EE147" s="4"/>
      <c r="EF147" s="4"/>
      <c r="EG147" s="4"/>
      <c r="EH147" s="4"/>
      <c r="EI147" s="4"/>
      <c r="EJ147" s="4"/>
      <c r="EK147" s="4"/>
      <c r="EL147" s="4"/>
      <c r="EM147" s="693"/>
      <c r="EN147" s="723"/>
      <c r="EO147" s="4"/>
      <c r="EP147" s="4"/>
      <c r="EQ147" s="4">
        <v>120</v>
      </c>
      <c r="ER147" s="4"/>
      <c r="ES147" s="4"/>
      <c r="ET147" s="4"/>
      <c r="EU147" s="4"/>
      <c r="EV147" s="4"/>
      <c r="EW147" s="4"/>
      <c r="EX147" s="4"/>
      <c r="EY147" s="654"/>
      <c r="EZ147" s="655"/>
      <c r="FA147" s="4"/>
      <c r="FB147" s="4"/>
      <c r="FC147" s="4"/>
      <c r="FD147" s="4"/>
      <c r="FE147" s="4"/>
      <c r="FF147" s="4"/>
      <c r="FG147" s="4"/>
      <c r="FH147" s="4"/>
      <c r="FI147" s="4"/>
      <c r="FJ147" s="4"/>
      <c r="FK147" s="654"/>
      <c r="FL147" s="655"/>
      <c r="FM147" s="4"/>
      <c r="FN147" s="4"/>
      <c r="FO147" s="4"/>
      <c r="FP147" s="4"/>
      <c r="FQ147" s="4"/>
      <c r="FR147" s="4"/>
      <c r="FS147" s="4"/>
      <c r="FT147" s="4"/>
      <c r="FU147" s="4"/>
      <c r="FV147" s="4"/>
      <c r="FW147" s="654"/>
      <c r="FX147" s="655"/>
      <c r="FY147" s="4"/>
      <c r="FZ147" s="4"/>
      <c r="GA147" s="4"/>
      <c r="GB147" s="4"/>
      <c r="GC147" s="4"/>
      <c r="GD147" s="4"/>
      <c r="GE147" s="4"/>
      <c r="GF147" s="4"/>
      <c r="GG147" s="4"/>
      <c r="GH147" s="4"/>
      <c r="GI147" s="654"/>
      <c r="GJ147" s="655"/>
      <c r="GK147" s="4"/>
      <c r="GL147" s="4"/>
      <c r="GM147" s="4"/>
      <c r="GN147" s="4"/>
      <c r="GO147" s="4"/>
      <c r="GP147" s="4"/>
      <c r="GQ147" s="4"/>
      <c r="GR147" s="4"/>
      <c r="GS147" s="4"/>
      <c r="GT147" s="4"/>
      <c r="GU147" s="722"/>
      <c r="GV147" s="715"/>
    </row>
    <row r="148" spans="1:204" x14ac:dyDescent="0.25">
      <c r="A148" t="s">
        <v>914</v>
      </c>
      <c r="B148" s="2" t="s">
        <v>913</v>
      </c>
      <c r="C148" s="619">
        <v>44572</v>
      </c>
      <c r="D148" s="2" t="s">
        <v>898</v>
      </c>
      <c r="E148" t="s">
        <v>59</v>
      </c>
      <c r="F148" s="2" t="s">
        <v>43</v>
      </c>
      <c r="G148" t="s">
        <v>40</v>
      </c>
      <c r="H148" s="690" t="s">
        <v>85</v>
      </c>
      <c r="I148" s="691" t="s">
        <v>43</v>
      </c>
      <c r="J148" s="721">
        <v>3780401000108</v>
      </c>
      <c r="K148" s="691" t="s">
        <v>585</v>
      </c>
      <c r="L148" s="721">
        <v>33933760000100</v>
      </c>
      <c r="M148" s="718" t="s">
        <v>3</v>
      </c>
      <c r="N148" s="717" t="s">
        <v>44</v>
      </c>
      <c r="O148" s="719">
        <v>44682</v>
      </c>
      <c r="P148" s="720">
        <v>44712</v>
      </c>
      <c r="Q148" s="718">
        <v>132</v>
      </c>
      <c r="R148" s="717">
        <v>5</v>
      </c>
      <c r="S148" s="691" t="s">
        <v>54</v>
      </c>
      <c r="T148" t="s">
        <v>358</v>
      </c>
      <c r="U148" s="673" t="s">
        <v>358</v>
      </c>
      <c r="V148" s="690" t="s">
        <v>358</v>
      </c>
      <c r="W148" s="657" t="s">
        <v>329</v>
      </c>
      <c r="X148" s="723"/>
      <c r="Y148" s="4"/>
      <c r="Z148" s="4"/>
      <c r="AA148" s="4"/>
      <c r="AB148" s="4">
        <v>5</v>
      </c>
      <c r="AC148" s="4"/>
      <c r="AD148" s="4"/>
      <c r="AE148" s="4"/>
      <c r="AF148" s="4"/>
      <c r="AG148" s="4"/>
      <c r="AH148" s="4"/>
      <c r="AI148" s="654"/>
      <c r="AJ148" s="655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654"/>
      <c r="AV148" s="655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654"/>
      <c r="BH148" s="655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654"/>
      <c r="BT148" s="655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693"/>
      <c r="CF148" s="723"/>
      <c r="CG148" s="4"/>
      <c r="CH148" s="4"/>
      <c r="CI148" s="4"/>
      <c r="CJ148" s="4">
        <v>132</v>
      </c>
      <c r="CK148" s="4"/>
      <c r="CL148" s="4"/>
      <c r="CM148" s="4"/>
      <c r="CN148" s="4"/>
      <c r="CO148" s="4"/>
      <c r="CP148" s="4"/>
      <c r="CQ148" s="654"/>
      <c r="CR148" s="655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654"/>
      <c r="DD148" s="655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654"/>
      <c r="DP148" s="655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654"/>
      <c r="EB148" s="655"/>
      <c r="EC148" s="4"/>
      <c r="ED148" s="4"/>
      <c r="EE148" s="4"/>
      <c r="EF148" s="4"/>
      <c r="EG148" s="4"/>
      <c r="EH148" s="4"/>
      <c r="EI148" s="4"/>
      <c r="EJ148" s="4"/>
      <c r="EK148" s="4"/>
      <c r="EL148" s="4"/>
      <c r="EM148" s="693"/>
      <c r="EN148" s="723"/>
      <c r="EO148" s="4"/>
      <c r="EP148" s="4"/>
      <c r="EQ148" s="4"/>
      <c r="ER148" s="4">
        <v>132</v>
      </c>
      <c r="ES148" s="4"/>
      <c r="ET148" s="4"/>
      <c r="EU148" s="4"/>
      <c r="EV148" s="4"/>
      <c r="EW148" s="4"/>
      <c r="EX148" s="4"/>
      <c r="EY148" s="654"/>
      <c r="EZ148" s="655"/>
      <c r="FA148" s="4"/>
      <c r="FB148" s="4"/>
      <c r="FC148" s="4"/>
      <c r="FD148" s="4"/>
      <c r="FE148" s="4"/>
      <c r="FF148" s="4"/>
      <c r="FG148" s="4"/>
      <c r="FH148" s="4"/>
      <c r="FI148" s="4"/>
      <c r="FJ148" s="4"/>
      <c r="FK148" s="654"/>
      <c r="FL148" s="655"/>
      <c r="FM148" s="4"/>
      <c r="FN148" s="4"/>
      <c r="FO148" s="4"/>
      <c r="FP148" s="4"/>
      <c r="FQ148" s="4"/>
      <c r="FR148" s="4"/>
      <c r="FS148" s="4"/>
      <c r="FT148" s="4"/>
      <c r="FU148" s="4"/>
      <c r="FV148" s="4"/>
      <c r="FW148" s="654"/>
      <c r="FX148" s="655"/>
      <c r="FY148" s="4"/>
      <c r="FZ148" s="4"/>
      <c r="GA148" s="4"/>
      <c r="GB148" s="4"/>
      <c r="GC148" s="4"/>
      <c r="GD148" s="4"/>
      <c r="GE148" s="4"/>
      <c r="GF148" s="4"/>
      <c r="GG148" s="4"/>
      <c r="GH148" s="4"/>
      <c r="GI148" s="654"/>
      <c r="GJ148" s="655"/>
      <c r="GK148" s="4"/>
      <c r="GL148" s="4"/>
      <c r="GM148" s="4"/>
      <c r="GN148" s="4"/>
      <c r="GO148" s="4"/>
      <c r="GP148" s="4"/>
      <c r="GQ148" s="4"/>
      <c r="GR148" s="4"/>
      <c r="GS148" s="4"/>
      <c r="GT148" s="4"/>
      <c r="GU148" s="722"/>
      <c r="GV148" s="715"/>
    </row>
    <row r="149" spans="1:204" x14ac:dyDescent="0.25">
      <c r="A149" t="s">
        <v>916</v>
      </c>
      <c r="B149" s="2" t="s">
        <v>915</v>
      </c>
      <c r="C149" s="619">
        <v>44572</v>
      </c>
      <c r="D149" s="2" t="s">
        <v>899</v>
      </c>
      <c r="E149" t="s">
        <v>58</v>
      </c>
      <c r="F149" s="2" t="s">
        <v>43</v>
      </c>
      <c r="G149" t="s">
        <v>40</v>
      </c>
      <c r="H149" s="690" t="s">
        <v>84</v>
      </c>
      <c r="I149" s="691" t="s">
        <v>466</v>
      </c>
      <c r="J149" s="721">
        <v>26940979000171</v>
      </c>
      <c r="K149" s="691" t="s">
        <v>43</v>
      </c>
      <c r="L149" s="721">
        <v>3780401000108</v>
      </c>
      <c r="M149" s="718" t="s">
        <v>3</v>
      </c>
      <c r="N149" s="717" t="s">
        <v>44</v>
      </c>
      <c r="O149" s="719">
        <v>44593</v>
      </c>
      <c r="P149" s="720">
        <v>44620</v>
      </c>
      <c r="Q149" s="718">
        <v>94</v>
      </c>
      <c r="R149" s="717">
        <v>1.3</v>
      </c>
      <c r="S149" s="691" t="s">
        <v>54</v>
      </c>
      <c r="T149" t="s">
        <v>358</v>
      </c>
      <c r="U149" s="673" t="s">
        <v>358</v>
      </c>
      <c r="V149" s="690" t="s">
        <v>358</v>
      </c>
      <c r="W149" s="657" t="s">
        <v>329</v>
      </c>
      <c r="X149" s="723"/>
      <c r="Y149" s="4">
        <v>1.3</v>
      </c>
      <c r="Z149" s="4"/>
      <c r="AA149" s="4"/>
      <c r="AB149" s="4"/>
      <c r="AC149" s="4"/>
      <c r="AD149" s="4"/>
      <c r="AE149" s="4"/>
      <c r="AF149" s="4"/>
      <c r="AG149" s="4"/>
      <c r="AH149" s="4"/>
      <c r="AI149" s="654"/>
      <c r="AJ149" s="655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654"/>
      <c r="AV149" s="655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654"/>
      <c r="BH149" s="655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654"/>
      <c r="BT149" s="655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693"/>
      <c r="CF149" s="723"/>
      <c r="CG149" s="4">
        <v>94</v>
      </c>
      <c r="CH149" s="4"/>
      <c r="CI149" s="4"/>
      <c r="CJ149" s="4"/>
      <c r="CK149" s="4"/>
      <c r="CL149" s="4"/>
      <c r="CM149" s="4"/>
      <c r="CN149" s="4"/>
      <c r="CO149" s="4"/>
      <c r="CP149" s="4"/>
      <c r="CQ149" s="654"/>
      <c r="CR149" s="655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654"/>
      <c r="DD149" s="655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654"/>
      <c r="DP149" s="655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654"/>
      <c r="EB149" s="655"/>
      <c r="EC149" s="4"/>
      <c r="ED149" s="4"/>
      <c r="EE149" s="4"/>
      <c r="EF149" s="4"/>
      <c r="EG149" s="4"/>
      <c r="EH149" s="4"/>
      <c r="EI149" s="4"/>
      <c r="EJ149" s="4"/>
      <c r="EK149" s="4"/>
      <c r="EL149" s="4"/>
      <c r="EM149" s="693"/>
      <c r="EN149" s="723"/>
      <c r="EO149" s="4">
        <v>94</v>
      </c>
      <c r="EP149" s="4"/>
      <c r="EQ149" s="4"/>
      <c r="ER149" s="4"/>
      <c r="ES149" s="4"/>
      <c r="ET149" s="4"/>
      <c r="EU149" s="4"/>
      <c r="EV149" s="4"/>
      <c r="EW149" s="4"/>
      <c r="EX149" s="4"/>
      <c r="EY149" s="654"/>
      <c r="EZ149" s="655"/>
      <c r="FA149" s="4"/>
      <c r="FB149" s="4"/>
      <c r="FC149" s="4"/>
      <c r="FD149" s="4"/>
      <c r="FE149" s="4"/>
      <c r="FF149" s="4"/>
      <c r="FG149" s="4"/>
      <c r="FH149" s="4"/>
      <c r="FI149" s="4"/>
      <c r="FJ149" s="4"/>
      <c r="FK149" s="654"/>
      <c r="FL149" s="655"/>
      <c r="FM149" s="4"/>
      <c r="FN149" s="4"/>
      <c r="FO149" s="4"/>
      <c r="FP149" s="4"/>
      <c r="FQ149" s="4"/>
      <c r="FR149" s="4"/>
      <c r="FS149" s="4"/>
      <c r="FT149" s="4"/>
      <c r="FU149" s="4"/>
      <c r="FV149" s="4"/>
      <c r="FW149" s="654"/>
      <c r="FX149" s="655"/>
      <c r="FY149" s="4"/>
      <c r="FZ149" s="4"/>
      <c r="GA149" s="4"/>
      <c r="GB149" s="4"/>
      <c r="GC149" s="4"/>
      <c r="GD149" s="4"/>
      <c r="GE149" s="4"/>
      <c r="GF149" s="4"/>
      <c r="GG149" s="4"/>
      <c r="GH149" s="4"/>
      <c r="GI149" s="654"/>
      <c r="GJ149" s="655"/>
      <c r="GK149" s="4"/>
      <c r="GL149" s="4"/>
      <c r="GM149" s="4"/>
      <c r="GN149" s="4"/>
      <c r="GO149" s="4"/>
      <c r="GP149" s="4"/>
      <c r="GQ149" s="4"/>
      <c r="GR149" s="4"/>
      <c r="GS149" s="4"/>
      <c r="GT149" s="4"/>
      <c r="GU149" s="722"/>
      <c r="GV149" s="715"/>
    </row>
    <row r="150" spans="1:204" x14ac:dyDescent="0.25">
      <c r="A150" t="s">
        <v>918</v>
      </c>
      <c r="B150" s="2" t="s">
        <v>917</v>
      </c>
      <c r="C150" s="619">
        <v>44572</v>
      </c>
      <c r="D150" s="2" t="s">
        <v>900</v>
      </c>
      <c r="E150" t="s">
        <v>58</v>
      </c>
      <c r="F150" s="2" t="s">
        <v>43</v>
      </c>
      <c r="G150" t="s">
        <v>40</v>
      </c>
      <c r="H150" s="690" t="s">
        <v>84</v>
      </c>
      <c r="I150" s="691" t="s">
        <v>502</v>
      </c>
      <c r="J150" s="721">
        <v>4270778000171</v>
      </c>
      <c r="K150" s="691" t="s">
        <v>43</v>
      </c>
      <c r="L150" s="721">
        <v>3780401000108</v>
      </c>
      <c r="M150" s="718" t="s">
        <v>3</v>
      </c>
      <c r="N150" s="717" t="s">
        <v>44</v>
      </c>
      <c r="O150" s="719">
        <v>44743</v>
      </c>
      <c r="P150" s="720">
        <v>44773</v>
      </c>
      <c r="Q150" s="718">
        <v>205</v>
      </c>
      <c r="R150" s="717">
        <v>5</v>
      </c>
      <c r="S150" s="691" t="s">
        <v>54</v>
      </c>
      <c r="T150" t="s">
        <v>358</v>
      </c>
      <c r="U150" s="673" t="s">
        <v>358</v>
      </c>
      <c r="V150" s="690" t="s">
        <v>358</v>
      </c>
      <c r="W150" s="657" t="s">
        <v>329</v>
      </c>
      <c r="X150" s="723"/>
      <c r="Y150" s="4"/>
      <c r="Z150" s="4"/>
      <c r="AA150" s="4"/>
      <c r="AB150" s="4"/>
      <c r="AC150" s="4"/>
      <c r="AD150" s="4">
        <v>5</v>
      </c>
      <c r="AE150" s="4"/>
      <c r="AF150" s="4"/>
      <c r="AG150" s="4"/>
      <c r="AH150" s="4"/>
      <c r="AI150" s="654"/>
      <c r="AJ150" s="655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654"/>
      <c r="AV150" s="655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654"/>
      <c r="BH150" s="655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654"/>
      <c r="BT150" s="655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693"/>
      <c r="CF150" s="723"/>
      <c r="CG150" s="4"/>
      <c r="CH150" s="4"/>
      <c r="CI150" s="4"/>
      <c r="CJ150" s="4"/>
      <c r="CK150" s="4"/>
      <c r="CL150" s="4">
        <v>205</v>
      </c>
      <c r="CM150" s="4"/>
      <c r="CN150" s="4"/>
      <c r="CO150" s="4"/>
      <c r="CP150" s="4"/>
      <c r="CQ150" s="654"/>
      <c r="CR150" s="655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654"/>
      <c r="DD150" s="655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654"/>
      <c r="DP150" s="655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654"/>
      <c r="EB150" s="655"/>
      <c r="EC150" s="4"/>
      <c r="ED150" s="4"/>
      <c r="EE150" s="4"/>
      <c r="EF150" s="4"/>
      <c r="EG150" s="4"/>
      <c r="EH150" s="4"/>
      <c r="EI150" s="4"/>
      <c r="EJ150" s="4"/>
      <c r="EK150" s="4"/>
      <c r="EL150" s="4"/>
      <c r="EM150" s="693"/>
      <c r="EN150" s="723"/>
      <c r="EO150" s="4"/>
      <c r="EP150" s="4"/>
      <c r="EQ150" s="4"/>
      <c r="ER150" s="4"/>
      <c r="ES150" s="4"/>
      <c r="ET150" s="4">
        <v>205</v>
      </c>
      <c r="EU150" s="4"/>
      <c r="EV150" s="4"/>
      <c r="EW150" s="4"/>
      <c r="EX150" s="4"/>
      <c r="EY150" s="654"/>
      <c r="EZ150" s="655"/>
      <c r="FA150" s="4"/>
      <c r="FB150" s="4"/>
      <c r="FC150" s="4"/>
      <c r="FD150" s="4"/>
      <c r="FE150" s="4"/>
      <c r="FF150" s="4"/>
      <c r="FG150" s="4"/>
      <c r="FH150" s="4"/>
      <c r="FI150" s="4"/>
      <c r="FJ150" s="4"/>
      <c r="FK150" s="654"/>
      <c r="FL150" s="655"/>
      <c r="FM150" s="4"/>
      <c r="FN150" s="4"/>
      <c r="FO150" s="4"/>
      <c r="FP150" s="4"/>
      <c r="FQ150" s="4"/>
      <c r="FR150" s="4"/>
      <c r="FS150" s="4"/>
      <c r="FT150" s="4"/>
      <c r="FU150" s="4"/>
      <c r="FV150" s="4"/>
      <c r="FW150" s="654"/>
      <c r="FX150" s="655"/>
      <c r="FY150" s="4"/>
      <c r="FZ150" s="4"/>
      <c r="GA150" s="4"/>
      <c r="GB150" s="4"/>
      <c r="GC150" s="4"/>
      <c r="GD150" s="4"/>
      <c r="GE150" s="4"/>
      <c r="GF150" s="4"/>
      <c r="GG150" s="4"/>
      <c r="GH150" s="4"/>
      <c r="GI150" s="654"/>
      <c r="GJ150" s="655"/>
      <c r="GK150" s="4"/>
      <c r="GL150" s="4"/>
      <c r="GM150" s="4"/>
      <c r="GN150" s="4"/>
      <c r="GO150" s="4"/>
      <c r="GP150" s="4"/>
      <c r="GQ150" s="4"/>
      <c r="GR150" s="4"/>
      <c r="GS150" s="4"/>
      <c r="GT150" s="4"/>
      <c r="GU150" s="722"/>
      <c r="GV150" s="715"/>
    </row>
    <row r="151" spans="1:204" x14ac:dyDescent="0.25">
      <c r="A151" t="s">
        <v>920</v>
      </c>
      <c r="B151" s="2" t="s">
        <v>919</v>
      </c>
      <c r="C151" s="619">
        <v>44572</v>
      </c>
      <c r="D151" s="2" t="s">
        <v>901</v>
      </c>
      <c r="E151" t="s">
        <v>58</v>
      </c>
      <c r="F151" s="2" t="s">
        <v>43</v>
      </c>
      <c r="G151" t="s">
        <v>40</v>
      </c>
      <c r="H151" s="690" t="s">
        <v>84</v>
      </c>
      <c r="I151" s="691" t="s">
        <v>466</v>
      </c>
      <c r="J151" s="721">
        <v>26940979000171</v>
      </c>
      <c r="K151" s="691" t="s">
        <v>43</v>
      </c>
      <c r="L151" s="721">
        <v>3780401000108</v>
      </c>
      <c r="M151" s="718" t="s">
        <v>3</v>
      </c>
      <c r="N151" s="717" t="s">
        <v>44</v>
      </c>
      <c r="O151" s="719">
        <v>44593</v>
      </c>
      <c r="P151" s="720">
        <v>44620</v>
      </c>
      <c r="Q151" s="718">
        <v>95</v>
      </c>
      <c r="R151" s="717">
        <v>1</v>
      </c>
      <c r="S151" s="691" t="s">
        <v>54</v>
      </c>
      <c r="T151" t="s">
        <v>358</v>
      </c>
      <c r="U151" s="673" t="s">
        <v>358</v>
      </c>
      <c r="V151" s="690" t="s">
        <v>358</v>
      </c>
      <c r="W151" s="657" t="s">
        <v>329</v>
      </c>
      <c r="X151" s="723"/>
      <c r="Y151" s="4">
        <v>1</v>
      </c>
      <c r="Z151" s="4"/>
      <c r="AA151" s="4"/>
      <c r="AB151" s="4"/>
      <c r="AC151" s="4"/>
      <c r="AD151" s="4"/>
      <c r="AE151" s="4"/>
      <c r="AF151" s="4"/>
      <c r="AG151" s="4"/>
      <c r="AH151" s="4"/>
      <c r="AI151" s="654"/>
      <c r="AJ151" s="655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654"/>
      <c r="AV151" s="655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654"/>
      <c r="BH151" s="655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654"/>
      <c r="BT151" s="655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693"/>
      <c r="CF151" s="723"/>
      <c r="CG151" s="4">
        <v>95</v>
      </c>
      <c r="CH151" s="4"/>
      <c r="CI151" s="4"/>
      <c r="CJ151" s="4"/>
      <c r="CK151" s="4"/>
      <c r="CL151" s="4"/>
      <c r="CM151" s="4"/>
      <c r="CN151" s="4"/>
      <c r="CO151" s="4"/>
      <c r="CP151" s="4"/>
      <c r="CQ151" s="654"/>
      <c r="CR151" s="655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654"/>
      <c r="DD151" s="655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654"/>
      <c r="DP151" s="655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654"/>
      <c r="EB151" s="655"/>
      <c r="EC151" s="4"/>
      <c r="ED151" s="4"/>
      <c r="EE151" s="4"/>
      <c r="EF151" s="4"/>
      <c r="EG151" s="4"/>
      <c r="EH151" s="4"/>
      <c r="EI151" s="4"/>
      <c r="EJ151" s="4"/>
      <c r="EK151" s="4"/>
      <c r="EL151" s="4"/>
      <c r="EM151" s="693"/>
      <c r="EN151" s="723"/>
      <c r="EO151" s="4">
        <v>95</v>
      </c>
      <c r="EP151" s="4"/>
      <c r="EQ151" s="4"/>
      <c r="ER151" s="4"/>
      <c r="ES151" s="4"/>
      <c r="ET151" s="4"/>
      <c r="EU151" s="4"/>
      <c r="EV151" s="4"/>
      <c r="EW151" s="4"/>
      <c r="EX151" s="4"/>
      <c r="EY151" s="654"/>
      <c r="EZ151" s="655"/>
      <c r="FA151" s="4"/>
      <c r="FB151" s="4"/>
      <c r="FC151" s="4"/>
      <c r="FD151" s="4"/>
      <c r="FE151" s="4"/>
      <c r="FF151" s="4"/>
      <c r="FG151" s="4"/>
      <c r="FH151" s="4"/>
      <c r="FI151" s="4"/>
      <c r="FJ151" s="4"/>
      <c r="FK151" s="654"/>
      <c r="FL151" s="655"/>
      <c r="FM151" s="4"/>
      <c r="FN151" s="4"/>
      <c r="FO151" s="4"/>
      <c r="FP151" s="4"/>
      <c r="FQ151" s="4"/>
      <c r="FR151" s="4"/>
      <c r="FS151" s="4"/>
      <c r="FT151" s="4"/>
      <c r="FU151" s="4"/>
      <c r="FV151" s="4"/>
      <c r="FW151" s="654"/>
      <c r="FX151" s="655"/>
      <c r="FY151" s="4"/>
      <c r="FZ151" s="4"/>
      <c r="GA151" s="4"/>
      <c r="GB151" s="4"/>
      <c r="GC151" s="4"/>
      <c r="GD151" s="4"/>
      <c r="GE151" s="4"/>
      <c r="GF151" s="4"/>
      <c r="GG151" s="4"/>
      <c r="GH151" s="4"/>
      <c r="GI151" s="654"/>
      <c r="GJ151" s="655"/>
      <c r="GK151" s="4"/>
      <c r="GL151" s="4"/>
      <c r="GM151" s="4"/>
      <c r="GN151" s="4"/>
      <c r="GO151" s="4"/>
      <c r="GP151" s="4"/>
      <c r="GQ151" s="4"/>
      <c r="GR151" s="4"/>
      <c r="GS151" s="4"/>
      <c r="GT151" s="4"/>
      <c r="GU151" s="722"/>
      <c r="GV151" s="715"/>
    </row>
    <row r="152" spans="1:204" x14ac:dyDescent="0.25">
      <c r="A152" t="s">
        <v>927</v>
      </c>
      <c r="B152" s="2" t="s">
        <v>926</v>
      </c>
      <c r="C152" s="619">
        <v>44573</v>
      </c>
      <c r="D152" s="2" t="s">
        <v>921</v>
      </c>
      <c r="E152" t="s">
        <v>59</v>
      </c>
      <c r="F152" s="2" t="s">
        <v>43</v>
      </c>
      <c r="G152" t="s">
        <v>40</v>
      </c>
      <c r="H152" s="690" t="s">
        <v>85</v>
      </c>
      <c r="I152" s="691" t="s">
        <v>43</v>
      </c>
      <c r="J152" s="721">
        <v>3780401000108</v>
      </c>
      <c r="K152" s="691" t="s">
        <v>411</v>
      </c>
      <c r="L152" s="721">
        <v>31864869000108</v>
      </c>
      <c r="M152" s="718" t="s">
        <v>3</v>
      </c>
      <c r="N152" s="717" t="s">
        <v>44</v>
      </c>
      <c r="O152" s="719">
        <v>44562</v>
      </c>
      <c r="P152" s="720">
        <v>44592</v>
      </c>
      <c r="Q152" s="718">
        <v>68</v>
      </c>
      <c r="R152" s="717">
        <v>1</v>
      </c>
      <c r="S152" s="691" t="s">
        <v>54</v>
      </c>
      <c r="T152" t="s">
        <v>358</v>
      </c>
      <c r="U152" s="673" t="s">
        <v>358</v>
      </c>
      <c r="V152" s="690" t="s">
        <v>358</v>
      </c>
      <c r="W152" s="657" t="s">
        <v>329</v>
      </c>
      <c r="X152" s="723">
        <v>1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654"/>
      <c r="AJ152" s="655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654"/>
      <c r="AV152" s="655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654"/>
      <c r="BH152" s="655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654"/>
      <c r="BT152" s="655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693"/>
      <c r="CF152" s="723">
        <v>68</v>
      </c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654"/>
      <c r="CR152" s="655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654"/>
      <c r="DD152" s="655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654"/>
      <c r="DP152" s="655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654"/>
      <c r="EB152" s="655"/>
      <c r="EC152" s="4"/>
      <c r="ED152" s="4"/>
      <c r="EE152" s="4"/>
      <c r="EF152" s="4"/>
      <c r="EG152" s="4"/>
      <c r="EH152" s="4"/>
      <c r="EI152" s="4"/>
      <c r="EJ152" s="4"/>
      <c r="EK152" s="4"/>
      <c r="EL152" s="4"/>
      <c r="EM152" s="693"/>
      <c r="EN152" s="723">
        <v>68</v>
      </c>
      <c r="EO152" s="4"/>
      <c r="EP152" s="4"/>
      <c r="EQ152" s="4"/>
      <c r="ER152" s="4"/>
      <c r="ES152" s="4"/>
      <c r="ET152" s="4"/>
      <c r="EU152" s="4"/>
      <c r="EV152" s="4"/>
      <c r="EW152" s="4"/>
      <c r="EX152" s="4"/>
      <c r="EY152" s="654"/>
      <c r="EZ152" s="655"/>
      <c r="FA152" s="4"/>
      <c r="FB152" s="4"/>
      <c r="FC152" s="4"/>
      <c r="FD152" s="4"/>
      <c r="FE152" s="4"/>
      <c r="FF152" s="4"/>
      <c r="FG152" s="4"/>
      <c r="FH152" s="4"/>
      <c r="FI152" s="4"/>
      <c r="FJ152" s="4"/>
      <c r="FK152" s="654"/>
      <c r="FL152" s="655"/>
      <c r="FM152" s="4"/>
      <c r="FN152" s="4"/>
      <c r="FO152" s="4"/>
      <c r="FP152" s="4"/>
      <c r="FQ152" s="4"/>
      <c r="FR152" s="4"/>
      <c r="FS152" s="4"/>
      <c r="FT152" s="4"/>
      <c r="FU152" s="4"/>
      <c r="FV152" s="4"/>
      <c r="FW152" s="654"/>
      <c r="FX152" s="655"/>
      <c r="FY152" s="4"/>
      <c r="FZ152" s="4"/>
      <c r="GA152" s="4"/>
      <c r="GB152" s="4"/>
      <c r="GC152" s="4"/>
      <c r="GD152" s="4"/>
      <c r="GE152" s="4"/>
      <c r="GF152" s="4"/>
      <c r="GG152" s="4"/>
      <c r="GH152" s="4"/>
      <c r="GI152" s="654"/>
      <c r="GJ152" s="655"/>
      <c r="GK152" s="4"/>
      <c r="GL152" s="4"/>
      <c r="GM152" s="4"/>
      <c r="GN152" s="4"/>
      <c r="GO152" s="4"/>
      <c r="GP152" s="4"/>
      <c r="GQ152" s="4"/>
      <c r="GR152" s="4"/>
      <c r="GS152" s="4"/>
      <c r="GT152" s="4"/>
      <c r="GU152" s="722"/>
      <c r="GV152" s="715"/>
    </row>
    <row r="153" spans="1:204" x14ac:dyDescent="0.25">
      <c r="A153" t="s">
        <v>929</v>
      </c>
      <c r="B153" s="2" t="s">
        <v>928</v>
      </c>
      <c r="C153" s="619">
        <v>44573</v>
      </c>
      <c r="D153" s="2" t="s">
        <v>922</v>
      </c>
      <c r="E153" t="s">
        <v>59</v>
      </c>
      <c r="F153" s="2" t="s">
        <v>43</v>
      </c>
      <c r="G153" t="s">
        <v>40</v>
      </c>
      <c r="H153" s="690" t="s">
        <v>85</v>
      </c>
      <c r="I153" s="691" t="s">
        <v>43</v>
      </c>
      <c r="J153" s="721">
        <v>3780401000108</v>
      </c>
      <c r="K153" s="691" t="s">
        <v>475</v>
      </c>
      <c r="L153" s="721">
        <v>27796415000170</v>
      </c>
      <c r="M153" s="718" t="s">
        <v>3</v>
      </c>
      <c r="N153" s="717" t="s">
        <v>44</v>
      </c>
      <c r="O153" s="719">
        <v>44621</v>
      </c>
      <c r="P153" s="720">
        <v>44651</v>
      </c>
      <c r="Q153" s="718">
        <v>122</v>
      </c>
      <c r="R153" s="717">
        <v>2</v>
      </c>
      <c r="S153" s="691" t="s">
        <v>54</v>
      </c>
      <c r="T153" t="s">
        <v>358</v>
      </c>
      <c r="U153" s="673" t="s">
        <v>358</v>
      </c>
      <c r="V153" s="690" t="s">
        <v>358</v>
      </c>
      <c r="W153" s="657" t="s">
        <v>329</v>
      </c>
      <c r="X153" s="723"/>
      <c r="Y153" s="4"/>
      <c r="Z153" s="4">
        <v>2</v>
      </c>
      <c r="AA153" s="4"/>
      <c r="AB153" s="4"/>
      <c r="AC153" s="4"/>
      <c r="AD153" s="4"/>
      <c r="AE153" s="4"/>
      <c r="AF153" s="4"/>
      <c r="AG153" s="4"/>
      <c r="AH153" s="4"/>
      <c r="AI153" s="654"/>
      <c r="AJ153" s="655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654"/>
      <c r="AV153" s="655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654"/>
      <c r="BH153" s="655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654"/>
      <c r="BT153" s="655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693"/>
      <c r="CF153" s="723"/>
      <c r="CG153" s="4"/>
      <c r="CH153" s="4">
        <v>122</v>
      </c>
      <c r="CI153" s="4"/>
      <c r="CJ153" s="4"/>
      <c r="CK153" s="4"/>
      <c r="CL153" s="4"/>
      <c r="CM153" s="4"/>
      <c r="CN153" s="4"/>
      <c r="CO153" s="4"/>
      <c r="CP153" s="4"/>
      <c r="CQ153" s="654"/>
      <c r="CR153" s="655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654"/>
      <c r="DD153" s="655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654"/>
      <c r="DP153" s="655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654"/>
      <c r="EB153" s="655"/>
      <c r="EC153" s="4"/>
      <c r="ED153" s="4"/>
      <c r="EE153" s="4"/>
      <c r="EF153" s="4"/>
      <c r="EG153" s="4"/>
      <c r="EH153" s="4"/>
      <c r="EI153" s="4"/>
      <c r="EJ153" s="4"/>
      <c r="EK153" s="4"/>
      <c r="EL153" s="4"/>
      <c r="EM153" s="693"/>
      <c r="EN153" s="723"/>
      <c r="EO153" s="4"/>
      <c r="EP153" s="4">
        <v>122</v>
      </c>
      <c r="EQ153" s="4"/>
      <c r="ER153" s="4"/>
      <c r="ES153" s="4"/>
      <c r="ET153" s="4"/>
      <c r="EU153" s="4"/>
      <c r="EV153" s="4"/>
      <c r="EW153" s="4"/>
      <c r="EX153" s="4"/>
      <c r="EY153" s="654"/>
      <c r="EZ153" s="655"/>
      <c r="FA153" s="4"/>
      <c r="FB153" s="4"/>
      <c r="FC153" s="4"/>
      <c r="FD153" s="4"/>
      <c r="FE153" s="4"/>
      <c r="FF153" s="4"/>
      <c r="FG153" s="4"/>
      <c r="FH153" s="4"/>
      <c r="FI153" s="4"/>
      <c r="FJ153" s="4"/>
      <c r="FK153" s="654"/>
      <c r="FL153" s="655"/>
      <c r="FM153" s="4"/>
      <c r="FN153" s="4"/>
      <c r="FO153" s="4"/>
      <c r="FP153" s="4"/>
      <c r="FQ153" s="4"/>
      <c r="FR153" s="4"/>
      <c r="FS153" s="4"/>
      <c r="FT153" s="4"/>
      <c r="FU153" s="4"/>
      <c r="FV153" s="4"/>
      <c r="FW153" s="654"/>
      <c r="FX153" s="655"/>
      <c r="FY153" s="4"/>
      <c r="FZ153" s="4"/>
      <c r="GA153" s="4"/>
      <c r="GB153" s="4"/>
      <c r="GC153" s="4"/>
      <c r="GD153" s="4"/>
      <c r="GE153" s="4"/>
      <c r="GF153" s="4"/>
      <c r="GG153" s="4"/>
      <c r="GH153" s="4"/>
      <c r="GI153" s="654"/>
      <c r="GJ153" s="655"/>
      <c r="GK153" s="4"/>
      <c r="GL153" s="4"/>
      <c r="GM153" s="4"/>
      <c r="GN153" s="4"/>
      <c r="GO153" s="4"/>
      <c r="GP153" s="4"/>
      <c r="GQ153" s="4"/>
      <c r="GR153" s="4"/>
      <c r="GS153" s="4"/>
      <c r="GT153" s="4"/>
      <c r="GU153" s="722"/>
      <c r="GV153" s="715"/>
    </row>
    <row r="154" spans="1:204" x14ac:dyDescent="0.25">
      <c r="A154" t="s">
        <v>931</v>
      </c>
      <c r="B154" s="2" t="s">
        <v>930</v>
      </c>
      <c r="C154" s="619">
        <v>44573</v>
      </c>
      <c r="D154" s="2" t="s">
        <v>923</v>
      </c>
      <c r="E154" t="s">
        <v>59</v>
      </c>
      <c r="F154" s="2" t="s">
        <v>43</v>
      </c>
      <c r="G154" t="s">
        <v>40</v>
      </c>
      <c r="H154" s="690" t="s">
        <v>85</v>
      </c>
      <c r="I154" s="691" t="s">
        <v>43</v>
      </c>
      <c r="J154" s="721">
        <v>3780401000108</v>
      </c>
      <c r="K154" s="691" t="s">
        <v>475</v>
      </c>
      <c r="L154" s="721">
        <v>27796415000170</v>
      </c>
      <c r="M154" s="718" t="s">
        <v>3</v>
      </c>
      <c r="N154" s="717" t="s">
        <v>44</v>
      </c>
      <c r="O154" s="719">
        <v>44621</v>
      </c>
      <c r="P154" s="720">
        <v>44651</v>
      </c>
      <c r="Q154" s="718">
        <v>122</v>
      </c>
      <c r="R154" s="717">
        <v>2</v>
      </c>
      <c r="S154" s="691" t="s">
        <v>54</v>
      </c>
      <c r="T154" t="s">
        <v>358</v>
      </c>
      <c r="U154" s="673" t="s">
        <v>358</v>
      </c>
      <c r="V154" s="690" t="s">
        <v>358</v>
      </c>
      <c r="W154" s="657" t="s">
        <v>329</v>
      </c>
      <c r="X154" s="723"/>
      <c r="Y154" s="4"/>
      <c r="Z154" s="4">
        <v>2</v>
      </c>
      <c r="AA154" s="4"/>
      <c r="AB154" s="4"/>
      <c r="AC154" s="4"/>
      <c r="AD154" s="4"/>
      <c r="AE154" s="4"/>
      <c r="AF154" s="4"/>
      <c r="AG154" s="4"/>
      <c r="AH154" s="4"/>
      <c r="AI154" s="654"/>
      <c r="AJ154" s="655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654"/>
      <c r="AV154" s="655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654"/>
      <c r="BH154" s="655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654"/>
      <c r="BT154" s="655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693"/>
      <c r="CF154" s="723"/>
      <c r="CG154" s="4"/>
      <c r="CH154" s="4">
        <v>122</v>
      </c>
      <c r="CI154" s="4"/>
      <c r="CJ154" s="4"/>
      <c r="CK154" s="4"/>
      <c r="CL154" s="4"/>
      <c r="CM154" s="4"/>
      <c r="CN154" s="4"/>
      <c r="CO154" s="4"/>
      <c r="CP154" s="4"/>
      <c r="CQ154" s="654"/>
      <c r="CR154" s="655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654"/>
      <c r="DD154" s="655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654"/>
      <c r="DP154" s="655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654"/>
      <c r="EB154" s="655"/>
      <c r="EC154" s="4"/>
      <c r="ED154" s="4"/>
      <c r="EE154" s="4"/>
      <c r="EF154" s="4"/>
      <c r="EG154" s="4"/>
      <c r="EH154" s="4"/>
      <c r="EI154" s="4"/>
      <c r="EJ154" s="4"/>
      <c r="EK154" s="4"/>
      <c r="EL154" s="4"/>
      <c r="EM154" s="693"/>
      <c r="EN154" s="723"/>
      <c r="EO154" s="4"/>
      <c r="EP154" s="4">
        <v>122</v>
      </c>
      <c r="EQ154" s="4"/>
      <c r="ER154" s="4"/>
      <c r="ES154" s="4"/>
      <c r="ET154" s="4"/>
      <c r="EU154" s="4"/>
      <c r="EV154" s="4"/>
      <c r="EW154" s="4"/>
      <c r="EX154" s="4"/>
      <c r="EY154" s="654"/>
      <c r="EZ154" s="655"/>
      <c r="FA154" s="4"/>
      <c r="FB154" s="4"/>
      <c r="FC154" s="4"/>
      <c r="FD154" s="4"/>
      <c r="FE154" s="4"/>
      <c r="FF154" s="4"/>
      <c r="FG154" s="4"/>
      <c r="FH154" s="4"/>
      <c r="FI154" s="4"/>
      <c r="FJ154" s="4"/>
      <c r="FK154" s="654"/>
      <c r="FL154" s="655"/>
      <c r="FM154" s="4"/>
      <c r="FN154" s="4"/>
      <c r="FO154" s="4"/>
      <c r="FP154" s="4"/>
      <c r="FQ154" s="4"/>
      <c r="FR154" s="4"/>
      <c r="FS154" s="4"/>
      <c r="FT154" s="4"/>
      <c r="FU154" s="4"/>
      <c r="FV154" s="4"/>
      <c r="FW154" s="654"/>
      <c r="FX154" s="655"/>
      <c r="FY154" s="4"/>
      <c r="FZ154" s="4"/>
      <c r="GA154" s="4"/>
      <c r="GB154" s="4"/>
      <c r="GC154" s="4"/>
      <c r="GD154" s="4"/>
      <c r="GE154" s="4"/>
      <c r="GF154" s="4"/>
      <c r="GG154" s="4"/>
      <c r="GH154" s="4"/>
      <c r="GI154" s="654"/>
      <c r="GJ154" s="655"/>
      <c r="GK154" s="4"/>
      <c r="GL154" s="4"/>
      <c r="GM154" s="4"/>
      <c r="GN154" s="4"/>
      <c r="GO154" s="4"/>
      <c r="GP154" s="4"/>
      <c r="GQ154" s="4"/>
      <c r="GR154" s="4"/>
      <c r="GS154" s="4"/>
      <c r="GT154" s="4"/>
      <c r="GU154" s="722"/>
      <c r="GV154" s="715"/>
    </row>
    <row r="155" spans="1:204" x14ac:dyDescent="0.25">
      <c r="A155" t="s">
        <v>933</v>
      </c>
      <c r="B155" s="2" t="s">
        <v>932</v>
      </c>
      <c r="C155" s="619">
        <v>44573</v>
      </c>
      <c r="D155" s="2" t="s">
        <v>924</v>
      </c>
      <c r="E155" t="s">
        <v>59</v>
      </c>
      <c r="F155" s="2" t="s">
        <v>43</v>
      </c>
      <c r="G155" t="s">
        <v>40</v>
      </c>
      <c r="H155" s="690" t="s">
        <v>85</v>
      </c>
      <c r="I155" s="691" t="s">
        <v>43</v>
      </c>
      <c r="J155" s="721">
        <v>3780401000108</v>
      </c>
      <c r="K155" s="691" t="s">
        <v>876</v>
      </c>
      <c r="L155" s="721">
        <v>22109465000118</v>
      </c>
      <c r="M155" s="718" t="s">
        <v>3</v>
      </c>
      <c r="N155" s="717" t="s">
        <v>44</v>
      </c>
      <c r="O155" s="719">
        <v>44621</v>
      </c>
      <c r="P155" s="720">
        <v>44651</v>
      </c>
      <c r="Q155" s="718">
        <v>121</v>
      </c>
      <c r="R155" s="717">
        <v>2</v>
      </c>
      <c r="S155" s="691" t="s">
        <v>54</v>
      </c>
      <c r="T155" t="s">
        <v>358</v>
      </c>
      <c r="U155" s="673" t="s">
        <v>358</v>
      </c>
      <c r="V155" s="690" t="s">
        <v>358</v>
      </c>
      <c r="W155" s="657" t="s">
        <v>329</v>
      </c>
      <c r="X155" s="723"/>
      <c r="Y155" s="4"/>
      <c r="Z155" s="4">
        <v>2</v>
      </c>
      <c r="AA155" s="4"/>
      <c r="AB155" s="4"/>
      <c r="AC155" s="4"/>
      <c r="AD155" s="4"/>
      <c r="AE155" s="4"/>
      <c r="AF155" s="4"/>
      <c r="AG155" s="4"/>
      <c r="AH155" s="4"/>
      <c r="AI155" s="654"/>
      <c r="AJ155" s="655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654"/>
      <c r="AV155" s="655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654"/>
      <c r="BH155" s="655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654"/>
      <c r="BT155" s="655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693"/>
      <c r="CF155" s="723"/>
      <c r="CG155" s="4"/>
      <c r="CH155" s="4">
        <v>121</v>
      </c>
      <c r="CI155" s="4"/>
      <c r="CJ155" s="4"/>
      <c r="CK155" s="4"/>
      <c r="CL155" s="4"/>
      <c r="CM155" s="4"/>
      <c r="CN155" s="4"/>
      <c r="CO155" s="4"/>
      <c r="CP155" s="4"/>
      <c r="CQ155" s="654"/>
      <c r="CR155" s="655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654"/>
      <c r="DD155" s="655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654"/>
      <c r="DP155" s="655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654"/>
      <c r="EB155" s="655"/>
      <c r="EC155" s="4"/>
      <c r="ED155" s="4"/>
      <c r="EE155" s="4"/>
      <c r="EF155" s="4"/>
      <c r="EG155" s="4"/>
      <c r="EH155" s="4"/>
      <c r="EI155" s="4"/>
      <c r="EJ155" s="4"/>
      <c r="EK155" s="4"/>
      <c r="EL155" s="4"/>
      <c r="EM155" s="693"/>
      <c r="EN155" s="723"/>
      <c r="EO155" s="4"/>
      <c r="EP155" s="4">
        <v>121</v>
      </c>
      <c r="EQ155" s="4"/>
      <c r="ER155" s="4"/>
      <c r="ES155" s="4"/>
      <c r="ET155" s="4"/>
      <c r="EU155" s="4"/>
      <c r="EV155" s="4"/>
      <c r="EW155" s="4"/>
      <c r="EX155" s="4"/>
      <c r="EY155" s="654"/>
      <c r="EZ155" s="655"/>
      <c r="FA155" s="4"/>
      <c r="FB155" s="4"/>
      <c r="FC155" s="4"/>
      <c r="FD155" s="4"/>
      <c r="FE155" s="4"/>
      <c r="FF155" s="4"/>
      <c r="FG155" s="4"/>
      <c r="FH155" s="4"/>
      <c r="FI155" s="4"/>
      <c r="FJ155" s="4"/>
      <c r="FK155" s="654"/>
      <c r="FL155" s="655"/>
      <c r="FM155" s="4"/>
      <c r="FN155" s="4"/>
      <c r="FO155" s="4"/>
      <c r="FP155" s="4"/>
      <c r="FQ155" s="4"/>
      <c r="FR155" s="4"/>
      <c r="FS155" s="4"/>
      <c r="FT155" s="4"/>
      <c r="FU155" s="4"/>
      <c r="FV155" s="4"/>
      <c r="FW155" s="654"/>
      <c r="FX155" s="655"/>
      <c r="FY155" s="4"/>
      <c r="FZ155" s="4"/>
      <c r="GA155" s="4"/>
      <c r="GB155" s="4"/>
      <c r="GC155" s="4"/>
      <c r="GD155" s="4"/>
      <c r="GE155" s="4"/>
      <c r="GF155" s="4"/>
      <c r="GG155" s="4"/>
      <c r="GH155" s="4"/>
      <c r="GI155" s="654"/>
      <c r="GJ155" s="655"/>
      <c r="GK155" s="4"/>
      <c r="GL155" s="4"/>
      <c r="GM155" s="4"/>
      <c r="GN155" s="4"/>
      <c r="GO155" s="4"/>
      <c r="GP155" s="4"/>
      <c r="GQ155" s="4"/>
      <c r="GR155" s="4"/>
      <c r="GS155" s="4"/>
      <c r="GT155" s="4"/>
      <c r="GU155" s="722"/>
      <c r="GV155" s="715"/>
    </row>
    <row r="156" spans="1:204" x14ac:dyDescent="0.25">
      <c r="A156" t="s">
        <v>935</v>
      </c>
      <c r="B156" s="2" t="s">
        <v>934</v>
      </c>
      <c r="C156" s="619">
        <v>44573</v>
      </c>
      <c r="D156" s="2" t="s">
        <v>925</v>
      </c>
      <c r="E156" t="s">
        <v>59</v>
      </c>
      <c r="F156" s="2" t="s">
        <v>43</v>
      </c>
      <c r="G156" t="s">
        <v>40</v>
      </c>
      <c r="H156" s="690" t="s">
        <v>85</v>
      </c>
      <c r="I156" s="691" t="s">
        <v>43</v>
      </c>
      <c r="J156" s="721">
        <v>3780401000108</v>
      </c>
      <c r="K156" s="691" t="s">
        <v>466</v>
      </c>
      <c r="L156" s="721">
        <v>26940979000171</v>
      </c>
      <c r="M156" s="718" t="s">
        <v>3</v>
      </c>
      <c r="N156" s="717" t="s">
        <v>44</v>
      </c>
      <c r="O156" s="719">
        <v>44621</v>
      </c>
      <c r="P156" s="720">
        <v>44651</v>
      </c>
      <c r="Q156" s="718">
        <v>120</v>
      </c>
      <c r="R156" s="717">
        <v>3</v>
      </c>
      <c r="S156" s="691" t="s">
        <v>54</v>
      </c>
      <c r="T156" t="s">
        <v>358</v>
      </c>
      <c r="U156" s="673" t="s">
        <v>358</v>
      </c>
      <c r="V156" s="690" t="s">
        <v>358</v>
      </c>
      <c r="W156" s="657" t="s">
        <v>329</v>
      </c>
      <c r="X156" s="723"/>
      <c r="Y156" s="4"/>
      <c r="Z156" s="4">
        <v>3</v>
      </c>
      <c r="AA156" s="4"/>
      <c r="AB156" s="4"/>
      <c r="AC156" s="4"/>
      <c r="AD156" s="4"/>
      <c r="AE156" s="4"/>
      <c r="AF156" s="4"/>
      <c r="AG156" s="4"/>
      <c r="AH156" s="4"/>
      <c r="AI156" s="654"/>
      <c r="AJ156" s="655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654"/>
      <c r="AV156" s="655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654"/>
      <c r="BH156" s="655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654"/>
      <c r="BT156" s="655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693"/>
      <c r="CF156" s="723"/>
      <c r="CG156" s="4"/>
      <c r="CH156" s="4">
        <v>120</v>
      </c>
      <c r="CI156" s="4"/>
      <c r="CJ156" s="4"/>
      <c r="CK156" s="4"/>
      <c r="CL156" s="4"/>
      <c r="CM156" s="4"/>
      <c r="CN156" s="4"/>
      <c r="CO156" s="4"/>
      <c r="CP156" s="4"/>
      <c r="CQ156" s="654"/>
      <c r="CR156" s="655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654"/>
      <c r="DD156" s="655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654"/>
      <c r="DP156" s="655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654"/>
      <c r="EB156" s="655"/>
      <c r="EC156" s="4"/>
      <c r="ED156" s="4"/>
      <c r="EE156" s="4"/>
      <c r="EF156" s="4"/>
      <c r="EG156" s="4"/>
      <c r="EH156" s="4"/>
      <c r="EI156" s="4"/>
      <c r="EJ156" s="4"/>
      <c r="EK156" s="4"/>
      <c r="EL156" s="4"/>
      <c r="EM156" s="693"/>
      <c r="EN156" s="723"/>
      <c r="EO156" s="4"/>
      <c r="EP156" s="4">
        <v>120</v>
      </c>
      <c r="EQ156" s="4"/>
      <c r="ER156" s="4"/>
      <c r="ES156" s="4"/>
      <c r="ET156" s="4"/>
      <c r="EU156" s="4"/>
      <c r="EV156" s="4"/>
      <c r="EW156" s="4"/>
      <c r="EX156" s="4"/>
      <c r="EY156" s="654"/>
      <c r="EZ156" s="655"/>
      <c r="FA156" s="4"/>
      <c r="FB156" s="4"/>
      <c r="FC156" s="4"/>
      <c r="FD156" s="4"/>
      <c r="FE156" s="4"/>
      <c r="FF156" s="4"/>
      <c r="FG156" s="4"/>
      <c r="FH156" s="4"/>
      <c r="FI156" s="4"/>
      <c r="FJ156" s="4"/>
      <c r="FK156" s="654"/>
      <c r="FL156" s="655"/>
      <c r="FM156" s="4"/>
      <c r="FN156" s="4"/>
      <c r="FO156" s="4"/>
      <c r="FP156" s="4"/>
      <c r="FQ156" s="4"/>
      <c r="FR156" s="4"/>
      <c r="FS156" s="4"/>
      <c r="FT156" s="4"/>
      <c r="FU156" s="4"/>
      <c r="FV156" s="4"/>
      <c r="FW156" s="654"/>
      <c r="FX156" s="655"/>
      <c r="FY156" s="4"/>
      <c r="FZ156" s="4"/>
      <c r="GA156" s="4"/>
      <c r="GB156" s="4"/>
      <c r="GC156" s="4"/>
      <c r="GD156" s="4"/>
      <c r="GE156" s="4"/>
      <c r="GF156" s="4"/>
      <c r="GG156" s="4"/>
      <c r="GH156" s="4"/>
      <c r="GI156" s="654"/>
      <c r="GJ156" s="655"/>
      <c r="GK156" s="4"/>
      <c r="GL156" s="4"/>
      <c r="GM156" s="4"/>
      <c r="GN156" s="4"/>
      <c r="GO156" s="4"/>
      <c r="GP156" s="4"/>
      <c r="GQ156" s="4"/>
      <c r="GR156" s="4"/>
      <c r="GS156" s="4"/>
      <c r="GT156" s="4"/>
      <c r="GU156" s="722"/>
      <c r="GV156" s="715"/>
    </row>
    <row r="157" spans="1:204" x14ac:dyDescent="0.25">
      <c r="A157" t="s">
        <v>947</v>
      </c>
      <c r="B157" s="2" t="s">
        <v>946</v>
      </c>
      <c r="C157" s="619">
        <v>44574</v>
      </c>
      <c r="D157" s="2" t="s">
        <v>936</v>
      </c>
      <c r="E157" t="s">
        <v>59</v>
      </c>
      <c r="F157" s="2" t="s">
        <v>43</v>
      </c>
      <c r="G157" t="s">
        <v>40</v>
      </c>
      <c r="H157" s="690" t="s">
        <v>85</v>
      </c>
      <c r="I157" s="691" t="s">
        <v>43</v>
      </c>
      <c r="J157" s="721">
        <v>3780401000108</v>
      </c>
      <c r="K157" s="691" t="s">
        <v>876</v>
      </c>
      <c r="L157" s="721">
        <v>22109465000118</v>
      </c>
      <c r="M157" s="718" t="s">
        <v>3</v>
      </c>
      <c r="N157" s="717" t="s">
        <v>44</v>
      </c>
      <c r="O157" s="719">
        <v>44682</v>
      </c>
      <c r="P157" s="720">
        <v>44712</v>
      </c>
      <c r="Q157" s="718">
        <v>130</v>
      </c>
      <c r="R157" s="717">
        <v>1</v>
      </c>
      <c r="S157" s="691" t="s">
        <v>54</v>
      </c>
      <c r="T157" t="s">
        <v>358</v>
      </c>
      <c r="U157" s="673" t="s">
        <v>358</v>
      </c>
      <c r="V157" s="690" t="s">
        <v>358</v>
      </c>
      <c r="W157" s="657" t="s">
        <v>329</v>
      </c>
      <c r="X157" s="723"/>
      <c r="Y157" s="4"/>
      <c r="Z157" s="4"/>
      <c r="AA157" s="4"/>
      <c r="AB157" s="4">
        <v>1</v>
      </c>
      <c r="AC157" s="4"/>
      <c r="AD157" s="4"/>
      <c r="AE157" s="4"/>
      <c r="AF157" s="4"/>
      <c r="AG157" s="4"/>
      <c r="AH157" s="4"/>
      <c r="AI157" s="654"/>
      <c r="AJ157" s="655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654"/>
      <c r="AV157" s="655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654"/>
      <c r="BH157" s="655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654"/>
      <c r="BT157" s="655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693"/>
      <c r="CF157" s="723"/>
      <c r="CG157" s="4"/>
      <c r="CH157" s="4"/>
      <c r="CI157" s="4"/>
      <c r="CJ157" s="4">
        <v>130</v>
      </c>
      <c r="CK157" s="4"/>
      <c r="CL157" s="4"/>
      <c r="CM157" s="4"/>
      <c r="CN157" s="4"/>
      <c r="CO157" s="4"/>
      <c r="CP157" s="4"/>
      <c r="CQ157" s="654"/>
      <c r="CR157" s="655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654"/>
      <c r="DD157" s="655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654"/>
      <c r="DP157" s="655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654"/>
      <c r="EB157" s="655"/>
      <c r="EC157" s="4"/>
      <c r="ED157" s="4"/>
      <c r="EE157" s="4"/>
      <c r="EF157" s="4"/>
      <c r="EG157" s="4"/>
      <c r="EH157" s="4"/>
      <c r="EI157" s="4"/>
      <c r="EJ157" s="4"/>
      <c r="EK157" s="4"/>
      <c r="EL157" s="4"/>
      <c r="EM157" s="693"/>
      <c r="EN157" s="723"/>
      <c r="EO157" s="4"/>
      <c r="EP157" s="4"/>
      <c r="EQ157" s="4"/>
      <c r="ER157" s="4">
        <v>130</v>
      </c>
      <c r="ES157" s="4"/>
      <c r="ET157" s="4"/>
      <c r="EU157" s="4"/>
      <c r="EV157" s="4"/>
      <c r="EW157" s="4"/>
      <c r="EX157" s="4"/>
      <c r="EY157" s="654"/>
      <c r="EZ157" s="655"/>
      <c r="FA157" s="4"/>
      <c r="FB157" s="4"/>
      <c r="FC157" s="4"/>
      <c r="FD157" s="4"/>
      <c r="FE157" s="4"/>
      <c r="FF157" s="4"/>
      <c r="FG157" s="4"/>
      <c r="FH157" s="4"/>
      <c r="FI157" s="4"/>
      <c r="FJ157" s="4"/>
      <c r="FK157" s="654"/>
      <c r="FL157" s="655"/>
      <c r="FM157" s="4"/>
      <c r="FN157" s="4"/>
      <c r="FO157" s="4"/>
      <c r="FP157" s="4"/>
      <c r="FQ157" s="4"/>
      <c r="FR157" s="4"/>
      <c r="FS157" s="4"/>
      <c r="FT157" s="4"/>
      <c r="FU157" s="4"/>
      <c r="FV157" s="4"/>
      <c r="FW157" s="654"/>
      <c r="FX157" s="655"/>
      <c r="FY157" s="4"/>
      <c r="FZ157" s="4"/>
      <c r="GA157" s="4"/>
      <c r="GB157" s="4"/>
      <c r="GC157" s="4"/>
      <c r="GD157" s="4"/>
      <c r="GE157" s="4"/>
      <c r="GF157" s="4"/>
      <c r="GG157" s="4"/>
      <c r="GH157" s="4"/>
      <c r="GI157" s="654"/>
      <c r="GJ157" s="655"/>
      <c r="GK157" s="4"/>
      <c r="GL157" s="4"/>
      <c r="GM157" s="4"/>
      <c r="GN157" s="4"/>
      <c r="GO157" s="4"/>
      <c r="GP157" s="4"/>
      <c r="GQ157" s="4"/>
      <c r="GR157" s="4"/>
      <c r="GS157" s="4"/>
      <c r="GT157" s="4"/>
      <c r="GU157" s="722"/>
      <c r="GV157" s="715"/>
    </row>
    <row r="158" spans="1:204" x14ac:dyDescent="0.25">
      <c r="A158" t="s">
        <v>949</v>
      </c>
      <c r="B158" s="2" t="s">
        <v>948</v>
      </c>
      <c r="C158" s="619">
        <v>44574</v>
      </c>
      <c r="D158" s="2" t="s">
        <v>937</v>
      </c>
      <c r="E158" t="s">
        <v>58</v>
      </c>
      <c r="F158" s="2" t="s">
        <v>43</v>
      </c>
      <c r="G158" t="s">
        <v>40</v>
      </c>
      <c r="H158" s="690" t="s">
        <v>84</v>
      </c>
      <c r="I158" s="691" t="s">
        <v>944</v>
      </c>
      <c r="J158" s="721">
        <v>20557422000170</v>
      </c>
      <c r="K158" s="691" t="s">
        <v>43</v>
      </c>
      <c r="L158" s="721">
        <v>3780401000108</v>
      </c>
      <c r="M158" s="718" t="s">
        <v>3</v>
      </c>
      <c r="N158" s="717" t="s">
        <v>44</v>
      </c>
      <c r="O158" s="719">
        <v>44652</v>
      </c>
      <c r="P158" s="720">
        <v>44742</v>
      </c>
      <c r="Q158" s="718">
        <v>139</v>
      </c>
      <c r="R158" s="717">
        <v>3</v>
      </c>
      <c r="S158" s="691" t="s">
        <v>54</v>
      </c>
      <c r="T158" t="s">
        <v>358</v>
      </c>
      <c r="U158" s="673" t="s">
        <v>358</v>
      </c>
      <c r="V158" s="690" t="s">
        <v>358</v>
      </c>
      <c r="W158" s="657" t="s">
        <v>329</v>
      </c>
      <c r="X158" s="723"/>
      <c r="Y158" s="4"/>
      <c r="Z158" s="4"/>
      <c r="AA158" s="4">
        <v>3</v>
      </c>
      <c r="AB158" s="4">
        <v>3</v>
      </c>
      <c r="AC158" s="4">
        <v>3</v>
      </c>
      <c r="AD158" s="4"/>
      <c r="AE158" s="4"/>
      <c r="AF158" s="4"/>
      <c r="AG158" s="4"/>
      <c r="AH158" s="4"/>
      <c r="AI158" s="654"/>
      <c r="AJ158" s="655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654"/>
      <c r="AV158" s="655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654"/>
      <c r="BH158" s="655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654"/>
      <c r="BT158" s="655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693"/>
      <c r="CF158" s="723"/>
      <c r="CG158" s="4"/>
      <c r="CH158" s="4"/>
      <c r="CI158" s="4">
        <v>139</v>
      </c>
      <c r="CJ158" s="4">
        <v>139</v>
      </c>
      <c r="CK158" s="4">
        <v>139</v>
      </c>
      <c r="CL158" s="4"/>
      <c r="CM158" s="4"/>
      <c r="CN158" s="4"/>
      <c r="CO158" s="4"/>
      <c r="CP158" s="4"/>
      <c r="CQ158" s="654"/>
      <c r="CR158" s="655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654"/>
      <c r="DD158" s="655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654"/>
      <c r="DP158" s="655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654"/>
      <c r="EB158" s="655"/>
      <c r="EC158" s="4"/>
      <c r="ED158" s="4"/>
      <c r="EE158" s="4"/>
      <c r="EF158" s="4"/>
      <c r="EG158" s="4"/>
      <c r="EH158" s="4"/>
      <c r="EI158" s="4"/>
      <c r="EJ158" s="4"/>
      <c r="EK158" s="4"/>
      <c r="EL158" s="4"/>
      <c r="EM158" s="693"/>
      <c r="EN158" s="723"/>
      <c r="EO158" s="4"/>
      <c r="EP158" s="4"/>
      <c r="EQ158" s="4">
        <v>139</v>
      </c>
      <c r="ER158" s="4">
        <v>139</v>
      </c>
      <c r="ES158" s="4">
        <v>139</v>
      </c>
      <c r="ET158" s="4"/>
      <c r="EU158" s="4"/>
      <c r="EV158" s="4"/>
      <c r="EW158" s="4"/>
      <c r="EX158" s="4"/>
      <c r="EY158" s="654"/>
      <c r="EZ158" s="655"/>
      <c r="FA158" s="4"/>
      <c r="FB158" s="4"/>
      <c r="FC158" s="4"/>
      <c r="FD158" s="4"/>
      <c r="FE158" s="4"/>
      <c r="FF158" s="4"/>
      <c r="FG158" s="4"/>
      <c r="FH158" s="4"/>
      <c r="FI158" s="4"/>
      <c r="FJ158" s="4"/>
      <c r="FK158" s="654"/>
      <c r="FL158" s="655"/>
      <c r="FM158" s="4"/>
      <c r="FN158" s="4"/>
      <c r="FO158" s="4"/>
      <c r="FP158" s="4"/>
      <c r="FQ158" s="4"/>
      <c r="FR158" s="4"/>
      <c r="FS158" s="4"/>
      <c r="FT158" s="4"/>
      <c r="FU158" s="4"/>
      <c r="FV158" s="4"/>
      <c r="FW158" s="654"/>
      <c r="FX158" s="655"/>
      <c r="FY158" s="4"/>
      <c r="FZ158" s="4"/>
      <c r="GA158" s="4"/>
      <c r="GB158" s="4"/>
      <c r="GC158" s="4"/>
      <c r="GD158" s="4"/>
      <c r="GE158" s="4"/>
      <c r="GF158" s="4"/>
      <c r="GG158" s="4"/>
      <c r="GH158" s="4"/>
      <c r="GI158" s="654"/>
      <c r="GJ158" s="655"/>
      <c r="GK158" s="4"/>
      <c r="GL158" s="4"/>
      <c r="GM158" s="4"/>
      <c r="GN158" s="4"/>
      <c r="GO158" s="4"/>
      <c r="GP158" s="4"/>
      <c r="GQ158" s="4"/>
      <c r="GR158" s="4"/>
      <c r="GS158" s="4"/>
      <c r="GT158" s="4"/>
      <c r="GU158" s="722"/>
      <c r="GV158" s="715"/>
    </row>
    <row r="159" spans="1:204" x14ac:dyDescent="0.25">
      <c r="A159" t="s">
        <v>951</v>
      </c>
      <c r="B159" s="2" t="s">
        <v>950</v>
      </c>
      <c r="C159" s="619">
        <v>44574</v>
      </c>
      <c r="D159" s="2" t="s">
        <v>938</v>
      </c>
      <c r="E159" t="s">
        <v>58</v>
      </c>
      <c r="F159" s="2" t="s">
        <v>43</v>
      </c>
      <c r="G159" t="s">
        <v>40</v>
      </c>
      <c r="H159" s="690" t="s">
        <v>84</v>
      </c>
      <c r="I159" s="691" t="s">
        <v>945</v>
      </c>
      <c r="J159" s="721">
        <v>12630054000110</v>
      </c>
      <c r="K159" s="691" t="s">
        <v>43</v>
      </c>
      <c r="L159" s="721">
        <v>3780401000108</v>
      </c>
      <c r="M159" s="718" t="s">
        <v>3</v>
      </c>
      <c r="N159" s="717" t="s">
        <v>44</v>
      </c>
      <c r="O159" s="719">
        <v>44652</v>
      </c>
      <c r="P159" s="720">
        <v>44742</v>
      </c>
      <c r="Q159" s="718">
        <v>138.5</v>
      </c>
      <c r="R159" s="717">
        <v>0.1</v>
      </c>
      <c r="S159" s="691" t="s">
        <v>54</v>
      </c>
      <c r="T159" t="s">
        <v>358</v>
      </c>
      <c r="U159" s="673" t="s">
        <v>358</v>
      </c>
      <c r="V159" s="690" t="s">
        <v>358</v>
      </c>
      <c r="W159" s="657" t="s">
        <v>329</v>
      </c>
      <c r="X159" s="723"/>
      <c r="Y159" s="4"/>
      <c r="Z159" s="4"/>
      <c r="AA159" s="4">
        <v>0.1</v>
      </c>
      <c r="AB159" s="4">
        <v>0.1</v>
      </c>
      <c r="AC159" s="4">
        <v>0.1</v>
      </c>
      <c r="AD159" s="4"/>
      <c r="AE159" s="4"/>
      <c r="AF159" s="4"/>
      <c r="AG159" s="4"/>
      <c r="AH159" s="4"/>
      <c r="AI159" s="654"/>
      <c r="AJ159" s="655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654"/>
      <c r="AV159" s="655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654"/>
      <c r="BH159" s="655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654"/>
      <c r="BT159" s="655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693"/>
      <c r="CF159" s="723"/>
      <c r="CG159" s="4"/>
      <c r="CH159" s="4"/>
      <c r="CI159" s="4">
        <v>138.5</v>
      </c>
      <c r="CJ159" s="4">
        <v>138.5</v>
      </c>
      <c r="CK159" s="4">
        <v>138.5</v>
      </c>
      <c r="CL159" s="4"/>
      <c r="CM159" s="4"/>
      <c r="CN159" s="4"/>
      <c r="CO159" s="4"/>
      <c r="CP159" s="4"/>
      <c r="CQ159" s="654"/>
      <c r="CR159" s="655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654"/>
      <c r="DD159" s="655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654"/>
      <c r="DP159" s="655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654"/>
      <c r="EB159" s="655"/>
      <c r="EC159" s="4"/>
      <c r="ED159" s="4"/>
      <c r="EE159" s="4"/>
      <c r="EF159" s="4"/>
      <c r="EG159" s="4"/>
      <c r="EH159" s="4"/>
      <c r="EI159" s="4"/>
      <c r="EJ159" s="4"/>
      <c r="EK159" s="4"/>
      <c r="EL159" s="4"/>
      <c r="EM159" s="693"/>
      <c r="EN159" s="723"/>
      <c r="EO159" s="4"/>
      <c r="EP159" s="4"/>
      <c r="EQ159" s="4">
        <v>138.5</v>
      </c>
      <c r="ER159" s="4">
        <v>138.5</v>
      </c>
      <c r="ES159" s="4">
        <v>138.5</v>
      </c>
      <c r="ET159" s="4"/>
      <c r="EU159" s="4"/>
      <c r="EV159" s="4"/>
      <c r="EW159" s="4"/>
      <c r="EX159" s="4"/>
      <c r="EY159" s="654"/>
      <c r="EZ159" s="655"/>
      <c r="FA159" s="4"/>
      <c r="FB159" s="4"/>
      <c r="FC159" s="4"/>
      <c r="FD159" s="4"/>
      <c r="FE159" s="4"/>
      <c r="FF159" s="4"/>
      <c r="FG159" s="4"/>
      <c r="FH159" s="4"/>
      <c r="FI159" s="4"/>
      <c r="FJ159" s="4"/>
      <c r="FK159" s="654"/>
      <c r="FL159" s="655"/>
      <c r="FM159" s="4"/>
      <c r="FN159" s="4"/>
      <c r="FO159" s="4"/>
      <c r="FP159" s="4"/>
      <c r="FQ159" s="4"/>
      <c r="FR159" s="4"/>
      <c r="FS159" s="4"/>
      <c r="FT159" s="4"/>
      <c r="FU159" s="4"/>
      <c r="FV159" s="4"/>
      <c r="FW159" s="654"/>
      <c r="FX159" s="655"/>
      <c r="FY159" s="4"/>
      <c r="FZ159" s="4"/>
      <c r="GA159" s="4"/>
      <c r="GB159" s="4"/>
      <c r="GC159" s="4"/>
      <c r="GD159" s="4"/>
      <c r="GE159" s="4"/>
      <c r="GF159" s="4"/>
      <c r="GG159" s="4"/>
      <c r="GH159" s="4"/>
      <c r="GI159" s="654"/>
      <c r="GJ159" s="655"/>
      <c r="GK159" s="4"/>
      <c r="GL159" s="4"/>
      <c r="GM159" s="4"/>
      <c r="GN159" s="4"/>
      <c r="GO159" s="4"/>
      <c r="GP159" s="4"/>
      <c r="GQ159" s="4"/>
      <c r="GR159" s="4"/>
      <c r="GS159" s="4"/>
      <c r="GT159" s="4"/>
      <c r="GU159" s="722"/>
      <c r="GV159" s="715"/>
    </row>
    <row r="160" spans="1:204" x14ac:dyDescent="0.25">
      <c r="A160" t="s">
        <v>953</v>
      </c>
      <c r="B160" s="2" t="s">
        <v>952</v>
      </c>
      <c r="C160" s="619">
        <v>44574</v>
      </c>
      <c r="D160" s="2" t="s">
        <v>939</v>
      </c>
      <c r="E160" t="s">
        <v>59</v>
      </c>
      <c r="F160" s="2" t="s">
        <v>43</v>
      </c>
      <c r="G160" t="s">
        <v>40</v>
      </c>
      <c r="H160" s="690" t="s">
        <v>85</v>
      </c>
      <c r="I160" s="691" t="s">
        <v>43</v>
      </c>
      <c r="J160" s="721">
        <v>3780401000108</v>
      </c>
      <c r="K160" s="691" t="s">
        <v>876</v>
      </c>
      <c r="L160" s="721">
        <v>22109465000118</v>
      </c>
      <c r="M160" s="718" t="s">
        <v>3</v>
      </c>
      <c r="N160" s="717" t="s">
        <v>44</v>
      </c>
      <c r="O160" s="719">
        <v>44682</v>
      </c>
      <c r="P160" s="720">
        <v>44712</v>
      </c>
      <c r="Q160" s="718">
        <v>130</v>
      </c>
      <c r="R160" s="717">
        <v>5</v>
      </c>
      <c r="S160" s="691" t="s">
        <v>54</v>
      </c>
      <c r="T160" t="s">
        <v>358</v>
      </c>
      <c r="U160" s="673" t="s">
        <v>358</v>
      </c>
      <c r="V160" s="690" t="s">
        <v>358</v>
      </c>
      <c r="W160" s="657" t="s">
        <v>329</v>
      </c>
      <c r="X160" s="723"/>
      <c r="Y160" s="4"/>
      <c r="Z160" s="4"/>
      <c r="AA160" s="4"/>
      <c r="AB160" s="4">
        <v>5</v>
      </c>
      <c r="AC160" s="4"/>
      <c r="AD160" s="4"/>
      <c r="AE160" s="4"/>
      <c r="AF160" s="4"/>
      <c r="AG160" s="4"/>
      <c r="AH160" s="4"/>
      <c r="AI160" s="654"/>
      <c r="AJ160" s="655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654"/>
      <c r="AV160" s="655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654"/>
      <c r="BH160" s="655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654"/>
      <c r="BT160" s="655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693"/>
      <c r="CF160" s="723"/>
      <c r="CG160" s="4"/>
      <c r="CH160" s="4"/>
      <c r="CI160" s="4"/>
      <c r="CJ160" s="4">
        <v>130</v>
      </c>
      <c r="CK160" s="4"/>
      <c r="CL160" s="4"/>
      <c r="CM160" s="4"/>
      <c r="CN160" s="4"/>
      <c r="CO160" s="4"/>
      <c r="CP160" s="4"/>
      <c r="CQ160" s="654"/>
      <c r="CR160" s="655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654"/>
      <c r="DD160" s="655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654"/>
      <c r="DP160" s="655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654"/>
      <c r="EB160" s="655"/>
      <c r="EC160" s="4"/>
      <c r="ED160" s="4"/>
      <c r="EE160" s="4"/>
      <c r="EF160" s="4"/>
      <c r="EG160" s="4"/>
      <c r="EH160" s="4"/>
      <c r="EI160" s="4"/>
      <c r="EJ160" s="4"/>
      <c r="EK160" s="4"/>
      <c r="EL160" s="4"/>
      <c r="EM160" s="693"/>
      <c r="EN160" s="723"/>
      <c r="EO160" s="4"/>
      <c r="EP160" s="4"/>
      <c r="EQ160" s="4"/>
      <c r="ER160" s="4">
        <v>130</v>
      </c>
      <c r="ES160" s="4"/>
      <c r="ET160" s="4"/>
      <c r="EU160" s="4"/>
      <c r="EV160" s="4"/>
      <c r="EW160" s="4"/>
      <c r="EX160" s="4"/>
      <c r="EY160" s="654"/>
      <c r="EZ160" s="655"/>
      <c r="FA160" s="4"/>
      <c r="FB160" s="4"/>
      <c r="FC160" s="4"/>
      <c r="FD160" s="4"/>
      <c r="FE160" s="4"/>
      <c r="FF160" s="4"/>
      <c r="FG160" s="4"/>
      <c r="FH160" s="4"/>
      <c r="FI160" s="4"/>
      <c r="FJ160" s="4"/>
      <c r="FK160" s="654"/>
      <c r="FL160" s="655"/>
      <c r="FM160" s="4"/>
      <c r="FN160" s="4"/>
      <c r="FO160" s="4"/>
      <c r="FP160" s="4"/>
      <c r="FQ160" s="4"/>
      <c r="FR160" s="4"/>
      <c r="FS160" s="4"/>
      <c r="FT160" s="4"/>
      <c r="FU160" s="4"/>
      <c r="FV160" s="4"/>
      <c r="FW160" s="654"/>
      <c r="FX160" s="655"/>
      <c r="FY160" s="4"/>
      <c r="FZ160" s="4"/>
      <c r="GA160" s="4"/>
      <c r="GB160" s="4"/>
      <c r="GC160" s="4"/>
      <c r="GD160" s="4"/>
      <c r="GE160" s="4"/>
      <c r="GF160" s="4"/>
      <c r="GG160" s="4"/>
      <c r="GH160" s="4"/>
      <c r="GI160" s="654"/>
      <c r="GJ160" s="655"/>
      <c r="GK160" s="4"/>
      <c r="GL160" s="4"/>
      <c r="GM160" s="4"/>
      <c r="GN160" s="4"/>
      <c r="GO160" s="4"/>
      <c r="GP160" s="4"/>
      <c r="GQ160" s="4"/>
      <c r="GR160" s="4"/>
      <c r="GS160" s="4"/>
      <c r="GT160" s="4"/>
      <c r="GU160" s="722"/>
      <c r="GV160" s="715"/>
    </row>
    <row r="161" spans="1:204" x14ac:dyDescent="0.25">
      <c r="A161" t="s">
        <v>955</v>
      </c>
      <c r="B161" s="2" t="s">
        <v>954</v>
      </c>
      <c r="C161" s="619">
        <v>44574</v>
      </c>
      <c r="D161" s="2" t="s">
        <v>940</v>
      </c>
      <c r="E161" t="s">
        <v>59</v>
      </c>
      <c r="F161" s="2" t="s">
        <v>43</v>
      </c>
      <c r="G161" t="s">
        <v>40</v>
      </c>
      <c r="H161" s="690" t="s">
        <v>85</v>
      </c>
      <c r="I161" s="691" t="s">
        <v>43</v>
      </c>
      <c r="J161" s="721">
        <v>3780401000108</v>
      </c>
      <c r="K161" s="691" t="s">
        <v>409</v>
      </c>
      <c r="L161" s="721">
        <v>12809025000110</v>
      </c>
      <c r="M161" s="718" t="s">
        <v>3</v>
      </c>
      <c r="N161" s="717" t="s">
        <v>44</v>
      </c>
      <c r="O161" s="719">
        <v>44621</v>
      </c>
      <c r="P161" s="720">
        <v>44651</v>
      </c>
      <c r="Q161" s="718">
        <v>125</v>
      </c>
      <c r="R161" s="717">
        <v>1</v>
      </c>
      <c r="S161" s="691" t="s">
        <v>54</v>
      </c>
      <c r="T161" t="s">
        <v>358</v>
      </c>
      <c r="U161" s="673" t="s">
        <v>358</v>
      </c>
      <c r="V161" s="690" t="s">
        <v>358</v>
      </c>
      <c r="W161" s="657" t="s">
        <v>329</v>
      </c>
      <c r="X161" s="723"/>
      <c r="Y161" s="4"/>
      <c r="Z161" s="4">
        <v>1</v>
      </c>
      <c r="AA161" s="4"/>
      <c r="AB161" s="4"/>
      <c r="AC161" s="4"/>
      <c r="AD161" s="4"/>
      <c r="AE161" s="4"/>
      <c r="AF161" s="4"/>
      <c r="AG161" s="4"/>
      <c r="AH161" s="4"/>
      <c r="AI161" s="654"/>
      <c r="AJ161" s="655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654"/>
      <c r="AV161" s="655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654"/>
      <c r="BH161" s="655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654"/>
      <c r="BT161" s="655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693"/>
      <c r="CF161" s="723"/>
      <c r="CG161" s="4"/>
      <c r="CH161" s="4">
        <v>125</v>
      </c>
      <c r="CI161" s="4"/>
      <c r="CJ161" s="4"/>
      <c r="CK161" s="4"/>
      <c r="CL161" s="4"/>
      <c r="CM161" s="4"/>
      <c r="CN161" s="4"/>
      <c r="CO161" s="4"/>
      <c r="CP161" s="4"/>
      <c r="CQ161" s="654"/>
      <c r="CR161" s="655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654"/>
      <c r="DD161" s="655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654"/>
      <c r="DP161" s="655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654"/>
      <c r="EB161" s="655"/>
      <c r="EC161" s="4"/>
      <c r="ED161" s="4"/>
      <c r="EE161" s="4"/>
      <c r="EF161" s="4"/>
      <c r="EG161" s="4"/>
      <c r="EH161" s="4"/>
      <c r="EI161" s="4"/>
      <c r="EJ161" s="4"/>
      <c r="EK161" s="4"/>
      <c r="EL161" s="4"/>
      <c r="EM161" s="693"/>
      <c r="EN161" s="723"/>
      <c r="EO161" s="4"/>
      <c r="EP161" s="4">
        <v>125</v>
      </c>
      <c r="EQ161" s="4"/>
      <c r="ER161" s="4"/>
      <c r="ES161" s="4"/>
      <c r="ET161" s="4"/>
      <c r="EU161" s="4"/>
      <c r="EV161" s="4"/>
      <c r="EW161" s="4"/>
      <c r="EX161" s="4"/>
      <c r="EY161" s="654"/>
      <c r="EZ161" s="655"/>
      <c r="FA161" s="4"/>
      <c r="FB161" s="4"/>
      <c r="FC161" s="4"/>
      <c r="FD161" s="4"/>
      <c r="FE161" s="4"/>
      <c r="FF161" s="4"/>
      <c r="FG161" s="4"/>
      <c r="FH161" s="4"/>
      <c r="FI161" s="4"/>
      <c r="FJ161" s="4"/>
      <c r="FK161" s="654"/>
      <c r="FL161" s="655"/>
      <c r="FM161" s="4"/>
      <c r="FN161" s="4"/>
      <c r="FO161" s="4"/>
      <c r="FP161" s="4"/>
      <c r="FQ161" s="4"/>
      <c r="FR161" s="4"/>
      <c r="FS161" s="4"/>
      <c r="FT161" s="4"/>
      <c r="FU161" s="4"/>
      <c r="FV161" s="4"/>
      <c r="FW161" s="654"/>
      <c r="FX161" s="655"/>
      <c r="FY161" s="4"/>
      <c r="FZ161" s="4"/>
      <c r="GA161" s="4"/>
      <c r="GB161" s="4"/>
      <c r="GC161" s="4"/>
      <c r="GD161" s="4"/>
      <c r="GE161" s="4"/>
      <c r="GF161" s="4"/>
      <c r="GG161" s="4"/>
      <c r="GH161" s="4"/>
      <c r="GI161" s="654"/>
      <c r="GJ161" s="655"/>
      <c r="GK161" s="4"/>
      <c r="GL161" s="4"/>
      <c r="GM161" s="4"/>
      <c r="GN161" s="4"/>
      <c r="GO161" s="4"/>
      <c r="GP161" s="4"/>
      <c r="GQ161" s="4"/>
      <c r="GR161" s="4"/>
      <c r="GS161" s="4"/>
      <c r="GT161" s="4"/>
      <c r="GU161" s="722"/>
      <c r="GV161" s="715"/>
    </row>
    <row r="162" spans="1:204" x14ac:dyDescent="0.25">
      <c r="A162" t="s">
        <v>957</v>
      </c>
      <c r="B162" s="2" t="s">
        <v>956</v>
      </c>
      <c r="C162" s="619">
        <v>44574</v>
      </c>
      <c r="D162" s="2" t="s">
        <v>941</v>
      </c>
      <c r="E162" t="s">
        <v>59</v>
      </c>
      <c r="F162" s="2" t="s">
        <v>43</v>
      </c>
      <c r="G162" t="s">
        <v>40</v>
      </c>
      <c r="H162" s="690" t="s">
        <v>85</v>
      </c>
      <c r="I162" s="691" t="s">
        <v>43</v>
      </c>
      <c r="J162" s="721">
        <v>3780401000108</v>
      </c>
      <c r="K162" s="691" t="s">
        <v>876</v>
      </c>
      <c r="L162" s="721">
        <v>22109465000118</v>
      </c>
      <c r="M162" s="718" t="s">
        <v>3</v>
      </c>
      <c r="N162" s="717" t="s">
        <v>44</v>
      </c>
      <c r="O162" s="719">
        <v>44652</v>
      </c>
      <c r="P162" s="720">
        <v>44681</v>
      </c>
      <c r="Q162" s="718">
        <v>120</v>
      </c>
      <c r="R162" s="717">
        <v>5</v>
      </c>
      <c r="S162" s="691" t="s">
        <v>54</v>
      </c>
      <c r="T162" t="s">
        <v>358</v>
      </c>
      <c r="U162" s="673" t="s">
        <v>358</v>
      </c>
      <c r="V162" s="690" t="s">
        <v>358</v>
      </c>
      <c r="W162" s="657" t="s">
        <v>329</v>
      </c>
      <c r="X162" s="723"/>
      <c r="Y162" s="4"/>
      <c r="Z162" s="4"/>
      <c r="AA162" s="4">
        <v>5</v>
      </c>
      <c r="AB162" s="4"/>
      <c r="AC162" s="4"/>
      <c r="AD162" s="4"/>
      <c r="AE162" s="4"/>
      <c r="AF162" s="4"/>
      <c r="AG162" s="4"/>
      <c r="AH162" s="4"/>
      <c r="AI162" s="654"/>
      <c r="AJ162" s="655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654"/>
      <c r="AV162" s="655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654"/>
      <c r="BH162" s="655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654"/>
      <c r="BT162" s="655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693"/>
      <c r="CF162" s="723"/>
      <c r="CG162" s="4"/>
      <c r="CH162" s="4"/>
      <c r="CI162" s="4">
        <v>120</v>
      </c>
      <c r="CJ162" s="4"/>
      <c r="CK162" s="4"/>
      <c r="CL162" s="4"/>
      <c r="CM162" s="4"/>
      <c r="CN162" s="4"/>
      <c r="CO162" s="4"/>
      <c r="CP162" s="4"/>
      <c r="CQ162" s="654"/>
      <c r="CR162" s="655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654"/>
      <c r="DD162" s="655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654"/>
      <c r="DP162" s="655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654"/>
      <c r="EB162" s="655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693"/>
      <c r="EN162" s="723"/>
      <c r="EO162" s="4"/>
      <c r="EP162" s="4"/>
      <c r="EQ162" s="4">
        <v>120</v>
      </c>
      <c r="ER162" s="4"/>
      <c r="ES162" s="4"/>
      <c r="ET162" s="4"/>
      <c r="EU162" s="4"/>
      <c r="EV162" s="4"/>
      <c r="EW162" s="4"/>
      <c r="EX162" s="4"/>
      <c r="EY162" s="654"/>
      <c r="EZ162" s="655"/>
      <c r="FA162" s="4"/>
      <c r="FB162" s="4"/>
      <c r="FC162" s="4"/>
      <c r="FD162" s="4"/>
      <c r="FE162" s="4"/>
      <c r="FF162" s="4"/>
      <c r="FG162" s="4"/>
      <c r="FH162" s="4"/>
      <c r="FI162" s="4"/>
      <c r="FJ162" s="4"/>
      <c r="FK162" s="654"/>
      <c r="FL162" s="655"/>
      <c r="FM162" s="4"/>
      <c r="FN162" s="4"/>
      <c r="FO162" s="4"/>
      <c r="FP162" s="4"/>
      <c r="FQ162" s="4"/>
      <c r="FR162" s="4"/>
      <c r="FS162" s="4"/>
      <c r="FT162" s="4"/>
      <c r="FU162" s="4"/>
      <c r="FV162" s="4"/>
      <c r="FW162" s="654"/>
      <c r="FX162" s="655"/>
      <c r="FY162" s="4"/>
      <c r="FZ162" s="4"/>
      <c r="GA162" s="4"/>
      <c r="GB162" s="4"/>
      <c r="GC162" s="4"/>
      <c r="GD162" s="4"/>
      <c r="GE162" s="4"/>
      <c r="GF162" s="4"/>
      <c r="GG162" s="4"/>
      <c r="GH162" s="4"/>
      <c r="GI162" s="654"/>
      <c r="GJ162" s="655"/>
      <c r="GK162" s="4"/>
      <c r="GL162" s="4"/>
      <c r="GM162" s="4"/>
      <c r="GN162" s="4"/>
      <c r="GO162" s="4"/>
      <c r="GP162" s="4"/>
      <c r="GQ162" s="4"/>
      <c r="GR162" s="4"/>
      <c r="GS162" s="4"/>
      <c r="GT162" s="4"/>
      <c r="GU162" s="722"/>
      <c r="GV162" s="715"/>
    </row>
    <row r="163" spans="1:204" x14ac:dyDescent="0.25">
      <c r="A163" t="s">
        <v>959</v>
      </c>
      <c r="B163" s="2" t="s">
        <v>958</v>
      </c>
      <c r="C163" s="619">
        <v>44574</v>
      </c>
      <c r="D163" s="2" t="s">
        <v>942</v>
      </c>
      <c r="E163" t="s">
        <v>59</v>
      </c>
      <c r="F163" s="2" t="s">
        <v>43</v>
      </c>
      <c r="G163" t="s">
        <v>40</v>
      </c>
      <c r="H163" s="690" t="s">
        <v>85</v>
      </c>
      <c r="I163" s="691" t="s">
        <v>43</v>
      </c>
      <c r="J163" s="721">
        <v>3780401000108</v>
      </c>
      <c r="K163" s="691" t="s">
        <v>409</v>
      </c>
      <c r="L163" s="721">
        <v>12809025000110</v>
      </c>
      <c r="M163" s="718" t="s">
        <v>3</v>
      </c>
      <c r="N163" s="717" t="s">
        <v>44</v>
      </c>
      <c r="O163" s="719">
        <v>44621</v>
      </c>
      <c r="P163" s="720">
        <v>44651</v>
      </c>
      <c r="Q163" s="718">
        <v>125</v>
      </c>
      <c r="R163" s="717">
        <v>1</v>
      </c>
      <c r="S163" s="691" t="s">
        <v>54</v>
      </c>
      <c r="T163" t="s">
        <v>358</v>
      </c>
      <c r="U163" s="673" t="s">
        <v>358</v>
      </c>
      <c r="V163" s="690" t="s">
        <v>358</v>
      </c>
      <c r="W163" s="657" t="s">
        <v>329</v>
      </c>
      <c r="X163" s="723"/>
      <c r="Y163" s="4"/>
      <c r="Z163" s="4">
        <v>1</v>
      </c>
      <c r="AA163" s="4"/>
      <c r="AB163" s="4"/>
      <c r="AC163" s="4"/>
      <c r="AD163" s="4"/>
      <c r="AE163" s="4"/>
      <c r="AF163" s="4"/>
      <c r="AG163" s="4"/>
      <c r="AH163" s="4"/>
      <c r="AI163" s="654"/>
      <c r="AJ163" s="655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654"/>
      <c r="AV163" s="655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654"/>
      <c r="BH163" s="655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654"/>
      <c r="BT163" s="655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693"/>
      <c r="CF163" s="723"/>
      <c r="CG163" s="4"/>
      <c r="CH163" s="4">
        <v>125</v>
      </c>
      <c r="CI163" s="4"/>
      <c r="CJ163" s="4"/>
      <c r="CK163" s="4"/>
      <c r="CL163" s="4"/>
      <c r="CM163" s="4"/>
      <c r="CN163" s="4"/>
      <c r="CO163" s="4"/>
      <c r="CP163" s="4"/>
      <c r="CQ163" s="654"/>
      <c r="CR163" s="655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654"/>
      <c r="DD163" s="655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654"/>
      <c r="DP163" s="655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654"/>
      <c r="EB163" s="655"/>
      <c r="EC163" s="4"/>
      <c r="ED163" s="4"/>
      <c r="EE163" s="4"/>
      <c r="EF163" s="4"/>
      <c r="EG163" s="4"/>
      <c r="EH163" s="4"/>
      <c r="EI163" s="4"/>
      <c r="EJ163" s="4"/>
      <c r="EK163" s="4"/>
      <c r="EL163" s="4"/>
      <c r="EM163" s="693"/>
      <c r="EN163" s="723"/>
      <c r="EO163" s="4"/>
      <c r="EP163" s="4">
        <v>125</v>
      </c>
      <c r="EQ163" s="4"/>
      <c r="ER163" s="4"/>
      <c r="ES163" s="4"/>
      <c r="ET163" s="4"/>
      <c r="EU163" s="4"/>
      <c r="EV163" s="4"/>
      <c r="EW163" s="4"/>
      <c r="EX163" s="4"/>
      <c r="EY163" s="654"/>
      <c r="EZ163" s="655"/>
      <c r="FA163" s="4"/>
      <c r="FB163" s="4"/>
      <c r="FC163" s="4"/>
      <c r="FD163" s="4"/>
      <c r="FE163" s="4"/>
      <c r="FF163" s="4"/>
      <c r="FG163" s="4"/>
      <c r="FH163" s="4"/>
      <c r="FI163" s="4"/>
      <c r="FJ163" s="4"/>
      <c r="FK163" s="654"/>
      <c r="FL163" s="655"/>
      <c r="FM163" s="4"/>
      <c r="FN163" s="4"/>
      <c r="FO163" s="4"/>
      <c r="FP163" s="4"/>
      <c r="FQ163" s="4"/>
      <c r="FR163" s="4"/>
      <c r="FS163" s="4"/>
      <c r="FT163" s="4"/>
      <c r="FU163" s="4"/>
      <c r="FV163" s="4"/>
      <c r="FW163" s="654"/>
      <c r="FX163" s="655"/>
      <c r="FY163" s="4"/>
      <c r="FZ163" s="4"/>
      <c r="GA163" s="4"/>
      <c r="GB163" s="4"/>
      <c r="GC163" s="4"/>
      <c r="GD163" s="4"/>
      <c r="GE163" s="4"/>
      <c r="GF163" s="4"/>
      <c r="GG163" s="4"/>
      <c r="GH163" s="4"/>
      <c r="GI163" s="654"/>
      <c r="GJ163" s="655"/>
      <c r="GK163" s="4"/>
      <c r="GL163" s="4"/>
      <c r="GM163" s="4"/>
      <c r="GN163" s="4"/>
      <c r="GO163" s="4"/>
      <c r="GP163" s="4"/>
      <c r="GQ163" s="4"/>
      <c r="GR163" s="4"/>
      <c r="GS163" s="4"/>
      <c r="GT163" s="4"/>
      <c r="GU163" s="722"/>
      <c r="GV163" s="715"/>
    </row>
    <row r="164" spans="1:204" x14ac:dyDescent="0.25">
      <c r="A164" t="s">
        <v>961</v>
      </c>
      <c r="B164" s="2" t="s">
        <v>960</v>
      </c>
      <c r="C164" s="619">
        <v>44574</v>
      </c>
      <c r="D164" s="2" t="s">
        <v>943</v>
      </c>
      <c r="E164" t="s">
        <v>58</v>
      </c>
      <c r="F164" s="2" t="s">
        <v>43</v>
      </c>
      <c r="G164" t="s">
        <v>40</v>
      </c>
      <c r="H164" s="690" t="s">
        <v>84</v>
      </c>
      <c r="I164" s="691" t="s">
        <v>409</v>
      </c>
      <c r="J164" s="721">
        <v>12809025000110</v>
      </c>
      <c r="K164" s="691" t="s">
        <v>43</v>
      </c>
      <c r="L164" s="721">
        <v>3780401000108</v>
      </c>
      <c r="M164" s="718" t="s">
        <v>3</v>
      </c>
      <c r="N164" s="717" t="s">
        <v>44</v>
      </c>
      <c r="O164" s="719">
        <v>44652</v>
      </c>
      <c r="P164" s="720">
        <v>44742</v>
      </c>
      <c r="Q164" s="718">
        <v>139</v>
      </c>
      <c r="R164" s="717">
        <v>2</v>
      </c>
      <c r="S164" s="691" t="s">
        <v>54</v>
      </c>
      <c r="T164" t="s">
        <v>358</v>
      </c>
      <c r="U164" s="673" t="s">
        <v>358</v>
      </c>
      <c r="V164" s="690" t="s">
        <v>358</v>
      </c>
      <c r="W164" s="657" t="s">
        <v>329</v>
      </c>
      <c r="X164" s="723"/>
      <c r="Y164" s="4"/>
      <c r="Z164" s="4"/>
      <c r="AA164" s="4">
        <v>2</v>
      </c>
      <c r="AB164" s="4">
        <v>2</v>
      </c>
      <c r="AC164" s="4">
        <v>2</v>
      </c>
      <c r="AD164" s="4"/>
      <c r="AE164" s="4"/>
      <c r="AF164" s="4"/>
      <c r="AG164" s="4"/>
      <c r="AH164" s="4"/>
      <c r="AI164" s="654"/>
      <c r="AJ164" s="655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654"/>
      <c r="AV164" s="655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654"/>
      <c r="BH164" s="655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654"/>
      <c r="BT164" s="655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693"/>
      <c r="CF164" s="723"/>
      <c r="CG164" s="4"/>
      <c r="CH164" s="4"/>
      <c r="CI164" s="4">
        <v>139</v>
      </c>
      <c r="CJ164" s="4">
        <v>139</v>
      </c>
      <c r="CK164" s="4">
        <v>139</v>
      </c>
      <c r="CL164" s="4"/>
      <c r="CM164" s="4"/>
      <c r="CN164" s="4"/>
      <c r="CO164" s="4"/>
      <c r="CP164" s="4"/>
      <c r="CQ164" s="654"/>
      <c r="CR164" s="655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654"/>
      <c r="DD164" s="655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654"/>
      <c r="DP164" s="655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654"/>
      <c r="EB164" s="655"/>
      <c r="EC164" s="4"/>
      <c r="ED164" s="4"/>
      <c r="EE164" s="4"/>
      <c r="EF164" s="4"/>
      <c r="EG164" s="4"/>
      <c r="EH164" s="4"/>
      <c r="EI164" s="4"/>
      <c r="EJ164" s="4"/>
      <c r="EK164" s="4"/>
      <c r="EL164" s="4"/>
      <c r="EM164" s="693"/>
      <c r="EN164" s="723"/>
      <c r="EO164" s="4"/>
      <c r="EP164" s="4"/>
      <c r="EQ164" s="4">
        <v>139</v>
      </c>
      <c r="ER164" s="4">
        <v>139</v>
      </c>
      <c r="ES164" s="4">
        <v>139</v>
      </c>
      <c r="ET164" s="4"/>
      <c r="EU164" s="4"/>
      <c r="EV164" s="4"/>
      <c r="EW164" s="4"/>
      <c r="EX164" s="4"/>
      <c r="EY164" s="654"/>
      <c r="EZ164" s="655"/>
      <c r="FA164" s="4"/>
      <c r="FB164" s="4"/>
      <c r="FC164" s="4"/>
      <c r="FD164" s="4"/>
      <c r="FE164" s="4"/>
      <c r="FF164" s="4"/>
      <c r="FG164" s="4"/>
      <c r="FH164" s="4"/>
      <c r="FI164" s="4"/>
      <c r="FJ164" s="4"/>
      <c r="FK164" s="654"/>
      <c r="FL164" s="655"/>
      <c r="FM164" s="4"/>
      <c r="FN164" s="4"/>
      <c r="FO164" s="4"/>
      <c r="FP164" s="4"/>
      <c r="FQ164" s="4"/>
      <c r="FR164" s="4"/>
      <c r="FS164" s="4"/>
      <c r="FT164" s="4"/>
      <c r="FU164" s="4"/>
      <c r="FV164" s="4"/>
      <c r="FW164" s="654"/>
      <c r="FX164" s="655"/>
      <c r="FY164" s="4"/>
      <c r="FZ164" s="4"/>
      <c r="GA164" s="4"/>
      <c r="GB164" s="4"/>
      <c r="GC164" s="4"/>
      <c r="GD164" s="4"/>
      <c r="GE164" s="4"/>
      <c r="GF164" s="4"/>
      <c r="GG164" s="4"/>
      <c r="GH164" s="4"/>
      <c r="GI164" s="654"/>
      <c r="GJ164" s="655"/>
      <c r="GK164" s="4"/>
      <c r="GL164" s="4"/>
      <c r="GM164" s="4"/>
      <c r="GN164" s="4"/>
      <c r="GO164" s="4"/>
      <c r="GP164" s="4"/>
      <c r="GQ164" s="4"/>
      <c r="GR164" s="4"/>
      <c r="GS164" s="4"/>
      <c r="GT164" s="4"/>
      <c r="GU164" s="722"/>
      <c r="GV164" s="715"/>
    </row>
    <row r="165" spans="1:204" x14ac:dyDescent="0.25">
      <c r="A165" t="s">
        <v>970</v>
      </c>
      <c r="B165" s="2" t="s">
        <v>969</v>
      </c>
      <c r="C165" s="619">
        <v>44575</v>
      </c>
      <c r="D165" s="2" t="s">
        <v>962</v>
      </c>
      <c r="E165" t="s">
        <v>59</v>
      </c>
      <c r="F165" s="2" t="s">
        <v>43</v>
      </c>
      <c r="G165" t="s">
        <v>40</v>
      </c>
      <c r="H165" s="690" t="s">
        <v>85</v>
      </c>
      <c r="I165" s="691" t="s">
        <v>43</v>
      </c>
      <c r="J165" s="721">
        <v>3780401000108</v>
      </c>
      <c r="K165" s="691" t="s">
        <v>967</v>
      </c>
      <c r="L165" s="721">
        <v>3984862000194</v>
      </c>
      <c r="M165" s="718" t="s">
        <v>3</v>
      </c>
      <c r="N165" s="717" t="s">
        <v>44</v>
      </c>
      <c r="O165" s="719">
        <v>44896</v>
      </c>
      <c r="P165" s="720">
        <v>44926</v>
      </c>
      <c r="Q165" s="718">
        <v>180</v>
      </c>
      <c r="R165" s="717">
        <v>10</v>
      </c>
      <c r="S165" s="691" t="s">
        <v>54</v>
      </c>
      <c r="T165" t="s">
        <v>358</v>
      </c>
      <c r="U165" s="673" t="s">
        <v>358</v>
      </c>
      <c r="V165" s="690" t="s">
        <v>358</v>
      </c>
      <c r="W165" s="657" t="s">
        <v>329</v>
      </c>
      <c r="X165" s="723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654">
        <v>10</v>
      </c>
      <c r="AJ165" s="655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654"/>
      <c r="AV165" s="655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654"/>
      <c r="BH165" s="655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654"/>
      <c r="BT165" s="655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693"/>
      <c r="CF165" s="723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654">
        <v>180</v>
      </c>
      <c r="CR165" s="655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654"/>
      <c r="DD165" s="655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654"/>
      <c r="DP165" s="655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654"/>
      <c r="EB165" s="655"/>
      <c r="EC165" s="4"/>
      <c r="ED165" s="4"/>
      <c r="EE165" s="4"/>
      <c r="EF165" s="4"/>
      <c r="EG165" s="4"/>
      <c r="EH165" s="4"/>
      <c r="EI165" s="4"/>
      <c r="EJ165" s="4"/>
      <c r="EK165" s="4"/>
      <c r="EL165" s="4"/>
      <c r="EM165" s="693"/>
      <c r="EN165" s="723"/>
      <c r="EO165" s="4"/>
      <c r="EP165" s="4"/>
      <c r="EQ165" s="4"/>
      <c r="ER165" s="4"/>
      <c r="ES165" s="4"/>
      <c r="ET165" s="4"/>
      <c r="EU165" s="4"/>
      <c r="EV165" s="4"/>
      <c r="EW165" s="4"/>
      <c r="EX165" s="4"/>
      <c r="EY165" s="654">
        <v>180</v>
      </c>
      <c r="EZ165" s="655"/>
      <c r="FA165" s="4"/>
      <c r="FB165" s="4"/>
      <c r="FC165" s="4"/>
      <c r="FD165" s="4"/>
      <c r="FE165" s="4"/>
      <c r="FF165" s="4"/>
      <c r="FG165" s="4"/>
      <c r="FH165" s="4"/>
      <c r="FI165" s="4"/>
      <c r="FJ165" s="4"/>
      <c r="FK165" s="654"/>
      <c r="FL165" s="655"/>
      <c r="FM165" s="4"/>
      <c r="FN165" s="4"/>
      <c r="FO165" s="4"/>
      <c r="FP165" s="4"/>
      <c r="FQ165" s="4"/>
      <c r="FR165" s="4"/>
      <c r="FS165" s="4"/>
      <c r="FT165" s="4"/>
      <c r="FU165" s="4"/>
      <c r="FV165" s="4"/>
      <c r="FW165" s="654"/>
      <c r="FX165" s="655"/>
      <c r="FY165" s="4"/>
      <c r="FZ165" s="4"/>
      <c r="GA165" s="4"/>
      <c r="GB165" s="4"/>
      <c r="GC165" s="4"/>
      <c r="GD165" s="4"/>
      <c r="GE165" s="4"/>
      <c r="GF165" s="4"/>
      <c r="GG165" s="4"/>
      <c r="GH165" s="4"/>
      <c r="GI165" s="654"/>
      <c r="GJ165" s="655"/>
      <c r="GK165" s="4"/>
      <c r="GL165" s="4"/>
      <c r="GM165" s="4"/>
      <c r="GN165" s="4"/>
      <c r="GO165" s="4"/>
      <c r="GP165" s="4"/>
      <c r="GQ165" s="4"/>
      <c r="GR165" s="4"/>
      <c r="GS165" s="4"/>
      <c r="GT165" s="4"/>
      <c r="GU165" s="722"/>
      <c r="GV165" s="715"/>
    </row>
    <row r="166" spans="1:204" x14ac:dyDescent="0.25">
      <c r="A166" t="s">
        <v>972</v>
      </c>
      <c r="B166" s="2" t="s">
        <v>971</v>
      </c>
      <c r="C166" s="619">
        <v>44575</v>
      </c>
      <c r="D166" s="2" t="s">
        <v>963</v>
      </c>
      <c r="E166" t="s">
        <v>59</v>
      </c>
      <c r="F166" s="2" t="s">
        <v>43</v>
      </c>
      <c r="G166" t="s">
        <v>40</v>
      </c>
      <c r="H166" s="690" t="s">
        <v>85</v>
      </c>
      <c r="I166" s="691" t="s">
        <v>43</v>
      </c>
      <c r="J166" s="721">
        <v>3780401000108</v>
      </c>
      <c r="K166" s="691" t="s">
        <v>968</v>
      </c>
      <c r="L166" s="721">
        <v>13700609000115</v>
      </c>
      <c r="M166" s="718" t="s">
        <v>3</v>
      </c>
      <c r="N166" s="717" t="s">
        <v>44</v>
      </c>
      <c r="O166" s="719">
        <v>44621</v>
      </c>
      <c r="P166" s="720">
        <v>44651</v>
      </c>
      <c r="Q166" s="718">
        <v>124</v>
      </c>
      <c r="R166" s="717">
        <v>1</v>
      </c>
      <c r="S166" s="691" t="s">
        <v>54</v>
      </c>
      <c r="T166" t="s">
        <v>358</v>
      </c>
      <c r="U166" s="673" t="s">
        <v>358</v>
      </c>
      <c r="V166" s="690" t="s">
        <v>358</v>
      </c>
      <c r="W166" s="657" t="s">
        <v>329</v>
      </c>
      <c r="X166" s="723"/>
      <c r="Y166" s="4"/>
      <c r="Z166" s="4">
        <v>1</v>
      </c>
      <c r="AA166" s="4"/>
      <c r="AB166" s="4"/>
      <c r="AC166" s="4"/>
      <c r="AD166" s="4"/>
      <c r="AE166" s="4"/>
      <c r="AF166" s="4"/>
      <c r="AG166" s="4"/>
      <c r="AH166" s="4"/>
      <c r="AI166" s="654"/>
      <c r="AJ166" s="655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654"/>
      <c r="AV166" s="655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654"/>
      <c r="BH166" s="655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654"/>
      <c r="BT166" s="655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693"/>
      <c r="CF166" s="723"/>
      <c r="CG166" s="4"/>
      <c r="CH166" s="4">
        <v>124</v>
      </c>
      <c r="CI166" s="4"/>
      <c r="CJ166" s="4"/>
      <c r="CK166" s="4"/>
      <c r="CL166" s="4"/>
      <c r="CM166" s="4"/>
      <c r="CN166" s="4"/>
      <c r="CO166" s="4"/>
      <c r="CP166" s="4"/>
      <c r="CQ166" s="654"/>
      <c r="CR166" s="655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654"/>
      <c r="DD166" s="655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654"/>
      <c r="DP166" s="655"/>
      <c r="DQ166" s="4"/>
      <c r="DR166" s="4"/>
      <c r="DS166" s="4"/>
      <c r="DT166" s="4"/>
      <c r="DU166" s="4"/>
      <c r="DV166" s="4"/>
      <c r="DW166" s="4"/>
      <c r="DX166" s="4"/>
      <c r="DY166" s="4"/>
      <c r="DZ166" s="4"/>
      <c r="EA166" s="654"/>
      <c r="EB166" s="655"/>
      <c r="EC166" s="4"/>
      <c r="ED166" s="4"/>
      <c r="EE166" s="4"/>
      <c r="EF166" s="4"/>
      <c r="EG166" s="4"/>
      <c r="EH166" s="4"/>
      <c r="EI166" s="4"/>
      <c r="EJ166" s="4"/>
      <c r="EK166" s="4"/>
      <c r="EL166" s="4"/>
      <c r="EM166" s="693"/>
      <c r="EN166" s="723"/>
      <c r="EO166" s="4"/>
      <c r="EP166" s="4">
        <v>124</v>
      </c>
      <c r="EQ166" s="4"/>
      <c r="ER166" s="4"/>
      <c r="ES166" s="4"/>
      <c r="ET166" s="4"/>
      <c r="EU166" s="4"/>
      <c r="EV166" s="4"/>
      <c r="EW166" s="4"/>
      <c r="EX166" s="4"/>
      <c r="EY166" s="654"/>
      <c r="EZ166" s="655"/>
      <c r="FA166" s="4"/>
      <c r="FB166" s="4"/>
      <c r="FC166" s="4"/>
      <c r="FD166" s="4"/>
      <c r="FE166" s="4"/>
      <c r="FF166" s="4"/>
      <c r="FG166" s="4"/>
      <c r="FH166" s="4"/>
      <c r="FI166" s="4"/>
      <c r="FJ166" s="4"/>
      <c r="FK166" s="654"/>
      <c r="FL166" s="655"/>
      <c r="FM166" s="4"/>
      <c r="FN166" s="4"/>
      <c r="FO166" s="4"/>
      <c r="FP166" s="4"/>
      <c r="FQ166" s="4"/>
      <c r="FR166" s="4"/>
      <c r="FS166" s="4"/>
      <c r="FT166" s="4"/>
      <c r="FU166" s="4"/>
      <c r="FV166" s="4"/>
      <c r="FW166" s="654"/>
      <c r="FX166" s="655"/>
      <c r="FY166" s="4"/>
      <c r="FZ166" s="4"/>
      <c r="GA166" s="4"/>
      <c r="GB166" s="4"/>
      <c r="GC166" s="4"/>
      <c r="GD166" s="4"/>
      <c r="GE166" s="4"/>
      <c r="GF166" s="4"/>
      <c r="GG166" s="4"/>
      <c r="GH166" s="4"/>
      <c r="GI166" s="654"/>
      <c r="GJ166" s="655"/>
      <c r="GK166" s="4"/>
      <c r="GL166" s="4"/>
      <c r="GM166" s="4"/>
      <c r="GN166" s="4"/>
      <c r="GO166" s="4"/>
      <c r="GP166" s="4"/>
      <c r="GQ166" s="4"/>
      <c r="GR166" s="4"/>
      <c r="GS166" s="4"/>
      <c r="GT166" s="4"/>
      <c r="GU166" s="722"/>
      <c r="GV166" s="715"/>
    </row>
    <row r="167" spans="1:204" x14ac:dyDescent="0.25">
      <c r="A167" t="s">
        <v>974</v>
      </c>
      <c r="B167" s="2" t="s">
        <v>973</v>
      </c>
      <c r="C167" s="619">
        <v>44575</v>
      </c>
      <c r="D167" s="2" t="s">
        <v>964</v>
      </c>
      <c r="E167" t="s">
        <v>59</v>
      </c>
      <c r="F167" s="2" t="s">
        <v>43</v>
      </c>
      <c r="G167" t="s">
        <v>40</v>
      </c>
      <c r="H167" s="690" t="s">
        <v>85</v>
      </c>
      <c r="I167" s="691" t="s">
        <v>43</v>
      </c>
      <c r="J167" s="721">
        <v>3780401000108</v>
      </c>
      <c r="K167" s="691" t="s">
        <v>508</v>
      </c>
      <c r="L167" s="721">
        <v>8773135000100</v>
      </c>
      <c r="M167" s="718" t="s">
        <v>3</v>
      </c>
      <c r="N167" s="717" t="s">
        <v>44</v>
      </c>
      <c r="O167" s="719">
        <v>44652</v>
      </c>
      <c r="P167" s="720">
        <v>44681</v>
      </c>
      <c r="Q167" s="718">
        <v>124</v>
      </c>
      <c r="R167" s="717">
        <v>0.6</v>
      </c>
      <c r="S167" s="691" t="s">
        <v>54</v>
      </c>
      <c r="T167" t="s">
        <v>358</v>
      </c>
      <c r="U167" s="673" t="s">
        <v>358</v>
      </c>
      <c r="V167" s="690" t="s">
        <v>358</v>
      </c>
      <c r="W167" s="657" t="s">
        <v>329</v>
      </c>
      <c r="X167" s="723"/>
      <c r="Y167" s="4"/>
      <c r="Z167" s="4"/>
      <c r="AA167" s="4">
        <v>0.6</v>
      </c>
      <c r="AB167" s="4"/>
      <c r="AC167" s="4"/>
      <c r="AD167" s="4"/>
      <c r="AE167" s="4"/>
      <c r="AF167" s="4"/>
      <c r="AG167" s="4"/>
      <c r="AH167" s="4"/>
      <c r="AI167" s="654"/>
      <c r="AJ167" s="655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654"/>
      <c r="AV167" s="655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654"/>
      <c r="BH167" s="655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654"/>
      <c r="BT167" s="655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693"/>
      <c r="CF167" s="723"/>
      <c r="CG167" s="4"/>
      <c r="CH167" s="4"/>
      <c r="CI167" s="4">
        <v>124</v>
      </c>
      <c r="CJ167" s="4"/>
      <c r="CK167" s="4"/>
      <c r="CL167" s="4"/>
      <c r="CM167" s="4"/>
      <c r="CN167" s="4"/>
      <c r="CO167" s="4"/>
      <c r="CP167" s="4"/>
      <c r="CQ167" s="654"/>
      <c r="CR167" s="655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654"/>
      <c r="DD167" s="655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654"/>
      <c r="DP167" s="655"/>
      <c r="DQ167" s="4"/>
      <c r="DR167" s="4"/>
      <c r="DS167" s="4"/>
      <c r="DT167" s="4"/>
      <c r="DU167" s="4"/>
      <c r="DV167" s="4"/>
      <c r="DW167" s="4"/>
      <c r="DX167" s="4"/>
      <c r="DY167" s="4"/>
      <c r="DZ167" s="4"/>
      <c r="EA167" s="654"/>
      <c r="EB167" s="655"/>
      <c r="EC167" s="4"/>
      <c r="ED167" s="4"/>
      <c r="EE167" s="4"/>
      <c r="EF167" s="4"/>
      <c r="EG167" s="4"/>
      <c r="EH167" s="4"/>
      <c r="EI167" s="4"/>
      <c r="EJ167" s="4"/>
      <c r="EK167" s="4"/>
      <c r="EL167" s="4"/>
      <c r="EM167" s="693"/>
      <c r="EN167" s="723"/>
      <c r="EO167" s="4"/>
      <c r="EP167" s="4"/>
      <c r="EQ167" s="4">
        <v>124</v>
      </c>
      <c r="ER167" s="4"/>
      <c r="ES167" s="4"/>
      <c r="ET167" s="4"/>
      <c r="EU167" s="4"/>
      <c r="EV167" s="4"/>
      <c r="EW167" s="4"/>
      <c r="EX167" s="4"/>
      <c r="EY167" s="654"/>
      <c r="EZ167" s="655"/>
      <c r="FA167" s="4"/>
      <c r="FB167" s="4"/>
      <c r="FC167" s="4"/>
      <c r="FD167" s="4"/>
      <c r="FE167" s="4"/>
      <c r="FF167" s="4"/>
      <c r="FG167" s="4"/>
      <c r="FH167" s="4"/>
      <c r="FI167" s="4"/>
      <c r="FJ167" s="4"/>
      <c r="FK167" s="654"/>
      <c r="FL167" s="655"/>
      <c r="FM167" s="4"/>
      <c r="FN167" s="4"/>
      <c r="FO167" s="4"/>
      <c r="FP167" s="4"/>
      <c r="FQ167" s="4"/>
      <c r="FR167" s="4"/>
      <c r="FS167" s="4"/>
      <c r="FT167" s="4"/>
      <c r="FU167" s="4"/>
      <c r="FV167" s="4"/>
      <c r="FW167" s="654"/>
      <c r="FX167" s="655"/>
      <c r="FY167" s="4"/>
      <c r="FZ167" s="4"/>
      <c r="GA167" s="4"/>
      <c r="GB167" s="4"/>
      <c r="GC167" s="4"/>
      <c r="GD167" s="4"/>
      <c r="GE167" s="4"/>
      <c r="GF167" s="4"/>
      <c r="GG167" s="4"/>
      <c r="GH167" s="4"/>
      <c r="GI167" s="654"/>
      <c r="GJ167" s="655"/>
      <c r="GK167" s="4"/>
      <c r="GL167" s="4"/>
      <c r="GM167" s="4"/>
      <c r="GN167" s="4"/>
      <c r="GO167" s="4"/>
      <c r="GP167" s="4"/>
      <c r="GQ167" s="4"/>
      <c r="GR167" s="4"/>
      <c r="GS167" s="4"/>
      <c r="GT167" s="4"/>
      <c r="GU167" s="722"/>
      <c r="GV167" s="715"/>
    </row>
    <row r="168" spans="1:204" x14ac:dyDescent="0.25">
      <c r="A168" t="s">
        <v>976</v>
      </c>
      <c r="B168" s="2" t="s">
        <v>975</v>
      </c>
      <c r="C168" s="619">
        <v>44575</v>
      </c>
      <c r="D168" s="2" t="s">
        <v>965</v>
      </c>
      <c r="E168" t="s">
        <v>59</v>
      </c>
      <c r="F168" s="2" t="s">
        <v>43</v>
      </c>
      <c r="G168" t="s">
        <v>40</v>
      </c>
      <c r="H168" s="690" t="s">
        <v>85</v>
      </c>
      <c r="I168" s="691" t="s">
        <v>43</v>
      </c>
      <c r="J168" s="721">
        <v>3780401000108</v>
      </c>
      <c r="K168" s="691" t="s">
        <v>478</v>
      </c>
      <c r="L168" s="721">
        <v>18483400000160</v>
      </c>
      <c r="M168" s="718" t="s">
        <v>3</v>
      </c>
      <c r="N168" s="717" t="s">
        <v>44</v>
      </c>
      <c r="O168" s="719">
        <v>44621</v>
      </c>
      <c r="P168" s="720">
        <v>44651</v>
      </c>
      <c r="Q168" s="718">
        <v>121</v>
      </c>
      <c r="R168" s="717">
        <v>3</v>
      </c>
      <c r="S168" s="691" t="s">
        <v>54</v>
      </c>
      <c r="T168" t="s">
        <v>358</v>
      </c>
      <c r="U168" s="673" t="s">
        <v>358</v>
      </c>
      <c r="V168" s="690" t="s">
        <v>358</v>
      </c>
      <c r="W168" s="657" t="s">
        <v>329</v>
      </c>
      <c r="X168" s="723"/>
      <c r="Y168" s="4"/>
      <c r="Z168" s="4">
        <v>3</v>
      </c>
      <c r="AA168" s="4"/>
      <c r="AB168" s="4"/>
      <c r="AC168" s="4"/>
      <c r="AD168" s="4"/>
      <c r="AE168" s="4"/>
      <c r="AF168" s="4"/>
      <c r="AG168" s="4"/>
      <c r="AH168" s="4"/>
      <c r="AI168" s="654"/>
      <c r="AJ168" s="655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654"/>
      <c r="AV168" s="655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654"/>
      <c r="BH168" s="655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654"/>
      <c r="BT168" s="655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693"/>
      <c r="CF168" s="723"/>
      <c r="CG168" s="4"/>
      <c r="CH168" s="4">
        <v>121</v>
      </c>
      <c r="CI168" s="4"/>
      <c r="CJ168" s="4"/>
      <c r="CK168" s="4"/>
      <c r="CL168" s="4"/>
      <c r="CM168" s="4"/>
      <c r="CN168" s="4"/>
      <c r="CO168" s="4"/>
      <c r="CP168" s="4"/>
      <c r="CQ168" s="654"/>
      <c r="CR168" s="655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654"/>
      <c r="DD168" s="655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654"/>
      <c r="DP168" s="655"/>
      <c r="DQ168" s="4"/>
      <c r="DR168" s="4"/>
      <c r="DS168" s="4"/>
      <c r="DT168" s="4"/>
      <c r="DU168" s="4"/>
      <c r="DV168" s="4"/>
      <c r="DW168" s="4"/>
      <c r="DX168" s="4"/>
      <c r="DY168" s="4"/>
      <c r="DZ168" s="4"/>
      <c r="EA168" s="654"/>
      <c r="EB168" s="655"/>
      <c r="EC168" s="4"/>
      <c r="ED168" s="4"/>
      <c r="EE168" s="4"/>
      <c r="EF168" s="4"/>
      <c r="EG168" s="4"/>
      <c r="EH168" s="4"/>
      <c r="EI168" s="4"/>
      <c r="EJ168" s="4"/>
      <c r="EK168" s="4"/>
      <c r="EL168" s="4"/>
      <c r="EM168" s="693"/>
      <c r="EN168" s="723"/>
      <c r="EO168" s="4"/>
      <c r="EP168" s="4">
        <v>121</v>
      </c>
      <c r="EQ168" s="4"/>
      <c r="ER168" s="4"/>
      <c r="ES168" s="4"/>
      <c r="ET168" s="4"/>
      <c r="EU168" s="4"/>
      <c r="EV168" s="4"/>
      <c r="EW168" s="4"/>
      <c r="EX168" s="4"/>
      <c r="EY168" s="654"/>
      <c r="EZ168" s="655"/>
      <c r="FA168" s="4"/>
      <c r="FB168" s="4"/>
      <c r="FC168" s="4"/>
      <c r="FD168" s="4"/>
      <c r="FE168" s="4"/>
      <c r="FF168" s="4"/>
      <c r="FG168" s="4"/>
      <c r="FH168" s="4"/>
      <c r="FI168" s="4"/>
      <c r="FJ168" s="4"/>
      <c r="FK168" s="654"/>
      <c r="FL168" s="655"/>
      <c r="FM168" s="4"/>
      <c r="FN168" s="4"/>
      <c r="FO168" s="4"/>
      <c r="FP168" s="4"/>
      <c r="FQ168" s="4"/>
      <c r="FR168" s="4"/>
      <c r="FS168" s="4"/>
      <c r="FT168" s="4"/>
      <c r="FU168" s="4"/>
      <c r="FV168" s="4"/>
      <c r="FW168" s="654"/>
      <c r="FX168" s="655"/>
      <c r="FY168" s="4"/>
      <c r="FZ168" s="4"/>
      <c r="GA168" s="4"/>
      <c r="GB168" s="4"/>
      <c r="GC168" s="4"/>
      <c r="GD168" s="4"/>
      <c r="GE168" s="4"/>
      <c r="GF168" s="4"/>
      <c r="GG168" s="4"/>
      <c r="GH168" s="4"/>
      <c r="GI168" s="654"/>
      <c r="GJ168" s="655"/>
      <c r="GK168" s="4"/>
      <c r="GL168" s="4"/>
      <c r="GM168" s="4"/>
      <c r="GN168" s="4"/>
      <c r="GO168" s="4"/>
      <c r="GP168" s="4"/>
      <c r="GQ168" s="4"/>
      <c r="GR168" s="4"/>
      <c r="GS168" s="4"/>
      <c r="GT168" s="4"/>
      <c r="GU168" s="722"/>
      <c r="GV168" s="715"/>
    </row>
    <row r="169" spans="1:204" x14ac:dyDescent="0.25">
      <c r="A169" t="s">
        <v>978</v>
      </c>
      <c r="B169" s="2" t="s">
        <v>977</v>
      </c>
      <c r="C169" s="619">
        <v>44575</v>
      </c>
      <c r="D169" s="2" t="s">
        <v>966</v>
      </c>
      <c r="E169" t="s">
        <v>59</v>
      </c>
      <c r="F169" s="2" t="s">
        <v>43</v>
      </c>
      <c r="G169" t="s">
        <v>40</v>
      </c>
      <c r="H169" s="690" t="s">
        <v>85</v>
      </c>
      <c r="I169" s="691" t="s">
        <v>43</v>
      </c>
      <c r="J169" s="721">
        <v>3780401000108</v>
      </c>
      <c r="K169" s="691" t="s">
        <v>409</v>
      </c>
      <c r="L169" s="721">
        <v>12809025000110</v>
      </c>
      <c r="M169" s="718" t="s">
        <v>3</v>
      </c>
      <c r="N169" s="717" t="s">
        <v>44</v>
      </c>
      <c r="O169" s="719">
        <v>44621</v>
      </c>
      <c r="P169" s="720">
        <v>44651</v>
      </c>
      <c r="Q169" s="718">
        <v>120</v>
      </c>
      <c r="R169" s="717">
        <v>5</v>
      </c>
      <c r="S169" s="691" t="s">
        <v>54</v>
      </c>
      <c r="T169" t="s">
        <v>358</v>
      </c>
      <c r="U169" s="673" t="s">
        <v>358</v>
      </c>
      <c r="V169" s="690" t="s">
        <v>358</v>
      </c>
      <c r="W169" s="657" t="s">
        <v>329</v>
      </c>
      <c r="X169" s="723"/>
      <c r="Y169" s="4"/>
      <c r="Z169" s="4">
        <v>5</v>
      </c>
      <c r="AA169" s="4"/>
      <c r="AB169" s="4"/>
      <c r="AC169" s="4"/>
      <c r="AD169" s="4"/>
      <c r="AE169" s="4"/>
      <c r="AF169" s="4"/>
      <c r="AG169" s="4"/>
      <c r="AH169" s="4"/>
      <c r="AI169" s="654"/>
      <c r="AJ169" s="655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654"/>
      <c r="AV169" s="655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654"/>
      <c r="BH169" s="655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654"/>
      <c r="BT169" s="655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693"/>
      <c r="CF169" s="723"/>
      <c r="CG169" s="4"/>
      <c r="CH169" s="4">
        <v>120</v>
      </c>
      <c r="CI169" s="4"/>
      <c r="CJ169" s="4"/>
      <c r="CK169" s="4"/>
      <c r="CL169" s="4"/>
      <c r="CM169" s="4"/>
      <c r="CN169" s="4"/>
      <c r="CO169" s="4"/>
      <c r="CP169" s="4"/>
      <c r="CQ169" s="654"/>
      <c r="CR169" s="655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654"/>
      <c r="DD169" s="655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654"/>
      <c r="DP169" s="655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654"/>
      <c r="EB169" s="655"/>
      <c r="EC169" s="4"/>
      <c r="ED169" s="4"/>
      <c r="EE169" s="4"/>
      <c r="EF169" s="4"/>
      <c r="EG169" s="4"/>
      <c r="EH169" s="4"/>
      <c r="EI169" s="4"/>
      <c r="EJ169" s="4"/>
      <c r="EK169" s="4"/>
      <c r="EL169" s="4"/>
      <c r="EM169" s="693"/>
      <c r="EN169" s="723"/>
      <c r="EO169" s="4"/>
      <c r="EP169" s="4">
        <v>120</v>
      </c>
      <c r="EQ169" s="4"/>
      <c r="ER169" s="4"/>
      <c r="ES169" s="4"/>
      <c r="ET169" s="4"/>
      <c r="EU169" s="4"/>
      <c r="EV169" s="4"/>
      <c r="EW169" s="4"/>
      <c r="EX169" s="4"/>
      <c r="EY169" s="654"/>
      <c r="EZ169" s="655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654"/>
      <c r="FL169" s="655"/>
      <c r="FM169" s="4"/>
      <c r="FN169" s="4"/>
      <c r="FO169" s="4"/>
      <c r="FP169" s="4"/>
      <c r="FQ169" s="4"/>
      <c r="FR169" s="4"/>
      <c r="FS169" s="4"/>
      <c r="FT169" s="4"/>
      <c r="FU169" s="4"/>
      <c r="FV169" s="4"/>
      <c r="FW169" s="654"/>
      <c r="FX169" s="655"/>
      <c r="FY169" s="4"/>
      <c r="FZ169" s="4"/>
      <c r="GA169" s="4"/>
      <c r="GB169" s="4"/>
      <c r="GC169" s="4"/>
      <c r="GD169" s="4"/>
      <c r="GE169" s="4"/>
      <c r="GF169" s="4"/>
      <c r="GG169" s="4"/>
      <c r="GH169" s="4"/>
      <c r="GI169" s="654"/>
      <c r="GJ169" s="655"/>
      <c r="GK169" s="4"/>
      <c r="GL169" s="4"/>
      <c r="GM169" s="4"/>
      <c r="GN169" s="4"/>
      <c r="GO169" s="4"/>
      <c r="GP169" s="4"/>
      <c r="GQ169" s="4"/>
      <c r="GR169" s="4"/>
      <c r="GS169" s="4"/>
      <c r="GT169" s="4"/>
      <c r="GU169" s="722"/>
      <c r="GV169" s="715"/>
    </row>
    <row r="170" spans="1:204" x14ac:dyDescent="0.25">
      <c r="A170" t="s">
        <v>983</v>
      </c>
      <c r="B170" s="2" t="s">
        <v>982</v>
      </c>
      <c r="C170" s="619">
        <v>44578</v>
      </c>
      <c r="D170" s="2" t="s">
        <v>979</v>
      </c>
      <c r="E170" t="s">
        <v>59</v>
      </c>
      <c r="F170" s="2" t="s">
        <v>43</v>
      </c>
      <c r="G170" t="s">
        <v>40</v>
      </c>
      <c r="H170" s="690" t="s">
        <v>85</v>
      </c>
      <c r="I170" s="691" t="s">
        <v>43</v>
      </c>
      <c r="J170" s="721">
        <v>3780401000108</v>
      </c>
      <c r="K170" s="691" t="s">
        <v>981</v>
      </c>
      <c r="L170" s="721">
        <v>18185035000108</v>
      </c>
      <c r="M170" s="718" t="s">
        <v>3</v>
      </c>
      <c r="N170" s="717" t="s">
        <v>44</v>
      </c>
      <c r="O170" s="719">
        <v>44621</v>
      </c>
      <c r="P170" s="720">
        <v>44651</v>
      </c>
      <c r="Q170" s="718">
        <v>125</v>
      </c>
      <c r="R170" s="717">
        <v>1</v>
      </c>
      <c r="S170" s="691" t="s">
        <v>54</v>
      </c>
      <c r="T170" t="s">
        <v>358</v>
      </c>
      <c r="U170" s="673" t="s">
        <v>358</v>
      </c>
      <c r="V170" s="690" t="s">
        <v>358</v>
      </c>
      <c r="W170" s="657" t="s">
        <v>329</v>
      </c>
      <c r="X170" s="723"/>
      <c r="Y170" s="4"/>
      <c r="Z170" s="4">
        <v>1</v>
      </c>
      <c r="AA170" s="4"/>
      <c r="AB170" s="4"/>
      <c r="AC170" s="4"/>
      <c r="AD170" s="4"/>
      <c r="AE170" s="4"/>
      <c r="AF170" s="4"/>
      <c r="AG170" s="4"/>
      <c r="AH170" s="4"/>
      <c r="AI170" s="654"/>
      <c r="AJ170" s="655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654"/>
      <c r="AV170" s="655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654"/>
      <c r="BH170" s="655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654"/>
      <c r="BT170" s="655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693"/>
      <c r="CF170" s="723"/>
      <c r="CG170" s="4"/>
      <c r="CH170" s="4">
        <v>125</v>
      </c>
      <c r="CI170" s="4"/>
      <c r="CJ170" s="4"/>
      <c r="CK170" s="4"/>
      <c r="CL170" s="4"/>
      <c r="CM170" s="4"/>
      <c r="CN170" s="4"/>
      <c r="CO170" s="4"/>
      <c r="CP170" s="4"/>
      <c r="CQ170" s="654"/>
      <c r="CR170" s="655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654"/>
      <c r="DD170" s="655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654"/>
      <c r="DP170" s="655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654"/>
      <c r="EB170" s="655"/>
      <c r="EC170" s="4"/>
      <c r="ED170" s="4"/>
      <c r="EE170" s="4"/>
      <c r="EF170" s="4"/>
      <c r="EG170" s="4"/>
      <c r="EH170" s="4"/>
      <c r="EI170" s="4"/>
      <c r="EJ170" s="4"/>
      <c r="EK170" s="4"/>
      <c r="EL170" s="4"/>
      <c r="EM170" s="693"/>
      <c r="EN170" s="723"/>
      <c r="EO170" s="4"/>
      <c r="EP170" s="4">
        <v>125</v>
      </c>
      <c r="EQ170" s="4"/>
      <c r="ER170" s="4"/>
      <c r="ES170" s="4"/>
      <c r="ET170" s="4"/>
      <c r="EU170" s="4"/>
      <c r="EV170" s="4"/>
      <c r="EW170" s="4"/>
      <c r="EX170" s="4"/>
      <c r="EY170" s="654"/>
      <c r="EZ170" s="655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654"/>
      <c r="FL170" s="655"/>
      <c r="FM170" s="4"/>
      <c r="FN170" s="4"/>
      <c r="FO170" s="4"/>
      <c r="FP170" s="4"/>
      <c r="FQ170" s="4"/>
      <c r="FR170" s="4"/>
      <c r="FS170" s="4"/>
      <c r="FT170" s="4"/>
      <c r="FU170" s="4"/>
      <c r="FV170" s="4"/>
      <c r="FW170" s="654"/>
      <c r="FX170" s="655"/>
      <c r="FY170" s="4"/>
      <c r="FZ170" s="4"/>
      <c r="GA170" s="4"/>
      <c r="GB170" s="4"/>
      <c r="GC170" s="4"/>
      <c r="GD170" s="4"/>
      <c r="GE170" s="4"/>
      <c r="GF170" s="4"/>
      <c r="GG170" s="4"/>
      <c r="GH170" s="4"/>
      <c r="GI170" s="654"/>
      <c r="GJ170" s="655"/>
      <c r="GK170" s="4"/>
      <c r="GL170" s="4"/>
      <c r="GM170" s="4"/>
      <c r="GN170" s="4"/>
      <c r="GO170" s="4"/>
      <c r="GP170" s="4"/>
      <c r="GQ170" s="4"/>
      <c r="GR170" s="4"/>
      <c r="GS170" s="4"/>
      <c r="GT170" s="4"/>
      <c r="GU170" s="722"/>
      <c r="GV170" s="715"/>
    </row>
    <row r="171" spans="1:204" x14ac:dyDescent="0.25">
      <c r="A171" t="s">
        <v>985</v>
      </c>
      <c r="B171" s="2" t="s">
        <v>984</v>
      </c>
      <c r="C171" s="619">
        <v>44578</v>
      </c>
      <c r="D171" s="2" t="s">
        <v>980</v>
      </c>
      <c r="E171" t="s">
        <v>59</v>
      </c>
      <c r="F171" s="2" t="s">
        <v>43</v>
      </c>
      <c r="G171" t="s">
        <v>40</v>
      </c>
      <c r="H171" s="690" t="s">
        <v>85</v>
      </c>
      <c r="I171" s="691" t="s">
        <v>43</v>
      </c>
      <c r="J171" s="721">
        <v>3780401000108</v>
      </c>
      <c r="K171" s="691" t="s">
        <v>409</v>
      </c>
      <c r="L171" s="721">
        <v>12809025000110</v>
      </c>
      <c r="M171" s="718" t="s">
        <v>3</v>
      </c>
      <c r="N171" s="717" t="s">
        <v>44</v>
      </c>
      <c r="O171" s="719">
        <v>44621</v>
      </c>
      <c r="P171" s="720">
        <v>44651</v>
      </c>
      <c r="Q171" s="718">
        <v>123</v>
      </c>
      <c r="R171" s="717">
        <v>5</v>
      </c>
      <c r="S171" s="691" t="s">
        <v>54</v>
      </c>
      <c r="T171" t="s">
        <v>358</v>
      </c>
      <c r="U171" s="673" t="s">
        <v>358</v>
      </c>
      <c r="V171" s="690" t="s">
        <v>358</v>
      </c>
      <c r="W171" s="657" t="s">
        <v>329</v>
      </c>
      <c r="X171" s="723"/>
      <c r="Y171" s="4"/>
      <c r="Z171" s="4">
        <v>5</v>
      </c>
      <c r="AA171" s="4"/>
      <c r="AB171" s="4"/>
      <c r="AC171" s="4"/>
      <c r="AD171" s="4"/>
      <c r="AE171" s="4"/>
      <c r="AF171" s="4"/>
      <c r="AG171" s="4"/>
      <c r="AH171" s="4"/>
      <c r="AI171" s="654"/>
      <c r="AJ171" s="655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654"/>
      <c r="AV171" s="655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654"/>
      <c r="BH171" s="655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654"/>
      <c r="BT171" s="655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693"/>
      <c r="CF171" s="723"/>
      <c r="CG171" s="4"/>
      <c r="CH171" s="4">
        <v>123</v>
      </c>
      <c r="CI171" s="4"/>
      <c r="CJ171" s="4"/>
      <c r="CK171" s="4"/>
      <c r="CL171" s="4"/>
      <c r="CM171" s="4"/>
      <c r="CN171" s="4"/>
      <c r="CO171" s="4"/>
      <c r="CP171" s="4"/>
      <c r="CQ171" s="654"/>
      <c r="CR171" s="655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654"/>
      <c r="DD171" s="655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654"/>
      <c r="DP171" s="655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654"/>
      <c r="EB171" s="655"/>
      <c r="EC171" s="4"/>
      <c r="ED171" s="4"/>
      <c r="EE171" s="4"/>
      <c r="EF171" s="4"/>
      <c r="EG171" s="4"/>
      <c r="EH171" s="4"/>
      <c r="EI171" s="4"/>
      <c r="EJ171" s="4"/>
      <c r="EK171" s="4"/>
      <c r="EL171" s="4"/>
      <c r="EM171" s="693"/>
      <c r="EN171" s="723"/>
      <c r="EO171" s="4"/>
      <c r="EP171" s="4">
        <v>123</v>
      </c>
      <c r="EQ171" s="4"/>
      <c r="ER171" s="4"/>
      <c r="ES171" s="4"/>
      <c r="ET171" s="4"/>
      <c r="EU171" s="4"/>
      <c r="EV171" s="4"/>
      <c r="EW171" s="4"/>
      <c r="EX171" s="4"/>
      <c r="EY171" s="654"/>
      <c r="EZ171" s="655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654"/>
      <c r="FL171" s="655"/>
      <c r="FM171" s="4"/>
      <c r="FN171" s="4"/>
      <c r="FO171" s="4"/>
      <c r="FP171" s="4"/>
      <c r="FQ171" s="4"/>
      <c r="FR171" s="4"/>
      <c r="FS171" s="4"/>
      <c r="FT171" s="4"/>
      <c r="FU171" s="4"/>
      <c r="FV171" s="4"/>
      <c r="FW171" s="654"/>
      <c r="FX171" s="655"/>
      <c r="FY171" s="4"/>
      <c r="FZ171" s="4"/>
      <c r="GA171" s="4"/>
      <c r="GB171" s="4"/>
      <c r="GC171" s="4"/>
      <c r="GD171" s="4"/>
      <c r="GE171" s="4"/>
      <c r="GF171" s="4"/>
      <c r="GG171" s="4"/>
      <c r="GH171" s="4"/>
      <c r="GI171" s="654"/>
      <c r="GJ171" s="655"/>
      <c r="GK171" s="4"/>
      <c r="GL171" s="4"/>
      <c r="GM171" s="4"/>
      <c r="GN171" s="4"/>
      <c r="GO171" s="4"/>
      <c r="GP171" s="4"/>
      <c r="GQ171" s="4"/>
      <c r="GR171" s="4"/>
      <c r="GS171" s="4"/>
      <c r="GT171" s="4"/>
      <c r="GU171" s="722"/>
      <c r="GV171" s="715"/>
    </row>
    <row r="172" spans="1:204" x14ac:dyDescent="0.25">
      <c r="A172" t="s">
        <v>1002</v>
      </c>
      <c r="B172" s="2" t="s">
        <v>1001</v>
      </c>
      <c r="C172" s="619">
        <v>44579</v>
      </c>
      <c r="D172" s="2" t="s">
        <v>986</v>
      </c>
      <c r="E172" t="s">
        <v>59</v>
      </c>
      <c r="F172" s="2" t="s">
        <v>43</v>
      </c>
      <c r="G172" t="s">
        <v>40</v>
      </c>
      <c r="H172" s="690" t="s">
        <v>85</v>
      </c>
      <c r="I172" s="691" t="s">
        <v>43</v>
      </c>
      <c r="J172" s="721">
        <v>3780401000108</v>
      </c>
      <c r="K172" s="691" t="s">
        <v>475</v>
      </c>
      <c r="L172" s="721">
        <v>27796415000170</v>
      </c>
      <c r="M172" s="718" t="s">
        <v>3</v>
      </c>
      <c r="N172" s="717" t="s">
        <v>44</v>
      </c>
      <c r="O172" s="719">
        <v>44652</v>
      </c>
      <c r="P172" s="720">
        <v>44681</v>
      </c>
      <c r="Q172" s="718">
        <v>132</v>
      </c>
      <c r="R172" s="717">
        <v>20</v>
      </c>
      <c r="S172" s="691" t="s">
        <v>54</v>
      </c>
      <c r="T172" t="s">
        <v>358</v>
      </c>
      <c r="U172" s="673" t="s">
        <v>358</v>
      </c>
      <c r="V172" s="690" t="s">
        <v>358</v>
      </c>
      <c r="W172" s="657" t="s">
        <v>329</v>
      </c>
      <c r="X172" s="723"/>
      <c r="Y172" s="4"/>
      <c r="Z172" s="4"/>
      <c r="AA172" s="4">
        <v>20</v>
      </c>
      <c r="AB172" s="4"/>
      <c r="AC172" s="4"/>
      <c r="AD172" s="4"/>
      <c r="AE172" s="4"/>
      <c r="AF172" s="4"/>
      <c r="AG172" s="4"/>
      <c r="AH172" s="4"/>
      <c r="AI172" s="654"/>
      <c r="AJ172" s="655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654"/>
      <c r="AV172" s="655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654"/>
      <c r="BH172" s="655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654"/>
      <c r="BT172" s="655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693"/>
      <c r="CF172" s="723"/>
      <c r="CG172" s="4"/>
      <c r="CH172" s="4"/>
      <c r="CI172" s="4">
        <v>132</v>
      </c>
      <c r="CJ172" s="4"/>
      <c r="CK172" s="4"/>
      <c r="CL172" s="4"/>
      <c r="CM172" s="4"/>
      <c r="CN172" s="4"/>
      <c r="CO172" s="4"/>
      <c r="CP172" s="4"/>
      <c r="CQ172" s="654"/>
      <c r="CR172" s="655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654"/>
      <c r="DD172" s="655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654"/>
      <c r="DP172" s="655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654"/>
      <c r="EB172" s="655"/>
      <c r="EC172" s="4"/>
      <c r="ED172" s="4"/>
      <c r="EE172" s="4"/>
      <c r="EF172" s="4"/>
      <c r="EG172" s="4"/>
      <c r="EH172" s="4"/>
      <c r="EI172" s="4"/>
      <c r="EJ172" s="4"/>
      <c r="EK172" s="4"/>
      <c r="EL172" s="4"/>
      <c r="EM172" s="693"/>
      <c r="EN172" s="723"/>
      <c r="EO172" s="4"/>
      <c r="EP172" s="4"/>
      <c r="EQ172" s="4">
        <v>132</v>
      </c>
      <c r="ER172" s="4"/>
      <c r="ES172" s="4"/>
      <c r="ET172" s="4"/>
      <c r="EU172" s="4"/>
      <c r="EV172" s="4"/>
      <c r="EW172" s="4"/>
      <c r="EX172" s="4"/>
      <c r="EY172" s="654"/>
      <c r="EZ172" s="655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654"/>
      <c r="FL172" s="655"/>
      <c r="FM172" s="4"/>
      <c r="FN172" s="4"/>
      <c r="FO172" s="4"/>
      <c r="FP172" s="4"/>
      <c r="FQ172" s="4"/>
      <c r="FR172" s="4"/>
      <c r="FS172" s="4"/>
      <c r="FT172" s="4"/>
      <c r="FU172" s="4"/>
      <c r="FV172" s="4"/>
      <c r="FW172" s="654"/>
      <c r="FX172" s="655"/>
      <c r="FY172" s="4"/>
      <c r="FZ172" s="4"/>
      <c r="GA172" s="4"/>
      <c r="GB172" s="4"/>
      <c r="GC172" s="4"/>
      <c r="GD172" s="4"/>
      <c r="GE172" s="4"/>
      <c r="GF172" s="4"/>
      <c r="GG172" s="4"/>
      <c r="GH172" s="4"/>
      <c r="GI172" s="654"/>
      <c r="GJ172" s="655"/>
      <c r="GK172" s="4"/>
      <c r="GL172" s="4"/>
      <c r="GM172" s="4"/>
      <c r="GN172" s="4"/>
      <c r="GO172" s="4"/>
      <c r="GP172" s="4"/>
      <c r="GQ172" s="4"/>
      <c r="GR172" s="4"/>
      <c r="GS172" s="4"/>
      <c r="GT172" s="4"/>
      <c r="GU172" s="722"/>
      <c r="GV172" s="715"/>
    </row>
    <row r="173" spans="1:204" x14ac:dyDescent="0.25">
      <c r="A173" t="s">
        <v>1004</v>
      </c>
      <c r="B173" s="2" t="s">
        <v>1003</v>
      </c>
      <c r="C173" s="619">
        <v>44579</v>
      </c>
      <c r="D173" s="2" t="s">
        <v>987</v>
      </c>
      <c r="E173" t="s">
        <v>58</v>
      </c>
      <c r="F173" s="2" t="s">
        <v>43</v>
      </c>
      <c r="G173" t="s">
        <v>40</v>
      </c>
      <c r="H173" s="690" t="s">
        <v>84</v>
      </c>
      <c r="I173" s="691" t="s">
        <v>475</v>
      </c>
      <c r="J173" s="721">
        <v>27796415000170</v>
      </c>
      <c r="K173" s="691" t="s">
        <v>43</v>
      </c>
      <c r="L173" s="721">
        <v>3780401000108</v>
      </c>
      <c r="M173" s="718" t="s">
        <v>3</v>
      </c>
      <c r="N173" s="717" t="s">
        <v>44</v>
      </c>
      <c r="O173" s="719">
        <v>44774</v>
      </c>
      <c r="P173" s="720">
        <v>44804</v>
      </c>
      <c r="Q173" s="718">
        <v>245</v>
      </c>
      <c r="R173" s="717">
        <v>5</v>
      </c>
      <c r="S173" s="691" t="s">
        <v>54</v>
      </c>
      <c r="T173" t="s">
        <v>358</v>
      </c>
      <c r="U173" s="673" t="s">
        <v>358</v>
      </c>
      <c r="V173" s="690" t="s">
        <v>358</v>
      </c>
      <c r="W173" s="657" t="s">
        <v>329</v>
      </c>
      <c r="X173" s="723"/>
      <c r="Y173" s="4"/>
      <c r="Z173" s="4"/>
      <c r="AA173" s="4"/>
      <c r="AB173" s="4"/>
      <c r="AC173" s="4"/>
      <c r="AD173" s="4"/>
      <c r="AE173" s="4">
        <v>5</v>
      </c>
      <c r="AF173" s="4"/>
      <c r="AG173" s="4"/>
      <c r="AH173" s="4"/>
      <c r="AI173" s="654"/>
      <c r="AJ173" s="655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654"/>
      <c r="AV173" s="655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654"/>
      <c r="BH173" s="655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654"/>
      <c r="BT173" s="655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693"/>
      <c r="CF173" s="723"/>
      <c r="CG173" s="4"/>
      <c r="CH173" s="4"/>
      <c r="CI173" s="4"/>
      <c r="CJ173" s="4"/>
      <c r="CK173" s="4"/>
      <c r="CL173" s="4"/>
      <c r="CM173" s="4">
        <v>245</v>
      </c>
      <c r="CN173" s="4"/>
      <c r="CO173" s="4"/>
      <c r="CP173" s="4"/>
      <c r="CQ173" s="654"/>
      <c r="CR173" s="655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654"/>
      <c r="DD173" s="655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654"/>
      <c r="DP173" s="655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654"/>
      <c r="EB173" s="655"/>
      <c r="EC173" s="4"/>
      <c r="ED173" s="4"/>
      <c r="EE173" s="4"/>
      <c r="EF173" s="4"/>
      <c r="EG173" s="4"/>
      <c r="EH173" s="4"/>
      <c r="EI173" s="4"/>
      <c r="EJ173" s="4"/>
      <c r="EK173" s="4"/>
      <c r="EL173" s="4"/>
      <c r="EM173" s="693"/>
      <c r="EN173" s="723"/>
      <c r="EO173" s="4"/>
      <c r="EP173" s="4"/>
      <c r="EQ173" s="4"/>
      <c r="ER173" s="4"/>
      <c r="ES173" s="4"/>
      <c r="ET173" s="4"/>
      <c r="EU173" s="4">
        <v>245</v>
      </c>
      <c r="EV173" s="4"/>
      <c r="EW173" s="4"/>
      <c r="EX173" s="4"/>
      <c r="EY173" s="654"/>
      <c r="EZ173" s="655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654"/>
      <c r="FL173" s="655"/>
      <c r="FM173" s="4"/>
      <c r="FN173" s="4"/>
      <c r="FO173" s="4"/>
      <c r="FP173" s="4"/>
      <c r="FQ173" s="4"/>
      <c r="FR173" s="4"/>
      <c r="FS173" s="4"/>
      <c r="FT173" s="4"/>
      <c r="FU173" s="4"/>
      <c r="FV173" s="4"/>
      <c r="FW173" s="654"/>
      <c r="FX173" s="655"/>
      <c r="FY173" s="4"/>
      <c r="FZ173" s="4"/>
      <c r="GA173" s="4"/>
      <c r="GB173" s="4"/>
      <c r="GC173" s="4"/>
      <c r="GD173" s="4"/>
      <c r="GE173" s="4"/>
      <c r="GF173" s="4"/>
      <c r="GG173" s="4"/>
      <c r="GH173" s="4"/>
      <c r="GI173" s="654"/>
      <c r="GJ173" s="655"/>
      <c r="GK173" s="4"/>
      <c r="GL173" s="4"/>
      <c r="GM173" s="4"/>
      <c r="GN173" s="4"/>
      <c r="GO173" s="4"/>
      <c r="GP173" s="4"/>
      <c r="GQ173" s="4"/>
      <c r="GR173" s="4"/>
      <c r="GS173" s="4"/>
      <c r="GT173" s="4"/>
      <c r="GU173" s="722"/>
      <c r="GV173" s="715"/>
    </row>
    <row r="174" spans="1:204" x14ac:dyDescent="0.25">
      <c r="A174" t="s">
        <v>1006</v>
      </c>
      <c r="B174" s="2" t="s">
        <v>1005</v>
      </c>
      <c r="C174" s="619">
        <v>44579</v>
      </c>
      <c r="D174" s="2" t="s">
        <v>988</v>
      </c>
      <c r="E174" t="s">
        <v>58</v>
      </c>
      <c r="F174" s="2" t="s">
        <v>43</v>
      </c>
      <c r="G174" t="s">
        <v>40</v>
      </c>
      <c r="H174" s="690" t="s">
        <v>84</v>
      </c>
      <c r="I174" s="691" t="s">
        <v>475</v>
      </c>
      <c r="J174" s="721">
        <v>27796415000170</v>
      </c>
      <c r="K174" s="691" t="s">
        <v>43</v>
      </c>
      <c r="L174" s="721">
        <v>3780401000108</v>
      </c>
      <c r="M174" s="718" t="s">
        <v>3</v>
      </c>
      <c r="N174" s="717" t="s">
        <v>44</v>
      </c>
      <c r="O174" s="719">
        <v>44805</v>
      </c>
      <c r="P174" s="720">
        <v>44834</v>
      </c>
      <c r="Q174" s="718">
        <v>245</v>
      </c>
      <c r="R174" s="717">
        <v>15</v>
      </c>
      <c r="S174" s="691" t="s">
        <v>54</v>
      </c>
      <c r="T174" t="s">
        <v>358</v>
      </c>
      <c r="U174" s="673" t="s">
        <v>358</v>
      </c>
      <c r="V174" s="690" t="s">
        <v>358</v>
      </c>
      <c r="W174" s="657" t="s">
        <v>329</v>
      </c>
      <c r="X174" s="723"/>
      <c r="Y174" s="4"/>
      <c r="Z174" s="4"/>
      <c r="AA174" s="4"/>
      <c r="AB174" s="4"/>
      <c r="AC174" s="4"/>
      <c r="AD174" s="4"/>
      <c r="AE174" s="4"/>
      <c r="AF174" s="4">
        <v>15</v>
      </c>
      <c r="AG174" s="4"/>
      <c r="AH174" s="4"/>
      <c r="AI174" s="654"/>
      <c r="AJ174" s="655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654"/>
      <c r="AV174" s="655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654"/>
      <c r="BH174" s="655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654"/>
      <c r="BT174" s="655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693"/>
      <c r="CF174" s="723"/>
      <c r="CG174" s="4"/>
      <c r="CH174" s="4"/>
      <c r="CI174" s="4"/>
      <c r="CJ174" s="4"/>
      <c r="CK174" s="4"/>
      <c r="CL174" s="4"/>
      <c r="CM174" s="4"/>
      <c r="CN174" s="4">
        <v>245</v>
      </c>
      <c r="CO174" s="4"/>
      <c r="CP174" s="4"/>
      <c r="CQ174" s="654"/>
      <c r="CR174" s="655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654"/>
      <c r="DD174" s="655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654"/>
      <c r="DP174" s="655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654"/>
      <c r="EB174" s="655"/>
      <c r="EC174" s="4"/>
      <c r="ED174" s="4"/>
      <c r="EE174" s="4"/>
      <c r="EF174" s="4"/>
      <c r="EG174" s="4"/>
      <c r="EH174" s="4"/>
      <c r="EI174" s="4"/>
      <c r="EJ174" s="4"/>
      <c r="EK174" s="4"/>
      <c r="EL174" s="4"/>
      <c r="EM174" s="693"/>
      <c r="EN174" s="723"/>
      <c r="EO174" s="4"/>
      <c r="EP174" s="4"/>
      <c r="EQ174" s="4"/>
      <c r="ER174" s="4"/>
      <c r="ES174" s="4"/>
      <c r="ET174" s="4"/>
      <c r="EU174" s="4"/>
      <c r="EV174" s="4">
        <v>245</v>
      </c>
      <c r="EW174" s="4"/>
      <c r="EX174" s="4"/>
      <c r="EY174" s="654"/>
      <c r="EZ174" s="655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654"/>
      <c r="FL174" s="655"/>
      <c r="FM174" s="4"/>
      <c r="FN174" s="4"/>
      <c r="FO174" s="4"/>
      <c r="FP174" s="4"/>
      <c r="FQ174" s="4"/>
      <c r="FR174" s="4"/>
      <c r="FS174" s="4"/>
      <c r="FT174" s="4"/>
      <c r="FU174" s="4"/>
      <c r="FV174" s="4"/>
      <c r="FW174" s="654"/>
      <c r="FX174" s="655"/>
      <c r="FY174" s="4"/>
      <c r="FZ174" s="4"/>
      <c r="GA174" s="4"/>
      <c r="GB174" s="4"/>
      <c r="GC174" s="4"/>
      <c r="GD174" s="4"/>
      <c r="GE174" s="4"/>
      <c r="GF174" s="4"/>
      <c r="GG174" s="4"/>
      <c r="GH174" s="4"/>
      <c r="GI174" s="654"/>
      <c r="GJ174" s="655"/>
      <c r="GK174" s="4"/>
      <c r="GL174" s="4"/>
      <c r="GM174" s="4"/>
      <c r="GN174" s="4"/>
      <c r="GO174" s="4"/>
      <c r="GP174" s="4"/>
      <c r="GQ174" s="4"/>
      <c r="GR174" s="4"/>
      <c r="GS174" s="4"/>
      <c r="GT174" s="4"/>
      <c r="GU174" s="722"/>
      <c r="GV174" s="715"/>
    </row>
    <row r="175" spans="1:204" x14ac:dyDescent="0.25">
      <c r="A175" t="s">
        <v>1008</v>
      </c>
      <c r="B175" s="2" t="s">
        <v>1007</v>
      </c>
      <c r="C175" s="619">
        <v>44579</v>
      </c>
      <c r="D175" s="2" t="s">
        <v>989</v>
      </c>
      <c r="E175" t="s">
        <v>58</v>
      </c>
      <c r="F175" s="2" t="s">
        <v>43</v>
      </c>
      <c r="G175" t="s">
        <v>40</v>
      </c>
      <c r="H175" s="690" t="s">
        <v>84</v>
      </c>
      <c r="I175" s="691" t="s">
        <v>353</v>
      </c>
      <c r="J175" s="721">
        <v>28758086000135</v>
      </c>
      <c r="K175" s="691" t="s">
        <v>43</v>
      </c>
      <c r="L175" s="721">
        <v>3780401000108</v>
      </c>
      <c r="M175" s="718" t="s">
        <v>3</v>
      </c>
      <c r="N175" s="717" t="s">
        <v>44</v>
      </c>
      <c r="O175" s="719">
        <v>44805</v>
      </c>
      <c r="P175" s="720">
        <v>44834</v>
      </c>
      <c r="Q175" s="718">
        <v>244</v>
      </c>
      <c r="R175" s="717">
        <v>5</v>
      </c>
      <c r="S175" s="691" t="s">
        <v>54</v>
      </c>
      <c r="T175" t="s">
        <v>358</v>
      </c>
      <c r="U175" s="673" t="s">
        <v>358</v>
      </c>
      <c r="V175" s="690" t="s">
        <v>358</v>
      </c>
      <c r="W175" s="657" t="s">
        <v>329</v>
      </c>
      <c r="X175" s="723"/>
      <c r="Y175" s="4"/>
      <c r="Z175" s="4"/>
      <c r="AA175" s="4"/>
      <c r="AB175" s="4"/>
      <c r="AC175" s="4"/>
      <c r="AD175" s="4"/>
      <c r="AE175" s="4"/>
      <c r="AF175" s="4">
        <v>5</v>
      </c>
      <c r="AG175" s="4"/>
      <c r="AH175" s="4"/>
      <c r="AI175" s="654"/>
      <c r="AJ175" s="655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654"/>
      <c r="AV175" s="655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654"/>
      <c r="BH175" s="655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654"/>
      <c r="BT175" s="655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693"/>
      <c r="CF175" s="723"/>
      <c r="CG175" s="4"/>
      <c r="CH175" s="4"/>
      <c r="CI175" s="4"/>
      <c r="CJ175" s="4"/>
      <c r="CK175" s="4"/>
      <c r="CL175" s="4"/>
      <c r="CM175" s="4"/>
      <c r="CN175" s="4">
        <v>244</v>
      </c>
      <c r="CO175" s="4"/>
      <c r="CP175" s="4"/>
      <c r="CQ175" s="654"/>
      <c r="CR175" s="655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654"/>
      <c r="DD175" s="655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654"/>
      <c r="DP175" s="655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654"/>
      <c r="EB175" s="655"/>
      <c r="EC175" s="4"/>
      <c r="ED175" s="4"/>
      <c r="EE175" s="4"/>
      <c r="EF175" s="4"/>
      <c r="EG175" s="4"/>
      <c r="EH175" s="4"/>
      <c r="EI175" s="4"/>
      <c r="EJ175" s="4"/>
      <c r="EK175" s="4"/>
      <c r="EL175" s="4"/>
      <c r="EM175" s="693"/>
      <c r="EN175" s="723"/>
      <c r="EO175" s="4"/>
      <c r="EP175" s="4"/>
      <c r="EQ175" s="4"/>
      <c r="ER175" s="4"/>
      <c r="ES175" s="4"/>
      <c r="ET175" s="4"/>
      <c r="EU175" s="4"/>
      <c r="EV175" s="4">
        <v>244</v>
      </c>
      <c r="EW175" s="4"/>
      <c r="EX175" s="4"/>
      <c r="EY175" s="654"/>
      <c r="EZ175" s="655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654"/>
      <c r="FL175" s="655"/>
      <c r="FM175" s="4"/>
      <c r="FN175" s="4"/>
      <c r="FO175" s="4"/>
      <c r="FP175" s="4"/>
      <c r="FQ175" s="4"/>
      <c r="FR175" s="4"/>
      <c r="FS175" s="4"/>
      <c r="FT175" s="4"/>
      <c r="FU175" s="4"/>
      <c r="FV175" s="4"/>
      <c r="FW175" s="654"/>
      <c r="FX175" s="655"/>
      <c r="FY175" s="4"/>
      <c r="FZ175" s="4"/>
      <c r="GA175" s="4"/>
      <c r="GB175" s="4"/>
      <c r="GC175" s="4"/>
      <c r="GD175" s="4"/>
      <c r="GE175" s="4"/>
      <c r="GF175" s="4"/>
      <c r="GG175" s="4"/>
      <c r="GH175" s="4"/>
      <c r="GI175" s="654"/>
      <c r="GJ175" s="655"/>
      <c r="GK175" s="4"/>
      <c r="GL175" s="4"/>
      <c r="GM175" s="4"/>
      <c r="GN175" s="4"/>
      <c r="GO175" s="4"/>
      <c r="GP175" s="4"/>
      <c r="GQ175" s="4"/>
      <c r="GR175" s="4"/>
      <c r="GS175" s="4"/>
      <c r="GT175" s="4"/>
      <c r="GU175" s="722"/>
      <c r="GV175" s="715"/>
    </row>
    <row r="176" spans="1:204" x14ac:dyDescent="0.25">
      <c r="A176" t="s">
        <v>1010</v>
      </c>
      <c r="B176" s="2" t="s">
        <v>1009</v>
      </c>
      <c r="C176" s="619">
        <v>44579</v>
      </c>
      <c r="D176" s="2" t="s">
        <v>990</v>
      </c>
      <c r="E176" t="s">
        <v>59</v>
      </c>
      <c r="F176" s="2" t="s">
        <v>43</v>
      </c>
      <c r="G176" t="s">
        <v>40</v>
      </c>
      <c r="H176" s="690" t="s">
        <v>85</v>
      </c>
      <c r="I176" s="691" t="s">
        <v>43</v>
      </c>
      <c r="J176" s="721">
        <v>3780401000108</v>
      </c>
      <c r="K176" s="691" t="s">
        <v>1000</v>
      </c>
      <c r="L176" s="721">
        <v>30983948000175</v>
      </c>
      <c r="M176" s="718" t="s">
        <v>3</v>
      </c>
      <c r="N176" s="717" t="s">
        <v>44</v>
      </c>
      <c r="O176" s="719">
        <v>44621</v>
      </c>
      <c r="P176" s="720">
        <v>44651</v>
      </c>
      <c r="Q176" s="718">
        <v>133</v>
      </c>
      <c r="R176" s="717">
        <v>3</v>
      </c>
      <c r="S176" s="691" t="s">
        <v>54</v>
      </c>
      <c r="T176" t="s">
        <v>358</v>
      </c>
      <c r="U176" s="673" t="s">
        <v>358</v>
      </c>
      <c r="V176" s="690" t="s">
        <v>358</v>
      </c>
      <c r="W176" s="657" t="s">
        <v>329</v>
      </c>
      <c r="X176" s="723"/>
      <c r="Y176" s="4"/>
      <c r="Z176" s="4">
        <v>3</v>
      </c>
      <c r="AA176" s="4"/>
      <c r="AB176" s="4"/>
      <c r="AC176" s="4"/>
      <c r="AD176" s="4"/>
      <c r="AE176" s="4"/>
      <c r="AF176" s="4"/>
      <c r="AG176" s="4"/>
      <c r="AH176" s="4"/>
      <c r="AI176" s="654"/>
      <c r="AJ176" s="655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654"/>
      <c r="AV176" s="655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654"/>
      <c r="BH176" s="655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654"/>
      <c r="BT176" s="655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693"/>
      <c r="CF176" s="723"/>
      <c r="CG176" s="4"/>
      <c r="CH176" s="4">
        <v>133</v>
      </c>
      <c r="CI176" s="4"/>
      <c r="CJ176" s="4"/>
      <c r="CK176" s="4"/>
      <c r="CL176" s="4"/>
      <c r="CM176" s="4"/>
      <c r="CN176" s="4"/>
      <c r="CO176" s="4"/>
      <c r="CP176" s="4"/>
      <c r="CQ176" s="654"/>
      <c r="CR176" s="655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654"/>
      <c r="DD176" s="655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654"/>
      <c r="DP176" s="655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654"/>
      <c r="EB176" s="655"/>
      <c r="EC176" s="4"/>
      <c r="ED176" s="4"/>
      <c r="EE176" s="4"/>
      <c r="EF176" s="4"/>
      <c r="EG176" s="4"/>
      <c r="EH176" s="4"/>
      <c r="EI176" s="4"/>
      <c r="EJ176" s="4"/>
      <c r="EK176" s="4"/>
      <c r="EL176" s="4"/>
      <c r="EM176" s="693"/>
      <c r="EN176" s="723"/>
      <c r="EO176" s="4"/>
      <c r="EP176" s="4">
        <v>133</v>
      </c>
      <c r="EQ176" s="4"/>
      <c r="ER176" s="4"/>
      <c r="ES176" s="4"/>
      <c r="ET176" s="4"/>
      <c r="EU176" s="4"/>
      <c r="EV176" s="4"/>
      <c r="EW176" s="4"/>
      <c r="EX176" s="4"/>
      <c r="EY176" s="654"/>
      <c r="EZ176" s="655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654"/>
      <c r="FL176" s="655"/>
      <c r="FM176" s="4"/>
      <c r="FN176" s="4"/>
      <c r="FO176" s="4"/>
      <c r="FP176" s="4"/>
      <c r="FQ176" s="4"/>
      <c r="FR176" s="4"/>
      <c r="FS176" s="4"/>
      <c r="FT176" s="4"/>
      <c r="FU176" s="4"/>
      <c r="FV176" s="4"/>
      <c r="FW176" s="654"/>
      <c r="FX176" s="655"/>
      <c r="FY176" s="4"/>
      <c r="FZ176" s="4"/>
      <c r="GA176" s="4"/>
      <c r="GB176" s="4"/>
      <c r="GC176" s="4"/>
      <c r="GD176" s="4"/>
      <c r="GE176" s="4"/>
      <c r="GF176" s="4"/>
      <c r="GG176" s="4"/>
      <c r="GH176" s="4"/>
      <c r="GI176" s="654"/>
      <c r="GJ176" s="655"/>
      <c r="GK176" s="4"/>
      <c r="GL176" s="4"/>
      <c r="GM176" s="4"/>
      <c r="GN176" s="4"/>
      <c r="GO176" s="4"/>
      <c r="GP176" s="4"/>
      <c r="GQ176" s="4"/>
      <c r="GR176" s="4"/>
      <c r="GS176" s="4"/>
      <c r="GT176" s="4"/>
      <c r="GU176" s="722"/>
      <c r="GV176" s="715"/>
    </row>
    <row r="177" spans="1:204" x14ac:dyDescent="0.25">
      <c r="A177" t="s">
        <v>1012</v>
      </c>
      <c r="B177" s="2" t="s">
        <v>1011</v>
      </c>
      <c r="C177" s="619">
        <v>44579</v>
      </c>
      <c r="D177" s="2" t="s">
        <v>991</v>
      </c>
      <c r="E177" t="s">
        <v>58</v>
      </c>
      <c r="F177" s="2" t="s">
        <v>43</v>
      </c>
      <c r="G177" t="s">
        <v>40</v>
      </c>
      <c r="H177" s="690" t="s">
        <v>84</v>
      </c>
      <c r="I177" s="691" t="s">
        <v>353</v>
      </c>
      <c r="J177" s="721">
        <v>28758086000135</v>
      </c>
      <c r="K177" s="691" t="s">
        <v>43</v>
      </c>
      <c r="L177" s="721">
        <v>3780401000108</v>
      </c>
      <c r="M177" s="718" t="s">
        <v>3</v>
      </c>
      <c r="N177" s="717" t="s">
        <v>44</v>
      </c>
      <c r="O177" s="719">
        <v>44774</v>
      </c>
      <c r="P177" s="720">
        <v>44804</v>
      </c>
      <c r="Q177" s="718">
        <v>244</v>
      </c>
      <c r="R177" s="717">
        <v>5</v>
      </c>
      <c r="S177" s="691" t="s">
        <v>54</v>
      </c>
      <c r="T177" t="s">
        <v>358</v>
      </c>
      <c r="U177" s="673" t="s">
        <v>358</v>
      </c>
      <c r="V177" s="690" t="s">
        <v>358</v>
      </c>
      <c r="W177" s="657" t="s">
        <v>329</v>
      </c>
      <c r="X177" s="723"/>
      <c r="Y177" s="4"/>
      <c r="Z177" s="4"/>
      <c r="AA177" s="4"/>
      <c r="AB177" s="4"/>
      <c r="AC177" s="4"/>
      <c r="AD177" s="4"/>
      <c r="AE177" s="4">
        <v>5</v>
      </c>
      <c r="AF177" s="4"/>
      <c r="AG177" s="4"/>
      <c r="AH177" s="4"/>
      <c r="AI177" s="654"/>
      <c r="AJ177" s="655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654"/>
      <c r="AV177" s="655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654"/>
      <c r="BH177" s="655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654"/>
      <c r="BT177" s="655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693"/>
      <c r="CF177" s="723"/>
      <c r="CG177" s="4"/>
      <c r="CH177" s="4"/>
      <c r="CI177" s="4"/>
      <c r="CJ177" s="4"/>
      <c r="CK177" s="4"/>
      <c r="CL177" s="4"/>
      <c r="CM177" s="4">
        <v>244</v>
      </c>
      <c r="CN177" s="4"/>
      <c r="CO177" s="4"/>
      <c r="CP177" s="4"/>
      <c r="CQ177" s="654"/>
      <c r="CR177" s="655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654"/>
      <c r="DD177" s="655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654"/>
      <c r="DP177" s="655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654"/>
      <c r="EB177" s="655"/>
      <c r="EC177" s="4"/>
      <c r="ED177" s="4"/>
      <c r="EE177" s="4"/>
      <c r="EF177" s="4"/>
      <c r="EG177" s="4"/>
      <c r="EH177" s="4"/>
      <c r="EI177" s="4"/>
      <c r="EJ177" s="4"/>
      <c r="EK177" s="4"/>
      <c r="EL177" s="4"/>
      <c r="EM177" s="693"/>
      <c r="EN177" s="723"/>
      <c r="EO177" s="4"/>
      <c r="EP177" s="4"/>
      <c r="EQ177" s="4"/>
      <c r="ER177" s="4"/>
      <c r="ES177" s="4"/>
      <c r="ET177" s="4"/>
      <c r="EU177" s="4">
        <v>244</v>
      </c>
      <c r="EV177" s="4"/>
      <c r="EW177" s="4"/>
      <c r="EX177" s="4"/>
      <c r="EY177" s="654"/>
      <c r="EZ177" s="655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654"/>
      <c r="FL177" s="655"/>
      <c r="FM177" s="4"/>
      <c r="FN177" s="4"/>
      <c r="FO177" s="4"/>
      <c r="FP177" s="4"/>
      <c r="FQ177" s="4"/>
      <c r="FR177" s="4"/>
      <c r="FS177" s="4"/>
      <c r="FT177" s="4"/>
      <c r="FU177" s="4"/>
      <c r="FV177" s="4"/>
      <c r="FW177" s="654"/>
      <c r="FX177" s="655"/>
      <c r="FY177" s="4"/>
      <c r="FZ177" s="4"/>
      <c r="GA177" s="4"/>
      <c r="GB177" s="4"/>
      <c r="GC177" s="4"/>
      <c r="GD177" s="4"/>
      <c r="GE177" s="4"/>
      <c r="GF177" s="4"/>
      <c r="GG177" s="4"/>
      <c r="GH177" s="4"/>
      <c r="GI177" s="654"/>
      <c r="GJ177" s="655"/>
      <c r="GK177" s="4"/>
      <c r="GL177" s="4"/>
      <c r="GM177" s="4"/>
      <c r="GN177" s="4"/>
      <c r="GO177" s="4"/>
      <c r="GP177" s="4"/>
      <c r="GQ177" s="4"/>
      <c r="GR177" s="4"/>
      <c r="GS177" s="4"/>
      <c r="GT177" s="4"/>
      <c r="GU177" s="722"/>
      <c r="GV177" s="715"/>
    </row>
    <row r="178" spans="1:204" x14ac:dyDescent="0.25">
      <c r="A178" t="s">
        <v>1014</v>
      </c>
      <c r="B178" s="2" t="s">
        <v>1013</v>
      </c>
      <c r="C178" s="619">
        <v>44579</v>
      </c>
      <c r="D178" s="2" t="s">
        <v>992</v>
      </c>
      <c r="E178" t="s">
        <v>59</v>
      </c>
      <c r="F178" s="2" t="s">
        <v>43</v>
      </c>
      <c r="G178" t="s">
        <v>40</v>
      </c>
      <c r="H178" s="690" t="s">
        <v>85</v>
      </c>
      <c r="I178" s="691" t="s">
        <v>43</v>
      </c>
      <c r="J178" s="721">
        <v>3780401000108</v>
      </c>
      <c r="K178" s="691" t="s">
        <v>353</v>
      </c>
      <c r="L178" s="721">
        <v>28758086000135</v>
      </c>
      <c r="M178" s="718" t="s">
        <v>3</v>
      </c>
      <c r="N178" s="717" t="s">
        <v>44</v>
      </c>
      <c r="O178" s="719">
        <v>44682</v>
      </c>
      <c r="P178" s="720">
        <v>44712</v>
      </c>
      <c r="Q178" s="718">
        <v>145</v>
      </c>
      <c r="R178" s="717">
        <v>5</v>
      </c>
      <c r="S178" s="691" t="s">
        <v>54</v>
      </c>
      <c r="T178" t="s">
        <v>358</v>
      </c>
      <c r="U178" s="673" t="s">
        <v>358</v>
      </c>
      <c r="V178" s="690" t="s">
        <v>358</v>
      </c>
      <c r="W178" s="657" t="s">
        <v>329</v>
      </c>
      <c r="X178" s="723"/>
      <c r="Y178" s="4"/>
      <c r="Z178" s="4"/>
      <c r="AA178" s="4"/>
      <c r="AB178" s="4">
        <v>5</v>
      </c>
      <c r="AC178" s="4"/>
      <c r="AD178" s="4"/>
      <c r="AE178" s="4"/>
      <c r="AF178" s="4"/>
      <c r="AG178" s="4"/>
      <c r="AH178" s="4"/>
      <c r="AI178" s="654"/>
      <c r="AJ178" s="655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654"/>
      <c r="AV178" s="655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654"/>
      <c r="BH178" s="655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654"/>
      <c r="BT178" s="655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693"/>
      <c r="CF178" s="723"/>
      <c r="CG178" s="4"/>
      <c r="CH178" s="4"/>
      <c r="CI178" s="4"/>
      <c r="CJ178" s="4">
        <v>145</v>
      </c>
      <c r="CK178" s="4"/>
      <c r="CL178" s="4"/>
      <c r="CM178" s="4"/>
      <c r="CN178" s="4"/>
      <c r="CO178" s="4"/>
      <c r="CP178" s="4"/>
      <c r="CQ178" s="654"/>
      <c r="CR178" s="655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654"/>
      <c r="DD178" s="655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654"/>
      <c r="DP178" s="655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654"/>
      <c r="EB178" s="655"/>
      <c r="EC178" s="4"/>
      <c r="ED178" s="4"/>
      <c r="EE178" s="4"/>
      <c r="EF178" s="4"/>
      <c r="EG178" s="4"/>
      <c r="EH178" s="4"/>
      <c r="EI178" s="4"/>
      <c r="EJ178" s="4"/>
      <c r="EK178" s="4"/>
      <c r="EL178" s="4"/>
      <c r="EM178" s="693"/>
      <c r="EN178" s="723"/>
      <c r="EO178" s="4"/>
      <c r="EP178" s="4"/>
      <c r="EQ178" s="4"/>
      <c r="ER178" s="4">
        <v>145</v>
      </c>
      <c r="ES178" s="4"/>
      <c r="ET178" s="4"/>
      <c r="EU178" s="4"/>
      <c r="EV178" s="4"/>
      <c r="EW178" s="4"/>
      <c r="EX178" s="4"/>
      <c r="EY178" s="654"/>
      <c r="EZ178" s="655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654"/>
      <c r="FL178" s="655"/>
      <c r="FM178" s="4"/>
      <c r="FN178" s="4"/>
      <c r="FO178" s="4"/>
      <c r="FP178" s="4"/>
      <c r="FQ178" s="4"/>
      <c r="FR178" s="4"/>
      <c r="FS178" s="4"/>
      <c r="FT178" s="4"/>
      <c r="FU178" s="4"/>
      <c r="FV178" s="4"/>
      <c r="FW178" s="654"/>
      <c r="FX178" s="655"/>
      <c r="FY178" s="4"/>
      <c r="FZ178" s="4"/>
      <c r="GA178" s="4"/>
      <c r="GB178" s="4"/>
      <c r="GC178" s="4"/>
      <c r="GD178" s="4"/>
      <c r="GE178" s="4"/>
      <c r="GF178" s="4"/>
      <c r="GG178" s="4"/>
      <c r="GH178" s="4"/>
      <c r="GI178" s="654"/>
      <c r="GJ178" s="655"/>
      <c r="GK178" s="4"/>
      <c r="GL178" s="4"/>
      <c r="GM178" s="4"/>
      <c r="GN178" s="4"/>
      <c r="GO178" s="4"/>
      <c r="GP178" s="4"/>
      <c r="GQ178" s="4"/>
      <c r="GR178" s="4"/>
      <c r="GS178" s="4"/>
      <c r="GT178" s="4"/>
      <c r="GU178" s="722"/>
      <c r="GV178" s="715"/>
    </row>
    <row r="179" spans="1:204" x14ac:dyDescent="0.25">
      <c r="A179" t="s">
        <v>1016</v>
      </c>
      <c r="B179" s="2" t="s">
        <v>1015</v>
      </c>
      <c r="C179" s="619">
        <v>44579</v>
      </c>
      <c r="D179" s="2" t="s">
        <v>993</v>
      </c>
      <c r="E179" t="s">
        <v>59</v>
      </c>
      <c r="F179" s="2" t="s">
        <v>43</v>
      </c>
      <c r="G179" t="s">
        <v>40</v>
      </c>
      <c r="H179" s="690" t="s">
        <v>85</v>
      </c>
      <c r="I179" s="691" t="s">
        <v>43</v>
      </c>
      <c r="J179" s="721">
        <v>3780401000108</v>
      </c>
      <c r="K179" s="691" t="s">
        <v>353</v>
      </c>
      <c r="L179" s="721">
        <v>28758086000135</v>
      </c>
      <c r="M179" s="718" t="s">
        <v>3</v>
      </c>
      <c r="N179" s="717" t="s">
        <v>44</v>
      </c>
      <c r="O179" s="719">
        <v>44652</v>
      </c>
      <c r="P179" s="720">
        <v>44681</v>
      </c>
      <c r="Q179" s="718">
        <v>132</v>
      </c>
      <c r="R179" s="717">
        <v>5</v>
      </c>
      <c r="S179" s="691" t="s">
        <v>54</v>
      </c>
      <c r="T179" t="s">
        <v>358</v>
      </c>
      <c r="U179" s="673" t="s">
        <v>358</v>
      </c>
      <c r="V179" s="690" t="s">
        <v>358</v>
      </c>
      <c r="W179" s="657" t="s">
        <v>329</v>
      </c>
      <c r="X179" s="723"/>
      <c r="Y179" s="4"/>
      <c r="Z179" s="4"/>
      <c r="AA179" s="4">
        <v>5</v>
      </c>
      <c r="AB179" s="4"/>
      <c r="AC179" s="4"/>
      <c r="AD179" s="4"/>
      <c r="AE179" s="4"/>
      <c r="AF179" s="4"/>
      <c r="AG179" s="4"/>
      <c r="AH179" s="4"/>
      <c r="AI179" s="654"/>
      <c r="AJ179" s="655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654"/>
      <c r="AV179" s="655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654"/>
      <c r="BH179" s="655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654"/>
      <c r="BT179" s="655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693"/>
      <c r="CF179" s="723"/>
      <c r="CG179" s="4"/>
      <c r="CH179" s="4"/>
      <c r="CI179" s="4">
        <v>132</v>
      </c>
      <c r="CJ179" s="4"/>
      <c r="CK179" s="4"/>
      <c r="CL179" s="4"/>
      <c r="CM179" s="4"/>
      <c r="CN179" s="4"/>
      <c r="CO179" s="4"/>
      <c r="CP179" s="4"/>
      <c r="CQ179" s="654"/>
      <c r="CR179" s="655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654"/>
      <c r="DD179" s="655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654"/>
      <c r="DP179" s="655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654"/>
      <c r="EB179" s="655"/>
      <c r="EC179" s="4"/>
      <c r="ED179" s="4"/>
      <c r="EE179" s="4"/>
      <c r="EF179" s="4"/>
      <c r="EG179" s="4"/>
      <c r="EH179" s="4"/>
      <c r="EI179" s="4"/>
      <c r="EJ179" s="4"/>
      <c r="EK179" s="4"/>
      <c r="EL179" s="4"/>
      <c r="EM179" s="693"/>
      <c r="EN179" s="723"/>
      <c r="EO179" s="4"/>
      <c r="EP179" s="4"/>
      <c r="EQ179" s="4">
        <v>132</v>
      </c>
      <c r="ER179" s="4"/>
      <c r="ES179" s="4"/>
      <c r="ET179" s="4"/>
      <c r="EU179" s="4"/>
      <c r="EV179" s="4"/>
      <c r="EW179" s="4"/>
      <c r="EX179" s="4"/>
      <c r="EY179" s="654"/>
      <c r="EZ179" s="655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654"/>
      <c r="FL179" s="655"/>
      <c r="FM179" s="4"/>
      <c r="FN179" s="4"/>
      <c r="FO179" s="4"/>
      <c r="FP179" s="4"/>
      <c r="FQ179" s="4"/>
      <c r="FR179" s="4"/>
      <c r="FS179" s="4"/>
      <c r="FT179" s="4"/>
      <c r="FU179" s="4"/>
      <c r="FV179" s="4"/>
      <c r="FW179" s="654"/>
      <c r="FX179" s="655"/>
      <c r="FY179" s="4"/>
      <c r="FZ179" s="4"/>
      <c r="GA179" s="4"/>
      <c r="GB179" s="4"/>
      <c r="GC179" s="4"/>
      <c r="GD179" s="4"/>
      <c r="GE179" s="4"/>
      <c r="GF179" s="4"/>
      <c r="GG179" s="4"/>
      <c r="GH179" s="4"/>
      <c r="GI179" s="654"/>
      <c r="GJ179" s="655"/>
      <c r="GK179" s="4"/>
      <c r="GL179" s="4"/>
      <c r="GM179" s="4"/>
      <c r="GN179" s="4"/>
      <c r="GO179" s="4"/>
      <c r="GP179" s="4"/>
      <c r="GQ179" s="4"/>
      <c r="GR179" s="4"/>
      <c r="GS179" s="4"/>
      <c r="GT179" s="4"/>
      <c r="GU179" s="722"/>
      <c r="GV179" s="715"/>
    </row>
    <row r="180" spans="1:204" x14ac:dyDescent="0.25">
      <c r="A180" t="s">
        <v>1018</v>
      </c>
      <c r="B180" s="2" t="s">
        <v>1017</v>
      </c>
      <c r="C180" s="619">
        <v>44579</v>
      </c>
      <c r="D180" s="2" t="s">
        <v>994</v>
      </c>
      <c r="E180" t="s">
        <v>58</v>
      </c>
      <c r="F180" s="2" t="s">
        <v>43</v>
      </c>
      <c r="G180" t="s">
        <v>40</v>
      </c>
      <c r="H180" s="690" t="s">
        <v>84</v>
      </c>
      <c r="I180" s="691" t="s">
        <v>620</v>
      </c>
      <c r="J180" s="721">
        <v>4149295000113</v>
      </c>
      <c r="K180" s="691" t="s">
        <v>43</v>
      </c>
      <c r="L180" s="721">
        <v>3780401000108</v>
      </c>
      <c r="M180" s="718" t="s">
        <v>3</v>
      </c>
      <c r="N180" s="717" t="s">
        <v>44</v>
      </c>
      <c r="O180" s="719">
        <v>44774</v>
      </c>
      <c r="P180" s="720">
        <v>44804</v>
      </c>
      <c r="Q180" s="718">
        <v>242</v>
      </c>
      <c r="R180" s="717">
        <v>8</v>
      </c>
      <c r="S180" s="691" t="s">
        <v>54</v>
      </c>
      <c r="T180" t="s">
        <v>358</v>
      </c>
      <c r="U180" s="673" t="s">
        <v>358</v>
      </c>
      <c r="V180" s="690" t="s">
        <v>358</v>
      </c>
      <c r="W180" s="657" t="s">
        <v>329</v>
      </c>
      <c r="X180" s="723"/>
      <c r="Y180" s="4"/>
      <c r="Z180" s="4"/>
      <c r="AA180" s="4"/>
      <c r="AB180" s="4"/>
      <c r="AC180" s="4"/>
      <c r="AD180" s="4"/>
      <c r="AE180" s="4">
        <v>8</v>
      </c>
      <c r="AF180" s="4"/>
      <c r="AG180" s="4"/>
      <c r="AH180" s="4"/>
      <c r="AI180" s="654"/>
      <c r="AJ180" s="655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654"/>
      <c r="AV180" s="655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654"/>
      <c r="BH180" s="655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654"/>
      <c r="BT180" s="655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693"/>
      <c r="CF180" s="723"/>
      <c r="CG180" s="4"/>
      <c r="CH180" s="4"/>
      <c r="CI180" s="4"/>
      <c r="CJ180" s="4"/>
      <c r="CK180" s="4"/>
      <c r="CL180" s="4"/>
      <c r="CM180" s="4">
        <v>242</v>
      </c>
      <c r="CN180" s="4"/>
      <c r="CO180" s="4"/>
      <c r="CP180" s="4"/>
      <c r="CQ180" s="654"/>
      <c r="CR180" s="655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654"/>
      <c r="DD180" s="655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654"/>
      <c r="DP180" s="655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654"/>
      <c r="EB180" s="655"/>
      <c r="EC180" s="4"/>
      <c r="ED180" s="4"/>
      <c r="EE180" s="4"/>
      <c r="EF180" s="4"/>
      <c r="EG180" s="4"/>
      <c r="EH180" s="4"/>
      <c r="EI180" s="4"/>
      <c r="EJ180" s="4"/>
      <c r="EK180" s="4"/>
      <c r="EL180" s="4"/>
      <c r="EM180" s="693"/>
      <c r="EN180" s="723"/>
      <c r="EO180" s="4"/>
      <c r="EP180" s="4"/>
      <c r="EQ180" s="4"/>
      <c r="ER180" s="4"/>
      <c r="ES180" s="4"/>
      <c r="ET180" s="4"/>
      <c r="EU180" s="4">
        <v>242</v>
      </c>
      <c r="EV180" s="4"/>
      <c r="EW180" s="4"/>
      <c r="EX180" s="4"/>
      <c r="EY180" s="654"/>
      <c r="EZ180" s="655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654"/>
      <c r="FL180" s="655"/>
      <c r="FM180" s="4"/>
      <c r="FN180" s="4"/>
      <c r="FO180" s="4"/>
      <c r="FP180" s="4"/>
      <c r="FQ180" s="4"/>
      <c r="FR180" s="4"/>
      <c r="FS180" s="4"/>
      <c r="FT180" s="4"/>
      <c r="FU180" s="4"/>
      <c r="FV180" s="4"/>
      <c r="FW180" s="654"/>
      <c r="FX180" s="655"/>
      <c r="FY180" s="4"/>
      <c r="FZ180" s="4"/>
      <c r="GA180" s="4"/>
      <c r="GB180" s="4"/>
      <c r="GC180" s="4"/>
      <c r="GD180" s="4"/>
      <c r="GE180" s="4"/>
      <c r="GF180" s="4"/>
      <c r="GG180" s="4"/>
      <c r="GH180" s="4"/>
      <c r="GI180" s="654"/>
      <c r="GJ180" s="655"/>
      <c r="GK180" s="4"/>
      <c r="GL180" s="4"/>
      <c r="GM180" s="4"/>
      <c r="GN180" s="4"/>
      <c r="GO180" s="4"/>
      <c r="GP180" s="4"/>
      <c r="GQ180" s="4"/>
      <c r="GR180" s="4"/>
      <c r="GS180" s="4"/>
      <c r="GT180" s="4"/>
      <c r="GU180" s="722"/>
      <c r="GV180" s="715"/>
    </row>
    <row r="181" spans="1:204" x14ac:dyDescent="0.25">
      <c r="A181" t="s">
        <v>1020</v>
      </c>
      <c r="B181" s="2" t="s">
        <v>1019</v>
      </c>
      <c r="C181" s="619">
        <v>44579</v>
      </c>
      <c r="D181" s="2" t="s">
        <v>995</v>
      </c>
      <c r="E181" t="s">
        <v>58</v>
      </c>
      <c r="F181" s="2" t="s">
        <v>43</v>
      </c>
      <c r="G181" t="s">
        <v>40</v>
      </c>
      <c r="H181" s="690" t="s">
        <v>84</v>
      </c>
      <c r="I181" s="691" t="s">
        <v>620</v>
      </c>
      <c r="J181" s="721">
        <v>4149295000113</v>
      </c>
      <c r="K181" s="691" t="s">
        <v>43</v>
      </c>
      <c r="L181" s="721">
        <v>3780401000108</v>
      </c>
      <c r="M181" s="718" t="s">
        <v>3</v>
      </c>
      <c r="N181" s="717" t="s">
        <v>44</v>
      </c>
      <c r="O181" s="719">
        <v>44805</v>
      </c>
      <c r="P181" s="720">
        <v>44834</v>
      </c>
      <c r="Q181" s="718">
        <v>242</v>
      </c>
      <c r="R181" s="717">
        <v>8.266667</v>
      </c>
      <c r="S181" s="691" t="s">
        <v>54</v>
      </c>
      <c r="T181" t="s">
        <v>358</v>
      </c>
      <c r="U181" s="673" t="s">
        <v>358</v>
      </c>
      <c r="V181" s="690" t="s">
        <v>358</v>
      </c>
      <c r="W181" s="657" t="s">
        <v>329</v>
      </c>
      <c r="X181" s="723"/>
      <c r="Y181" s="4"/>
      <c r="Z181" s="4"/>
      <c r="AA181" s="4"/>
      <c r="AB181" s="4"/>
      <c r="AC181" s="4"/>
      <c r="AD181" s="4"/>
      <c r="AE181" s="4"/>
      <c r="AF181" s="4">
        <v>8.266667</v>
      </c>
      <c r="AG181" s="4"/>
      <c r="AH181" s="4"/>
      <c r="AI181" s="654"/>
      <c r="AJ181" s="655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654"/>
      <c r="AV181" s="655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654"/>
      <c r="BH181" s="655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654"/>
      <c r="BT181" s="655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693"/>
      <c r="CF181" s="723"/>
      <c r="CG181" s="4"/>
      <c r="CH181" s="4"/>
      <c r="CI181" s="4"/>
      <c r="CJ181" s="4"/>
      <c r="CK181" s="4"/>
      <c r="CL181" s="4"/>
      <c r="CM181" s="4"/>
      <c r="CN181" s="4">
        <v>242</v>
      </c>
      <c r="CO181" s="4"/>
      <c r="CP181" s="4"/>
      <c r="CQ181" s="654"/>
      <c r="CR181" s="655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654"/>
      <c r="DD181" s="655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654"/>
      <c r="DP181" s="655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654"/>
      <c r="EB181" s="655"/>
      <c r="EC181" s="4"/>
      <c r="ED181" s="4"/>
      <c r="EE181" s="4"/>
      <c r="EF181" s="4"/>
      <c r="EG181" s="4"/>
      <c r="EH181" s="4"/>
      <c r="EI181" s="4"/>
      <c r="EJ181" s="4"/>
      <c r="EK181" s="4"/>
      <c r="EL181" s="4"/>
      <c r="EM181" s="693"/>
      <c r="EN181" s="723"/>
      <c r="EO181" s="4"/>
      <c r="EP181" s="4"/>
      <c r="EQ181" s="4"/>
      <c r="ER181" s="4"/>
      <c r="ES181" s="4"/>
      <c r="ET181" s="4"/>
      <c r="EU181" s="4"/>
      <c r="EV181" s="4">
        <v>242</v>
      </c>
      <c r="EW181" s="4"/>
      <c r="EX181" s="4"/>
      <c r="EY181" s="654"/>
      <c r="EZ181" s="655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654"/>
      <c r="FL181" s="655"/>
      <c r="FM181" s="4"/>
      <c r="FN181" s="4"/>
      <c r="FO181" s="4"/>
      <c r="FP181" s="4"/>
      <c r="FQ181" s="4"/>
      <c r="FR181" s="4"/>
      <c r="FS181" s="4"/>
      <c r="FT181" s="4"/>
      <c r="FU181" s="4"/>
      <c r="FV181" s="4"/>
      <c r="FW181" s="654"/>
      <c r="FX181" s="655"/>
      <c r="FY181" s="4"/>
      <c r="FZ181" s="4"/>
      <c r="GA181" s="4"/>
      <c r="GB181" s="4"/>
      <c r="GC181" s="4"/>
      <c r="GD181" s="4"/>
      <c r="GE181" s="4"/>
      <c r="GF181" s="4"/>
      <c r="GG181" s="4"/>
      <c r="GH181" s="4"/>
      <c r="GI181" s="654"/>
      <c r="GJ181" s="655"/>
      <c r="GK181" s="4"/>
      <c r="GL181" s="4"/>
      <c r="GM181" s="4"/>
      <c r="GN181" s="4"/>
      <c r="GO181" s="4"/>
      <c r="GP181" s="4"/>
      <c r="GQ181" s="4"/>
      <c r="GR181" s="4"/>
      <c r="GS181" s="4"/>
      <c r="GT181" s="4"/>
      <c r="GU181" s="722"/>
      <c r="GV181" s="715"/>
    </row>
    <row r="182" spans="1:204" x14ac:dyDescent="0.25">
      <c r="A182" t="s">
        <v>1022</v>
      </c>
      <c r="B182" s="2" t="s">
        <v>1021</v>
      </c>
      <c r="C182" s="619">
        <v>44579</v>
      </c>
      <c r="D182" s="2" t="s">
        <v>996</v>
      </c>
      <c r="E182" t="s">
        <v>59</v>
      </c>
      <c r="F182" s="2" t="s">
        <v>43</v>
      </c>
      <c r="G182" t="s">
        <v>40</v>
      </c>
      <c r="H182" s="690" t="s">
        <v>85</v>
      </c>
      <c r="I182" s="691" t="s">
        <v>43</v>
      </c>
      <c r="J182" s="721">
        <v>3780401000108</v>
      </c>
      <c r="K182" s="691" t="s">
        <v>620</v>
      </c>
      <c r="L182" s="721">
        <v>4149295000113</v>
      </c>
      <c r="M182" s="718" t="s">
        <v>3</v>
      </c>
      <c r="N182" s="717" t="s">
        <v>44</v>
      </c>
      <c r="O182" s="719">
        <v>44621</v>
      </c>
      <c r="P182" s="720">
        <v>44651</v>
      </c>
      <c r="Q182" s="718">
        <v>130</v>
      </c>
      <c r="R182" s="717">
        <v>16</v>
      </c>
      <c r="S182" s="691" t="s">
        <v>54</v>
      </c>
      <c r="T182" t="s">
        <v>358</v>
      </c>
      <c r="U182" s="673" t="s">
        <v>358</v>
      </c>
      <c r="V182" s="690" t="s">
        <v>358</v>
      </c>
      <c r="W182" s="657" t="s">
        <v>329</v>
      </c>
      <c r="X182" s="723"/>
      <c r="Y182" s="4"/>
      <c r="Z182" s="4">
        <v>16</v>
      </c>
      <c r="AA182" s="4"/>
      <c r="AB182" s="4"/>
      <c r="AC182" s="4"/>
      <c r="AD182" s="4"/>
      <c r="AE182" s="4"/>
      <c r="AF182" s="4"/>
      <c r="AG182" s="4"/>
      <c r="AH182" s="4"/>
      <c r="AI182" s="654"/>
      <c r="AJ182" s="655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654"/>
      <c r="AV182" s="655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654"/>
      <c r="BH182" s="655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654"/>
      <c r="BT182" s="655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693"/>
      <c r="CF182" s="723"/>
      <c r="CG182" s="4"/>
      <c r="CH182" s="4">
        <v>130</v>
      </c>
      <c r="CI182" s="4"/>
      <c r="CJ182" s="4"/>
      <c r="CK182" s="4"/>
      <c r="CL182" s="4"/>
      <c r="CM182" s="4"/>
      <c r="CN182" s="4"/>
      <c r="CO182" s="4"/>
      <c r="CP182" s="4"/>
      <c r="CQ182" s="654"/>
      <c r="CR182" s="655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654"/>
      <c r="DD182" s="655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654"/>
      <c r="DP182" s="655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654"/>
      <c r="EB182" s="655"/>
      <c r="EC182" s="4"/>
      <c r="ED182" s="4"/>
      <c r="EE182" s="4"/>
      <c r="EF182" s="4"/>
      <c r="EG182" s="4"/>
      <c r="EH182" s="4"/>
      <c r="EI182" s="4"/>
      <c r="EJ182" s="4"/>
      <c r="EK182" s="4"/>
      <c r="EL182" s="4"/>
      <c r="EM182" s="693"/>
      <c r="EN182" s="723"/>
      <c r="EO182" s="4"/>
      <c r="EP182" s="4">
        <v>130</v>
      </c>
      <c r="EQ182" s="4"/>
      <c r="ER182" s="4"/>
      <c r="ES182" s="4"/>
      <c r="ET182" s="4"/>
      <c r="EU182" s="4"/>
      <c r="EV182" s="4"/>
      <c r="EW182" s="4"/>
      <c r="EX182" s="4"/>
      <c r="EY182" s="654"/>
      <c r="EZ182" s="655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654"/>
      <c r="FL182" s="655"/>
      <c r="FM182" s="4"/>
      <c r="FN182" s="4"/>
      <c r="FO182" s="4"/>
      <c r="FP182" s="4"/>
      <c r="FQ182" s="4"/>
      <c r="FR182" s="4"/>
      <c r="FS182" s="4"/>
      <c r="FT182" s="4"/>
      <c r="FU182" s="4"/>
      <c r="FV182" s="4"/>
      <c r="FW182" s="654"/>
      <c r="FX182" s="655"/>
      <c r="FY182" s="4"/>
      <c r="FZ182" s="4"/>
      <c r="GA182" s="4"/>
      <c r="GB182" s="4"/>
      <c r="GC182" s="4"/>
      <c r="GD182" s="4"/>
      <c r="GE182" s="4"/>
      <c r="GF182" s="4"/>
      <c r="GG182" s="4"/>
      <c r="GH182" s="4"/>
      <c r="GI182" s="654"/>
      <c r="GJ182" s="655"/>
      <c r="GK182" s="4"/>
      <c r="GL182" s="4"/>
      <c r="GM182" s="4"/>
      <c r="GN182" s="4"/>
      <c r="GO182" s="4"/>
      <c r="GP182" s="4"/>
      <c r="GQ182" s="4"/>
      <c r="GR182" s="4"/>
      <c r="GS182" s="4"/>
      <c r="GT182" s="4"/>
      <c r="GU182" s="722"/>
      <c r="GV182" s="715"/>
    </row>
    <row r="183" spans="1:204" x14ac:dyDescent="0.25">
      <c r="A183" t="s">
        <v>1024</v>
      </c>
      <c r="B183" s="2" t="s">
        <v>1023</v>
      </c>
      <c r="C183" s="619">
        <v>44579</v>
      </c>
      <c r="D183" s="2" t="s">
        <v>997</v>
      </c>
      <c r="E183" t="s">
        <v>59</v>
      </c>
      <c r="F183" s="2" t="s">
        <v>43</v>
      </c>
      <c r="G183" t="s">
        <v>40</v>
      </c>
      <c r="H183" s="690" t="s">
        <v>85</v>
      </c>
      <c r="I183" s="691" t="s">
        <v>43</v>
      </c>
      <c r="J183" s="721">
        <v>3780401000108</v>
      </c>
      <c r="K183" s="691" t="s">
        <v>404</v>
      </c>
      <c r="L183" s="721">
        <v>18384740000134</v>
      </c>
      <c r="M183" s="718" t="s">
        <v>3</v>
      </c>
      <c r="N183" s="717" t="s">
        <v>44</v>
      </c>
      <c r="O183" s="719">
        <v>44682</v>
      </c>
      <c r="P183" s="720">
        <v>44712</v>
      </c>
      <c r="Q183" s="718">
        <v>145</v>
      </c>
      <c r="R183" s="717">
        <v>2</v>
      </c>
      <c r="S183" s="691" t="s">
        <v>54</v>
      </c>
      <c r="T183" t="s">
        <v>358</v>
      </c>
      <c r="U183" s="673" t="s">
        <v>358</v>
      </c>
      <c r="V183" s="690" t="s">
        <v>358</v>
      </c>
      <c r="W183" s="657" t="s">
        <v>329</v>
      </c>
      <c r="X183" s="723"/>
      <c r="Y183" s="4"/>
      <c r="Z183" s="4"/>
      <c r="AA183" s="4"/>
      <c r="AB183" s="4">
        <v>2</v>
      </c>
      <c r="AC183" s="4"/>
      <c r="AD183" s="4"/>
      <c r="AE183" s="4"/>
      <c r="AF183" s="4"/>
      <c r="AG183" s="4"/>
      <c r="AH183" s="4"/>
      <c r="AI183" s="654"/>
      <c r="AJ183" s="655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654"/>
      <c r="AV183" s="655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654"/>
      <c r="BH183" s="655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654"/>
      <c r="BT183" s="655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693"/>
      <c r="CF183" s="723"/>
      <c r="CG183" s="4"/>
      <c r="CH183" s="4"/>
      <c r="CI183" s="4"/>
      <c r="CJ183" s="4">
        <v>145</v>
      </c>
      <c r="CK183" s="4"/>
      <c r="CL183" s="4"/>
      <c r="CM183" s="4"/>
      <c r="CN183" s="4"/>
      <c r="CO183" s="4"/>
      <c r="CP183" s="4"/>
      <c r="CQ183" s="654"/>
      <c r="CR183" s="655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654"/>
      <c r="DD183" s="655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654"/>
      <c r="DP183" s="655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654"/>
      <c r="EB183" s="655"/>
      <c r="EC183" s="4"/>
      <c r="ED183" s="4"/>
      <c r="EE183" s="4"/>
      <c r="EF183" s="4"/>
      <c r="EG183" s="4"/>
      <c r="EH183" s="4"/>
      <c r="EI183" s="4"/>
      <c r="EJ183" s="4"/>
      <c r="EK183" s="4"/>
      <c r="EL183" s="4"/>
      <c r="EM183" s="693"/>
      <c r="EN183" s="723"/>
      <c r="EO183" s="4"/>
      <c r="EP183" s="4"/>
      <c r="EQ183" s="4"/>
      <c r="ER183" s="4">
        <v>145</v>
      </c>
      <c r="ES183" s="4"/>
      <c r="ET183" s="4"/>
      <c r="EU183" s="4"/>
      <c r="EV183" s="4"/>
      <c r="EW183" s="4"/>
      <c r="EX183" s="4"/>
      <c r="EY183" s="654"/>
      <c r="EZ183" s="655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654"/>
      <c r="FL183" s="655"/>
      <c r="FM183" s="4"/>
      <c r="FN183" s="4"/>
      <c r="FO183" s="4"/>
      <c r="FP183" s="4"/>
      <c r="FQ183" s="4"/>
      <c r="FR183" s="4"/>
      <c r="FS183" s="4"/>
      <c r="FT183" s="4"/>
      <c r="FU183" s="4"/>
      <c r="FV183" s="4"/>
      <c r="FW183" s="654"/>
      <c r="FX183" s="655"/>
      <c r="FY183" s="4"/>
      <c r="FZ183" s="4"/>
      <c r="GA183" s="4"/>
      <c r="GB183" s="4"/>
      <c r="GC183" s="4"/>
      <c r="GD183" s="4"/>
      <c r="GE183" s="4"/>
      <c r="GF183" s="4"/>
      <c r="GG183" s="4"/>
      <c r="GH183" s="4"/>
      <c r="GI183" s="654"/>
      <c r="GJ183" s="655"/>
      <c r="GK183" s="4"/>
      <c r="GL183" s="4"/>
      <c r="GM183" s="4"/>
      <c r="GN183" s="4"/>
      <c r="GO183" s="4"/>
      <c r="GP183" s="4"/>
      <c r="GQ183" s="4"/>
      <c r="GR183" s="4"/>
      <c r="GS183" s="4"/>
      <c r="GT183" s="4"/>
      <c r="GU183" s="722"/>
      <c r="GV183" s="715"/>
    </row>
    <row r="184" spans="1:204" x14ac:dyDescent="0.25">
      <c r="A184" t="s">
        <v>1026</v>
      </c>
      <c r="B184" s="2" t="s">
        <v>1025</v>
      </c>
      <c r="C184" s="619">
        <v>44579</v>
      </c>
      <c r="D184" s="2" t="s">
        <v>998</v>
      </c>
      <c r="E184" t="s">
        <v>59</v>
      </c>
      <c r="F184" s="2" t="s">
        <v>43</v>
      </c>
      <c r="G184" t="s">
        <v>40</v>
      </c>
      <c r="H184" s="690" t="s">
        <v>85</v>
      </c>
      <c r="I184" s="691" t="s">
        <v>43</v>
      </c>
      <c r="J184" s="721">
        <v>3780401000108</v>
      </c>
      <c r="K184" s="691" t="s">
        <v>967</v>
      </c>
      <c r="L184" s="721">
        <v>3984862000194</v>
      </c>
      <c r="M184" s="718" t="s">
        <v>3</v>
      </c>
      <c r="N184" s="717" t="s">
        <v>44</v>
      </c>
      <c r="O184" s="719">
        <v>44896</v>
      </c>
      <c r="P184" s="720">
        <v>44926</v>
      </c>
      <c r="Q184" s="718">
        <v>185</v>
      </c>
      <c r="R184" s="717">
        <v>15</v>
      </c>
      <c r="S184" s="691" t="s">
        <v>54</v>
      </c>
      <c r="T184" t="s">
        <v>358</v>
      </c>
      <c r="U184" s="673" t="s">
        <v>358</v>
      </c>
      <c r="V184" s="690" t="s">
        <v>358</v>
      </c>
      <c r="W184" s="657" t="s">
        <v>329</v>
      </c>
      <c r="X184" s="723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654">
        <v>15</v>
      </c>
      <c r="AJ184" s="655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654"/>
      <c r="AV184" s="655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654"/>
      <c r="BH184" s="655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654"/>
      <c r="BT184" s="655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693"/>
      <c r="CF184" s="723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654">
        <v>185</v>
      </c>
      <c r="CR184" s="655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654"/>
      <c r="DD184" s="655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654"/>
      <c r="DP184" s="655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654"/>
      <c r="EB184" s="655"/>
      <c r="EC184" s="4"/>
      <c r="ED184" s="4"/>
      <c r="EE184" s="4"/>
      <c r="EF184" s="4"/>
      <c r="EG184" s="4"/>
      <c r="EH184" s="4"/>
      <c r="EI184" s="4"/>
      <c r="EJ184" s="4"/>
      <c r="EK184" s="4"/>
      <c r="EL184" s="4"/>
      <c r="EM184" s="693"/>
      <c r="EN184" s="723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654">
        <v>185</v>
      </c>
      <c r="EZ184" s="655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654"/>
      <c r="FL184" s="655"/>
      <c r="FM184" s="4"/>
      <c r="FN184" s="4"/>
      <c r="FO184" s="4"/>
      <c r="FP184" s="4"/>
      <c r="FQ184" s="4"/>
      <c r="FR184" s="4"/>
      <c r="FS184" s="4"/>
      <c r="FT184" s="4"/>
      <c r="FU184" s="4"/>
      <c r="FV184" s="4"/>
      <c r="FW184" s="654"/>
      <c r="FX184" s="655"/>
      <c r="FY184" s="4"/>
      <c r="FZ184" s="4"/>
      <c r="GA184" s="4"/>
      <c r="GB184" s="4"/>
      <c r="GC184" s="4"/>
      <c r="GD184" s="4"/>
      <c r="GE184" s="4"/>
      <c r="GF184" s="4"/>
      <c r="GG184" s="4"/>
      <c r="GH184" s="4"/>
      <c r="GI184" s="654"/>
      <c r="GJ184" s="655"/>
      <c r="GK184" s="4"/>
      <c r="GL184" s="4"/>
      <c r="GM184" s="4"/>
      <c r="GN184" s="4"/>
      <c r="GO184" s="4"/>
      <c r="GP184" s="4"/>
      <c r="GQ184" s="4"/>
      <c r="GR184" s="4"/>
      <c r="GS184" s="4"/>
      <c r="GT184" s="4"/>
      <c r="GU184" s="722"/>
      <c r="GV184" s="715"/>
    </row>
    <row r="185" spans="1:204" x14ac:dyDescent="0.25">
      <c r="A185" t="s">
        <v>1028</v>
      </c>
      <c r="B185" s="2" t="s">
        <v>1027</v>
      </c>
      <c r="C185" s="619">
        <v>44579</v>
      </c>
      <c r="D185" s="2" t="s">
        <v>999</v>
      </c>
      <c r="E185" t="s">
        <v>58</v>
      </c>
      <c r="F185" s="2" t="s">
        <v>43</v>
      </c>
      <c r="G185" t="s">
        <v>40</v>
      </c>
      <c r="H185" s="690" t="s">
        <v>84</v>
      </c>
      <c r="I185" s="691" t="s">
        <v>967</v>
      </c>
      <c r="J185" s="721">
        <v>3984862000194</v>
      </c>
      <c r="K185" s="691" t="s">
        <v>43</v>
      </c>
      <c r="L185" s="721">
        <v>3780401000108</v>
      </c>
      <c r="M185" s="718" t="s">
        <v>3</v>
      </c>
      <c r="N185" s="717" t="s">
        <v>44</v>
      </c>
      <c r="O185" s="719">
        <v>44713</v>
      </c>
      <c r="P185" s="720">
        <v>44742</v>
      </c>
      <c r="Q185" s="718">
        <v>173</v>
      </c>
      <c r="R185" s="717">
        <v>15</v>
      </c>
      <c r="S185" s="691" t="s">
        <v>54</v>
      </c>
      <c r="T185" t="s">
        <v>358</v>
      </c>
      <c r="U185" s="673" t="s">
        <v>358</v>
      </c>
      <c r="V185" s="690" t="s">
        <v>358</v>
      </c>
      <c r="W185" s="657" t="s">
        <v>329</v>
      </c>
      <c r="X185" s="723"/>
      <c r="Y185" s="4"/>
      <c r="Z185" s="4"/>
      <c r="AA185" s="4"/>
      <c r="AB185" s="4"/>
      <c r="AC185" s="4">
        <v>15</v>
      </c>
      <c r="AD185" s="4"/>
      <c r="AE185" s="4"/>
      <c r="AF185" s="4"/>
      <c r="AG185" s="4"/>
      <c r="AH185" s="4"/>
      <c r="AI185" s="654"/>
      <c r="AJ185" s="655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654"/>
      <c r="AV185" s="655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654"/>
      <c r="BH185" s="655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654"/>
      <c r="BT185" s="655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693"/>
      <c r="CF185" s="723"/>
      <c r="CG185" s="4"/>
      <c r="CH185" s="4"/>
      <c r="CI185" s="4"/>
      <c r="CJ185" s="4"/>
      <c r="CK185" s="4">
        <v>173</v>
      </c>
      <c r="CL185" s="4"/>
      <c r="CM185" s="4"/>
      <c r="CN185" s="4"/>
      <c r="CO185" s="4"/>
      <c r="CP185" s="4"/>
      <c r="CQ185" s="654"/>
      <c r="CR185" s="655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654"/>
      <c r="DD185" s="655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654"/>
      <c r="DP185" s="655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654"/>
      <c r="EB185" s="655"/>
      <c r="EC185" s="4"/>
      <c r="ED185" s="4"/>
      <c r="EE185" s="4"/>
      <c r="EF185" s="4"/>
      <c r="EG185" s="4"/>
      <c r="EH185" s="4"/>
      <c r="EI185" s="4"/>
      <c r="EJ185" s="4"/>
      <c r="EK185" s="4"/>
      <c r="EL185" s="4"/>
      <c r="EM185" s="693"/>
      <c r="EN185" s="723"/>
      <c r="EO185" s="4"/>
      <c r="EP185" s="4"/>
      <c r="EQ185" s="4"/>
      <c r="ER185" s="4"/>
      <c r="ES185" s="4">
        <v>173</v>
      </c>
      <c r="ET185" s="4"/>
      <c r="EU185" s="4"/>
      <c r="EV185" s="4"/>
      <c r="EW185" s="4"/>
      <c r="EX185" s="4"/>
      <c r="EY185" s="654"/>
      <c r="EZ185" s="655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654"/>
      <c r="FL185" s="655"/>
      <c r="FM185" s="4"/>
      <c r="FN185" s="4"/>
      <c r="FO185" s="4"/>
      <c r="FP185" s="4"/>
      <c r="FQ185" s="4"/>
      <c r="FR185" s="4"/>
      <c r="FS185" s="4"/>
      <c r="FT185" s="4"/>
      <c r="FU185" s="4"/>
      <c r="FV185" s="4"/>
      <c r="FW185" s="654"/>
      <c r="FX185" s="655"/>
      <c r="FY185" s="4"/>
      <c r="FZ185" s="4"/>
      <c r="GA185" s="4"/>
      <c r="GB185" s="4"/>
      <c r="GC185" s="4"/>
      <c r="GD185" s="4"/>
      <c r="GE185" s="4"/>
      <c r="GF185" s="4"/>
      <c r="GG185" s="4"/>
      <c r="GH185" s="4"/>
      <c r="GI185" s="654"/>
      <c r="GJ185" s="655"/>
      <c r="GK185" s="4"/>
      <c r="GL185" s="4"/>
      <c r="GM185" s="4"/>
      <c r="GN185" s="4"/>
      <c r="GO185" s="4"/>
      <c r="GP185" s="4"/>
      <c r="GQ185" s="4"/>
      <c r="GR185" s="4"/>
      <c r="GS185" s="4"/>
      <c r="GT185" s="4"/>
      <c r="GU185" s="722"/>
      <c r="GV185" s="715"/>
    </row>
    <row r="186" spans="1:204" x14ac:dyDescent="0.25">
      <c r="A186" t="s">
        <v>1030</v>
      </c>
      <c r="B186" s="2" t="s">
        <v>358</v>
      </c>
      <c r="C186" s="619">
        <v>44579</v>
      </c>
      <c r="D186" s="2" t="s">
        <v>1033</v>
      </c>
      <c r="E186" t="s">
        <v>58</v>
      </c>
      <c r="F186" s="2" t="s">
        <v>43</v>
      </c>
      <c r="G186" t="s">
        <v>40</v>
      </c>
      <c r="H186" s="690" t="s">
        <v>84</v>
      </c>
      <c r="I186" s="691" t="s">
        <v>346</v>
      </c>
      <c r="J186" s="721" t="e">
        <v>#VALUE!</v>
      </c>
      <c r="K186" s="691" t="s">
        <v>43</v>
      </c>
      <c r="L186" s="721"/>
      <c r="M186" s="718" t="s">
        <v>3</v>
      </c>
      <c r="N186" s="717" t="s">
        <v>44</v>
      </c>
      <c r="O186" s="719">
        <v>44713</v>
      </c>
      <c r="P186" s="720">
        <v>44742</v>
      </c>
      <c r="Q186" s="718">
        <v>165</v>
      </c>
      <c r="R186" s="717">
        <v>15</v>
      </c>
      <c r="S186" s="691" t="s">
        <v>54</v>
      </c>
      <c r="T186" t="s">
        <v>358</v>
      </c>
      <c r="U186" s="673" t="s">
        <v>358</v>
      </c>
      <c r="V186" s="690" t="s">
        <v>358</v>
      </c>
      <c r="W186" s="657" t="s">
        <v>214</v>
      </c>
      <c r="X186" s="723"/>
      <c r="Y186" s="4"/>
      <c r="Z186" s="4"/>
      <c r="AA186" s="4"/>
      <c r="AB186" s="4"/>
      <c r="AC186" s="4">
        <v>15</v>
      </c>
      <c r="AD186" s="4"/>
      <c r="AE186" s="4"/>
      <c r="AF186" s="4"/>
      <c r="AG186" s="4"/>
      <c r="AH186" s="4"/>
      <c r="AI186" s="654"/>
      <c r="AJ186" s="655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654"/>
      <c r="AV186" s="655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654"/>
      <c r="BH186" s="655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654"/>
      <c r="BT186" s="655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693"/>
      <c r="CF186" s="723"/>
      <c r="CG186" s="4"/>
      <c r="CH186" s="4"/>
      <c r="CI186" s="4"/>
      <c r="CJ186" s="4"/>
      <c r="CK186" s="4">
        <v>165</v>
      </c>
      <c r="CL186" s="4"/>
      <c r="CM186" s="4"/>
      <c r="CN186" s="4"/>
      <c r="CO186" s="4"/>
      <c r="CP186" s="4"/>
      <c r="CQ186" s="654"/>
      <c r="CR186" s="655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654"/>
      <c r="DD186" s="655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654"/>
      <c r="DP186" s="655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654"/>
      <c r="EB186" s="655"/>
      <c r="EC186" s="4"/>
      <c r="ED186" s="4"/>
      <c r="EE186" s="4"/>
      <c r="EF186" s="4"/>
      <c r="EG186" s="4"/>
      <c r="EH186" s="4"/>
      <c r="EI186" s="4"/>
      <c r="EJ186" s="4"/>
      <c r="EK186" s="4"/>
      <c r="EL186" s="4"/>
      <c r="EM186" s="693"/>
      <c r="EN186" s="723"/>
      <c r="EO186" s="4"/>
      <c r="EP186" s="4"/>
      <c r="EQ186" s="4"/>
      <c r="ER186" s="4"/>
      <c r="ES186" s="4">
        <v>165</v>
      </c>
      <c r="ET186" s="4"/>
      <c r="EU186" s="4"/>
      <c r="EV186" s="4"/>
      <c r="EW186" s="4"/>
      <c r="EX186" s="4"/>
      <c r="EY186" s="654"/>
      <c r="EZ186" s="655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654"/>
      <c r="FL186" s="655"/>
      <c r="FM186" s="4"/>
      <c r="FN186" s="4"/>
      <c r="FO186" s="4"/>
      <c r="FP186" s="4"/>
      <c r="FQ186" s="4"/>
      <c r="FR186" s="4"/>
      <c r="FS186" s="4"/>
      <c r="FT186" s="4"/>
      <c r="FU186" s="4"/>
      <c r="FV186" s="4"/>
      <c r="FW186" s="654"/>
      <c r="FX186" s="655"/>
      <c r="FY186" s="4"/>
      <c r="FZ186" s="4"/>
      <c r="GA186" s="4"/>
      <c r="GB186" s="4"/>
      <c r="GC186" s="4"/>
      <c r="GD186" s="4"/>
      <c r="GE186" s="4"/>
      <c r="GF186" s="4"/>
      <c r="GG186" s="4"/>
      <c r="GH186" s="4"/>
      <c r="GI186" s="654"/>
      <c r="GJ186" s="655"/>
      <c r="GK186" s="4"/>
      <c r="GL186" s="4"/>
      <c r="GM186" s="4"/>
      <c r="GN186" s="4"/>
      <c r="GO186" s="4"/>
      <c r="GP186" s="4"/>
      <c r="GQ186" s="4"/>
      <c r="GR186" s="4"/>
      <c r="GS186" s="4"/>
      <c r="GT186" s="4"/>
      <c r="GU186" s="722"/>
      <c r="GV186" s="715"/>
    </row>
    <row r="187" spans="1:204" x14ac:dyDescent="0.25">
      <c r="A187" t="s">
        <v>1032</v>
      </c>
      <c r="B187" s="2" t="s">
        <v>358</v>
      </c>
      <c r="C187" s="619">
        <v>44579</v>
      </c>
      <c r="D187" s="2" t="s">
        <v>1034</v>
      </c>
      <c r="E187" t="s">
        <v>59</v>
      </c>
      <c r="F187" s="2" t="s">
        <v>43</v>
      </c>
      <c r="G187" t="s">
        <v>40</v>
      </c>
      <c r="H187" s="690" t="s">
        <v>85</v>
      </c>
      <c r="I187" s="691" t="s">
        <v>43</v>
      </c>
      <c r="J187" s="721">
        <v>3780401000108</v>
      </c>
      <c r="K187" s="691" t="s">
        <v>346</v>
      </c>
      <c r="L187" s="721"/>
      <c r="M187" s="718" t="s">
        <v>3</v>
      </c>
      <c r="N187" s="717" t="s">
        <v>44</v>
      </c>
      <c r="O187" s="719">
        <v>44713</v>
      </c>
      <c r="P187" s="720">
        <v>44742</v>
      </c>
      <c r="Q187" s="718">
        <v>165</v>
      </c>
      <c r="R187" s="717">
        <v>15</v>
      </c>
      <c r="S187" s="691" t="s">
        <v>54</v>
      </c>
      <c r="T187" t="s">
        <v>358</v>
      </c>
      <c r="U187" s="673" t="s">
        <v>358</v>
      </c>
      <c r="V187" s="690" t="s">
        <v>358</v>
      </c>
      <c r="W187" s="657" t="s">
        <v>214</v>
      </c>
      <c r="X187" s="723"/>
      <c r="Y187" s="4"/>
      <c r="Z187" s="4"/>
      <c r="AA187" s="4"/>
      <c r="AB187" s="4"/>
      <c r="AC187" s="4">
        <v>15</v>
      </c>
      <c r="AD187" s="4"/>
      <c r="AE187" s="4"/>
      <c r="AF187" s="4"/>
      <c r="AG187" s="4"/>
      <c r="AH187" s="4"/>
      <c r="AI187" s="654"/>
      <c r="AJ187" s="655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654"/>
      <c r="AV187" s="655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654"/>
      <c r="BH187" s="655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654"/>
      <c r="BT187" s="655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693"/>
      <c r="CF187" s="723"/>
      <c r="CG187" s="4"/>
      <c r="CH187" s="4"/>
      <c r="CI187" s="4"/>
      <c r="CJ187" s="4"/>
      <c r="CK187" s="4">
        <v>165</v>
      </c>
      <c r="CL187" s="4"/>
      <c r="CM187" s="4"/>
      <c r="CN187" s="4"/>
      <c r="CO187" s="4"/>
      <c r="CP187" s="4"/>
      <c r="CQ187" s="654"/>
      <c r="CR187" s="655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654"/>
      <c r="DD187" s="655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654"/>
      <c r="DP187" s="655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654"/>
      <c r="EB187" s="655"/>
      <c r="EC187" s="4"/>
      <c r="ED187" s="4"/>
      <c r="EE187" s="4"/>
      <c r="EF187" s="4"/>
      <c r="EG187" s="4"/>
      <c r="EH187" s="4"/>
      <c r="EI187" s="4"/>
      <c r="EJ187" s="4"/>
      <c r="EK187" s="4"/>
      <c r="EL187" s="4"/>
      <c r="EM187" s="693"/>
      <c r="EN187" s="723"/>
      <c r="EO187" s="4"/>
      <c r="EP187" s="4"/>
      <c r="EQ187" s="4"/>
      <c r="ER187" s="4"/>
      <c r="ES187" s="4">
        <v>165</v>
      </c>
      <c r="ET187" s="4"/>
      <c r="EU187" s="4"/>
      <c r="EV187" s="4"/>
      <c r="EW187" s="4"/>
      <c r="EX187" s="4"/>
      <c r="EY187" s="654"/>
      <c r="EZ187" s="655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654"/>
      <c r="FL187" s="655"/>
      <c r="FM187" s="4"/>
      <c r="FN187" s="4"/>
      <c r="FO187" s="4"/>
      <c r="FP187" s="4"/>
      <c r="FQ187" s="4"/>
      <c r="FR187" s="4"/>
      <c r="FS187" s="4"/>
      <c r="FT187" s="4"/>
      <c r="FU187" s="4"/>
      <c r="FV187" s="4"/>
      <c r="FW187" s="654"/>
      <c r="FX187" s="655"/>
      <c r="FY187" s="4"/>
      <c r="FZ187" s="4"/>
      <c r="GA187" s="4"/>
      <c r="GB187" s="4"/>
      <c r="GC187" s="4"/>
      <c r="GD187" s="4"/>
      <c r="GE187" s="4"/>
      <c r="GF187" s="4"/>
      <c r="GG187" s="4"/>
      <c r="GH187" s="4"/>
      <c r="GI187" s="654"/>
      <c r="GJ187" s="655"/>
      <c r="GK187" s="4"/>
      <c r="GL187" s="4"/>
      <c r="GM187" s="4"/>
      <c r="GN187" s="4"/>
      <c r="GO187" s="4"/>
      <c r="GP187" s="4"/>
      <c r="GQ187" s="4"/>
      <c r="GR187" s="4"/>
      <c r="GS187" s="4"/>
      <c r="GT187" s="4"/>
      <c r="GU187" s="722"/>
      <c r="GV187" s="715"/>
    </row>
    <row r="188" spans="1:204" x14ac:dyDescent="0.25">
      <c r="A188" t="s">
        <v>1049</v>
      </c>
      <c r="B188" s="2" t="s">
        <v>1029</v>
      </c>
      <c r="C188" s="619">
        <v>44580</v>
      </c>
      <c r="D188" s="2" t="s">
        <v>1035</v>
      </c>
      <c r="E188" t="s">
        <v>59</v>
      </c>
      <c r="F188" s="2" t="s">
        <v>43</v>
      </c>
      <c r="G188" t="s">
        <v>40</v>
      </c>
      <c r="H188" s="690" t="s">
        <v>85</v>
      </c>
      <c r="I188" s="691" t="s">
        <v>43</v>
      </c>
      <c r="J188" s="721">
        <v>3780401000108</v>
      </c>
      <c r="K188" s="691" t="s">
        <v>505</v>
      </c>
      <c r="L188" s="721">
        <v>30902608000172</v>
      </c>
      <c r="M188" s="718" t="s">
        <v>3</v>
      </c>
      <c r="N188" s="717" t="s">
        <v>44</v>
      </c>
      <c r="O188" s="719">
        <v>44562</v>
      </c>
      <c r="P188" s="720">
        <v>44592</v>
      </c>
      <c r="Q188" s="718">
        <v>65</v>
      </c>
      <c r="R188" s="717">
        <v>5.2</v>
      </c>
      <c r="S188" s="691" t="s">
        <v>54</v>
      </c>
      <c r="T188" t="s">
        <v>358</v>
      </c>
      <c r="U188" s="673" t="s">
        <v>358</v>
      </c>
      <c r="V188" s="690" t="s">
        <v>358</v>
      </c>
      <c r="W188" s="657" t="s">
        <v>329</v>
      </c>
      <c r="X188" s="723">
        <v>5.2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654"/>
      <c r="AJ188" s="655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654"/>
      <c r="AV188" s="655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654"/>
      <c r="BH188" s="655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654"/>
      <c r="BT188" s="655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693"/>
      <c r="CF188" s="723">
        <v>65</v>
      </c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654"/>
      <c r="CR188" s="655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654"/>
      <c r="DD188" s="655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654"/>
      <c r="DP188" s="655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654"/>
      <c r="EB188" s="655"/>
      <c r="EC188" s="4"/>
      <c r="ED188" s="4"/>
      <c r="EE188" s="4"/>
      <c r="EF188" s="4"/>
      <c r="EG188" s="4"/>
      <c r="EH188" s="4"/>
      <c r="EI188" s="4"/>
      <c r="EJ188" s="4"/>
      <c r="EK188" s="4"/>
      <c r="EL188" s="4"/>
      <c r="EM188" s="693"/>
      <c r="EN188" s="723">
        <v>65</v>
      </c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654"/>
      <c r="EZ188" s="655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654"/>
      <c r="FL188" s="655"/>
      <c r="FM188" s="4"/>
      <c r="FN188" s="4"/>
      <c r="FO188" s="4"/>
      <c r="FP188" s="4"/>
      <c r="FQ188" s="4"/>
      <c r="FR188" s="4"/>
      <c r="FS188" s="4"/>
      <c r="FT188" s="4"/>
      <c r="FU188" s="4"/>
      <c r="FV188" s="4"/>
      <c r="FW188" s="654"/>
      <c r="FX188" s="655"/>
      <c r="FY188" s="4"/>
      <c r="FZ188" s="4"/>
      <c r="GA188" s="4"/>
      <c r="GB188" s="4"/>
      <c r="GC188" s="4"/>
      <c r="GD188" s="4"/>
      <c r="GE188" s="4"/>
      <c r="GF188" s="4"/>
      <c r="GG188" s="4"/>
      <c r="GH188" s="4"/>
      <c r="GI188" s="654"/>
      <c r="GJ188" s="655"/>
      <c r="GK188" s="4"/>
      <c r="GL188" s="4"/>
      <c r="GM188" s="4"/>
      <c r="GN188" s="4"/>
      <c r="GO188" s="4"/>
      <c r="GP188" s="4"/>
      <c r="GQ188" s="4"/>
      <c r="GR188" s="4"/>
      <c r="GS188" s="4"/>
      <c r="GT188" s="4"/>
      <c r="GU188" s="722"/>
      <c r="GV188" s="715"/>
    </row>
    <row r="189" spans="1:204" x14ac:dyDescent="0.25">
      <c r="A189" t="s">
        <v>1050</v>
      </c>
      <c r="B189" s="2" t="s">
        <v>1031</v>
      </c>
      <c r="C189" s="619">
        <v>44580</v>
      </c>
      <c r="D189" s="2" t="s">
        <v>1036</v>
      </c>
      <c r="E189" t="s">
        <v>59</v>
      </c>
      <c r="F189" s="2" t="s">
        <v>43</v>
      </c>
      <c r="G189" t="s">
        <v>40</v>
      </c>
      <c r="H189" s="690" t="s">
        <v>85</v>
      </c>
      <c r="I189" s="691" t="s">
        <v>43</v>
      </c>
      <c r="J189" s="721">
        <v>3780401000108</v>
      </c>
      <c r="K189" s="691" t="s">
        <v>466</v>
      </c>
      <c r="L189" s="721">
        <v>26940979000171</v>
      </c>
      <c r="M189" s="718" t="s">
        <v>3</v>
      </c>
      <c r="N189" s="717" t="s">
        <v>44</v>
      </c>
      <c r="O189" s="719">
        <v>44621</v>
      </c>
      <c r="P189" s="720">
        <v>44651</v>
      </c>
      <c r="Q189" s="718">
        <v>130</v>
      </c>
      <c r="R189" s="717">
        <v>2</v>
      </c>
      <c r="S189" s="691" t="s">
        <v>54</v>
      </c>
      <c r="T189" t="s">
        <v>358</v>
      </c>
      <c r="U189" s="673" t="s">
        <v>358</v>
      </c>
      <c r="V189" s="690" t="s">
        <v>358</v>
      </c>
      <c r="W189" s="657" t="s">
        <v>329</v>
      </c>
      <c r="X189" s="723"/>
      <c r="Y189" s="4"/>
      <c r="Z189" s="4">
        <v>2</v>
      </c>
      <c r="AA189" s="4"/>
      <c r="AB189" s="4"/>
      <c r="AC189" s="4"/>
      <c r="AD189" s="4"/>
      <c r="AE189" s="4"/>
      <c r="AF189" s="4"/>
      <c r="AG189" s="4"/>
      <c r="AH189" s="4"/>
      <c r="AI189" s="654"/>
      <c r="AJ189" s="655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654"/>
      <c r="AV189" s="655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654"/>
      <c r="BH189" s="655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654"/>
      <c r="BT189" s="655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693"/>
      <c r="CF189" s="723"/>
      <c r="CG189" s="4"/>
      <c r="CH189" s="4">
        <v>130</v>
      </c>
      <c r="CI189" s="4"/>
      <c r="CJ189" s="4"/>
      <c r="CK189" s="4"/>
      <c r="CL189" s="4"/>
      <c r="CM189" s="4"/>
      <c r="CN189" s="4"/>
      <c r="CO189" s="4"/>
      <c r="CP189" s="4"/>
      <c r="CQ189" s="654"/>
      <c r="CR189" s="655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654"/>
      <c r="DD189" s="655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654"/>
      <c r="DP189" s="655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654"/>
      <c r="EB189" s="655"/>
      <c r="EC189" s="4"/>
      <c r="ED189" s="4"/>
      <c r="EE189" s="4"/>
      <c r="EF189" s="4"/>
      <c r="EG189" s="4"/>
      <c r="EH189" s="4"/>
      <c r="EI189" s="4"/>
      <c r="EJ189" s="4"/>
      <c r="EK189" s="4"/>
      <c r="EL189" s="4"/>
      <c r="EM189" s="693"/>
      <c r="EN189" s="723"/>
      <c r="EO189" s="4"/>
      <c r="EP189" s="4">
        <v>130</v>
      </c>
      <c r="EQ189" s="4"/>
      <c r="ER189" s="4"/>
      <c r="ES189" s="4"/>
      <c r="ET189" s="4"/>
      <c r="EU189" s="4"/>
      <c r="EV189" s="4"/>
      <c r="EW189" s="4"/>
      <c r="EX189" s="4"/>
      <c r="EY189" s="654"/>
      <c r="EZ189" s="655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654"/>
      <c r="FL189" s="655"/>
      <c r="FM189" s="4"/>
      <c r="FN189" s="4"/>
      <c r="FO189" s="4"/>
      <c r="FP189" s="4"/>
      <c r="FQ189" s="4"/>
      <c r="FR189" s="4"/>
      <c r="FS189" s="4"/>
      <c r="FT189" s="4"/>
      <c r="FU189" s="4"/>
      <c r="FV189" s="4"/>
      <c r="FW189" s="654"/>
      <c r="FX189" s="655"/>
      <c r="FY189" s="4"/>
      <c r="FZ189" s="4"/>
      <c r="GA189" s="4"/>
      <c r="GB189" s="4"/>
      <c r="GC189" s="4"/>
      <c r="GD189" s="4"/>
      <c r="GE189" s="4"/>
      <c r="GF189" s="4"/>
      <c r="GG189" s="4"/>
      <c r="GH189" s="4"/>
      <c r="GI189" s="654"/>
      <c r="GJ189" s="655"/>
      <c r="GK189" s="4"/>
      <c r="GL189" s="4"/>
      <c r="GM189" s="4"/>
      <c r="GN189" s="4"/>
      <c r="GO189" s="4"/>
      <c r="GP189" s="4"/>
      <c r="GQ189" s="4"/>
      <c r="GR189" s="4"/>
      <c r="GS189" s="4"/>
      <c r="GT189" s="4"/>
      <c r="GU189" s="722"/>
      <c r="GV189" s="715"/>
    </row>
    <row r="190" spans="1:204" x14ac:dyDescent="0.25">
      <c r="A190" t="s">
        <v>1052</v>
      </c>
      <c r="B190" s="2" t="s">
        <v>1051</v>
      </c>
      <c r="C190" s="619">
        <v>44580</v>
      </c>
      <c r="D190" s="2" t="s">
        <v>1037</v>
      </c>
      <c r="E190" t="s">
        <v>59</v>
      </c>
      <c r="F190" s="2" t="s">
        <v>43</v>
      </c>
      <c r="G190" t="s">
        <v>40</v>
      </c>
      <c r="H190" s="690" t="s">
        <v>85</v>
      </c>
      <c r="I190" s="691" t="s">
        <v>43</v>
      </c>
      <c r="J190" s="721">
        <v>3780401000108</v>
      </c>
      <c r="K190" s="691" t="s">
        <v>509</v>
      </c>
      <c r="L190" s="721">
        <v>9149503000360</v>
      </c>
      <c r="M190" s="718" t="s">
        <v>3</v>
      </c>
      <c r="N190" s="717" t="s">
        <v>44</v>
      </c>
      <c r="O190" s="719">
        <v>44743</v>
      </c>
      <c r="P190" s="720">
        <v>44773</v>
      </c>
      <c r="Q190" s="718">
        <v>240</v>
      </c>
      <c r="R190" s="717">
        <v>5</v>
      </c>
      <c r="S190" s="691" t="s">
        <v>54</v>
      </c>
      <c r="T190" t="s">
        <v>358</v>
      </c>
      <c r="U190" s="673" t="s">
        <v>358</v>
      </c>
      <c r="V190" s="690" t="s">
        <v>358</v>
      </c>
      <c r="W190" s="657" t="s">
        <v>329</v>
      </c>
      <c r="X190" s="723"/>
      <c r="Y190" s="4"/>
      <c r="Z190" s="4"/>
      <c r="AA190" s="4"/>
      <c r="AB190" s="4"/>
      <c r="AC190" s="4"/>
      <c r="AD190" s="4">
        <v>5</v>
      </c>
      <c r="AE190" s="4"/>
      <c r="AF190" s="4"/>
      <c r="AG190" s="4"/>
      <c r="AH190" s="4"/>
      <c r="AI190" s="654"/>
      <c r="AJ190" s="655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654"/>
      <c r="AV190" s="655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654"/>
      <c r="BH190" s="655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654"/>
      <c r="BT190" s="655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693"/>
      <c r="CF190" s="723"/>
      <c r="CG190" s="4"/>
      <c r="CH190" s="4"/>
      <c r="CI190" s="4"/>
      <c r="CJ190" s="4"/>
      <c r="CK190" s="4"/>
      <c r="CL190" s="4">
        <v>240</v>
      </c>
      <c r="CM190" s="4"/>
      <c r="CN190" s="4"/>
      <c r="CO190" s="4"/>
      <c r="CP190" s="4"/>
      <c r="CQ190" s="654"/>
      <c r="CR190" s="655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654"/>
      <c r="DD190" s="655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654"/>
      <c r="DP190" s="655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654"/>
      <c r="EB190" s="655"/>
      <c r="EC190" s="4"/>
      <c r="ED190" s="4"/>
      <c r="EE190" s="4"/>
      <c r="EF190" s="4"/>
      <c r="EG190" s="4"/>
      <c r="EH190" s="4"/>
      <c r="EI190" s="4"/>
      <c r="EJ190" s="4"/>
      <c r="EK190" s="4"/>
      <c r="EL190" s="4"/>
      <c r="EM190" s="693"/>
      <c r="EN190" s="723"/>
      <c r="EO190" s="4"/>
      <c r="EP190" s="4"/>
      <c r="EQ190" s="4"/>
      <c r="ER190" s="4"/>
      <c r="ES190" s="4"/>
      <c r="ET190" s="4">
        <v>240</v>
      </c>
      <c r="EU190" s="4"/>
      <c r="EV190" s="4"/>
      <c r="EW190" s="4"/>
      <c r="EX190" s="4"/>
      <c r="EY190" s="654"/>
      <c r="EZ190" s="655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654"/>
      <c r="FL190" s="655"/>
      <c r="FM190" s="4"/>
      <c r="FN190" s="4"/>
      <c r="FO190" s="4"/>
      <c r="FP190" s="4"/>
      <c r="FQ190" s="4"/>
      <c r="FR190" s="4"/>
      <c r="FS190" s="4"/>
      <c r="FT190" s="4"/>
      <c r="FU190" s="4"/>
      <c r="FV190" s="4"/>
      <c r="FW190" s="654"/>
      <c r="FX190" s="655"/>
      <c r="FY190" s="4"/>
      <c r="FZ190" s="4"/>
      <c r="GA190" s="4"/>
      <c r="GB190" s="4"/>
      <c r="GC190" s="4"/>
      <c r="GD190" s="4"/>
      <c r="GE190" s="4"/>
      <c r="GF190" s="4"/>
      <c r="GG190" s="4"/>
      <c r="GH190" s="4"/>
      <c r="GI190" s="654"/>
      <c r="GJ190" s="655"/>
      <c r="GK190" s="4"/>
      <c r="GL190" s="4"/>
      <c r="GM190" s="4"/>
      <c r="GN190" s="4"/>
      <c r="GO190" s="4"/>
      <c r="GP190" s="4"/>
      <c r="GQ190" s="4"/>
      <c r="GR190" s="4"/>
      <c r="GS190" s="4"/>
      <c r="GT190" s="4"/>
      <c r="GU190" s="722"/>
      <c r="GV190" s="715"/>
    </row>
    <row r="191" spans="1:204" x14ac:dyDescent="0.25">
      <c r="A191" t="s">
        <v>1054</v>
      </c>
      <c r="B191" s="2" t="s">
        <v>1053</v>
      </c>
      <c r="C191" s="619">
        <v>44580</v>
      </c>
      <c r="D191" s="2" t="s">
        <v>1038</v>
      </c>
      <c r="E191" t="s">
        <v>58</v>
      </c>
      <c r="F191" s="2" t="s">
        <v>43</v>
      </c>
      <c r="G191" t="s">
        <v>40</v>
      </c>
      <c r="H191" s="690" t="s">
        <v>84</v>
      </c>
      <c r="I191" s="691" t="s">
        <v>478</v>
      </c>
      <c r="J191" s="721">
        <v>18483400000160</v>
      </c>
      <c r="K191" s="691" t="s">
        <v>43</v>
      </c>
      <c r="L191" s="721">
        <v>3780401000108</v>
      </c>
      <c r="M191" s="718" t="s">
        <v>3</v>
      </c>
      <c r="N191" s="717" t="s">
        <v>44</v>
      </c>
      <c r="O191" s="719">
        <v>44743</v>
      </c>
      <c r="P191" s="720">
        <v>44834</v>
      </c>
      <c r="Q191" s="718">
        <v>239</v>
      </c>
      <c r="R191" s="717">
        <v>2</v>
      </c>
      <c r="S191" s="691" t="s">
        <v>54</v>
      </c>
      <c r="T191" t="s">
        <v>358</v>
      </c>
      <c r="U191" s="673" t="s">
        <v>358</v>
      </c>
      <c r="V191" s="690" t="s">
        <v>358</v>
      </c>
      <c r="W191" s="657" t="s">
        <v>329</v>
      </c>
      <c r="X191" s="723"/>
      <c r="Y191" s="4"/>
      <c r="Z191" s="4"/>
      <c r="AA191" s="4"/>
      <c r="AB191" s="4"/>
      <c r="AC191" s="4"/>
      <c r="AD191" s="4">
        <v>2</v>
      </c>
      <c r="AE191" s="4">
        <v>2</v>
      </c>
      <c r="AF191" s="4">
        <v>2</v>
      </c>
      <c r="AG191" s="4"/>
      <c r="AH191" s="4"/>
      <c r="AI191" s="654"/>
      <c r="AJ191" s="655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654"/>
      <c r="AV191" s="655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654"/>
      <c r="BH191" s="655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654"/>
      <c r="BT191" s="655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693"/>
      <c r="CF191" s="723"/>
      <c r="CG191" s="4"/>
      <c r="CH191" s="4"/>
      <c r="CI191" s="4"/>
      <c r="CJ191" s="4"/>
      <c r="CK191" s="4"/>
      <c r="CL191" s="4">
        <v>239</v>
      </c>
      <c r="CM191" s="4">
        <v>239</v>
      </c>
      <c r="CN191" s="4">
        <v>239</v>
      </c>
      <c r="CO191" s="4"/>
      <c r="CP191" s="4"/>
      <c r="CQ191" s="654"/>
      <c r="CR191" s="655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654"/>
      <c r="DD191" s="655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654"/>
      <c r="DP191" s="655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654"/>
      <c r="EB191" s="655"/>
      <c r="EC191" s="4"/>
      <c r="ED191" s="4"/>
      <c r="EE191" s="4"/>
      <c r="EF191" s="4"/>
      <c r="EG191" s="4"/>
      <c r="EH191" s="4"/>
      <c r="EI191" s="4"/>
      <c r="EJ191" s="4"/>
      <c r="EK191" s="4"/>
      <c r="EL191" s="4"/>
      <c r="EM191" s="693"/>
      <c r="EN191" s="723"/>
      <c r="EO191" s="4"/>
      <c r="EP191" s="4"/>
      <c r="EQ191" s="4"/>
      <c r="ER191" s="4"/>
      <c r="ES191" s="4"/>
      <c r="ET191" s="4">
        <v>239</v>
      </c>
      <c r="EU191" s="4">
        <v>239</v>
      </c>
      <c r="EV191" s="4">
        <v>239</v>
      </c>
      <c r="EW191" s="4"/>
      <c r="EX191" s="4"/>
      <c r="EY191" s="654"/>
      <c r="EZ191" s="655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654"/>
      <c r="FL191" s="655"/>
      <c r="FM191" s="4"/>
      <c r="FN191" s="4"/>
      <c r="FO191" s="4"/>
      <c r="FP191" s="4"/>
      <c r="FQ191" s="4"/>
      <c r="FR191" s="4"/>
      <c r="FS191" s="4"/>
      <c r="FT191" s="4"/>
      <c r="FU191" s="4"/>
      <c r="FV191" s="4"/>
      <c r="FW191" s="654"/>
      <c r="FX191" s="655"/>
      <c r="FY191" s="4"/>
      <c r="FZ191" s="4"/>
      <c r="GA191" s="4"/>
      <c r="GB191" s="4"/>
      <c r="GC191" s="4"/>
      <c r="GD191" s="4"/>
      <c r="GE191" s="4"/>
      <c r="GF191" s="4"/>
      <c r="GG191" s="4"/>
      <c r="GH191" s="4"/>
      <c r="GI191" s="654"/>
      <c r="GJ191" s="655"/>
      <c r="GK191" s="4"/>
      <c r="GL191" s="4"/>
      <c r="GM191" s="4"/>
      <c r="GN191" s="4"/>
      <c r="GO191" s="4"/>
      <c r="GP191" s="4"/>
      <c r="GQ191" s="4"/>
      <c r="GR191" s="4"/>
      <c r="GS191" s="4"/>
      <c r="GT191" s="4"/>
      <c r="GU191" s="722"/>
      <c r="GV191" s="715"/>
    </row>
    <row r="192" spans="1:204" x14ac:dyDescent="0.25">
      <c r="A192" t="s">
        <v>1056</v>
      </c>
      <c r="B192" s="2" t="s">
        <v>1055</v>
      </c>
      <c r="C192" s="619">
        <v>44580</v>
      </c>
      <c r="D192" s="2" t="s">
        <v>1039</v>
      </c>
      <c r="E192" t="s">
        <v>58</v>
      </c>
      <c r="F192" s="2" t="s">
        <v>43</v>
      </c>
      <c r="G192" t="s">
        <v>40</v>
      </c>
      <c r="H192" s="690" t="s">
        <v>84</v>
      </c>
      <c r="I192" s="691" t="s">
        <v>350</v>
      </c>
      <c r="J192" s="721">
        <v>17858631000149</v>
      </c>
      <c r="K192" s="691" t="s">
        <v>43</v>
      </c>
      <c r="L192" s="721">
        <v>3780401000108</v>
      </c>
      <c r="M192" s="718" t="s">
        <v>3</v>
      </c>
      <c r="N192" s="717" t="s">
        <v>44</v>
      </c>
      <c r="O192" s="719">
        <v>44743</v>
      </c>
      <c r="P192" s="720">
        <v>44834</v>
      </c>
      <c r="Q192" s="718">
        <v>240</v>
      </c>
      <c r="R192" s="717">
        <v>3</v>
      </c>
      <c r="S192" s="691" t="s">
        <v>54</v>
      </c>
      <c r="T192" t="s">
        <v>358</v>
      </c>
      <c r="U192" s="673" t="s">
        <v>358</v>
      </c>
      <c r="V192" s="690" t="s">
        <v>358</v>
      </c>
      <c r="W192" s="657" t="s">
        <v>329</v>
      </c>
      <c r="X192" s="723"/>
      <c r="Y192" s="4"/>
      <c r="Z192" s="4"/>
      <c r="AA192" s="4"/>
      <c r="AB192" s="4"/>
      <c r="AC192" s="4"/>
      <c r="AD192" s="4">
        <v>3</v>
      </c>
      <c r="AE192" s="4">
        <v>3</v>
      </c>
      <c r="AF192" s="4">
        <v>3</v>
      </c>
      <c r="AG192" s="4"/>
      <c r="AH192" s="4"/>
      <c r="AI192" s="654"/>
      <c r="AJ192" s="655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654"/>
      <c r="AV192" s="655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654"/>
      <c r="BH192" s="655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654"/>
      <c r="BT192" s="655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693"/>
      <c r="CF192" s="723"/>
      <c r="CG192" s="4"/>
      <c r="CH192" s="4"/>
      <c r="CI192" s="4"/>
      <c r="CJ192" s="4"/>
      <c r="CK192" s="4"/>
      <c r="CL192" s="4">
        <v>240</v>
      </c>
      <c r="CM192" s="4">
        <v>240</v>
      </c>
      <c r="CN192" s="4">
        <v>240</v>
      </c>
      <c r="CO192" s="4"/>
      <c r="CP192" s="4"/>
      <c r="CQ192" s="654"/>
      <c r="CR192" s="655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654"/>
      <c r="DD192" s="655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654"/>
      <c r="DP192" s="655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654"/>
      <c r="EB192" s="655"/>
      <c r="EC192" s="4"/>
      <c r="ED192" s="4"/>
      <c r="EE192" s="4"/>
      <c r="EF192" s="4"/>
      <c r="EG192" s="4"/>
      <c r="EH192" s="4"/>
      <c r="EI192" s="4"/>
      <c r="EJ192" s="4"/>
      <c r="EK192" s="4"/>
      <c r="EL192" s="4"/>
      <c r="EM192" s="693"/>
      <c r="EN192" s="723"/>
      <c r="EO192" s="4"/>
      <c r="EP192" s="4"/>
      <c r="EQ192" s="4"/>
      <c r="ER192" s="4"/>
      <c r="ES192" s="4"/>
      <c r="ET192" s="4">
        <v>240</v>
      </c>
      <c r="EU192" s="4">
        <v>240</v>
      </c>
      <c r="EV192" s="4">
        <v>240</v>
      </c>
      <c r="EW192" s="4"/>
      <c r="EX192" s="4"/>
      <c r="EY192" s="654"/>
      <c r="EZ192" s="655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654"/>
      <c r="FL192" s="655"/>
      <c r="FM192" s="4"/>
      <c r="FN192" s="4"/>
      <c r="FO192" s="4"/>
      <c r="FP192" s="4"/>
      <c r="FQ192" s="4"/>
      <c r="FR192" s="4"/>
      <c r="FS192" s="4"/>
      <c r="FT192" s="4"/>
      <c r="FU192" s="4"/>
      <c r="FV192" s="4"/>
      <c r="FW192" s="654"/>
      <c r="FX192" s="655"/>
      <c r="FY192" s="4"/>
      <c r="FZ192" s="4"/>
      <c r="GA192" s="4"/>
      <c r="GB192" s="4"/>
      <c r="GC192" s="4"/>
      <c r="GD192" s="4"/>
      <c r="GE192" s="4"/>
      <c r="GF192" s="4"/>
      <c r="GG192" s="4"/>
      <c r="GH192" s="4"/>
      <c r="GI192" s="654"/>
      <c r="GJ192" s="655"/>
      <c r="GK192" s="4"/>
      <c r="GL192" s="4"/>
      <c r="GM192" s="4"/>
      <c r="GN192" s="4"/>
      <c r="GO192" s="4"/>
      <c r="GP192" s="4"/>
      <c r="GQ192" s="4"/>
      <c r="GR192" s="4"/>
      <c r="GS192" s="4"/>
      <c r="GT192" s="4"/>
      <c r="GU192" s="722"/>
      <c r="GV192" s="715"/>
    </row>
    <row r="193" spans="1:204" x14ac:dyDescent="0.25">
      <c r="A193" t="s">
        <v>1058</v>
      </c>
      <c r="B193" s="2" t="s">
        <v>1057</v>
      </c>
      <c r="C193" s="619">
        <v>44580</v>
      </c>
      <c r="D193" s="2" t="s">
        <v>1040</v>
      </c>
      <c r="E193" t="s">
        <v>59</v>
      </c>
      <c r="F193" s="2" t="s">
        <v>43</v>
      </c>
      <c r="G193" t="s">
        <v>40</v>
      </c>
      <c r="H193" s="690" t="s">
        <v>85</v>
      </c>
      <c r="I193" s="691" t="s">
        <v>43</v>
      </c>
      <c r="J193" s="721">
        <v>3780401000108</v>
      </c>
      <c r="K193" s="691" t="s">
        <v>465</v>
      </c>
      <c r="L193" s="721">
        <v>11085823000183</v>
      </c>
      <c r="M193" s="718" t="s">
        <v>3</v>
      </c>
      <c r="N193" s="717" t="s">
        <v>44</v>
      </c>
      <c r="O193" s="719">
        <v>44562</v>
      </c>
      <c r="P193" s="720">
        <v>44592</v>
      </c>
      <c r="Q193" s="718">
        <v>64.5</v>
      </c>
      <c r="R193" s="717">
        <v>10</v>
      </c>
      <c r="S193" s="691" t="s">
        <v>54</v>
      </c>
      <c r="T193" t="s">
        <v>358</v>
      </c>
      <c r="U193" s="673" t="s">
        <v>358</v>
      </c>
      <c r="V193" s="690" t="s">
        <v>358</v>
      </c>
      <c r="W193" s="657" t="s">
        <v>329</v>
      </c>
      <c r="X193" s="723">
        <v>10</v>
      </c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654"/>
      <c r="AJ193" s="655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654"/>
      <c r="AV193" s="655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654"/>
      <c r="BH193" s="655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654"/>
      <c r="BT193" s="655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693"/>
      <c r="CF193" s="723">
        <v>64.5</v>
      </c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654"/>
      <c r="CR193" s="655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654"/>
      <c r="DD193" s="655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654"/>
      <c r="DP193" s="655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654"/>
      <c r="EB193" s="655"/>
      <c r="EC193" s="4"/>
      <c r="ED193" s="4"/>
      <c r="EE193" s="4"/>
      <c r="EF193" s="4"/>
      <c r="EG193" s="4"/>
      <c r="EH193" s="4"/>
      <c r="EI193" s="4"/>
      <c r="EJ193" s="4"/>
      <c r="EK193" s="4"/>
      <c r="EL193" s="4"/>
      <c r="EM193" s="693"/>
      <c r="EN193" s="723">
        <v>64.5</v>
      </c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654"/>
      <c r="EZ193" s="655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654"/>
      <c r="FL193" s="655"/>
      <c r="FM193" s="4"/>
      <c r="FN193" s="4"/>
      <c r="FO193" s="4"/>
      <c r="FP193" s="4"/>
      <c r="FQ193" s="4"/>
      <c r="FR193" s="4"/>
      <c r="FS193" s="4"/>
      <c r="FT193" s="4"/>
      <c r="FU193" s="4"/>
      <c r="FV193" s="4"/>
      <c r="FW193" s="654"/>
      <c r="FX193" s="655"/>
      <c r="FY193" s="4"/>
      <c r="FZ193" s="4"/>
      <c r="GA193" s="4"/>
      <c r="GB193" s="4"/>
      <c r="GC193" s="4"/>
      <c r="GD193" s="4"/>
      <c r="GE193" s="4"/>
      <c r="GF193" s="4"/>
      <c r="GG193" s="4"/>
      <c r="GH193" s="4"/>
      <c r="GI193" s="654"/>
      <c r="GJ193" s="655"/>
      <c r="GK193" s="4"/>
      <c r="GL193" s="4"/>
      <c r="GM193" s="4"/>
      <c r="GN193" s="4"/>
      <c r="GO193" s="4"/>
      <c r="GP193" s="4"/>
      <c r="GQ193" s="4"/>
      <c r="GR193" s="4"/>
      <c r="GS193" s="4"/>
      <c r="GT193" s="4"/>
      <c r="GU193" s="722"/>
      <c r="GV193" s="715"/>
    </row>
    <row r="194" spans="1:204" x14ac:dyDescent="0.25">
      <c r="A194" t="s">
        <v>1060</v>
      </c>
      <c r="B194" s="2" t="s">
        <v>1059</v>
      </c>
      <c r="C194" s="619">
        <v>44580</v>
      </c>
      <c r="D194" s="2" t="s">
        <v>1041</v>
      </c>
      <c r="E194" t="s">
        <v>59</v>
      </c>
      <c r="F194" s="2" t="s">
        <v>43</v>
      </c>
      <c r="G194" t="s">
        <v>40</v>
      </c>
      <c r="H194" s="690" t="s">
        <v>85</v>
      </c>
      <c r="I194" s="691" t="s">
        <v>43</v>
      </c>
      <c r="J194" s="721">
        <v>3780401000108</v>
      </c>
      <c r="K194" s="691" t="s">
        <v>509</v>
      </c>
      <c r="L194" s="721">
        <v>9149503000360</v>
      </c>
      <c r="M194" s="718" t="s">
        <v>3</v>
      </c>
      <c r="N194" s="717" t="s">
        <v>44</v>
      </c>
      <c r="O194" s="719">
        <v>44621</v>
      </c>
      <c r="P194" s="720">
        <v>44651</v>
      </c>
      <c r="Q194" s="718">
        <v>130</v>
      </c>
      <c r="R194" s="717">
        <v>3</v>
      </c>
      <c r="S194" s="691" t="s">
        <v>54</v>
      </c>
      <c r="T194" t="s">
        <v>358</v>
      </c>
      <c r="U194" s="673" t="s">
        <v>358</v>
      </c>
      <c r="V194" s="690" t="s">
        <v>358</v>
      </c>
      <c r="W194" s="657" t="s">
        <v>329</v>
      </c>
      <c r="X194" s="723"/>
      <c r="Y194" s="4"/>
      <c r="Z194" s="4">
        <v>3</v>
      </c>
      <c r="AA194" s="4"/>
      <c r="AB194" s="4"/>
      <c r="AC194" s="4"/>
      <c r="AD194" s="4"/>
      <c r="AE194" s="4"/>
      <c r="AF194" s="4"/>
      <c r="AG194" s="4"/>
      <c r="AH194" s="4"/>
      <c r="AI194" s="654"/>
      <c r="AJ194" s="655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654"/>
      <c r="AV194" s="655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654"/>
      <c r="BH194" s="655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654"/>
      <c r="BT194" s="655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693"/>
      <c r="CF194" s="723"/>
      <c r="CG194" s="4"/>
      <c r="CH194" s="4">
        <v>130</v>
      </c>
      <c r="CI194" s="4"/>
      <c r="CJ194" s="4"/>
      <c r="CK194" s="4"/>
      <c r="CL194" s="4"/>
      <c r="CM194" s="4"/>
      <c r="CN194" s="4"/>
      <c r="CO194" s="4"/>
      <c r="CP194" s="4"/>
      <c r="CQ194" s="654"/>
      <c r="CR194" s="655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654"/>
      <c r="DD194" s="655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654"/>
      <c r="DP194" s="655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654"/>
      <c r="EB194" s="655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693"/>
      <c r="EN194" s="723"/>
      <c r="EO194" s="4"/>
      <c r="EP194" s="4">
        <v>130</v>
      </c>
      <c r="EQ194" s="4"/>
      <c r="ER194" s="4"/>
      <c r="ES194" s="4"/>
      <c r="ET194" s="4"/>
      <c r="EU194" s="4"/>
      <c r="EV194" s="4"/>
      <c r="EW194" s="4"/>
      <c r="EX194" s="4"/>
      <c r="EY194" s="654"/>
      <c r="EZ194" s="655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654"/>
      <c r="FL194" s="655"/>
      <c r="FM194" s="4"/>
      <c r="FN194" s="4"/>
      <c r="FO194" s="4"/>
      <c r="FP194" s="4"/>
      <c r="FQ194" s="4"/>
      <c r="FR194" s="4"/>
      <c r="FS194" s="4"/>
      <c r="FT194" s="4"/>
      <c r="FU194" s="4"/>
      <c r="FV194" s="4"/>
      <c r="FW194" s="654"/>
      <c r="FX194" s="655"/>
      <c r="FY194" s="4"/>
      <c r="FZ194" s="4"/>
      <c r="GA194" s="4"/>
      <c r="GB194" s="4"/>
      <c r="GC194" s="4"/>
      <c r="GD194" s="4"/>
      <c r="GE194" s="4"/>
      <c r="GF194" s="4"/>
      <c r="GG194" s="4"/>
      <c r="GH194" s="4"/>
      <c r="GI194" s="654"/>
      <c r="GJ194" s="655"/>
      <c r="GK194" s="4"/>
      <c r="GL194" s="4"/>
      <c r="GM194" s="4"/>
      <c r="GN194" s="4"/>
      <c r="GO194" s="4"/>
      <c r="GP194" s="4"/>
      <c r="GQ194" s="4"/>
      <c r="GR194" s="4"/>
      <c r="GS194" s="4"/>
      <c r="GT194" s="4"/>
      <c r="GU194" s="722"/>
      <c r="GV194" s="715"/>
    </row>
    <row r="195" spans="1:204" x14ac:dyDescent="0.25">
      <c r="A195" t="s">
        <v>1062</v>
      </c>
      <c r="B195" s="2" t="s">
        <v>1061</v>
      </c>
      <c r="C195" s="619">
        <v>44580</v>
      </c>
      <c r="D195" s="2" t="s">
        <v>1042</v>
      </c>
      <c r="E195" t="s">
        <v>58</v>
      </c>
      <c r="F195" s="2" t="s">
        <v>43</v>
      </c>
      <c r="G195" t="s">
        <v>40</v>
      </c>
      <c r="H195" s="690" t="s">
        <v>84</v>
      </c>
      <c r="I195" s="691" t="s">
        <v>511</v>
      </c>
      <c r="J195" s="721">
        <v>5352237000155</v>
      </c>
      <c r="K195" s="691" t="s">
        <v>43</v>
      </c>
      <c r="L195" s="721">
        <v>3780401000108</v>
      </c>
      <c r="M195" s="718" t="s">
        <v>3</v>
      </c>
      <c r="N195" s="717" t="s">
        <v>44</v>
      </c>
      <c r="O195" s="719">
        <v>44743</v>
      </c>
      <c r="P195" s="720">
        <v>44834</v>
      </c>
      <c r="Q195" s="718">
        <v>240</v>
      </c>
      <c r="R195" s="717">
        <v>2</v>
      </c>
      <c r="S195" s="691" t="s">
        <v>54</v>
      </c>
      <c r="T195" t="s">
        <v>358</v>
      </c>
      <c r="U195" s="673" t="s">
        <v>358</v>
      </c>
      <c r="V195" s="690" t="s">
        <v>358</v>
      </c>
      <c r="W195" s="657" t="s">
        <v>329</v>
      </c>
      <c r="X195" s="723"/>
      <c r="Y195" s="4"/>
      <c r="Z195" s="4"/>
      <c r="AA195" s="4"/>
      <c r="AB195" s="4"/>
      <c r="AC195" s="4"/>
      <c r="AD195" s="4">
        <v>2</v>
      </c>
      <c r="AE195" s="4">
        <v>2</v>
      </c>
      <c r="AF195" s="4">
        <v>2</v>
      </c>
      <c r="AG195" s="4"/>
      <c r="AH195" s="4"/>
      <c r="AI195" s="654"/>
      <c r="AJ195" s="655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654"/>
      <c r="AV195" s="655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654"/>
      <c r="BH195" s="655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654"/>
      <c r="BT195" s="655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693"/>
      <c r="CF195" s="723"/>
      <c r="CG195" s="4"/>
      <c r="CH195" s="4"/>
      <c r="CI195" s="4"/>
      <c r="CJ195" s="4"/>
      <c r="CK195" s="4"/>
      <c r="CL195" s="4">
        <v>240</v>
      </c>
      <c r="CM195" s="4">
        <v>240</v>
      </c>
      <c r="CN195" s="4">
        <v>240</v>
      </c>
      <c r="CO195" s="4"/>
      <c r="CP195" s="4"/>
      <c r="CQ195" s="654"/>
      <c r="CR195" s="655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654"/>
      <c r="DD195" s="655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654"/>
      <c r="DP195" s="655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654"/>
      <c r="EB195" s="655"/>
      <c r="EC195" s="4"/>
      <c r="ED195" s="4"/>
      <c r="EE195" s="4"/>
      <c r="EF195" s="4"/>
      <c r="EG195" s="4"/>
      <c r="EH195" s="4"/>
      <c r="EI195" s="4"/>
      <c r="EJ195" s="4"/>
      <c r="EK195" s="4"/>
      <c r="EL195" s="4"/>
      <c r="EM195" s="693"/>
      <c r="EN195" s="723"/>
      <c r="EO195" s="4"/>
      <c r="EP195" s="4"/>
      <c r="EQ195" s="4"/>
      <c r="ER195" s="4"/>
      <c r="ES195" s="4"/>
      <c r="ET195" s="4">
        <v>240</v>
      </c>
      <c r="EU195" s="4">
        <v>240</v>
      </c>
      <c r="EV195" s="4">
        <v>240</v>
      </c>
      <c r="EW195" s="4"/>
      <c r="EX195" s="4"/>
      <c r="EY195" s="654"/>
      <c r="EZ195" s="655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654"/>
      <c r="FL195" s="655"/>
      <c r="FM195" s="4"/>
      <c r="FN195" s="4"/>
      <c r="FO195" s="4"/>
      <c r="FP195" s="4"/>
      <c r="FQ195" s="4"/>
      <c r="FR195" s="4"/>
      <c r="FS195" s="4"/>
      <c r="FT195" s="4"/>
      <c r="FU195" s="4"/>
      <c r="FV195" s="4"/>
      <c r="FW195" s="654"/>
      <c r="FX195" s="655"/>
      <c r="FY195" s="4"/>
      <c r="FZ195" s="4"/>
      <c r="GA195" s="4"/>
      <c r="GB195" s="4"/>
      <c r="GC195" s="4"/>
      <c r="GD195" s="4"/>
      <c r="GE195" s="4"/>
      <c r="GF195" s="4"/>
      <c r="GG195" s="4"/>
      <c r="GH195" s="4"/>
      <c r="GI195" s="654"/>
      <c r="GJ195" s="655"/>
      <c r="GK195" s="4"/>
      <c r="GL195" s="4"/>
      <c r="GM195" s="4"/>
      <c r="GN195" s="4"/>
      <c r="GO195" s="4"/>
      <c r="GP195" s="4"/>
      <c r="GQ195" s="4"/>
      <c r="GR195" s="4"/>
      <c r="GS195" s="4"/>
      <c r="GT195" s="4"/>
      <c r="GU195" s="722"/>
      <c r="GV195" s="715"/>
    </row>
    <row r="196" spans="1:204" x14ac:dyDescent="0.25">
      <c r="A196" t="s">
        <v>1063</v>
      </c>
      <c r="B196" s="2" t="s">
        <v>358</v>
      </c>
      <c r="C196" s="619">
        <v>44580</v>
      </c>
      <c r="D196" s="2" t="s">
        <v>1043</v>
      </c>
      <c r="E196" t="s">
        <v>58</v>
      </c>
      <c r="F196" s="2" t="s">
        <v>43</v>
      </c>
      <c r="G196" t="s">
        <v>40</v>
      </c>
      <c r="H196" s="690" t="s">
        <v>84</v>
      </c>
      <c r="I196" s="691" t="s">
        <v>346</v>
      </c>
      <c r="J196" s="721" t="e">
        <v>#VALUE!</v>
      </c>
      <c r="K196" s="691" t="s">
        <v>43</v>
      </c>
      <c r="L196" s="721">
        <v>3780401000108</v>
      </c>
      <c r="M196" s="718" t="s">
        <v>3</v>
      </c>
      <c r="N196" s="717" t="s">
        <v>44</v>
      </c>
      <c r="O196" s="719">
        <v>44652</v>
      </c>
      <c r="P196" s="720">
        <v>44681</v>
      </c>
      <c r="Q196" s="718">
        <v>128</v>
      </c>
      <c r="R196" s="717">
        <v>3.6</v>
      </c>
      <c r="S196" s="691" t="s">
        <v>54</v>
      </c>
      <c r="T196" t="s">
        <v>358</v>
      </c>
      <c r="U196" s="673" t="s">
        <v>358</v>
      </c>
      <c r="V196" s="690" t="s">
        <v>358</v>
      </c>
      <c r="W196" s="657" t="s">
        <v>214</v>
      </c>
      <c r="X196" s="723"/>
      <c r="Y196" s="4"/>
      <c r="Z196" s="4"/>
      <c r="AA196" s="4">
        <v>3.6</v>
      </c>
      <c r="AB196" s="4"/>
      <c r="AC196" s="4"/>
      <c r="AD196" s="4"/>
      <c r="AE196" s="4"/>
      <c r="AF196" s="4"/>
      <c r="AG196" s="4"/>
      <c r="AH196" s="4"/>
      <c r="AI196" s="654"/>
      <c r="AJ196" s="655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654"/>
      <c r="AV196" s="655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654"/>
      <c r="BH196" s="655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654"/>
      <c r="BT196" s="655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693"/>
      <c r="CF196" s="723"/>
      <c r="CG196" s="4"/>
      <c r="CH196" s="4"/>
      <c r="CI196" s="4">
        <v>128</v>
      </c>
      <c r="CJ196" s="4"/>
      <c r="CK196" s="4"/>
      <c r="CL196" s="4"/>
      <c r="CM196" s="4"/>
      <c r="CN196" s="4"/>
      <c r="CO196" s="4"/>
      <c r="CP196" s="4"/>
      <c r="CQ196" s="654"/>
      <c r="CR196" s="655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654"/>
      <c r="DD196" s="655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654"/>
      <c r="DP196" s="655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654"/>
      <c r="EB196" s="655"/>
      <c r="EC196" s="4"/>
      <c r="ED196" s="4"/>
      <c r="EE196" s="4"/>
      <c r="EF196" s="4"/>
      <c r="EG196" s="4"/>
      <c r="EH196" s="4"/>
      <c r="EI196" s="4"/>
      <c r="EJ196" s="4"/>
      <c r="EK196" s="4"/>
      <c r="EL196" s="4"/>
      <c r="EM196" s="693"/>
      <c r="EN196" s="723"/>
      <c r="EO196" s="4"/>
      <c r="EP196" s="4"/>
      <c r="EQ196" s="4">
        <v>128</v>
      </c>
      <c r="ER196" s="4"/>
      <c r="ES196" s="4"/>
      <c r="ET196" s="4"/>
      <c r="EU196" s="4"/>
      <c r="EV196" s="4"/>
      <c r="EW196" s="4"/>
      <c r="EX196" s="4"/>
      <c r="EY196" s="654"/>
      <c r="EZ196" s="655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654"/>
      <c r="FL196" s="655"/>
      <c r="FM196" s="4"/>
      <c r="FN196" s="4"/>
      <c r="FO196" s="4"/>
      <c r="FP196" s="4"/>
      <c r="FQ196" s="4"/>
      <c r="FR196" s="4"/>
      <c r="FS196" s="4"/>
      <c r="FT196" s="4"/>
      <c r="FU196" s="4"/>
      <c r="FV196" s="4"/>
      <c r="FW196" s="654"/>
      <c r="FX196" s="655"/>
      <c r="FY196" s="4"/>
      <c r="FZ196" s="4"/>
      <c r="GA196" s="4"/>
      <c r="GB196" s="4"/>
      <c r="GC196" s="4"/>
      <c r="GD196" s="4"/>
      <c r="GE196" s="4"/>
      <c r="GF196" s="4"/>
      <c r="GG196" s="4"/>
      <c r="GH196" s="4"/>
      <c r="GI196" s="654"/>
      <c r="GJ196" s="655"/>
      <c r="GK196" s="4"/>
      <c r="GL196" s="4"/>
      <c r="GM196" s="4"/>
      <c r="GN196" s="4"/>
      <c r="GO196" s="4"/>
      <c r="GP196" s="4"/>
      <c r="GQ196" s="4"/>
      <c r="GR196" s="4"/>
      <c r="GS196" s="4"/>
      <c r="GT196" s="4"/>
      <c r="GU196" s="722"/>
      <c r="GV196" s="715"/>
    </row>
    <row r="197" spans="1:204" x14ac:dyDescent="0.25">
      <c r="A197" t="s">
        <v>1064</v>
      </c>
      <c r="B197" s="2" t="s">
        <v>358</v>
      </c>
      <c r="C197" s="619">
        <v>44580</v>
      </c>
      <c r="D197" s="2" t="s">
        <v>1044</v>
      </c>
      <c r="E197" t="s">
        <v>58</v>
      </c>
      <c r="F197" s="2" t="s">
        <v>43</v>
      </c>
      <c r="G197" t="s">
        <v>40</v>
      </c>
      <c r="H197" s="690" t="s">
        <v>84</v>
      </c>
      <c r="I197" s="691" t="s">
        <v>346</v>
      </c>
      <c r="J197" s="721" t="e">
        <v>#VALUE!</v>
      </c>
      <c r="K197" s="691" t="s">
        <v>43</v>
      </c>
      <c r="L197" s="721">
        <v>3780401000108</v>
      </c>
      <c r="M197" s="718" t="s">
        <v>3</v>
      </c>
      <c r="N197" s="717" t="s">
        <v>44</v>
      </c>
      <c r="O197" s="719">
        <v>44682</v>
      </c>
      <c r="P197" s="720">
        <v>44712</v>
      </c>
      <c r="Q197" s="718">
        <v>135</v>
      </c>
      <c r="R197" s="717">
        <v>4.2</v>
      </c>
      <c r="S197" s="691" t="s">
        <v>54</v>
      </c>
      <c r="T197" t="s">
        <v>358</v>
      </c>
      <c r="U197" s="673" t="s">
        <v>358</v>
      </c>
      <c r="V197" s="690" t="s">
        <v>358</v>
      </c>
      <c r="W197" s="657" t="s">
        <v>214</v>
      </c>
      <c r="X197" s="723"/>
      <c r="Y197" s="4"/>
      <c r="Z197" s="4"/>
      <c r="AA197" s="4"/>
      <c r="AB197" s="4">
        <v>4.2</v>
      </c>
      <c r="AC197" s="4"/>
      <c r="AD197" s="4"/>
      <c r="AE197" s="4"/>
      <c r="AF197" s="4"/>
      <c r="AG197" s="4"/>
      <c r="AH197" s="4"/>
      <c r="AI197" s="654"/>
      <c r="AJ197" s="655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654"/>
      <c r="AV197" s="655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654"/>
      <c r="BH197" s="655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654"/>
      <c r="BT197" s="655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693"/>
      <c r="CF197" s="723"/>
      <c r="CG197" s="4"/>
      <c r="CH197" s="4"/>
      <c r="CI197" s="4"/>
      <c r="CJ197" s="4">
        <v>135</v>
      </c>
      <c r="CK197" s="4"/>
      <c r="CL197" s="4"/>
      <c r="CM197" s="4"/>
      <c r="CN197" s="4"/>
      <c r="CO197" s="4"/>
      <c r="CP197" s="4"/>
      <c r="CQ197" s="654"/>
      <c r="CR197" s="655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654"/>
      <c r="DD197" s="655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654"/>
      <c r="DP197" s="655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654"/>
      <c r="EB197" s="655"/>
      <c r="EC197" s="4"/>
      <c r="ED197" s="4"/>
      <c r="EE197" s="4"/>
      <c r="EF197" s="4"/>
      <c r="EG197" s="4"/>
      <c r="EH197" s="4"/>
      <c r="EI197" s="4"/>
      <c r="EJ197" s="4"/>
      <c r="EK197" s="4"/>
      <c r="EL197" s="4"/>
      <c r="EM197" s="693"/>
      <c r="EN197" s="723"/>
      <c r="EO197" s="4"/>
      <c r="EP197" s="4"/>
      <c r="EQ197" s="4"/>
      <c r="ER197" s="4">
        <v>135</v>
      </c>
      <c r="ES197" s="4"/>
      <c r="ET197" s="4"/>
      <c r="EU197" s="4"/>
      <c r="EV197" s="4"/>
      <c r="EW197" s="4"/>
      <c r="EX197" s="4"/>
      <c r="EY197" s="654"/>
      <c r="EZ197" s="655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654"/>
      <c r="FL197" s="655"/>
      <c r="FM197" s="4"/>
      <c r="FN197" s="4"/>
      <c r="FO197" s="4"/>
      <c r="FP197" s="4"/>
      <c r="FQ197" s="4"/>
      <c r="FR197" s="4"/>
      <c r="FS197" s="4"/>
      <c r="FT197" s="4"/>
      <c r="FU197" s="4"/>
      <c r="FV197" s="4"/>
      <c r="FW197" s="654"/>
      <c r="FX197" s="655"/>
      <c r="FY197" s="4"/>
      <c r="FZ197" s="4"/>
      <c r="GA197" s="4"/>
      <c r="GB197" s="4"/>
      <c r="GC197" s="4"/>
      <c r="GD197" s="4"/>
      <c r="GE197" s="4"/>
      <c r="GF197" s="4"/>
      <c r="GG197" s="4"/>
      <c r="GH197" s="4"/>
      <c r="GI197" s="654"/>
      <c r="GJ197" s="655"/>
      <c r="GK197" s="4"/>
      <c r="GL197" s="4"/>
      <c r="GM197" s="4"/>
      <c r="GN197" s="4"/>
      <c r="GO197" s="4"/>
      <c r="GP197" s="4"/>
      <c r="GQ197" s="4"/>
      <c r="GR197" s="4"/>
      <c r="GS197" s="4"/>
      <c r="GT197" s="4"/>
      <c r="GU197" s="722"/>
      <c r="GV197" s="715"/>
    </row>
    <row r="198" spans="1:204" x14ac:dyDescent="0.25">
      <c r="A198" t="s">
        <v>1065</v>
      </c>
      <c r="B198" s="2" t="s">
        <v>358</v>
      </c>
      <c r="C198" s="619">
        <v>44580</v>
      </c>
      <c r="D198" s="2" t="s">
        <v>1045</v>
      </c>
      <c r="E198" t="s">
        <v>58</v>
      </c>
      <c r="F198" s="2" t="s">
        <v>43</v>
      </c>
      <c r="G198" t="s">
        <v>40</v>
      </c>
      <c r="H198" s="690" t="s">
        <v>84</v>
      </c>
      <c r="I198" s="691" t="s">
        <v>346</v>
      </c>
      <c r="J198" s="721" t="e">
        <v>#VALUE!</v>
      </c>
      <c r="K198" s="691" t="s">
        <v>43</v>
      </c>
      <c r="L198" s="721">
        <v>3780401000108</v>
      </c>
      <c r="M198" s="718" t="s">
        <v>3</v>
      </c>
      <c r="N198" s="717" t="s">
        <v>44</v>
      </c>
      <c r="O198" s="719">
        <v>44621</v>
      </c>
      <c r="P198" s="720">
        <v>44651</v>
      </c>
      <c r="Q198" s="718">
        <v>128</v>
      </c>
      <c r="R198" s="717">
        <v>5</v>
      </c>
      <c r="S198" s="691" t="s">
        <v>54</v>
      </c>
      <c r="T198" t="s">
        <v>358</v>
      </c>
      <c r="U198" s="673" t="s">
        <v>358</v>
      </c>
      <c r="V198" s="690" t="s">
        <v>358</v>
      </c>
      <c r="W198" s="657" t="s">
        <v>214</v>
      </c>
      <c r="X198" s="723"/>
      <c r="Y198" s="4"/>
      <c r="Z198" s="4">
        <v>5</v>
      </c>
      <c r="AA198" s="4"/>
      <c r="AB198" s="4"/>
      <c r="AC198" s="4"/>
      <c r="AD198" s="4"/>
      <c r="AE198" s="4"/>
      <c r="AF198" s="4"/>
      <c r="AG198" s="4"/>
      <c r="AH198" s="4"/>
      <c r="AI198" s="654"/>
      <c r="AJ198" s="655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654"/>
      <c r="AV198" s="655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654"/>
      <c r="BH198" s="655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654"/>
      <c r="BT198" s="655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693"/>
      <c r="CF198" s="723"/>
      <c r="CG198" s="4"/>
      <c r="CH198" s="4">
        <v>128</v>
      </c>
      <c r="CI198" s="4"/>
      <c r="CJ198" s="4"/>
      <c r="CK198" s="4"/>
      <c r="CL198" s="4"/>
      <c r="CM198" s="4"/>
      <c r="CN198" s="4"/>
      <c r="CO198" s="4"/>
      <c r="CP198" s="4"/>
      <c r="CQ198" s="654"/>
      <c r="CR198" s="655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654"/>
      <c r="DD198" s="655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654"/>
      <c r="DP198" s="655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654"/>
      <c r="EB198" s="655"/>
      <c r="EC198" s="4"/>
      <c r="ED198" s="4"/>
      <c r="EE198" s="4"/>
      <c r="EF198" s="4"/>
      <c r="EG198" s="4"/>
      <c r="EH198" s="4"/>
      <c r="EI198" s="4"/>
      <c r="EJ198" s="4"/>
      <c r="EK198" s="4"/>
      <c r="EL198" s="4"/>
      <c r="EM198" s="693"/>
      <c r="EN198" s="723"/>
      <c r="EO198" s="4"/>
      <c r="EP198" s="4">
        <v>128</v>
      </c>
      <c r="EQ198" s="4"/>
      <c r="ER198" s="4"/>
      <c r="ES198" s="4"/>
      <c r="ET198" s="4"/>
      <c r="EU198" s="4"/>
      <c r="EV198" s="4"/>
      <c r="EW198" s="4"/>
      <c r="EX198" s="4"/>
      <c r="EY198" s="654"/>
      <c r="EZ198" s="655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654"/>
      <c r="FL198" s="655"/>
      <c r="FM198" s="4"/>
      <c r="FN198" s="4"/>
      <c r="FO198" s="4"/>
      <c r="FP198" s="4"/>
      <c r="FQ198" s="4"/>
      <c r="FR198" s="4"/>
      <c r="FS198" s="4"/>
      <c r="FT198" s="4"/>
      <c r="FU198" s="4"/>
      <c r="FV198" s="4"/>
      <c r="FW198" s="654"/>
      <c r="FX198" s="655"/>
      <c r="FY198" s="4"/>
      <c r="FZ198" s="4"/>
      <c r="GA198" s="4"/>
      <c r="GB198" s="4"/>
      <c r="GC198" s="4"/>
      <c r="GD198" s="4"/>
      <c r="GE198" s="4"/>
      <c r="GF198" s="4"/>
      <c r="GG198" s="4"/>
      <c r="GH198" s="4"/>
      <c r="GI198" s="654"/>
      <c r="GJ198" s="655"/>
      <c r="GK198" s="4"/>
      <c r="GL198" s="4"/>
      <c r="GM198" s="4"/>
      <c r="GN198" s="4"/>
      <c r="GO198" s="4"/>
      <c r="GP198" s="4"/>
      <c r="GQ198" s="4"/>
      <c r="GR198" s="4"/>
      <c r="GS198" s="4"/>
      <c r="GT198" s="4"/>
      <c r="GU198" s="722"/>
      <c r="GV198" s="715"/>
    </row>
    <row r="199" spans="1:204" x14ac:dyDescent="0.25">
      <c r="A199" t="s">
        <v>1066</v>
      </c>
      <c r="B199" s="2" t="s">
        <v>358</v>
      </c>
      <c r="C199" s="619">
        <v>44580</v>
      </c>
      <c r="D199" s="2" t="s">
        <v>1046</v>
      </c>
      <c r="E199" t="s">
        <v>58</v>
      </c>
      <c r="F199" s="2" t="s">
        <v>43</v>
      </c>
      <c r="G199" t="s">
        <v>40</v>
      </c>
      <c r="H199" s="690" t="s">
        <v>84</v>
      </c>
      <c r="I199" s="691" t="s">
        <v>346</v>
      </c>
      <c r="J199" s="721" t="e">
        <v>#VALUE!</v>
      </c>
      <c r="K199" s="691" t="s">
        <v>43</v>
      </c>
      <c r="L199" s="721">
        <v>3780401000108</v>
      </c>
      <c r="M199" s="718" t="s">
        <v>3</v>
      </c>
      <c r="N199" s="717" t="s">
        <v>44</v>
      </c>
      <c r="O199" s="719">
        <v>44593</v>
      </c>
      <c r="P199" s="720">
        <v>44620</v>
      </c>
      <c r="Q199" s="718">
        <v>80</v>
      </c>
      <c r="R199" s="717">
        <v>5</v>
      </c>
      <c r="S199" s="691" t="s">
        <v>54</v>
      </c>
      <c r="T199" t="s">
        <v>358</v>
      </c>
      <c r="U199" s="673" t="s">
        <v>358</v>
      </c>
      <c r="V199" s="690" t="s">
        <v>358</v>
      </c>
      <c r="W199" s="657" t="s">
        <v>214</v>
      </c>
      <c r="X199" s="723"/>
      <c r="Y199" s="4">
        <v>5</v>
      </c>
      <c r="Z199" s="4"/>
      <c r="AA199" s="4"/>
      <c r="AB199" s="4"/>
      <c r="AC199" s="4"/>
      <c r="AD199" s="4"/>
      <c r="AE199" s="4"/>
      <c r="AF199" s="4"/>
      <c r="AG199" s="4"/>
      <c r="AH199" s="4"/>
      <c r="AI199" s="654"/>
      <c r="AJ199" s="655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654"/>
      <c r="AV199" s="655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654"/>
      <c r="BH199" s="655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654"/>
      <c r="BT199" s="655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693"/>
      <c r="CF199" s="723"/>
      <c r="CG199" s="4">
        <v>80</v>
      </c>
      <c r="CH199" s="4"/>
      <c r="CI199" s="4"/>
      <c r="CJ199" s="4"/>
      <c r="CK199" s="4"/>
      <c r="CL199" s="4"/>
      <c r="CM199" s="4"/>
      <c r="CN199" s="4"/>
      <c r="CO199" s="4"/>
      <c r="CP199" s="4"/>
      <c r="CQ199" s="654"/>
      <c r="CR199" s="655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654"/>
      <c r="DD199" s="655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654"/>
      <c r="DP199" s="655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654"/>
      <c r="EB199" s="655"/>
      <c r="EC199" s="4"/>
      <c r="ED199" s="4"/>
      <c r="EE199" s="4"/>
      <c r="EF199" s="4"/>
      <c r="EG199" s="4"/>
      <c r="EH199" s="4"/>
      <c r="EI199" s="4"/>
      <c r="EJ199" s="4"/>
      <c r="EK199" s="4"/>
      <c r="EL199" s="4"/>
      <c r="EM199" s="693"/>
      <c r="EN199" s="723"/>
      <c r="EO199" s="4">
        <v>80</v>
      </c>
      <c r="EP199" s="4"/>
      <c r="EQ199" s="4"/>
      <c r="ER199" s="4"/>
      <c r="ES199" s="4"/>
      <c r="ET199" s="4"/>
      <c r="EU199" s="4"/>
      <c r="EV199" s="4"/>
      <c r="EW199" s="4"/>
      <c r="EX199" s="4"/>
      <c r="EY199" s="654"/>
      <c r="EZ199" s="655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654"/>
      <c r="FL199" s="655"/>
      <c r="FM199" s="4"/>
      <c r="FN199" s="4"/>
      <c r="FO199" s="4"/>
      <c r="FP199" s="4"/>
      <c r="FQ199" s="4"/>
      <c r="FR199" s="4"/>
      <c r="FS199" s="4"/>
      <c r="FT199" s="4"/>
      <c r="FU199" s="4"/>
      <c r="FV199" s="4"/>
      <c r="FW199" s="654"/>
      <c r="FX199" s="655"/>
      <c r="FY199" s="4"/>
      <c r="FZ199" s="4"/>
      <c r="GA199" s="4"/>
      <c r="GB199" s="4"/>
      <c r="GC199" s="4"/>
      <c r="GD199" s="4"/>
      <c r="GE199" s="4"/>
      <c r="GF199" s="4"/>
      <c r="GG199" s="4"/>
      <c r="GH199" s="4"/>
      <c r="GI199" s="654"/>
      <c r="GJ199" s="655"/>
      <c r="GK199" s="4"/>
      <c r="GL199" s="4"/>
      <c r="GM199" s="4"/>
      <c r="GN199" s="4"/>
      <c r="GO199" s="4"/>
      <c r="GP199" s="4"/>
      <c r="GQ199" s="4"/>
      <c r="GR199" s="4"/>
      <c r="GS199" s="4"/>
      <c r="GT199" s="4"/>
      <c r="GU199" s="722"/>
      <c r="GV199" s="715"/>
    </row>
    <row r="200" spans="1:204" x14ac:dyDescent="0.25">
      <c r="A200" t="s">
        <v>1067</v>
      </c>
      <c r="B200" s="2" t="s">
        <v>358</v>
      </c>
      <c r="C200" s="619">
        <v>44580</v>
      </c>
      <c r="D200" s="2" t="s">
        <v>1047</v>
      </c>
      <c r="E200" t="s">
        <v>59</v>
      </c>
      <c r="F200" s="2" t="s">
        <v>43</v>
      </c>
      <c r="G200" t="s">
        <v>40</v>
      </c>
      <c r="H200" s="690" t="s">
        <v>85</v>
      </c>
      <c r="I200" s="691" t="s">
        <v>43</v>
      </c>
      <c r="J200" s="721">
        <v>3780401000108</v>
      </c>
      <c r="K200" s="691" t="s">
        <v>346</v>
      </c>
      <c r="L200" s="721" t="e">
        <v>#VALUE!</v>
      </c>
      <c r="M200" s="718" t="s">
        <v>3</v>
      </c>
      <c r="N200" s="717" t="s">
        <v>44</v>
      </c>
      <c r="O200" s="719">
        <v>44652</v>
      </c>
      <c r="P200" s="720">
        <v>44681</v>
      </c>
      <c r="Q200" s="718">
        <v>128</v>
      </c>
      <c r="R200" s="717">
        <v>3.6</v>
      </c>
      <c r="S200" s="691" t="s">
        <v>54</v>
      </c>
      <c r="T200" t="s">
        <v>358</v>
      </c>
      <c r="U200" s="673" t="s">
        <v>358</v>
      </c>
      <c r="V200" s="690" t="s">
        <v>358</v>
      </c>
      <c r="W200" s="657" t="s">
        <v>214</v>
      </c>
      <c r="X200" s="723"/>
      <c r="Y200" s="4"/>
      <c r="Z200" s="4"/>
      <c r="AA200" s="4">
        <v>3.6</v>
      </c>
      <c r="AB200" s="4"/>
      <c r="AC200" s="4"/>
      <c r="AD200" s="4"/>
      <c r="AE200" s="4"/>
      <c r="AF200" s="4"/>
      <c r="AG200" s="4"/>
      <c r="AH200" s="4"/>
      <c r="AI200" s="654"/>
      <c r="AJ200" s="655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654"/>
      <c r="AV200" s="655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654"/>
      <c r="BH200" s="655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654"/>
      <c r="BT200" s="655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693"/>
      <c r="CF200" s="723"/>
      <c r="CG200" s="4"/>
      <c r="CH200" s="4"/>
      <c r="CI200" s="4">
        <v>128</v>
      </c>
      <c r="CJ200" s="4"/>
      <c r="CK200" s="4"/>
      <c r="CL200" s="4"/>
      <c r="CM200" s="4"/>
      <c r="CN200" s="4"/>
      <c r="CO200" s="4"/>
      <c r="CP200" s="4"/>
      <c r="CQ200" s="654"/>
      <c r="CR200" s="655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654"/>
      <c r="DD200" s="655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654"/>
      <c r="DP200" s="655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654"/>
      <c r="EB200" s="655"/>
      <c r="EC200" s="4"/>
      <c r="ED200" s="4"/>
      <c r="EE200" s="4"/>
      <c r="EF200" s="4"/>
      <c r="EG200" s="4"/>
      <c r="EH200" s="4"/>
      <c r="EI200" s="4"/>
      <c r="EJ200" s="4"/>
      <c r="EK200" s="4"/>
      <c r="EL200" s="4"/>
      <c r="EM200" s="693"/>
      <c r="EN200" s="723"/>
      <c r="EO200" s="4"/>
      <c r="EP200" s="4"/>
      <c r="EQ200" s="4">
        <v>128</v>
      </c>
      <c r="ER200" s="4"/>
      <c r="ES200" s="4"/>
      <c r="ET200" s="4"/>
      <c r="EU200" s="4"/>
      <c r="EV200" s="4"/>
      <c r="EW200" s="4"/>
      <c r="EX200" s="4"/>
      <c r="EY200" s="654"/>
      <c r="EZ200" s="655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654"/>
      <c r="FL200" s="655"/>
      <c r="FM200" s="4"/>
      <c r="FN200" s="4"/>
      <c r="FO200" s="4"/>
      <c r="FP200" s="4"/>
      <c r="FQ200" s="4"/>
      <c r="FR200" s="4"/>
      <c r="FS200" s="4"/>
      <c r="FT200" s="4"/>
      <c r="FU200" s="4"/>
      <c r="FV200" s="4"/>
      <c r="FW200" s="654"/>
      <c r="FX200" s="655"/>
      <c r="FY200" s="4"/>
      <c r="FZ200" s="4"/>
      <c r="GA200" s="4"/>
      <c r="GB200" s="4"/>
      <c r="GC200" s="4"/>
      <c r="GD200" s="4"/>
      <c r="GE200" s="4"/>
      <c r="GF200" s="4"/>
      <c r="GG200" s="4"/>
      <c r="GH200" s="4"/>
      <c r="GI200" s="654"/>
      <c r="GJ200" s="655"/>
      <c r="GK200" s="4"/>
      <c r="GL200" s="4"/>
      <c r="GM200" s="4"/>
      <c r="GN200" s="4"/>
      <c r="GO200" s="4"/>
      <c r="GP200" s="4"/>
      <c r="GQ200" s="4"/>
      <c r="GR200" s="4"/>
      <c r="GS200" s="4"/>
      <c r="GT200" s="4"/>
      <c r="GU200" s="722"/>
      <c r="GV200" s="715"/>
    </row>
    <row r="201" spans="1:204" x14ac:dyDescent="0.25">
      <c r="A201" t="s">
        <v>1068</v>
      </c>
      <c r="B201" s="2" t="s">
        <v>358</v>
      </c>
      <c r="C201" s="619">
        <v>44580</v>
      </c>
      <c r="D201" s="2" t="s">
        <v>1048</v>
      </c>
      <c r="E201" t="s">
        <v>59</v>
      </c>
      <c r="F201" s="2" t="s">
        <v>43</v>
      </c>
      <c r="G201" t="s">
        <v>40</v>
      </c>
      <c r="H201" s="690" t="s">
        <v>85</v>
      </c>
      <c r="I201" s="691" t="s">
        <v>43</v>
      </c>
      <c r="J201" s="721">
        <v>3780401000108</v>
      </c>
      <c r="K201" s="691" t="s">
        <v>346</v>
      </c>
      <c r="L201" s="721" t="e">
        <v>#VALUE!</v>
      </c>
      <c r="M201" s="718" t="s">
        <v>3</v>
      </c>
      <c r="N201" s="717" t="s">
        <v>44</v>
      </c>
      <c r="O201" s="719">
        <v>44682</v>
      </c>
      <c r="P201" s="720">
        <v>44712</v>
      </c>
      <c r="Q201" s="718">
        <v>135</v>
      </c>
      <c r="R201" s="717">
        <v>4.2</v>
      </c>
      <c r="S201" s="691" t="s">
        <v>54</v>
      </c>
      <c r="T201" t="s">
        <v>358</v>
      </c>
      <c r="U201" s="673" t="s">
        <v>358</v>
      </c>
      <c r="V201" s="690" t="s">
        <v>358</v>
      </c>
      <c r="W201" s="657" t="s">
        <v>214</v>
      </c>
      <c r="X201" s="723"/>
      <c r="Y201" s="4"/>
      <c r="Z201" s="4"/>
      <c r="AA201" s="4"/>
      <c r="AB201" s="4">
        <v>4.2</v>
      </c>
      <c r="AC201" s="4"/>
      <c r="AD201" s="4"/>
      <c r="AE201" s="4"/>
      <c r="AF201" s="4"/>
      <c r="AG201" s="4"/>
      <c r="AH201" s="4"/>
      <c r="AI201" s="654"/>
      <c r="AJ201" s="655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654"/>
      <c r="AV201" s="655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654"/>
      <c r="BH201" s="655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654"/>
      <c r="BT201" s="655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693"/>
      <c r="CF201" s="723"/>
      <c r="CG201" s="4"/>
      <c r="CH201" s="4"/>
      <c r="CI201" s="4"/>
      <c r="CJ201" s="4">
        <v>135</v>
      </c>
      <c r="CK201" s="4"/>
      <c r="CL201" s="4"/>
      <c r="CM201" s="4"/>
      <c r="CN201" s="4"/>
      <c r="CO201" s="4"/>
      <c r="CP201" s="4"/>
      <c r="CQ201" s="654"/>
      <c r="CR201" s="655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654"/>
      <c r="DD201" s="655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654"/>
      <c r="DP201" s="655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654"/>
      <c r="EB201" s="655"/>
      <c r="EC201" s="4"/>
      <c r="ED201" s="4"/>
      <c r="EE201" s="4"/>
      <c r="EF201" s="4"/>
      <c r="EG201" s="4"/>
      <c r="EH201" s="4"/>
      <c r="EI201" s="4"/>
      <c r="EJ201" s="4"/>
      <c r="EK201" s="4"/>
      <c r="EL201" s="4"/>
      <c r="EM201" s="693"/>
      <c r="EN201" s="723"/>
      <c r="EO201" s="4"/>
      <c r="EP201" s="4"/>
      <c r="EQ201" s="4"/>
      <c r="ER201" s="4">
        <v>135</v>
      </c>
      <c r="ES201" s="4"/>
      <c r="ET201" s="4"/>
      <c r="EU201" s="4"/>
      <c r="EV201" s="4"/>
      <c r="EW201" s="4"/>
      <c r="EX201" s="4"/>
      <c r="EY201" s="654"/>
      <c r="EZ201" s="655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654"/>
      <c r="FL201" s="655"/>
      <c r="FM201" s="4"/>
      <c r="FN201" s="4"/>
      <c r="FO201" s="4"/>
      <c r="FP201" s="4"/>
      <c r="FQ201" s="4"/>
      <c r="FR201" s="4"/>
      <c r="FS201" s="4"/>
      <c r="FT201" s="4"/>
      <c r="FU201" s="4"/>
      <c r="FV201" s="4"/>
      <c r="FW201" s="654"/>
      <c r="FX201" s="655"/>
      <c r="FY201" s="4"/>
      <c r="FZ201" s="4"/>
      <c r="GA201" s="4"/>
      <c r="GB201" s="4"/>
      <c r="GC201" s="4"/>
      <c r="GD201" s="4"/>
      <c r="GE201" s="4"/>
      <c r="GF201" s="4"/>
      <c r="GG201" s="4"/>
      <c r="GH201" s="4"/>
      <c r="GI201" s="654"/>
      <c r="GJ201" s="655"/>
      <c r="GK201" s="4"/>
      <c r="GL201" s="4"/>
      <c r="GM201" s="4"/>
      <c r="GN201" s="4"/>
      <c r="GO201" s="4"/>
      <c r="GP201" s="4"/>
      <c r="GQ201" s="4"/>
      <c r="GR201" s="4"/>
      <c r="GS201" s="4"/>
      <c r="GT201" s="4"/>
      <c r="GU201" s="722"/>
      <c r="GV201" s="715"/>
    </row>
    <row r="202" spans="1:204" x14ac:dyDescent="0.25">
      <c r="A202" t="s">
        <v>1075</v>
      </c>
      <c r="B202" s="2" t="s">
        <v>1074</v>
      </c>
      <c r="C202" s="619">
        <v>44582</v>
      </c>
      <c r="D202" s="2" t="s">
        <v>1069</v>
      </c>
      <c r="E202" t="s">
        <v>59</v>
      </c>
      <c r="F202" s="2" t="s">
        <v>43</v>
      </c>
      <c r="G202" t="s">
        <v>40</v>
      </c>
      <c r="H202" s="690" t="s">
        <v>85</v>
      </c>
      <c r="I202" s="691" t="s">
        <v>43</v>
      </c>
      <c r="J202" s="721">
        <v>3780401000108</v>
      </c>
      <c r="K202" s="691" t="s">
        <v>478</v>
      </c>
      <c r="L202" s="721">
        <v>18483400000160</v>
      </c>
      <c r="M202" s="718" t="s">
        <v>3</v>
      </c>
      <c r="N202" s="717" t="s">
        <v>44</v>
      </c>
      <c r="O202" s="719">
        <v>44652</v>
      </c>
      <c r="P202" s="720">
        <v>44742</v>
      </c>
      <c r="Q202" s="718">
        <v>137.5</v>
      </c>
      <c r="R202" s="717">
        <v>3.6</v>
      </c>
      <c r="S202" s="691" t="s">
        <v>54</v>
      </c>
      <c r="T202" t="s">
        <v>358</v>
      </c>
      <c r="U202" s="673" t="s">
        <v>358</v>
      </c>
      <c r="V202" s="690" t="s">
        <v>358</v>
      </c>
      <c r="W202" s="657" t="s">
        <v>329</v>
      </c>
      <c r="X202" s="723"/>
      <c r="Y202" s="4"/>
      <c r="Z202" s="4"/>
      <c r="AA202" s="4">
        <v>3.6</v>
      </c>
      <c r="AB202" s="4">
        <v>3.6</v>
      </c>
      <c r="AC202" s="4">
        <v>3.6</v>
      </c>
      <c r="AD202" s="4"/>
      <c r="AE202" s="4"/>
      <c r="AF202" s="4"/>
      <c r="AG202" s="4"/>
      <c r="AH202" s="4"/>
      <c r="AI202" s="654"/>
      <c r="AJ202" s="655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654"/>
      <c r="AV202" s="655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654"/>
      <c r="BH202" s="655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654"/>
      <c r="BT202" s="655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693"/>
      <c r="CF202" s="723"/>
      <c r="CG202" s="4"/>
      <c r="CH202" s="4"/>
      <c r="CI202" s="4">
        <v>137.5</v>
      </c>
      <c r="CJ202" s="4">
        <v>137.5</v>
      </c>
      <c r="CK202" s="4">
        <v>137.5</v>
      </c>
      <c r="CL202" s="4"/>
      <c r="CM202" s="4"/>
      <c r="CN202" s="4"/>
      <c r="CO202" s="4"/>
      <c r="CP202" s="4"/>
      <c r="CQ202" s="654"/>
      <c r="CR202" s="655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654"/>
      <c r="DD202" s="655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654"/>
      <c r="DP202" s="655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654"/>
      <c r="EB202" s="655"/>
      <c r="EC202" s="4"/>
      <c r="ED202" s="4"/>
      <c r="EE202" s="4"/>
      <c r="EF202" s="4"/>
      <c r="EG202" s="4"/>
      <c r="EH202" s="4"/>
      <c r="EI202" s="4"/>
      <c r="EJ202" s="4"/>
      <c r="EK202" s="4"/>
      <c r="EL202" s="4"/>
      <c r="EM202" s="693"/>
      <c r="EN202" s="723"/>
      <c r="EO202" s="4"/>
      <c r="EP202" s="4"/>
      <c r="EQ202" s="4">
        <v>137.5</v>
      </c>
      <c r="ER202" s="4">
        <v>137.5</v>
      </c>
      <c r="ES202" s="4">
        <v>137.5</v>
      </c>
      <c r="ET202" s="4"/>
      <c r="EU202" s="4"/>
      <c r="EV202" s="4"/>
      <c r="EW202" s="4"/>
      <c r="EX202" s="4"/>
      <c r="EY202" s="654"/>
      <c r="EZ202" s="655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654"/>
      <c r="FL202" s="655"/>
      <c r="FM202" s="4"/>
      <c r="FN202" s="4"/>
      <c r="FO202" s="4"/>
      <c r="FP202" s="4"/>
      <c r="FQ202" s="4"/>
      <c r="FR202" s="4"/>
      <c r="FS202" s="4"/>
      <c r="FT202" s="4"/>
      <c r="FU202" s="4"/>
      <c r="FV202" s="4"/>
      <c r="FW202" s="654"/>
      <c r="FX202" s="655"/>
      <c r="FY202" s="4"/>
      <c r="FZ202" s="4"/>
      <c r="GA202" s="4"/>
      <c r="GB202" s="4"/>
      <c r="GC202" s="4"/>
      <c r="GD202" s="4"/>
      <c r="GE202" s="4"/>
      <c r="GF202" s="4"/>
      <c r="GG202" s="4"/>
      <c r="GH202" s="4"/>
      <c r="GI202" s="654"/>
      <c r="GJ202" s="655"/>
      <c r="GK202" s="4"/>
      <c r="GL202" s="4"/>
      <c r="GM202" s="4"/>
      <c r="GN202" s="4"/>
      <c r="GO202" s="4"/>
      <c r="GP202" s="4"/>
      <c r="GQ202" s="4"/>
      <c r="GR202" s="4"/>
      <c r="GS202" s="4"/>
      <c r="GT202" s="4"/>
      <c r="GU202" s="722"/>
      <c r="GV202" s="715"/>
    </row>
    <row r="203" spans="1:204" x14ac:dyDescent="0.25">
      <c r="A203" t="s">
        <v>1077</v>
      </c>
      <c r="B203" s="2" t="s">
        <v>1076</v>
      </c>
      <c r="C203" s="619">
        <v>44582</v>
      </c>
      <c r="D203" s="2" t="s">
        <v>1070</v>
      </c>
      <c r="E203" t="s">
        <v>59</v>
      </c>
      <c r="F203" s="2" t="s">
        <v>43</v>
      </c>
      <c r="G203" t="s">
        <v>40</v>
      </c>
      <c r="H203" s="690" t="s">
        <v>85</v>
      </c>
      <c r="I203" s="691" t="s">
        <v>43</v>
      </c>
      <c r="J203" s="721">
        <v>3780401000108</v>
      </c>
      <c r="K203" s="691" t="s">
        <v>1073</v>
      </c>
      <c r="L203" s="721">
        <v>19125927000186</v>
      </c>
      <c r="M203" s="718" t="s">
        <v>3</v>
      </c>
      <c r="N203" s="717" t="s">
        <v>44</v>
      </c>
      <c r="O203" s="719">
        <v>44682</v>
      </c>
      <c r="P203" s="720">
        <v>44712</v>
      </c>
      <c r="Q203" s="718">
        <v>128</v>
      </c>
      <c r="R203" s="717">
        <v>3</v>
      </c>
      <c r="S203" s="691" t="s">
        <v>54</v>
      </c>
      <c r="T203" t="s">
        <v>358</v>
      </c>
      <c r="U203" s="673" t="s">
        <v>358</v>
      </c>
      <c r="V203" s="690" t="s">
        <v>358</v>
      </c>
      <c r="W203" s="657" t="s">
        <v>329</v>
      </c>
      <c r="X203" s="723"/>
      <c r="Y203" s="4"/>
      <c r="Z203" s="4"/>
      <c r="AA203" s="4"/>
      <c r="AB203" s="4">
        <v>3</v>
      </c>
      <c r="AC203" s="4"/>
      <c r="AD203" s="4"/>
      <c r="AE203" s="4"/>
      <c r="AF203" s="4"/>
      <c r="AG203" s="4"/>
      <c r="AH203" s="4"/>
      <c r="AI203" s="654"/>
      <c r="AJ203" s="655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654"/>
      <c r="AV203" s="655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654"/>
      <c r="BH203" s="655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654"/>
      <c r="BT203" s="655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693"/>
      <c r="CF203" s="723"/>
      <c r="CG203" s="4"/>
      <c r="CH203" s="4"/>
      <c r="CI203" s="4"/>
      <c r="CJ203" s="4">
        <v>128</v>
      </c>
      <c r="CK203" s="4"/>
      <c r="CL203" s="4"/>
      <c r="CM203" s="4"/>
      <c r="CN203" s="4"/>
      <c r="CO203" s="4"/>
      <c r="CP203" s="4"/>
      <c r="CQ203" s="654"/>
      <c r="CR203" s="655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654"/>
      <c r="DD203" s="655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654"/>
      <c r="DP203" s="655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654"/>
      <c r="EB203" s="655"/>
      <c r="EC203" s="4"/>
      <c r="ED203" s="4"/>
      <c r="EE203" s="4"/>
      <c r="EF203" s="4"/>
      <c r="EG203" s="4"/>
      <c r="EH203" s="4"/>
      <c r="EI203" s="4"/>
      <c r="EJ203" s="4"/>
      <c r="EK203" s="4"/>
      <c r="EL203" s="4"/>
      <c r="EM203" s="693"/>
      <c r="EN203" s="723"/>
      <c r="EO203" s="4"/>
      <c r="EP203" s="4"/>
      <c r="EQ203" s="4"/>
      <c r="ER203" s="4">
        <v>128</v>
      </c>
      <c r="ES203" s="4"/>
      <c r="ET203" s="4"/>
      <c r="EU203" s="4"/>
      <c r="EV203" s="4"/>
      <c r="EW203" s="4"/>
      <c r="EX203" s="4"/>
      <c r="EY203" s="654"/>
      <c r="EZ203" s="655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654"/>
      <c r="FL203" s="655"/>
      <c r="FM203" s="4"/>
      <c r="FN203" s="4"/>
      <c r="FO203" s="4"/>
      <c r="FP203" s="4"/>
      <c r="FQ203" s="4"/>
      <c r="FR203" s="4"/>
      <c r="FS203" s="4"/>
      <c r="FT203" s="4"/>
      <c r="FU203" s="4"/>
      <c r="FV203" s="4"/>
      <c r="FW203" s="654"/>
      <c r="FX203" s="655"/>
      <c r="FY203" s="4"/>
      <c r="FZ203" s="4"/>
      <c r="GA203" s="4"/>
      <c r="GB203" s="4"/>
      <c r="GC203" s="4"/>
      <c r="GD203" s="4"/>
      <c r="GE203" s="4"/>
      <c r="GF203" s="4"/>
      <c r="GG203" s="4"/>
      <c r="GH203" s="4"/>
      <c r="GI203" s="654"/>
      <c r="GJ203" s="655"/>
      <c r="GK203" s="4"/>
      <c r="GL203" s="4"/>
      <c r="GM203" s="4"/>
      <c r="GN203" s="4"/>
      <c r="GO203" s="4"/>
      <c r="GP203" s="4"/>
      <c r="GQ203" s="4"/>
      <c r="GR203" s="4"/>
      <c r="GS203" s="4"/>
      <c r="GT203" s="4"/>
      <c r="GU203" s="722"/>
      <c r="GV203" s="715"/>
    </row>
    <row r="204" spans="1:204" x14ac:dyDescent="0.25">
      <c r="A204" t="s">
        <v>1079</v>
      </c>
      <c r="B204" s="2" t="s">
        <v>1078</v>
      </c>
      <c r="C204" s="619">
        <v>44582</v>
      </c>
      <c r="D204" s="2" t="s">
        <v>1071</v>
      </c>
      <c r="E204" t="s">
        <v>59</v>
      </c>
      <c r="F204" s="2" t="s">
        <v>43</v>
      </c>
      <c r="G204" t="s">
        <v>40</v>
      </c>
      <c r="H204" s="690" t="s">
        <v>85</v>
      </c>
      <c r="I204" s="691" t="s">
        <v>43</v>
      </c>
      <c r="J204" s="721">
        <v>3780401000108</v>
      </c>
      <c r="K204" s="691" t="s">
        <v>513</v>
      </c>
      <c r="L204" s="721">
        <v>26537119000191</v>
      </c>
      <c r="M204" s="718" t="s">
        <v>3</v>
      </c>
      <c r="N204" s="717" t="s">
        <v>44</v>
      </c>
      <c r="O204" s="719">
        <v>44896</v>
      </c>
      <c r="P204" s="720">
        <v>44926</v>
      </c>
      <c r="Q204" s="718">
        <v>180</v>
      </c>
      <c r="R204" s="717">
        <v>4</v>
      </c>
      <c r="S204" s="691" t="s">
        <v>54</v>
      </c>
      <c r="T204" t="s">
        <v>358</v>
      </c>
      <c r="U204" s="673" t="s">
        <v>358</v>
      </c>
      <c r="V204" s="690" t="s">
        <v>358</v>
      </c>
      <c r="W204" s="657" t="s">
        <v>329</v>
      </c>
      <c r="X204" s="723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654">
        <v>4</v>
      </c>
      <c r="AJ204" s="655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654"/>
      <c r="AV204" s="655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654"/>
      <c r="BH204" s="655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654"/>
      <c r="BT204" s="655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693"/>
      <c r="CF204" s="723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654">
        <v>180</v>
      </c>
      <c r="CR204" s="655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654"/>
      <c r="DD204" s="655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654"/>
      <c r="DP204" s="655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654"/>
      <c r="EB204" s="655"/>
      <c r="EC204" s="4"/>
      <c r="ED204" s="4"/>
      <c r="EE204" s="4"/>
      <c r="EF204" s="4"/>
      <c r="EG204" s="4"/>
      <c r="EH204" s="4"/>
      <c r="EI204" s="4"/>
      <c r="EJ204" s="4"/>
      <c r="EK204" s="4"/>
      <c r="EL204" s="4"/>
      <c r="EM204" s="693"/>
      <c r="EN204" s="723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654">
        <v>180</v>
      </c>
      <c r="EZ204" s="655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654"/>
      <c r="FL204" s="655"/>
      <c r="FM204" s="4"/>
      <c r="FN204" s="4"/>
      <c r="FO204" s="4"/>
      <c r="FP204" s="4"/>
      <c r="FQ204" s="4"/>
      <c r="FR204" s="4"/>
      <c r="FS204" s="4"/>
      <c r="FT204" s="4"/>
      <c r="FU204" s="4"/>
      <c r="FV204" s="4"/>
      <c r="FW204" s="654"/>
      <c r="FX204" s="655"/>
      <c r="FY204" s="4"/>
      <c r="FZ204" s="4"/>
      <c r="GA204" s="4"/>
      <c r="GB204" s="4"/>
      <c r="GC204" s="4"/>
      <c r="GD204" s="4"/>
      <c r="GE204" s="4"/>
      <c r="GF204" s="4"/>
      <c r="GG204" s="4"/>
      <c r="GH204" s="4"/>
      <c r="GI204" s="654"/>
      <c r="GJ204" s="655"/>
      <c r="GK204" s="4"/>
      <c r="GL204" s="4"/>
      <c r="GM204" s="4"/>
      <c r="GN204" s="4"/>
      <c r="GO204" s="4"/>
      <c r="GP204" s="4"/>
      <c r="GQ204" s="4"/>
      <c r="GR204" s="4"/>
      <c r="GS204" s="4"/>
      <c r="GT204" s="4"/>
      <c r="GU204" s="722"/>
      <c r="GV204" s="715"/>
    </row>
    <row r="205" spans="1:204" x14ac:dyDescent="0.25">
      <c r="A205" t="s">
        <v>1081</v>
      </c>
      <c r="B205" s="2" t="s">
        <v>1080</v>
      </c>
      <c r="C205" s="619">
        <v>44582</v>
      </c>
      <c r="D205" s="2" t="s">
        <v>1072</v>
      </c>
      <c r="E205" t="s">
        <v>59</v>
      </c>
      <c r="F205" s="2" t="s">
        <v>43</v>
      </c>
      <c r="G205" t="s">
        <v>40</v>
      </c>
      <c r="H205" s="690" t="s">
        <v>85</v>
      </c>
      <c r="I205" s="691" t="s">
        <v>43</v>
      </c>
      <c r="J205" s="721">
        <v>3780401000108</v>
      </c>
      <c r="K205" s="691" t="s">
        <v>620</v>
      </c>
      <c r="L205" s="721">
        <v>4149295000113</v>
      </c>
      <c r="M205" s="718" t="s">
        <v>3</v>
      </c>
      <c r="N205" s="717" t="s">
        <v>44</v>
      </c>
      <c r="O205" s="719">
        <v>44562</v>
      </c>
      <c r="P205" s="720">
        <v>44592</v>
      </c>
      <c r="Q205" s="718">
        <v>65</v>
      </c>
      <c r="R205" s="717">
        <v>34.799999999999997</v>
      </c>
      <c r="S205" s="691" t="s">
        <v>54</v>
      </c>
      <c r="T205" t="s">
        <v>358</v>
      </c>
      <c r="U205" s="673" t="s">
        <v>358</v>
      </c>
      <c r="V205" s="690" t="s">
        <v>358</v>
      </c>
      <c r="W205" s="657" t="s">
        <v>329</v>
      </c>
      <c r="X205" s="723">
        <v>34.799999999999997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654"/>
      <c r="AJ205" s="655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654"/>
      <c r="AV205" s="655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654"/>
      <c r="BH205" s="655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654"/>
      <c r="BT205" s="655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693"/>
      <c r="CF205" s="723">
        <v>65</v>
      </c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654"/>
      <c r="CR205" s="655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654"/>
      <c r="DD205" s="655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654"/>
      <c r="DP205" s="655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654"/>
      <c r="EB205" s="655"/>
      <c r="EC205" s="4"/>
      <c r="ED205" s="4"/>
      <c r="EE205" s="4"/>
      <c r="EF205" s="4"/>
      <c r="EG205" s="4"/>
      <c r="EH205" s="4"/>
      <c r="EI205" s="4"/>
      <c r="EJ205" s="4"/>
      <c r="EK205" s="4"/>
      <c r="EL205" s="4"/>
      <c r="EM205" s="693"/>
      <c r="EN205" s="723">
        <v>65</v>
      </c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654"/>
      <c r="EZ205" s="655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654"/>
      <c r="FL205" s="655"/>
      <c r="FM205" s="4"/>
      <c r="FN205" s="4"/>
      <c r="FO205" s="4"/>
      <c r="FP205" s="4"/>
      <c r="FQ205" s="4"/>
      <c r="FR205" s="4"/>
      <c r="FS205" s="4"/>
      <c r="FT205" s="4"/>
      <c r="FU205" s="4"/>
      <c r="FV205" s="4"/>
      <c r="FW205" s="654"/>
      <c r="FX205" s="655"/>
      <c r="FY205" s="4"/>
      <c r="FZ205" s="4"/>
      <c r="GA205" s="4"/>
      <c r="GB205" s="4"/>
      <c r="GC205" s="4"/>
      <c r="GD205" s="4"/>
      <c r="GE205" s="4"/>
      <c r="GF205" s="4"/>
      <c r="GG205" s="4"/>
      <c r="GH205" s="4"/>
      <c r="GI205" s="654"/>
      <c r="GJ205" s="655"/>
      <c r="GK205" s="4"/>
      <c r="GL205" s="4"/>
      <c r="GM205" s="4"/>
      <c r="GN205" s="4"/>
      <c r="GO205" s="4"/>
      <c r="GP205" s="4"/>
      <c r="GQ205" s="4"/>
      <c r="GR205" s="4"/>
      <c r="GS205" s="4"/>
      <c r="GT205" s="4"/>
      <c r="GU205" s="722"/>
      <c r="GV205" s="715"/>
    </row>
    <row r="206" spans="1:204" x14ac:dyDescent="0.25">
      <c r="A206" t="s">
        <v>1089</v>
      </c>
      <c r="B206" s="2" t="s">
        <v>1088</v>
      </c>
      <c r="C206" s="619">
        <v>44585</v>
      </c>
      <c r="D206" s="2" t="s">
        <v>1082</v>
      </c>
      <c r="E206" t="s">
        <v>59</v>
      </c>
      <c r="F206" s="2" t="s">
        <v>43</v>
      </c>
      <c r="G206" t="s">
        <v>40</v>
      </c>
      <c r="H206" s="690" t="s">
        <v>85</v>
      </c>
      <c r="I206" s="691" t="s">
        <v>43</v>
      </c>
      <c r="J206" s="721">
        <v>3780401000108</v>
      </c>
      <c r="K206" s="691" t="s">
        <v>967</v>
      </c>
      <c r="L206" s="721">
        <v>3984862000194</v>
      </c>
      <c r="M206" s="718" t="s">
        <v>3</v>
      </c>
      <c r="N206" s="717" t="s">
        <v>44</v>
      </c>
      <c r="O206" s="719">
        <v>44593</v>
      </c>
      <c r="P206" s="720">
        <v>44620</v>
      </c>
      <c r="Q206" s="718">
        <v>70</v>
      </c>
      <c r="R206" s="717">
        <v>5</v>
      </c>
      <c r="S206" s="691" t="s">
        <v>54</v>
      </c>
      <c r="T206" t="s">
        <v>358</v>
      </c>
      <c r="U206" s="673" t="s">
        <v>358</v>
      </c>
      <c r="V206" s="690" t="s">
        <v>358</v>
      </c>
      <c r="W206" s="657" t="s">
        <v>329</v>
      </c>
      <c r="X206" s="723"/>
      <c r="Y206" s="4">
        <v>5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654"/>
      <c r="AJ206" s="655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654"/>
      <c r="AV206" s="655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654"/>
      <c r="BH206" s="655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654"/>
      <c r="BT206" s="655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693"/>
      <c r="CF206" s="723"/>
      <c r="CG206" s="4">
        <v>70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654"/>
      <c r="CR206" s="655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654"/>
      <c r="DD206" s="655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654"/>
      <c r="DP206" s="655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654"/>
      <c r="EB206" s="655"/>
      <c r="EC206" s="4"/>
      <c r="ED206" s="4"/>
      <c r="EE206" s="4"/>
      <c r="EF206" s="4"/>
      <c r="EG206" s="4"/>
      <c r="EH206" s="4"/>
      <c r="EI206" s="4"/>
      <c r="EJ206" s="4"/>
      <c r="EK206" s="4"/>
      <c r="EL206" s="4"/>
      <c r="EM206" s="693"/>
      <c r="EN206" s="723"/>
      <c r="EO206" s="4">
        <v>70</v>
      </c>
      <c r="EP206" s="4"/>
      <c r="EQ206" s="4"/>
      <c r="ER206" s="4"/>
      <c r="ES206" s="4"/>
      <c r="ET206" s="4"/>
      <c r="EU206" s="4"/>
      <c r="EV206" s="4"/>
      <c r="EW206" s="4"/>
      <c r="EX206" s="4"/>
      <c r="EY206" s="654"/>
      <c r="EZ206" s="655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654"/>
      <c r="FL206" s="655"/>
      <c r="FM206" s="4"/>
      <c r="FN206" s="4"/>
      <c r="FO206" s="4"/>
      <c r="FP206" s="4"/>
      <c r="FQ206" s="4"/>
      <c r="FR206" s="4"/>
      <c r="FS206" s="4"/>
      <c r="FT206" s="4"/>
      <c r="FU206" s="4"/>
      <c r="FV206" s="4"/>
      <c r="FW206" s="654"/>
      <c r="FX206" s="655"/>
      <c r="FY206" s="4"/>
      <c r="FZ206" s="4"/>
      <c r="GA206" s="4"/>
      <c r="GB206" s="4"/>
      <c r="GC206" s="4"/>
      <c r="GD206" s="4"/>
      <c r="GE206" s="4"/>
      <c r="GF206" s="4"/>
      <c r="GG206" s="4"/>
      <c r="GH206" s="4"/>
      <c r="GI206" s="654"/>
      <c r="GJ206" s="655"/>
      <c r="GK206" s="4"/>
      <c r="GL206" s="4"/>
      <c r="GM206" s="4"/>
      <c r="GN206" s="4"/>
      <c r="GO206" s="4"/>
      <c r="GP206" s="4"/>
      <c r="GQ206" s="4"/>
      <c r="GR206" s="4"/>
      <c r="GS206" s="4"/>
      <c r="GT206" s="4"/>
      <c r="GU206" s="722"/>
      <c r="GV206" s="715"/>
    </row>
    <row r="207" spans="1:204" x14ac:dyDescent="0.25">
      <c r="A207" t="s">
        <v>1091</v>
      </c>
      <c r="B207" s="2" t="s">
        <v>1090</v>
      </c>
      <c r="C207" s="619">
        <v>44585</v>
      </c>
      <c r="D207" s="2" t="s">
        <v>1083</v>
      </c>
      <c r="E207" t="s">
        <v>59</v>
      </c>
      <c r="F207" s="2" t="s">
        <v>43</v>
      </c>
      <c r="G207" t="s">
        <v>40</v>
      </c>
      <c r="H207" s="690" t="s">
        <v>85</v>
      </c>
      <c r="I207" s="691" t="s">
        <v>43</v>
      </c>
      <c r="J207" s="721">
        <v>3780401000108</v>
      </c>
      <c r="K207" s="691" t="s">
        <v>501</v>
      </c>
      <c r="L207" s="721">
        <v>15732189000184</v>
      </c>
      <c r="M207" s="718" t="s">
        <v>3</v>
      </c>
      <c r="N207" s="717" t="s">
        <v>44</v>
      </c>
      <c r="O207" s="719">
        <v>44593</v>
      </c>
      <c r="P207" s="720">
        <v>44620</v>
      </c>
      <c r="Q207" s="718">
        <v>70</v>
      </c>
      <c r="R207" s="717">
        <v>10</v>
      </c>
      <c r="S207" s="691" t="s">
        <v>54</v>
      </c>
      <c r="T207" t="s">
        <v>358</v>
      </c>
      <c r="U207" s="673" t="s">
        <v>358</v>
      </c>
      <c r="V207" s="690" t="s">
        <v>358</v>
      </c>
      <c r="W207" s="657" t="s">
        <v>329</v>
      </c>
      <c r="X207" s="723"/>
      <c r="Y207" s="4">
        <v>10</v>
      </c>
      <c r="Z207" s="4"/>
      <c r="AA207" s="4"/>
      <c r="AB207" s="4"/>
      <c r="AC207" s="4"/>
      <c r="AD207" s="4"/>
      <c r="AE207" s="4"/>
      <c r="AF207" s="4"/>
      <c r="AG207" s="4"/>
      <c r="AH207" s="4"/>
      <c r="AI207" s="654"/>
      <c r="AJ207" s="655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654"/>
      <c r="AV207" s="655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654"/>
      <c r="BH207" s="655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654"/>
      <c r="BT207" s="655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693"/>
      <c r="CF207" s="723"/>
      <c r="CG207" s="4">
        <v>70</v>
      </c>
      <c r="CH207" s="4"/>
      <c r="CI207" s="4"/>
      <c r="CJ207" s="4"/>
      <c r="CK207" s="4"/>
      <c r="CL207" s="4"/>
      <c r="CM207" s="4"/>
      <c r="CN207" s="4"/>
      <c r="CO207" s="4"/>
      <c r="CP207" s="4"/>
      <c r="CQ207" s="654"/>
      <c r="CR207" s="655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654"/>
      <c r="DD207" s="655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654"/>
      <c r="DP207" s="655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654"/>
      <c r="EB207" s="655"/>
      <c r="EC207" s="4"/>
      <c r="ED207" s="4"/>
      <c r="EE207" s="4"/>
      <c r="EF207" s="4"/>
      <c r="EG207" s="4"/>
      <c r="EH207" s="4"/>
      <c r="EI207" s="4"/>
      <c r="EJ207" s="4"/>
      <c r="EK207" s="4"/>
      <c r="EL207" s="4"/>
      <c r="EM207" s="693"/>
      <c r="EN207" s="723"/>
      <c r="EO207" s="4">
        <v>70</v>
      </c>
      <c r="EP207" s="4"/>
      <c r="EQ207" s="4"/>
      <c r="ER207" s="4"/>
      <c r="ES207" s="4"/>
      <c r="ET207" s="4"/>
      <c r="EU207" s="4"/>
      <c r="EV207" s="4"/>
      <c r="EW207" s="4"/>
      <c r="EX207" s="4"/>
      <c r="EY207" s="654"/>
      <c r="EZ207" s="655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654"/>
      <c r="FL207" s="655"/>
      <c r="FM207" s="4"/>
      <c r="FN207" s="4"/>
      <c r="FO207" s="4"/>
      <c r="FP207" s="4"/>
      <c r="FQ207" s="4"/>
      <c r="FR207" s="4"/>
      <c r="FS207" s="4"/>
      <c r="FT207" s="4"/>
      <c r="FU207" s="4"/>
      <c r="FV207" s="4"/>
      <c r="FW207" s="654"/>
      <c r="FX207" s="655"/>
      <c r="FY207" s="4"/>
      <c r="FZ207" s="4"/>
      <c r="GA207" s="4"/>
      <c r="GB207" s="4"/>
      <c r="GC207" s="4"/>
      <c r="GD207" s="4"/>
      <c r="GE207" s="4"/>
      <c r="GF207" s="4"/>
      <c r="GG207" s="4"/>
      <c r="GH207" s="4"/>
      <c r="GI207" s="654"/>
      <c r="GJ207" s="655"/>
      <c r="GK207" s="4"/>
      <c r="GL207" s="4"/>
      <c r="GM207" s="4"/>
      <c r="GN207" s="4"/>
      <c r="GO207" s="4"/>
      <c r="GP207" s="4"/>
      <c r="GQ207" s="4"/>
      <c r="GR207" s="4"/>
      <c r="GS207" s="4"/>
      <c r="GT207" s="4"/>
      <c r="GU207" s="722"/>
      <c r="GV207" s="715"/>
    </row>
    <row r="208" spans="1:204" x14ac:dyDescent="0.25">
      <c r="A208" t="s">
        <v>1092</v>
      </c>
      <c r="B208" s="2" t="s">
        <v>358</v>
      </c>
      <c r="C208" s="619">
        <v>44585</v>
      </c>
      <c r="D208" s="2" t="s">
        <v>1084</v>
      </c>
      <c r="E208" t="s">
        <v>59</v>
      </c>
      <c r="F208" s="2" t="s">
        <v>43</v>
      </c>
      <c r="G208" t="s">
        <v>40</v>
      </c>
      <c r="H208" s="690" t="s">
        <v>85</v>
      </c>
      <c r="I208" s="691" t="s">
        <v>43</v>
      </c>
      <c r="J208" s="721">
        <v>3780401000108</v>
      </c>
      <c r="K208" s="691" t="s">
        <v>501</v>
      </c>
      <c r="L208" s="721">
        <v>15732189000184</v>
      </c>
      <c r="M208" s="718" t="s">
        <v>3</v>
      </c>
      <c r="N208" s="717" t="s">
        <v>44</v>
      </c>
      <c r="O208" s="719">
        <v>44593</v>
      </c>
      <c r="P208" s="720">
        <v>44620</v>
      </c>
      <c r="Q208" s="718">
        <v>70</v>
      </c>
      <c r="R208" s="717">
        <v>4</v>
      </c>
      <c r="S208" s="691" t="s">
        <v>54</v>
      </c>
      <c r="T208" t="s">
        <v>358</v>
      </c>
      <c r="U208" s="673" t="s">
        <v>358</v>
      </c>
      <c r="V208" s="690" t="s">
        <v>358</v>
      </c>
      <c r="W208" s="657" t="s">
        <v>214</v>
      </c>
      <c r="X208" s="723"/>
      <c r="Y208" s="4">
        <v>4</v>
      </c>
      <c r="Z208" s="4"/>
      <c r="AA208" s="4"/>
      <c r="AB208" s="4"/>
      <c r="AC208" s="4"/>
      <c r="AD208" s="4"/>
      <c r="AE208" s="4"/>
      <c r="AF208" s="4"/>
      <c r="AG208" s="4"/>
      <c r="AH208" s="4"/>
      <c r="AI208" s="654"/>
      <c r="AJ208" s="655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654"/>
      <c r="AV208" s="655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654"/>
      <c r="BH208" s="655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654"/>
      <c r="BT208" s="655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693"/>
      <c r="CF208" s="723"/>
      <c r="CG208" s="4">
        <v>70</v>
      </c>
      <c r="CH208" s="4"/>
      <c r="CI208" s="4"/>
      <c r="CJ208" s="4"/>
      <c r="CK208" s="4"/>
      <c r="CL208" s="4"/>
      <c r="CM208" s="4"/>
      <c r="CN208" s="4"/>
      <c r="CO208" s="4"/>
      <c r="CP208" s="4"/>
      <c r="CQ208" s="654"/>
      <c r="CR208" s="655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654"/>
      <c r="DD208" s="655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654"/>
      <c r="DP208" s="655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654"/>
      <c r="EB208" s="655"/>
      <c r="EC208" s="4"/>
      <c r="ED208" s="4"/>
      <c r="EE208" s="4"/>
      <c r="EF208" s="4"/>
      <c r="EG208" s="4"/>
      <c r="EH208" s="4"/>
      <c r="EI208" s="4"/>
      <c r="EJ208" s="4"/>
      <c r="EK208" s="4"/>
      <c r="EL208" s="4"/>
      <c r="EM208" s="693"/>
      <c r="EN208" s="723"/>
      <c r="EO208" s="4">
        <v>70</v>
      </c>
      <c r="EP208" s="4"/>
      <c r="EQ208" s="4"/>
      <c r="ER208" s="4"/>
      <c r="ES208" s="4"/>
      <c r="ET208" s="4"/>
      <c r="EU208" s="4"/>
      <c r="EV208" s="4"/>
      <c r="EW208" s="4"/>
      <c r="EX208" s="4"/>
      <c r="EY208" s="654"/>
      <c r="EZ208" s="655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654"/>
      <c r="FL208" s="655"/>
      <c r="FM208" s="4"/>
      <c r="FN208" s="4"/>
      <c r="FO208" s="4"/>
      <c r="FP208" s="4"/>
      <c r="FQ208" s="4"/>
      <c r="FR208" s="4"/>
      <c r="FS208" s="4"/>
      <c r="FT208" s="4"/>
      <c r="FU208" s="4"/>
      <c r="FV208" s="4"/>
      <c r="FW208" s="654"/>
      <c r="FX208" s="655"/>
      <c r="FY208" s="4"/>
      <c r="FZ208" s="4"/>
      <c r="GA208" s="4"/>
      <c r="GB208" s="4"/>
      <c r="GC208" s="4"/>
      <c r="GD208" s="4"/>
      <c r="GE208" s="4"/>
      <c r="GF208" s="4"/>
      <c r="GG208" s="4"/>
      <c r="GH208" s="4"/>
      <c r="GI208" s="654"/>
      <c r="GJ208" s="655"/>
      <c r="GK208" s="4"/>
      <c r="GL208" s="4"/>
      <c r="GM208" s="4"/>
      <c r="GN208" s="4"/>
      <c r="GO208" s="4"/>
      <c r="GP208" s="4"/>
      <c r="GQ208" s="4"/>
      <c r="GR208" s="4"/>
      <c r="GS208" s="4"/>
      <c r="GT208" s="4"/>
      <c r="GU208" s="722"/>
      <c r="GV208" s="715"/>
    </row>
    <row r="209" spans="1:204" x14ac:dyDescent="0.25">
      <c r="A209" t="s">
        <v>1094</v>
      </c>
      <c r="B209" s="2" t="s">
        <v>1093</v>
      </c>
      <c r="C209" s="619">
        <v>44585</v>
      </c>
      <c r="D209" s="2" t="s">
        <v>1085</v>
      </c>
      <c r="E209" t="s">
        <v>59</v>
      </c>
      <c r="F209" s="2" t="s">
        <v>43</v>
      </c>
      <c r="G209" t="s">
        <v>40</v>
      </c>
      <c r="H209" s="690" t="s">
        <v>85</v>
      </c>
      <c r="I209" s="691" t="s">
        <v>43</v>
      </c>
      <c r="J209" s="721">
        <v>3780401000108</v>
      </c>
      <c r="K209" s="691" t="s">
        <v>478</v>
      </c>
      <c r="L209" s="721">
        <v>18483400000160</v>
      </c>
      <c r="M209" s="718" t="s">
        <v>3</v>
      </c>
      <c r="N209" s="717" t="s">
        <v>44</v>
      </c>
      <c r="O209" s="719">
        <v>44652</v>
      </c>
      <c r="P209" s="720">
        <v>44681</v>
      </c>
      <c r="Q209" s="718">
        <v>110</v>
      </c>
      <c r="R209" s="717">
        <v>2</v>
      </c>
      <c r="S209" s="691" t="s">
        <v>54</v>
      </c>
      <c r="T209" t="s">
        <v>358</v>
      </c>
      <c r="U209" s="673" t="s">
        <v>358</v>
      </c>
      <c r="V209" s="690" t="s">
        <v>358</v>
      </c>
      <c r="W209" s="657" t="s">
        <v>329</v>
      </c>
      <c r="X209" s="723"/>
      <c r="Y209" s="4"/>
      <c r="Z209" s="4"/>
      <c r="AA209" s="4">
        <v>2</v>
      </c>
      <c r="AB209" s="4"/>
      <c r="AC209" s="4"/>
      <c r="AD209" s="4"/>
      <c r="AE209" s="4"/>
      <c r="AF209" s="4"/>
      <c r="AG209" s="4"/>
      <c r="AH209" s="4"/>
      <c r="AI209" s="654"/>
      <c r="AJ209" s="655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654"/>
      <c r="AV209" s="655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654"/>
      <c r="BH209" s="655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654"/>
      <c r="BT209" s="655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693"/>
      <c r="CF209" s="723"/>
      <c r="CG209" s="4"/>
      <c r="CH209" s="4"/>
      <c r="CI209" s="4">
        <v>110</v>
      </c>
      <c r="CJ209" s="4"/>
      <c r="CK209" s="4"/>
      <c r="CL209" s="4"/>
      <c r="CM209" s="4"/>
      <c r="CN209" s="4"/>
      <c r="CO209" s="4"/>
      <c r="CP209" s="4"/>
      <c r="CQ209" s="654"/>
      <c r="CR209" s="655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654"/>
      <c r="DD209" s="655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654"/>
      <c r="DP209" s="655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654"/>
      <c r="EB209" s="655"/>
      <c r="EC209" s="4"/>
      <c r="ED209" s="4"/>
      <c r="EE209" s="4"/>
      <c r="EF209" s="4"/>
      <c r="EG209" s="4"/>
      <c r="EH209" s="4"/>
      <c r="EI209" s="4"/>
      <c r="EJ209" s="4"/>
      <c r="EK209" s="4"/>
      <c r="EL209" s="4"/>
      <c r="EM209" s="693"/>
      <c r="EN209" s="723"/>
      <c r="EO209" s="4"/>
      <c r="EP209" s="4"/>
      <c r="EQ209" s="4">
        <v>110</v>
      </c>
      <c r="ER209" s="4"/>
      <c r="ES209" s="4"/>
      <c r="ET209" s="4"/>
      <c r="EU209" s="4"/>
      <c r="EV209" s="4"/>
      <c r="EW209" s="4"/>
      <c r="EX209" s="4"/>
      <c r="EY209" s="654"/>
      <c r="EZ209" s="655"/>
      <c r="FA209" s="4"/>
      <c r="FB209" s="4"/>
      <c r="FC209" s="4"/>
      <c r="FD209" s="4"/>
      <c r="FE209" s="4"/>
      <c r="FF209" s="4"/>
      <c r="FG209" s="4"/>
      <c r="FH209" s="4"/>
      <c r="FI209" s="4"/>
      <c r="FJ209" s="4"/>
      <c r="FK209" s="654"/>
      <c r="FL209" s="655"/>
      <c r="FM209" s="4"/>
      <c r="FN209" s="4"/>
      <c r="FO209" s="4"/>
      <c r="FP209" s="4"/>
      <c r="FQ209" s="4"/>
      <c r="FR209" s="4"/>
      <c r="FS209" s="4"/>
      <c r="FT209" s="4"/>
      <c r="FU209" s="4"/>
      <c r="FV209" s="4"/>
      <c r="FW209" s="654"/>
      <c r="FX209" s="655"/>
      <c r="FY209" s="4"/>
      <c r="FZ209" s="4"/>
      <c r="GA209" s="4"/>
      <c r="GB209" s="4"/>
      <c r="GC209" s="4"/>
      <c r="GD209" s="4"/>
      <c r="GE209" s="4"/>
      <c r="GF209" s="4"/>
      <c r="GG209" s="4"/>
      <c r="GH209" s="4"/>
      <c r="GI209" s="654"/>
      <c r="GJ209" s="655"/>
      <c r="GK209" s="4"/>
      <c r="GL209" s="4"/>
      <c r="GM209" s="4"/>
      <c r="GN209" s="4"/>
      <c r="GO209" s="4"/>
      <c r="GP209" s="4"/>
      <c r="GQ209" s="4"/>
      <c r="GR209" s="4"/>
      <c r="GS209" s="4"/>
      <c r="GT209" s="4"/>
      <c r="GU209" s="722"/>
      <c r="GV209" s="715"/>
    </row>
    <row r="210" spans="1:204" x14ac:dyDescent="0.25">
      <c r="A210" t="s">
        <v>1095</v>
      </c>
      <c r="B210" s="2" t="s">
        <v>358</v>
      </c>
      <c r="C210" s="619">
        <v>44585</v>
      </c>
      <c r="D210" s="2" t="s">
        <v>1086</v>
      </c>
      <c r="E210" t="s">
        <v>59</v>
      </c>
      <c r="F210" s="2" t="s">
        <v>43</v>
      </c>
      <c r="G210" t="s">
        <v>40</v>
      </c>
      <c r="H210" s="690" t="s">
        <v>85</v>
      </c>
      <c r="I210" s="691" t="s">
        <v>43</v>
      </c>
      <c r="J210" s="721">
        <v>3780401000108</v>
      </c>
      <c r="K210" s="691" t="s">
        <v>501</v>
      </c>
      <c r="L210" s="721">
        <v>15732189000184</v>
      </c>
      <c r="M210" s="718" t="s">
        <v>3</v>
      </c>
      <c r="N210" s="717" t="s">
        <v>44</v>
      </c>
      <c r="O210" s="719">
        <v>44593</v>
      </c>
      <c r="P210" s="720">
        <v>44620</v>
      </c>
      <c r="Q210" s="718">
        <v>71</v>
      </c>
      <c r="R210" s="717">
        <v>3</v>
      </c>
      <c r="S210" s="691" t="s">
        <v>54</v>
      </c>
      <c r="T210" t="s">
        <v>358</v>
      </c>
      <c r="U210" s="673" t="s">
        <v>358</v>
      </c>
      <c r="V210" s="690" t="s">
        <v>358</v>
      </c>
      <c r="W210" s="657" t="s">
        <v>214</v>
      </c>
      <c r="X210" s="723"/>
      <c r="Y210" s="4">
        <v>3</v>
      </c>
      <c r="Z210" s="4"/>
      <c r="AA210" s="4"/>
      <c r="AB210" s="4"/>
      <c r="AC210" s="4"/>
      <c r="AD210" s="4"/>
      <c r="AE210" s="4"/>
      <c r="AF210" s="4"/>
      <c r="AG210" s="4"/>
      <c r="AH210" s="4"/>
      <c r="AI210" s="654"/>
      <c r="AJ210" s="655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654"/>
      <c r="AV210" s="655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654"/>
      <c r="BH210" s="655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654"/>
      <c r="BT210" s="655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693"/>
      <c r="CF210" s="723"/>
      <c r="CG210" s="4">
        <v>71</v>
      </c>
      <c r="CH210" s="4"/>
      <c r="CI210" s="4"/>
      <c r="CJ210" s="4"/>
      <c r="CK210" s="4"/>
      <c r="CL210" s="4"/>
      <c r="CM210" s="4"/>
      <c r="CN210" s="4"/>
      <c r="CO210" s="4"/>
      <c r="CP210" s="4"/>
      <c r="CQ210" s="654"/>
      <c r="CR210" s="655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654"/>
      <c r="DD210" s="655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654"/>
      <c r="DP210" s="655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654"/>
      <c r="EB210" s="655"/>
      <c r="EC210" s="4"/>
      <c r="ED210" s="4"/>
      <c r="EE210" s="4"/>
      <c r="EF210" s="4"/>
      <c r="EG210" s="4"/>
      <c r="EH210" s="4"/>
      <c r="EI210" s="4"/>
      <c r="EJ210" s="4"/>
      <c r="EK210" s="4"/>
      <c r="EL210" s="4"/>
      <c r="EM210" s="693"/>
      <c r="EN210" s="723"/>
      <c r="EO210" s="4">
        <v>71</v>
      </c>
      <c r="EP210" s="4"/>
      <c r="EQ210" s="4"/>
      <c r="ER210" s="4"/>
      <c r="ES210" s="4"/>
      <c r="ET210" s="4"/>
      <c r="EU210" s="4"/>
      <c r="EV210" s="4"/>
      <c r="EW210" s="4"/>
      <c r="EX210" s="4"/>
      <c r="EY210" s="654"/>
      <c r="EZ210" s="655"/>
      <c r="FA210" s="4"/>
      <c r="FB210" s="4"/>
      <c r="FC210" s="4"/>
      <c r="FD210" s="4"/>
      <c r="FE210" s="4"/>
      <c r="FF210" s="4"/>
      <c r="FG210" s="4"/>
      <c r="FH210" s="4"/>
      <c r="FI210" s="4"/>
      <c r="FJ210" s="4"/>
      <c r="FK210" s="654"/>
      <c r="FL210" s="655"/>
      <c r="FM210" s="4"/>
      <c r="FN210" s="4"/>
      <c r="FO210" s="4"/>
      <c r="FP210" s="4"/>
      <c r="FQ210" s="4"/>
      <c r="FR210" s="4"/>
      <c r="FS210" s="4"/>
      <c r="FT210" s="4"/>
      <c r="FU210" s="4"/>
      <c r="FV210" s="4"/>
      <c r="FW210" s="654"/>
      <c r="FX210" s="655"/>
      <c r="FY210" s="4"/>
      <c r="FZ210" s="4"/>
      <c r="GA210" s="4"/>
      <c r="GB210" s="4"/>
      <c r="GC210" s="4"/>
      <c r="GD210" s="4"/>
      <c r="GE210" s="4"/>
      <c r="GF210" s="4"/>
      <c r="GG210" s="4"/>
      <c r="GH210" s="4"/>
      <c r="GI210" s="654"/>
      <c r="GJ210" s="655"/>
      <c r="GK210" s="4"/>
      <c r="GL210" s="4"/>
      <c r="GM210" s="4"/>
      <c r="GN210" s="4"/>
      <c r="GO210" s="4"/>
      <c r="GP210" s="4"/>
      <c r="GQ210" s="4"/>
      <c r="GR210" s="4"/>
      <c r="GS210" s="4"/>
      <c r="GT210" s="4"/>
      <c r="GU210" s="722"/>
      <c r="GV210" s="715"/>
    </row>
    <row r="211" spans="1:204" x14ac:dyDescent="0.25">
      <c r="A211" t="s">
        <v>1096</v>
      </c>
      <c r="B211" s="2" t="s">
        <v>358</v>
      </c>
      <c r="C211" s="619">
        <v>44585</v>
      </c>
      <c r="D211" s="2" t="s">
        <v>1087</v>
      </c>
      <c r="E211" t="s">
        <v>58</v>
      </c>
      <c r="F211" s="2" t="s">
        <v>43</v>
      </c>
      <c r="G211" t="s">
        <v>40</v>
      </c>
      <c r="H211" s="690" t="s">
        <v>84</v>
      </c>
      <c r="I211" s="691" t="s">
        <v>346</v>
      </c>
      <c r="J211" s="721" t="e">
        <v>#VALUE!</v>
      </c>
      <c r="K211" s="691" t="s">
        <v>43</v>
      </c>
      <c r="L211" s="721">
        <v>3780401000108</v>
      </c>
      <c r="M211" s="718" t="s">
        <v>3</v>
      </c>
      <c r="N211" s="717" t="s">
        <v>44</v>
      </c>
      <c r="O211" s="719">
        <v>44593</v>
      </c>
      <c r="P211" s="720">
        <v>44620</v>
      </c>
      <c r="Q211" s="718">
        <v>70</v>
      </c>
      <c r="R211" s="717">
        <v>2</v>
      </c>
      <c r="S211" s="691" t="s">
        <v>54</v>
      </c>
      <c r="T211" t="s">
        <v>358</v>
      </c>
      <c r="U211" s="673" t="s">
        <v>358</v>
      </c>
      <c r="V211" s="690" t="s">
        <v>358</v>
      </c>
      <c r="W211" s="657" t="s">
        <v>214</v>
      </c>
      <c r="X211" s="723"/>
      <c r="Y211" s="4">
        <v>2</v>
      </c>
      <c r="Z211" s="4"/>
      <c r="AA211" s="4"/>
      <c r="AB211" s="4"/>
      <c r="AC211" s="4"/>
      <c r="AD211" s="4"/>
      <c r="AE211" s="4"/>
      <c r="AF211" s="4"/>
      <c r="AG211" s="4"/>
      <c r="AH211" s="4"/>
      <c r="AI211" s="654"/>
      <c r="AJ211" s="655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654"/>
      <c r="AV211" s="655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654"/>
      <c r="BH211" s="655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654"/>
      <c r="BT211" s="655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693"/>
      <c r="CF211" s="723"/>
      <c r="CG211" s="4">
        <v>70</v>
      </c>
      <c r="CH211" s="4"/>
      <c r="CI211" s="4"/>
      <c r="CJ211" s="4"/>
      <c r="CK211" s="4"/>
      <c r="CL211" s="4"/>
      <c r="CM211" s="4"/>
      <c r="CN211" s="4"/>
      <c r="CO211" s="4"/>
      <c r="CP211" s="4"/>
      <c r="CQ211" s="654"/>
      <c r="CR211" s="655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654"/>
      <c r="DD211" s="655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654"/>
      <c r="DP211" s="655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654"/>
      <c r="EB211" s="655"/>
      <c r="EC211" s="4"/>
      <c r="ED211" s="4"/>
      <c r="EE211" s="4"/>
      <c r="EF211" s="4"/>
      <c r="EG211" s="4"/>
      <c r="EH211" s="4"/>
      <c r="EI211" s="4"/>
      <c r="EJ211" s="4"/>
      <c r="EK211" s="4"/>
      <c r="EL211" s="4"/>
      <c r="EM211" s="693"/>
      <c r="EN211" s="723"/>
      <c r="EO211" s="4">
        <v>70</v>
      </c>
      <c r="EP211" s="4"/>
      <c r="EQ211" s="4"/>
      <c r="ER211" s="4"/>
      <c r="ES211" s="4"/>
      <c r="ET211" s="4"/>
      <c r="EU211" s="4"/>
      <c r="EV211" s="4"/>
      <c r="EW211" s="4"/>
      <c r="EX211" s="4"/>
      <c r="EY211" s="654"/>
      <c r="EZ211" s="655"/>
      <c r="FA211" s="4"/>
      <c r="FB211" s="4"/>
      <c r="FC211" s="4"/>
      <c r="FD211" s="4"/>
      <c r="FE211" s="4"/>
      <c r="FF211" s="4"/>
      <c r="FG211" s="4"/>
      <c r="FH211" s="4"/>
      <c r="FI211" s="4"/>
      <c r="FJ211" s="4"/>
      <c r="FK211" s="654"/>
      <c r="FL211" s="655"/>
      <c r="FM211" s="4"/>
      <c r="FN211" s="4"/>
      <c r="FO211" s="4"/>
      <c r="FP211" s="4"/>
      <c r="FQ211" s="4"/>
      <c r="FR211" s="4"/>
      <c r="FS211" s="4"/>
      <c r="FT211" s="4"/>
      <c r="FU211" s="4"/>
      <c r="FV211" s="4"/>
      <c r="FW211" s="654"/>
      <c r="FX211" s="655"/>
      <c r="FY211" s="4"/>
      <c r="FZ211" s="4"/>
      <c r="GA211" s="4"/>
      <c r="GB211" s="4"/>
      <c r="GC211" s="4"/>
      <c r="GD211" s="4"/>
      <c r="GE211" s="4"/>
      <c r="GF211" s="4"/>
      <c r="GG211" s="4"/>
      <c r="GH211" s="4"/>
      <c r="GI211" s="654"/>
      <c r="GJ211" s="655"/>
      <c r="GK211" s="4"/>
      <c r="GL211" s="4"/>
      <c r="GM211" s="4"/>
      <c r="GN211" s="4"/>
      <c r="GO211" s="4"/>
      <c r="GP211" s="4"/>
      <c r="GQ211" s="4"/>
      <c r="GR211" s="4"/>
      <c r="GS211" s="4"/>
      <c r="GT211" s="4"/>
      <c r="GU211" s="722"/>
      <c r="GV211" s="715"/>
    </row>
    <row r="212" spans="1:204" x14ac:dyDescent="0.25">
      <c r="A212" t="s">
        <v>1105</v>
      </c>
      <c r="B212" s="2" t="s">
        <v>1104</v>
      </c>
      <c r="C212" s="619">
        <v>44587</v>
      </c>
      <c r="D212" s="2" t="s">
        <v>1097</v>
      </c>
      <c r="E212" t="s">
        <v>59</v>
      </c>
      <c r="F212" s="2" t="s">
        <v>43</v>
      </c>
      <c r="G212" t="s">
        <v>40</v>
      </c>
      <c r="H212" s="690" t="s">
        <v>85</v>
      </c>
      <c r="I212" s="691" t="s">
        <v>43</v>
      </c>
      <c r="J212" s="721">
        <v>3780401000108</v>
      </c>
      <c r="K212" s="691" t="s">
        <v>509</v>
      </c>
      <c r="L212" s="721">
        <v>9149503000360</v>
      </c>
      <c r="M212" s="718" t="s">
        <v>3</v>
      </c>
      <c r="N212" s="717" t="s">
        <v>44</v>
      </c>
      <c r="O212" s="719">
        <v>44682</v>
      </c>
      <c r="P212" s="720">
        <v>44712</v>
      </c>
      <c r="Q212" s="718">
        <v>112</v>
      </c>
      <c r="R212" s="717">
        <v>10</v>
      </c>
      <c r="S212" s="691" t="s">
        <v>54</v>
      </c>
      <c r="T212" t="s">
        <v>358</v>
      </c>
      <c r="U212" s="673" t="s">
        <v>358</v>
      </c>
      <c r="V212" s="690" t="s">
        <v>358</v>
      </c>
      <c r="W212" s="657" t="s">
        <v>329</v>
      </c>
      <c r="X212" s="723"/>
      <c r="Y212" s="4"/>
      <c r="Z212" s="4"/>
      <c r="AA212" s="4"/>
      <c r="AB212" s="4">
        <v>10</v>
      </c>
      <c r="AC212" s="4"/>
      <c r="AD212" s="4"/>
      <c r="AE212" s="4"/>
      <c r="AF212" s="4"/>
      <c r="AG212" s="4"/>
      <c r="AH212" s="4"/>
      <c r="AI212" s="654"/>
      <c r="AJ212" s="655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654"/>
      <c r="AV212" s="655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654"/>
      <c r="BH212" s="655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654"/>
      <c r="BT212" s="655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693"/>
      <c r="CF212" s="723"/>
      <c r="CG212" s="4"/>
      <c r="CH212" s="4"/>
      <c r="CI212" s="4"/>
      <c r="CJ212" s="4">
        <v>112</v>
      </c>
      <c r="CK212" s="4"/>
      <c r="CL212" s="4"/>
      <c r="CM212" s="4"/>
      <c r="CN212" s="4"/>
      <c r="CO212" s="4"/>
      <c r="CP212" s="4"/>
      <c r="CQ212" s="654"/>
      <c r="CR212" s="655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654"/>
      <c r="DD212" s="655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654"/>
      <c r="DP212" s="655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654"/>
      <c r="EB212" s="655"/>
      <c r="EC212" s="4"/>
      <c r="ED212" s="4"/>
      <c r="EE212" s="4"/>
      <c r="EF212" s="4"/>
      <c r="EG212" s="4"/>
      <c r="EH212" s="4"/>
      <c r="EI212" s="4"/>
      <c r="EJ212" s="4"/>
      <c r="EK212" s="4"/>
      <c r="EL212" s="4"/>
      <c r="EM212" s="693"/>
      <c r="EN212" s="723"/>
      <c r="EO212" s="4"/>
      <c r="EP212" s="4"/>
      <c r="EQ212" s="4"/>
      <c r="ER212" s="4">
        <v>112</v>
      </c>
      <c r="ES212" s="4"/>
      <c r="ET212" s="4"/>
      <c r="EU212" s="4"/>
      <c r="EV212" s="4"/>
      <c r="EW212" s="4"/>
      <c r="EX212" s="4"/>
      <c r="EY212" s="654"/>
      <c r="EZ212" s="655"/>
      <c r="FA212" s="4"/>
      <c r="FB212" s="4"/>
      <c r="FC212" s="4"/>
      <c r="FD212" s="4"/>
      <c r="FE212" s="4"/>
      <c r="FF212" s="4"/>
      <c r="FG212" s="4"/>
      <c r="FH212" s="4"/>
      <c r="FI212" s="4"/>
      <c r="FJ212" s="4"/>
      <c r="FK212" s="654"/>
      <c r="FL212" s="655"/>
      <c r="FM212" s="4"/>
      <c r="FN212" s="4"/>
      <c r="FO212" s="4"/>
      <c r="FP212" s="4"/>
      <c r="FQ212" s="4"/>
      <c r="FR212" s="4"/>
      <c r="FS212" s="4"/>
      <c r="FT212" s="4"/>
      <c r="FU212" s="4"/>
      <c r="FV212" s="4"/>
      <c r="FW212" s="654"/>
      <c r="FX212" s="655"/>
      <c r="FY212" s="4"/>
      <c r="FZ212" s="4"/>
      <c r="GA212" s="4"/>
      <c r="GB212" s="4"/>
      <c r="GC212" s="4"/>
      <c r="GD212" s="4"/>
      <c r="GE212" s="4"/>
      <c r="GF212" s="4"/>
      <c r="GG212" s="4"/>
      <c r="GH212" s="4"/>
      <c r="GI212" s="654"/>
      <c r="GJ212" s="655"/>
      <c r="GK212" s="4"/>
      <c r="GL212" s="4"/>
      <c r="GM212" s="4"/>
      <c r="GN212" s="4"/>
      <c r="GO212" s="4"/>
      <c r="GP212" s="4"/>
      <c r="GQ212" s="4"/>
      <c r="GR212" s="4"/>
      <c r="GS212" s="4"/>
      <c r="GT212" s="4"/>
      <c r="GU212" s="722"/>
      <c r="GV212" s="715"/>
    </row>
    <row r="213" spans="1:204" x14ac:dyDescent="0.25">
      <c r="A213" t="s">
        <v>1107</v>
      </c>
      <c r="B213" s="2" t="s">
        <v>1106</v>
      </c>
      <c r="C213" s="619">
        <v>44587</v>
      </c>
      <c r="D213" s="2" t="s">
        <v>1098</v>
      </c>
      <c r="E213" t="s">
        <v>59</v>
      </c>
      <c r="F213" s="2" t="s">
        <v>43</v>
      </c>
      <c r="G213" t="s">
        <v>40</v>
      </c>
      <c r="H213" s="690" t="s">
        <v>85</v>
      </c>
      <c r="I213" s="691" t="s">
        <v>43</v>
      </c>
      <c r="J213" s="721">
        <v>3780401000108</v>
      </c>
      <c r="K213" s="691" t="s">
        <v>348</v>
      </c>
      <c r="L213" s="721">
        <v>13777004000122</v>
      </c>
      <c r="M213" s="718" t="s">
        <v>3</v>
      </c>
      <c r="N213" s="717" t="s">
        <v>44</v>
      </c>
      <c r="O213" s="719">
        <v>44652</v>
      </c>
      <c r="P213" s="720">
        <v>44681</v>
      </c>
      <c r="Q213" s="718">
        <v>100</v>
      </c>
      <c r="R213" s="717">
        <v>5</v>
      </c>
      <c r="S213" s="691" t="s">
        <v>54</v>
      </c>
      <c r="T213" t="s">
        <v>358</v>
      </c>
      <c r="U213" s="673" t="s">
        <v>358</v>
      </c>
      <c r="V213" s="690" t="s">
        <v>358</v>
      </c>
      <c r="W213" s="657" t="s">
        <v>329</v>
      </c>
      <c r="X213" s="723"/>
      <c r="Y213" s="4"/>
      <c r="Z213" s="4"/>
      <c r="AA213" s="4">
        <v>5</v>
      </c>
      <c r="AB213" s="4"/>
      <c r="AC213" s="4"/>
      <c r="AD213" s="4"/>
      <c r="AE213" s="4"/>
      <c r="AF213" s="4"/>
      <c r="AG213" s="4"/>
      <c r="AH213" s="4"/>
      <c r="AI213" s="654"/>
      <c r="AJ213" s="655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654"/>
      <c r="AV213" s="655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654"/>
      <c r="BH213" s="655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654"/>
      <c r="BT213" s="655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693"/>
      <c r="CF213" s="723"/>
      <c r="CG213" s="4"/>
      <c r="CH213" s="4"/>
      <c r="CI213" s="4">
        <v>100</v>
      </c>
      <c r="CJ213" s="4"/>
      <c r="CK213" s="4"/>
      <c r="CL213" s="4"/>
      <c r="CM213" s="4"/>
      <c r="CN213" s="4"/>
      <c r="CO213" s="4"/>
      <c r="CP213" s="4"/>
      <c r="CQ213" s="654"/>
      <c r="CR213" s="655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654"/>
      <c r="DD213" s="655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654"/>
      <c r="DP213" s="655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654"/>
      <c r="EB213" s="655"/>
      <c r="EC213" s="4"/>
      <c r="ED213" s="4"/>
      <c r="EE213" s="4"/>
      <c r="EF213" s="4"/>
      <c r="EG213" s="4"/>
      <c r="EH213" s="4"/>
      <c r="EI213" s="4"/>
      <c r="EJ213" s="4"/>
      <c r="EK213" s="4"/>
      <c r="EL213" s="4"/>
      <c r="EM213" s="693"/>
      <c r="EN213" s="723"/>
      <c r="EO213" s="4"/>
      <c r="EP213" s="4"/>
      <c r="EQ213" s="4">
        <v>100</v>
      </c>
      <c r="ER213" s="4"/>
      <c r="ES213" s="4"/>
      <c r="ET213" s="4"/>
      <c r="EU213" s="4"/>
      <c r="EV213" s="4"/>
      <c r="EW213" s="4"/>
      <c r="EX213" s="4"/>
      <c r="EY213" s="654"/>
      <c r="EZ213" s="655"/>
      <c r="FA213" s="4"/>
      <c r="FB213" s="4"/>
      <c r="FC213" s="4"/>
      <c r="FD213" s="4"/>
      <c r="FE213" s="4"/>
      <c r="FF213" s="4"/>
      <c r="FG213" s="4"/>
      <c r="FH213" s="4"/>
      <c r="FI213" s="4"/>
      <c r="FJ213" s="4"/>
      <c r="FK213" s="654"/>
      <c r="FL213" s="655"/>
      <c r="FM213" s="4"/>
      <c r="FN213" s="4"/>
      <c r="FO213" s="4"/>
      <c r="FP213" s="4"/>
      <c r="FQ213" s="4"/>
      <c r="FR213" s="4"/>
      <c r="FS213" s="4"/>
      <c r="FT213" s="4"/>
      <c r="FU213" s="4"/>
      <c r="FV213" s="4"/>
      <c r="FW213" s="654"/>
      <c r="FX213" s="655"/>
      <c r="FY213" s="4"/>
      <c r="FZ213" s="4"/>
      <c r="GA213" s="4"/>
      <c r="GB213" s="4"/>
      <c r="GC213" s="4"/>
      <c r="GD213" s="4"/>
      <c r="GE213" s="4"/>
      <c r="GF213" s="4"/>
      <c r="GG213" s="4"/>
      <c r="GH213" s="4"/>
      <c r="GI213" s="654"/>
      <c r="GJ213" s="655"/>
      <c r="GK213" s="4"/>
      <c r="GL213" s="4"/>
      <c r="GM213" s="4"/>
      <c r="GN213" s="4"/>
      <c r="GO213" s="4"/>
      <c r="GP213" s="4"/>
      <c r="GQ213" s="4"/>
      <c r="GR213" s="4"/>
      <c r="GS213" s="4"/>
      <c r="GT213" s="4"/>
      <c r="GU213" s="722"/>
      <c r="GV213" s="715"/>
    </row>
    <row r="214" spans="1:204" x14ac:dyDescent="0.25">
      <c r="A214" t="s">
        <v>1109</v>
      </c>
      <c r="B214" s="2" t="s">
        <v>1108</v>
      </c>
      <c r="C214" s="619">
        <v>44587</v>
      </c>
      <c r="D214" s="2" t="s">
        <v>1099</v>
      </c>
      <c r="E214" t="s">
        <v>59</v>
      </c>
      <c r="F214" s="2" t="s">
        <v>43</v>
      </c>
      <c r="G214" t="s">
        <v>40</v>
      </c>
      <c r="H214" s="690" t="s">
        <v>85</v>
      </c>
      <c r="I214" s="691" t="s">
        <v>43</v>
      </c>
      <c r="J214" s="721">
        <v>3780401000108</v>
      </c>
      <c r="K214" s="691" t="s">
        <v>506</v>
      </c>
      <c r="L214" s="721">
        <v>33652516000170</v>
      </c>
      <c r="M214" s="718" t="s">
        <v>3</v>
      </c>
      <c r="N214" s="717" t="s">
        <v>44</v>
      </c>
      <c r="O214" s="719">
        <v>44593</v>
      </c>
      <c r="P214" s="720">
        <v>44620</v>
      </c>
      <c r="Q214" s="718">
        <v>71</v>
      </c>
      <c r="R214" s="717">
        <v>10</v>
      </c>
      <c r="S214" s="691" t="s">
        <v>54</v>
      </c>
      <c r="T214" t="s">
        <v>358</v>
      </c>
      <c r="U214" s="673" t="s">
        <v>358</v>
      </c>
      <c r="V214" s="690" t="s">
        <v>358</v>
      </c>
      <c r="W214" s="657" t="s">
        <v>329</v>
      </c>
      <c r="X214" s="723"/>
      <c r="Y214" s="4">
        <v>10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654"/>
      <c r="AJ214" s="655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654"/>
      <c r="AV214" s="655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654"/>
      <c r="BH214" s="655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654"/>
      <c r="BT214" s="655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693"/>
      <c r="CF214" s="723"/>
      <c r="CG214" s="4">
        <v>71</v>
      </c>
      <c r="CH214" s="4"/>
      <c r="CI214" s="4"/>
      <c r="CJ214" s="4"/>
      <c r="CK214" s="4"/>
      <c r="CL214" s="4"/>
      <c r="CM214" s="4"/>
      <c r="CN214" s="4"/>
      <c r="CO214" s="4"/>
      <c r="CP214" s="4"/>
      <c r="CQ214" s="654"/>
      <c r="CR214" s="655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654"/>
      <c r="DD214" s="655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654"/>
      <c r="DP214" s="655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654"/>
      <c r="EB214" s="655"/>
      <c r="EC214" s="4"/>
      <c r="ED214" s="4"/>
      <c r="EE214" s="4"/>
      <c r="EF214" s="4"/>
      <c r="EG214" s="4"/>
      <c r="EH214" s="4"/>
      <c r="EI214" s="4"/>
      <c r="EJ214" s="4"/>
      <c r="EK214" s="4"/>
      <c r="EL214" s="4"/>
      <c r="EM214" s="693"/>
      <c r="EN214" s="723"/>
      <c r="EO214" s="4">
        <v>71</v>
      </c>
      <c r="EP214" s="4"/>
      <c r="EQ214" s="4"/>
      <c r="ER214" s="4"/>
      <c r="ES214" s="4"/>
      <c r="ET214" s="4"/>
      <c r="EU214" s="4"/>
      <c r="EV214" s="4"/>
      <c r="EW214" s="4"/>
      <c r="EX214" s="4"/>
      <c r="EY214" s="654"/>
      <c r="EZ214" s="655"/>
      <c r="FA214" s="4"/>
      <c r="FB214" s="4"/>
      <c r="FC214" s="4"/>
      <c r="FD214" s="4"/>
      <c r="FE214" s="4"/>
      <c r="FF214" s="4"/>
      <c r="FG214" s="4"/>
      <c r="FH214" s="4"/>
      <c r="FI214" s="4"/>
      <c r="FJ214" s="4"/>
      <c r="FK214" s="654"/>
      <c r="FL214" s="655"/>
      <c r="FM214" s="4"/>
      <c r="FN214" s="4"/>
      <c r="FO214" s="4"/>
      <c r="FP214" s="4"/>
      <c r="FQ214" s="4"/>
      <c r="FR214" s="4"/>
      <c r="FS214" s="4"/>
      <c r="FT214" s="4"/>
      <c r="FU214" s="4"/>
      <c r="FV214" s="4"/>
      <c r="FW214" s="654"/>
      <c r="FX214" s="655"/>
      <c r="FY214" s="4"/>
      <c r="FZ214" s="4"/>
      <c r="GA214" s="4"/>
      <c r="GB214" s="4"/>
      <c r="GC214" s="4"/>
      <c r="GD214" s="4"/>
      <c r="GE214" s="4"/>
      <c r="GF214" s="4"/>
      <c r="GG214" s="4"/>
      <c r="GH214" s="4"/>
      <c r="GI214" s="654"/>
      <c r="GJ214" s="655"/>
      <c r="GK214" s="4"/>
      <c r="GL214" s="4"/>
      <c r="GM214" s="4"/>
      <c r="GN214" s="4"/>
      <c r="GO214" s="4"/>
      <c r="GP214" s="4"/>
      <c r="GQ214" s="4"/>
      <c r="GR214" s="4"/>
      <c r="GS214" s="4"/>
      <c r="GT214" s="4"/>
      <c r="GU214" s="722"/>
      <c r="GV214" s="715"/>
    </row>
    <row r="215" spans="1:204" x14ac:dyDescent="0.25">
      <c r="A215" t="s">
        <v>1111</v>
      </c>
      <c r="B215" s="2" t="s">
        <v>1110</v>
      </c>
      <c r="C215" s="619">
        <v>44587</v>
      </c>
      <c r="D215" s="2" t="s">
        <v>1100</v>
      </c>
      <c r="E215" t="s">
        <v>59</v>
      </c>
      <c r="F215" s="2" t="s">
        <v>43</v>
      </c>
      <c r="G215" t="s">
        <v>40</v>
      </c>
      <c r="H215" s="690" t="s">
        <v>85</v>
      </c>
      <c r="I215" s="691" t="s">
        <v>43</v>
      </c>
      <c r="J215" s="721">
        <v>3780401000108</v>
      </c>
      <c r="K215" s="691" t="s">
        <v>355</v>
      </c>
      <c r="L215" s="721">
        <v>7685694000510</v>
      </c>
      <c r="M215" s="718" t="s">
        <v>3</v>
      </c>
      <c r="N215" s="717" t="s">
        <v>44</v>
      </c>
      <c r="O215" s="719">
        <v>44593</v>
      </c>
      <c r="P215" s="720">
        <v>44620</v>
      </c>
      <c r="Q215" s="718">
        <v>70</v>
      </c>
      <c r="R215" s="717">
        <v>1</v>
      </c>
      <c r="S215" s="691" t="s">
        <v>54</v>
      </c>
      <c r="T215" t="s">
        <v>358</v>
      </c>
      <c r="U215" s="673" t="s">
        <v>358</v>
      </c>
      <c r="V215" s="690" t="s">
        <v>358</v>
      </c>
      <c r="W215" s="657" t="s">
        <v>329</v>
      </c>
      <c r="X215" s="723"/>
      <c r="Y215" s="4">
        <v>1</v>
      </c>
      <c r="Z215" s="4"/>
      <c r="AA215" s="4"/>
      <c r="AB215" s="4"/>
      <c r="AC215" s="4"/>
      <c r="AD215" s="4"/>
      <c r="AE215" s="4"/>
      <c r="AF215" s="4"/>
      <c r="AG215" s="4"/>
      <c r="AH215" s="4"/>
      <c r="AI215" s="654"/>
      <c r="AJ215" s="655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654"/>
      <c r="AV215" s="655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654"/>
      <c r="BH215" s="655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654"/>
      <c r="BT215" s="655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693"/>
      <c r="CF215" s="723"/>
      <c r="CG215" s="4">
        <v>70</v>
      </c>
      <c r="CH215" s="4"/>
      <c r="CI215" s="4"/>
      <c r="CJ215" s="4"/>
      <c r="CK215" s="4"/>
      <c r="CL215" s="4"/>
      <c r="CM215" s="4"/>
      <c r="CN215" s="4"/>
      <c r="CO215" s="4"/>
      <c r="CP215" s="4"/>
      <c r="CQ215" s="654"/>
      <c r="CR215" s="655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654"/>
      <c r="DD215" s="655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654"/>
      <c r="DP215" s="655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654"/>
      <c r="EB215" s="655"/>
      <c r="EC215" s="4"/>
      <c r="ED215" s="4"/>
      <c r="EE215" s="4"/>
      <c r="EF215" s="4"/>
      <c r="EG215" s="4"/>
      <c r="EH215" s="4"/>
      <c r="EI215" s="4"/>
      <c r="EJ215" s="4"/>
      <c r="EK215" s="4"/>
      <c r="EL215" s="4"/>
      <c r="EM215" s="693"/>
      <c r="EN215" s="723"/>
      <c r="EO215" s="4">
        <v>70</v>
      </c>
      <c r="EP215" s="4"/>
      <c r="EQ215" s="4"/>
      <c r="ER215" s="4"/>
      <c r="ES215" s="4"/>
      <c r="ET215" s="4"/>
      <c r="EU215" s="4"/>
      <c r="EV215" s="4"/>
      <c r="EW215" s="4"/>
      <c r="EX215" s="4"/>
      <c r="EY215" s="654"/>
      <c r="EZ215" s="655"/>
      <c r="FA215" s="4"/>
      <c r="FB215" s="4"/>
      <c r="FC215" s="4"/>
      <c r="FD215" s="4"/>
      <c r="FE215" s="4"/>
      <c r="FF215" s="4"/>
      <c r="FG215" s="4"/>
      <c r="FH215" s="4"/>
      <c r="FI215" s="4"/>
      <c r="FJ215" s="4"/>
      <c r="FK215" s="654"/>
      <c r="FL215" s="655"/>
      <c r="FM215" s="4"/>
      <c r="FN215" s="4"/>
      <c r="FO215" s="4"/>
      <c r="FP215" s="4"/>
      <c r="FQ215" s="4"/>
      <c r="FR215" s="4"/>
      <c r="FS215" s="4"/>
      <c r="FT215" s="4"/>
      <c r="FU215" s="4"/>
      <c r="FV215" s="4"/>
      <c r="FW215" s="654"/>
      <c r="FX215" s="655"/>
      <c r="FY215" s="4"/>
      <c r="FZ215" s="4"/>
      <c r="GA215" s="4"/>
      <c r="GB215" s="4"/>
      <c r="GC215" s="4"/>
      <c r="GD215" s="4"/>
      <c r="GE215" s="4"/>
      <c r="GF215" s="4"/>
      <c r="GG215" s="4"/>
      <c r="GH215" s="4"/>
      <c r="GI215" s="654"/>
      <c r="GJ215" s="655"/>
      <c r="GK215" s="4"/>
      <c r="GL215" s="4"/>
      <c r="GM215" s="4"/>
      <c r="GN215" s="4"/>
      <c r="GO215" s="4"/>
      <c r="GP215" s="4"/>
      <c r="GQ215" s="4"/>
      <c r="GR215" s="4"/>
      <c r="GS215" s="4"/>
      <c r="GT215" s="4"/>
      <c r="GU215" s="722"/>
      <c r="GV215" s="715"/>
    </row>
    <row r="216" spans="1:204" x14ac:dyDescent="0.25">
      <c r="A216" t="s">
        <v>1113</v>
      </c>
      <c r="B216" s="2" t="s">
        <v>1112</v>
      </c>
      <c r="C216" s="619">
        <v>44587</v>
      </c>
      <c r="D216" s="2" t="s">
        <v>1101</v>
      </c>
      <c r="E216" t="s">
        <v>59</v>
      </c>
      <c r="F216" s="2" t="s">
        <v>43</v>
      </c>
      <c r="G216" t="s">
        <v>40</v>
      </c>
      <c r="H216" s="690" t="s">
        <v>85</v>
      </c>
      <c r="I216" s="691" t="s">
        <v>43</v>
      </c>
      <c r="J216" s="721">
        <v>3780401000108</v>
      </c>
      <c r="K216" s="691" t="s">
        <v>1103</v>
      </c>
      <c r="L216" s="721">
        <v>32168500000123</v>
      </c>
      <c r="M216" s="718" t="s">
        <v>3</v>
      </c>
      <c r="N216" s="717" t="s">
        <v>44</v>
      </c>
      <c r="O216" s="719">
        <v>44593</v>
      </c>
      <c r="P216" s="720">
        <v>44620</v>
      </c>
      <c r="Q216" s="718">
        <v>71</v>
      </c>
      <c r="R216" s="717">
        <v>2</v>
      </c>
      <c r="S216" s="691" t="s">
        <v>54</v>
      </c>
      <c r="T216" t="s">
        <v>358</v>
      </c>
      <c r="U216" s="673" t="s">
        <v>358</v>
      </c>
      <c r="V216" s="690" t="s">
        <v>358</v>
      </c>
      <c r="W216" s="657" t="s">
        <v>329</v>
      </c>
      <c r="X216" s="723"/>
      <c r="Y216" s="4">
        <v>2</v>
      </c>
      <c r="Z216" s="4"/>
      <c r="AA216" s="4"/>
      <c r="AB216" s="4"/>
      <c r="AC216" s="4"/>
      <c r="AD216" s="4"/>
      <c r="AE216" s="4"/>
      <c r="AF216" s="4"/>
      <c r="AG216" s="4"/>
      <c r="AH216" s="4"/>
      <c r="AI216" s="654"/>
      <c r="AJ216" s="655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654"/>
      <c r="AV216" s="655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654"/>
      <c r="BH216" s="655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654"/>
      <c r="BT216" s="655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693"/>
      <c r="CF216" s="723"/>
      <c r="CG216" s="4">
        <v>71</v>
      </c>
      <c r="CH216" s="4"/>
      <c r="CI216" s="4"/>
      <c r="CJ216" s="4"/>
      <c r="CK216" s="4"/>
      <c r="CL216" s="4"/>
      <c r="CM216" s="4"/>
      <c r="CN216" s="4"/>
      <c r="CO216" s="4"/>
      <c r="CP216" s="4"/>
      <c r="CQ216" s="654"/>
      <c r="CR216" s="655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654"/>
      <c r="DD216" s="655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654"/>
      <c r="DP216" s="655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654"/>
      <c r="EB216" s="655"/>
      <c r="EC216" s="4"/>
      <c r="ED216" s="4"/>
      <c r="EE216" s="4"/>
      <c r="EF216" s="4"/>
      <c r="EG216" s="4"/>
      <c r="EH216" s="4"/>
      <c r="EI216" s="4"/>
      <c r="EJ216" s="4"/>
      <c r="EK216" s="4"/>
      <c r="EL216" s="4"/>
      <c r="EM216" s="693"/>
      <c r="EN216" s="723"/>
      <c r="EO216" s="4">
        <v>71</v>
      </c>
      <c r="EP216" s="4"/>
      <c r="EQ216" s="4"/>
      <c r="ER216" s="4"/>
      <c r="ES216" s="4"/>
      <c r="ET216" s="4"/>
      <c r="EU216" s="4"/>
      <c r="EV216" s="4"/>
      <c r="EW216" s="4"/>
      <c r="EX216" s="4"/>
      <c r="EY216" s="654"/>
      <c r="EZ216" s="655"/>
      <c r="FA216" s="4"/>
      <c r="FB216" s="4"/>
      <c r="FC216" s="4"/>
      <c r="FD216" s="4"/>
      <c r="FE216" s="4"/>
      <c r="FF216" s="4"/>
      <c r="FG216" s="4"/>
      <c r="FH216" s="4"/>
      <c r="FI216" s="4"/>
      <c r="FJ216" s="4"/>
      <c r="FK216" s="654"/>
      <c r="FL216" s="655"/>
      <c r="FM216" s="4"/>
      <c r="FN216" s="4"/>
      <c r="FO216" s="4"/>
      <c r="FP216" s="4"/>
      <c r="FQ216" s="4"/>
      <c r="FR216" s="4"/>
      <c r="FS216" s="4"/>
      <c r="FT216" s="4"/>
      <c r="FU216" s="4"/>
      <c r="FV216" s="4"/>
      <c r="FW216" s="654"/>
      <c r="FX216" s="655"/>
      <c r="FY216" s="4"/>
      <c r="FZ216" s="4"/>
      <c r="GA216" s="4"/>
      <c r="GB216" s="4"/>
      <c r="GC216" s="4"/>
      <c r="GD216" s="4"/>
      <c r="GE216" s="4"/>
      <c r="GF216" s="4"/>
      <c r="GG216" s="4"/>
      <c r="GH216" s="4"/>
      <c r="GI216" s="654"/>
      <c r="GJ216" s="655"/>
      <c r="GK216" s="4"/>
      <c r="GL216" s="4"/>
      <c r="GM216" s="4"/>
      <c r="GN216" s="4"/>
      <c r="GO216" s="4"/>
      <c r="GP216" s="4"/>
      <c r="GQ216" s="4"/>
      <c r="GR216" s="4"/>
      <c r="GS216" s="4"/>
      <c r="GT216" s="4"/>
      <c r="GU216" s="722"/>
      <c r="GV216" s="715"/>
    </row>
    <row r="217" spans="1:204" x14ac:dyDescent="0.25">
      <c r="A217" t="s">
        <v>1115</v>
      </c>
      <c r="B217" s="2" t="s">
        <v>1114</v>
      </c>
      <c r="C217" s="619">
        <v>44587</v>
      </c>
      <c r="D217" s="2" t="s">
        <v>1102</v>
      </c>
      <c r="E217" t="s">
        <v>59</v>
      </c>
      <c r="F217" s="2" t="s">
        <v>43</v>
      </c>
      <c r="G217" t="s">
        <v>40</v>
      </c>
      <c r="H217" s="690" t="s">
        <v>85</v>
      </c>
      <c r="I217" s="691" t="s">
        <v>43</v>
      </c>
      <c r="J217" s="721">
        <v>3780401000108</v>
      </c>
      <c r="K217" s="691" t="s">
        <v>967</v>
      </c>
      <c r="L217" s="721">
        <v>3984862000194</v>
      </c>
      <c r="M217" s="718" t="s">
        <v>3</v>
      </c>
      <c r="N217" s="717" t="s">
        <v>44</v>
      </c>
      <c r="O217" s="719">
        <v>44593</v>
      </c>
      <c r="P217" s="720">
        <v>44620</v>
      </c>
      <c r="Q217" s="718">
        <v>70</v>
      </c>
      <c r="R217" s="717">
        <v>5</v>
      </c>
      <c r="S217" s="691" t="s">
        <v>54</v>
      </c>
      <c r="T217" t="s">
        <v>358</v>
      </c>
      <c r="U217" s="673" t="s">
        <v>358</v>
      </c>
      <c r="V217" s="690" t="s">
        <v>358</v>
      </c>
      <c r="W217" s="657" t="s">
        <v>329</v>
      </c>
      <c r="X217" s="723"/>
      <c r="Y217" s="4">
        <v>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654"/>
      <c r="AJ217" s="655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654"/>
      <c r="AV217" s="655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654"/>
      <c r="BH217" s="655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654"/>
      <c r="BT217" s="655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693"/>
      <c r="CF217" s="723"/>
      <c r="CG217" s="4">
        <v>70</v>
      </c>
      <c r="CH217" s="4"/>
      <c r="CI217" s="4"/>
      <c r="CJ217" s="4"/>
      <c r="CK217" s="4"/>
      <c r="CL217" s="4"/>
      <c r="CM217" s="4"/>
      <c r="CN217" s="4"/>
      <c r="CO217" s="4"/>
      <c r="CP217" s="4"/>
      <c r="CQ217" s="654"/>
      <c r="CR217" s="655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654"/>
      <c r="DD217" s="655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654"/>
      <c r="DP217" s="655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654"/>
      <c r="EB217" s="655"/>
      <c r="EC217" s="4"/>
      <c r="ED217" s="4"/>
      <c r="EE217" s="4"/>
      <c r="EF217" s="4"/>
      <c r="EG217" s="4"/>
      <c r="EH217" s="4"/>
      <c r="EI217" s="4"/>
      <c r="EJ217" s="4"/>
      <c r="EK217" s="4"/>
      <c r="EL217" s="4"/>
      <c r="EM217" s="693"/>
      <c r="EN217" s="723"/>
      <c r="EO217" s="4">
        <v>70</v>
      </c>
      <c r="EP217" s="4"/>
      <c r="EQ217" s="4"/>
      <c r="ER217" s="4"/>
      <c r="ES217" s="4"/>
      <c r="ET217" s="4"/>
      <c r="EU217" s="4"/>
      <c r="EV217" s="4"/>
      <c r="EW217" s="4"/>
      <c r="EX217" s="4"/>
      <c r="EY217" s="654"/>
      <c r="EZ217" s="655"/>
      <c r="FA217" s="4"/>
      <c r="FB217" s="4"/>
      <c r="FC217" s="4"/>
      <c r="FD217" s="4"/>
      <c r="FE217" s="4"/>
      <c r="FF217" s="4"/>
      <c r="FG217" s="4"/>
      <c r="FH217" s="4"/>
      <c r="FI217" s="4"/>
      <c r="FJ217" s="4"/>
      <c r="FK217" s="654"/>
      <c r="FL217" s="655"/>
      <c r="FM217" s="4"/>
      <c r="FN217" s="4"/>
      <c r="FO217" s="4"/>
      <c r="FP217" s="4"/>
      <c r="FQ217" s="4"/>
      <c r="FR217" s="4"/>
      <c r="FS217" s="4"/>
      <c r="FT217" s="4"/>
      <c r="FU217" s="4"/>
      <c r="FV217" s="4"/>
      <c r="FW217" s="654"/>
      <c r="FX217" s="655"/>
      <c r="FY217" s="4"/>
      <c r="FZ217" s="4"/>
      <c r="GA217" s="4"/>
      <c r="GB217" s="4"/>
      <c r="GC217" s="4"/>
      <c r="GD217" s="4"/>
      <c r="GE217" s="4"/>
      <c r="GF217" s="4"/>
      <c r="GG217" s="4"/>
      <c r="GH217" s="4"/>
      <c r="GI217" s="654"/>
      <c r="GJ217" s="655"/>
      <c r="GK217" s="4"/>
      <c r="GL217" s="4"/>
      <c r="GM217" s="4"/>
      <c r="GN217" s="4"/>
      <c r="GO217" s="4"/>
      <c r="GP217" s="4"/>
      <c r="GQ217" s="4"/>
      <c r="GR217" s="4"/>
      <c r="GS217" s="4"/>
      <c r="GT217" s="4"/>
      <c r="GU217" s="722"/>
      <c r="GV217" s="715"/>
    </row>
    <row r="218" spans="1:204" x14ac:dyDescent="0.25">
      <c r="A218" t="s">
        <v>1118</v>
      </c>
      <c r="B218" s="2" t="s">
        <v>358</v>
      </c>
      <c r="C218" s="619">
        <v>44588</v>
      </c>
      <c r="D218" s="2" t="s">
        <v>1116</v>
      </c>
      <c r="E218" t="s">
        <v>59</v>
      </c>
      <c r="F218" s="2" t="s">
        <v>43</v>
      </c>
      <c r="G218" t="s">
        <v>40</v>
      </c>
      <c r="H218" s="690" t="s">
        <v>85</v>
      </c>
      <c r="I218" s="691" t="s">
        <v>43</v>
      </c>
      <c r="J218" s="721">
        <v>3780401000108</v>
      </c>
      <c r="K218" s="691" t="s">
        <v>1103</v>
      </c>
      <c r="L218" s="721">
        <v>32168500000123</v>
      </c>
      <c r="M218" s="718" t="s">
        <v>3</v>
      </c>
      <c r="N218" s="717" t="s">
        <v>44</v>
      </c>
      <c r="O218" s="719">
        <v>44621</v>
      </c>
      <c r="P218" s="720">
        <v>44651</v>
      </c>
      <c r="Q218" s="718">
        <v>92</v>
      </c>
      <c r="R218" s="717">
        <v>2</v>
      </c>
      <c r="S218" s="691" t="s">
        <v>54</v>
      </c>
      <c r="T218" t="s">
        <v>358</v>
      </c>
      <c r="U218" s="673" t="s">
        <v>358</v>
      </c>
      <c r="V218" s="690" t="s">
        <v>358</v>
      </c>
      <c r="W218" s="657" t="s">
        <v>214</v>
      </c>
      <c r="X218" s="723"/>
      <c r="Y218" s="4"/>
      <c r="Z218" s="4">
        <v>2</v>
      </c>
      <c r="AA218" s="4"/>
      <c r="AB218" s="4"/>
      <c r="AC218" s="4"/>
      <c r="AD218" s="4"/>
      <c r="AE218" s="4"/>
      <c r="AF218" s="4"/>
      <c r="AG218" s="4"/>
      <c r="AH218" s="4"/>
      <c r="AI218" s="654"/>
      <c r="AJ218" s="655"/>
      <c r="AK218" s="4"/>
      <c r="AL218" s="4"/>
      <c r="AM218" s="4"/>
      <c r="AN218" s="4"/>
      <c r="AO218" s="4"/>
      <c r="AP218" s="4"/>
      <c r="AQ218" s="4"/>
      <c r="AR218" s="4"/>
      <c r="AS218" s="4"/>
      <c r="AT218" s="4"/>
      <c r="AU218" s="654"/>
      <c r="AV218" s="655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654"/>
      <c r="BH218" s="655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654"/>
      <c r="BT218" s="655"/>
      <c r="BU218" s="4"/>
      <c r="BV218" s="4"/>
      <c r="BW218" s="4"/>
      <c r="BX218" s="4"/>
      <c r="BY218" s="4"/>
      <c r="BZ218" s="4"/>
      <c r="CA218" s="4"/>
      <c r="CB218" s="4"/>
      <c r="CC218" s="4"/>
      <c r="CD218" s="4"/>
      <c r="CE218" s="693"/>
      <c r="CF218" s="723"/>
      <c r="CG218" s="4"/>
      <c r="CH218" s="4">
        <v>92</v>
      </c>
      <c r="CI218" s="4"/>
      <c r="CJ218" s="4"/>
      <c r="CK218" s="4"/>
      <c r="CL218" s="4"/>
      <c r="CM218" s="4"/>
      <c r="CN218" s="4"/>
      <c r="CO218" s="4"/>
      <c r="CP218" s="4"/>
      <c r="CQ218" s="654"/>
      <c r="CR218" s="655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654"/>
      <c r="DD218" s="655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654"/>
      <c r="DP218" s="655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654"/>
      <c r="EB218" s="655"/>
      <c r="EC218" s="4"/>
      <c r="ED218" s="4"/>
      <c r="EE218" s="4"/>
      <c r="EF218" s="4"/>
      <c r="EG218" s="4"/>
      <c r="EH218" s="4"/>
      <c r="EI218" s="4"/>
      <c r="EJ218" s="4"/>
      <c r="EK218" s="4"/>
      <c r="EL218" s="4"/>
      <c r="EM218" s="693"/>
      <c r="EN218" s="723"/>
      <c r="EO218" s="4"/>
      <c r="EP218" s="4">
        <v>92</v>
      </c>
      <c r="EQ218" s="4"/>
      <c r="ER218" s="4"/>
      <c r="ES218" s="4"/>
      <c r="ET218" s="4"/>
      <c r="EU218" s="4"/>
      <c r="EV218" s="4"/>
      <c r="EW218" s="4"/>
      <c r="EX218" s="4"/>
      <c r="EY218" s="654"/>
      <c r="EZ218" s="655"/>
      <c r="FA218" s="4"/>
      <c r="FB218" s="4"/>
      <c r="FC218" s="4"/>
      <c r="FD218" s="4"/>
      <c r="FE218" s="4"/>
      <c r="FF218" s="4"/>
      <c r="FG218" s="4"/>
      <c r="FH218" s="4"/>
      <c r="FI218" s="4"/>
      <c r="FJ218" s="4"/>
      <c r="FK218" s="654"/>
      <c r="FL218" s="655"/>
      <c r="FM218" s="4"/>
      <c r="FN218" s="4"/>
      <c r="FO218" s="4"/>
      <c r="FP218" s="4"/>
      <c r="FQ218" s="4"/>
      <c r="FR218" s="4"/>
      <c r="FS218" s="4"/>
      <c r="FT218" s="4"/>
      <c r="FU218" s="4"/>
      <c r="FV218" s="4"/>
      <c r="FW218" s="654"/>
      <c r="FX218" s="655"/>
      <c r="FY218" s="4"/>
      <c r="FZ218" s="4"/>
      <c r="GA218" s="4"/>
      <c r="GB218" s="4"/>
      <c r="GC218" s="4"/>
      <c r="GD218" s="4"/>
      <c r="GE218" s="4"/>
      <c r="GF218" s="4"/>
      <c r="GG218" s="4"/>
      <c r="GH218" s="4"/>
      <c r="GI218" s="654"/>
      <c r="GJ218" s="655"/>
      <c r="GK218" s="4"/>
      <c r="GL218" s="4"/>
      <c r="GM218" s="4"/>
      <c r="GN218" s="4"/>
      <c r="GO218" s="4"/>
      <c r="GP218" s="4"/>
      <c r="GQ218" s="4"/>
      <c r="GR218" s="4"/>
      <c r="GS218" s="4"/>
      <c r="GT218" s="4"/>
      <c r="GU218" s="722"/>
      <c r="GV218" s="715"/>
    </row>
    <row r="219" spans="1:204" x14ac:dyDescent="0.25">
      <c r="A219" t="s">
        <v>1120</v>
      </c>
      <c r="B219" s="2" t="s">
        <v>1119</v>
      </c>
      <c r="C219" s="619">
        <v>44588</v>
      </c>
      <c r="D219" s="2" t="s">
        <v>1117</v>
      </c>
      <c r="E219" t="s">
        <v>59</v>
      </c>
      <c r="F219" s="2" t="s">
        <v>43</v>
      </c>
      <c r="G219" t="s">
        <v>40</v>
      </c>
      <c r="H219" s="690" t="s">
        <v>85</v>
      </c>
      <c r="I219" s="691" t="s">
        <v>43</v>
      </c>
      <c r="J219" s="721">
        <v>3780401000108</v>
      </c>
      <c r="K219" s="691" t="s">
        <v>348</v>
      </c>
      <c r="L219" s="721">
        <v>13777004000122</v>
      </c>
      <c r="M219" s="718" t="s">
        <v>3</v>
      </c>
      <c r="N219" s="717" t="s">
        <v>44</v>
      </c>
      <c r="O219" s="719">
        <v>44652</v>
      </c>
      <c r="P219" s="720">
        <v>44681</v>
      </c>
      <c r="Q219" s="718">
        <v>100</v>
      </c>
      <c r="R219" s="717">
        <v>5</v>
      </c>
      <c r="S219" s="691" t="s">
        <v>54</v>
      </c>
      <c r="T219" t="s">
        <v>358</v>
      </c>
      <c r="U219" s="673" t="s">
        <v>358</v>
      </c>
      <c r="V219" s="690" t="s">
        <v>358</v>
      </c>
      <c r="W219" s="657" t="s">
        <v>329</v>
      </c>
      <c r="X219" s="723"/>
      <c r="Y219" s="4"/>
      <c r="Z219" s="4"/>
      <c r="AA219" s="4">
        <v>5</v>
      </c>
      <c r="AB219" s="4"/>
      <c r="AC219" s="4"/>
      <c r="AD219" s="4"/>
      <c r="AE219" s="4"/>
      <c r="AF219" s="4"/>
      <c r="AG219" s="4"/>
      <c r="AH219" s="4"/>
      <c r="AI219" s="654"/>
      <c r="AJ219" s="655"/>
      <c r="AK219" s="4"/>
      <c r="AL219" s="4"/>
      <c r="AM219" s="4"/>
      <c r="AN219" s="4"/>
      <c r="AO219" s="4"/>
      <c r="AP219" s="4"/>
      <c r="AQ219" s="4"/>
      <c r="AR219" s="4"/>
      <c r="AS219" s="4"/>
      <c r="AT219" s="4"/>
      <c r="AU219" s="654"/>
      <c r="AV219" s="655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654"/>
      <c r="BH219" s="655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654"/>
      <c r="BT219" s="655"/>
      <c r="BU219" s="4"/>
      <c r="BV219" s="4"/>
      <c r="BW219" s="4"/>
      <c r="BX219" s="4"/>
      <c r="BY219" s="4"/>
      <c r="BZ219" s="4"/>
      <c r="CA219" s="4"/>
      <c r="CB219" s="4"/>
      <c r="CC219" s="4"/>
      <c r="CD219" s="4"/>
      <c r="CE219" s="693"/>
      <c r="CF219" s="723"/>
      <c r="CG219" s="4"/>
      <c r="CH219" s="4"/>
      <c r="CI219" s="4">
        <v>100</v>
      </c>
      <c r="CJ219" s="4"/>
      <c r="CK219" s="4"/>
      <c r="CL219" s="4"/>
      <c r="CM219" s="4"/>
      <c r="CN219" s="4"/>
      <c r="CO219" s="4"/>
      <c r="CP219" s="4"/>
      <c r="CQ219" s="654"/>
      <c r="CR219" s="655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654"/>
      <c r="DD219" s="655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654"/>
      <c r="DP219" s="655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654"/>
      <c r="EB219" s="655"/>
      <c r="EC219" s="4"/>
      <c r="ED219" s="4"/>
      <c r="EE219" s="4"/>
      <c r="EF219" s="4"/>
      <c r="EG219" s="4"/>
      <c r="EH219" s="4"/>
      <c r="EI219" s="4"/>
      <c r="EJ219" s="4"/>
      <c r="EK219" s="4"/>
      <c r="EL219" s="4"/>
      <c r="EM219" s="693"/>
      <c r="EN219" s="723"/>
      <c r="EO219" s="4"/>
      <c r="EP219" s="4"/>
      <c r="EQ219" s="4">
        <v>100</v>
      </c>
      <c r="ER219" s="4"/>
      <c r="ES219" s="4"/>
      <c r="ET219" s="4"/>
      <c r="EU219" s="4"/>
      <c r="EV219" s="4"/>
      <c r="EW219" s="4"/>
      <c r="EX219" s="4"/>
      <c r="EY219" s="654"/>
      <c r="EZ219" s="655"/>
      <c r="FA219" s="4"/>
      <c r="FB219" s="4"/>
      <c r="FC219" s="4"/>
      <c r="FD219" s="4"/>
      <c r="FE219" s="4"/>
      <c r="FF219" s="4"/>
      <c r="FG219" s="4"/>
      <c r="FH219" s="4"/>
      <c r="FI219" s="4"/>
      <c r="FJ219" s="4"/>
      <c r="FK219" s="654"/>
      <c r="FL219" s="655"/>
      <c r="FM219" s="4"/>
      <c r="FN219" s="4"/>
      <c r="FO219" s="4"/>
      <c r="FP219" s="4"/>
      <c r="FQ219" s="4"/>
      <c r="FR219" s="4"/>
      <c r="FS219" s="4"/>
      <c r="FT219" s="4"/>
      <c r="FU219" s="4"/>
      <c r="FV219" s="4"/>
      <c r="FW219" s="654"/>
      <c r="FX219" s="655"/>
      <c r="FY219" s="4"/>
      <c r="FZ219" s="4"/>
      <c r="GA219" s="4"/>
      <c r="GB219" s="4"/>
      <c r="GC219" s="4"/>
      <c r="GD219" s="4"/>
      <c r="GE219" s="4"/>
      <c r="GF219" s="4"/>
      <c r="GG219" s="4"/>
      <c r="GH219" s="4"/>
      <c r="GI219" s="654"/>
      <c r="GJ219" s="655"/>
      <c r="GK219" s="4"/>
      <c r="GL219" s="4"/>
      <c r="GM219" s="4"/>
      <c r="GN219" s="4"/>
      <c r="GO219" s="4"/>
      <c r="GP219" s="4"/>
      <c r="GQ219" s="4"/>
      <c r="GR219" s="4"/>
      <c r="GS219" s="4"/>
      <c r="GT219" s="4"/>
      <c r="GU219" s="722"/>
      <c r="GV219" s="715"/>
    </row>
    <row r="220" spans="1:204" x14ac:dyDescent="0.25">
      <c r="A220" t="s">
        <v>1137</v>
      </c>
      <c r="B220" s="2" t="s">
        <v>1136</v>
      </c>
      <c r="C220" s="619">
        <v>44589</v>
      </c>
      <c r="D220" s="2" t="s">
        <v>1121</v>
      </c>
      <c r="E220" t="s">
        <v>59</v>
      </c>
      <c r="F220" s="2" t="s">
        <v>43</v>
      </c>
      <c r="G220" t="s">
        <v>40</v>
      </c>
      <c r="H220" s="690" t="s">
        <v>85</v>
      </c>
      <c r="I220" s="691" t="s">
        <v>43</v>
      </c>
      <c r="J220" s="721">
        <v>3780401000108</v>
      </c>
      <c r="K220" s="691" t="s">
        <v>1132</v>
      </c>
      <c r="L220" s="721">
        <v>26914969000161</v>
      </c>
      <c r="M220" s="718" t="s">
        <v>3</v>
      </c>
      <c r="N220" s="717" t="s">
        <v>44</v>
      </c>
      <c r="O220" s="719">
        <v>44682</v>
      </c>
      <c r="P220" s="720">
        <v>44712</v>
      </c>
      <c r="Q220" s="718">
        <v>110</v>
      </c>
      <c r="R220" s="717">
        <v>1</v>
      </c>
      <c r="S220" s="691" t="s">
        <v>54</v>
      </c>
      <c r="T220" t="s">
        <v>358</v>
      </c>
      <c r="U220" s="673" t="s">
        <v>358</v>
      </c>
      <c r="V220" s="690" t="s">
        <v>358</v>
      </c>
      <c r="W220" s="657" t="s">
        <v>329</v>
      </c>
      <c r="X220" s="723"/>
      <c r="Y220" s="4"/>
      <c r="Z220" s="4"/>
      <c r="AA220" s="4"/>
      <c r="AB220" s="4">
        <v>1</v>
      </c>
      <c r="AC220" s="4"/>
      <c r="AD220" s="4"/>
      <c r="AE220" s="4"/>
      <c r="AF220" s="4"/>
      <c r="AG220" s="4"/>
      <c r="AH220" s="4"/>
      <c r="AI220" s="654"/>
      <c r="AJ220" s="655"/>
      <c r="AK220" s="4"/>
      <c r="AL220" s="4"/>
      <c r="AM220" s="4"/>
      <c r="AN220" s="4"/>
      <c r="AO220" s="4"/>
      <c r="AP220" s="4"/>
      <c r="AQ220" s="4"/>
      <c r="AR220" s="4"/>
      <c r="AS220" s="4"/>
      <c r="AT220" s="4"/>
      <c r="AU220" s="654"/>
      <c r="AV220" s="655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654"/>
      <c r="BH220" s="655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654"/>
      <c r="BT220" s="655"/>
      <c r="BU220" s="4"/>
      <c r="BV220" s="4"/>
      <c r="BW220" s="4"/>
      <c r="BX220" s="4"/>
      <c r="BY220" s="4"/>
      <c r="BZ220" s="4"/>
      <c r="CA220" s="4"/>
      <c r="CB220" s="4"/>
      <c r="CC220" s="4"/>
      <c r="CD220" s="4"/>
      <c r="CE220" s="693"/>
      <c r="CF220" s="723"/>
      <c r="CG220" s="4"/>
      <c r="CH220" s="4"/>
      <c r="CI220" s="4"/>
      <c r="CJ220" s="4">
        <v>110</v>
      </c>
      <c r="CK220" s="4"/>
      <c r="CL220" s="4"/>
      <c r="CM220" s="4"/>
      <c r="CN220" s="4"/>
      <c r="CO220" s="4"/>
      <c r="CP220" s="4"/>
      <c r="CQ220" s="654"/>
      <c r="CR220" s="655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654"/>
      <c r="DD220" s="655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654"/>
      <c r="DP220" s="655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654"/>
      <c r="EB220" s="655"/>
      <c r="EC220" s="4"/>
      <c r="ED220" s="4"/>
      <c r="EE220" s="4"/>
      <c r="EF220" s="4"/>
      <c r="EG220" s="4"/>
      <c r="EH220" s="4"/>
      <c r="EI220" s="4"/>
      <c r="EJ220" s="4"/>
      <c r="EK220" s="4"/>
      <c r="EL220" s="4"/>
      <c r="EM220" s="693"/>
      <c r="EN220" s="723"/>
      <c r="EO220" s="4"/>
      <c r="EP220" s="4"/>
      <c r="EQ220" s="4"/>
      <c r="ER220" s="4">
        <v>110</v>
      </c>
      <c r="ES220" s="4"/>
      <c r="ET220" s="4"/>
      <c r="EU220" s="4"/>
      <c r="EV220" s="4"/>
      <c r="EW220" s="4"/>
      <c r="EX220" s="4"/>
      <c r="EY220" s="654"/>
      <c r="EZ220" s="655"/>
      <c r="FA220" s="4"/>
      <c r="FB220" s="4"/>
      <c r="FC220" s="4"/>
      <c r="FD220" s="4"/>
      <c r="FE220" s="4"/>
      <c r="FF220" s="4"/>
      <c r="FG220" s="4"/>
      <c r="FH220" s="4"/>
      <c r="FI220" s="4"/>
      <c r="FJ220" s="4"/>
      <c r="FK220" s="654"/>
      <c r="FL220" s="655"/>
      <c r="FM220" s="4"/>
      <c r="FN220" s="4"/>
      <c r="FO220" s="4"/>
      <c r="FP220" s="4"/>
      <c r="FQ220" s="4"/>
      <c r="FR220" s="4"/>
      <c r="FS220" s="4"/>
      <c r="FT220" s="4"/>
      <c r="FU220" s="4"/>
      <c r="FV220" s="4"/>
      <c r="FW220" s="654"/>
      <c r="FX220" s="655"/>
      <c r="FY220" s="4"/>
      <c r="FZ220" s="4"/>
      <c r="GA220" s="4"/>
      <c r="GB220" s="4"/>
      <c r="GC220" s="4"/>
      <c r="GD220" s="4"/>
      <c r="GE220" s="4"/>
      <c r="GF220" s="4"/>
      <c r="GG220" s="4"/>
      <c r="GH220" s="4"/>
      <c r="GI220" s="654"/>
      <c r="GJ220" s="655"/>
      <c r="GK220" s="4"/>
      <c r="GL220" s="4"/>
      <c r="GM220" s="4"/>
      <c r="GN220" s="4"/>
      <c r="GO220" s="4"/>
      <c r="GP220" s="4"/>
      <c r="GQ220" s="4"/>
      <c r="GR220" s="4"/>
      <c r="GS220" s="4"/>
      <c r="GT220" s="4"/>
      <c r="GU220" s="722"/>
      <c r="GV220" s="715"/>
    </row>
    <row r="221" spans="1:204" x14ac:dyDescent="0.25">
      <c r="A221" t="s">
        <v>1138</v>
      </c>
      <c r="B221" s="2" t="s">
        <v>358</v>
      </c>
      <c r="C221" s="619">
        <v>44589</v>
      </c>
      <c r="D221" s="2" t="s">
        <v>1122</v>
      </c>
      <c r="E221" t="s">
        <v>59</v>
      </c>
      <c r="F221" s="2" t="s">
        <v>43</v>
      </c>
      <c r="G221" t="s">
        <v>40</v>
      </c>
      <c r="H221" s="690" t="s">
        <v>85</v>
      </c>
      <c r="I221" s="691" t="s">
        <v>43</v>
      </c>
      <c r="J221" s="721">
        <v>3780401000108</v>
      </c>
      <c r="K221" s="691" t="s">
        <v>944</v>
      </c>
      <c r="L221" s="721">
        <v>20557422000170</v>
      </c>
      <c r="M221" s="718" t="s">
        <v>3</v>
      </c>
      <c r="N221" s="717" t="s">
        <v>44</v>
      </c>
      <c r="O221" s="719">
        <v>44621</v>
      </c>
      <c r="P221" s="720">
        <v>44651</v>
      </c>
      <c r="Q221" s="718">
        <v>85</v>
      </c>
      <c r="R221" s="717">
        <v>3</v>
      </c>
      <c r="S221" s="691" t="s">
        <v>54</v>
      </c>
      <c r="T221" t="s">
        <v>358</v>
      </c>
      <c r="U221" s="673" t="s">
        <v>358</v>
      </c>
      <c r="V221" s="690" t="s">
        <v>358</v>
      </c>
      <c r="W221" s="657" t="s">
        <v>214</v>
      </c>
      <c r="X221" s="723"/>
      <c r="Y221" s="4"/>
      <c r="Z221" s="4">
        <v>3</v>
      </c>
      <c r="AA221" s="4"/>
      <c r="AB221" s="4"/>
      <c r="AC221" s="4"/>
      <c r="AD221" s="4"/>
      <c r="AE221" s="4"/>
      <c r="AF221" s="4"/>
      <c r="AG221" s="4"/>
      <c r="AH221" s="4"/>
      <c r="AI221" s="654"/>
      <c r="AJ221" s="655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654"/>
      <c r="AV221" s="655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654"/>
      <c r="BH221" s="655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654"/>
      <c r="BT221" s="655"/>
      <c r="BU221" s="4"/>
      <c r="BV221" s="4"/>
      <c r="BW221" s="4"/>
      <c r="BX221" s="4"/>
      <c r="BY221" s="4"/>
      <c r="BZ221" s="4"/>
      <c r="CA221" s="4"/>
      <c r="CB221" s="4"/>
      <c r="CC221" s="4"/>
      <c r="CD221" s="4"/>
      <c r="CE221" s="693"/>
      <c r="CF221" s="723"/>
      <c r="CG221" s="4"/>
      <c r="CH221" s="4">
        <v>85</v>
      </c>
      <c r="CI221" s="4"/>
      <c r="CJ221" s="4"/>
      <c r="CK221" s="4"/>
      <c r="CL221" s="4"/>
      <c r="CM221" s="4"/>
      <c r="CN221" s="4"/>
      <c r="CO221" s="4"/>
      <c r="CP221" s="4"/>
      <c r="CQ221" s="654"/>
      <c r="CR221" s="655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654"/>
      <c r="DD221" s="655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654"/>
      <c r="DP221" s="655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654"/>
      <c r="EB221" s="655"/>
      <c r="EC221" s="4"/>
      <c r="ED221" s="4"/>
      <c r="EE221" s="4"/>
      <c r="EF221" s="4"/>
      <c r="EG221" s="4"/>
      <c r="EH221" s="4"/>
      <c r="EI221" s="4"/>
      <c r="EJ221" s="4"/>
      <c r="EK221" s="4"/>
      <c r="EL221" s="4"/>
      <c r="EM221" s="693"/>
      <c r="EN221" s="723"/>
      <c r="EO221" s="4"/>
      <c r="EP221" s="4">
        <v>85</v>
      </c>
      <c r="EQ221" s="4"/>
      <c r="ER221" s="4"/>
      <c r="ES221" s="4"/>
      <c r="ET221" s="4"/>
      <c r="EU221" s="4"/>
      <c r="EV221" s="4"/>
      <c r="EW221" s="4"/>
      <c r="EX221" s="4"/>
      <c r="EY221" s="654"/>
      <c r="EZ221" s="655"/>
      <c r="FA221" s="4"/>
      <c r="FB221" s="4"/>
      <c r="FC221" s="4"/>
      <c r="FD221" s="4"/>
      <c r="FE221" s="4"/>
      <c r="FF221" s="4"/>
      <c r="FG221" s="4"/>
      <c r="FH221" s="4"/>
      <c r="FI221" s="4"/>
      <c r="FJ221" s="4"/>
      <c r="FK221" s="654"/>
      <c r="FL221" s="655"/>
      <c r="FM221" s="4"/>
      <c r="FN221" s="4"/>
      <c r="FO221" s="4"/>
      <c r="FP221" s="4"/>
      <c r="FQ221" s="4"/>
      <c r="FR221" s="4"/>
      <c r="FS221" s="4"/>
      <c r="FT221" s="4"/>
      <c r="FU221" s="4"/>
      <c r="FV221" s="4"/>
      <c r="FW221" s="654"/>
      <c r="FX221" s="655"/>
      <c r="FY221" s="4"/>
      <c r="FZ221" s="4"/>
      <c r="GA221" s="4"/>
      <c r="GB221" s="4"/>
      <c r="GC221" s="4"/>
      <c r="GD221" s="4"/>
      <c r="GE221" s="4"/>
      <c r="GF221" s="4"/>
      <c r="GG221" s="4"/>
      <c r="GH221" s="4"/>
      <c r="GI221" s="654"/>
      <c r="GJ221" s="655"/>
      <c r="GK221" s="4"/>
      <c r="GL221" s="4"/>
      <c r="GM221" s="4"/>
      <c r="GN221" s="4"/>
      <c r="GO221" s="4"/>
      <c r="GP221" s="4"/>
      <c r="GQ221" s="4"/>
      <c r="GR221" s="4"/>
      <c r="GS221" s="4"/>
      <c r="GT221" s="4"/>
      <c r="GU221" s="722"/>
      <c r="GV221" s="715"/>
    </row>
    <row r="222" spans="1:204" x14ac:dyDescent="0.25">
      <c r="A222" t="s">
        <v>1140</v>
      </c>
      <c r="B222" s="2" t="s">
        <v>1139</v>
      </c>
      <c r="C222" s="619">
        <v>44589</v>
      </c>
      <c r="D222" s="2" t="s">
        <v>1123</v>
      </c>
      <c r="E222" t="s">
        <v>59</v>
      </c>
      <c r="F222" s="2" t="s">
        <v>43</v>
      </c>
      <c r="G222" t="s">
        <v>40</v>
      </c>
      <c r="H222" s="690" t="s">
        <v>85</v>
      </c>
      <c r="I222" s="691" t="s">
        <v>43</v>
      </c>
      <c r="J222" s="721">
        <v>3780401000108</v>
      </c>
      <c r="K222" s="691" t="s">
        <v>1133</v>
      </c>
      <c r="L222" s="721">
        <v>10202852000115</v>
      </c>
      <c r="M222" s="718" t="s">
        <v>3</v>
      </c>
      <c r="N222" s="717" t="s">
        <v>44</v>
      </c>
      <c r="O222" s="719">
        <v>44621</v>
      </c>
      <c r="P222" s="720">
        <v>44651</v>
      </c>
      <c r="Q222" s="718">
        <v>85</v>
      </c>
      <c r="R222" s="717">
        <v>2</v>
      </c>
      <c r="S222" s="691" t="s">
        <v>54</v>
      </c>
      <c r="T222" t="s">
        <v>358</v>
      </c>
      <c r="U222" s="673" t="s">
        <v>358</v>
      </c>
      <c r="V222" s="690" t="s">
        <v>358</v>
      </c>
      <c r="W222" s="657" t="s">
        <v>329</v>
      </c>
      <c r="X222" s="723"/>
      <c r="Y222" s="4"/>
      <c r="Z222" s="4">
        <v>2</v>
      </c>
      <c r="AA222" s="4"/>
      <c r="AB222" s="4"/>
      <c r="AC222" s="4"/>
      <c r="AD222" s="4"/>
      <c r="AE222" s="4"/>
      <c r="AF222" s="4"/>
      <c r="AG222" s="4"/>
      <c r="AH222" s="4"/>
      <c r="AI222" s="654"/>
      <c r="AJ222" s="655"/>
      <c r="AK222" s="4"/>
      <c r="AL222" s="4"/>
      <c r="AM222" s="4"/>
      <c r="AN222" s="4"/>
      <c r="AO222" s="4"/>
      <c r="AP222" s="4"/>
      <c r="AQ222" s="4"/>
      <c r="AR222" s="4"/>
      <c r="AS222" s="4"/>
      <c r="AT222" s="4"/>
      <c r="AU222" s="654"/>
      <c r="AV222" s="655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654"/>
      <c r="BH222" s="655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654"/>
      <c r="BT222" s="655"/>
      <c r="BU222" s="4"/>
      <c r="BV222" s="4"/>
      <c r="BW222" s="4"/>
      <c r="BX222" s="4"/>
      <c r="BY222" s="4"/>
      <c r="BZ222" s="4"/>
      <c r="CA222" s="4"/>
      <c r="CB222" s="4"/>
      <c r="CC222" s="4"/>
      <c r="CD222" s="4"/>
      <c r="CE222" s="693"/>
      <c r="CF222" s="723"/>
      <c r="CG222" s="4"/>
      <c r="CH222" s="4">
        <v>85</v>
      </c>
      <c r="CI222" s="4"/>
      <c r="CJ222" s="4"/>
      <c r="CK222" s="4"/>
      <c r="CL222" s="4"/>
      <c r="CM222" s="4"/>
      <c r="CN222" s="4"/>
      <c r="CO222" s="4"/>
      <c r="CP222" s="4"/>
      <c r="CQ222" s="654"/>
      <c r="CR222" s="655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654"/>
      <c r="DD222" s="655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654"/>
      <c r="DP222" s="655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654"/>
      <c r="EB222" s="655"/>
      <c r="EC222" s="4"/>
      <c r="ED222" s="4"/>
      <c r="EE222" s="4"/>
      <c r="EF222" s="4"/>
      <c r="EG222" s="4"/>
      <c r="EH222" s="4"/>
      <c r="EI222" s="4"/>
      <c r="EJ222" s="4"/>
      <c r="EK222" s="4"/>
      <c r="EL222" s="4"/>
      <c r="EM222" s="693"/>
      <c r="EN222" s="723"/>
      <c r="EO222" s="4"/>
      <c r="EP222" s="4">
        <v>85</v>
      </c>
      <c r="EQ222" s="4"/>
      <c r="ER222" s="4"/>
      <c r="ES222" s="4"/>
      <c r="ET222" s="4"/>
      <c r="EU222" s="4"/>
      <c r="EV222" s="4"/>
      <c r="EW222" s="4"/>
      <c r="EX222" s="4"/>
      <c r="EY222" s="654"/>
      <c r="EZ222" s="655"/>
      <c r="FA222" s="4"/>
      <c r="FB222" s="4"/>
      <c r="FC222" s="4"/>
      <c r="FD222" s="4"/>
      <c r="FE222" s="4"/>
      <c r="FF222" s="4"/>
      <c r="FG222" s="4"/>
      <c r="FH222" s="4"/>
      <c r="FI222" s="4"/>
      <c r="FJ222" s="4"/>
      <c r="FK222" s="654"/>
      <c r="FL222" s="655"/>
      <c r="FM222" s="4"/>
      <c r="FN222" s="4"/>
      <c r="FO222" s="4"/>
      <c r="FP222" s="4"/>
      <c r="FQ222" s="4"/>
      <c r="FR222" s="4"/>
      <c r="FS222" s="4"/>
      <c r="FT222" s="4"/>
      <c r="FU222" s="4"/>
      <c r="FV222" s="4"/>
      <c r="FW222" s="654"/>
      <c r="FX222" s="655"/>
      <c r="FY222" s="4"/>
      <c r="FZ222" s="4"/>
      <c r="GA222" s="4"/>
      <c r="GB222" s="4"/>
      <c r="GC222" s="4"/>
      <c r="GD222" s="4"/>
      <c r="GE222" s="4"/>
      <c r="GF222" s="4"/>
      <c r="GG222" s="4"/>
      <c r="GH222" s="4"/>
      <c r="GI222" s="654"/>
      <c r="GJ222" s="655"/>
      <c r="GK222" s="4"/>
      <c r="GL222" s="4"/>
      <c r="GM222" s="4"/>
      <c r="GN222" s="4"/>
      <c r="GO222" s="4"/>
      <c r="GP222" s="4"/>
      <c r="GQ222" s="4"/>
      <c r="GR222" s="4"/>
      <c r="GS222" s="4"/>
      <c r="GT222" s="4"/>
      <c r="GU222" s="722"/>
      <c r="GV222" s="715"/>
    </row>
    <row r="223" spans="1:204" x14ac:dyDescent="0.25">
      <c r="A223" t="s">
        <v>1142</v>
      </c>
      <c r="B223" s="2" t="s">
        <v>1141</v>
      </c>
      <c r="C223" s="619">
        <v>44589</v>
      </c>
      <c r="D223" s="2" t="s">
        <v>1124</v>
      </c>
      <c r="E223" t="s">
        <v>59</v>
      </c>
      <c r="F223" s="2" t="s">
        <v>43</v>
      </c>
      <c r="G223" t="s">
        <v>40</v>
      </c>
      <c r="H223" s="690" t="s">
        <v>85</v>
      </c>
      <c r="I223" s="691" t="s">
        <v>43</v>
      </c>
      <c r="J223" s="721">
        <v>3780401000108</v>
      </c>
      <c r="K223" s="691" t="s">
        <v>944</v>
      </c>
      <c r="L223" s="721">
        <v>20557422000170</v>
      </c>
      <c r="M223" s="718" t="s">
        <v>3</v>
      </c>
      <c r="N223" s="717" t="s">
        <v>44</v>
      </c>
      <c r="O223" s="719">
        <v>44621</v>
      </c>
      <c r="P223" s="720">
        <v>44651</v>
      </c>
      <c r="Q223" s="718">
        <v>85</v>
      </c>
      <c r="R223" s="717">
        <v>1</v>
      </c>
      <c r="S223" s="691" t="s">
        <v>54</v>
      </c>
      <c r="T223" t="s">
        <v>358</v>
      </c>
      <c r="U223" s="673" t="s">
        <v>358</v>
      </c>
      <c r="V223" s="690" t="s">
        <v>358</v>
      </c>
      <c r="W223" s="657" t="s">
        <v>329</v>
      </c>
      <c r="X223" s="723"/>
      <c r="Y223" s="4"/>
      <c r="Z223" s="4">
        <v>1</v>
      </c>
      <c r="AA223" s="4"/>
      <c r="AB223" s="4"/>
      <c r="AC223" s="4"/>
      <c r="AD223" s="4"/>
      <c r="AE223" s="4"/>
      <c r="AF223" s="4"/>
      <c r="AG223" s="4"/>
      <c r="AH223" s="4"/>
      <c r="AI223" s="654"/>
      <c r="AJ223" s="655"/>
      <c r="AK223" s="4"/>
      <c r="AL223" s="4"/>
      <c r="AM223" s="4"/>
      <c r="AN223" s="4"/>
      <c r="AO223" s="4"/>
      <c r="AP223" s="4"/>
      <c r="AQ223" s="4"/>
      <c r="AR223" s="4"/>
      <c r="AS223" s="4"/>
      <c r="AT223" s="4"/>
      <c r="AU223" s="654"/>
      <c r="AV223" s="655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654"/>
      <c r="BH223" s="655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654"/>
      <c r="BT223" s="655"/>
      <c r="BU223" s="4"/>
      <c r="BV223" s="4"/>
      <c r="BW223" s="4"/>
      <c r="BX223" s="4"/>
      <c r="BY223" s="4"/>
      <c r="BZ223" s="4"/>
      <c r="CA223" s="4"/>
      <c r="CB223" s="4"/>
      <c r="CC223" s="4"/>
      <c r="CD223" s="4"/>
      <c r="CE223" s="693"/>
      <c r="CF223" s="723"/>
      <c r="CG223" s="4"/>
      <c r="CH223" s="4">
        <v>85</v>
      </c>
      <c r="CI223" s="4"/>
      <c r="CJ223" s="4"/>
      <c r="CK223" s="4"/>
      <c r="CL223" s="4"/>
      <c r="CM223" s="4"/>
      <c r="CN223" s="4"/>
      <c r="CO223" s="4"/>
      <c r="CP223" s="4"/>
      <c r="CQ223" s="654"/>
      <c r="CR223" s="655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654"/>
      <c r="DD223" s="655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654"/>
      <c r="DP223" s="655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654"/>
      <c r="EB223" s="655"/>
      <c r="EC223" s="4"/>
      <c r="ED223" s="4"/>
      <c r="EE223" s="4"/>
      <c r="EF223" s="4"/>
      <c r="EG223" s="4"/>
      <c r="EH223" s="4"/>
      <c r="EI223" s="4"/>
      <c r="EJ223" s="4"/>
      <c r="EK223" s="4"/>
      <c r="EL223" s="4"/>
      <c r="EM223" s="693"/>
      <c r="EN223" s="723"/>
      <c r="EO223" s="4"/>
      <c r="EP223" s="4">
        <v>85</v>
      </c>
      <c r="EQ223" s="4"/>
      <c r="ER223" s="4"/>
      <c r="ES223" s="4"/>
      <c r="ET223" s="4"/>
      <c r="EU223" s="4"/>
      <c r="EV223" s="4"/>
      <c r="EW223" s="4"/>
      <c r="EX223" s="4"/>
      <c r="EY223" s="654"/>
      <c r="EZ223" s="655"/>
      <c r="FA223" s="4"/>
      <c r="FB223" s="4"/>
      <c r="FC223" s="4"/>
      <c r="FD223" s="4"/>
      <c r="FE223" s="4"/>
      <c r="FF223" s="4"/>
      <c r="FG223" s="4"/>
      <c r="FH223" s="4"/>
      <c r="FI223" s="4"/>
      <c r="FJ223" s="4"/>
      <c r="FK223" s="654"/>
      <c r="FL223" s="655"/>
      <c r="FM223" s="4"/>
      <c r="FN223" s="4"/>
      <c r="FO223" s="4"/>
      <c r="FP223" s="4"/>
      <c r="FQ223" s="4"/>
      <c r="FR223" s="4"/>
      <c r="FS223" s="4"/>
      <c r="FT223" s="4"/>
      <c r="FU223" s="4"/>
      <c r="FV223" s="4"/>
      <c r="FW223" s="654"/>
      <c r="FX223" s="655"/>
      <c r="FY223" s="4"/>
      <c r="FZ223" s="4"/>
      <c r="GA223" s="4"/>
      <c r="GB223" s="4"/>
      <c r="GC223" s="4"/>
      <c r="GD223" s="4"/>
      <c r="GE223" s="4"/>
      <c r="GF223" s="4"/>
      <c r="GG223" s="4"/>
      <c r="GH223" s="4"/>
      <c r="GI223" s="654"/>
      <c r="GJ223" s="655"/>
      <c r="GK223" s="4"/>
      <c r="GL223" s="4"/>
      <c r="GM223" s="4"/>
      <c r="GN223" s="4"/>
      <c r="GO223" s="4"/>
      <c r="GP223" s="4"/>
      <c r="GQ223" s="4"/>
      <c r="GR223" s="4"/>
      <c r="GS223" s="4"/>
      <c r="GT223" s="4"/>
      <c r="GU223" s="722"/>
      <c r="GV223" s="715"/>
    </row>
    <row r="224" spans="1:204" x14ac:dyDescent="0.25">
      <c r="A224" t="s">
        <v>1144</v>
      </c>
      <c r="B224" s="2" t="s">
        <v>1143</v>
      </c>
      <c r="C224" s="619">
        <v>44589</v>
      </c>
      <c r="D224" s="2" t="s">
        <v>1125</v>
      </c>
      <c r="E224" t="s">
        <v>59</v>
      </c>
      <c r="F224" s="2" t="s">
        <v>43</v>
      </c>
      <c r="G224" t="s">
        <v>40</v>
      </c>
      <c r="H224" s="690" t="s">
        <v>85</v>
      </c>
      <c r="I224" s="691" t="s">
        <v>43</v>
      </c>
      <c r="J224" s="721">
        <v>3780401000108</v>
      </c>
      <c r="K224" s="691" t="s">
        <v>1134</v>
      </c>
      <c r="L224" s="721">
        <v>10671322000116</v>
      </c>
      <c r="M224" s="718" t="s">
        <v>3</v>
      </c>
      <c r="N224" s="717" t="s">
        <v>44</v>
      </c>
      <c r="O224" s="719">
        <v>44682</v>
      </c>
      <c r="P224" s="720">
        <v>44712</v>
      </c>
      <c r="Q224" s="718">
        <v>110</v>
      </c>
      <c r="R224" s="717">
        <v>1</v>
      </c>
      <c r="S224" s="691" t="s">
        <v>54</v>
      </c>
      <c r="T224" t="s">
        <v>358</v>
      </c>
      <c r="U224" s="673" t="s">
        <v>358</v>
      </c>
      <c r="V224" s="690" t="s">
        <v>358</v>
      </c>
      <c r="W224" s="657" t="s">
        <v>329</v>
      </c>
      <c r="X224" s="723"/>
      <c r="Y224" s="4"/>
      <c r="Z224" s="4"/>
      <c r="AA224" s="4"/>
      <c r="AB224" s="4">
        <v>1</v>
      </c>
      <c r="AC224" s="4"/>
      <c r="AD224" s="4"/>
      <c r="AE224" s="4"/>
      <c r="AF224" s="4"/>
      <c r="AG224" s="4"/>
      <c r="AH224" s="4"/>
      <c r="AI224" s="654"/>
      <c r="AJ224" s="655"/>
      <c r="AK224" s="4"/>
      <c r="AL224" s="4"/>
      <c r="AM224" s="4"/>
      <c r="AN224" s="4"/>
      <c r="AO224" s="4"/>
      <c r="AP224" s="4"/>
      <c r="AQ224" s="4"/>
      <c r="AR224" s="4"/>
      <c r="AS224" s="4"/>
      <c r="AT224" s="4"/>
      <c r="AU224" s="654"/>
      <c r="AV224" s="655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654"/>
      <c r="BH224" s="655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654"/>
      <c r="BT224" s="655"/>
      <c r="BU224" s="4"/>
      <c r="BV224" s="4"/>
      <c r="BW224" s="4"/>
      <c r="BX224" s="4"/>
      <c r="BY224" s="4"/>
      <c r="BZ224" s="4"/>
      <c r="CA224" s="4"/>
      <c r="CB224" s="4"/>
      <c r="CC224" s="4"/>
      <c r="CD224" s="4"/>
      <c r="CE224" s="693"/>
      <c r="CF224" s="723"/>
      <c r="CG224" s="4"/>
      <c r="CH224" s="4"/>
      <c r="CI224" s="4"/>
      <c r="CJ224" s="4">
        <v>110</v>
      </c>
      <c r="CK224" s="4"/>
      <c r="CL224" s="4"/>
      <c r="CM224" s="4"/>
      <c r="CN224" s="4"/>
      <c r="CO224" s="4"/>
      <c r="CP224" s="4"/>
      <c r="CQ224" s="654"/>
      <c r="CR224" s="655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654"/>
      <c r="DD224" s="655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654"/>
      <c r="DP224" s="655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654"/>
      <c r="EB224" s="655"/>
      <c r="EC224" s="4"/>
      <c r="ED224" s="4"/>
      <c r="EE224" s="4"/>
      <c r="EF224" s="4"/>
      <c r="EG224" s="4"/>
      <c r="EH224" s="4"/>
      <c r="EI224" s="4"/>
      <c r="EJ224" s="4"/>
      <c r="EK224" s="4"/>
      <c r="EL224" s="4"/>
      <c r="EM224" s="693"/>
      <c r="EN224" s="723"/>
      <c r="EO224" s="4"/>
      <c r="EP224" s="4"/>
      <c r="EQ224" s="4"/>
      <c r="ER224" s="4">
        <v>110</v>
      </c>
      <c r="ES224" s="4"/>
      <c r="ET224" s="4"/>
      <c r="EU224" s="4"/>
      <c r="EV224" s="4"/>
      <c r="EW224" s="4"/>
      <c r="EX224" s="4"/>
      <c r="EY224" s="654"/>
      <c r="EZ224" s="655"/>
      <c r="FA224" s="4"/>
      <c r="FB224" s="4"/>
      <c r="FC224" s="4"/>
      <c r="FD224" s="4"/>
      <c r="FE224" s="4"/>
      <c r="FF224" s="4"/>
      <c r="FG224" s="4"/>
      <c r="FH224" s="4"/>
      <c r="FI224" s="4"/>
      <c r="FJ224" s="4"/>
      <c r="FK224" s="654"/>
      <c r="FL224" s="655"/>
      <c r="FM224" s="4"/>
      <c r="FN224" s="4"/>
      <c r="FO224" s="4"/>
      <c r="FP224" s="4"/>
      <c r="FQ224" s="4"/>
      <c r="FR224" s="4"/>
      <c r="FS224" s="4"/>
      <c r="FT224" s="4"/>
      <c r="FU224" s="4"/>
      <c r="FV224" s="4"/>
      <c r="FW224" s="654"/>
      <c r="FX224" s="655"/>
      <c r="FY224" s="4"/>
      <c r="FZ224" s="4"/>
      <c r="GA224" s="4"/>
      <c r="GB224" s="4"/>
      <c r="GC224" s="4"/>
      <c r="GD224" s="4"/>
      <c r="GE224" s="4"/>
      <c r="GF224" s="4"/>
      <c r="GG224" s="4"/>
      <c r="GH224" s="4"/>
      <c r="GI224" s="654"/>
      <c r="GJ224" s="655"/>
      <c r="GK224" s="4"/>
      <c r="GL224" s="4"/>
      <c r="GM224" s="4"/>
      <c r="GN224" s="4"/>
      <c r="GO224" s="4"/>
      <c r="GP224" s="4"/>
      <c r="GQ224" s="4"/>
      <c r="GR224" s="4"/>
      <c r="GS224" s="4"/>
      <c r="GT224" s="4"/>
      <c r="GU224" s="722"/>
      <c r="GV224" s="715"/>
    </row>
    <row r="225" spans="1:204" x14ac:dyDescent="0.25">
      <c r="A225" t="s">
        <v>1146</v>
      </c>
      <c r="B225" s="2" t="s">
        <v>1145</v>
      </c>
      <c r="C225" s="619">
        <v>44589</v>
      </c>
      <c r="D225" s="2" t="s">
        <v>1126</v>
      </c>
      <c r="E225" t="s">
        <v>59</v>
      </c>
      <c r="F225" s="2" t="s">
        <v>43</v>
      </c>
      <c r="G225" t="s">
        <v>40</v>
      </c>
      <c r="H225" s="690" t="s">
        <v>85</v>
      </c>
      <c r="I225" s="691" t="s">
        <v>43</v>
      </c>
      <c r="J225" s="721">
        <v>3780401000108</v>
      </c>
      <c r="K225" s="691" t="s">
        <v>502</v>
      </c>
      <c r="L225" s="721">
        <v>4270778000171</v>
      </c>
      <c r="M225" s="718" t="s">
        <v>3</v>
      </c>
      <c r="N225" s="717" t="s">
        <v>44</v>
      </c>
      <c r="O225" s="719">
        <v>44652</v>
      </c>
      <c r="P225" s="720">
        <v>44681</v>
      </c>
      <c r="Q225" s="718">
        <v>97.5</v>
      </c>
      <c r="R225" s="717">
        <v>4.4000000000000004</v>
      </c>
      <c r="S225" s="691" t="s">
        <v>54</v>
      </c>
      <c r="T225" t="s">
        <v>358</v>
      </c>
      <c r="U225" s="673" t="s">
        <v>358</v>
      </c>
      <c r="V225" s="690" t="s">
        <v>358</v>
      </c>
      <c r="W225" s="657" t="s">
        <v>329</v>
      </c>
      <c r="X225" s="723"/>
      <c r="Y225" s="4"/>
      <c r="Z225" s="4"/>
      <c r="AA225" s="4">
        <v>4.4000000000000004</v>
      </c>
      <c r="AB225" s="4"/>
      <c r="AC225" s="4"/>
      <c r="AD225" s="4"/>
      <c r="AE225" s="4"/>
      <c r="AF225" s="4"/>
      <c r="AG225" s="4"/>
      <c r="AH225" s="4"/>
      <c r="AI225" s="654"/>
      <c r="AJ225" s="655"/>
      <c r="AK225" s="4"/>
      <c r="AL225" s="4"/>
      <c r="AM225" s="4"/>
      <c r="AN225" s="4"/>
      <c r="AO225" s="4"/>
      <c r="AP225" s="4"/>
      <c r="AQ225" s="4"/>
      <c r="AR225" s="4"/>
      <c r="AS225" s="4"/>
      <c r="AT225" s="4"/>
      <c r="AU225" s="654"/>
      <c r="AV225" s="655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654"/>
      <c r="BH225" s="655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654"/>
      <c r="BT225" s="655"/>
      <c r="BU225" s="4"/>
      <c r="BV225" s="4"/>
      <c r="BW225" s="4"/>
      <c r="BX225" s="4"/>
      <c r="BY225" s="4"/>
      <c r="BZ225" s="4"/>
      <c r="CA225" s="4"/>
      <c r="CB225" s="4"/>
      <c r="CC225" s="4"/>
      <c r="CD225" s="4"/>
      <c r="CE225" s="693"/>
      <c r="CF225" s="723"/>
      <c r="CG225" s="4"/>
      <c r="CH225" s="4"/>
      <c r="CI225" s="4">
        <v>97.5</v>
      </c>
      <c r="CJ225" s="4"/>
      <c r="CK225" s="4"/>
      <c r="CL225" s="4"/>
      <c r="CM225" s="4"/>
      <c r="CN225" s="4"/>
      <c r="CO225" s="4"/>
      <c r="CP225" s="4"/>
      <c r="CQ225" s="654"/>
      <c r="CR225" s="655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654"/>
      <c r="DD225" s="655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654"/>
      <c r="DP225" s="655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654"/>
      <c r="EB225" s="655"/>
      <c r="EC225" s="4"/>
      <c r="ED225" s="4"/>
      <c r="EE225" s="4"/>
      <c r="EF225" s="4"/>
      <c r="EG225" s="4"/>
      <c r="EH225" s="4"/>
      <c r="EI225" s="4"/>
      <c r="EJ225" s="4"/>
      <c r="EK225" s="4"/>
      <c r="EL225" s="4"/>
      <c r="EM225" s="693"/>
      <c r="EN225" s="723"/>
      <c r="EO225" s="4"/>
      <c r="EP225" s="4"/>
      <c r="EQ225" s="4">
        <v>97.5</v>
      </c>
      <c r="ER225" s="4"/>
      <c r="ES225" s="4"/>
      <c r="ET225" s="4"/>
      <c r="EU225" s="4"/>
      <c r="EV225" s="4"/>
      <c r="EW225" s="4"/>
      <c r="EX225" s="4"/>
      <c r="EY225" s="654"/>
      <c r="EZ225" s="655"/>
      <c r="FA225" s="4"/>
      <c r="FB225" s="4"/>
      <c r="FC225" s="4"/>
      <c r="FD225" s="4"/>
      <c r="FE225" s="4"/>
      <c r="FF225" s="4"/>
      <c r="FG225" s="4"/>
      <c r="FH225" s="4"/>
      <c r="FI225" s="4"/>
      <c r="FJ225" s="4"/>
      <c r="FK225" s="654"/>
      <c r="FL225" s="655"/>
      <c r="FM225" s="4"/>
      <c r="FN225" s="4"/>
      <c r="FO225" s="4"/>
      <c r="FP225" s="4"/>
      <c r="FQ225" s="4"/>
      <c r="FR225" s="4"/>
      <c r="FS225" s="4"/>
      <c r="FT225" s="4"/>
      <c r="FU225" s="4"/>
      <c r="FV225" s="4"/>
      <c r="FW225" s="654"/>
      <c r="FX225" s="655"/>
      <c r="FY225" s="4"/>
      <c r="FZ225" s="4"/>
      <c r="GA225" s="4"/>
      <c r="GB225" s="4"/>
      <c r="GC225" s="4"/>
      <c r="GD225" s="4"/>
      <c r="GE225" s="4"/>
      <c r="GF225" s="4"/>
      <c r="GG225" s="4"/>
      <c r="GH225" s="4"/>
      <c r="GI225" s="654"/>
      <c r="GJ225" s="655"/>
      <c r="GK225" s="4"/>
      <c r="GL225" s="4"/>
      <c r="GM225" s="4"/>
      <c r="GN225" s="4"/>
      <c r="GO225" s="4"/>
      <c r="GP225" s="4"/>
      <c r="GQ225" s="4"/>
      <c r="GR225" s="4"/>
      <c r="GS225" s="4"/>
      <c r="GT225" s="4"/>
      <c r="GU225" s="722"/>
      <c r="GV225" s="715"/>
    </row>
    <row r="226" spans="1:204" x14ac:dyDescent="0.25">
      <c r="A226" t="s">
        <v>1148</v>
      </c>
      <c r="B226" s="2" t="s">
        <v>1147</v>
      </c>
      <c r="C226" s="619">
        <v>44589</v>
      </c>
      <c r="D226" s="2" t="s">
        <v>1127</v>
      </c>
      <c r="E226" t="s">
        <v>59</v>
      </c>
      <c r="F226" s="2" t="s">
        <v>43</v>
      </c>
      <c r="G226" t="s">
        <v>40</v>
      </c>
      <c r="H226" s="690" t="s">
        <v>85</v>
      </c>
      <c r="I226" s="691" t="s">
        <v>43</v>
      </c>
      <c r="J226" s="721">
        <v>3780401000108</v>
      </c>
      <c r="K226" s="691" t="s">
        <v>501</v>
      </c>
      <c r="L226" s="721">
        <v>15732189000184</v>
      </c>
      <c r="M226" s="718" t="s">
        <v>3</v>
      </c>
      <c r="N226" s="717" t="s">
        <v>44</v>
      </c>
      <c r="O226" s="719">
        <v>44682</v>
      </c>
      <c r="P226" s="720">
        <v>44712</v>
      </c>
      <c r="Q226" s="718">
        <v>108</v>
      </c>
      <c r="R226" s="717">
        <v>1</v>
      </c>
      <c r="S226" s="691" t="s">
        <v>54</v>
      </c>
      <c r="T226" t="s">
        <v>358</v>
      </c>
      <c r="U226" s="673" t="s">
        <v>358</v>
      </c>
      <c r="V226" s="690" t="s">
        <v>358</v>
      </c>
      <c r="W226" s="657" t="s">
        <v>329</v>
      </c>
      <c r="X226" s="723"/>
      <c r="Y226" s="4"/>
      <c r="Z226" s="4"/>
      <c r="AA226" s="4"/>
      <c r="AB226" s="4">
        <v>1</v>
      </c>
      <c r="AC226" s="4"/>
      <c r="AD226" s="4"/>
      <c r="AE226" s="4"/>
      <c r="AF226" s="4"/>
      <c r="AG226" s="4"/>
      <c r="AH226" s="4"/>
      <c r="AI226" s="654"/>
      <c r="AJ226" s="655"/>
      <c r="AK226" s="4"/>
      <c r="AL226" s="4"/>
      <c r="AM226" s="4"/>
      <c r="AN226" s="4"/>
      <c r="AO226" s="4"/>
      <c r="AP226" s="4"/>
      <c r="AQ226" s="4"/>
      <c r="AR226" s="4"/>
      <c r="AS226" s="4"/>
      <c r="AT226" s="4"/>
      <c r="AU226" s="654"/>
      <c r="AV226" s="655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654"/>
      <c r="BH226" s="655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654"/>
      <c r="BT226" s="655"/>
      <c r="BU226" s="4"/>
      <c r="BV226" s="4"/>
      <c r="BW226" s="4"/>
      <c r="BX226" s="4"/>
      <c r="BY226" s="4"/>
      <c r="BZ226" s="4"/>
      <c r="CA226" s="4"/>
      <c r="CB226" s="4"/>
      <c r="CC226" s="4"/>
      <c r="CD226" s="4"/>
      <c r="CE226" s="693"/>
      <c r="CF226" s="723"/>
      <c r="CG226" s="4"/>
      <c r="CH226" s="4"/>
      <c r="CI226" s="4"/>
      <c r="CJ226" s="4">
        <v>108</v>
      </c>
      <c r="CK226" s="4"/>
      <c r="CL226" s="4"/>
      <c r="CM226" s="4"/>
      <c r="CN226" s="4"/>
      <c r="CO226" s="4"/>
      <c r="CP226" s="4"/>
      <c r="CQ226" s="654"/>
      <c r="CR226" s="655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654"/>
      <c r="DD226" s="655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654"/>
      <c r="DP226" s="655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654"/>
      <c r="EB226" s="655"/>
      <c r="EC226" s="4"/>
      <c r="ED226" s="4"/>
      <c r="EE226" s="4"/>
      <c r="EF226" s="4"/>
      <c r="EG226" s="4"/>
      <c r="EH226" s="4"/>
      <c r="EI226" s="4"/>
      <c r="EJ226" s="4"/>
      <c r="EK226" s="4"/>
      <c r="EL226" s="4"/>
      <c r="EM226" s="693"/>
      <c r="EN226" s="723"/>
      <c r="EO226" s="4"/>
      <c r="EP226" s="4"/>
      <c r="EQ226" s="4"/>
      <c r="ER226" s="4">
        <v>108</v>
      </c>
      <c r="ES226" s="4"/>
      <c r="ET226" s="4"/>
      <c r="EU226" s="4"/>
      <c r="EV226" s="4"/>
      <c r="EW226" s="4"/>
      <c r="EX226" s="4"/>
      <c r="EY226" s="654"/>
      <c r="EZ226" s="655"/>
      <c r="FA226" s="4"/>
      <c r="FB226" s="4"/>
      <c r="FC226" s="4"/>
      <c r="FD226" s="4"/>
      <c r="FE226" s="4"/>
      <c r="FF226" s="4"/>
      <c r="FG226" s="4"/>
      <c r="FH226" s="4"/>
      <c r="FI226" s="4"/>
      <c r="FJ226" s="4"/>
      <c r="FK226" s="654"/>
      <c r="FL226" s="655"/>
      <c r="FM226" s="4"/>
      <c r="FN226" s="4"/>
      <c r="FO226" s="4"/>
      <c r="FP226" s="4"/>
      <c r="FQ226" s="4"/>
      <c r="FR226" s="4"/>
      <c r="FS226" s="4"/>
      <c r="FT226" s="4"/>
      <c r="FU226" s="4"/>
      <c r="FV226" s="4"/>
      <c r="FW226" s="654"/>
      <c r="FX226" s="655"/>
      <c r="FY226" s="4"/>
      <c r="FZ226" s="4"/>
      <c r="GA226" s="4"/>
      <c r="GB226" s="4"/>
      <c r="GC226" s="4"/>
      <c r="GD226" s="4"/>
      <c r="GE226" s="4"/>
      <c r="GF226" s="4"/>
      <c r="GG226" s="4"/>
      <c r="GH226" s="4"/>
      <c r="GI226" s="654"/>
      <c r="GJ226" s="655"/>
      <c r="GK226" s="4"/>
      <c r="GL226" s="4"/>
      <c r="GM226" s="4"/>
      <c r="GN226" s="4"/>
      <c r="GO226" s="4"/>
      <c r="GP226" s="4"/>
      <c r="GQ226" s="4"/>
      <c r="GR226" s="4"/>
      <c r="GS226" s="4"/>
      <c r="GT226" s="4"/>
      <c r="GU226" s="722"/>
      <c r="GV226" s="715"/>
    </row>
    <row r="227" spans="1:204" x14ac:dyDescent="0.25">
      <c r="A227" t="s">
        <v>1150</v>
      </c>
      <c r="B227" s="2" t="s">
        <v>1149</v>
      </c>
      <c r="C227" s="619">
        <v>44589</v>
      </c>
      <c r="D227" s="2" t="s">
        <v>1128</v>
      </c>
      <c r="E227" t="s">
        <v>59</v>
      </c>
      <c r="F227" s="2" t="s">
        <v>43</v>
      </c>
      <c r="G227" t="s">
        <v>40</v>
      </c>
      <c r="H227" s="690" t="s">
        <v>85</v>
      </c>
      <c r="I227" s="691" t="s">
        <v>43</v>
      </c>
      <c r="J227" s="721">
        <v>3780401000108</v>
      </c>
      <c r="K227" s="691" t="s">
        <v>503</v>
      </c>
      <c r="L227" s="721">
        <v>17386017000121</v>
      </c>
      <c r="M227" s="718" t="s">
        <v>3</v>
      </c>
      <c r="N227" s="717" t="s">
        <v>44</v>
      </c>
      <c r="O227" s="719">
        <v>44621</v>
      </c>
      <c r="P227" s="720">
        <v>44651</v>
      </c>
      <c r="Q227" s="718">
        <v>84</v>
      </c>
      <c r="R227" s="717">
        <v>1</v>
      </c>
      <c r="S227" s="691" t="s">
        <v>54</v>
      </c>
      <c r="T227" t="s">
        <v>358</v>
      </c>
      <c r="U227" s="673" t="s">
        <v>358</v>
      </c>
      <c r="V227" s="690" t="s">
        <v>358</v>
      </c>
      <c r="W227" s="657" t="s">
        <v>329</v>
      </c>
      <c r="X227" s="723"/>
      <c r="Y227" s="4"/>
      <c r="Z227" s="4">
        <v>1</v>
      </c>
      <c r="AA227" s="4"/>
      <c r="AB227" s="4"/>
      <c r="AC227" s="4"/>
      <c r="AD227" s="4"/>
      <c r="AE227" s="4"/>
      <c r="AF227" s="4"/>
      <c r="AG227" s="4"/>
      <c r="AH227" s="4"/>
      <c r="AI227" s="654"/>
      <c r="AJ227" s="655"/>
      <c r="AK227" s="4"/>
      <c r="AL227" s="4"/>
      <c r="AM227" s="4"/>
      <c r="AN227" s="4"/>
      <c r="AO227" s="4"/>
      <c r="AP227" s="4"/>
      <c r="AQ227" s="4"/>
      <c r="AR227" s="4"/>
      <c r="AS227" s="4"/>
      <c r="AT227" s="4"/>
      <c r="AU227" s="654"/>
      <c r="AV227" s="655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654"/>
      <c r="BH227" s="655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654"/>
      <c r="BT227" s="655"/>
      <c r="BU227" s="4"/>
      <c r="BV227" s="4"/>
      <c r="BW227" s="4"/>
      <c r="BX227" s="4"/>
      <c r="BY227" s="4"/>
      <c r="BZ227" s="4"/>
      <c r="CA227" s="4"/>
      <c r="CB227" s="4"/>
      <c r="CC227" s="4"/>
      <c r="CD227" s="4"/>
      <c r="CE227" s="693"/>
      <c r="CF227" s="723"/>
      <c r="CG227" s="4"/>
      <c r="CH227" s="4">
        <v>84</v>
      </c>
      <c r="CI227" s="4"/>
      <c r="CJ227" s="4"/>
      <c r="CK227" s="4"/>
      <c r="CL227" s="4"/>
      <c r="CM227" s="4"/>
      <c r="CN227" s="4"/>
      <c r="CO227" s="4"/>
      <c r="CP227" s="4"/>
      <c r="CQ227" s="654"/>
      <c r="CR227" s="655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654"/>
      <c r="DD227" s="655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654"/>
      <c r="DP227" s="655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654"/>
      <c r="EB227" s="655"/>
      <c r="EC227" s="4"/>
      <c r="ED227" s="4"/>
      <c r="EE227" s="4"/>
      <c r="EF227" s="4"/>
      <c r="EG227" s="4"/>
      <c r="EH227" s="4"/>
      <c r="EI227" s="4"/>
      <c r="EJ227" s="4"/>
      <c r="EK227" s="4"/>
      <c r="EL227" s="4"/>
      <c r="EM227" s="693"/>
      <c r="EN227" s="723"/>
      <c r="EO227" s="4"/>
      <c r="EP227" s="4">
        <v>84</v>
      </c>
      <c r="EQ227" s="4"/>
      <c r="ER227" s="4"/>
      <c r="ES227" s="4"/>
      <c r="ET227" s="4"/>
      <c r="EU227" s="4"/>
      <c r="EV227" s="4"/>
      <c r="EW227" s="4"/>
      <c r="EX227" s="4"/>
      <c r="EY227" s="654"/>
      <c r="EZ227" s="655"/>
      <c r="FA227" s="4"/>
      <c r="FB227" s="4"/>
      <c r="FC227" s="4"/>
      <c r="FD227" s="4"/>
      <c r="FE227" s="4"/>
      <c r="FF227" s="4"/>
      <c r="FG227" s="4"/>
      <c r="FH227" s="4"/>
      <c r="FI227" s="4"/>
      <c r="FJ227" s="4"/>
      <c r="FK227" s="654"/>
      <c r="FL227" s="655"/>
      <c r="FM227" s="4"/>
      <c r="FN227" s="4"/>
      <c r="FO227" s="4"/>
      <c r="FP227" s="4"/>
      <c r="FQ227" s="4"/>
      <c r="FR227" s="4"/>
      <c r="FS227" s="4"/>
      <c r="FT227" s="4"/>
      <c r="FU227" s="4"/>
      <c r="FV227" s="4"/>
      <c r="FW227" s="654"/>
      <c r="FX227" s="655"/>
      <c r="FY227" s="4"/>
      <c r="FZ227" s="4"/>
      <c r="GA227" s="4"/>
      <c r="GB227" s="4"/>
      <c r="GC227" s="4"/>
      <c r="GD227" s="4"/>
      <c r="GE227" s="4"/>
      <c r="GF227" s="4"/>
      <c r="GG227" s="4"/>
      <c r="GH227" s="4"/>
      <c r="GI227" s="654"/>
      <c r="GJ227" s="655"/>
      <c r="GK227" s="4"/>
      <c r="GL227" s="4"/>
      <c r="GM227" s="4"/>
      <c r="GN227" s="4"/>
      <c r="GO227" s="4"/>
      <c r="GP227" s="4"/>
      <c r="GQ227" s="4"/>
      <c r="GR227" s="4"/>
      <c r="GS227" s="4"/>
      <c r="GT227" s="4"/>
      <c r="GU227" s="722"/>
      <c r="GV227" s="715"/>
    </row>
    <row r="228" spans="1:204" x14ac:dyDescent="0.25">
      <c r="A228" t="s">
        <v>1152</v>
      </c>
      <c r="B228" s="2" t="s">
        <v>1151</v>
      </c>
      <c r="C228" s="619">
        <v>44589</v>
      </c>
      <c r="D228" s="2" t="s">
        <v>1129</v>
      </c>
      <c r="E228" t="s">
        <v>59</v>
      </c>
      <c r="F228" s="2" t="s">
        <v>43</v>
      </c>
      <c r="G228" t="s">
        <v>40</v>
      </c>
      <c r="H228" s="690" t="s">
        <v>85</v>
      </c>
      <c r="I228" s="691" t="s">
        <v>43</v>
      </c>
      <c r="J228" s="721">
        <v>3780401000108</v>
      </c>
      <c r="K228" s="691" t="s">
        <v>503</v>
      </c>
      <c r="L228" s="721">
        <v>17386017000121</v>
      </c>
      <c r="M228" s="718" t="s">
        <v>3</v>
      </c>
      <c r="N228" s="717" t="s">
        <v>44</v>
      </c>
      <c r="O228" s="719">
        <v>44621</v>
      </c>
      <c r="P228" s="720">
        <v>44651</v>
      </c>
      <c r="Q228" s="718">
        <v>84</v>
      </c>
      <c r="R228" s="717">
        <v>4</v>
      </c>
      <c r="S228" s="691" t="s">
        <v>54</v>
      </c>
      <c r="T228" t="s">
        <v>358</v>
      </c>
      <c r="U228" s="673" t="s">
        <v>358</v>
      </c>
      <c r="V228" s="690" t="s">
        <v>358</v>
      </c>
      <c r="W228" s="657" t="s">
        <v>329</v>
      </c>
      <c r="X228" s="723"/>
      <c r="Y228" s="4"/>
      <c r="Z228" s="4">
        <v>4</v>
      </c>
      <c r="AA228" s="4"/>
      <c r="AB228" s="4"/>
      <c r="AC228" s="4"/>
      <c r="AD228" s="4"/>
      <c r="AE228" s="4"/>
      <c r="AF228" s="4"/>
      <c r="AG228" s="4"/>
      <c r="AH228" s="4"/>
      <c r="AI228" s="654"/>
      <c r="AJ228" s="655"/>
      <c r="AK228" s="4"/>
      <c r="AL228" s="4"/>
      <c r="AM228" s="4"/>
      <c r="AN228" s="4"/>
      <c r="AO228" s="4"/>
      <c r="AP228" s="4"/>
      <c r="AQ228" s="4"/>
      <c r="AR228" s="4"/>
      <c r="AS228" s="4"/>
      <c r="AT228" s="4"/>
      <c r="AU228" s="654"/>
      <c r="AV228" s="655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654"/>
      <c r="BH228" s="655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654"/>
      <c r="BT228" s="655"/>
      <c r="BU228" s="4"/>
      <c r="BV228" s="4"/>
      <c r="BW228" s="4"/>
      <c r="BX228" s="4"/>
      <c r="BY228" s="4"/>
      <c r="BZ228" s="4"/>
      <c r="CA228" s="4"/>
      <c r="CB228" s="4"/>
      <c r="CC228" s="4"/>
      <c r="CD228" s="4"/>
      <c r="CE228" s="693"/>
      <c r="CF228" s="723"/>
      <c r="CG228" s="4"/>
      <c r="CH228" s="4">
        <v>84</v>
      </c>
      <c r="CI228" s="4"/>
      <c r="CJ228" s="4"/>
      <c r="CK228" s="4"/>
      <c r="CL228" s="4"/>
      <c r="CM228" s="4"/>
      <c r="CN228" s="4"/>
      <c r="CO228" s="4"/>
      <c r="CP228" s="4"/>
      <c r="CQ228" s="654"/>
      <c r="CR228" s="655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654"/>
      <c r="DD228" s="655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654"/>
      <c r="DP228" s="655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654"/>
      <c r="EB228" s="655"/>
      <c r="EC228" s="4"/>
      <c r="ED228" s="4"/>
      <c r="EE228" s="4"/>
      <c r="EF228" s="4"/>
      <c r="EG228" s="4"/>
      <c r="EH228" s="4"/>
      <c r="EI228" s="4"/>
      <c r="EJ228" s="4"/>
      <c r="EK228" s="4"/>
      <c r="EL228" s="4"/>
      <c r="EM228" s="693"/>
      <c r="EN228" s="723"/>
      <c r="EO228" s="4"/>
      <c r="EP228" s="4">
        <v>84</v>
      </c>
      <c r="EQ228" s="4"/>
      <c r="ER228" s="4"/>
      <c r="ES228" s="4"/>
      <c r="ET228" s="4"/>
      <c r="EU228" s="4"/>
      <c r="EV228" s="4"/>
      <c r="EW228" s="4"/>
      <c r="EX228" s="4"/>
      <c r="EY228" s="654"/>
      <c r="EZ228" s="655"/>
      <c r="FA228" s="4"/>
      <c r="FB228" s="4"/>
      <c r="FC228" s="4"/>
      <c r="FD228" s="4"/>
      <c r="FE228" s="4"/>
      <c r="FF228" s="4"/>
      <c r="FG228" s="4"/>
      <c r="FH228" s="4"/>
      <c r="FI228" s="4"/>
      <c r="FJ228" s="4"/>
      <c r="FK228" s="654"/>
      <c r="FL228" s="655"/>
      <c r="FM228" s="4"/>
      <c r="FN228" s="4"/>
      <c r="FO228" s="4"/>
      <c r="FP228" s="4"/>
      <c r="FQ228" s="4"/>
      <c r="FR228" s="4"/>
      <c r="FS228" s="4"/>
      <c r="FT228" s="4"/>
      <c r="FU228" s="4"/>
      <c r="FV228" s="4"/>
      <c r="FW228" s="654"/>
      <c r="FX228" s="655"/>
      <c r="FY228" s="4"/>
      <c r="FZ228" s="4"/>
      <c r="GA228" s="4"/>
      <c r="GB228" s="4"/>
      <c r="GC228" s="4"/>
      <c r="GD228" s="4"/>
      <c r="GE228" s="4"/>
      <c r="GF228" s="4"/>
      <c r="GG228" s="4"/>
      <c r="GH228" s="4"/>
      <c r="GI228" s="654"/>
      <c r="GJ228" s="655"/>
      <c r="GK228" s="4"/>
      <c r="GL228" s="4"/>
      <c r="GM228" s="4"/>
      <c r="GN228" s="4"/>
      <c r="GO228" s="4"/>
      <c r="GP228" s="4"/>
      <c r="GQ228" s="4"/>
      <c r="GR228" s="4"/>
      <c r="GS228" s="4"/>
      <c r="GT228" s="4"/>
      <c r="GU228" s="722"/>
      <c r="GV228" s="715"/>
    </row>
    <row r="229" spans="1:204" x14ac:dyDescent="0.25">
      <c r="A229" t="s">
        <v>1154</v>
      </c>
      <c r="B229" s="2" t="s">
        <v>1153</v>
      </c>
      <c r="C229" s="619">
        <v>44589</v>
      </c>
      <c r="D229" s="2" t="s">
        <v>1130</v>
      </c>
      <c r="E229" t="s">
        <v>59</v>
      </c>
      <c r="F229" s="2" t="s">
        <v>43</v>
      </c>
      <c r="G229" t="s">
        <v>40</v>
      </c>
      <c r="H229" s="690" t="s">
        <v>85</v>
      </c>
      <c r="I229" s="691" t="s">
        <v>43</v>
      </c>
      <c r="J229" s="721">
        <v>3780401000108</v>
      </c>
      <c r="K229" s="691" t="s">
        <v>348</v>
      </c>
      <c r="L229" s="721">
        <v>13777004000122</v>
      </c>
      <c r="M229" s="718" t="s">
        <v>3</v>
      </c>
      <c r="N229" s="717" t="s">
        <v>44</v>
      </c>
      <c r="O229" s="719">
        <v>44682</v>
      </c>
      <c r="P229" s="720">
        <v>44712</v>
      </c>
      <c r="Q229" s="718">
        <v>105</v>
      </c>
      <c r="R229" s="717">
        <v>5</v>
      </c>
      <c r="S229" s="691" t="s">
        <v>54</v>
      </c>
      <c r="T229" t="s">
        <v>358</v>
      </c>
      <c r="U229" s="673" t="s">
        <v>358</v>
      </c>
      <c r="V229" s="690" t="s">
        <v>358</v>
      </c>
      <c r="W229" s="657" t="s">
        <v>329</v>
      </c>
      <c r="X229" s="723"/>
      <c r="Y229" s="4"/>
      <c r="Z229" s="4"/>
      <c r="AA229" s="4"/>
      <c r="AB229" s="4">
        <v>5</v>
      </c>
      <c r="AC229" s="4"/>
      <c r="AD229" s="4"/>
      <c r="AE229" s="4"/>
      <c r="AF229" s="4"/>
      <c r="AG229" s="4"/>
      <c r="AH229" s="4"/>
      <c r="AI229" s="654"/>
      <c r="AJ229" s="655"/>
      <c r="AK229" s="4"/>
      <c r="AL229" s="4"/>
      <c r="AM229" s="4"/>
      <c r="AN229" s="4"/>
      <c r="AO229" s="4"/>
      <c r="AP229" s="4"/>
      <c r="AQ229" s="4"/>
      <c r="AR229" s="4"/>
      <c r="AS229" s="4"/>
      <c r="AT229" s="4"/>
      <c r="AU229" s="654"/>
      <c r="AV229" s="655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654"/>
      <c r="BH229" s="655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654"/>
      <c r="BT229" s="655"/>
      <c r="BU229" s="4"/>
      <c r="BV229" s="4"/>
      <c r="BW229" s="4"/>
      <c r="BX229" s="4"/>
      <c r="BY229" s="4"/>
      <c r="BZ229" s="4"/>
      <c r="CA229" s="4"/>
      <c r="CB229" s="4"/>
      <c r="CC229" s="4"/>
      <c r="CD229" s="4"/>
      <c r="CE229" s="693"/>
      <c r="CF229" s="723"/>
      <c r="CG229" s="4"/>
      <c r="CH229" s="4"/>
      <c r="CI229" s="4"/>
      <c r="CJ229" s="4">
        <v>105</v>
      </c>
      <c r="CK229" s="4"/>
      <c r="CL229" s="4"/>
      <c r="CM229" s="4"/>
      <c r="CN229" s="4"/>
      <c r="CO229" s="4"/>
      <c r="CP229" s="4"/>
      <c r="CQ229" s="654"/>
      <c r="CR229" s="655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654"/>
      <c r="DD229" s="655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654"/>
      <c r="DP229" s="655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654"/>
      <c r="EB229" s="655"/>
      <c r="EC229" s="4"/>
      <c r="ED229" s="4"/>
      <c r="EE229" s="4"/>
      <c r="EF229" s="4"/>
      <c r="EG229" s="4"/>
      <c r="EH229" s="4"/>
      <c r="EI229" s="4"/>
      <c r="EJ229" s="4"/>
      <c r="EK229" s="4"/>
      <c r="EL229" s="4"/>
      <c r="EM229" s="693"/>
      <c r="EN229" s="723"/>
      <c r="EO229" s="4"/>
      <c r="EP229" s="4"/>
      <c r="EQ229" s="4"/>
      <c r="ER229" s="4">
        <v>105</v>
      </c>
      <c r="ES229" s="4"/>
      <c r="ET229" s="4"/>
      <c r="EU229" s="4"/>
      <c r="EV229" s="4"/>
      <c r="EW229" s="4"/>
      <c r="EX229" s="4"/>
      <c r="EY229" s="654"/>
      <c r="EZ229" s="655"/>
      <c r="FA229" s="4"/>
      <c r="FB229" s="4"/>
      <c r="FC229" s="4"/>
      <c r="FD229" s="4"/>
      <c r="FE229" s="4"/>
      <c r="FF229" s="4"/>
      <c r="FG229" s="4"/>
      <c r="FH229" s="4"/>
      <c r="FI229" s="4"/>
      <c r="FJ229" s="4"/>
      <c r="FK229" s="654"/>
      <c r="FL229" s="655"/>
      <c r="FM229" s="4"/>
      <c r="FN229" s="4"/>
      <c r="FO229" s="4"/>
      <c r="FP229" s="4"/>
      <c r="FQ229" s="4"/>
      <c r="FR229" s="4"/>
      <c r="FS229" s="4"/>
      <c r="FT229" s="4"/>
      <c r="FU229" s="4"/>
      <c r="FV229" s="4"/>
      <c r="FW229" s="654"/>
      <c r="FX229" s="655"/>
      <c r="FY229" s="4"/>
      <c r="FZ229" s="4"/>
      <c r="GA229" s="4"/>
      <c r="GB229" s="4"/>
      <c r="GC229" s="4"/>
      <c r="GD229" s="4"/>
      <c r="GE229" s="4"/>
      <c r="GF229" s="4"/>
      <c r="GG229" s="4"/>
      <c r="GH229" s="4"/>
      <c r="GI229" s="654"/>
      <c r="GJ229" s="655"/>
      <c r="GK229" s="4"/>
      <c r="GL229" s="4"/>
      <c r="GM229" s="4"/>
      <c r="GN229" s="4"/>
      <c r="GO229" s="4"/>
      <c r="GP229" s="4"/>
      <c r="GQ229" s="4"/>
      <c r="GR229" s="4"/>
      <c r="GS229" s="4"/>
      <c r="GT229" s="4"/>
      <c r="GU229" s="722"/>
      <c r="GV229" s="715"/>
    </row>
    <row r="230" spans="1:204" x14ac:dyDescent="0.25">
      <c r="A230" t="s">
        <v>1156</v>
      </c>
      <c r="B230" s="2" t="s">
        <v>1155</v>
      </c>
      <c r="C230" s="619">
        <v>44589</v>
      </c>
      <c r="D230" s="2" t="s">
        <v>1131</v>
      </c>
      <c r="E230" t="s">
        <v>59</v>
      </c>
      <c r="F230" s="2" t="s">
        <v>43</v>
      </c>
      <c r="G230" t="s">
        <v>40</v>
      </c>
      <c r="H230" s="690" t="s">
        <v>85</v>
      </c>
      <c r="I230" s="691" t="s">
        <v>43</v>
      </c>
      <c r="J230" s="721">
        <v>3780401000108</v>
      </c>
      <c r="K230" s="691" t="s">
        <v>509</v>
      </c>
      <c r="L230" s="721">
        <v>9149503000360</v>
      </c>
      <c r="M230" s="718" t="s">
        <v>3</v>
      </c>
      <c r="N230" s="717" t="s">
        <v>44</v>
      </c>
      <c r="O230" s="719">
        <v>44621</v>
      </c>
      <c r="P230" s="720">
        <v>44651</v>
      </c>
      <c r="Q230" s="718">
        <v>84</v>
      </c>
      <c r="R230" s="717">
        <v>2</v>
      </c>
      <c r="S230" s="691" t="s">
        <v>54</v>
      </c>
      <c r="T230" t="s">
        <v>358</v>
      </c>
      <c r="U230" s="673" t="s">
        <v>358</v>
      </c>
      <c r="V230" s="690" t="s">
        <v>358</v>
      </c>
      <c r="W230" s="657" t="s">
        <v>329</v>
      </c>
      <c r="X230" s="723"/>
      <c r="Y230" s="4"/>
      <c r="Z230" s="4">
        <v>2</v>
      </c>
      <c r="AA230" s="4"/>
      <c r="AB230" s="4"/>
      <c r="AC230" s="4"/>
      <c r="AD230" s="4"/>
      <c r="AE230" s="4"/>
      <c r="AF230" s="4"/>
      <c r="AG230" s="4"/>
      <c r="AH230" s="4"/>
      <c r="AI230" s="654"/>
      <c r="AJ230" s="655"/>
      <c r="AK230" s="4"/>
      <c r="AL230" s="4"/>
      <c r="AM230" s="4"/>
      <c r="AN230" s="4"/>
      <c r="AO230" s="4"/>
      <c r="AP230" s="4"/>
      <c r="AQ230" s="4"/>
      <c r="AR230" s="4"/>
      <c r="AS230" s="4"/>
      <c r="AT230" s="4"/>
      <c r="AU230" s="654"/>
      <c r="AV230" s="655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654"/>
      <c r="BH230" s="655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654"/>
      <c r="BT230" s="655"/>
      <c r="BU230" s="4"/>
      <c r="BV230" s="4"/>
      <c r="BW230" s="4"/>
      <c r="BX230" s="4"/>
      <c r="BY230" s="4"/>
      <c r="BZ230" s="4"/>
      <c r="CA230" s="4"/>
      <c r="CB230" s="4"/>
      <c r="CC230" s="4"/>
      <c r="CD230" s="4"/>
      <c r="CE230" s="693"/>
      <c r="CF230" s="723"/>
      <c r="CG230" s="4"/>
      <c r="CH230" s="4">
        <v>84</v>
      </c>
      <c r="CI230" s="4"/>
      <c r="CJ230" s="4"/>
      <c r="CK230" s="4"/>
      <c r="CL230" s="4"/>
      <c r="CM230" s="4"/>
      <c r="CN230" s="4"/>
      <c r="CO230" s="4"/>
      <c r="CP230" s="4"/>
      <c r="CQ230" s="654"/>
      <c r="CR230" s="655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654"/>
      <c r="DD230" s="655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654"/>
      <c r="DP230" s="655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654"/>
      <c r="EB230" s="655"/>
      <c r="EC230" s="4"/>
      <c r="ED230" s="4"/>
      <c r="EE230" s="4"/>
      <c r="EF230" s="4"/>
      <c r="EG230" s="4"/>
      <c r="EH230" s="4"/>
      <c r="EI230" s="4"/>
      <c r="EJ230" s="4"/>
      <c r="EK230" s="4"/>
      <c r="EL230" s="4"/>
      <c r="EM230" s="693"/>
      <c r="EN230" s="723"/>
      <c r="EO230" s="4"/>
      <c r="EP230" s="4">
        <v>84</v>
      </c>
      <c r="EQ230" s="4"/>
      <c r="ER230" s="4"/>
      <c r="ES230" s="4"/>
      <c r="ET230" s="4"/>
      <c r="EU230" s="4"/>
      <c r="EV230" s="4"/>
      <c r="EW230" s="4"/>
      <c r="EX230" s="4"/>
      <c r="EY230" s="654"/>
      <c r="EZ230" s="655"/>
      <c r="FA230" s="4"/>
      <c r="FB230" s="4"/>
      <c r="FC230" s="4"/>
      <c r="FD230" s="4"/>
      <c r="FE230" s="4"/>
      <c r="FF230" s="4"/>
      <c r="FG230" s="4"/>
      <c r="FH230" s="4"/>
      <c r="FI230" s="4"/>
      <c r="FJ230" s="4"/>
      <c r="FK230" s="654"/>
      <c r="FL230" s="655"/>
      <c r="FM230" s="4"/>
      <c r="FN230" s="4"/>
      <c r="FO230" s="4"/>
      <c r="FP230" s="4"/>
      <c r="FQ230" s="4"/>
      <c r="FR230" s="4"/>
      <c r="FS230" s="4"/>
      <c r="FT230" s="4"/>
      <c r="FU230" s="4"/>
      <c r="FV230" s="4"/>
      <c r="FW230" s="654"/>
      <c r="FX230" s="655"/>
      <c r="FY230" s="4"/>
      <c r="FZ230" s="4"/>
      <c r="GA230" s="4"/>
      <c r="GB230" s="4"/>
      <c r="GC230" s="4"/>
      <c r="GD230" s="4"/>
      <c r="GE230" s="4"/>
      <c r="GF230" s="4"/>
      <c r="GG230" s="4"/>
      <c r="GH230" s="4"/>
      <c r="GI230" s="654"/>
      <c r="GJ230" s="655"/>
      <c r="GK230" s="4"/>
      <c r="GL230" s="4"/>
      <c r="GM230" s="4"/>
      <c r="GN230" s="4"/>
      <c r="GO230" s="4"/>
      <c r="GP230" s="4"/>
      <c r="GQ230" s="4"/>
      <c r="GR230" s="4"/>
      <c r="GS230" s="4"/>
      <c r="GT230" s="4"/>
      <c r="GU230" s="722"/>
      <c r="GV230" s="715"/>
    </row>
    <row r="231" spans="1:204" x14ac:dyDescent="0.25">
      <c r="A231" t="s">
        <v>1158</v>
      </c>
      <c r="B231" s="2" t="s">
        <v>1157</v>
      </c>
      <c r="C231" s="619">
        <v>44589</v>
      </c>
      <c r="D231" s="2">
        <v>21155</v>
      </c>
      <c r="E231" t="s">
        <v>59</v>
      </c>
      <c r="F231" s="2" t="s">
        <v>43</v>
      </c>
      <c r="G231" t="s">
        <v>40</v>
      </c>
      <c r="H231" s="690" t="s">
        <v>85</v>
      </c>
      <c r="I231" s="691" t="s">
        <v>43</v>
      </c>
      <c r="J231" s="721">
        <v>3780401000108</v>
      </c>
      <c r="K231" s="691" t="s">
        <v>1135</v>
      </c>
      <c r="L231" s="721">
        <v>30306294000226</v>
      </c>
      <c r="M231" s="718" t="s">
        <v>3</v>
      </c>
      <c r="N231" s="717" t="s">
        <v>44</v>
      </c>
      <c r="O231" s="719">
        <v>44682</v>
      </c>
      <c r="P231" s="720">
        <v>44712</v>
      </c>
      <c r="Q231" s="718">
        <v>108</v>
      </c>
      <c r="R231" s="717">
        <v>5</v>
      </c>
      <c r="S231" s="691" t="s">
        <v>54</v>
      </c>
      <c r="T231" t="s">
        <v>358</v>
      </c>
      <c r="U231" s="673" t="s">
        <v>358</v>
      </c>
      <c r="V231" s="690" t="s">
        <v>358</v>
      </c>
      <c r="W231" s="657" t="s">
        <v>329</v>
      </c>
      <c r="X231" s="723"/>
      <c r="Y231" s="4"/>
      <c r="Z231" s="4"/>
      <c r="AA231" s="4"/>
      <c r="AB231" s="4">
        <v>5</v>
      </c>
      <c r="AC231" s="4"/>
      <c r="AD231" s="4"/>
      <c r="AE231" s="4"/>
      <c r="AF231" s="4"/>
      <c r="AG231" s="4"/>
      <c r="AH231" s="4"/>
      <c r="AI231" s="654"/>
      <c r="AJ231" s="655"/>
      <c r="AK231" s="4"/>
      <c r="AL231" s="4"/>
      <c r="AM231" s="4"/>
      <c r="AN231" s="4"/>
      <c r="AO231" s="4"/>
      <c r="AP231" s="4"/>
      <c r="AQ231" s="4"/>
      <c r="AR231" s="4"/>
      <c r="AS231" s="4"/>
      <c r="AT231" s="4"/>
      <c r="AU231" s="654"/>
      <c r="AV231" s="655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654"/>
      <c r="BH231" s="655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654"/>
      <c r="BT231" s="655"/>
      <c r="BU231" s="4"/>
      <c r="BV231" s="4"/>
      <c r="BW231" s="4"/>
      <c r="BX231" s="4"/>
      <c r="BY231" s="4"/>
      <c r="BZ231" s="4"/>
      <c r="CA231" s="4"/>
      <c r="CB231" s="4"/>
      <c r="CC231" s="4"/>
      <c r="CD231" s="4"/>
      <c r="CE231" s="693"/>
      <c r="CF231" s="723"/>
      <c r="CG231" s="4"/>
      <c r="CH231" s="4"/>
      <c r="CI231" s="4"/>
      <c r="CJ231" s="4">
        <v>108</v>
      </c>
      <c r="CK231" s="4"/>
      <c r="CL231" s="4"/>
      <c r="CM231" s="4"/>
      <c r="CN231" s="4"/>
      <c r="CO231" s="4"/>
      <c r="CP231" s="4"/>
      <c r="CQ231" s="654"/>
      <c r="CR231" s="655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654"/>
      <c r="DD231" s="655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654"/>
      <c r="DP231" s="655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654"/>
      <c r="EB231" s="655"/>
      <c r="EC231" s="4"/>
      <c r="ED231" s="4"/>
      <c r="EE231" s="4"/>
      <c r="EF231" s="4"/>
      <c r="EG231" s="4"/>
      <c r="EH231" s="4"/>
      <c r="EI231" s="4"/>
      <c r="EJ231" s="4"/>
      <c r="EK231" s="4"/>
      <c r="EL231" s="4"/>
      <c r="EM231" s="693"/>
      <c r="EN231" s="723"/>
      <c r="EO231" s="4"/>
      <c r="EP231" s="4"/>
      <c r="EQ231" s="4"/>
      <c r="ER231" s="4">
        <v>108</v>
      </c>
      <c r="ES231" s="4"/>
      <c r="ET231" s="4"/>
      <c r="EU231" s="4"/>
      <c r="EV231" s="4"/>
      <c r="EW231" s="4"/>
      <c r="EX231" s="4"/>
      <c r="EY231" s="654"/>
      <c r="EZ231" s="655"/>
      <c r="FA231" s="4"/>
      <c r="FB231" s="4"/>
      <c r="FC231" s="4"/>
      <c r="FD231" s="4"/>
      <c r="FE231" s="4"/>
      <c r="FF231" s="4"/>
      <c r="FG231" s="4"/>
      <c r="FH231" s="4"/>
      <c r="FI231" s="4"/>
      <c r="FJ231" s="4"/>
      <c r="FK231" s="654"/>
      <c r="FL231" s="655"/>
      <c r="FM231" s="4"/>
      <c r="FN231" s="4"/>
      <c r="FO231" s="4"/>
      <c r="FP231" s="4"/>
      <c r="FQ231" s="4"/>
      <c r="FR231" s="4"/>
      <c r="FS231" s="4"/>
      <c r="FT231" s="4"/>
      <c r="FU231" s="4"/>
      <c r="FV231" s="4"/>
      <c r="FW231" s="654"/>
      <c r="FX231" s="655"/>
      <c r="FY231" s="4"/>
      <c r="FZ231" s="4"/>
      <c r="GA231" s="4"/>
      <c r="GB231" s="4"/>
      <c r="GC231" s="4"/>
      <c r="GD231" s="4"/>
      <c r="GE231" s="4"/>
      <c r="GF231" s="4"/>
      <c r="GG231" s="4"/>
      <c r="GH231" s="4"/>
      <c r="GI231" s="654"/>
      <c r="GJ231" s="655"/>
      <c r="GK231" s="4"/>
      <c r="GL231" s="4"/>
      <c r="GM231" s="4"/>
      <c r="GN231" s="4"/>
      <c r="GO231" s="4"/>
      <c r="GP231" s="4"/>
      <c r="GQ231" s="4"/>
      <c r="GR231" s="4"/>
      <c r="GS231" s="4"/>
      <c r="GT231" s="4"/>
      <c r="GU231" s="722"/>
      <c r="GV231" s="715"/>
    </row>
    <row r="232" spans="1:204" x14ac:dyDescent="0.25">
      <c r="A232" t="s">
        <v>1161</v>
      </c>
      <c r="B232" s="2" t="s">
        <v>358</v>
      </c>
      <c r="C232" s="619">
        <v>44592</v>
      </c>
      <c r="D232" s="2" t="s">
        <v>1159</v>
      </c>
      <c r="E232" t="s">
        <v>59</v>
      </c>
      <c r="F232" s="2" t="s">
        <v>43</v>
      </c>
      <c r="G232" t="s">
        <v>40</v>
      </c>
      <c r="H232" s="690" t="s">
        <v>85</v>
      </c>
      <c r="I232" s="691" t="s">
        <v>43</v>
      </c>
      <c r="J232" s="721">
        <v>3780401000108</v>
      </c>
      <c r="K232" s="691" t="s">
        <v>876</v>
      </c>
      <c r="L232" s="721">
        <v>22109465000118</v>
      </c>
      <c r="M232" s="718" t="s">
        <v>3</v>
      </c>
      <c r="N232" s="717" t="s">
        <v>44</v>
      </c>
      <c r="O232" s="719">
        <v>44743</v>
      </c>
      <c r="P232" s="720">
        <v>44834</v>
      </c>
      <c r="Q232" s="718">
        <v>185</v>
      </c>
      <c r="R232" s="717">
        <v>2</v>
      </c>
      <c r="S232" s="691" t="s">
        <v>54</v>
      </c>
      <c r="T232" t="s">
        <v>358</v>
      </c>
      <c r="U232" s="673" t="s">
        <v>358</v>
      </c>
      <c r="V232" s="690" t="s">
        <v>358</v>
      </c>
      <c r="W232" s="657" t="s">
        <v>214</v>
      </c>
      <c r="X232" s="723"/>
      <c r="Y232" s="4"/>
      <c r="Z232" s="4"/>
      <c r="AA232" s="4"/>
      <c r="AB232" s="4"/>
      <c r="AC232" s="4"/>
      <c r="AD232" s="4">
        <v>2</v>
      </c>
      <c r="AE232" s="4">
        <v>2</v>
      </c>
      <c r="AF232" s="4">
        <v>2</v>
      </c>
      <c r="AG232" s="4"/>
      <c r="AH232" s="4"/>
      <c r="AI232" s="654"/>
      <c r="AJ232" s="655"/>
      <c r="AK232" s="4"/>
      <c r="AL232" s="4"/>
      <c r="AM232" s="4"/>
      <c r="AN232" s="4"/>
      <c r="AO232" s="4"/>
      <c r="AP232" s="4"/>
      <c r="AQ232" s="4"/>
      <c r="AR232" s="4"/>
      <c r="AS232" s="4"/>
      <c r="AT232" s="4"/>
      <c r="AU232" s="654"/>
      <c r="AV232" s="655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654"/>
      <c r="BH232" s="655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654"/>
      <c r="BT232" s="655"/>
      <c r="BU232" s="4"/>
      <c r="BV232" s="4"/>
      <c r="BW232" s="4"/>
      <c r="BX232" s="4"/>
      <c r="BY232" s="4"/>
      <c r="BZ232" s="4"/>
      <c r="CA232" s="4"/>
      <c r="CB232" s="4"/>
      <c r="CC232" s="4"/>
      <c r="CD232" s="4"/>
      <c r="CE232" s="693"/>
      <c r="CF232" s="723"/>
      <c r="CG232" s="4"/>
      <c r="CH232" s="4"/>
      <c r="CI232" s="4"/>
      <c r="CJ232" s="4"/>
      <c r="CK232" s="4"/>
      <c r="CL232" s="4">
        <v>185</v>
      </c>
      <c r="CM232" s="4">
        <v>185</v>
      </c>
      <c r="CN232" s="4">
        <v>185</v>
      </c>
      <c r="CO232" s="4"/>
      <c r="CP232" s="4"/>
      <c r="CQ232" s="654"/>
      <c r="CR232" s="655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654"/>
      <c r="DD232" s="655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654"/>
      <c r="DP232" s="655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654"/>
      <c r="EB232" s="655"/>
      <c r="EC232" s="4"/>
      <c r="ED232" s="4"/>
      <c r="EE232" s="4"/>
      <c r="EF232" s="4"/>
      <c r="EG232" s="4"/>
      <c r="EH232" s="4"/>
      <c r="EI232" s="4"/>
      <c r="EJ232" s="4"/>
      <c r="EK232" s="4"/>
      <c r="EL232" s="4"/>
      <c r="EM232" s="693"/>
      <c r="EN232" s="723"/>
      <c r="EO232" s="4"/>
      <c r="EP232" s="4"/>
      <c r="EQ232" s="4"/>
      <c r="ER232" s="4"/>
      <c r="ES232" s="4"/>
      <c r="ET232" s="4">
        <v>185</v>
      </c>
      <c r="EU232" s="4">
        <v>185</v>
      </c>
      <c r="EV232" s="4">
        <v>185</v>
      </c>
      <c r="EW232" s="4"/>
      <c r="EX232" s="4"/>
      <c r="EY232" s="654"/>
      <c r="EZ232" s="655"/>
      <c r="FA232" s="4"/>
      <c r="FB232" s="4"/>
      <c r="FC232" s="4"/>
      <c r="FD232" s="4"/>
      <c r="FE232" s="4"/>
      <c r="FF232" s="4"/>
      <c r="FG232" s="4"/>
      <c r="FH232" s="4"/>
      <c r="FI232" s="4"/>
      <c r="FJ232" s="4"/>
      <c r="FK232" s="654"/>
      <c r="FL232" s="655"/>
      <c r="FM232" s="4"/>
      <c r="FN232" s="4"/>
      <c r="FO232" s="4"/>
      <c r="FP232" s="4"/>
      <c r="FQ232" s="4"/>
      <c r="FR232" s="4"/>
      <c r="FS232" s="4"/>
      <c r="FT232" s="4"/>
      <c r="FU232" s="4"/>
      <c r="FV232" s="4"/>
      <c r="FW232" s="654"/>
      <c r="FX232" s="655"/>
      <c r="FY232" s="4"/>
      <c r="FZ232" s="4"/>
      <c r="GA232" s="4"/>
      <c r="GB232" s="4"/>
      <c r="GC232" s="4"/>
      <c r="GD232" s="4"/>
      <c r="GE232" s="4"/>
      <c r="GF232" s="4"/>
      <c r="GG232" s="4"/>
      <c r="GH232" s="4"/>
      <c r="GI232" s="654"/>
      <c r="GJ232" s="655"/>
      <c r="GK232" s="4"/>
      <c r="GL232" s="4"/>
      <c r="GM232" s="4"/>
      <c r="GN232" s="4"/>
      <c r="GO232" s="4"/>
      <c r="GP232" s="4"/>
      <c r="GQ232" s="4"/>
      <c r="GR232" s="4"/>
      <c r="GS232" s="4"/>
      <c r="GT232" s="4"/>
      <c r="GU232" s="722"/>
      <c r="GV232" s="715"/>
    </row>
    <row r="233" spans="1:204" x14ac:dyDescent="0.25">
      <c r="A233" t="s">
        <v>1162</v>
      </c>
      <c r="B233" s="2" t="s">
        <v>358</v>
      </c>
      <c r="C233" s="619">
        <v>44592</v>
      </c>
      <c r="D233" s="2" t="s">
        <v>1160</v>
      </c>
      <c r="E233" t="s">
        <v>59</v>
      </c>
      <c r="F233" s="2" t="s">
        <v>43</v>
      </c>
      <c r="G233" t="s">
        <v>40</v>
      </c>
      <c r="H233" s="690" t="s">
        <v>85</v>
      </c>
      <c r="I233" s="691" t="s">
        <v>43</v>
      </c>
      <c r="J233" s="721">
        <v>3780401000108</v>
      </c>
      <c r="K233" s="691" t="s">
        <v>876</v>
      </c>
      <c r="L233" s="721">
        <v>22109465000118</v>
      </c>
      <c r="M233" s="718" t="s">
        <v>3</v>
      </c>
      <c r="N233" s="717" t="s">
        <v>44</v>
      </c>
      <c r="O233" s="719">
        <v>44743</v>
      </c>
      <c r="P233" s="720">
        <v>44834</v>
      </c>
      <c r="Q233" s="718">
        <v>184</v>
      </c>
      <c r="R233" s="717">
        <v>3</v>
      </c>
      <c r="S233" s="691" t="s">
        <v>54</v>
      </c>
      <c r="T233" t="s">
        <v>358</v>
      </c>
      <c r="U233" s="673" t="s">
        <v>358</v>
      </c>
      <c r="V233" s="690" t="s">
        <v>358</v>
      </c>
      <c r="W233" s="657" t="s">
        <v>214</v>
      </c>
      <c r="X233" s="723"/>
      <c r="Y233" s="4"/>
      <c r="Z233" s="4"/>
      <c r="AA233" s="4"/>
      <c r="AB233" s="4"/>
      <c r="AC233" s="4"/>
      <c r="AD233" s="4">
        <v>3</v>
      </c>
      <c r="AE233" s="4">
        <v>3</v>
      </c>
      <c r="AF233" s="4">
        <v>3</v>
      </c>
      <c r="AG233" s="4"/>
      <c r="AH233" s="4"/>
      <c r="AI233" s="654"/>
      <c r="AJ233" s="655"/>
      <c r="AK233" s="4"/>
      <c r="AL233" s="4"/>
      <c r="AM233" s="4"/>
      <c r="AN233" s="4"/>
      <c r="AO233" s="4"/>
      <c r="AP233" s="4"/>
      <c r="AQ233" s="4"/>
      <c r="AR233" s="4"/>
      <c r="AS233" s="4"/>
      <c r="AT233" s="4"/>
      <c r="AU233" s="654"/>
      <c r="AV233" s="655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654"/>
      <c r="BH233" s="655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654"/>
      <c r="BT233" s="655"/>
      <c r="BU233" s="4"/>
      <c r="BV233" s="4"/>
      <c r="BW233" s="4"/>
      <c r="BX233" s="4"/>
      <c r="BY233" s="4"/>
      <c r="BZ233" s="4"/>
      <c r="CA233" s="4"/>
      <c r="CB233" s="4"/>
      <c r="CC233" s="4"/>
      <c r="CD233" s="4"/>
      <c r="CE233" s="693"/>
      <c r="CF233" s="723"/>
      <c r="CG233" s="4"/>
      <c r="CH233" s="4"/>
      <c r="CI233" s="4"/>
      <c r="CJ233" s="4"/>
      <c r="CK233" s="4"/>
      <c r="CL233" s="4">
        <v>184</v>
      </c>
      <c r="CM233" s="4">
        <v>184</v>
      </c>
      <c r="CN233" s="4">
        <v>184</v>
      </c>
      <c r="CO233" s="4"/>
      <c r="CP233" s="4"/>
      <c r="CQ233" s="654"/>
      <c r="CR233" s="655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654"/>
      <c r="DD233" s="655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654"/>
      <c r="DP233" s="655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654"/>
      <c r="EB233" s="655"/>
      <c r="EC233" s="4"/>
      <c r="ED233" s="4"/>
      <c r="EE233" s="4"/>
      <c r="EF233" s="4"/>
      <c r="EG233" s="4"/>
      <c r="EH233" s="4"/>
      <c r="EI233" s="4"/>
      <c r="EJ233" s="4"/>
      <c r="EK233" s="4"/>
      <c r="EL233" s="4"/>
      <c r="EM233" s="693"/>
      <c r="EN233" s="723"/>
      <c r="EO233" s="4"/>
      <c r="EP233" s="4"/>
      <c r="EQ233" s="4"/>
      <c r="ER233" s="4"/>
      <c r="ES233" s="4"/>
      <c r="ET233" s="4">
        <v>184</v>
      </c>
      <c r="EU233" s="4">
        <v>184</v>
      </c>
      <c r="EV233" s="4">
        <v>184</v>
      </c>
      <c r="EW233" s="4"/>
      <c r="EX233" s="4"/>
      <c r="EY233" s="654"/>
      <c r="EZ233" s="655"/>
      <c r="FA233" s="4"/>
      <c r="FB233" s="4"/>
      <c r="FC233" s="4"/>
      <c r="FD233" s="4"/>
      <c r="FE233" s="4"/>
      <c r="FF233" s="4"/>
      <c r="FG233" s="4"/>
      <c r="FH233" s="4"/>
      <c r="FI233" s="4"/>
      <c r="FJ233" s="4"/>
      <c r="FK233" s="654"/>
      <c r="FL233" s="655"/>
      <c r="FM233" s="4"/>
      <c r="FN233" s="4"/>
      <c r="FO233" s="4"/>
      <c r="FP233" s="4"/>
      <c r="FQ233" s="4"/>
      <c r="FR233" s="4"/>
      <c r="FS233" s="4"/>
      <c r="FT233" s="4"/>
      <c r="FU233" s="4"/>
      <c r="FV233" s="4"/>
      <c r="FW233" s="654"/>
      <c r="FX233" s="655"/>
      <c r="FY233" s="4"/>
      <c r="FZ233" s="4"/>
      <c r="GA233" s="4"/>
      <c r="GB233" s="4"/>
      <c r="GC233" s="4"/>
      <c r="GD233" s="4"/>
      <c r="GE233" s="4"/>
      <c r="GF233" s="4"/>
      <c r="GG233" s="4"/>
      <c r="GH233" s="4"/>
      <c r="GI233" s="654"/>
      <c r="GJ233" s="655"/>
      <c r="GK233" s="4"/>
      <c r="GL233" s="4"/>
      <c r="GM233" s="4"/>
      <c r="GN233" s="4"/>
      <c r="GO233" s="4"/>
      <c r="GP233" s="4"/>
      <c r="GQ233" s="4"/>
      <c r="GR233" s="4"/>
      <c r="GS233" s="4"/>
      <c r="GT233" s="4"/>
      <c r="GU233" s="722"/>
      <c r="GV233" s="715"/>
    </row>
    <row r="234" spans="1:204" x14ac:dyDescent="0.25">
      <c r="A234" t="s">
        <v>1169</v>
      </c>
      <c r="B234" s="2" t="s">
        <v>1168</v>
      </c>
      <c r="C234" s="619">
        <v>44593</v>
      </c>
      <c r="D234" s="2" t="s">
        <v>1163</v>
      </c>
      <c r="E234" t="s">
        <v>59</v>
      </c>
      <c r="F234" s="2" t="s">
        <v>43</v>
      </c>
      <c r="G234" t="s">
        <v>40</v>
      </c>
      <c r="H234" s="690" t="s">
        <v>85</v>
      </c>
      <c r="I234" s="691" t="s">
        <v>43</v>
      </c>
      <c r="J234" s="721">
        <v>3780401000108</v>
      </c>
      <c r="K234" s="691" t="s">
        <v>1166</v>
      </c>
      <c r="L234" s="721">
        <v>7393256000155</v>
      </c>
      <c r="M234" s="718" t="s">
        <v>6</v>
      </c>
      <c r="N234" s="717" t="s">
        <v>44</v>
      </c>
      <c r="O234" s="719">
        <v>44562</v>
      </c>
      <c r="P234" s="720">
        <v>44592</v>
      </c>
      <c r="Q234" s="718">
        <v>212</v>
      </c>
      <c r="R234" s="717">
        <v>1.6120000000000001</v>
      </c>
      <c r="S234" s="691" t="s">
        <v>92</v>
      </c>
      <c r="T234" t="s">
        <v>358</v>
      </c>
      <c r="U234" s="673" t="s">
        <v>358</v>
      </c>
      <c r="V234" s="690" t="s">
        <v>358</v>
      </c>
      <c r="W234" s="657" t="s">
        <v>324</v>
      </c>
      <c r="X234" s="723">
        <v>1.6120000000000001</v>
      </c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654"/>
      <c r="AJ234" s="655"/>
      <c r="AK234" s="4"/>
      <c r="AL234" s="4"/>
      <c r="AM234" s="4"/>
      <c r="AN234" s="4"/>
      <c r="AO234" s="4"/>
      <c r="AP234" s="4"/>
      <c r="AQ234" s="4"/>
      <c r="AR234" s="4"/>
      <c r="AS234" s="4"/>
      <c r="AT234" s="4"/>
      <c r="AU234" s="654"/>
      <c r="AV234" s="655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654"/>
      <c r="BH234" s="655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654"/>
      <c r="BT234" s="655"/>
      <c r="BU234" s="4"/>
      <c r="BV234" s="4"/>
      <c r="BW234" s="4"/>
      <c r="BX234" s="4"/>
      <c r="BY234" s="4"/>
      <c r="BZ234" s="4"/>
      <c r="CA234" s="4"/>
      <c r="CB234" s="4"/>
      <c r="CC234" s="4"/>
      <c r="CD234" s="4"/>
      <c r="CE234" s="693"/>
      <c r="CF234" s="723">
        <v>212</v>
      </c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654"/>
      <c r="CR234" s="655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654"/>
      <c r="DD234" s="655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654"/>
      <c r="DP234" s="655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654"/>
      <c r="EB234" s="655"/>
      <c r="EC234" s="4"/>
      <c r="ED234" s="4"/>
      <c r="EE234" s="4"/>
      <c r="EF234" s="4"/>
      <c r="EG234" s="4"/>
      <c r="EH234" s="4"/>
      <c r="EI234" s="4"/>
      <c r="EJ234" s="4"/>
      <c r="EK234" s="4"/>
      <c r="EL234" s="4"/>
      <c r="EM234" s="693"/>
      <c r="EN234" s="723">
        <v>274.90999999999997</v>
      </c>
      <c r="EO234" s="4"/>
      <c r="EP234" s="4"/>
      <c r="EQ234" s="4"/>
      <c r="ER234" s="4"/>
      <c r="ES234" s="4"/>
      <c r="ET234" s="4"/>
      <c r="EU234" s="4"/>
      <c r="EV234" s="4"/>
      <c r="EW234" s="4"/>
      <c r="EX234" s="4"/>
      <c r="EY234" s="654"/>
      <c r="EZ234" s="655"/>
      <c r="FA234" s="4"/>
      <c r="FB234" s="4"/>
      <c r="FC234" s="4"/>
      <c r="FD234" s="4"/>
      <c r="FE234" s="4"/>
      <c r="FF234" s="4"/>
      <c r="FG234" s="4"/>
      <c r="FH234" s="4"/>
      <c r="FI234" s="4"/>
      <c r="FJ234" s="4"/>
      <c r="FK234" s="654"/>
      <c r="FL234" s="655"/>
      <c r="FM234" s="4"/>
      <c r="FN234" s="4"/>
      <c r="FO234" s="4"/>
      <c r="FP234" s="4"/>
      <c r="FQ234" s="4"/>
      <c r="FR234" s="4"/>
      <c r="FS234" s="4"/>
      <c r="FT234" s="4"/>
      <c r="FU234" s="4"/>
      <c r="FV234" s="4"/>
      <c r="FW234" s="654"/>
      <c r="FX234" s="655"/>
      <c r="FY234" s="4"/>
      <c r="FZ234" s="4"/>
      <c r="GA234" s="4"/>
      <c r="GB234" s="4"/>
      <c r="GC234" s="4"/>
      <c r="GD234" s="4"/>
      <c r="GE234" s="4"/>
      <c r="GF234" s="4"/>
      <c r="GG234" s="4"/>
      <c r="GH234" s="4"/>
      <c r="GI234" s="654"/>
      <c r="GJ234" s="655"/>
      <c r="GK234" s="4"/>
      <c r="GL234" s="4"/>
      <c r="GM234" s="4"/>
      <c r="GN234" s="4"/>
      <c r="GO234" s="4"/>
      <c r="GP234" s="4"/>
      <c r="GQ234" s="4"/>
      <c r="GR234" s="4"/>
      <c r="GS234" s="4"/>
      <c r="GT234" s="4"/>
      <c r="GU234" s="722"/>
      <c r="GV234" s="715"/>
    </row>
    <row r="235" spans="1:204" x14ac:dyDescent="0.25">
      <c r="A235" t="s">
        <v>1171</v>
      </c>
      <c r="B235" s="2" t="s">
        <v>1170</v>
      </c>
      <c r="C235" s="619">
        <v>44593</v>
      </c>
      <c r="D235" s="2" t="s">
        <v>1164</v>
      </c>
      <c r="E235" t="s">
        <v>59</v>
      </c>
      <c r="F235" s="2" t="s">
        <v>43</v>
      </c>
      <c r="G235" t="s">
        <v>40</v>
      </c>
      <c r="H235" s="690" t="s">
        <v>85</v>
      </c>
      <c r="I235" s="691" t="s">
        <v>43</v>
      </c>
      <c r="J235" s="721">
        <v>3780401000108</v>
      </c>
      <c r="K235" s="691" t="s">
        <v>1167</v>
      </c>
      <c r="L235" s="721">
        <v>15087610000141</v>
      </c>
      <c r="M235" s="718" t="s">
        <v>6</v>
      </c>
      <c r="N235" s="717" t="s">
        <v>44</v>
      </c>
      <c r="O235" s="719">
        <v>44562</v>
      </c>
      <c r="P235" s="720">
        <v>44592</v>
      </c>
      <c r="Q235" s="718">
        <v>210</v>
      </c>
      <c r="R235" s="717">
        <v>7</v>
      </c>
      <c r="S235" s="691" t="s">
        <v>92</v>
      </c>
      <c r="T235" t="s">
        <v>358</v>
      </c>
      <c r="U235" s="673" t="s">
        <v>358</v>
      </c>
      <c r="V235" s="690" t="s">
        <v>358</v>
      </c>
      <c r="W235" s="657" t="s">
        <v>324</v>
      </c>
      <c r="X235" s="723">
        <v>7</v>
      </c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654"/>
      <c r="AJ235" s="655"/>
      <c r="AK235" s="4"/>
      <c r="AL235" s="4"/>
      <c r="AM235" s="4"/>
      <c r="AN235" s="4"/>
      <c r="AO235" s="4"/>
      <c r="AP235" s="4"/>
      <c r="AQ235" s="4"/>
      <c r="AR235" s="4"/>
      <c r="AS235" s="4"/>
      <c r="AT235" s="4"/>
      <c r="AU235" s="654"/>
      <c r="AV235" s="655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654"/>
      <c r="BH235" s="655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654"/>
      <c r="BT235" s="655"/>
      <c r="BU235" s="4"/>
      <c r="BV235" s="4"/>
      <c r="BW235" s="4"/>
      <c r="BX235" s="4"/>
      <c r="BY235" s="4"/>
      <c r="BZ235" s="4"/>
      <c r="CA235" s="4"/>
      <c r="CB235" s="4"/>
      <c r="CC235" s="4"/>
      <c r="CD235" s="4"/>
      <c r="CE235" s="693"/>
      <c r="CF235" s="723">
        <v>210</v>
      </c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654"/>
      <c r="CR235" s="655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654"/>
      <c r="DD235" s="655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654"/>
      <c r="DP235" s="655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654"/>
      <c r="EB235" s="655"/>
      <c r="EC235" s="4"/>
      <c r="ED235" s="4"/>
      <c r="EE235" s="4"/>
      <c r="EF235" s="4"/>
      <c r="EG235" s="4"/>
      <c r="EH235" s="4"/>
      <c r="EI235" s="4"/>
      <c r="EJ235" s="4"/>
      <c r="EK235" s="4"/>
      <c r="EL235" s="4"/>
      <c r="EM235" s="693"/>
      <c r="EN235" s="723">
        <v>272.90999999999997</v>
      </c>
      <c r="EO235" s="4"/>
      <c r="EP235" s="4"/>
      <c r="EQ235" s="4"/>
      <c r="ER235" s="4"/>
      <c r="ES235" s="4"/>
      <c r="ET235" s="4"/>
      <c r="EU235" s="4"/>
      <c r="EV235" s="4"/>
      <c r="EW235" s="4"/>
      <c r="EX235" s="4"/>
      <c r="EY235" s="654"/>
      <c r="EZ235" s="655"/>
      <c r="FA235" s="4"/>
      <c r="FB235" s="4"/>
      <c r="FC235" s="4"/>
      <c r="FD235" s="4"/>
      <c r="FE235" s="4"/>
      <c r="FF235" s="4"/>
      <c r="FG235" s="4"/>
      <c r="FH235" s="4"/>
      <c r="FI235" s="4"/>
      <c r="FJ235" s="4"/>
      <c r="FK235" s="654"/>
      <c r="FL235" s="655"/>
      <c r="FM235" s="4"/>
      <c r="FN235" s="4"/>
      <c r="FO235" s="4"/>
      <c r="FP235" s="4"/>
      <c r="FQ235" s="4"/>
      <c r="FR235" s="4"/>
      <c r="FS235" s="4"/>
      <c r="FT235" s="4"/>
      <c r="FU235" s="4"/>
      <c r="FV235" s="4"/>
      <c r="FW235" s="654"/>
      <c r="FX235" s="655"/>
      <c r="FY235" s="4"/>
      <c r="FZ235" s="4"/>
      <c r="GA235" s="4"/>
      <c r="GB235" s="4"/>
      <c r="GC235" s="4"/>
      <c r="GD235" s="4"/>
      <c r="GE235" s="4"/>
      <c r="GF235" s="4"/>
      <c r="GG235" s="4"/>
      <c r="GH235" s="4"/>
      <c r="GI235" s="654"/>
      <c r="GJ235" s="655"/>
      <c r="GK235" s="4"/>
      <c r="GL235" s="4"/>
      <c r="GM235" s="4"/>
      <c r="GN235" s="4"/>
      <c r="GO235" s="4"/>
      <c r="GP235" s="4"/>
      <c r="GQ235" s="4"/>
      <c r="GR235" s="4"/>
      <c r="GS235" s="4"/>
      <c r="GT235" s="4"/>
      <c r="GU235" s="722"/>
      <c r="GV235" s="715"/>
    </row>
    <row r="236" spans="1:204" x14ac:dyDescent="0.25">
      <c r="A236" t="s">
        <v>1173</v>
      </c>
      <c r="B236" s="2" t="s">
        <v>1172</v>
      </c>
      <c r="C236" s="619">
        <v>44593</v>
      </c>
      <c r="D236" s="2" t="s">
        <v>1165</v>
      </c>
      <c r="E236" t="s">
        <v>59</v>
      </c>
      <c r="F236" s="2" t="s">
        <v>43</v>
      </c>
      <c r="G236" t="s">
        <v>40</v>
      </c>
      <c r="H236" s="690" t="s">
        <v>85</v>
      </c>
      <c r="I236" s="691" t="s">
        <v>43</v>
      </c>
      <c r="J236" s="721">
        <v>3780401000108</v>
      </c>
      <c r="K236" s="691" t="s">
        <v>475</v>
      </c>
      <c r="L236" s="721">
        <v>27796415000170</v>
      </c>
      <c r="M236" s="718" t="s">
        <v>3</v>
      </c>
      <c r="N236" s="717" t="s">
        <v>44</v>
      </c>
      <c r="O236" s="719">
        <v>44682</v>
      </c>
      <c r="P236" s="720">
        <v>44712</v>
      </c>
      <c r="Q236" s="718">
        <v>105</v>
      </c>
      <c r="R236" s="717">
        <v>4.8</v>
      </c>
      <c r="S236" s="691" t="s">
        <v>54</v>
      </c>
      <c r="T236" t="s">
        <v>358</v>
      </c>
      <c r="U236" s="673" t="s">
        <v>358</v>
      </c>
      <c r="V236" s="690" t="s">
        <v>358</v>
      </c>
      <c r="W236" s="657" t="s">
        <v>329</v>
      </c>
      <c r="X236" s="723"/>
      <c r="Y236" s="4"/>
      <c r="Z236" s="4"/>
      <c r="AA236" s="4"/>
      <c r="AB236" s="4">
        <v>4.8</v>
      </c>
      <c r="AC236" s="4"/>
      <c r="AD236" s="4"/>
      <c r="AE236" s="4"/>
      <c r="AF236" s="4"/>
      <c r="AG236" s="4"/>
      <c r="AH236" s="4"/>
      <c r="AI236" s="654"/>
      <c r="AJ236" s="655"/>
      <c r="AK236" s="4"/>
      <c r="AL236" s="4"/>
      <c r="AM236" s="4"/>
      <c r="AN236" s="4"/>
      <c r="AO236" s="4"/>
      <c r="AP236" s="4"/>
      <c r="AQ236" s="4"/>
      <c r="AR236" s="4"/>
      <c r="AS236" s="4"/>
      <c r="AT236" s="4"/>
      <c r="AU236" s="654"/>
      <c r="AV236" s="655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654"/>
      <c r="BH236" s="655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654"/>
      <c r="BT236" s="655"/>
      <c r="BU236" s="4"/>
      <c r="BV236" s="4"/>
      <c r="BW236" s="4"/>
      <c r="BX236" s="4"/>
      <c r="BY236" s="4"/>
      <c r="BZ236" s="4"/>
      <c r="CA236" s="4"/>
      <c r="CB236" s="4"/>
      <c r="CC236" s="4"/>
      <c r="CD236" s="4"/>
      <c r="CE236" s="693"/>
      <c r="CF236" s="723"/>
      <c r="CG236" s="4"/>
      <c r="CH236" s="4"/>
      <c r="CI236" s="4"/>
      <c r="CJ236" s="4">
        <v>105</v>
      </c>
      <c r="CK236" s="4"/>
      <c r="CL236" s="4"/>
      <c r="CM236" s="4"/>
      <c r="CN236" s="4"/>
      <c r="CO236" s="4"/>
      <c r="CP236" s="4"/>
      <c r="CQ236" s="654"/>
      <c r="CR236" s="655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654"/>
      <c r="DD236" s="655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654"/>
      <c r="DP236" s="655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654"/>
      <c r="EB236" s="655"/>
      <c r="EC236" s="4"/>
      <c r="ED236" s="4"/>
      <c r="EE236" s="4"/>
      <c r="EF236" s="4"/>
      <c r="EG236" s="4"/>
      <c r="EH236" s="4"/>
      <c r="EI236" s="4"/>
      <c r="EJ236" s="4"/>
      <c r="EK236" s="4"/>
      <c r="EL236" s="4"/>
      <c r="EM236" s="693"/>
      <c r="EN236" s="723"/>
      <c r="EO236" s="4"/>
      <c r="EP236" s="4"/>
      <c r="EQ236" s="4"/>
      <c r="ER236" s="4">
        <v>105</v>
      </c>
      <c r="ES236" s="4"/>
      <c r="ET236" s="4"/>
      <c r="EU236" s="4"/>
      <c r="EV236" s="4"/>
      <c r="EW236" s="4"/>
      <c r="EX236" s="4"/>
      <c r="EY236" s="654"/>
      <c r="EZ236" s="655"/>
      <c r="FA236" s="4"/>
      <c r="FB236" s="4"/>
      <c r="FC236" s="4"/>
      <c r="FD236" s="4"/>
      <c r="FE236" s="4"/>
      <c r="FF236" s="4"/>
      <c r="FG236" s="4"/>
      <c r="FH236" s="4"/>
      <c r="FI236" s="4"/>
      <c r="FJ236" s="4"/>
      <c r="FK236" s="654"/>
      <c r="FL236" s="655"/>
      <c r="FM236" s="4"/>
      <c r="FN236" s="4"/>
      <c r="FO236" s="4"/>
      <c r="FP236" s="4"/>
      <c r="FQ236" s="4"/>
      <c r="FR236" s="4"/>
      <c r="FS236" s="4"/>
      <c r="FT236" s="4"/>
      <c r="FU236" s="4"/>
      <c r="FV236" s="4"/>
      <c r="FW236" s="654"/>
      <c r="FX236" s="655"/>
      <c r="FY236" s="4"/>
      <c r="FZ236" s="4"/>
      <c r="GA236" s="4"/>
      <c r="GB236" s="4"/>
      <c r="GC236" s="4"/>
      <c r="GD236" s="4"/>
      <c r="GE236" s="4"/>
      <c r="GF236" s="4"/>
      <c r="GG236" s="4"/>
      <c r="GH236" s="4"/>
      <c r="GI236" s="654"/>
      <c r="GJ236" s="655"/>
      <c r="GK236" s="4"/>
      <c r="GL236" s="4"/>
      <c r="GM236" s="4"/>
      <c r="GN236" s="4"/>
      <c r="GO236" s="4"/>
      <c r="GP236" s="4"/>
      <c r="GQ236" s="4"/>
      <c r="GR236" s="4"/>
      <c r="GS236" s="4"/>
      <c r="GT236" s="4"/>
      <c r="GU236" s="722"/>
      <c r="GV236" s="715"/>
    </row>
    <row r="237" spans="1:204" x14ac:dyDescent="0.25">
      <c r="A237" t="s">
        <v>1176</v>
      </c>
      <c r="B237" s="2" t="s">
        <v>1175</v>
      </c>
      <c r="C237" s="619">
        <v>44595</v>
      </c>
      <c r="D237" s="2" t="s">
        <v>1174</v>
      </c>
      <c r="E237" t="s">
        <v>59</v>
      </c>
      <c r="F237" s="2" t="s">
        <v>43</v>
      </c>
      <c r="G237" t="s">
        <v>40</v>
      </c>
      <c r="H237" s="690" t="s">
        <v>85</v>
      </c>
      <c r="I237" s="691" t="s">
        <v>43</v>
      </c>
      <c r="J237" s="721">
        <v>3780401000108</v>
      </c>
      <c r="K237" s="691" t="s">
        <v>967</v>
      </c>
      <c r="L237" s="721">
        <v>3984862000194</v>
      </c>
      <c r="M237" s="718" t="s">
        <v>3</v>
      </c>
      <c r="N237" s="717" t="s">
        <v>44</v>
      </c>
      <c r="O237" s="719">
        <v>44621</v>
      </c>
      <c r="P237" s="720">
        <v>44651</v>
      </c>
      <c r="Q237" s="718">
        <v>73</v>
      </c>
      <c r="R237" s="717">
        <v>4</v>
      </c>
      <c r="S237" s="691" t="s">
        <v>54</v>
      </c>
      <c r="T237" t="s">
        <v>358</v>
      </c>
      <c r="U237" s="673" t="s">
        <v>358</v>
      </c>
      <c r="V237" s="690" t="s">
        <v>358</v>
      </c>
      <c r="W237" s="657" t="s">
        <v>329</v>
      </c>
      <c r="X237" s="723"/>
      <c r="Y237" s="4"/>
      <c r="Z237" s="4">
        <v>4</v>
      </c>
      <c r="AA237" s="4"/>
      <c r="AB237" s="4"/>
      <c r="AC237" s="4"/>
      <c r="AD237" s="4"/>
      <c r="AE237" s="4"/>
      <c r="AF237" s="4"/>
      <c r="AG237" s="4"/>
      <c r="AH237" s="4"/>
      <c r="AI237" s="654"/>
      <c r="AJ237" s="655"/>
      <c r="AK237" s="4"/>
      <c r="AL237" s="4"/>
      <c r="AM237" s="4"/>
      <c r="AN237" s="4"/>
      <c r="AO237" s="4"/>
      <c r="AP237" s="4"/>
      <c r="AQ237" s="4"/>
      <c r="AR237" s="4"/>
      <c r="AS237" s="4"/>
      <c r="AT237" s="4"/>
      <c r="AU237" s="654"/>
      <c r="AV237" s="655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654"/>
      <c r="BH237" s="655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654"/>
      <c r="BT237" s="655"/>
      <c r="BU237" s="4"/>
      <c r="BV237" s="4"/>
      <c r="BW237" s="4"/>
      <c r="BX237" s="4"/>
      <c r="BY237" s="4"/>
      <c r="BZ237" s="4"/>
      <c r="CA237" s="4"/>
      <c r="CB237" s="4"/>
      <c r="CC237" s="4"/>
      <c r="CD237" s="4"/>
      <c r="CE237" s="693"/>
      <c r="CF237" s="723"/>
      <c r="CG237" s="4"/>
      <c r="CH237" s="4">
        <v>73</v>
      </c>
      <c r="CI237" s="4"/>
      <c r="CJ237" s="4"/>
      <c r="CK237" s="4"/>
      <c r="CL237" s="4"/>
      <c r="CM237" s="4"/>
      <c r="CN237" s="4"/>
      <c r="CO237" s="4"/>
      <c r="CP237" s="4"/>
      <c r="CQ237" s="654"/>
      <c r="CR237" s="655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654"/>
      <c r="DD237" s="655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654"/>
      <c r="DP237" s="655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654"/>
      <c r="EB237" s="655"/>
      <c r="EC237" s="4"/>
      <c r="ED237" s="4"/>
      <c r="EE237" s="4"/>
      <c r="EF237" s="4"/>
      <c r="EG237" s="4"/>
      <c r="EH237" s="4"/>
      <c r="EI237" s="4"/>
      <c r="EJ237" s="4"/>
      <c r="EK237" s="4"/>
      <c r="EL237" s="4"/>
      <c r="EM237" s="693"/>
      <c r="EN237" s="723"/>
      <c r="EO237" s="4"/>
      <c r="EP237" s="4">
        <v>73</v>
      </c>
      <c r="EQ237" s="4"/>
      <c r="ER237" s="4"/>
      <c r="ES237" s="4"/>
      <c r="ET237" s="4"/>
      <c r="EU237" s="4"/>
      <c r="EV237" s="4"/>
      <c r="EW237" s="4"/>
      <c r="EX237" s="4"/>
      <c r="EY237" s="654"/>
      <c r="EZ237" s="655"/>
      <c r="FA237" s="4"/>
      <c r="FB237" s="4"/>
      <c r="FC237" s="4"/>
      <c r="FD237" s="4"/>
      <c r="FE237" s="4"/>
      <c r="FF237" s="4"/>
      <c r="FG237" s="4"/>
      <c r="FH237" s="4"/>
      <c r="FI237" s="4"/>
      <c r="FJ237" s="4"/>
      <c r="FK237" s="654"/>
      <c r="FL237" s="655"/>
      <c r="FM237" s="4"/>
      <c r="FN237" s="4"/>
      <c r="FO237" s="4"/>
      <c r="FP237" s="4"/>
      <c r="FQ237" s="4"/>
      <c r="FR237" s="4"/>
      <c r="FS237" s="4"/>
      <c r="FT237" s="4"/>
      <c r="FU237" s="4"/>
      <c r="FV237" s="4"/>
      <c r="FW237" s="654"/>
      <c r="FX237" s="655"/>
      <c r="FY237" s="4"/>
      <c r="FZ237" s="4"/>
      <c r="GA237" s="4"/>
      <c r="GB237" s="4"/>
      <c r="GC237" s="4"/>
      <c r="GD237" s="4"/>
      <c r="GE237" s="4"/>
      <c r="GF237" s="4"/>
      <c r="GG237" s="4"/>
      <c r="GH237" s="4"/>
      <c r="GI237" s="654"/>
      <c r="GJ237" s="655"/>
      <c r="GK237" s="4"/>
      <c r="GL237" s="4"/>
      <c r="GM237" s="4"/>
      <c r="GN237" s="4"/>
      <c r="GO237" s="4"/>
      <c r="GP237" s="4"/>
      <c r="GQ237" s="4"/>
      <c r="GR237" s="4"/>
      <c r="GS237" s="4"/>
      <c r="GT237" s="4"/>
      <c r="GU237" s="722"/>
      <c r="GV237" s="715"/>
    </row>
    <row r="238" spans="1:204" x14ac:dyDescent="0.25">
      <c r="A238" t="s">
        <v>1179</v>
      </c>
      <c r="B238" s="2" t="s">
        <v>358</v>
      </c>
      <c r="C238" s="619">
        <v>44600</v>
      </c>
      <c r="D238" s="2">
        <v>21375</v>
      </c>
      <c r="E238" t="s">
        <v>59</v>
      </c>
      <c r="F238" s="2" t="s">
        <v>43</v>
      </c>
      <c r="G238" t="s">
        <v>40</v>
      </c>
      <c r="H238" s="690" t="s">
        <v>85</v>
      </c>
      <c r="I238" s="691" t="s">
        <v>43</v>
      </c>
      <c r="J238" s="721">
        <v>3780401000108</v>
      </c>
      <c r="K238" s="691" t="s">
        <v>1135</v>
      </c>
      <c r="L238" s="721">
        <v>30306294000226</v>
      </c>
      <c r="M238" s="718" t="s">
        <v>3</v>
      </c>
      <c r="N238" s="717" t="s">
        <v>44</v>
      </c>
      <c r="O238" s="719">
        <v>44743</v>
      </c>
      <c r="P238" s="720">
        <v>44834</v>
      </c>
      <c r="Q238" s="718">
        <v>157</v>
      </c>
      <c r="R238" s="717">
        <v>5</v>
      </c>
      <c r="S238" s="691" t="s">
        <v>54</v>
      </c>
      <c r="T238" t="s">
        <v>358</v>
      </c>
      <c r="U238" s="673" t="s">
        <v>358</v>
      </c>
      <c r="V238" s="690" t="s">
        <v>358</v>
      </c>
      <c r="W238" s="657" t="s">
        <v>214</v>
      </c>
      <c r="X238" s="723"/>
      <c r="Y238" s="4"/>
      <c r="Z238" s="4"/>
      <c r="AA238" s="4"/>
      <c r="AB238" s="4"/>
      <c r="AC238" s="4"/>
      <c r="AD238" s="4">
        <v>5</v>
      </c>
      <c r="AE238" s="4">
        <v>5</v>
      </c>
      <c r="AF238" s="4">
        <v>5</v>
      </c>
      <c r="AG238" s="4"/>
      <c r="AH238" s="4"/>
      <c r="AI238" s="654"/>
      <c r="AJ238" s="655"/>
      <c r="AK238" s="4"/>
      <c r="AL238" s="4"/>
      <c r="AM238" s="4"/>
      <c r="AN238" s="4"/>
      <c r="AO238" s="4"/>
      <c r="AP238" s="4"/>
      <c r="AQ238" s="4"/>
      <c r="AR238" s="4"/>
      <c r="AS238" s="4"/>
      <c r="AT238" s="4"/>
      <c r="AU238" s="654"/>
      <c r="AV238" s="655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654"/>
      <c r="BH238" s="655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654"/>
      <c r="BT238" s="655"/>
      <c r="BU238" s="4"/>
      <c r="BV238" s="4"/>
      <c r="BW238" s="4"/>
      <c r="BX238" s="4"/>
      <c r="BY238" s="4"/>
      <c r="BZ238" s="4"/>
      <c r="CA238" s="4"/>
      <c r="CB238" s="4"/>
      <c r="CC238" s="4"/>
      <c r="CD238" s="4"/>
      <c r="CE238" s="693"/>
      <c r="CF238" s="723"/>
      <c r="CG238" s="4"/>
      <c r="CH238" s="4"/>
      <c r="CI238" s="4"/>
      <c r="CJ238" s="4"/>
      <c r="CK238" s="4"/>
      <c r="CL238" s="4">
        <v>157</v>
      </c>
      <c r="CM238" s="4">
        <v>157</v>
      </c>
      <c r="CN238" s="4">
        <v>157</v>
      </c>
      <c r="CO238" s="4"/>
      <c r="CP238" s="4"/>
      <c r="CQ238" s="654"/>
      <c r="CR238" s="655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654"/>
      <c r="DD238" s="655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654"/>
      <c r="DP238" s="655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654"/>
      <c r="EB238" s="655"/>
      <c r="EC238" s="4"/>
      <c r="ED238" s="4"/>
      <c r="EE238" s="4"/>
      <c r="EF238" s="4"/>
      <c r="EG238" s="4"/>
      <c r="EH238" s="4"/>
      <c r="EI238" s="4"/>
      <c r="EJ238" s="4"/>
      <c r="EK238" s="4"/>
      <c r="EL238" s="4"/>
      <c r="EM238" s="693"/>
      <c r="EN238" s="723"/>
      <c r="EO238" s="4"/>
      <c r="EP238" s="4"/>
      <c r="EQ238" s="4"/>
      <c r="ER238" s="4"/>
      <c r="ES238" s="4"/>
      <c r="ET238" s="4">
        <v>157</v>
      </c>
      <c r="EU238" s="4">
        <v>157</v>
      </c>
      <c r="EV238" s="4">
        <v>157</v>
      </c>
      <c r="EW238" s="4"/>
      <c r="EX238" s="4"/>
      <c r="EY238" s="654"/>
      <c r="EZ238" s="655"/>
      <c r="FA238" s="4"/>
      <c r="FB238" s="4"/>
      <c r="FC238" s="4"/>
      <c r="FD238" s="4"/>
      <c r="FE238" s="4"/>
      <c r="FF238" s="4"/>
      <c r="FG238" s="4"/>
      <c r="FH238" s="4"/>
      <c r="FI238" s="4"/>
      <c r="FJ238" s="4"/>
      <c r="FK238" s="654"/>
      <c r="FL238" s="655"/>
      <c r="FM238" s="4"/>
      <c r="FN238" s="4"/>
      <c r="FO238" s="4"/>
      <c r="FP238" s="4"/>
      <c r="FQ238" s="4"/>
      <c r="FR238" s="4"/>
      <c r="FS238" s="4"/>
      <c r="FT238" s="4"/>
      <c r="FU238" s="4"/>
      <c r="FV238" s="4"/>
      <c r="FW238" s="654"/>
      <c r="FX238" s="655"/>
      <c r="FY238" s="4"/>
      <c r="FZ238" s="4"/>
      <c r="GA238" s="4"/>
      <c r="GB238" s="4"/>
      <c r="GC238" s="4"/>
      <c r="GD238" s="4"/>
      <c r="GE238" s="4"/>
      <c r="GF238" s="4"/>
      <c r="GG238" s="4"/>
      <c r="GH238" s="4"/>
      <c r="GI238" s="654"/>
      <c r="GJ238" s="655"/>
      <c r="GK238" s="4"/>
      <c r="GL238" s="4"/>
      <c r="GM238" s="4"/>
      <c r="GN238" s="4"/>
      <c r="GO238" s="4"/>
      <c r="GP238" s="4"/>
      <c r="GQ238" s="4"/>
      <c r="GR238" s="4"/>
      <c r="GS238" s="4"/>
      <c r="GT238" s="4"/>
      <c r="GU238" s="722"/>
      <c r="GV238" s="715"/>
    </row>
    <row r="239" spans="1:204" x14ac:dyDescent="0.25">
      <c r="A239" t="s">
        <v>1181</v>
      </c>
      <c r="B239" s="2" t="s">
        <v>1180</v>
      </c>
      <c r="C239" s="619">
        <v>44600</v>
      </c>
      <c r="D239" s="2" t="s">
        <v>1177</v>
      </c>
      <c r="E239" t="s">
        <v>59</v>
      </c>
      <c r="F239" s="2" t="s">
        <v>43</v>
      </c>
      <c r="G239" t="s">
        <v>40</v>
      </c>
      <c r="H239" s="690" t="s">
        <v>85</v>
      </c>
      <c r="I239" s="691" t="s">
        <v>43</v>
      </c>
      <c r="J239" s="721">
        <v>3780401000108</v>
      </c>
      <c r="K239" s="691" t="s">
        <v>968</v>
      </c>
      <c r="L239" s="721" t="s">
        <v>1178</v>
      </c>
      <c r="M239" s="718" t="s">
        <v>3</v>
      </c>
      <c r="N239" s="717" t="s">
        <v>44</v>
      </c>
      <c r="O239" s="719">
        <v>44896</v>
      </c>
      <c r="P239" s="720">
        <v>44926</v>
      </c>
      <c r="Q239" s="718">
        <v>155</v>
      </c>
      <c r="R239" s="717">
        <v>2</v>
      </c>
      <c r="S239" s="691" t="s">
        <v>54</v>
      </c>
      <c r="T239" t="s">
        <v>358</v>
      </c>
      <c r="U239" s="673" t="s">
        <v>358</v>
      </c>
      <c r="V239" s="690" t="s">
        <v>358</v>
      </c>
      <c r="W239" s="657" t="s">
        <v>329</v>
      </c>
      <c r="X239" s="723"/>
      <c r="Y239" s="4"/>
      <c r="Z239" s="4"/>
      <c r="AA239" s="4"/>
      <c r="AB239" s="4"/>
      <c r="AC239" s="4"/>
      <c r="AD239" s="4"/>
      <c r="AE239" s="4"/>
      <c r="AF239" s="4"/>
      <c r="AG239" s="4"/>
      <c r="AH239" s="4"/>
      <c r="AI239" s="654">
        <v>2</v>
      </c>
      <c r="AJ239" s="655"/>
      <c r="AK239" s="4"/>
      <c r="AL239" s="4"/>
      <c r="AM239" s="4"/>
      <c r="AN239" s="4"/>
      <c r="AO239" s="4"/>
      <c r="AP239" s="4"/>
      <c r="AQ239" s="4"/>
      <c r="AR239" s="4"/>
      <c r="AS239" s="4"/>
      <c r="AT239" s="4"/>
      <c r="AU239" s="654"/>
      <c r="AV239" s="655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654"/>
      <c r="BH239" s="655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654"/>
      <c r="BT239" s="655"/>
      <c r="BU239" s="4"/>
      <c r="BV239" s="4"/>
      <c r="BW239" s="4"/>
      <c r="BX239" s="4"/>
      <c r="BY239" s="4"/>
      <c r="BZ239" s="4"/>
      <c r="CA239" s="4"/>
      <c r="CB239" s="4"/>
      <c r="CC239" s="4"/>
      <c r="CD239" s="4"/>
      <c r="CE239" s="693"/>
      <c r="CF239" s="723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654">
        <v>155</v>
      </c>
      <c r="CR239" s="655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654"/>
      <c r="DD239" s="655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654"/>
      <c r="DP239" s="655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654"/>
      <c r="EB239" s="655"/>
      <c r="EC239" s="4"/>
      <c r="ED239" s="4"/>
      <c r="EE239" s="4"/>
      <c r="EF239" s="4"/>
      <c r="EG239" s="4"/>
      <c r="EH239" s="4"/>
      <c r="EI239" s="4"/>
      <c r="EJ239" s="4"/>
      <c r="EK239" s="4"/>
      <c r="EL239" s="4"/>
      <c r="EM239" s="693"/>
      <c r="EN239" s="723"/>
      <c r="EO239" s="4"/>
      <c r="EP239" s="4"/>
      <c r="EQ239" s="4"/>
      <c r="ER239" s="4"/>
      <c r="ES239" s="4"/>
      <c r="ET239" s="4"/>
      <c r="EU239" s="4"/>
      <c r="EV239" s="4"/>
      <c r="EW239" s="4"/>
      <c r="EX239" s="4"/>
      <c r="EY239" s="654">
        <v>155</v>
      </c>
      <c r="EZ239" s="655"/>
      <c r="FA239" s="4"/>
      <c r="FB239" s="4"/>
      <c r="FC239" s="4"/>
      <c r="FD239" s="4"/>
      <c r="FE239" s="4"/>
      <c r="FF239" s="4"/>
      <c r="FG239" s="4"/>
      <c r="FH239" s="4"/>
      <c r="FI239" s="4"/>
      <c r="FJ239" s="4"/>
      <c r="FK239" s="654"/>
      <c r="FL239" s="655"/>
      <c r="FM239" s="4"/>
      <c r="FN239" s="4"/>
      <c r="FO239" s="4"/>
      <c r="FP239" s="4"/>
      <c r="FQ239" s="4"/>
      <c r="FR239" s="4"/>
      <c r="FS239" s="4"/>
      <c r="FT239" s="4"/>
      <c r="FU239" s="4"/>
      <c r="FV239" s="4"/>
      <c r="FW239" s="654"/>
      <c r="FX239" s="655"/>
      <c r="FY239" s="4"/>
      <c r="FZ239" s="4"/>
      <c r="GA239" s="4"/>
      <c r="GB239" s="4"/>
      <c r="GC239" s="4"/>
      <c r="GD239" s="4"/>
      <c r="GE239" s="4"/>
      <c r="GF239" s="4"/>
      <c r="GG239" s="4"/>
      <c r="GH239" s="4"/>
      <c r="GI239" s="654"/>
      <c r="GJ239" s="655"/>
      <c r="GK239" s="4"/>
      <c r="GL239" s="4"/>
      <c r="GM239" s="4"/>
      <c r="GN239" s="4"/>
      <c r="GO239" s="4"/>
      <c r="GP239" s="4"/>
      <c r="GQ239" s="4"/>
      <c r="GR239" s="4"/>
      <c r="GS239" s="4"/>
      <c r="GT239" s="4"/>
      <c r="GU239" s="722"/>
      <c r="GV239" s="715"/>
    </row>
    <row r="240" spans="1:204" x14ac:dyDescent="0.25">
      <c r="A240" t="s">
        <v>1184</v>
      </c>
      <c r="B240" s="2" t="s">
        <v>1183</v>
      </c>
      <c r="C240" s="619">
        <v>44601</v>
      </c>
      <c r="D240" s="2" t="s">
        <v>1182</v>
      </c>
      <c r="E240" t="s">
        <v>59</v>
      </c>
      <c r="F240" s="2" t="s">
        <v>43</v>
      </c>
      <c r="G240" t="s">
        <v>40</v>
      </c>
      <c r="H240" s="690" t="s">
        <v>85</v>
      </c>
      <c r="I240" s="691" t="s">
        <v>43</v>
      </c>
      <c r="J240" s="721">
        <v>3780401000108</v>
      </c>
      <c r="K240" s="691" t="s">
        <v>968</v>
      </c>
      <c r="L240" s="721">
        <v>13700609000115</v>
      </c>
      <c r="M240" s="718" t="s">
        <v>3</v>
      </c>
      <c r="N240" s="717" t="s">
        <v>44</v>
      </c>
      <c r="O240" s="719">
        <v>44896</v>
      </c>
      <c r="P240" s="720">
        <v>44926</v>
      </c>
      <c r="Q240" s="718">
        <v>160</v>
      </c>
      <c r="R240" s="717">
        <v>2</v>
      </c>
      <c r="S240" s="691" t="s">
        <v>54</v>
      </c>
      <c r="T240" t="s">
        <v>358</v>
      </c>
      <c r="U240" s="673" t="s">
        <v>358</v>
      </c>
      <c r="V240" s="690" t="s">
        <v>358</v>
      </c>
      <c r="W240" s="657" t="s">
        <v>329</v>
      </c>
      <c r="X240" s="723"/>
      <c r="Y240" s="4"/>
      <c r="Z240" s="4"/>
      <c r="AA240" s="4"/>
      <c r="AB240" s="4"/>
      <c r="AC240" s="4"/>
      <c r="AD240" s="4"/>
      <c r="AE240" s="4"/>
      <c r="AF240" s="4"/>
      <c r="AG240" s="4"/>
      <c r="AH240" s="4"/>
      <c r="AI240" s="654">
        <v>2</v>
      </c>
      <c r="AJ240" s="655"/>
      <c r="AK240" s="4"/>
      <c r="AL240" s="4"/>
      <c r="AM240" s="4"/>
      <c r="AN240" s="4"/>
      <c r="AO240" s="4"/>
      <c r="AP240" s="4"/>
      <c r="AQ240" s="4"/>
      <c r="AR240" s="4"/>
      <c r="AS240" s="4"/>
      <c r="AT240" s="4"/>
      <c r="AU240" s="654"/>
      <c r="AV240" s="655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654"/>
      <c r="BH240" s="655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654"/>
      <c r="BT240" s="655"/>
      <c r="BU240" s="4"/>
      <c r="BV240" s="4"/>
      <c r="BW240" s="4"/>
      <c r="BX240" s="4"/>
      <c r="BY240" s="4"/>
      <c r="BZ240" s="4"/>
      <c r="CA240" s="4"/>
      <c r="CB240" s="4"/>
      <c r="CC240" s="4"/>
      <c r="CD240" s="4"/>
      <c r="CE240" s="693"/>
      <c r="CF240" s="723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654">
        <v>160</v>
      </c>
      <c r="CR240" s="655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654"/>
      <c r="DD240" s="655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654"/>
      <c r="DP240" s="655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654"/>
      <c r="EB240" s="655"/>
      <c r="EC240" s="4"/>
      <c r="ED240" s="4"/>
      <c r="EE240" s="4"/>
      <c r="EF240" s="4"/>
      <c r="EG240" s="4"/>
      <c r="EH240" s="4"/>
      <c r="EI240" s="4"/>
      <c r="EJ240" s="4"/>
      <c r="EK240" s="4"/>
      <c r="EL240" s="4"/>
      <c r="EM240" s="693"/>
      <c r="EN240" s="723"/>
      <c r="EO240" s="4"/>
      <c r="EP240" s="4"/>
      <c r="EQ240" s="4"/>
      <c r="ER240" s="4"/>
      <c r="ES240" s="4"/>
      <c r="ET240" s="4"/>
      <c r="EU240" s="4"/>
      <c r="EV240" s="4"/>
      <c r="EW240" s="4"/>
      <c r="EX240" s="4"/>
      <c r="EY240" s="654">
        <v>160</v>
      </c>
      <c r="EZ240" s="655"/>
      <c r="FA240" s="4"/>
      <c r="FB240" s="4"/>
      <c r="FC240" s="4"/>
      <c r="FD240" s="4"/>
      <c r="FE240" s="4"/>
      <c r="FF240" s="4"/>
      <c r="FG240" s="4"/>
      <c r="FH240" s="4"/>
      <c r="FI240" s="4"/>
      <c r="FJ240" s="4"/>
      <c r="FK240" s="654"/>
      <c r="FL240" s="655"/>
      <c r="FM240" s="4"/>
      <c r="FN240" s="4"/>
      <c r="FO240" s="4"/>
      <c r="FP240" s="4"/>
      <c r="FQ240" s="4"/>
      <c r="FR240" s="4"/>
      <c r="FS240" s="4"/>
      <c r="FT240" s="4"/>
      <c r="FU240" s="4"/>
      <c r="FV240" s="4"/>
      <c r="FW240" s="654"/>
      <c r="FX240" s="655"/>
      <c r="FY240" s="4"/>
      <c r="FZ240" s="4"/>
      <c r="GA240" s="4"/>
      <c r="GB240" s="4"/>
      <c r="GC240" s="4"/>
      <c r="GD240" s="4"/>
      <c r="GE240" s="4"/>
      <c r="GF240" s="4"/>
      <c r="GG240" s="4"/>
      <c r="GH240" s="4"/>
      <c r="GI240" s="654"/>
      <c r="GJ240" s="655"/>
      <c r="GK240" s="4"/>
      <c r="GL240" s="4"/>
      <c r="GM240" s="4"/>
      <c r="GN240" s="4"/>
      <c r="GO240" s="4"/>
      <c r="GP240" s="4"/>
      <c r="GQ240" s="4"/>
      <c r="GR240" s="4"/>
      <c r="GS240" s="4"/>
      <c r="GT240" s="4"/>
      <c r="GU240" s="722"/>
      <c r="GV240" s="715"/>
    </row>
    <row r="241" spans="1:204" x14ac:dyDescent="0.25">
      <c r="A241" t="s">
        <v>1187</v>
      </c>
      <c r="B241" s="2" t="s">
        <v>1186</v>
      </c>
      <c r="C241" s="619">
        <v>44608</v>
      </c>
      <c r="D241" s="2" t="s">
        <v>1185</v>
      </c>
      <c r="E241" t="s">
        <v>59</v>
      </c>
      <c r="F241" s="2" t="s">
        <v>43</v>
      </c>
      <c r="G241" t="s">
        <v>40</v>
      </c>
      <c r="H241" s="690" t="s">
        <v>85</v>
      </c>
      <c r="I241" s="691" t="s">
        <v>43</v>
      </c>
      <c r="J241" s="721"/>
      <c r="K241" s="691" t="s">
        <v>513</v>
      </c>
      <c r="L241" s="721">
        <v>26537119000191</v>
      </c>
      <c r="M241" s="718" t="s">
        <v>3</v>
      </c>
      <c r="N241" s="717" t="s">
        <v>44</v>
      </c>
      <c r="O241" s="719">
        <v>44896</v>
      </c>
      <c r="P241" s="720">
        <v>44926</v>
      </c>
      <c r="Q241" s="718">
        <v>165</v>
      </c>
      <c r="R241" s="717">
        <v>1</v>
      </c>
      <c r="S241" s="691" t="s">
        <v>54</v>
      </c>
      <c r="T241" t="s">
        <v>358</v>
      </c>
      <c r="U241" s="673" t="s">
        <v>358</v>
      </c>
      <c r="V241" s="690" t="s">
        <v>358</v>
      </c>
      <c r="W241" s="657" t="s">
        <v>329</v>
      </c>
      <c r="X241" s="723"/>
      <c r="Y241" s="4"/>
      <c r="Z241" s="4"/>
      <c r="AA241" s="4"/>
      <c r="AB241" s="4"/>
      <c r="AC241" s="4"/>
      <c r="AD241" s="4"/>
      <c r="AE241" s="4"/>
      <c r="AF241" s="4"/>
      <c r="AG241" s="4"/>
      <c r="AH241" s="4"/>
      <c r="AI241" s="654">
        <v>1</v>
      </c>
      <c r="AJ241" s="655"/>
      <c r="AK241" s="4"/>
      <c r="AL241" s="4"/>
      <c r="AM241" s="4"/>
      <c r="AN241" s="4"/>
      <c r="AO241" s="4"/>
      <c r="AP241" s="4"/>
      <c r="AQ241" s="4"/>
      <c r="AR241" s="4"/>
      <c r="AS241" s="4"/>
      <c r="AT241" s="4"/>
      <c r="AU241" s="654"/>
      <c r="AV241" s="655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654"/>
      <c r="BH241" s="655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654"/>
      <c r="BT241" s="655"/>
      <c r="BU241" s="4"/>
      <c r="BV241" s="4"/>
      <c r="BW241" s="4"/>
      <c r="BX241" s="4"/>
      <c r="BY241" s="4"/>
      <c r="BZ241" s="4"/>
      <c r="CA241" s="4"/>
      <c r="CB241" s="4"/>
      <c r="CC241" s="4"/>
      <c r="CD241" s="4"/>
      <c r="CE241" s="693"/>
      <c r="CF241" s="723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654">
        <v>165</v>
      </c>
      <c r="CR241" s="655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654"/>
      <c r="DD241" s="655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654"/>
      <c r="DP241" s="655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654"/>
      <c r="EB241" s="655"/>
      <c r="EC241" s="4"/>
      <c r="ED241" s="4"/>
      <c r="EE241" s="4"/>
      <c r="EF241" s="4"/>
      <c r="EG241" s="4"/>
      <c r="EH241" s="4"/>
      <c r="EI241" s="4"/>
      <c r="EJ241" s="4"/>
      <c r="EK241" s="4"/>
      <c r="EL241" s="4"/>
      <c r="EM241" s="693"/>
      <c r="EN241" s="723"/>
      <c r="EO241" s="4"/>
      <c r="EP241" s="4"/>
      <c r="EQ241" s="4"/>
      <c r="ER241" s="4"/>
      <c r="ES241" s="4"/>
      <c r="ET241" s="4"/>
      <c r="EU241" s="4"/>
      <c r="EV241" s="4"/>
      <c r="EW241" s="4"/>
      <c r="EX241" s="4"/>
      <c r="EY241" s="654">
        <v>165</v>
      </c>
      <c r="EZ241" s="655"/>
      <c r="FA241" s="4"/>
      <c r="FB241" s="4"/>
      <c r="FC241" s="4"/>
      <c r="FD241" s="4"/>
      <c r="FE241" s="4"/>
      <c r="FF241" s="4"/>
      <c r="FG241" s="4"/>
      <c r="FH241" s="4"/>
      <c r="FI241" s="4"/>
      <c r="FJ241" s="4"/>
      <c r="FK241" s="654"/>
      <c r="FL241" s="655"/>
      <c r="FM241" s="4"/>
      <c r="FN241" s="4"/>
      <c r="FO241" s="4"/>
      <c r="FP241" s="4"/>
      <c r="FQ241" s="4"/>
      <c r="FR241" s="4"/>
      <c r="FS241" s="4"/>
      <c r="FT241" s="4"/>
      <c r="FU241" s="4"/>
      <c r="FV241" s="4"/>
      <c r="FW241" s="654"/>
      <c r="FX241" s="655"/>
      <c r="FY241" s="4"/>
      <c r="FZ241" s="4"/>
      <c r="GA241" s="4"/>
      <c r="GB241" s="4"/>
      <c r="GC241" s="4"/>
      <c r="GD241" s="4"/>
      <c r="GE241" s="4"/>
      <c r="GF241" s="4"/>
      <c r="GG241" s="4"/>
      <c r="GH241" s="4"/>
      <c r="GI241" s="654"/>
      <c r="GJ241" s="655"/>
      <c r="GK241" s="4"/>
      <c r="GL241" s="4"/>
      <c r="GM241" s="4"/>
      <c r="GN241" s="4"/>
      <c r="GO241" s="4"/>
      <c r="GP241" s="4"/>
      <c r="GQ241" s="4"/>
      <c r="GR241" s="4"/>
      <c r="GS241" s="4"/>
      <c r="GT241" s="4"/>
      <c r="GU241" s="722"/>
      <c r="GV241" s="715"/>
    </row>
    <row r="242" spans="1:204" x14ac:dyDescent="0.25">
      <c r="A242" t="s">
        <v>1190</v>
      </c>
      <c r="B242" s="2" t="s">
        <v>1189</v>
      </c>
      <c r="C242" s="619">
        <v>44610</v>
      </c>
      <c r="D242" s="2" t="s">
        <v>1188</v>
      </c>
      <c r="E242" t="s">
        <v>59</v>
      </c>
      <c r="F242" s="2" t="s">
        <v>43</v>
      </c>
      <c r="G242" t="s">
        <v>40</v>
      </c>
      <c r="H242" s="690" t="s">
        <v>85</v>
      </c>
      <c r="I242" s="691" t="s">
        <v>43</v>
      </c>
      <c r="J242" s="721">
        <v>3780401000108</v>
      </c>
      <c r="K242" s="691" t="s">
        <v>410</v>
      </c>
      <c r="L242" s="721">
        <v>3631957000124</v>
      </c>
      <c r="M242" s="718" t="s">
        <v>3</v>
      </c>
      <c r="N242" s="717" t="s">
        <v>44</v>
      </c>
      <c r="O242" s="719">
        <v>44896</v>
      </c>
      <c r="P242" s="720">
        <v>44926</v>
      </c>
      <c r="Q242" s="718">
        <v>166</v>
      </c>
      <c r="R242" s="717">
        <v>6</v>
      </c>
      <c r="S242" s="691" t="s">
        <v>54</v>
      </c>
      <c r="T242" t="s">
        <v>358</v>
      </c>
      <c r="U242" s="673" t="s">
        <v>358</v>
      </c>
      <c r="V242" s="690" t="s">
        <v>358</v>
      </c>
      <c r="W242" s="657" t="s">
        <v>329</v>
      </c>
      <c r="X242" s="723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654">
        <v>6</v>
      </c>
      <c r="AJ242" s="655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654"/>
      <c r="AV242" s="655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654"/>
      <c r="BH242" s="655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654"/>
      <c r="BT242" s="655"/>
      <c r="BU242" s="4"/>
      <c r="BV242" s="4"/>
      <c r="BW242" s="4"/>
      <c r="BX242" s="4"/>
      <c r="BY242" s="4"/>
      <c r="BZ242" s="4"/>
      <c r="CA242" s="4"/>
      <c r="CB242" s="4"/>
      <c r="CC242" s="4"/>
      <c r="CD242" s="4"/>
      <c r="CE242" s="693"/>
      <c r="CF242" s="723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654">
        <v>166</v>
      </c>
      <c r="CR242" s="655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654"/>
      <c r="DD242" s="655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654"/>
      <c r="DP242" s="655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654"/>
      <c r="EB242" s="655"/>
      <c r="EC242" s="4"/>
      <c r="ED242" s="4"/>
      <c r="EE242" s="4"/>
      <c r="EF242" s="4"/>
      <c r="EG242" s="4"/>
      <c r="EH242" s="4"/>
      <c r="EI242" s="4"/>
      <c r="EJ242" s="4"/>
      <c r="EK242" s="4"/>
      <c r="EL242" s="4"/>
      <c r="EM242" s="693"/>
      <c r="EN242" s="723"/>
      <c r="EO242" s="4"/>
      <c r="EP242" s="4"/>
      <c r="EQ242" s="4"/>
      <c r="ER242" s="4"/>
      <c r="ES242" s="4"/>
      <c r="ET242" s="4"/>
      <c r="EU242" s="4"/>
      <c r="EV242" s="4"/>
      <c r="EW242" s="4"/>
      <c r="EX242" s="4"/>
      <c r="EY242" s="654">
        <v>166</v>
      </c>
      <c r="EZ242" s="655"/>
      <c r="FA242" s="4"/>
      <c r="FB242" s="4"/>
      <c r="FC242" s="4"/>
      <c r="FD242" s="4"/>
      <c r="FE242" s="4"/>
      <c r="FF242" s="4"/>
      <c r="FG242" s="4"/>
      <c r="FH242" s="4"/>
      <c r="FI242" s="4"/>
      <c r="FJ242" s="4"/>
      <c r="FK242" s="654"/>
      <c r="FL242" s="655"/>
      <c r="FM242" s="4"/>
      <c r="FN242" s="4"/>
      <c r="FO242" s="4"/>
      <c r="FP242" s="4"/>
      <c r="FQ242" s="4"/>
      <c r="FR242" s="4"/>
      <c r="FS242" s="4"/>
      <c r="FT242" s="4"/>
      <c r="FU242" s="4"/>
      <c r="FV242" s="4"/>
      <c r="FW242" s="654"/>
      <c r="FX242" s="655"/>
      <c r="FY242" s="4"/>
      <c r="FZ242" s="4"/>
      <c r="GA242" s="4"/>
      <c r="GB242" s="4"/>
      <c r="GC242" s="4"/>
      <c r="GD242" s="4"/>
      <c r="GE242" s="4"/>
      <c r="GF242" s="4"/>
      <c r="GG242" s="4"/>
      <c r="GH242" s="4"/>
      <c r="GI242" s="654"/>
      <c r="GJ242" s="655"/>
      <c r="GK242" s="4"/>
      <c r="GL242" s="4"/>
      <c r="GM242" s="4"/>
      <c r="GN242" s="4"/>
      <c r="GO242" s="4"/>
      <c r="GP242" s="4"/>
      <c r="GQ242" s="4"/>
      <c r="GR242" s="4"/>
      <c r="GS242" s="4"/>
      <c r="GT242" s="4"/>
      <c r="GU242" s="722"/>
      <c r="GV242" s="715"/>
    </row>
    <row r="243" spans="1:204" x14ac:dyDescent="0.25">
      <c r="A243" t="s">
        <v>1198</v>
      </c>
      <c r="B243" s="2" t="s">
        <v>1197</v>
      </c>
      <c r="C243" s="619">
        <v>44614</v>
      </c>
      <c r="D243" s="2" t="s">
        <v>1191</v>
      </c>
      <c r="E243" t="s">
        <v>59</v>
      </c>
      <c r="F243" s="2" t="s">
        <v>43</v>
      </c>
      <c r="G243" t="s">
        <v>40</v>
      </c>
      <c r="H243" s="690" t="s">
        <v>85</v>
      </c>
      <c r="I243" s="691" t="s">
        <v>43</v>
      </c>
      <c r="J243" s="721">
        <v>3780401000108</v>
      </c>
      <c r="K243" s="691" t="s">
        <v>1194</v>
      </c>
      <c r="L243" s="721">
        <v>4023261000188</v>
      </c>
      <c r="M243" s="718" t="s">
        <v>5</v>
      </c>
      <c r="N243" s="717" t="s">
        <v>44</v>
      </c>
      <c r="O243" s="719">
        <v>44593</v>
      </c>
      <c r="P243" s="720">
        <v>44620</v>
      </c>
      <c r="Q243" s="718">
        <v>44</v>
      </c>
      <c r="R243" s="717">
        <v>10</v>
      </c>
      <c r="S243" s="691" t="s">
        <v>92</v>
      </c>
      <c r="T243" t="s">
        <v>358</v>
      </c>
      <c r="U243" s="673" t="s">
        <v>358</v>
      </c>
      <c r="V243" s="690" t="s">
        <v>358</v>
      </c>
      <c r="W243" s="657" t="s">
        <v>324</v>
      </c>
      <c r="X243" s="723"/>
      <c r="Y243" s="4">
        <v>10</v>
      </c>
      <c r="Z243" s="4"/>
      <c r="AA243" s="4"/>
      <c r="AB243" s="4"/>
      <c r="AC243" s="4"/>
      <c r="AD243" s="4"/>
      <c r="AE243" s="4"/>
      <c r="AF243" s="4"/>
      <c r="AG243" s="4"/>
      <c r="AH243" s="4"/>
      <c r="AI243" s="654"/>
      <c r="AJ243" s="655"/>
      <c r="AK243" s="4"/>
      <c r="AL243" s="4"/>
      <c r="AM243" s="4"/>
      <c r="AN243" s="4"/>
      <c r="AO243" s="4"/>
      <c r="AP243" s="4"/>
      <c r="AQ243" s="4"/>
      <c r="AR243" s="4"/>
      <c r="AS243" s="4"/>
      <c r="AT243" s="4"/>
      <c r="AU243" s="654"/>
      <c r="AV243" s="655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654"/>
      <c r="BH243" s="655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654"/>
      <c r="BT243" s="655"/>
      <c r="BU243" s="4"/>
      <c r="BV243" s="4"/>
      <c r="BW243" s="4"/>
      <c r="BX243" s="4"/>
      <c r="BY243" s="4"/>
      <c r="BZ243" s="4"/>
      <c r="CA243" s="4"/>
      <c r="CB243" s="4"/>
      <c r="CC243" s="4"/>
      <c r="CD243" s="4"/>
      <c r="CE243" s="693"/>
      <c r="CF243" s="723"/>
      <c r="CG243" s="4">
        <v>44</v>
      </c>
      <c r="CH243" s="4"/>
      <c r="CI243" s="4"/>
      <c r="CJ243" s="4"/>
      <c r="CK243" s="4"/>
      <c r="CL243" s="4"/>
      <c r="CM243" s="4"/>
      <c r="CN243" s="4"/>
      <c r="CO243" s="4"/>
      <c r="CP243" s="4"/>
      <c r="CQ243" s="654"/>
      <c r="CR243" s="655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654"/>
      <c r="DD243" s="655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654"/>
      <c r="DP243" s="655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654"/>
      <c r="EB243" s="655"/>
      <c r="EC243" s="4"/>
      <c r="ED243" s="4"/>
      <c r="EE243" s="4"/>
      <c r="EF243" s="4"/>
      <c r="EG243" s="4"/>
      <c r="EH243" s="4"/>
      <c r="EI243" s="4"/>
      <c r="EJ243" s="4"/>
      <c r="EK243" s="4"/>
      <c r="EL243" s="4"/>
      <c r="EM243" s="693"/>
      <c r="EN243" s="723"/>
      <c r="EO243" s="4">
        <v>99.7</v>
      </c>
      <c r="EP243" s="4"/>
      <c r="EQ243" s="4"/>
      <c r="ER243" s="4"/>
      <c r="ES243" s="4"/>
      <c r="ET243" s="4"/>
      <c r="EU243" s="4"/>
      <c r="EV243" s="4"/>
      <c r="EW243" s="4"/>
      <c r="EX243" s="4"/>
      <c r="EY243" s="654"/>
      <c r="EZ243" s="655"/>
      <c r="FA243" s="4"/>
      <c r="FB243" s="4"/>
      <c r="FC243" s="4"/>
      <c r="FD243" s="4"/>
      <c r="FE243" s="4"/>
      <c r="FF243" s="4"/>
      <c r="FG243" s="4"/>
      <c r="FH243" s="4"/>
      <c r="FI243" s="4"/>
      <c r="FJ243" s="4"/>
      <c r="FK243" s="654"/>
      <c r="FL243" s="655"/>
      <c r="FM243" s="4"/>
      <c r="FN243" s="4"/>
      <c r="FO243" s="4"/>
      <c r="FP243" s="4"/>
      <c r="FQ243" s="4"/>
      <c r="FR243" s="4"/>
      <c r="FS243" s="4"/>
      <c r="FT243" s="4"/>
      <c r="FU243" s="4"/>
      <c r="FV243" s="4"/>
      <c r="FW243" s="654"/>
      <c r="FX243" s="655"/>
      <c r="FY243" s="4"/>
      <c r="FZ243" s="4"/>
      <c r="GA243" s="4"/>
      <c r="GB243" s="4"/>
      <c r="GC243" s="4"/>
      <c r="GD243" s="4"/>
      <c r="GE243" s="4"/>
      <c r="GF243" s="4"/>
      <c r="GG243" s="4"/>
      <c r="GH243" s="4"/>
      <c r="GI243" s="654"/>
      <c r="GJ243" s="655"/>
      <c r="GK243" s="4"/>
      <c r="GL243" s="4"/>
      <c r="GM243" s="4"/>
      <c r="GN243" s="4"/>
      <c r="GO243" s="4"/>
      <c r="GP243" s="4"/>
      <c r="GQ243" s="4"/>
      <c r="GR243" s="4"/>
      <c r="GS243" s="4"/>
      <c r="GT243" s="4"/>
      <c r="GU243" s="722"/>
      <c r="GV243" s="715"/>
    </row>
    <row r="244" spans="1:204" x14ac:dyDescent="0.25">
      <c r="A244" t="s">
        <v>1199</v>
      </c>
      <c r="B244" s="2" t="s">
        <v>358</v>
      </c>
      <c r="C244" s="619">
        <v>44614</v>
      </c>
      <c r="D244" s="2" t="s">
        <v>1192</v>
      </c>
      <c r="E244" t="s">
        <v>59</v>
      </c>
      <c r="F244" s="2" t="s">
        <v>43</v>
      </c>
      <c r="G244" t="s">
        <v>40</v>
      </c>
      <c r="H244" s="690" t="s">
        <v>85</v>
      </c>
      <c r="I244" s="691" t="s">
        <v>43</v>
      </c>
      <c r="J244" s="721">
        <v>3780401000108</v>
      </c>
      <c r="K244" s="691" t="s">
        <v>1195</v>
      </c>
      <c r="L244" s="721">
        <v>9185485000100</v>
      </c>
      <c r="M244" s="718" t="s">
        <v>3</v>
      </c>
      <c r="N244" s="717" t="s">
        <v>44</v>
      </c>
      <c r="O244" s="719">
        <v>44621</v>
      </c>
      <c r="P244" s="720">
        <v>44651</v>
      </c>
      <c r="Q244" s="718">
        <v>64</v>
      </c>
      <c r="R244" s="717">
        <v>20</v>
      </c>
      <c r="S244" s="691" t="s">
        <v>54</v>
      </c>
      <c r="T244" t="s">
        <v>358</v>
      </c>
      <c r="U244" s="673" t="s">
        <v>358</v>
      </c>
      <c r="V244" s="690" t="s">
        <v>358</v>
      </c>
      <c r="W244" s="657" t="s">
        <v>214</v>
      </c>
      <c r="X244" s="723"/>
      <c r="Y244" s="4"/>
      <c r="Z244" s="4">
        <v>20</v>
      </c>
      <c r="AA244" s="4"/>
      <c r="AB244" s="4"/>
      <c r="AC244" s="4"/>
      <c r="AD244" s="4"/>
      <c r="AE244" s="4"/>
      <c r="AF244" s="4"/>
      <c r="AG244" s="4"/>
      <c r="AH244" s="4"/>
      <c r="AI244" s="654"/>
      <c r="AJ244" s="655"/>
      <c r="AK244" s="4"/>
      <c r="AL244" s="4"/>
      <c r="AM244" s="4"/>
      <c r="AN244" s="4"/>
      <c r="AO244" s="4"/>
      <c r="AP244" s="4"/>
      <c r="AQ244" s="4"/>
      <c r="AR244" s="4"/>
      <c r="AS244" s="4"/>
      <c r="AT244" s="4"/>
      <c r="AU244" s="654"/>
      <c r="AV244" s="655"/>
      <c r="AW244" s="4"/>
      <c r="AX244" s="4"/>
      <c r="AY244" s="4"/>
      <c r="AZ244" s="4"/>
      <c r="BA244" s="4"/>
      <c r="BB244" s="4"/>
      <c r="BC244" s="4"/>
      <c r="BD244" s="4"/>
      <c r="BE244" s="4"/>
      <c r="BF244" s="4"/>
      <c r="BG244" s="654"/>
      <c r="BH244" s="655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654"/>
      <c r="BT244" s="655"/>
      <c r="BU244" s="4"/>
      <c r="BV244" s="4"/>
      <c r="BW244" s="4"/>
      <c r="BX244" s="4"/>
      <c r="BY244" s="4"/>
      <c r="BZ244" s="4"/>
      <c r="CA244" s="4"/>
      <c r="CB244" s="4"/>
      <c r="CC244" s="4"/>
      <c r="CD244" s="4"/>
      <c r="CE244" s="693"/>
      <c r="CF244" s="723"/>
      <c r="CG244" s="4"/>
      <c r="CH244" s="4">
        <v>64</v>
      </c>
      <c r="CI244" s="4"/>
      <c r="CJ244" s="4"/>
      <c r="CK244" s="4"/>
      <c r="CL244" s="4"/>
      <c r="CM244" s="4"/>
      <c r="CN244" s="4"/>
      <c r="CO244" s="4"/>
      <c r="CP244" s="4"/>
      <c r="CQ244" s="654"/>
      <c r="CR244" s="655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654"/>
      <c r="DD244" s="655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654"/>
      <c r="DP244" s="655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654"/>
      <c r="EB244" s="655"/>
      <c r="EC244" s="4"/>
      <c r="ED244" s="4"/>
      <c r="EE244" s="4"/>
      <c r="EF244" s="4"/>
      <c r="EG244" s="4"/>
      <c r="EH244" s="4"/>
      <c r="EI244" s="4"/>
      <c r="EJ244" s="4"/>
      <c r="EK244" s="4"/>
      <c r="EL244" s="4"/>
      <c r="EM244" s="693"/>
      <c r="EN244" s="723"/>
      <c r="EO244" s="4"/>
      <c r="EP244" s="4">
        <v>64</v>
      </c>
      <c r="EQ244" s="4"/>
      <c r="ER244" s="4"/>
      <c r="ES244" s="4"/>
      <c r="ET244" s="4"/>
      <c r="EU244" s="4"/>
      <c r="EV244" s="4"/>
      <c r="EW244" s="4"/>
      <c r="EX244" s="4"/>
      <c r="EY244" s="654"/>
      <c r="EZ244" s="655"/>
      <c r="FA244" s="4"/>
      <c r="FB244" s="4"/>
      <c r="FC244" s="4"/>
      <c r="FD244" s="4"/>
      <c r="FE244" s="4"/>
      <c r="FF244" s="4"/>
      <c r="FG244" s="4"/>
      <c r="FH244" s="4"/>
      <c r="FI244" s="4"/>
      <c r="FJ244" s="4"/>
      <c r="FK244" s="654"/>
      <c r="FL244" s="655"/>
      <c r="FM244" s="4"/>
      <c r="FN244" s="4"/>
      <c r="FO244" s="4"/>
      <c r="FP244" s="4"/>
      <c r="FQ244" s="4"/>
      <c r="FR244" s="4"/>
      <c r="FS244" s="4"/>
      <c r="FT244" s="4"/>
      <c r="FU244" s="4"/>
      <c r="FV244" s="4"/>
      <c r="FW244" s="654"/>
      <c r="FX244" s="655"/>
      <c r="FY244" s="4"/>
      <c r="FZ244" s="4"/>
      <c r="GA244" s="4"/>
      <c r="GB244" s="4"/>
      <c r="GC244" s="4"/>
      <c r="GD244" s="4"/>
      <c r="GE244" s="4"/>
      <c r="GF244" s="4"/>
      <c r="GG244" s="4"/>
      <c r="GH244" s="4"/>
      <c r="GI244" s="654"/>
      <c r="GJ244" s="655"/>
      <c r="GK244" s="4"/>
      <c r="GL244" s="4"/>
      <c r="GM244" s="4"/>
      <c r="GN244" s="4"/>
      <c r="GO244" s="4"/>
      <c r="GP244" s="4"/>
      <c r="GQ244" s="4"/>
      <c r="GR244" s="4"/>
      <c r="GS244" s="4"/>
      <c r="GT244" s="4"/>
      <c r="GU244" s="722"/>
      <c r="GV244" s="715"/>
    </row>
    <row r="245" spans="1:204" x14ac:dyDescent="0.25">
      <c r="A245" t="s">
        <v>1201</v>
      </c>
      <c r="B245" s="2" t="s">
        <v>1200</v>
      </c>
      <c r="C245" s="619">
        <v>44614</v>
      </c>
      <c r="D245" s="2" t="s">
        <v>1193</v>
      </c>
      <c r="E245" t="s">
        <v>59</v>
      </c>
      <c r="F245" s="2" t="s">
        <v>43</v>
      </c>
      <c r="G245" t="s">
        <v>40</v>
      </c>
      <c r="H245" s="690" t="s">
        <v>85</v>
      </c>
      <c r="I245" s="691" t="s">
        <v>43</v>
      </c>
      <c r="J245" s="721">
        <v>3780401000108</v>
      </c>
      <c r="K245" s="691" t="s">
        <v>1196</v>
      </c>
      <c r="L245" s="721">
        <v>13459301000120</v>
      </c>
      <c r="M245" s="718" t="s">
        <v>5</v>
      </c>
      <c r="N245" s="717" t="s">
        <v>44</v>
      </c>
      <c r="O245" s="719">
        <v>44593</v>
      </c>
      <c r="P245" s="720">
        <v>44620</v>
      </c>
      <c r="Q245" s="718">
        <v>42</v>
      </c>
      <c r="R245" s="717">
        <v>5</v>
      </c>
      <c r="S245" s="691" t="s">
        <v>92</v>
      </c>
      <c r="T245" t="s">
        <v>358</v>
      </c>
      <c r="U245" s="673" t="s">
        <v>358</v>
      </c>
      <c r="V245" s="690" t="s">
        <v>358</v>
      </c>
      <c r="W245" s="657" t="s">
        <v>324</v>
      </c>
      <c r="X245" s="723"/>
      <c r="Y245" s="4">
        <v>5</v>
      </c>
      <c r="Z245" s="4"/>
      <c r="AA245" s="4"/>
      <c r="AB245" s="4"/>
      <c r="AC245" s="4"/>
      <c r="AD245" s="4"/>
      <c r="AE245" s="4"/>
      <c r="AF245" s="4"/>
      <c r="AG245" s="4"/>
      <c r="AH245" s="4"/>
      <c r="AI245" s="654"/>
      <c r="AJ245" s="655"/>
      <c r="AK245" s="4"/>
      <c r="AL245" s="4"/>
      <c r="AM245" s="4"/>
      <c r="AN245" s="4"/>
      <c r="AO245" s="4"/>
      <c r="AP245" s="4"/>
      <c r="AQ245" s="4"/>
      <c r="AR245" s="4"/>
      <c r="AS245" s="4"/>
      <c r="AT245" s="4"/>
      <c r="AU245" s="654"/>
      <c r="AV245" s="655"/>
      <c r="AW245" s="4"/>
      <c r="AX245" s="4"/>
      <c r="AY245" s="4"/>
      <c r="AZ245" s="4"/>
      <c r="BA245" s="4"/>
      <c r="BB245" s="4"/>
      <c r="BC245" s="4"/>
      <c r="BD245" s="4"/>
      <c r="BE245" s="4"/>
      <c r="BF245" s="4"/>
      <c r="BG245" s="654"/>
      <c r="BH245" s="655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654"/>
      <c r="BT245" s="655"/>
      <c r="BU245" s="4"/>
      <c r="BV245" s="4"/>
      <c r="BW245" s="4"/>
      <c r="BX245" s="4"/>
      <c r="BY245" s="4"/>
      <c r="BZ245" s="4"/>
      <c r="CA245" s="4"/>
      <c r="CB245" s="4"/>
      <c r="CC245" s="4"/>
      <c r="CD245" s="4"/>
      <c r="CE245" s="693"/>
      <c r="CF245" s="723"/>
      <c r="CG245" s="4">
        <v>42</v>
      </c>
      <c r="CH245" s="4"/>
      <c r="CI245" s="4"/>
      <c r="CJ245" s="4"/>
      <c r="CK245" s="4"/>
      <c r="CL245" s="4"/>
      <c r="CM245" s="4"/>
      <c r="CN245" s="4"/>
      <c r="CO245" s="4"/>
      <c r="CP245" s="4"/>
      <c r="CQ245" s="654"/>
      <c r="CR245" s="655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654"/>
      <c r="DD245" s="655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654"/>
      <c r="DP245" s="655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654"/>
      <c r="EB245" s="655"/>
      <c r="EC245" s="4"/>
      <c r="ED245" s="4"/>
      <c r="EE245" s="4"/>
      <c r="EF245" s="4"/>
      <c r="EG245" s="4"/>
      <c r="EH245" s="4"/>
      <c r="EI245" s="4"/>
      <c r="EJ245" s="4"/>
      <c r="EK245" s="4"/>
      <c r="EL245" s="4"/>
      <c r="EM245" s="693"/>
      <c r="EN245" s="723"/>
      <c r="EO245" s="4">
        <v>97.7</v>
      </c>
      <c r="EP245" s="4"/>
      <c r="EQ245" s="4"/>
      <c r="ER245" s="4"/>
      <c r="ES245" s="4"/>
      <c r="ET245" s="4"/>
      <c r="EU245" s="4"/>
      <c r="EV245" s="4"/>
      <c r="EW245" s="4"/>
      <c r="EX245" s="4"/>
      <c r="EY245" s="654"/>
      <c r="EZ245" s="655"/>
      <c r="FA245" s="4"/>
      <c r="FB245" s="4"/>
      <c r="FC245" s="4"/>
      <c r="FD245" s="4"/>
      <c r="FE245" s="4"/>
      <c r="FF245" s="4"/>
      <c r="FG245" s="4"/>
      <c r="FH245" s="4"/>
      <c r="FI245" s="4"/>
      <c r="FJ245" s="4"/>
      <c r="FK245" s="654"/>
      <c r="FL245" s="655"/>
      <c r="FM245" s="4"/>
      <c r="FN245" s="4"/>
      <c r="FO245" s="4"/>
      <c r="FP245" s="4"/>
      <c r="FQ245" s="4"/>
      <c r="FR245" s="4"/>
      <c r="FS245" s="4"/>
      <c r="FT245" s="4"/>
      <c r="FU245" s="4"/>
      <c r="FV245" s="4"/>
      <c r="FW245" s="654"/>
      <c r="FX245" s="655"/>
      <c r="FY245" s="4"/>
      <c r="FZ245" s="4"/>
      <c r="GA245" s="4"/>
      <c r="GB245" s="4"/>
      <c r="GC245" s="4"/>
      <c r="GD245" s="4"/>
      <c r="GE245" s="4"/>
      <c r="GF245" s="4"/>
      <c r="GG245" s="4"/>
      <c r="GH245" s="4"/>
      <c r="GI245" s="654"/>
      <c r="GJ245" s="655"/>
      <c r="GK245" s="4"/>
      <c r="GL245" s="4"/>
      <c r="GM245" s="4"/>
      <c r="GN245" s="4"/>
      <c r="GO245" s="4"/>
      <c r="GP245" s="4"/>
      <c r="GQ245" s="4"/>
      <c r="GR245" s="4"/>
      <c r="GS245" s="4"/>
      <c r="GT245" s="4"/>
      <c r="GU245" s="722"/>
      <c r="GV245" s="715"/>
    </row>
    <row r="246" spans="1:204" x14ac:dyDescent="0.25">
      <c r="A246" t="s">
        <v>1205</v>
      </c>
      <c r="B246" s="2" t="s">
        <v>1204</v>
      </c>
      <c r="C246" s="619">
        <v>44615</v>
      </c>
      <c r="D246" s="2">
        <v>21608</v>
      </c>
      <c r="E246" t="s">
        <v>59</v>
      </c>
      <c r="F246" s="2" t="s">
        <v>43</v>
      </c>
      <c r="G246" t="s">
        <v>40</v>
      </c>
      <c r="H246" s="690" t="s">
        <v>85</v>
      </c>
      <c r="I246" s="691" t="s">
        <v>43</v>
      </c>
      <c r="J246" s="721">
        <v>3780401000108</v>
      </c>
      <c r="K246" s="691" t="s">
        <v>1202</v>
      </c>
      <c r="L246" s="721">
        <v>6981176000158</v>
      </c>
      <c r="M246" s="718" t="s">
        <v>5</v>
      </c>
      <c r="N246" s="717" t="s">
        <v>44</v>
      </c>
      <c r="O246" s="719">
        <v>44593</v>
      </c>
      <c r="P246" s="720">
        <v>44620</v>
      </c>
      <c r="Q246" s="718">
        <v>45</v>
      </c>
      <c r="R246" s="717">
        <v>5</v>
      </c>
      <c r="S246" s="691" t="s">
        <v>92</v>
      </c>
      <c r="T246" t="s">
        <v>358</v>
      </c>
      <c r="U246" s="673" t="s">
        <v>358</v>
      </c>
      <c r="V246" s="690" t="s">
        <v>358</v>
      </c>
      <c r="W246" s="657" t="s">
        <v>324</v>
      </c>
      <c r="X246" s="723"/>
      <c r="Y246" s="4">
        <v>5</v>
      </c>
      <c r="Z246" s="4"/>
      <c r="AA246" s="4"/>
      <c r="AB246" s="4"/>
      <c r="AC246" s="4"/>
      <c r="AD246" s="4"/>
      <c r="AE246" s="4"/>
      <c r="AF246" s="4"/>
      <c r="AG246" s="4"/>
      <c r="AH246" s="4"/>
      <c r="AI246" s="654"/>
      <c r="AJ246" s="655"/>
      <c r="AK246" s="4"/>
      <c r="AL246" s="4"/>
      <c r="AM246" s="4"/>
      <c r="AN246" s="4"/>
      <c r="AO246" s="4"/>
      <c r="AP246" s="4"/>
      <c r="AQ246" s="4"/>
      <c r="AR246" s="4"/>
      <c r="AS246" s="4"/>
      <c r="AT246" s="4"/>
      <c r="AU246" s="654"/>
      <c r="AV246" s="655"/>
      <c r="AW246" s="4"/>
      <c r="AX246" s="4"/>
      <c r="AY246" s="4"/>
      <c r="AZ246" s="4"/>
      <c r="BA246" s="4"/>
      <c r="BB246" s="4"/>
      <c r="BC246" s="4"/>
      <c r="BD246" s="4"/>
      <c r="BE246" s="4"/>
      <c r="BF246" s="4"/>
      <c r="BG246" s="654"/>
      <c r="BH246" s="655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654"/>
      <c r="BT246" s="655"/>
      <c r="BU246" s="4"/>
      <c r="BV246" s="4"/>
      <c r="BW246" s="4"/>
      <c r="BX246" s="4"/>
      <c r="BY246" s="4"/>
      <c r="BZ246" s="4"/>
      <c r="CA246" s="4"/>
      <c r="CB246" s="4"/>
      <c r="CC246" s="4"/>
      <c r="CD246" s="4"/>
      <c r="CE246" s="693"/>
      <c r="CF246" s="723"/>
      <c r="CG246" s="4">
        <v>45</v>
      </c>
      <c r="CH246" s="4"/>
      <c r="CI246" s="4"/>
      <c r="CJ246" s="4"/>
      <c r="CK246" s="4"/>
      <c r="CL246" s="4"/>
      <c r="CM246" s="4"/>
      <c r="CN246" s="4"/>
      <c r="CO246" s="4"/>
      <c r="CP246" s="4"/>
      <c r="CQ246" s="654"/>
      <c r="CR246" s="655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654"/>
      <c r="DD246" s="655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654"/>
      <c r="DP246" s="655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654"/>
      <c r="EB246" s="655"/>
      <c r="EC246" s="4"/>
      <c r="ED246" s="4"/>
      <c r="EE246" s="4"/>
      <c r="EF246" s="4"/>
      <c r="EG246" s="4"/>
      <c r="EH246" s="4"/>
      <c r="EI246" s="4"/>
      <c r="EJ246" s="4"/>
      <c r="EK246" s="4"/>
      <c r="EL246" s="4"/>
      <c r="EM246" s="693"/>
      <c r="EN246" s="723"/>
      <c r="EO246" s="4">
        <v>100.7</v>
      </c>
      <c r="EP246" s="4"/>
      <c r="EQ246" s="4"/>
      <c r="ER246" s="4"/>
      <c r="ES246" s="4"/>
      <c r="ET246" s="4"/>
      <c r="EU246" s="4"/>
      <c r="EV246" s="4"/>
      <c r="EW246" s="4"/>
      <c r="EX246" s="4"/>
      <c r="EY246" s="654"/>
      <c r="EZ246" s="655"/>
      <c r="FA246" s="4"/>
      <c r="FB246" s="4"/>
      <c r="FC246" s="4"/>
      <c r="FD246" s="4"/>
      <c r="FE246" s="4"/>
      <c r="FF246" s="4"/>
      <c r="FG246" s="4"/>
      <c r="FH246" s="4"/>
      <c r="FI246" s="4"/>
      <c r="FJ246" s="4"/>
      <c r="FK246" s="654"/>
      <c r="FL246" s="655"/>
      <c r="FM246" s="4"/>
      <c r="FN246" s="4"/>
      <c r="FO246" s="4"/>
      <c r="FP246" s="4"/>
      <c r="FQ246" s="4"/>
      <c r="FR246" s="4"/>
      <c r="FS246" s="4"/>
      <c r="FT246" s="4"/>
      <c r="FU246" s="4"/>
      <c r="FV246" s="4"/>
      <c r="FW246" s="654"/>
      <c r="FX246" s="655"/>
      <c r="FY246" s="4"/>
      <c r="FZ246" s="4"/>
      <c r="GA246" s="4"/>
      <c r="GB246" s="4"/>
      <c r="GC246" s="4"/>
      <c r="GD246" s="4"/>
      <c r="GE246" s="4"/>
      <c r="GF246" s="4"/>
      <c r="GG246" s="4"/>
      <c r="GH246" s="4"/>
      <c r="GI246" s="654"/>
      <c r="GJ246" s="655"/>
      <c r="GK246" s="4"/>
      <c r="GL246" s="4"/>
      <c r="GM246" s="4"/>
      <c r="GN246" s="4"/>
      <c r="GO246" s="4"/>
      <c r="GP246" s="4"/>
      <c r="GQ246" s="4"/>
      <c r="GR246" s="4"/>
      <c r="GS246" s="4"/>
      <c r="GT246" s="4"/>
      <c r="GU246" s="722"/>
      <c r="GV246" s="715"/>
    </row>
    <row r="247" spans="1:204" x14ac:dyDescent="0.25">
      <c r="A247" t="s">
        <v>1207</v>
      </c>
      <c r="B247" s="2" t="s">
        <v>1206</v>
      </c>
      <c r="C247" s="619">
        <v>44615</v>
      </c>
      <c r="D247" s="2">
        <v>21684</v>
      </c>
      <c r="E247" t="s">
        <v>59</v>
      </c>
      <c r="F247" s="2" t="s">
        <v>43</v>
      </c>
      <c r="G247" t="s">
        <v>40</v>
      </c>
      <c r="H247" s="690" t="s">
        <v>85</v>
      </c>
      <c r="I247" s="691" t="s">
        <v>43</v>
      </c>
      <c r="J247" s="721">
        <v>3780401000108</v>
      </c>
      <c r="K247" s="691" t="s">
        <v>1203</v>
      </c>
      <c r="L247" s="721">
        <v>17155730000164</v>
      </c>
      <c r="M247" s="718" t="s">
        <v>5</v>
      </c>
      <c r="N247" s="717" t="s">
        <v>44</v>
      </c>
      <c r="O247" s="719">
        <v>44593</v>
      </c>
      <c r="P247" s="720">
        <v>44620</v>
      </c>
      <c r="Q247" s="718">
        <v>45</v>
      </c>
      <c r="R247" s="717">
        <v>15</v>
      </c>
      <c r="S247" s="691" t="s">
        <v>92</v>
      </c>
      <c r="T247" t="s">
        <v>358</v>
      </c>
      <c r="U247" s="673" t="s">
        <v>358</v>
      </c>
      <c r="V247" s="690" t="s">
        <v>358</v>
      </c>
      <c r="W247" s="657" t="s">
        <v>324</v>
      </c>
      <c r="X247" s="723"/>
      <c r="Y247" s="4">
        <v>15</v>
      </c>
      <c r="Z247" s="4"/>
      <c r="AA247" s="4"/>
      <c r="AB247" s="4"/>
      <c r="AC247" s="4"/>
      <c r="AD247" s="4"/>
      <c r="AE247" s="4"/>
      <c r="AF247" s="4"/>
      <c r="AG247" s="4"/>
      <c r="AH247" s="4"/>
      <c r="AI247" s="654"/>
      <c r="AJ247" s="655"/>
      <c r="AK247" s="4"/>
      <c r="AL247" s="4"/>
      <c r="AM247" s="4"/>
      <c r="AN247" s="4"/>
      <c r="AO247" s="4"/>
      <c r="AP247" s="4"/>
      <c r="AQ247" s="4"/>
      <c r="AR247" s="4"/>
      <c r="AS247" s="4"/>
      <c r="AT247" s="4"/>
      <c r="AU247" s="654"/>
      <c r="AV247" s="655"/>
      <c r="AW247" s="4"/>
      <c r="AX247" s="4"/>
      <c r="AY247" s="4"/>
      <c r="AZ247" s="4"/>
      <c r="BA247" s="4"/>
      <c r="BB247" s="4"/>
      <c r="BC247" s="4"/>
      <c r="BD247" s="4"/>
      <c r="BE247" s="4"/>
      <c r="BF247" s="4"/>
      <c r="BG247" s="654"/>
      <c r="BH247" s="655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654"/>
      <c r="BT247" s="655"/>
      <c r="BU247" s="4"/>
      <c r="BV247" s="4"/>
      <c r="BW247" s="4"/>
      <c r="BX247" s="4"/>
      <c r="BY247" s="4"/>
      <c r="BZ247" s="4"/>
      <c r="CA247" s="4"/>
      <c r="CB247" s="4"/>
      <c r="CC247" s="4"/>
      <c r="CD247" s="4"/>
      <c r="CE247" s="693"/>
      <c r="CF247" s="723"/>
      <c r="CG247" s="4">
        <v>45</v>
      </c>
      <c r="CH247" s="4"/>
      <c r="CI247" s="4"/>
      <c r="CJ247" s="4"/>
      <c r="CK247" s="4"/>
      <c r="CL247" s="4"/>
      <c r="CM247" s="4"/>
      <c r="CN247" s="4"/>
      <c r="CO247" s="4"/>
      <c r="CP247" s="4"/>
      <c r="CQ247" s="654"/>
      <c r="CR247" s="655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654"/>
      <c r="DD247" s="655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654"/>
      <c r="DP247" s="655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654"/>
      <c r="EB247" s="655"/>
      <c r="EC247" s="4"/>
      <c r="ED247" s="4"/>
      <c r="EE247" s="4"/>
      <c r="EF247" s="4"/>
      <c r="EG247" s="4"/>
      <c r="EH247" s="4"/>
      <c r="EI247" s="4"/>
      <c r="EJ247" s="4"/>
      <c r="EK247" s="4"/>
      <c r="EL247" s="4"/>
      <c r="EM247" s="693"/>
      <c r="EN247" s="723"/>
      <c r="EO247" s="4">
        <v>100.7</v>
      </c>
      <c r="EP247" s="4"/>
      <c r="EQ247" s="4"/>
      <c r="ER247" s="4"/>
      <c r="ES247" s="4"/>
      <c r="ET247" s="4"/>
      <c r="EU247" s="4"/>
      <c r="EV247" s="4"/>
      <c r="EW247" s="4"/>
      <c r="EX247" s="4"/>
      <c r="EY247" s="654"/>
      <c r="EZ247" s="655"/>
      <c r="FA247" s="4"/>
      <c r="FB247" s="4"/>
      <c r="FC247" s="4"/>
      <c r="FD247" s="4"/>
      <c r="FE247" s="4"/>
      <c r="FF247" s="4"/>
      <c r="FG247" s="4"/>
      <c r="FH247" s="4"/>
      <c r="FI247" s="4"/>
      <c r="FJ247" s="4"/>
      <c r="FK247" s="654"/>
      <c r="FL247" s="655"/>
      <c r="FM247" s="4"/>
      <c r="FN247" s="4"/>
      <c r="FO247" s="4"/>
      <c r="FP247" s="4"/>
      <c r="FQ247" s="4"/>
      <c r="FR247" s="4"/>
      <c r="FS247" s="4"/>
      <c r="FT247" s="4"/>
      <c r="FU247" s="4"/>
      <c r="FV247" s="4"/>
      <c r="FW247" s="654"/>
      <c r="FX247" s="655"/>
      <c r="FY247" s="4"/>
      <c r="FZ247" s="4"/>
      <c r="GA247" s="4"/>
      <c r="GB247" s="4"/>
      <c r="GC247" s="4"/>
      <c r="GD247" s="4"/>
      <c r="GE247" s="4"/>
      <c r="GF247" s="4"/>
      <c r="GG247" s="4"/>
      <c r="GH247" s="4"/>
      <c r="GI247" s="654"/>
      <c r="GJ247" s="655"/>
      <c r="GK247" s="4"/>
      <c r="GL247" s="4"/>
      <c r="GM247" s="4"/>
      <c r="GN247" s="4"/>
      <c r="GO247" s="4"/>
      <c r="GP247" s="4"/>
      <c r="GQ247" s="4"/>
      <c r="GR247" s="4"/>
      <c r="GS247" s="4"/>
      <c r="GT247" s="4"/>
      <c r="GU247" s="722"/>
      <c r="GV247" s="715"/>
    </row>
    <row r="248" spans="1:204" x14ac:dyDescent="0.25">
      <c r="A248" t="s">
        <v>1209</v>
      </c>
      <c r="B248" s="2" t="s">
        <v>1208</v>
      </c>
      <c r="C248" s="619">
        <v>44616</v>
      </c>
      <c r="D248" s="2">
        <v>21620</v>
      </c>
      <c r="E248" t="s">
        <v>59</v>
      </c>
      <c r="F248" s="2" t="s">
        <v>43</v>
      </c>
      <c r="G248" t="s">
        <v>40</v>
      </c>
      <c r="H248" s="690" t="s">
        <v>85</v>
      </c>
      <c r="I248" s="691" t="s">
        <v>43</v>
      </c>
      <c r="J248" s="721">
        <v>3780401000108</v>
      </c>
      <c r="K248" s="691" t="s">
        <v>1202</v>
      </c>
      <c r="L248" s="721">
        <v>6981176000158</v>
      </c>
      <c r="M248" s="718" t="s">
        <v>5</v>
      </c>
      <c r="N248" s="717" t="s">
        <v>44</v>
      </c>
      <c r="O248" s="719">
        <v>44593</v>
      </c>
      <c r="P248" s="720">
        <v>44620</v>
      </c>
      <c r="Q248" s="718">
        <v>45</v>
      </c>
      <c r="R248" s="717">
        <v>23</v>
      </c>
      <c r="S248" s="691" t="s">
        <v>92</v>
      </c>
      <c r="T248" t="s">
        <v>358</v>
      </c>
      <c r="U248" s="673" t="s">
        <v>358</v>
      </c>
      <c r="V248" s="690" t="s">
        <v>358</v>
      </c>
      <c r="W248" s="657" t="s">
        <v>324</v>
      </c>
      <c r="X248" s="723"/>
      <c r="Y248" s="4">
        <v>23</v>
      </c>
      <c r="Z248" s="4"/>
      <c r="AA248" s="4"/>
      <c r="AB248" s="4"/>
      <c r="AC248" s="4"/>
      <c r="AD248" s="4"/>
      <c r="AE248" s="4"/>
      <c r="AF248" s="4"/>
      <c r="AG248" s="4"/>
      <c r="AH248" s="4"/>
      <c r="AI248" s="654"/>
      <c r="AJ248" s="655"/>
      <c r="AK248" s="4"/>
      <c r="AL248" s="4"/>
      <c r="AM248" s="4"/>
      <c r="AN248" s="4"/>
      <c r="AO248" s="4"/>
      <c r="AP248" s="4"/>
      <c r="AQ248" s="4"/>
      <c r="AR248" s="4"/>
      <c r="AS248" s="4"/>
      <c r="AT248" s="4"/>
      <c r="AU248" s="654"/>
      <c r="AV248" s="655"/>
      <c r="AW248" s="4"/>
      <c r="AX248" s="4"/>
      <c r="AY248" s="4"/>
      <c r="AZ248" s="4"/>
      <c r="BA248" s="4"/>
      <c r="BB248" s="4"/>
      <c r="BC248" s="4"/>
      <c r="BD248" s="4"/>
      <c r="BE248" s="4"/>
      <c r="BF248" s="4"/>
      <c r="BG248" s="654"/>
      <c r="BH248" s="655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654"/>
      <c r="BT248" s="655"/>
      <c r="BU248" s="4"/>
      <c r="BV248" s="4"/>
      <c r="BW248" s="4"/>
      <c r="BX248" s="4"/>
      <c r="BY248" s="4"/>
      <c r="BZ248" s="4"/>
      <c r="CA248" s="4"/>
      <c r="CB248" s="4"/>
      <c r="CC248" s="4"/>
      <c r="CD248" s="4"/>
      <c r="CE248" s="693"/>
      <c r="CF248" s="723"/>
      <c r="CG248" s="4">
        <v>45</v>
      </c>
      <c r="CH248" s="4"/>
      <c r="CI248" s="4"/>
      <c r="CJ248" s="4"/>
      <c r="CK248" s="4"/>
      <c r="CL248" s="4"/>
      <c r="CM248" s="4"/>
      <c r="CN248" s="4"/>
      <c r="CO248" s="4"/>
      <c r="CP248" s="4"/>
      <c r="CQ248" s="654"/>
      <c r="CR248" s="655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654"/>
      <c r="DD248" s="655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654"/>
      <c r="DP248" s="655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654"/>
      <c r="EB248" s="655"/>
      <c r="EC248" s="4"/>
      <c r="ED248" s="4"/>
      <c r="EE248" s="4"/>
      <c r="EF248" s="4"/>
      <c r="EG248" s="4"/>
      <c r="EH248" s="4"/>
      <c r="EI248" s="4"/>
      <c r="EJ248" s="4"/>
      <c r="EK248" s="4"/>
      <c r="EL248" s="4"/>
      <c r="EM248" s="693"/>
      <c r="EN248" s="723"/>
      <c r="EO248" s="4">
        <v>100.7</v>
      </c>
      <c r="EP248" s="4"/>
      <c r="EQ248" s="4"/>
      <c r="ER248" s="4"/>
      <c r="ES248" s="4"/>
      <c r="ET248" s="4"/>
      <c r="EU248" s="4"/>
      <c r="EV248" s="4"/>
      <c r="EW248" s="4"/>
      <c r="EX248" s="4"/>
      <c r="EY248" s="654"/>
      <c r="EZ248" s="655"/>
      <c r="FA248" s="4"/>
      <c r="FB248" s="4"/>
      <c r="FC248" s="4"/>
      <c r="FD248" s="4"/>
      <c r="FE248" s="4"/>
      <c r="FF248" s="4"/>
      <c r="FG248" s="4"/>
      <c r="FH248" s="4"/>
      <c r="FI248" s="4"/>
      <c r="FJ248" s="4"/>
      <c r="FK248" s="654"/>
      <c r="FL248" s="655"/>
      <c r="FM248" s="4"/>
      <c r="FN248" s="4"/>
      <c r="FO248" s="4"/>
      <c r="FP248" s="4"/>
      <c r="FQ248" s="4"/>
      <c r="FR248" s="4"/>
      <c r="FS248" s="4"/>
      <c r="FT248" s="4"/>
      <c r="FU248" s="4"/>
      <c r="FV248" s="4"/>
      <c r="FW248" s="654"/>
      <c r="FX248" s="655"/>
      <c r="FY248" s="4"/>
      <c r="FZ248" s="4"/>
      <c r="GA248" s="4"/>
      <c r="GB248" s="4"/>
      <c r="GC248" s="4"/>
      <c r="GD248" s="4"/>
      <c r="GE248" s="4"/>
      <c r="GF248" s="4"/>
      <c r="GG248" s="4"/>
      <c r="GH248" s="4"/>
      <c r="GI248" s="654"/>
      <c r="GJ248" s="655"/>
      <c r="GK248" s="4"/>
      <c r="GL248" s="4"/>
      <c r="GM248" s="4"/>
      <c r="GN248" s="4"/>
      <c r="GO248" s="4"/>
      <c r="GP248" s="4"/>
      <c r="GQ248" s="4"/>
      <c r="GR248" s="4"/>
      <c r="GS248" s="4"/>
      <c r="GT248" s="4"/>
      <c r="GU248" s="722"/>
      <c r="GV248" s="715"/>
    </row>
    <row r="249" spans="1:204" x14ac:dyDescent="0.25">
      <c r="A249" t="s">
        <v>1219</v>
      </c>
      <c r="B249" s="2" t="s">
        <v>1218</v>
      </c>
      <c r="C249" s="619">
        <v>44617</v>
      </c>
      <c r="D249" s="2" t="s">
        <v>1210</v>
      </c>
      <c r="E249" t="s">
        <v>59</v>
      </c>
      <c r="F249" s="2" t="s">
        <v>43</v>
      </c>
      <c r="G249" t="s">
        <v>40</v>
      </c>
      <c r="H249" s="690" t="s">
        <v>85</v>
      </c>
      <c r="I249" s="691" t="s">
        <v>43</v>
      </c>
      <c r="J249" s="721">
        <v>3780401000108</v>
      </c>
      <c r="K249" s="691" t="s">
        <v>967</v>
      </c>
      <c r="L249" s="721">
        <v>3984862000194</v>
      </c>
      <c r="M249" s="718" t="s">
        <v>3</v>
      </c>
      <c r="N249" s="717" t="s">
        <v>44</v>
      </c>
      <c r="O249" s="719">
        <v>44621</v>
      </c>
      <c r="P249" s="720">
        <v>44651</v>
      </c>
      <c r="Q249" s="718">
        <v>60.05</v>
      </c>
      <c r="R249" s="717">
        <v>3.5</v>
      </c>
      <c r="S249" s="691" t="s">
        <v>54</v>
      </c>
      <c r="T249" t="s">
        <v>358</v>
      </c>
      <c r="U249" s="673" t="s">
        <v>358</v>
      </c>
      <c r="V249" s="690" t="s">
        <v>358</v>
      </c>
      <c r="W249" s="657" t="s">
        <v>329</v>
      </c>
      <c r="X249" s="723"/>
      <c r="Y249" s="4"/>
      <c r="Z249" s="4">
        <v>3.5</v>
      </c>
      <c r="AA249" s="4"/>
      <c r="AB249" s="4"/>
      <c r="AC249" s="4"/>
      <c r="AD249" s="4"/>
      <c r="AE249" s="4"/>
      <c r="AF249" s="4"/>
      <c r="AG249" s="4"/>
      <c r="AH249" s="4"/>
      <c r="AI249" s="654"/>
      <c r="AJ249" s="655"/>
      <c r="AK249" s="4"/>
      <c r="AL249" s="4"/>
      <c r="AM249" s="4"/>
      <c r="AN249" s="4"/>
      <c r="AO249" s="4"/>
      <c r="AP249" s="4"/>
      <c r="AQ249" s="4"/>
      <c r="AR249" s="4"/>
      <c r="AS249" s="4"/>
      <c r="AT249" s="4"/>
      <c r="AU249" s="654"/>
      <c r="AV249" s="655"/>
      <c r="AW249" s="4"/>
      <c r="AX249" s="4"/>
      <c r="AY249" s="4"/>
      <c r="AZ249" s="4"/>
      <c r="BA249" s="4"/>
      <c r="BB249" s="4"/>
      <c r="BC249" s="4"/>
      <c r="BD249" s="4"/>
      <c r="BE249" s="4"/>
      <c r="BF249" s="4"/>
      <c r="BG249" s="654"/>
      <c r="BH249" s="655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654"/>
      <c r="BT249" s="655"/>
      <c r="BU249" s="4"/>
      <c r="BV249" s="4"/>
      <c r="BW249" s="4"/>
      <c r="BX249" s="4"/>
      <c r="BY249" s="4"/>
      <c r="BZ249" s="4"/>
      <c r="CA249" s="4"/>
      <c r="CB249" s="4"/>
      <c r="CC249" s="4"/>
      <c r="CD249" s="4"/>
      <c r="CE249" s="693"/>
      <c r="CF249" s="723"/>
      <c r="CG249" s="4"/>
      <c r="CH249" s="4">
        <v>60.05</v>
      </c>
      <c r="CI249" s="4"/>
      <c r="CJ249" s="4"/>
      <c r="CK249" s="4"/>
      <c r="CL249" s="4"/>
      <c r="CM249" s="4"/>
      <c r="CN249" s="4"/>
      <c r="CO249" s="4"/>
      <c r="CP249" s="4"/>
      <c r="CQ249" s="654"/>
      <c r="CR249" s="655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654"/>
      <c r="DD249" s="655"/>
      <c r="DE249" s="4"/>
      <c r="DF249" s="4"/>
      <c r="DG249" s="4"/>
      <c r="DH249" s="4"/>
      <c r="DI249" s="4"/>
      <c r="DJ249" s="4"/>
      <c r="DK249" s="4"/>
      <c r="DL249" s="4"/>
      <c r="DM249" s="4"/>
      <c r="DN249" s="4"/>
      <c r="DO249" s="654"/>
      <c r="DP249" s="655"/>
      <c r="DQ249" s="4"/>
      <c r="DR249" s="4"/>
      <c r="DS249" s="4"/>
      <c r="DT249" s="4"/>
      <c r="DU249" s="4"/>
      <c r="DV249" s="4"/>
      <c r="DW249" s="4"/>
      <c r="DX249" s="4"/>
      <c r="DY249" s="4"/>
      <c r="DZ249" s="4"/>
      <c r="EA249" s="654"/>
      <c r="EB249" s="655"/>
      <c r="EC249" s="4"/>
      <c r="ED249" s="4"/>
      <c r="EE249" s="4"/>
      <c r="EF249" s="4"/>
      <c r="EG249" s="4"/>
      <c r="EH249" s="4"/>
      <c r="EI249" s="4"/>
      <c r="EJ249" s="4"/>
      <c r="EK249" s="4"/>
      <c r="EL249" s="4"/>
      <c r="EM249" s="693"/>
      <c r="EN249" s="723"/>
      <c r="EO249" s="4"/>
      <c r="EP249" s="4">
        <v>60.05</v>
      </c>
      <c r="EQ249" s="4"/>
      <c r="ER249" s="4"/>
      <c r="ES249" s="4"/>
      <c r="ET249" s="4"/>
      <c r="EU249" s="4"/>
      <c r="EV249" s="4"/>
      <c r="EW249" s="4"/>
      <c r="EX249" s="4"/>
      <c r="EY249" s="654"/>
      <c r="EZ249" s="655"/>
      <c r="FA249" s="4"/>
      <c r="FB249" s="4"/>
      <c r="FC249" s="4"/>
      <c r="FD249" s="4"/>
      <c r="FE249" s="4"/>
      <c r="FF249" s="4"/>
      <c r="FG249" s="4"/>
      <c r="FH249" s="4"/>
      <c r="FI249" s="4"/>
      <c r="FJ249" s="4"/>
      <c r="FK249" s="654"/>
      <c r="FL249" s="655"/>
      <c r="FM249" s="4"/>
      <c r="FN249" s="4"/>
      <c r="FO249" s="4"/>
      <c r="FP249" s="4"/>
      <c r="FQ249" s="4"/>
      <c r="FR249" s="4"/>
      <c r="FS249" s="4"/>
      <c r="FT249" s="4"/>
      <c r="FU249" s="4"/>
      <c r="FV249" s="4"/>
      <c r="FW249" s="654"/>
      <c r="FX249" s="655"/>
      <c r="FY249" s="4"/>
      <c r="FZ249" s="4"/>
      <c r="GA249" s="4"/>
      <c r="GB249" s="4"/>
      <c r="GC249" s="4"/>
      <c r="GD249" s="4"/>
      <c r="GE249" s="4"/>
      <c r="GF249" s="4"/>
      <c r="GG249" s="4"/>
      <c r="GH249" s="4"/>
      <c r="GI249" s="654"/>
      <c r="GJ249" s="655"/>
      <c r="GK249" s="4"/>
      <c r="GL249" s="4"/>
      <c r="GM249" s="4"/>
      <c r="GN249" s="4"/>
      <c r="GO249" s="4"/>
      <c r="GP249" s="4"/>
      <c r="GQ249" s="4"/>
      <c r="GR249" s="4"/>
      <c r="GS249" s="4"/>
      <c r="GT249" s="4"/>
      <c r="GU249" s="722"/>
      <c r="GV249" s="715"/>
    </row>
    <row r="250" spans="1:204" x14ac:dyDescent="0.25">
      <c r="A250" t="s">
        <v>1221</v>
      </c>
      <c r="B250" s="2" t="s">
        <v>1220</v>
      </c>
      <c r="C250" s="619">
        <v>44617</v>
      </c>
      <c r="D250" s="2" t="s">
        <v>1211</v>
      </c>
      <c r="E250" t="s">
        <v>59</v>
      </c>
      <c r="F250" s="2" t="s">
        <v>43</v>
      </c>
      <c r="G250" t="s">
        <v>40</v>
      </c>
      <c r="H250" s="690" t="s">
        <v>85</v>
      </c>
      <c r="I250" s="691" t="s">
        <v>43</v>
      </c>
      <c r="J250" s="721">
        <v>3780401000108</v>
      </c>
      <c r="K250" s="691" t="s">
        <v>348</v>
      </c>
      <c r="L250" s="721">
        <v>13777004000122</v>
      </c>
      <c r="M250" s="718" t="s">
        <v>3</v>
      </c>
      <c r="N250" s="717" t="s">
        <v>44</v>
      </c>
      <c r="O250" s="719">
        <v>44713</v>
      </c>
      <c r="P250" s="720">
        <v>44742</v>
      </c>
      <c r="Q250" s="718">
        <v>124</v>
      </c>
      <c r="R250" s="717">
        <v>5</v>
      </c>
      <c r="S250" s="691" t="s">
        <v>54</v>
      </c>
      <c r="T250" t="s">
        <v>358</v>
      </c>
      <c r="U250" s="673" t="s">
        <v>358</v>
      </c>
      <c r="V250" s="690" t="s">
        <v>358</v>
      </c>
      <c r="W250" s="657" t="s">
        <v>329</v>
      </c>
      <c r="X250" s="723"/>
      <c r="Y250" s="4"/>
      <c r="Z250" s="4"/>
      <c r="AA250" s="4"/>
      <c r="AB250" s="4"/>
      <c r="AC250" s="4">
        <v>5</v>
      </c>
      <c r="AD250" s="4"/>
      <c r="AE250" s="4"/>
      <c r="AF250" s="4"/>
      <c r="AG250" s="4"/>
      <c r="AH250" s="4"/>
      <c r="AI250" s="654"/>
      <c r="AJ250" s="655"/>
      <c r="AK250" s="4"/>
      <c r="AL250" s="4"/>
      <c r="AM250" s="4"/>
      <c r="AN250" s="4"/>
      <c r="AO250" s="4"/>
      <c r="AP250" s="4"/>
      <c r="AQ250" s="4"/>
      <c r="AR250" s="4"/>
      <c r="AS250" s="4"/>
      <c r="AT250" s="4"/>
      <c r="AU250" s="654"/>
      <c r="AV250" s="655"/>
      <c r="AW250" s="4"/>
      <c r="AX250" s="4"/>
      <c r="AY250" s="4"/>
      <c r="AZ250" s="4"/>
      <c r="BA250" s="4"/>
      <c r="BB250" s="4"/>
      <c r="BC250" s="4"/>
      <c r="BD250" s="4"/>
      <c r="BE250" s="4"/>
      <c r="BF250" s="4"/>
      <c r="BG250" s="654"/>
      <c r="BH250" s="655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654"/>
      <c r="BT250" s="655"/>
      <c r="BU250" s="4"/>
      <c r="BV250" s="4"/>
      <c r="BW250" s="4"/>
      <c r="BX250" s="4"/>
      <c r="BY250" s="4"/>
      <c r="BZ250" s="4"/>
      <c r="CA250" s="4"/>
      <c r="CB250" s="4"/>
      <c r="CC250" s="4"/>
      <c r="CD250" s="4"/>
      <c r="CE250" s="693"/>
      <c r="CF250" s="723"/>
      <c r="CG250" s="4"/>
      <c r="CH250" s="4"/>
      <c r="CI250" s="4"/>
      <c r="CJ250" s="4"/>
      <c r="CK250" s="4">
        <v>124</v>
      </c>
      <c r="CL250" s="4"/>
      <c r="CM250" s="4"/>
      <c r="CN250" s="4"/>
      <c r="CO250" s="4"/>
      <c r="CP250" s="4"/>
      <c r="CQ250" s="654"/>
      <c r="CR250" s="655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654"/>
      <c r="DD250" s="655"/>
      <c r="DE250" s="4"/>
      <c r="DF250" s="4"/>
      <c r="DG250" s="4"/>
      <c r="DH250" s="4"/>
      <c r="DI250" s="4"/>
      <c r="DJ250" s="4"/>
      <c r="DK250" s="4"/>
      <c r="DL250" s="4"/>
      <c r="DM250" s="4"/>
      <c r="DN250" s="4"/>
      <c r="DO250" s="654"/>
      <c r="DP250" s="655"/>
      <c r="DQ250" s="4"/>
      <c r="DR250" s="4"/>
      <c r="DS250" s="4"/>
      <c r="DT250" s="4"/>
      <c r="DU250" s="4"/>
      <c r="DV250" s="4"/>
      <c r="DW250" s="4"/>
      <c r="DX250" s="4"/>
      <c r="DY250" s="4"/>
      <c r="DZ250" s="4"/>
      <c r="EA250" s="654"/>
      <c r="EB250" s="655"/>
      <c r="EC250" s="4"/>
      <c r="ED250" s="4"/>
      <c r="EE250" s="4"/>
      <c r="EF250" s="4"/>
      <c r="EG250" s="4"/>
      <c r="EH250" s="4"/>
      <c r="EI250" s="4"/>
      <c r="EJ250" s="4"/>
      <c r="EK250" s="4"/>
      <c r="EL250" s="4"/>
      <c r="EM250" s="693"/>
      <c r="EN250" s="723"/>
      <c r="EO250" s="4"/>
      <c r="EP250" s="4"/>
      <c r="EQ250" s="4"/>
      <c r="ER250" s="4"/>
      <c r="ES250" s="4">
        <v>124</v>
      </c>
      <c r="ET250" s="4"/>
      <c r="EU250" s="4"/>
      <c r="EV250" s="4"/>
      <c r="EW250" s="4"/>
      <c r="EX250" s="4"/>
      <c r="EY250" s="654"/>
      <c r="EZ250" s="655"/>
      <c r="FA250" s="4"/>
      <c r="FB250" s="4"/>
      <c r="FC250" s="4"/>
      <c r="FD250" s="4"/>
      <c r="FE250" s="4"/>
      <c r="FF250" s="4"/>
      <c r="FG250" s="4"/>
      <c r="FH250" s="4"/>
      <c r="FI250" s="4"/>
      <c r="FJ250" s="4"/>
      <c r="FK250" s="654"/>
      <c r="FL250" s="655"/>
      <c r="FM250" s="4"/>
      <c r="FN250" s="4"/>
      <c r="FO250" s="4"/>
      <c r="FP250" s="4"/>
      <c r="FQ250" s="4"/>
      <c r="FR250" s="4"/>
      <c r="FS250" s="4"/>
      <c r="FT250" s="4"/>
      <c r="FU250" s="4"/>
      <c r="FV250" s="4"/>
      <c r="FW250" s="654"/>
      <c r="FX250" s="655"/>
      <c r="FY250" s="4"/>
      <c r="FZ250" s="4"/>
      <c r="GA250" s="4"/>
      <c r="GB250" s="4"/>
      <c r="GC250" s="4"/>
      <c r="GD250" s="4"/>
      <c r="GE250" s="4"/>
      <c r="GF250" s="4"/>
      <c r="GG250" s="4"/>
      <c r="GH250" s="4"/>
      <c r="GI250" s="654"/>
      <c r="GJ250" s="655"/>
      <c r="GK250" s="4"/>
      <c r="GL250" s="4"/>
      <c r="GM250" s="4"/>
      <c r="GN250" s="4"/>
      <c r="GO250" s="4"/>
      <c r="GP250" s="4"/>
      <c r="GQ250" s="4"/>
      <c r="GR250" s="4"/>
      <c r="GS250" s="4"/>
      <c r="GT250" s="4"/>
      <c r="GU250" s="722"/>
      <c r="GV250" s="715"/>
    </row>
    <row r="251" spans="1:204" x14ac:dyDescent="0.25">
      <c r="A251" t="s">
        <v>1223</v>
      </c>
      <c r="B251" s="2" t="s">
        <v>1222</v>
      </c>
      <c r="C251" s="619">
        <v>44617</v>
      </c>
      <c r="D251" s="2" t="s">
        <v>1212</v>
      </c>
      <c r="E251" t="s">
        <v>59</v>
      </c>
      <c r="F251" s="2" t="s">
        <v>43</v>
      </c>
      <c r="G251" t="s">
        <v>40</v>
      </c>
      <c r="H251" s="690" t="s">
        <v>85</v>
      </c>
      <c r="I251" s="691" t="s">
        <v>43</v>
      </c>
      <c r="J251" s="721">
        <v>3780401000108</v>
      </c>
      <c r="K251" s="691" t="s">
        <v>348</v>
      </c>
      <c r="L251" s="721">
        <v>13777004000122</v>
      </c>
      <c r="M251" s="718" t="s">
        <v>3</v>
      </c>
      <c r="N251" s="717" t="s">
        <v>44</v>
      </c>
      <c r="O251" s="719">
        <v>44682</v>
      </c>
      <c r="P251" s="720">
        <v>44712</v>
      </c>
      <c r="Q251" s="718">
        <v>88</v>
      </c>
      <c r="R251" s="717">
        <v>5</v>
      </c>
      <c r="S251" s="691" t="s">
        <v>54</v>
      </c>
      <c r="T251" t="s">
        <v>358</v>
      </c>
      <c r="U251" s="673" t="s">
        <v>358</v>
      </c>
      <c r="V251" s="690" t="s">
        <v>358</v>
      </c>
      <c r="W251" s="657" t="s">
        <v>329</v>
      </c>
      <c r="X251" s="723"/>
      <c r="Y251" s="4"/>
      <c r="Z251" s="4"/>
      <c r="AA251" s="4"/>
      <c r="AB251" s="4">
        <v>5</v>
      </c>
      <c r="AC251" s="4"/>
      <c r="AD251" s="4"/>
      <c r="AE251" s="4"/>
      <c r="AF251" s="4"/>
      <c r="AG251" s="4"/>
      <c r="AH251" s="4"/>
      <c r="AI251" s="654"/>
      <c r="AJ251" s="655"/>
      <c r="AK251" s="4"/>
      <c r="AL251" s="4"/>
      <c r="AM251" s="4"/>
      <c r="AN251" s="4"/>
      <c r="AO251" s="4"/>
      <c r="AP251" s="4"/>
      <c r="AQ251" s="4"/>
      <c r="AR251" s="4"/>
      <c r="AS251" s="4"/>
      <c r="AT251" s="4"/>
      <c r="AU251" s="654"/>
      <c r="AV251" s="655"/>
      <c r="AW251" s="4"/>
      <c r="AX251" s="4"/>
      <c r="AY251" s="4"/>
      <c r="AZ251" s="4"/>
      <c r="BA251" s="4"/>
      <c r="BB251" s="4"/>
      <c r="BC251" s="4"/>
      <c r="BD251" s="4"/>
      <c r="BE251" s="4"/>
      <c r="BF251" s="4"/>
      <c r="BG251" s="654"/>
      <c r="BH251" s="655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654"/>
      <c r="BT251" s="655"/>
      <c r="BU251" s="4"/>
      <c r="BV251" s="4"/>
      <c r="BW251" s="4"/>
      <c r="BX251" s="4"/>
      <c r="BY251" s="4"/>
      <c r="BZ251" s="4"/>
      <c r="CA251" s="4"/>
      <c r="CB251" s="4"/>
      <c r="CC251" s="4"/>
      <c r="CD251" s="4"/>
      <c r="CE251" s="693"/>
      <c r="CF251" s="723"/>
      <c r="CG251" s="4"/>
      <c r="CH251" s="4"/>
      <c r="CI251" s="4"/>
      <c r="CJ251" s="4">
        <v>88</v>
      </c>
      <c r="CK251" s="4"/>
      <c r="CL251" s="4"/>
      <c r="CM251" s="4"/>
      <c r="CN251" s="4"/>
      <c r="CO251" s="4"/>
      <c r="CP251" s="4"/>
      <c r="CQ251" s="654"/>
      <c r="CR251" s="655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654"/>
      <c r="DD251" s="655"/>
      <c r="DE251" s="4"/>
      <c r="DF251" s="4"/>
      <c r="DG251" s="4"/>
      <c r="DH251" s="4"/>
      <c r="DI251" s="4"/>
      <c r="DJ251" s="4"/>
      <c r="DK251" s="4"/>
      <c r="DL251" s="4"/>
      <c r="DM251" s="4"/>
      <c r="DN251" s="4"/>
      <c r="DO251" s="654"/>
      <c r="DP251" s="655"/>
      <c r="DQ251" s="4"/>
      <c r="DR251" s="4"/>
      <c r="DS251" s="4"/>
      <c r="DT251" s="4"/>
      <c r="DU251" s="4"/>
      <c r="DV251" s="4"/>
      <c r="DW251" s="4"/>
      <c r="DX251" s="4"/>
      <c r="DY251" s="4"/>
      <c r="DZ251" s="4"/>
      <c r="EA251" s="654"/>
      <c r="EB251" s="655"/>
      <c r="EC251" s="4"/>
      <c r="ED251" s="4"/>
      <c r="EE251" s="4"/>
      <c r="EF251" s="4"/>
      <c r="EG251" s="4"/>
      <c r="EH251" s="4"/>
      <c r="EI251" s="4"/>
      <c r="EJ251" s="4"/>
      <c r="EK251" s="4"/>
      <c r="EL251" s="4"/>
      <c r="EM251" s="693"/>
      <c r="EN251" s="723"/>
      <c r="EO251" s="4"/>
      <c r="EP251" s="4"/>
      <c r="EQ251" s="4"/>
      <c r="ER251" s="4">
        <v>88</v>
      </c>
      <c r="ES251" s="4"/>
      <c r="ET251" s="4"/>
      <c r="EU251" s="4"/>
      <c r="EV251" s="4"/>
      <c r="EW251" s="4"/>
      <c r="EX251" s="4"/>
      <c r="EY251" s="654"/>
      <c r="EZ251" s="655"/>
      <c r="FA251" s="4"/>
      <c r="FB251" s="4"/>
      <c r="FC251" s="4"/>
      <c r="FD251" s="4"/>
      <c r="FE251" s="4"/>
      <c r="FF251" s="4"/>
      <c r="FG251" s="4"/>
      <c r="FH251" s="4"/>
      <c r="FI251" s="4"/>
      <c r="FJ251" s="4"/>
      <c r="FK251" s="654"/>
      <c r="FL251" s="655"/>
      <c r="FM251" s="4"/>
      <c r="FN251" s="4"/>
      <c r="FO251" s="4"/>
      <c r="FP251" s="4"/>
      <c r="FQ251" s="4"/>
      <c r="FR251" s="4"/>
      <c r="FS251" s="4"/>
      <c r="FT251" s="4"/>
      <c r="FU251" s="4"/>
      <c r="FV251" s="4"/>
      <c r="FW251" s="654"/>
      <c r="FX251" s="655"/>
      <c r="FY251" s="4"/>
      <c r="FZ251" s="4"/>
      <c r="GA251" s="4"/>
      <c r="GB251" s="4"/>
      <c r="GC251" s="4"/>
      <c r="GD251" s="4"/>
      <c r="GE251" s="4"/>
      <c r="GF251" s="4"/>
      <c r="GG251" s="4"/>
      <c r="GH251" s="4"/>
      <c r="GI251" s="654"/>
      <c r="GJ251" s="655"/>
      <c r="GK251" s="4"/>
      <c r="GL251" s="4"/>
      <c r="GM251" s="4"/>
      <c r="GN251" s="4"/>
      <c r="GO251" s="4"/>
      <c r="GP251" s="4"/>
      <c r="GQ251" s="4"/>
      <c r="GR251" s="4"/>
      <c r="GS251" s="4"/>
      <c r="GT251" s="4"/>
      <c r="GU251" s="722"/>
      <c r="GV251" s="715"/>
    </row>
    <row r="252" spans="1:204" x14ac:dyDescent="0.25">
      <c r="A252" t="s">
        <v>1225</v>
      </c>
      <c r="B252" s="2" t="s">
        <v>1224</v>
      </c>
      <c r="C252" s="619">
        <v>44617</v>
      </c>
      <c r="D252" s="2" t="s">
        <v>1213</v>
      </c>
      <c r="E252" t="s">
        <v>59</v>
      </c>
      <c r="F252" s="2" t="s">
        <v>43</v>
      </c>
      <c r="G252" t="s">
        <v>40</v>
      </c>
      <c r="H252" s="690" t="s">
        <v>85</v>
      </c>
      <c r="I252" s="691" t="s">
        <v>43</v>
      </c>
      <c r="J252" s="721">
        <v>3780401000108</v>
      </c>
      <c r="K252" s="691" t="s">
        <v>349</v>
      </c>
      <c r="L252" s="721">
        <v>4973790000142</v>
      </c>
      <c r="M252" s="718" t="s">
        <v>3</v>
      </c>
      <c r="N252" s="717" t="s">
        <v>44</v>
      </c>
      <c r="O252" s="719">
        <v>44652</v>
      </c>
      <c r="P252" s="720">
        <v>44681</v>
      </c>
      <c r="Q252" s="718">
        <v>75.5</v>
      </c>
      <c r="R252" s="717">
        <v>5</v>
      </c>
      <c r="S252" s="691" t="s">
        <v>54</v>
      </c>
      <c r="T252" t="s">
        <v>358</v>
      </c>
      <c r="U252" s="673" t="s">
        <v>358</v>
      </c>
      <c r="V252" s="690" t="s">
        <v>358</v>
      </c>
      <c r="W252" s="657" t="s">
        <v>329</v>
      </c>
      <c r="X252" s="723"/>
      <c r="Y252" s="4"/>
      <c r="Z252" s="4"/>
      <c r="AA252" s="4">
        <v>5</v>
      </c>
      <c r="AB252" s="4"/>
      <c r="AC252" s="4"/>
      <c r="AD252" s="4"/>
      <c r="AE252" s="4"/>
      <c r="AF252" s="4"/>
      <c r="AG252" s="4"/>
      <c r="AH252" s="4"/>
      <c r="AI252" s="654"/>
      <c r="AJ252" s="655"/>
      <c r="AK252" s="4"/>
      <c r="AL252" s="4"/>
      <c r="AM252" s="4"/>
      <c r="AN252" s="4"/>
      <c r="AO252" s="4"/>
      <c r="AP252" s="4"/>
      <c r="AQ252" s="4"/>
      <c r="AR252" s="4"/>
      <c r="AS252" s="4"/>
      <c r="AT252" s="4"/>
      <c r="AU252" s="654"/>
      <c r="AV252" s="655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654"/>
      <c r="BH252" s="655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654"/>
      <c r="BT252" s="655"/>
      <c r="BU252" s="4"/>
      <c r="BV252" s="4"/>
      <c r="BW252" s="4"/>
      <c r="BX252" s="4"/>
      <c r="BY252" s="4"/>
      <c r="BZ252" s="4"/>
      <c r="CA252" s="4"/>
      <c r="CB252" s="4"/>
      <c r="CC252" s="4"/>
      <c r="CD252" s="4"/>
      <c r="CE252" s="693"/>
      <c r="CF252" s="723"/>
      <c r="CG252" s="4"/>
      <c r="CH252" s="4"/>
      <c r="CI252" s="4">
        <v>75.5</v>
      </c>
      <c r="CJ252" s="4"/>
      <c r="CK252" s="4"/>
      <c r="CL252" s="4"/>
      <c r="CM252" s="4"/>
      <c r="CN252" s="4"/>
      <c r="CO252" s="4"/>
      <c r="CP252" s="4"/>
      <c r="CQ252" s="654"/>
      <c r="CR252" s="655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654"/>
      <c r="DD252" s="655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654"/>
      <c r="DP252" s="655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654"/>
      <c r="EB252" s="655"/>
      <c r="EC252" s="4"/>
      <c r="ED252" s="4"/>
      <c r="EE252" s="4"/>
      <c r="EF252" s="4"/>
      <c r="EG252" s="4"/>
      <c r="EH252" s="4"/>
      <c r="EI252" s="4"/>
      <c r="EJ252" s="4"/>
      <c r="EK252" s="4"/>
      <c r="EL252" s="4"/>
      <c r="EM252" s="693"/>
      <c r="EN252" s="723"/>
      <c r="EO252" s="4"/>
      <c r="EP252" s="4"/>
      <c r="EQ252" s="4">
        <v>75.5</v>
      </c>
      <c r="ER252" s="4"/>
      <c r="ES252" s="4"/>
      <c r="ET252" s="4"/>
      <c r="EU252" s="4"/>
      <c r="EV252" s="4"/>
      <c r="EW252" s="4"/>
      <c r="EX252" s="4"/>
      <c r="EY252" s="654"/>
      <c r="EZ252" s="655"/>
      <c r="FA252" s="4"/>
      <c r="FB252" s="4"/>
      <c r="FC252" s="4"/>
      <c r="FD252" s="4"/>
      <c r="FE252" s="4"/>
      <c r="FF252" s="4"/>
      <c r="FG252" s="4"/>
      <c r="FH252" s="4"/>
      <c r="FI252" s="4"/>
      <c r="FJ252" s="4"/>
      <c r="FK252" s="654"/>
      <c r="FL252" s="655"/>
      <c r="FM252" s="4"/>
      <c r="FN252" s="4"/>
      <c r="FO252" s="4"/>
      <c r="FP252" s="4"/>
      <c r="FQ252" s="4"/>
      <c r="FR252" s="4"/>
      <c r="FS252" s="4"/>
      <c r="FT252" s="4"/>
      <c r="FU252" s="4"/>
      <c r="FV252" s="4"/>
      <c r="FW252" s="654"/>
      <c r="FX252" s="655"/>
      <c r="FY252" s="4"/>
      <c r="FZ252" s="4"/>
      <c r="GA252" s="4"/>
      <c r="GB252" s="4"/>
      <c r="GC252" s="4"/>
      <c r="GD252" s="4"/>
      <c r="GE252" s="4"/>
      <c r="GF252" s="4"/>
      <c r="GG252" s="4"/>
      <c r="GH252" s="4"/>
      <c r="GI252" s="654"/>
      <c r="GJ252" s="655"/>
      <c r="GK252" s="4"/>
      <c r="GL252" s="4"/>
      <c r="GM252" s="4"/>
      <c r="GN252" s="4"/>
      <c r="GO252" s="4"/>
      <c r="GP252" s="4"/>
      <c r="GQ252" s="4"/>
      <c r="GR252" s="4"/>
      <c r="GS252" s="4"/>
      <c r="GT252" s="4"/>
      <c r="GU252" s="722"/>
      <c r="GV252" s="715"/>
    </row>
    <row r="253" spans="1:204" x14ac:dyDescent="0.25">
      <c r="A253" t="s">
        <v>1227</v>
      </c>
      <c r="B253" s="2" t="s">
        <v>1226</v>
      </c>
      <c r="C253" s="619">
        <v>44617</v>
      </c>
      <c r="D253" s="2" t="s">
        <v>1214</v>
      </c>
      <c r="E253" t="s">
        <v>59</v>
      </c>
      <c r="F253" s="2" t="s">
        <v>43</v>
      </c>
      <c r="G253" t="s">
        <v>40</v>
      </c>
      <c r="H253" s="690" t="s">
        <v>85</v>
      </c>
      <c r="I253" s="691" t="s">
        <v>43</v>
      </c>
      <c r="J253" s="721">
        <v>3780401000108</v>
      </c>
      <c r="K253" s="691" t="s">
        <v>1195</v>
      </c>
      <c r="L253" s="721">
        <v>9185485000100</v>
      </c>
      <c r="M253" s="718" t="s">
        <v>3</v>
      </c>
      <c r="N253" s="717" t="s">
        <v>44</v>
      </c>
      <c r="O253" s="719">
        <v>44743</v>
      </c>
      <c r="P253" s="720">
        <v>44926</v>
      </c>
      <c r="Q253" s="718">
        <v>183</v>
      </c>
      <c r="R253" s="717">
        <v>5</v>
      </c>
      <c r="S253" s="691" t="s">
        <v>54</v>
      </c>
      <c r="T253" t="s">
        <v>358</v>
      </c>
      <c r="U253" s="673" t="s">
        <v>358</v>
      </c>
      <c r="V253" s="690" t="s">
        <v>358</v>
      </c>
      <c r="W253" s="657" t="s">
        <v>329</v>
      </c>
      <c r="X253" s="723"/>
      <c r="Y253" s="4"/>
      <c r="Z253" s="4"/>
      <c r="AA253" s="4"/>
      <c r="AB253" s="4"/>
      <c r="AC253" s="4"/>
      <c r="AD253" s="4">
        <v>5</v>
      </c>
      <c r="AE253" s="4">
        <v>5</v>
      </c>
      <c r="AF253" s="4">
        <v>5</v>
      </c>
      <c r="AG253" s="4">
        <v>5</v>
      </c>
      <c r="AH253" s="4">
        <v>5</v>
      </c>
      <c r="AI253" s="654">
        <v>5</v>
      </c>
      <c r="AJ253" s="655"/>
      <c r="AK253" s="4"/>
      <c r="AL253" s="4"/>
      <c r="AM253" s="4"/>
      <c r="AN253" s="4"/>
      <c r="AO253" s="4"/>
      <c r="AP253" s="4"/>
      <c r="AQ253" s="4"/>
      <c r="AR253" s="4"/>
      <c r="AS253" s="4"/>
      <c r="AT253" s="4"/>
      <c r="AU253" s="654"/>
      <c r="AV253" s="655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654"/>
      <c r="BH253" s="655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654"/>
      <c r="BT253" s="655"/>
      <c r="BU253" s="4"/>
      <c r="BV253" s="4"/>
      <c r="BW253" s="4"/>
      <c r="BX253" s="4"/>
      <c r="BY253" s="4"/>
      <c r="BZ253" s="4"/>
      <c r="CA253" s="4"/>
      <c r="CB253" s="4"/>
      <c r="CC253" s="4"/>
      <c r="CD253" s="4"/>
      <c r="CE253" s="693"/>
      <c r="CF253" s="723"/>
      <c r="CG253" s="4"/>
      <c r="CH253" s="4"/>
      <c r="CI253" s="4"/>
      <c r="CJ253" s="4"/>
      <c r="CK253" s="4"/>
      <c r="CL253" s="4">
        <v>183</v>
      </c>
      <c r="CM253" s="4">
        <v>183</v>
      </c>
      <c r="CN253" s="4">
        <v>183</v>
      </c>
      <c r="CO253" s="4">
        <v>183</v>
      </c>
      <c r="CP253" s="4">
        <v>183</v>
      </c>
      <c r="CQ253" s="654">
        <v>183</v>
      </c>
      <c r="CR253" s="655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654"/>
      <c r="DD253" s="655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654"/>
      <c r="DP253" s="655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654"/>
      <c r="EB253" s="655"/>
      <c r="EC253" s="4"/>
      <c r="ED253" s="4"/>
      <c r="EE253" s="4"/>
      <c r="EF253" s="4"/>
      <c r="EG253" s="4"/>
      <c r="EH253" s="4"/>
      <c r="EI253" s="4"/>
      <c r="EJ253" s="4"/>
      <c r="EK253" s="4"/>
      <c r="EL253" s="4"/>
      <c r="EM253" s="693"/>
      <c r="EN253" s="723"/>
      <c r="EO253" s="4"/>
      <c r="EP253" s="4"/>
      <c r="EQ253" s="4"/>
      <c r="ER253" s="4"/>
      <c r="ES253" s="4"/>
      <c r="ET253" s="4">
        <v>183</v>
      </c>
      <c r="EU253" s="4">
        <v>183</v>
      </c>
      <c r="EV253" s="4">
        <v>183</v>
      </c>
      <c r="EW253" s="4">
        <v>183</v>
      </c>
      <c r="EX253" s="4">
        <v>183</v>
      </c>
      <c r="EY253" s="654">
        <v>183</v>
      </c>
      <c r="EZ253" s="655"/>
      <c r="FA253" s="4"/>
      <c r="FB253" s="4"/>
      <c r="FC253" s="4"/>
      <c r="FD253" s="4"/>
      <c r="FE253" s="4"/>
      <c r="FF253" s="4"/>
      <c r="FG253" s="4"/>
      <c r="FH253" s="4"/>
      <c r="FI253" s="4"/>
      <c r="FJ253" s="4"/>
      <c r="FK253" s="654"/>
      <c r="FL253" s="655"/>
      <c r="FM253" s="4"/>
      <c r="FN253" s="4"/>
      <c r="FO253" s="4"/>
      <c r="FP253" s="4"/>
      <c r="FQ253" s="4"/>
      <c r="FR253" s="4"/>
      <c r="FS253" s="4"/>
      <c r="FT253" s="4"/>
      <c r="FU253" s="4"/>
      <c r="FV253" s="4"/>
      <c r="FW253" s="654"/>
      <c r="FX253" s="655"/>
      <c r="FY253" s="4"/>
      <c r="FZ253" s="4"/>
      <c r="GA253" s="4"/>
      <c r="GB253" s="4"/>
      <c r="GC253" s="4"/>
      <c r="GD253" s="4"/>
      <c r="GE253" s="4"/>
      <c r="GF253" s="4"/>
      <c r="GG253" s="4"/>
      <c r="GH253" s="4"/>
      <c r="GI253" s="654"/>
      <c r="GJ253" s="655"/>
      <c r="GK253" s="4"/>
      <c r="GL253" s="4"/>
      <c r="GM253" s="4"/>
      <c r="GN253" s="4"/>
      <c r="GO253" s="4"/>
      <c r="GP253" s="4"/>
      <c r="GQ253" s="4"/>
      <c r="GR253" s="4"/>
      <c r="GS253" s="4"/>
      <c r="GT253" s="4"/>
      <c r="GU253" s="722"/>
      <c r="GV253" s="715"/>
    </row>
    <row r="254" spans="1:204" x14ac:dyDescent="0.25">
      <c r="A254" t="s">
        <v>1229</v>
      </c>
      <c r="B254" s="2" t="s">
        <v>1228</v>
      </c>
      <c r="C254" s="619">
        <v>44617</v>
      </c>
      <c r="D254" s="2" t="s">
        <v>1215</v>
      </c>
      <c r="E254" t="s">
        <v>59</v>
      </c>
      <c r="F254" s="2" t="s">
        <v>43</v>
      </c>
      <c r="G254" t="s">
        <v>40</v>
      </c>
      <c r="H254" s="690" t="s">
        <v>85</v>
      </c>
      <c r="I254" s="691" t="s">
        <v>43</v>
      </c>
      <c r="J254" s="721">
        <v>3780401000108</v>
      </c>
      <c r="K254" s="691" t="s">
        <v>1000</v>
      </c>
      <c r="L254" s="721">
        <v>30983948000175</v>
      </c>
      <c r="M254" s="718" t="s">
        <v>3</v>
      </c>
      <c r="N254" s="717" t="s">
        <v>44</v>
      </c>
      <c r="O254" s="719">
        <v>44593</v>
      </c>
      <c r="P254" s="720">
        <v>44620</v>
      </c>
      <c r="Q254" s="718">
        <v>2</v>
      </c>
      <c r="R254" s="717">
        <v>3</v>
      </c>
      <c r="S254" s="691" t="s">
        <v>92</v>
      </c>
      <c r="T254" t="s">
        <v>358</v>
      </c>
      <c r="U254" s="673" t="s">
        <v>358</v>
      </c>
      <c r="V254" s="690" t="s">
        <v>358</v>
      </c>
      <c r="W254" s="657" t="s">
        <v>329</v>
      </c>
      <c r="X254" s="723"/>
      <c r="Y254" s="4">
        <v>3</v>
      </c>
      <c r="Z254" s="4"/>
      <c r="AA254" s="4"/>
      <c r="AB254" s="4"/>
      <c r="AC254" s="4"/>
      <c r="AD254" s="4"/>
      <c r="AE254" s="4"/>
      <c r="AF254" s="4"/>
      <c r="AG254" s="4"/>
      <c r="AH254" s="4"/>
      <c r="AI254" s="654"/>
      <c r="AJ254" s="655"/>
      <c r="AK254" s="4"/>
      <c r="AL254" s="4"/>
      <c r="AM254" s="4"/>
      <c r="AN254" s="4"/>
      <c r="AO254" s="4"/>
      <c r="AP254" s="4"/>
      <c r="AQ254" s="4"/>
      <c r="AR254" s="4"/>
      <c r="AS254" s="4"/>
      <c r="AT254" s="4"/>
      <c r="AU254" s="654"/>
      <c r="AV254" s="655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654"/>
      <c r="BH254" s="655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654"/>
      <c r="BT254" s="655"/>
      <c r="BU254" s="4"/>
      <c r="BV254" s="4"/>
      <c r="BW254" s="4"/>
      <c r="BX254" s="4"/>
      <c r="BY254" s="4"/>
      <c r="BZ254" s="4"/>
      <c r="CA254" s="4"/>
      <c r="CB254" s="4"/>
      <c r="CC254" s="4"/>
      <c r="CD254" s="4"/>
      <c r="CE254" s="693"/>
      <c r="CF254" s="723"/>
      <c r="CG254" s="4">
        <v>2</v>
      </c>
      <c r="CH254" s="4"/>
      <c r="CI254" s="4"/>
      <c r="CJ254" s="4"/>
      <c r="CK254" s="4"/>
      <c r="CL254" s="4"/>
      <c r="CM254" s="4"/>
      <c r="CN254" s="4"/>
      <c r="CO254" s="4"/>
      <c r="CP254" s="4"/>
      <c r="CQ254" s="654"/>
      <c r="CR254" s="655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654"/>
      <c r="DD254" s="655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654"/>
      <c r="DP254" s="655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654"/>
      <c r="EB254" s="655"/>
      <c r="EC254" s="4"/>
      <c r="ED254" s="4"/>
      <c r="EE254" s="4"/>
      <c r="EF254" s="4"/>
      <c r="EG254" s="4"/>
      <c r="EH254" s="4"/>
      <c r="EI254" s="4"/>
      <c r="EJ254" s="4"/>
      <c r="EK254" s="4"/>
      <c r="EL254" s="4"/>
      <c r="EM254" s="693"/>
      <c r="EN254" s="723"/>
      <c r="EO254" s="4">
        <v>57.7</v>
      </c>
      <c r="EP254" s="4"/>
      <c r="EQ254" s="4"/>
      <c r="ER254" s="4"/>
      <c r="ES254" s="4"/>
      <c r="ET254" s="4"/>
      <c r="EU254" s="4"/>
      <c r="EV254" s="4"/>
      <c r="EW254" s="4"/>
      <c r="EX254" s="4"/>
      <c r="EY254" s="654"/>
      <c r="EZ254" s="655"/>
      <c r="FA254" s="4"/>
      <c r="FB254" s="4"/>
      <c r="FC254" s="4"/>
      <c r="FD254" s="4"/>
      <c r="FE254" s="4"/>
      <c r="FF254" s="4"/>
      <c r="FG254" s="4"/>
      <c r="FH254" s="4"/>
      <c r="FI254" s="4"/>
      <c r="FJ254" s="4"/>
      <c r="FK254" s="654"/>
      <c r="FL254" s="655"/>
      <c r="FM254" s="4"/>
      <c r="FN254" s="4"/>
      <c r="FO254" s="4"/>
      <c r="FP254" s="4"/>
      <c r="FQ254" s="4"/>
      <c r="FR254" s="4"/>
      <c r="FS254" s="4"/>
      <c r="FT254" s="4"/>
      <c r="FU254" s="4"/>
      <c r="FV254" s="4"/>
      <c r="FW254" s="654"/>
      <c r="FX254" s="655"/>
      <c r="FY254" s="4"/>
      <c r="FZ254" s="4"/>
      <c r="GA254" s="4"/>
      <c r="GB254" s="4"/>
      <c r="GC254" s="4"/>
      <c r="GD254" s="4"/>
      <c r="GE254" s="4"/>
      <c r="GF254" s="4"/>
      <c r="GG254" s="4"/>
      <c r="GH254" s="4"/>
      <c r="GI254" s="654"/>
      <c r="GJ254" s="655"/>
      <c r="GK254" s="4"/>
      <c r="GL254" s="4"/>
      <c r="GM254" s="4"/>
      <c r="GN254" s="4"/>
      <c r="GO254" s="4"/>
      <c r="GP254" s="4"/>
      <c r="GQ254" s="4"/>
      <c r="GR254" s="4"/>
      <c r="GS254" s="4"/>
      <c r="GT254" s="4"/>
      <c r="GU254" s="722"/>
      <c r="GV254" s="715"/>
    </row>
    <row r="255" spans="1:204" x14ac:dyDescent="0.25">
      <c r="A255" t="s">
        <v>1231</v>
      </c>
      <c r="B255" s="2" t="s">
        <v>1230</v>
      </c>
      <c r="C255" s="619">
        <v>44617</v>
      </c>
      <c r="D255" s="2" t="s">
        <v>1216</v>
      </c>
      <c r="E255" t="s">
        <v>59</v>
      </c>
      <c r="F255" s="2" t="s">
        <v>43</v>
      </c>
      <c r="G255" t="s">
        <v>40</v>
      </c>
      <c r="H255" s="690" t="s">
        <v>85</v>
      </c>
      <c r="I255" s="691" t="s">
        <v>43</v>
      </c>
      <c r="J255" s="721">
        <v>3780401000108</v>
      </c>
      <c r="K255" s="691" t="s">
        <v>945</v>
      </c>
      <c r="L255" s="721">
        <v>12630054000110</v>
      </c>
      <c r="M255" s="718" t="s">
        <v>3</v>
      </c>
      <c r="N255" s="717" t="s">
        <v>44</v>
      </c>
      <c r="O255" s="719">
        <v>44652</v>
      </c>
      <c r="P255" s="720">
        <v>44681</v>
      </c>
      <c r="Q255" s="718">
        <v>75</v>
      </c>
      <c r="R255" s="717">
        <v>5</v>
      </c>
      <c r="S255" s="691" t="s">
        <v>54</v>
      </c>
      <c r="T255" t="s">
        <v>358</v>
      </c>
      <c r="U255" s="673" t="s">
        <v>358</v>
      </c>
      <c r="V255" s="690" t="s">
        <v>358</v>
      </c>
      <c r="W255" s="657" t="s">
        <v>329</v>
      </c>
      <c r="X255" s="723"/>
      <c r="Y255" s="4"/>
      <c r="Z255" s="4"/>
      <c r="AA255" s="4">
        <v>5</v>
      </c>
      <c r="AB255" s="4"/>
      <c r="AC255" s="4"/>
      <c r="AD255" s="4"/>
      <c r="AE255" s="4"/>
      <c r="AF255" s="4"/>
      <c r="AG255" s="4"/>
      <c r="AH255" s="4"/>
      <c r="AI255" s="654"/>
      <c r="AJ255" s="655"/>
      <c r="AK255" s="4"/>
      <c r="AL255" s="4"/>
      <c r="AM255" s="4"/>
      <c r="AN255" s="4"/>
      <c r="AO255" s="4"/>
      <c r="AP255" s="4"/>
      <c r="AQ255" s="4"/>
      <c r="AR255" s="4"/>
      <c r="AS255" s="4"/>
      <c r="AT255" s="4"/>
      <c r="AU255" s="654"/>
      <c r="AV255" s="655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654"/>
      <c r="BH255" s="655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654"/>
      <c r="BT255" s="655"/>
      <c r="BU255" s="4"/>
      <c r="BV255" s="4"/>
      <c r="BW255" s="4"/>
      <c r="BX255" s="4"/>
      <c r="BY255" s="4"/>
      <c r="BZ255" s="4"/>
      <c r="CA255" s="4"/>
      <c r="CB255" s="4"/>
      <c r="CC255" s="4"/>
      <c r="CD255" s="4"/>
      <c r="CE255" s="693"/>
      <c r="CF255" s="723"/>
      <c r="CG255" s="4"/>
      <c r="CH255" s="4"/>
      <c r="CI255" s="4">
        <v>75</v>
      </c>
      <c r="CJ255" s="4"/>
      <c r="CK255" s="4"/>
      <c r="CL255" s="4"/>
      <c r="CM255" s="4"/>
      <c r="CN255" s="4"/>
      <c r="CO255" s="4"/>
      <c r="CP255" s="4"/>
      <c r="CQ255" s="654"/>
      <c r="CR255" s="655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654"/>
      <c r="DD255" s="655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654"/>
      <c r="DP255" s="655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654"/>
      <c r="EB255" s="655"/>
      <c r="EC255" s="4"/>
      <c r="ED255" s="4"/>
      <c r="EE255" s="4"/>
      <c r="EF255" s="4"/>
      <c r="EG255" s="4"/>
      <c r="EH255" s="4"/>
      <c r="EI255" s="4"/>
      <c r="EJ255" s="4"/>
      <c r="EK255" s="4"/>
      <c r="EL255" s="4"/>
      <c r="EM255" s="693"/>
      <c r="EN255" s="723"/>
      <c r="EO255" s="4"/>
      <c r="EP255" s="4"/>
      <c r="EQ255" s="4">
        <v>75</v>
      </c>
      <c r="ER255" s="4"/>
      <c r="ES255" s="4"/>
      <c r="ET255" s="4"/>
      <c r="EU255" s="4"/>
      <c r="EV255" s="4"/>
      <c r="EW255" s="4"/>
      <c r="EX255" s="4"/>
      <c r="EY255" s="654"/>
      <c r="EZ255" s="655"/>
      <c r="FA255" s="4"/>
      <c r="FB255" s="4"/>
      <c r="FC255" s="4"/>
      <c r="FD255" s="4"/>
      <c r="FE255" s="4"/>
      <c r="FF255" s="4"/>
      <c r="FG255" s="4"/>
      <c r="FH255" s="4"/>
      <c r="FI255" s="4"/>
      <c r="FJ255" s="4"/>
      <c r="FK255" s="654"/>
      <c r="FL255" s="655"/>
      <c r="FM255" s="4"/>
      <c r="FN255" s="4"/>
      <c r="FO255" s="4"/>
      <c r="FP255" s="4"/>
      <c r="FQ255" s="4"/>
      <c r="FR255" s="4"/>
      <c r="FS255" s="4"/>
      <c r="FT255" s="4"/>
      <c r="FU255" s="4"/>
      <c r="FV255" s="4"/>
      <c r="FW255" s="654"/>
      <c r="FX255" s="655"/>
      <c r="FY255" s="4"/>
      <c r="FZ255" s="4"/>
      <c r="GA255" s="4"/>
      <c r="GB255" s="4"/>
      <c r="GC255" s="4"/>
      <c r="GD255" s="4"/>
      <c r="GE255" s="4"/>
      <c r="GF255" s="4"/>
      <c r="GG255" s="4"/>
      <c r="GH255" s="4"/>
      <c r="GI255" s="654"/>
      <c r="GJ255" s="655"/>
      <c r="GK255" s="4"/>
      <c r="GL255" s="4"/>
      <c r="GM255" s="4"/>
      <c r="GN255" s="4"/>
      <c r="GO255" s="4"/>
      <c r="GP255" s="4"/>
      <c r="GQ255" s="4"/>
      <c r="GR255" s="4"/>
      <c r="GS255" s="4"/>
      <c r="GT255" s="4"/>
      <c r="GU255" s="722"/>
      <c r="GV255" s="715"/>
    </row>
    <row r="256" spans="1:204" x14ac:dyDescent="0.25">
      <c r="A256" t="s">
        <v>1233</v>
      </c>
      <c r="B256" s="2" t="s">
        <v>1232</v>
      </c>
      <c r="C256" s="619">
        <v>44617</v>
      </c>
      <c r="D256" s="2" t="s">
        <v>1217</v>
      </c>
      <c r="E256" t="s">
        <v>59</v>
      </c>
      <c r="F256" s="2" t="s">
        <v>43</v>
      </c>
      <c r="G256" t="s">
        <v>40</v>
      </c>
      <c r="H256" s="690" t="s">
        <v>85</v>
      </c>
      <c r="I256" s="691" t="s">
        <v>43</v>
      </c>
      <c r="J256" s="721">
        <v>3780401000108</v>
      </c>
      <c r="K256" s="691" t="s">
        <v>585</v>
      </c>
      <c r="L256" s="721">
        <v>33933760000100</v>
      </c>
      <c r="M256" s="718" t="s">
        <v>3</v>
      </c>
      <c r="N256" s="717" t="s">
        <v>44</v>
      </c>
      <c r="O256" s="719">
        <v>44652</v>
      </c>
      <c r="P256" s="720">
        <v>44681</v>
      </c>
      <c r="Q256" s="718">
        <v>75</v>
      </c>
      <c r="R256" s="717">
        <v>12</v>
      </c>
      <c r="S256" s="691" t="s">
        <v>54</v>
      </c>
      <c r="T256" t="s">
        <v>358</v>
      </c>
      <c r="U256" s="673" t="s">
        <v>358</v>
      </c>
      <c r="V256" s="690" t="s">
        <v>358</v>
      </c>
      <c r="W256" s="657" t="s">
        <v>329</v>
      </c>
      <c r="X256" s="723"/>
      <c r="Y256" s="4"/>
      <c r="Z256" s="4"/>
      <c r="AA256" s="4">
        <v>12</v>
      </c>
      <c r="AB256" s="4"/>
      <c r="AC256" s="4"/>
      <c r="AD256" s="4"/>
      <c r="AE256" s="4"/>
      <c r="AF256" s="4"/>
      <c r="AG256" s="4"/>
      <c r="AH256" s="4"/>
      <c r="AI256" s="654"/>
      <c r="AJ256" s="655"/>
      <c r="AK256" s="4"/>
      <c r="AL256" s="4"/>
      <c r="AM256" s="4"/>
      <c r="AN256" s="4"/>
      <c r="AO256" s="4"/>
      <c r="AP256" s="4"/>
      <c r="AQ256" s="4"/>
      <c r="AR256" s="4"/>
      <c r="AS256" s="4"/>
      <c r="AT256" s="4"/>
      <c r="AU256" s="654"/>
      <c r="AV256" s="655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654"/>
      <c r="BH256" s="655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654"/>
      <c r="BT256" s="655"/>
      <c r="BU256" s="4"/>
      <c r="BV256" s="4"/>
      <c r="BW256" s="4"/>
      <c r="BX256" s="4"/>
      <c r="BY256" s="4"/>
      <c r="BZ256" s="4"/>
      <c r="CA256" s="4"/>
      <c r="CB256" s="4"/>
      <c r="CC256" s="4"/>
      <c r="CD256" s="4"/>
      <c r="CE256" s="693"/>
      <c r="CF256" s="723"/>
      <c r="CG256" s="4"/>
      <c r="CH256" s="4"/>
      <c r="CI256" s="4">
        <v>75</v>
      </c>
      <c r="CJ256" s="4"/>
      <c r="CK256" s="4"/>
      <c r="CL256" s="4"/>
      <c r="CM256" s="4"/>
      <c r="CN256" s="4"/>
      <c r="CO256" s="4"/>
      <c r="CP256" s="4"/>
      <c r="CQ256" s="654"/>
      <c r="CR256" s="655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654"/>
      <c r="DD256" s="655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654"/>
      <c r="DP256" s="655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654"/>
      <c r="EB256" s="655"/>
      <c r="EC256" s="4"/>
      <c r="ED256" s="4"/>
      <c r="EE256" s="4"/>
      <c r="EF256" s="4"/>
      <c r="EG256" s="4"/>
      <c r="EH256" s="4"/>
      <c r="EI256" s="4"/>
      <c r="EJ256" s="4"/>
      <c r="EK256" s="4"/>
      <c r="EL256" s="4"/>
      <c r="EM256" s="693"/>
      <c r="EN256" s="723"/>
      <c r="EO256" s="4"/>
      <c r="EP256" s="4"/>
      <c r="EQ256" s="4">
        <v>75</v>
      </c>
      <c r="ER256" s="4"/>
      <c r="ES256" s="4"/>
      <c r="ET256" s="4"/>
      <c r="EU256" s="4"/>
      <c r="EV256" s="4"/>
      <c r="EW256" s="4"/>
      <c r="EX256" s="4"/>
      <c r="EY256" s="654"/>
      <c r="EZ256" s="655"/>
      <c r="FA256" s="4"/>
      <c r="FB256" s="4"/>
      <c r="FC256" s="4"/>
      <c r="FD256" s="4"/>
      <c r="FE256" s="4"/>
      <c r="FF256" s="4"/>
      <c r="FG256" s="4"/>
      <c r="FH256" s="4"/>
      <c r="FI256" s="4"/>
      <c r="FJ256" s="4"/>
      <c r="FK256" s="654"/>
      <c r="FL256" s="655"/>
      <c r="FM256" s="4"/>
      <c r="FN256" s="4"/>
      <c r="FO256" s="4"/>
      <c r="FP256" s="4"/>
      <c r="FQ256" s="4"/>
      <c r="FR256" s="4"/>
      <c r="FS256" s="4"/>
      <c r="FT256" s="4"/>
      <c r="FU256" s="4"/>
      <c r="FV256" s="4"/>
      <c r="FW256" s="654"/>
      <c r="FX256" s="655"/>
      <c r="FY256" s="4"/>
      <c r="FZ256" s="4"/>
      <c r="GA256" s="4"/>
      <c r="GB256" s="4"/>
      <c r="GC256" s="4"/>
      <c r="GD256" s="4"/>
      <c r="GE256" s="4"/>
      <c r="GF256" s="4"/>
      <c r="GG256" s="4"/>
      <c r="GH256" s="4"/>
      <c r="GI256" s="654"/>
      <c r="GJ256" s="655"/>
      <c r="GK256" s="4"/>
      <c r="GL256" s="4"/>
      <c r="GM256" s="4"/>
      <c r="GN256" s="4"/>
      <c r="GO256" s="4"/>
      <c r="GP256" s="4"/>
      <c r="GQ256" s="4"/>
      <c r="GR256" s="4"/>
      <c r="GS256" s="4"/>
      <c r="GT256" s="4"/>
      <c r="GU256" s="722"/>
      <c r="GV256" s="715"/>
    </row>
    <row r="257" spans="1:204" x14ac:dyDescent="0.25">
      <c r="A257" t="s">
        <v>1236</v>
      </c>
      <c r="B257" s="2" t="s">
        <v>1235</v>
      </c>
      <c r="C257" s="619">
        <v>44622</v>
      </c>
      <c r="D257" s="2" t="s">
        <v>1234</v>
      </c>
      <c r="E257" t="s">
        <v>59</v>
      </c>
      <c r="F257" s="2" t="s">
        <v>43</v>
      </c>
      <c r="G257" t="s">
        <v>40</v>
      </c>
      <c r="H257" s="690" t="s">
        <v>85</v>
      </c>
      <c r="I257" s="691" t="s">
        <v>43</v>
      </c>
      <c r="J257" s="721">
        <v>3780401000108</v>
      </c>
      <c r="K257" s="691" t="s">
        <v>502</v>
      </c>
      <c r="L257" s="721">
        <v>4270778000171</v>
      </c>
      <c r="M257" s="718" t="s">
        <v>3</v>
      </c>
      <c r="N257" s="717" t="s">
        <v>44</v>
      </c>
      <c r="O257" s="719">
        <v>44713</v>
      </c>
      <c r="P257" s="720">
        <v>44742</v>
      </c>
      <c r="Q257" s="718">
        <v>123</v>
      </c>
      <c r="R257" s="717">
        <v>3</v>
      </c>
      <c r="S257" s="691" t="s">
        <v>54</v>
      </c>
      <c r="T257" t="s">
        <v>358</v>
      </c>
      <c r="U257" s="673" t="s">
        <v>358</v>
      </c>
      <c r="V257" s="690" t="s">
        <v>358</v>
      </c>
      <c r="W257" s="657" t="s">
        <v>329</v>
      </c>
      <c r="X257" s="723"/>
      <c r="Y257" s="4"/>
      <c r="Z257" s="4"/>
      <c r="AA257" s="4"/>
      <c r="AB257" s="4"/>
      <c r="AC257" s="4">
        <v>3</v>
      </c>
      <c r="AD257" s="4"/>
      <c r="AE257" s="4"/>
      <c r="AF257" s="4"/>
      <c r="AG257" s="4"/>
      <c r="AH257" s="4"/>
      <c r="AI257" s="654"/>
      <c r="AJ257" s="655"/>
      <c r="AK257" s="4"/>
      <c r="AL257" s="4"/>
      <c r="AM257" s="4"/>
      <c r="AN257" s="4"/>
      <c r="AO257" s="4"/>
      <c r="AP257" s="4"/>
      <c r="AQ257" s="4"/>
      <c r="AR257" s="4"/>
      <c r="AS257" s="4"/>
      <c r="AT257" s="4"/>
      <c r="AU257" s="654"/>
      <c r="AV257" s="655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654"/>
      <c r="BH257" s="655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654"/>
      <c r="BT257" s="655"/>
      <c r="BU257" s="4"/>
      <c r="BV257" s="4"/>
      <c r="BW257" s="4"/>
      <c r="BX257" s="4"/>
      <c r="BY257" s="4"/>
      <c r="BZ257" s="4"/>
      <c r="CA257" s="4"/>
      <c r="CB257" s="4"/>
      <c r="CC257" s="4"/>
      <c r="CD257" s="4"/>
      <c r="CE257" s="693"/>
      <c r="CF257" s="723"/>
      <c r="CG257" s="4"/>
      <c r="CH257" s="4"/>
      <c r="CI257" s="4"/>
      <c r="CJ257" s="4"/>
      <c r="CK257" s="4">
        <v>123</v>
      </c>
      <c r="CL257" s="4"/>
      <c r="CM257" s="4"/>
      <c r="CN257" s="4"/>
      <c r="CO257" s="4"/>
      <c r="CP257" s="4"/>
      <c r="CQ257" s="654"/>
      <c r="CR257" s="655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654"/>
      <c r="DD257" s="655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654"/>
      <c r="DP257" s="655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654"/>
      <c r="EB257" s="655"/>
      <c r="EC257" s="4"/>
      <c r="ED257" s="4"/>
      <c r="EE257" s="4"/>
      <c r="EF257" s="4"/>
      <c r="EG257" s="4"/>
      <c r="EH257" s="4"/>
      <c r="EI257" s="4"/>
      <c r="EJ257" s="4"/>
      <c r="EK257" s="4"/>
      <c r="EL257" s="4"/>
      <c r="EM257" s="693"/>
      <c r="EN257" s="723"/>
      <c r="EO257" s="4"/>
      <c r="EP257" s="4"/>
      <c r="EQ257" s="4"/>
      <c r="ER257" s="4"/>
      <c r="ES257" s="4">
        <v>123</v>
      </c>
      <c r="ET257" s="4"/>
      <c r="EU257" s="4"/>
      <c r="EV257" s="4"/>
      <c r="EW257" s="4"/>
      <c r="EX257" s="4"/>
      <c r="EY257" s="654"/>
      <c r="EZ257" s="655"/>
      <c r="FA257" s="4"/>
      <c r="FB257" s="4"/>
      <c r="FC257" s="4"/>
      <c r="FD257" s="4"/>
      <c r="FE257" s="4"/>
      <c r="FF257" s="4"/>
      <c r="FG257" s="4"/>
      <c r="FH257" s="4"/>
      <c r="FI257" s="4"/>
      <c r="FJ257" s="4"/>
      <c r="FK257" s="654"/>
      <c r="FL257" s="655"/>
      <c r="FM257" s="4"/>
      <c r="FN257" s="4"/>
      <c r="FO257" s="4"/>
      <c r="FP257" s="4"/>
      <c r="FQ257" s="4"/>
      <c r="FR257" s="4"/>
      <c r="FS257" s="4"/>
      <c r="FT257" s="4"/>
      <c r="FU257" s="4"/>
      <c r="FV257" s="4"/>
      <c r="FW257" s="654"/>
      <c r="FX257" s="655"/>
      <c r="FY257" s="4"/>
      <c r="FZ257" s="4"/>
      <c r="GA257" s="4"/>
      <c r="GB257" s="4"/>
      <c r="GC257" s="4"/>
      <c r="GD257" s="4"/>
      <c r="GE257" s="4"/>
      <c r="GF257" s="4"/>
      <c r="GG257" s="4"/>
      <c r="GH257" s="4"/>
      <c r="GI257" s="654"/>
      <c r="GJ257" s="655"/>
      <c r="GK257" s="4"/>
      <c r="GL257" s="4"/>
      <c r="GM257" s="4"/>
      <c r="GN257" s="4"/>
      <c r="GO257" s="4"/>
      <c r="GP257" s="4"/>
      <c r="GQ257" s="4"/>
      <c r="GR257" s="4"/>
      <c r="GS257" s="4"/>
      <c r="GT257" s="4"/>
      <c r="GU257" s="722"/>
      <c r="GV257" s="715"/>
    </row>
    <row r="258" spans="1:204" x14ac:dyDescent="0.25">
      <c r="A258" t="s">
        <v>1251</v>
      </c>
      <c r="B258" s="2" t="s">
        <v>1250</v>
      </c>
      <c r="C258" s="619">
        <v>44623</v>
      </c>
      <c r="D258" s="2" t="s">
        <v>1237</v>
      </c>
      <c r="E258" t="s">
        <v>59</v>
      </c>
      <c r="F258" s="2" t="s">
        <v>43</v>
      </c>
      <c r="G258" t="s">
        <v>40</v>
      </c>
      <c r="H258" s="690" t="s">
        <v>85</v>
      </c>
      <c r="I258" s="691" t="s">
        <v>43</v>
      </c>
      <c r="J258" s="721">
        <v>3780401000108</v>
      </c>
      <c r="K258" s="691" t="s">
        <v>464</v>
      </c>
      <c r="L258" s="721">
        <v>11599292000147</v>
      </c>
      <c r="M258" s="718" t="s">
        <v>6</v>
      </c>
      <c r="N258" s="717" t="s">
        <v>44</v>
      </c>
      <c r="O258" s="719">
        <v>44593</v>
      </c>
      <c r="P258" s="720">
        <v>44620</v>
      </c>
      <c r="Q258" s="718">
        <v>201</v>
      </c>
      <c r="R258" s="717">
        <v>0.5</v>
      </c>
      <c r="S258" s="691" t="s">
        <v>92</v>
      </c>
      <c r="T258" t="s">
        <v>358</v>
      </c>
      <c r="U258" s="673" t="s">
        <v>358</v>
      </c>
      <c r="V258" s="690" t="s">
        <v>358</v>
      </c>
      <c r="W258" s="657" t="s">
        <v>324</v>
      </c>
      <c r="X258" s="723"/>
      <c r="Y258" s="4">
        <v>0.5</v>
      </c>
      <c r="Z258" s="4"/>
      <c r="AA258" s="4"/>
      <c r="AB258" s="4"/>
      <c r="AC258" s="4"/>
      <c r="AD258" s="4"/>
      <c r="AE258" s="4"/>
      <c r="AF258" s="4"/>
      <c r="AG258" s="4"/>
      <c r="AH258" s="4"/>
      <c r="AI258" s="654"/>
      <c r="AJ258" s="655"/>
      <c r="AK258" s="4"/>
      <c r="AL258" s="4"/>
      <c r="AM258" s="4"/>
      <c r="AN258" s="4"/>
      <c r="AO258" s="4"/>
      <c r="AP258" s="4"/>
      <c r="AQ258" s="4"/>
      <c r="AR258" s="4"/>
      <c r="AS258" s="4"/>
      <c r="AT258" s="4"/>
      <c r="AU258" s="654"/>
      <c r="AV258" s="655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654"/>
      <c r="BH258" s="655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654"/>
      <c r="BT258" s="655"/>
      <c r="BU258" s="4"/>
      <c r="BV258" s="4"/>
      <c r="BW258" s="4"/>
      <c r="BX258" s="4"/>
      <c r="BY258" s="4"/>
      <c r="BZ258" s="4"/>
      <c r="CA258" s="4"/>
      <c r="CB258" s="4"/>
      <c r="CC258" s="4"/>
      <c r="CD258" s="4"/>
      <c r="CE258" s="693"/>
      <c r="CF258" s="723"/>
      <c r="CG258" s="4">
        <v>201</v>
      </c>
      <c r="CH258" s="4"/>
      <c r="CI258" s="4"/>
      <c r="CJ258" s="4"/>
      <c r="CK258" s="4"/>
      <c r="CL258" s="4"/>
      <c r="CM258" s="4"/>
      <c r="CN258" s="4"/>
      <c r="CO258" s="4"/>
      <c r="CP258" s="4"/>
      <c r="CQ258" s="654"/>
      <c r="CR258" s="655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654"/>
      <c r="DD258" s="655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654"/>
      <c r="DP258" s="655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654"/>
      <c r="EB258" s="655"/>
      <c r="EC258" s="4"/>
      <c r="ED258" s="4"/>
      <c r="EE258" s="4"/>
      <c r="EF258" s="4"/>
      <c r="EG258" s="4"/>
      <c r="EH258" s="4"/>
      <c r="EI258" s="4"/>
      <c r="EJ258" s="4"/>
      <c r="EK258" s="4"/>
      <c r="EL258" s="4"/>
      <c r="EM258" s="693"/>
      <c r="EN258" s="723"/>
      <c r="EO258" s="4">
        <v>256.7</v>
      </c>
      <c r="EP258" s="4"/>
      <c r="EQ258" s="4"/>
      <c r="ER258" s="4"/>
      <c r="ES258" s="4"/>
      <c r="ET258" s="4"/>
      <c r="EU258" s="4"/>
      <c r="EV258" s="4"/>
      <c r="EW258" s="4"/>
      <c r="EX258" s="4"/>
      <c r="EY258" s="654"/>
      <c r="EZ258" s="655"/>
      <c r="FA258" s="4"/>
      <c r="FB258" s="4"/>
      <c r="FC258" s="4"/>
      <c r="FD258" s="4"/>
      <c r="FE258" s="4"/>
      <c r="FF258" s="4"/>
      <c r="FG258" s="4"/>
      <c r="FH258" s="4"/>
      <c r="FI258" s="4"/>
      <c r="FJ258" s="4"/>
      <c r="FK258" s="654"/>
      <c r="FL258" s="655"/>
      <c r="FM258" s="4"/>
      <c r="FN258" s="4"/>
      <c r="FO258" s="4"/>
      <c r="FP258" s="4"/>
      <c r="FQ258" s="4"/>
      <c r="FR258" s="4"/>
      <c r="FS258" s="4"/>
      <c r="FT258" s="4"/>
      <c r="FU258" s="4"/>
      <c r="FV258" s="4"/>
      <c r="FW258" s="654"/>
      <c r="FX258" s="655"/>
      <c r="FY258" s="4"/>
      <c r="FZ258" s="4"/>
      <c r="GA258" s="4"/>
      <c r="GB258" s="4"/>
      <c r="GC258" s="4"/>
      <c r="GD258" s="4"/>
      <c r="GE258" s="4"/>
      <c r="GF258" s="4"/>
      <c r="GG258" s="4"/>
      <c r="GH258" s="4"/>
      <c r="GI258" s="654"/>
      <c r="GJ258" s="655"/>
      <c r="GK258" s="4"/>
      <c r="GL258" s="4"/>
      <c r="GM258" s="4"/>
      <c r="GN258" s="4"/>
      <c r="GO258" s="4"/>
      <c r="GP258" s="4"/>
      <c r="GQ258" s="4"/>
      <c r="GR258" s="4"/>
      <c r="GS258" s="4"/>
      <c r="GT258" s="4"/>
      <c r="GU258" s="722"/>
      <c r="GV258" s="715"/>
    </row>
    <row r="259" spans="1:204" x14ac:dyDescent="0.25">
      <c r="A259" t="s">
        <v>1253</v>
      </c>
      <c r="B259" s="2" t="s">
        <v>1252</v>
      </c>
      <c r="C259" s="619">
        <v>44623</v>
      </c>
      <c r="D259" s="2" t="s">
        <v>1238</v>
      </c>
      <c r="E259" t="s">
        <v>59</v>
      </c>
      <c r="F259" s="2" t="s">
        <v>43</v>
      </c>
      <c r="G259" t="s">
        <v>40</v>
      </c>
      <c r="H259" s="690" t="s">
        <v>85</v>
      </c>
      <c r="I259" s="691" t="s">
        <v>43</v>
      </c>
      <c r="J259" s="721">
        <v>3780401000108</v>
      </c>
      <c r="K259" s="691" t="s">
        <v>349</v>
      </c>
      <c r="L259" s="721">
        <v>4973790000142</v>
      </c>
      <c r="M259" s="718" t="s">
        <v>3</v>
      </c>
      <c r="N259" s="717" t="s">
        <v>44</v>
      </c>
      <c r="O259" s="719">
        <v>44593</v>
      </c>
      <c r="P259" s="720">
        <v>44620</v>
      </c>
      <c r="Q259" s="718">
        <v>1.3</v>
      </c>
      <c r="R259" s="717">
        <v>6</v>
      </c>
      <c r="S259" s="691" t="s">
        <v>92</v>
      </c>
      <c r="T259" t="s">
        <v>358</v>
      </c>
      <c r="U259" s="673" t="s">
        <v>358</v>
      </c>
      <c r="V259" s="690" t="s">
        <v>358</v>
      </c>
      <c r="W259" s="657" t="s">
        <v>324</v>
      </c>
      <c r="X259" s="723"/>
      <c r="Y259" s="4">
        <v>6</v>
      </c>
      <c r="Z259" s="4"/>
      <c r="AA259" s="4"/>
      <c r="AB259" s="4"/>
      <c r="AC259" s="4"/>
      <c r="AD259" s="4"/>
      <c r="AE259" s="4"/>
      <c r="AF259" s="4"/>
      <c r="AG259" s="4"/>
      <c r="AH259" s="4"/>
      <c r="AI259" s="654"/>
      <c r="AJ259" s="655"/>
      <c r="AK259" s="4"/>
      <c r="AL259" s="4"/>
      <c r="AM259" s="4"/>
      <c r="AN259" s="4"/>
      <c r="AO259" s="4"/>
      <c r="AP259" s="4"/>
      <c r="AQ259" s="4"/>
      <c r="AR259" s="4"/>
      <c r="AS259" s="4"/>
      <c r="AT259" s="4"/>
      <c r="AU259" s="654"/>
      <c r="AV259" s="655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654"/>
      <c r="BH259" s="655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654"/>
      <c r="BT259" s="655"/>
      <c r="BU259" s="4"/>
      <c r="BV259" s="4"/>
      <c r="BW259" s="4"/>
      <c r="BX259" s="4"/>
      <c r="BY259" s="4"/>
      <c r="BZ259" s="4"/>
      <c r="CA259" s="4"/>
      <c r="CB259" s="4"/>
      <c r="CC259" s="4"/>
      <c r="CD259" s="4"/>
      <c r="CE259" s="693"/>
      <c r="CF259" s="723"/>
      <c r="CG259" s="4">
        <v>1.3</v>
      </c>
      <c r="CH259" s="4"/>
      <c r="CI259" s="4"/>
      <c r="CJ259" s="4"/>
      <c r="CK259" s="4"/>
      <c r="CL259" s="4"/>
      <c r="CM259" s="4"/>
      <c r="CN259" s="4"/>
      <c r="CO259" s="4"/>
      <c r="CP259" s="4"/>
      <c r="CQ259" s="654"/>
      <c r="CR259" s="655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654"/>
      <c r="DD259" s="655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654"/>
      <c r="DP259" s="655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654"/>
      <c r="EB259" s="655"/>
      <c r="EC259" s="4"/>
      <c r="ED259" s="4"/>
      <c r="EE259" s="4"/>
      <c r="EF259" s="4"/>
      <c r="EG259" s="4"/>
      <c r="EH259" s="4"/>
      <c r="EI259" s="4"/>
      <c r="EJ259" s="4"/>
      <c r="EK259" s="4"/>
      <c r="EL259" s="4"/>
      <c r="EM259" s="693"/>
      <c r="EN259" s="723"/>
      <c r="EO259" s="4">
        <v>57</v>
      </c>
      <c r="EP259" s="4"/>
      <c r="EQ259" s="4"/>
      <c r="ER259" s="4"/>
      <c r="ES259" s="4"/>
      <c r="ET259" s="4"/>
      <c r="EU259" s="4"/>
      <c r="EV259" s="4"/>
      <c r="EW259" s="4"/>
      <c r="EX259" s="4"/>
      <c r="EY259" s="654"/>
      <c r="EZ259" s="655"/>
      <c r="FA259" s="4"/>
      <c r="FB259" s="4"/>
      <c r="FC259" s="4"/>
      <c r="FD259" s="4"/>
      <c r="FE259" s="4"/>
      <c r="FF259" s="4"/>
      <c r="FG259" s="4"/>
      <c r="FH259" s="4"/>
      <c r="FI259" s="4"/>
      <c r="FJ259" s="4"/>
      <c r="FK259" s="654"/>
      <c r="FL259" s="655"/>
      <c r="FM259" s="4"/>
      <c r="FN259" s="4"/>
      <c r="FO259" s="4"/>
      <c r="FP259" s="4"/>
      <c r="FQ259" s="4"/>
      <c r="FR259" s="4"/>
      <c r="FS259" s="4"/>
      <c r="FT259" s="4"/>
      <c r="FU259" s="4"/>
      <c r="FV259" s="4"/>
      <c r="FW259" s="654"/>
      <c r="FX259" s="655"/>
      <c r="FY259" s="4"/>
      <c r="FZ259" s="4"/>
      <c r="GA259" s="4"/>
      <c r="GB259" s="4"/>
      <c r="GC259" s="4"/>
      <c r="GD259" s="4"/>
      <c r="GE259" s="4"/>
      <c r="GF259" s="4"/>
      <c r="GG259" s="4"/>
      <c r="GH259" s="4"/>
      <c r="GI259" s="654"/>
      <c r="GJ259" s="655"/>
      <c r="GK259" s="4"/>
      <c r="GL259" s="4"/>
      <c r="GM259" s="4"/>
      <c r="GN259" s="4"/>
      <c r="GO259" s="4"/>
      <c r="GP259" s="4"/>
      <c r="GQ259" s="4"/>
      <c r="GR259" s="4"/>
      <c r="GS259" s="4"/>
      <c r="GT259" s="4"/>
      <c r="GU259" s="722"/>
      <c r="GV259" s="715"/>
    </row>
    <row r="260" spans="1:204" x14ac:dyDescent="0.25">
      <c r="A260" t="s">
        <v>1255</v>
      </c>
      <c r="B260" s="2" t="s">
        <v>1254</v>
      </c>
      <c r="C260" s="619">
        <v>44623</v>
      </c>
      <c r="D260" s="2" t="s">
        <v>1239</v>
      </c>
      <c r="E260" t="s">
        <v>59</v>
      </c>
      <c r="F260" s="2" t="s">
        <v>43</v>
      </c>
      <c r="G260" t="s">
        <v>40</v>
      </c>
      <c r="H260" s="690" t="s">
        <v>85</v>
      </c>
      <c r="I260" s="691" t="s">
        <v>43</v>
      </c>
      <c r="J260" s="721">
        <v>3780401000108</v>
      </c>
      <c r="K260" s="691" t="s">
        <v>1249</v>
      </c>
      <c r="L260" s="721">
        <v>15458171000136</v>
      </c>
      <c r="M260" s="718" t="s">
        <v>6</v>
      </c>
      <c r="N260" s="717" t="s">
        <v>44</v>
      </c>
      <c r="O260" s="719">
        <v>44593</v>
      </c>
      <c r="P260" s="720">
        <v>44620</v>
      </c>
      <c r="Q260" s="718">
        <v>202</v>
      </c>
      <c r="R260" s="717">
        <v>0.5</v>
      </c>
      <c r="S260" s="691" t="s">
        <v>92</v>
      </c>
      <c r="T260" t="s">
        <v>358</v>
      </c>
      <c r="U260" s="673" t="s">
        <v>358</v>
      </c>
      <c r="V260" s="690" t="s">
        <v>358</v>
      </c>
      <c r="W260" s="657" t="s">
        <v>324</v>
      </c>
      <c r="X260" s="723"/>
      <c r="Y260" s="4">
        <v>0.5</v>
      </c>
      <c r="Z260" s="4"/>
      <c r="AA260" s="4"/>
      <c r="AB260" s="4"/>
      <c r="AC260" s="4"/>
      <c r="AD260" s="4"/>
      <c r="AE260" s="4"/>
      <c r="AF260" s="4"/>
      <c r="AG260" s="4"/>
      <c r="AH260" s="4"/>
      <c r="AI260" s="654"/>
      <c r="AJ260" s="655"/>
      <c r="AK260" s="4"/>
      <c r="AL260" s="4"/>
      <c r="AM260" s="4"/>
      <c r="AN260" s="4"/>
      <c r="AO260" s="4"/>
      <c r="AP260" s="4"/>
      <c r="AQ260" s="4"/>
      <c r="AR260" s="4"/>
      <c r="AS260" s="4"/>
      <c r="AT260" s="4"/>
      <c r="AU260" s="654"/>
      <c r="AV260" s="655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654"/>
      <c r="BH260" s="655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654"/>
      <c r="BT260" s="655"/>
      <c r="BU260" s="4"/>
      <c r="BV260" s="4"/>
      <c r="BW260" s="4"/>
      <c r="BX260" s="4"/>
      <c r="BY260" s="4"/>
      <c r="BZ260" s="4"/>
      <c r="CA260" s="4"/>
      <c r="CB260" s="4"/>
      <c r="CC260" s="4"/>
      <c r="CD260" s="4"/>
      <c r="CE260" s="693"/>
      <c r="CF260" s="723"/>
      <c r="CG260" s="4">
        <v>202</v>
      </c>
      <c r="CH260" s="4"/>
      <c r="CI260" s="4"/>
      <c r="CJ260" s="4"/>
      <c r="CK260" s="4"/>
      <c r="CL260" s="4"/>
      <c r="CM260" s="4"/>
      <c r="CN260" s="4"/>
      <c r="CO260" s="4"/>
      <c r="CP260" s="4"/>
      <c r="CQ260" s="654"/>
      <c r="CR260" s="655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654"/>
      <c r="DD260" s="655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654"/>
      <c r="DP260" s="655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654"/>
      <c r="EB260" s="655"/>
      <c r="EC260" s="4"/>
      <c r="ED260" s="4"/>
      <c r="EE260" s="4"/>
      <c r="EF260" s="4"/>
      <c r="EG260" s="4"/>
      <c r="EH260" s="4"/>
      <c r="EI260" s="4"/>
      <c r="EJ260" s="4"/>
      <c r="EK260" s="4"/>
      <c r="EL260" s="4"/>
      <c r="EM260" s="693"/>
      <c r="EN260" s="723"/>
      <c r="EO260" s="4">
        <v>257.7</v>
      </c>
      <c r="EP260" s="4"/>
      <c r="EQ260" s="4"/>
      <c r="ER260" s="4"/>
      <c r="ES260" s="4"/>
      <c r="ET260" s="4"/>
      <c r="EU260" s="4"/>
      <c r="EV260" s="4"/>
      <c r="EW260" s="4"/>
      <c r="EX260" s="4"/>
      <c r="EY260" s="654"/>
      <c r="EZ260" s="655"/>
      <c r="FA260" s="4"/>
      <c r="FB260" s="4"/>
      <c r="FC260" s="4"/>
      <c r="FD260" s="4"/>
      <c r="FE260" s="4"/>
      <c r="FF260" s="4"/>
      <c r="FG260" s="4"/>
      <c r="FH260" s="4"/>
      <c r="FI260" s="4"/>
      <c r="FJ260" s="4"/>
      <c r="FK260" s="654"/>
      <c r="FL260" s="655"/>
      <c r="FM260" s="4"/>
      <c r="FN260" s="4"/>
      <c r="FO260" s="4"/>
      <c r="FP260" s="4"/>
      <c r="FQ260" s="4"/>
      <c r="FR260" s="4"/>
      <c r="FS260" s="4"/>
      <c r="FT260" s="4"/>
      <c r="FU260" s="4"/>
      <c r="FV260" s="4"/>
      <c r="FW260" s="654"/>
      <c r="FX260" s="655"/>
      <c r="FY260" s="4"/>
      <c r="FZ260" s="4"/>
      <c r="GA260" s="4"/>
      <c r="GB260" s="4"/>
      <c r="GC260" s="4"/>
      <c r="GD260" s="4"/>
      <c r="GE260" s="4"/>
      <c r="GF260" s="4"/>
      <c r="GG260" s="4"/>
      <c r="GH260" s="4"/>
      <c r="GI260" s="654"/>
      <c r="GJ260" s="655"/>
      <c r="GK260" s="4"/>
      <c r="GL260" s="4"/>
      <c r="GM260" s="4"/>
      <c r="GN260" s="4"/>
      <c r="GO260" s="4"/>
      <c r="GP260" s="4"/>
      <c r="GQ260" s="4"/>
      <c r="GR260" s="4"/>
      <c r="GS260" s="4"/>
      <c r="GT260" s="4"/>
      <c r="GU260" s="722"/>
      <c r="GV260" s="715"/>
    </row>
    <row r="261" spans="1:204" x14ac:dyDescent="0.25">
      <c r="A261" t="s">
        <v>1257</v>
      </c>
      <c r="B261" s="2" t="s">
        <v>1256</v>
      </c>
      <c r="C261" s="619">
        <v>44623</v>
      </c>
      <c r="D261" s="2" t="s">
        <v>1240</v>
      </c>
      <c r="E261" t="s">
        <v>59</v>
      </c>
      <c r="F261" s="2" t="s">
        <v>43</v>
      </c>
      <c r="G261" t="s">
        <v>40</v>
      </c>
      <c r="H261" s="690" t="s">
        <v>85</v>
      </c>
      <c r="I261" s="691" t="s">
        <v>43</v>
      </c>
      <c r="J261" s="721">
        <v>3780401000108</v>
      </c>
      <c r="K261" s="691" t="s">
        <v>1249</v>
      </c>
      <c r="L261" s="721">
        <v>15458171000136</v>
      </c>
      <c r="M261" s="718" t="s">
        <v>6</v>
      </c>
      <c r="N261" s="717" t="s">
        <v>44</v>
      </c>
      <c r="O261" s="719">
        <v>44593</v>
      </c>
      <c r="P261" s="720">
        <v>44620</v>
      </c>
      <c r="Q261" s="718">
        <v>202</v>
      </c>
      <c r="R261" s="717">
        <v>1.5</v>
      </c>
      <c r="S261" s="691" t="s">
        <v>92</v>
      </c>
      <c r="T261" t="s">
        <v>358</v>
      </c>
      <c r="U261" s="673" t="s">
        <v>358</v>
      </c>
      <c r="V261" s="690" t="s">
        <v>358</v>
      </c>
      <c r="W261" s="657" t="s">
        <v>324</v>
      </c>
      <c r="X261" s="723"/>
      <c r="Y261" s="4">
        <v>1.5</v>
      </c>
      <c r="Z261" s="4"/>
      <c r="AA261" s="4"/>
      <c r="AB261" s="4"/>
      <c r="AC261" s="4"/>
      <c r="AD261" s="4"/>
      <c r="AE261" s="4"/>
      <c r="AF261" s="4"/>
      <c r="AG261" s="4"/>
      <c r="AH261" s="4"/>
      <c r="AI261" s="654"/>
      <c r="AJ261" s="655"/>
      <c r="AK261" s="4"/>
      <c r="AL261" s="4"/>
      <c r="AM261" s="4"/>
      <c r="AN261" s="4"/>
      <c r="AO261" s="4"/>
      <c r="AP261" s="4"/>
      <c r="AQ261" s="4"/>
      <c r="AR261" s="4"/>
      <c r="AS261" s="4"/>
      <c r="AT261" s="4"/>
      <c r="AU261" s="654"/>
      <c r="AV261" s="655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654"/>
      <c r="BH261" s="655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654"/>
      <c r="BT261" s="655"/>
      <c r="BU261" s="4"/>
      <c r="BV261" s="4"/>
      <c r="BW261" s="4"/>
      <c r="BX261" s="4"/>
      <c r="BY261" s="4"/>
      <c r="BZ261" s="4"/>
      <c r="CA261" s="4"/>
      <c r="CB261" s="4"/>
      <c r="CC261" s="4"/>
      <c r="CD261" s="4"/>
      <c r="CE261" s="693"/>
      <c r="CF261" s="723"/>
      <c r="CG261" s="4">
        <v>202</v>
      </c>
      <c r="CH261" s="4"/>
      <c r="CI261" s="4"/>
      <c r="CJ261" s="4"/>
      <c r="CK261" s="4"/>
      <c r="CL261" s="4"/>
      <c r="CM261" s="4"/>
      <c r="CN261" s="4"/>
      <c r="CO261" s="4"/>
      <c r="CP261" s="4"/>
      <c r="CQ261" s="654"/>
      <c r="CR261" s="655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654"/>
      <c r="DD261" s="655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654"/>
      <c r="DP261" s="655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654"/>
      <c r="EB261" s="655"/>
      <c r="EC261" s="4"/>
      <c r="ED261" s="4"/>
      <c r="EE261" s="4"/>
      <c r="EF261" s="4"/>
      <c r="EG261" s="4"/>
      <c r="EH261" s="4"/>
      <c r="EI261" s="4"/>
      <c r="EJ261" s="4"/>
      <c r="EK261" s="4"/>
      <c r="EL261" s="4"/>
      <c r="EM261" s="693"/>
      <c r="EN261" s="723"/>
      <c r="EO261" s="4">
        <v>257.7</v>
      </c>
      <c r="EP261" s="4"/>
      <c r="EQ261" s="4"/>
      <c r="ER261" s="4"/>
      <c r="ES261" s="4"/>
      <c r="ET261" s="4"/>
      <c r="EU261" s="4"/>
      <c r="EV261" s="4"/>
      <c r="EW261" s="4"/>
      <c r="EX261" s="4"/>
      <c r="EY261" s="654"/>
      <c r="EZ261" s="655"/>
      <c r="FA261" s="4"/>
      <c r="FB261" s="4"/>
      <c r="FC261" s="4"/>
      <c r="FD261" s="4"/>
      <c r="FE261" s="4"/>
      <c r="FF261" s="4"/>
      <c r="FG261" s="4"/>
      <c r="FH261" s="4"/>
      <c r="FI261" s="4"/>
      <c r="FJ261" s="4"/>
      <c r="FK261" s="654"/>
      <c r="FL261" s="655"/>
      <c r="FM261" s="4"/>
      <c r="FN261" s="4"/>
      <c r="FO261" s="4"/>
      <c r="FP261" s="4"/>
      <c r="FQ261" s="4"/>
      <c r="FR261" s="4"/>
      <c r="FS261" s="4"/>
      <c r="FT261" s="4"/>
      <c r="FU261" s="4"/>
      <c r="FV261" s="4"/>
      <c r="FW261" s="654"/>
      <c r="FX261" s="655"/>
      <c r="FY261" s="4"/>
      <c r="FZ261" s="4"/>
      <c r="GA261" s="4"/>
      <c r="GB261" s="4"/>
      <c r="GC261" s="4"/>
      <c r="GD261" s="4"/>
      <c r="GE261" s="4"/>
      <c r="GF261" s="4"/>
      <c r="GG261" s="4"/>
      <c r="GH261" s="4"/>
      <c r="GI261" s="654"/>
      <c r="GJ261" s="655"/>
      <c r="GK261" s="4"/>
      <c r="GL261" s="4"/>
      <c r="GM261" s="4"/>
      <c r="GN261" s="4"/>
      <c r="GO261" s="4"/>
      <c r="GP261" s="4"/>
      <c r="GQ261" s="4"/>
      <c r="GR261" s="4"/>
      <c r="GS261" s="4"/>
      <c r="GT261" s="4"/>
      <c r="GU261" s="722"/>
      <c r="GV261" s="715"/>
    </row>
    <row r="262" spans="1:204" x14ac:dyDescent="0.25">
      <c r="A262" t="s">
        <v>1259</v>
      </c>
      <c r="B262" s="2" t="s">
        <v>1258</v>
      </c>
      <c r="C262" s="619">
        <v>44623</v>
      </c>
      <c r="D262" s="2" t="s">
        <v>1241</v>
      </c>
      <c r="E262" t="s">
        <v>59</v>
      </c>
      <c r="F262" s="2" t="s">
        <v>43</v>
      </c>
      <c r="G262" t="s">
        <v>40</v>
      </c>
      <c r="H262" s="690" t="s">
        <v>85</v>
      </c>
      <c r="I262" s="691" t="s">
        <v>43</v>
      </c>
      <c r="J262" s="721">
        <v>3780401000108</v>
      </c>
      <c r="K262" s="691" t="s">
        <v>349</v>
      </c>
      <c r="L262" s="721">
        <v>4973790000142</v>
      </c>
      <c r="M262" s="718" t="s">
        <v>3</v>
      </c>
      <c r="N262" s="717" t="s">
        <v>44</v>
      </c>
      <c r="O262" s="719">
        <v>44593</v>
      </c>
      <c r="P262" s="720">
        <v>44620</v>
      </c>
      <c r="Q262" s="718">
        <v>1.3</v>
      </c>
      <c r="R262" s="717">
        <v>4</v>
      </c>
      <c r="S262" s="691" t="s">
        <v>92</v>
      </c>
      <c r="T262" t="s">
        <v>358</v>
      </c>
      <c r="U262" s="673" t="s">
        <v>358</v>
      </c>
      <c r="V262" s="690" t="s">
        <v>358</v>
      </c>
      <c r="W262" s="657" t="s">
        <v>324</v>
      </c>
      <c r="X262" s="723"/>
      <c r="Y262" s="4">
        <v>4</v>
      </c>
      <c r="Z262" s="4"/>
      <c r="AA262" s="4"/>
      <c r="AB262" s="4"/>
      <c r="AC262" s="4"/>
      <c r="AD262" s="4"/>
      <c r="AE262" s="4"/>
      <c r="AF262" s="4"/>
      <c r="AG262" s="4"/>
      <c r="AH262" s="4"/>
      <c r="AI262" s="654"/>
      <c r="AJ262" s="655"/>
      <c r="AK262" s="4"/>
      <c r="AL262" s="4"/>
      <c r="AM262" s="4"/>
      <c r="AN262" s="4"/>
      <c r="AO262" s="4"/>
      <c r="AP262" s="4"/>
      <c r="AQ262" s="4"/>
      <c r="AR262" s="4"/>
      <c r="AS262" s="4"/>
      <c r="AT262" s="4"/>
      <c r="AU262" s="654"/>
      <c r="AV262" s="655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654"/>
      <c r="BH262" s="655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654"/>
      <c r="BT262" s="655"/>
      <c r="BU262" s="4"/>
      <c r="BV262" s="4"/>
      <c r="BW262" s="4"/>
      <c r="BX262" s="4"/>
      <c r="BY262" s="4"/>
      <c r="BZ262" s="4"/>
      <c r="CA262" s="4"/>
      <c r="CB262" s="4"/>
      <c r="CC262" s="4"/>
      <c r="CD262" s="4"/>
      <c r="CE262" s="693"/>
      <c r="CF262" s="723"/>
      <c r="CG262" s="4">
        <v>1.3</v>
      </c>
      <c r="CH262" s="4"/>
      <c r="CI262" s="4"/>
      <c r="CJ262" s="4"/>
      <c r="CK262" s="4"/>
      <c r="CL262" s="4"/>
      <c r="CM262" s="4"/>
      <c r="CN262" s="4"/>
      <c r="CO262" s="4"/>
      <c r="CP262" s="4"/>
      <c r="CQ262" s="654"/>
      <c r="CR262" s="655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654"/>
      <c r="DD262" s="655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654"/>
      <c r="DP262" s="655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654"/>
      <c r="EB262" s="655"/>
      <c r="EC262" s="4"/>
      <c r="ED262" s="4"/>
      <c r="EE262" s="4"/>
      <c r="EF262" s="4"/>
      <c r="EG262" s="4"/>
      <c r="EH262" s="4"/>
      <c r="EI262" s="4"/>
      <c r="EJ262" s="4"/>
      <c r="EK262" s="4"/>
      <c r="EL262" s="4"/>
      <c r="EM262" s="693"/>
      <c r="EN262" s="723"/>
      <c r="EO262" s="4">
        <v>57</v>
      </c>
      <c r="EP262" s="4"/>
      <c r="EQ262" s="4"/>
      <c r="ER262" s="4"/>
      <c r="ES262" s="4"/>
      <c r="ET262" s="4"/>
      <c r="EU262" s="4"/>
      <c r="EV262" s="4"/>
      <c r="EW262" s="4"/>
      <c r="EX262" s="4"/>
      <c r="EY262" s="654"/>
      <c r="EZ262" s="655"/>
      <c r="FA262" s="4"/>
      <c r="FB262" s="4"/>
      <c r="FC262" s="4"/>
      <c r="FD262" s="4"/>
      <c r="FE262" s="4"/>
      <c r="FF262" s="4"/>
      <c r="FG262" s="4"/>
      <c r="FH262" s="4"/>
      <c r="FI262" s="4"/>
      <c r="FJ262" s="4"/>
      <c r="FK262" s="654"/>
      <c r="FL262" s="655"/>
      <c r="FM262" s="4"/>
      <c r="FN262" s="4"/>
      <c r="FO262" s="4"/>
      <c r="FP262" s="4"/>
      <c r="FQ262" s="4"/>
      <c r="FR262" s="4"/>
      <c r="FS262" s="4"/>
      <c r="FT262" s="4"/>
      <c r="FU262" s="4"/>
      <c r="FV262" s="4"/>
      <c r="FW262" s="654"/>
      <c r="FX262" s="655"/>
      <c r="FY262" s="4"/>
      <c r="FZ262" s="4"/>
      <c r="GA262" s="4"/>
      <c r="GB262" s="4"/>
      <c r="GC262" s="4"/>
      <c r="GD262" s="4"/>
      <c r="GE262" s="4"/>
      <c r="GF262" s="4"/>
      <c r="GG262" s="4"/>
      <c r="GH262" s="4"/>
      <c r="GI262" s="654"/>
      <c r="GJ262" s="655"/>
      <c r="GK262" s="4"/>
      <c r="GL262" s="4"/>
      <c r="GM262" s="4"/>
      <c r="GN262" s="4"/>
      <c r="GO262" s="4"/>
      <c r="GP262" s="4"/>
      <c r="GQ262" s="4"/>
      <c r="GR262" s="4"/>
      <c r="GS262" s="4"/>
      <c r="GT262" s="4"/>
      <c r="GU262" s="722"/>
      <c r="GV262" s="715"/>
    </row>
    <row r="263" spans="1:204" x14ac:dyDescent="0.25">
      <c r="A263" t="s">
        <v>1261</v>
      </c>
      <c r="B263" s="2" t="s">
        <v>1260</v>
      </c>
      <c r="C263" s="619">
        <v>44623</v>
      </c>
      <c r="D263" s="2" t="s">
        <v>1242</v>
      </c>
      <c r="E263" t="s">
        <v>59</v>
      </c>
      <c r="F263" s="2" t="s">
        <v>43</v>
      </c>
      <c r="G263" t="s">
        <v>40</v>
      </c>
      <c r="H263" s="690" t="s">
        <v>85</v>
      </c>
      <c r="I263" s="691" t="s">
        <v>43</v>
      </c>
      <c r="J263" s="721">
        <v>3780401000108</v>
      </c>
      <c r="K263" s="691" t="s">
        <v>349</v>
      </c>
      <c r="L263" s="721">
        <v>4973790000142</v>
      </c>
      <c r="M263" s="718" t="s">
        <v>6</v>
      </c>
      <c r="N263" s="717" t="s">
        <v>44</v>
      </c>
      <c r="O263" s="719">
        <v>44593</v>
      </c>
      <c r="P263" s="720">
        <v>44620</v>
      </c>
      <c r="Q263" s="718">
        <v>202</v>
      </c>
      <c r="R263" s="717">
        <v>1</v>
      </c>
      <c r="S263" s="691" t="s">
        <v>92</v>
      </c>
      <c r="T263" t="s">
        <v>358</v>
      </c>
      <c r="U263" s="673" t="s">
        <v>358</v>
      </c>
      <c r="V263" s="690" t="s">
        <v>358</v>
      </c>
      <c r="W263" s="657" t="s">
        <v>324</v>
      </c>
      <c r="X263" s="723"/>
      <c r="Y263" s="4">
        <v>1</v>
      </c>
      <c r="Z263" s="4"/>
      <c r="AA263" s="4"/>
      <c r="AB263" s="4"/>
      <c r="AC263" s="4"/>
      <c r="AD263" s="4"/>
      <c r="AE263" s="4"/>
      <c r="AF263" s="4"/>
      <c r="AG263" s="4"/>
      <c r="AH263" s="4"/>
      <c r="AI263" s="654"/>
      <c r="AJ263" s="655"/>
      <c r="AK263" s="4"/>
      <c r="AL263" s="4"/>
      <c r="AM263" s="4"/>
      <c r="AN263" s="4"/>
      <c r="AO263" s="4"/>
      <c r="AP263" s="4"/>
      <c r="AQ263" s="4"/>
      <c r="AR263" s="4"/>
      <c r="AS263" s="4"/>
      <c r="AT263" s="4"/>
      <c r="AU263" s="654"/>
      <c r="AV263" s="655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654"/>
      <c r="BH263" s="655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654"/>
      <c r="BT263" s="655"/>
      <c r="BU263" s="4"/>
      <c r="BV263" s="4"/>
      <c r="BW263" s="4"/>
      <c r="BX263" s="4"/>
      <c r="BY263" s="4"/>
      <c r="BZ263" s="4"/>
      <c r="CA263" s="4"/>
      <c r="CB263" s="4"/>
      <c r="CC263" s="4"/>
      <c r="CD263" s="4"/>
      <c r="CE263" s="693"/>
      <c r="CF263" s="723"/>
      <c r="CG263" s="4">
        <v>202</v>
      </c>
      <c r="CH263" s="4"/>
      <c r="CI263" s="4"/>
      <c r="CJ263" s="4"/>
      <c r="CK263" s="4"/>
      <c r="CL263" s="4"/>
      <c r="CM263" s="4"/>
      <c r="CN263" s="4"/>
      <c r="CO263" s="4"/>
      <c r="CP263" s="4"/>
      <c r="CQ263" s="654"/>
      <c r="CR263" s="655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654"/>
      <c r="DD263" s="655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654"/>
      <c r="DP263" s="655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654"/>
      <c r="EB263" s="655"/>
      <c r="EC263" s="4"/>
      <c r="ED263" s="4"/>
      <c r="EE263" s="4"/>
      <c r="EF263" s="4"/>
      <c r="EG263" s="4"/>
      <c r="EH263" s="4"/>
      <c r="EI263" s="4"/>
      <c r="EJ263" s="4"/>
      <c r="EK263" s="4"/>
      <c r="EL263" s="4"/>
      <c r="EM263" s="693"/>
      <c r="EN263" s="723"/>
      <c r="EO263" s="4">
        <v>257.7</v>
      </c>
      <c r="EP263" s="4"/>
      <c r="EQ263" s="4"/>
      <c r="ER263" s="4"/>
      <c r="ES263" s="4"/>
      <c r="ET263" s="4"/>
      <c r="EU263" s="4"/>
      <c r="EV263" s="4"/>
      <c r="EW263" s="4"/>
      <c r="EX263" s="4"/>
      <c r="EY263" s="654"/>
      <c r="EZ263" s="655"/>
      <c r="FA263" s="4"/>
      <c r="FB263" s="4"/>
      <c r="FC263" s="4"/>
      <c r="FD263" s="4"/>
      <c r="FE263" s="4"/>
      <c r="FF263" s="4"/>
      <c r="FG263" s="4"/>
      <c r="FH263" s="4"/>
      <c r="FI263" s="4"/>
      <c r="FJ263" s="4"/>
      <c r="FK263" s="654"/>
      <c r="FL263" s="655"/>
      <c r="FM263" s="4"/>
      <c r="FN263" s="4"/>
      <c r="FO263" s="4"/>
      <c r="FP263" s="4"/>
      <c r="FQ263" s="4"/>
      <c r="FR263" s="4"/>
      <c r="FS263" s="4"/>
      <c r="FT263" s="4"/>
      <c r="FU263" s="4"/>
      <c r="FV263" s="4"/>
      <c r="FW263" s="654"/>
      <c r="FX263" s="655"/>
      <c r="FY263" s="4"/>
      <c r="FZ263" s="4"/>
      <c r="GA263" s="4"/>
      <c r="GB263" s="4"/>
      <c r="GC263" s="4"/>
      <c r="GD263" s="4"/>
      <c r="GE263" s="4"/>
      <c r="GF263" s="4"/>
      <c r="GG263" s="4"/>
      <c r="GH263" s="4"/>
      <c r="GI263" s="654"/>
      <c r="GJ263" s="655"/>
      <c r="GK263" s="4"/>
      <c r="GL263" s="4"/>
      <c r="GM263" s="4"/>
      <c r="GN263" s="4"/>
      <c r="GO263" s="4"/>
      <c r="GP263" s="4"/>
      <c r="GQ263" s="4"/>
      <c r="GR263" s="4"/>
      <c r="GS263" s="4"/>
      <c r="GT263" s="4"/>
      <c r="GU263" s="722"/>
      <c r="GV263" s="715"/>
    </row>
    <row r="264" spans="1:204" x14ac:dyDescent="0.25">
      <c r="A264" t="s">
        <v>1263</v>
      </c>
      <c r="B264" s="2" t="s">
        <v>1262</v>
      </c>
      <c r="C264" s="619">
        <v>44623</v>
      </c>
      <c r="D264" s="2" t="s">
        <v>1243</v>
      </c>
      <c r="E264" t="s">
        <v>59</v>
      </c>
      <c r="F264" s="2" t="s">
        <v>43</v>
      </c>
      <c r="G264" t="s">
        <v>40</v>
      </c>
      <c r="H264" s="690" t="s">
        <v>85</v>
      </c>
      <c r="I264" s="691" t="s">
        <v>43</v>
      </c>
      <c r="J264" s="721">
        <v>3780401000108</v>
      </c>
      <c r="K264" s="691" t="s">
        <v>503</v>
      </c>
      <c r="L264" s="721">
        <v>17386017000121</v>
      </c>
      <c r="M264" s="718" t="s">
        <v>3</v>
      </c>
      <c r="N264" s="717" t="s">
        <v>44</v>
      </c>
      <c r="O264" s="719">
        <v>44682</v>
      </c>
      <c r="P264" s="720">
        <v>44712</v>
      </c>
      <c r="Q264" s="718">
        <v>87.5</v>
      </c>
      <c r="R264" s="717">
        <v>8.6999999999999993</v>
      </c>
      <c r="S264" s="691" t="s">
        <v>54</v>
      </c>
      <c r="T264" t="s">
        <v>358</v>
      </c>
      <c r="U264" s="673" t="s">
        <v>358</v>
      </c>
      <c r="V264" s="690" t="s">
        <v>358</v>
      </c>
      <c r="W264" s="657" t="s">
        <v>329</v>
      </c>
      <c r="X264" s="723"/>
      <c r="Y264" s="4"/>
      <c r="Z264" s="4"/>
      <c r="AA264" s="4"/>
      <c r="AB264" s="4">
        <v>8.6999999999999993</v>
      </c>
      <c r="AC264" s="4"/>
      <c r="AD264" s="4"/>
      <c r="AE264" s="4"/>
      <c r="AF264" s="4"/>
      <c r="AG264" s="4"/>
      <c r="AH264" s="4"/>
      <c r="AI264" s="654"/>
      <c r="AJ264" s="655"/>
      <c r="AK264" s="4"/>
      <c r="AL264" s="4"/>
      <c r="AM264" s="4"/>
      <c r="AN264" s="4"/>
      <c r="AO264" s="4"/>
      <c r="AP264" s="4"/>
      <c r="AQ264" s="4"/>
      <c r="AR264" s="4"/>
      <c r="AS264" s="4"/>
      <c r="AT264" s="4"/>
      <c r="AU264" s="654"/>
      <c r="AV264" s="655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654"/>
      <c r="BH264" s="655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654"/>
      <c r="BT264" s="655"/>
      <c r="BU264" s="4"/>
      <c r="BV264" s="4"/>
      <c r="BW264" s="4"/>
      <c r="BX264" s="4"/>
      <c r="BY264" s="4"/>
      <c r="BZ264" s="4"/>
      <c r="CA264" s="4"/>
      <c r="CB264" s="4"/>
      <c r="CC264" s="4"/>
      <c r="CD264" s="4"/>
      <c r="CE264" s="693"/>
      <c r="CF264" s="723"/>
      <c r="CG264" s="4"/>
      <c r="CH264" s="4"/>
      <c r="CI264" s="4"/>
      <c r="CJ264" s="4">
        <v>87.5</v>
      </c>
      <c r="CK264" s="4"/>
      <c r="CL264" s="4"/>
      <c r="CM264" s="4"/>
      <c r="CN264" s="4"/>
      <c r="CO264" s="4"/>
      <c r="CP264" s="4"/>
      <c r="CQ264" s="654"/>
      <c r="CR264" s="655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654"/>
      <c r="DD264" s="655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654"/>
      <c r="DP264" s="655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654"/>
      <c r="EB264" s="655"/>
      <c r="EC264" s="4"/>
      <c r="ED264" s="4"/>
      <c r="EE264" s="4"/>
      <c r="EF264" s="4"/>
      <c r="EG264" s="4"/>
      <c r="EH264" s="4"/>
      <c r="EI264" s="4"/>
      <c r="EJ264" s="4"/>
      <c r="EK264" s="4"/>
      <c r="EL264" s="4"/>
      <c r="EM264" s="693"/>
      <c r="EN264" s="723"/>
      <c r="EO264" s="4"/>
      <c r="EP264" s="4"/>
      <c r="EQ264" s="4"/>
      <c r="ER264" s="4">
        <v>87.5</v>
      </c>
      <c r="ES264" s="4"/>
      <c r="ET264" s="4"/>
      <c r="EU264" s="4"/>
      <c r="EV264" s="4"/>
      <c r="EW264" s="4"/>
      <c r="EX264" s="4"/>
      <c r="EY264" s="654"/>
      <c r="EZ264" s="655"/>
      <c r="FA264" s="4"/>
      <c r="FB264" s="4"/>
      <c r="FC264" s="4"/>
      <c r="FD264" s="4"/>
      <c r="FE264" s="4"/>
      <c r="FF264" s="4"/>
      <c r="FG264" s="4"/>
      <c r="FH264" s="4"/>
      <c r="FI264" s="4"/>
      <c r="FJ264" s="4"/>
      <c r="FK264" s="654"/>
      <c r="FL264" s="655"/>
      <c r="FM264" s="4"/>
      <c r="FN264" s="4"/>
      <c r="FO264" s="4"/>
      <c r="FP264" s="4"/>
      <c r="FQ264" s="4"/>
      <c r="FR264" s="4"/>
      <c r="FS264" s="4"/>
      <c r="FT264" s="4"/>
      <c r="FU264" s="4"/>
      <c r="FV264" s="4"/>
      <c r="FW264" s="654"/>
      <c r="FX264" s="655"/>
      <c r="FY264" s="4"/>
      <c r="FZ264" s="4"/>
      <c r="GA264" s="4"/>
      <c r="GB264" s="4"/>
      <c r="GC264" s="4"/>
      <c r="GD264" s="4"/>
      <c r="GE264" s="4"/>
      <c r="GF264" s="4"/>
      <c r="GG264" s="4"/>
      <c r="GH264" s="4"/>
      <c r="GI264" s="654"/>
      <c r="GJ264" s="655"/>
      <c r="GK264" s="4"/>
      <c r="GL264" s="4"/>
      <c r="GM264" s="4"/>
      <c r="GN264" s="4"/>
      <c r="GO264" s="4"/>
      <c r="GP264" s="4"/>
      <c r="GQ264" s="4"/>
      <c r="GR264" s="4"/>
      <c r="GS264" s="4"/>
      <c r="GT264" s="4"/>
      <c r="GU264" s="722"/>
      <c r="GV264" s="715"/>
    </row>
    <row r="265" spans="1:204" x14ac:dyDescent="0.25">
      <c r="A265" t="s">
        <v>1265</v>
      </c>
      <c r="B265" s="2" t="s">
        <v>1264</v>
      </c>
      <c r="C265" s="619">
        <v>44623</v>
      </c>
      <c r="D265" s="2" t="s">
        <v>1244</v>
      </c>
      <c r="E265" t="s">
        <v>59</v>
      </c>
      <c r="F265" s="2" t="s">
        <v>43</v>
      </c>
      <c r="G265" t="s">
        <v>40</v>
      </c>
      <c r="H265" s="690" t="s">
        <v>85</v>
      </c>
      <c r="I265" s="691" t="s">
        <v>43</v>
      </c>
      <c r="J265" s="721">
        <v>3780401000108</v>
      </c>
      <c r="K265" s="691" t="s">
        <v>472</v>
      </c>
      <c r="L265" s="721">
        <v>4802543000183</v>
      </c>
      <c r="M265" s="718" t="s">
        <v>3</v>
      </c>
      <c r="N265" s="717" t="s">
        <v>44</v>
      </c>
      <c r="O265" s="719">
        <v>44682</v>
      </c>
      <c r="P265" s="720">
        <v>44712</v>
      </c>
      <c r="Q265" s="718">
        <v>87.5</v>
      </c>
      <c r="R265" s="717">
        <v>10</v>
      </c>
      <c r="S265" s="691" t="s">
        <v>54</v>
      </c>
      <c r="T265" t="s">
        <v>358</v>
      </c>
      <c r="U265" s="673" t="s">
        <v>358</v>
      </c>
      <c r="V265" s="690" t="s">
        <v>358</v>
      </c>
      <c r="W265" s="657" t="s">
        <v>329</v>
      </c>
      <c r="X265" s="723"/>
      <c r="Y265" s="4"/>
      <c r="Z265" s="4"/>
      <c r="AA265" s="4"/>
      <c r="AB265" s="4">
        <v>10</v>
      </c>
      <c r="AC265" s="4"/>
      <c r="AD265" s="4"/>
      <c r="AE265" s="4"/>
      <c r="AF265" s="4"/>
      <c r="AG265" s="4"/>
      <c r="AH265" s="4"/>
      <c r="AI265" s="654"/>
      <c r="AJ265" s="655"/>
      <c r="AK265" s="4"/>
      <c r="AL265" s="4"/>
      <c r="AM265" s="4"/>
      <c r="AN265" s="4"/>
      <c r="AO265" s="4"/>
      <c r="AP265" s="4"/>
      <c r="AQ265" s="4"/>
      <c r="AR265" s="4"/>
      <c r="AS265" s="4"/>
      <c r="AT265" s="4"/>
      <c r="AU265" s="654"/>
      <c r="AV265" s="655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654"/>
      <c r="BH265" s="655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654"/>
      <c r="BT265" s="655"/>
      <c r="BU265" s="4"/>
      <c r="BV265" s="4"/>
      <c r="BW265" s="4"/>
      <c r="BX265" s="4"/>
      <c r="BY265" s="4"/>
      <c r="BZ265" s="4"/>
      <c r="CA265" s="4"/>
      <c r="CB265" s="4"/>
      <c r="CC265" s="4"/>
      <c r="CD265" s="4"/>
      <c r="CE265" s="693"/>
      <c r="CF265" s="723"/>
      <c r="CG265" s="4"/>
      <c r="CH265" s="4"/>
      <c r="CI265" s="4"/>
      <c r="CJ265" s="4">
        <v>87.5</v>
      </c>
      <c r="CK265" s="4"/>
      <c r="CL265" s="4"/>
      <c r="CM265" s="4"/>
      <c r="CN265" s="4"/>
      <c r="CO265" s="4"/>
      <c r="CP265" s="4"/>
      <c r="CQ265" s="654"/>
      <c r="CR265" s="655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654"/>
      <c r="DD265" s="655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654"/>
      <c r="DP265" s="655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654"/>
      <c r="EB265" s="655"/>
      <c r="EC265" s="4"/>
      <c r="ED265" s="4"/>
      <c r="EE265" s="4"/>
      <c r="EF265" s="4"/>
      <c r="EG265" s="4"/>
      <c r="EH265" s="4"/>
      <c r="EI265" s="4"/>
      <c r="EJ265" s="4"/>
      <c r="EK265" s="4"/>
      <c r="EL265" s="4"/>
      <c r="EM265" s="693"/>
      <c r="EN265" s="723"/>
      <c r="EO265" s="4"/>
      <c r="EP265" s="4"/>
      <c r="EQ265" s="4"/>
      <c r="ER265" s="4">
        <v>87.5</v>
      </c>
      <c r="ES265" s="4"/>
      <c r="ET265" s="4"/>
      <c r="EU265" s="4"/>
      <c r="EV265" s="4"/>
      <c r="EW265" s="4"/>
      <c r="EX265" s="4"/>
      <c r="EY265" s="654"/>
      <c r="EZ265" s="655"/>
      <c r="FA265" s="4"/>
      <c r="FB265" s="4"/>
      <c r="FC265" s="4"/>
      <c r="FD265" s="4"/>
      <c r="FE265" s="4"/>
      <c r="FF265" s="4"/>
      <c r="FG265" s="4"/>
      <c r="FH265" s="4"/>
      <c r="FI265" s="4"/>
      <c r="FJ265" s="4"/>
      <c r="FK265" s="654"/>
      <c r="FL265" s="655"/>
      <c r="FM265" s="4"/>
      <c r="FN265" s="4"/>
      <c r="FO265" s="4"/>
      <c r="FP265" s="4"/>
      <c r="FQ265" s="4"/>
      <c r="FR265" s="4"/>
      <c r="FS265" s="4"/>
      <c r="FT265" s="4"/>
      <c r="FU265" s="4"/>
      <c r="FV265" s="4"/>
      <c r="FW265" s="654"/>
      <c r="FX265" s="655"/>
      <c r="FY265" s="4"/>
      <c r="FZ265" s="4"/>
      <c r="GA265" s="4"/>
      <c r="GB265" s="4"/>
      <c r="GC265" s="4"/>
      <c r="GD265" s="4"/>
      <c r="GE265" s="4"/>
      <c r="GF265" s="4"/>
      <c r="GG265" s="4"/>
      <c r="GH265" s="4"/>
      <c r="GI265" s="654"/>
      <c r="GJ265" s="655"/>
      <c r="GK265" s="4"/>
      <c r="GL265" s="4"/>
      <c r="GM265" s="4"/>
      <c r="GN265" s="4"/>
      <c r="GO265" s="4"/>
      <c r="GP265" s="4"/>
      <c r="GQ265" s="4"/>
      <c r="GR265" s="4"/>
      <c r="GS265" s="4"/>
      <c r="GT265" s="4"/>
      <c r="GU265" s="722"/>
      <c r="GV265" s="715"/>
    </row>
    <row r="266" spans="1:204" x14ac:dyDescent="0.25">
      <c r="A266" t="s">
        <v>1267</v>
      </c>
      <c r="B266" s="2" t="s">
        <v>1266</v>
      </c>
      <c r="C266" s="619">
        <v>44623</v>
      </c>
      <c r="D266" s="2" t="s">
        <v>1245</v>
      </c>
      <c r="E266" t="s">
        <v>59</v>
      </c>
      <c r="F266" s="2" t="s">
        <v>43</v>
      </c>
      <c r="G266" t="s">
        <v>40</v>
      </c>
      <c r="H266" s="690" t="s">
        <v>85</v>
      </c>
      <c r="I266" s="691" t="s">
        <v>43</v>
      </c>
      <c r="J266" s="721">
        <v>3780401000108</v>
      </c>
      <c r="K266" s="691" t="s">
        <v>410</v>
      </c>
      <c r="L266" s="721">
        <v>3631957000124</v>
      </c>
      <c r="M266" s="718" t="s">
        <v>3</v>
      </c>
      <c r="N266" s="717" t="s">
        <v>44</v>
      </c>
      <c r="O266" s="719">
        <v>44896</v>
      </c>
      <c r="P266" s="720">
        <v>44926</v>
      </c>
      <c r="Q266" s="718">
        <v>168</v>
      </c>
      <c r="R266" s="717">
        <v>5</v>
      </c>
      <c r="S266" s="691" t="s">
        <v>54</v>
      </c>
      <c r="T266" t="s">
        <v>358</v>
      </c>
      <c r="U266" s="673" t="s">
        <v>358</v>
      </c>
      <c r="V266" s="690" t="s">
        <v>358</v>
      </c>
      <c r="W266" s="657" t="s">
        <v>329</v>
      </c>
      <c r="X266" s="723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654">
        <v>5</v>
      </c>
      <c r="AJ266" s="655"/>
      <c r="AK266" s="4"/>
      <c r="AL266" s="4"/>
      <c r="AM266" s="4"/>
      <c r="AN266" s="4"/>
      <c r="AO266" s="4"/>
      <c r="AP266" s="4"/>
      <c r="AQ266" s="4"/>
      <c r="AR266" s="4"/>
      <c r="AS266" s="4"/>
      <c r="AT266" s="4"/>
      <c r="AU266" s="654"/>
      <c r="AV266" s="655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654"/>
      <c r="BH266" s="655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654"/>
      <c r="BT266" s="655"/>
      <c r="BU266" s="4"/>
      <c r="BV266" s="4"/>
      <c r="BW266" s="4"/>
      <c r="BX266" s="4"/>
      <c r="BY266" s="4"/>
      <c r="BZ266" s="4"/>
      <c r="CA266" s="4"/>
      <c r="CB266" s="4"/>
      <c r="CC266" s="4"/>
      <c r="CD266" s="4"/>
      <c r="CE266" s="693"/>
      <c r="CF266" s="723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654">
        <v>168</v>
      </c>
      <c r="CR266" s="655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654"/>
      <c r="DD266" s="655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654"/>
      <c r="DP266" s="655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654"/>
      <c r="EB266" s="655"/>
      <c r="EC266" s="4"/>
      <c r="ED266" s="4"/>
      <c r="EE266" s="4"/>
      <c r="EF266" s="4"/>
      <c r="EG266" s="4"/>
      <c r="EH266" s="4"/>
      <c r="EI266" s="4"/>
      <c r="EJ266" s="4"/>
      <c r="EK266" s="4"/>
      <c r="EL266" s="4"/>
      <c r="EM266" s="693"/>
      <c r="EN266" s="723"/>
      <c r="EO266" s="4"/>
      <c r="EP266" s="4"/>
      <c r="EQ266" s="4"/>
      <c r="ER266" s="4"/>
      <c r="ES266" s="4"/>
      <c r="ET266" s="4"/>
      <c r="EU266" s="4"/>
      <c r="EV266" s="4"/>
      <c r="EW266" s="4"/>
      <c r="EX266" s="4"/>
      <c r="EY266" s="654">
        <v>168</v>
      </c>
      <c r="EZ266" s="655"/>
      <c r="FA266" s="4"/>
      <c r="FB266" s="4"/>
      <c r="FC266" s="4"/>
      <c r="FD266" s="4"/>
      <c r="FE266" s="4"/>
      <c r="FF266" s="4"/>
      <c r="FG266" s="4"/>
      <c r="FH266" s="4"/>
      <c r="FI266" s="4"/>
      <c r="FJ266" s="4"/>
      <c r="FK266" s="654"/>
      <c r="FL266" s="655"/>
      <c r="FM266" s="4"/>
      <c r="FN266" s="4"/>
      <c r="FO266" s="4"/>
      <c r="FP266" s="4"/>
      <c r="FQ266" s="4"/>
      <c r="FR266" s="4"/>
      <c r="FS266" s="4"/>
      <c r="FT266" s="4"/>
      <c r="FU266" s="4"/>
      <c r="FV266" s="4"/>
      <c r="FW266" s="654"/>
      <c r="FX266" s="655"/>
      <c r="FY266" s="4"/>
      <c r="FZ266" s="4"/>
      <c r="GA266" s="4"/>
      <c r="GB266" s="4"/>
      <c r="GC266" s="4"/>
      <c r="GD266" s="4"/>
      <c r="GE266" s="4"/>
      <c r="GF266" s="4"/>
      <c r="GG266" s="4"/>
      <c r="GH266" s="4"/>
      <c r="GI266" s="654"/>
      <c r="GJ266" s="655"/>
      <c r="GK266" s="4"/>
      <c r="GL266" s="4"/>
      <c r="GM266" s="4"/>
      <c r="GN266" s="4"/>
      <c r="GO266" s="4"/>
      <c r="GP266" s="4"/>
      <c r="GQ266" s="4"/>
      <c r="GR266" s="4"/>
      <c r="GS266" s="4"/>
      <c r="GT266" s="4"/>
      <c r="GU266" s="722"/>
      <c r="GV266" s="715"/>
    </row>
    <row r="267" spans="1:204" x14ac:dyDescent="0.25">
      <c r="A267" t="s">
        <v>1269</v>
      </c>
      <c r="B267" s="2" t="s">
        <v>1268</v>
      </c>
      <c r="C267" s="619">
        <v>44623</v>
      </c>
      <c r="D267" s="2" t="s">
        <v>1246</v>
      </c>
      <c r="E267" t="s">
        <v>59</v>
      </c>
      <c r="F267" s="2" t="s">
        <v>43</v>
      </c>
      <c r="G267" t="s">
        <v>40</v>
      </c>
      <c r="H267" s="690" t="s">
        <v>85</v>
      </c>
      <c r="I267" s="691" t="s">
        <v>43</v>
      </c>
      <c r="J267" s="721">
        <v>3780401000108</v>
      </c>
      <c r="K267" s="691" t="s">
        <v>502</v>
      </c>
      <c r="L267" s="721">
        <v>4270778000171</v>
      </c>
      <c r="M267" s="718" t="s">
        <v>3</v>
      </c>
      <c r="N267" s="717" t="s">
        <v>44</v>
      </c>
      <c r="O267" s="719">
        <v>44713</v>
      </c>
      <c r="P267" s="720">
        <v>44742</v>
      </c>
      <c r="Q267" s="718">
        <v>123</v>
      </c>
      <c r="R267" s="717">
        <v>2</v>
      </c>
      <c r="S267" s="691" t="s">
        <v>54</v>
      </c>
      <c r="T267" t="s">
        <v>358</v>
      </c>
      <c r="U267" s="673" t="s">
        <v>358</v>
      </c>
      <c r="V267" s="690" t="s">
        <v>358</v>
      </c>
      <c r="W267" s="657" t="s">
        <v>329</v>
      </c>
      <c r="X267" s="723"/>
      <c r="Y267" s="4"/>
      <c r="Z267" s="4"/>
      <c r="AA267" s="4"/>
      <c r="AB267" s="4"/>
      <c r="AC267" s="4">
        <v>2</v>
      </c>
      <c r="AD267" s="4"/>
      <c r="AE267" s="4"/>
      <c r="AF267" s="4"/>
      <c r="AG267" s="4"/>
      <c r="AH267" s="4"/>
      <c r="AI267" s="654"/>
      <c r="AJ267" s="655"/>
      <c r="AK267" s="4"/>
      <c r="AL267" s="4"/>
      <c r="AM267" s="4"/>
      <c r="AN267" s="4"/>
      <c r="AO267" s="4"/>
      <c r="AP267" s="4"/>
      <c r="AQ267" s="4"/>
      <c r="AR267" s="4"/>
      <c r="AS267" s="4"/>
      <c r="AT267" s="4"/>
      <c r="AU267" s="654"/>
      <c r="AV267" s="655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654"/>
      <c r="BH267" s="655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654"/>
      <c r="BT267" s="655"/>
      <c r="BU267" s="4"/>
      <c r="BV267" s="4"/>
      <c r="BW267" s="4"/>
      <c r="BX267" s="4"/>
      <c r="BY267" s="4"/>
      <c r="BZ267" s="4"/>
      <c r="CA267" s="4"/>
      <c r="CB267" s="4"/>
      <c r="CC267" s="4"/>
      <c r="CD267" s="4"/>
      <c r="CE267" s="693"/>
      <c r="CF267" s="723"/>
      <c r="CG267" s="4"/>
      <c r="CH267" s="4"/>
      <c r="CI267" s="4"/>
      <c r="CJ267" s="4"/>
      <c r="CK267" s="4">
        <v>123</v>
      </c>
      <c r="CL267" s="4"/>
      <c r="CM267" s="4"/>
      <c r="CN267" s="4"/>
      <c r="CO267" s="4"/>
      <c r="CP267" s="4"/>
      <c r="CQ267" s="654"/>
      <c r="CR267" s="655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654"/>
      <c r="DD267" s="655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654"/>
      <c r="DP267" s="655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654"/>
      <c r="EB267" s="655"/>
      <c r="EC267" s="4"/>
      <c r="ED267" s="4"/>
      <c r="EE267" s="4"/>
      <c r="EF267" s="4"/>
      <c r="EG267" s="4"/>
      <c r="EH267" s="4"/>
      <c r="EI267" s="4"/>
      <c r="EJ267" s="4"/>
      <c r="EK267" s="4"/>
      <c r="EL267" s="4"/>
      <c r="EM267" s="693"/>
      <c r="EN267" s="723"/>
      <c r="EO267" s="4"/>
      <c r="EP267" s="4"/>
      <c r="EQ267" s="4"/>
      <c r="ER267" s="4"/>
      <c r="ES267" s="4">
        <v>123</v>
      </c>
      <c r="ET267" s="4"/>
      <c r="EU267" s="4"/>
      <c r="EV267" s="4"/>
      <c r="EW267" s="4"/>
      <c r="EX267" s="4"/>
      <c r="EY267" s="654"/>
      <c r="EZ267" s="655"/>
      <c r="FA267" s="4"/>
      <c r="FB267" s="4"/>
      <c r="FC267" s="4"/>
      <c r="FD267" s="4"/>
      <c r="FE267" s="4"/>
      <c r="FF267" s="4"/>
      <c r="FG267" s="4"/>
      <c r="FH267" s="4"/>
      <c r="FI267" s="4"/>
      <c r="FJ267" s="4"/>
      <c r="FK267" s="654"/>
      <c r="FL267" s="655"/>
      <c r="FM267" s="4"/>
      <c r="FN267" s="4"/>
      <c r="FO267" s="4"/>
      <c r="FP267" s="4"/>
      <c r="FQ267" s="4"/>
      <c r="FR267" s="4"/>
      <c r="FS267" s="4"/>
      <c r="FT267" s="4"/>
      <c r="FU267" s="4"/>
      <c r="FV267" s="4"/>
      <c r="FW267" s="654"/>
      <c r="FX267" s="655"/>
      <c r="FY267" s="4"/>
      <c r="FZ267" s="4"/>
      <c r="GA267" s="4"/>
      <c r="GB267" s="4"/>
      <c r="GC267" s="4"/>
      <c r="GD267" s="4"/>
      <c r="GE267" s="4"/>
      <c r="GF267" s="4"/>
      <c r="GG267" s="4"/>
      <c r="GH267" s="4"/>
      <c r="GI267" s="654"/>
      <c r="GJ267" s="655"/>
      <c r="GK267" s="4"/>
      <c r="GL267" s="4"/>
      <c r="GM267" s="4"/>
      <c r="GN267" s="4"/>
      <c r="GO267" s="4"/>
      <c r="GP267" s="4"/>
      <c r="GQ267" s="4"/>
      <c r="GR267" s="4"/>
      <c r="GS267" s="4"/>
      <c r="GT267" s="4"/>
      <c r="GU267" s="722"/>
      <c r="GV267" s="715"/>
    </row>
    <row r="268" spans="1:204" x14ac:dyDescent="0.25">
      <c r="A268" t="s">
        <v>1271</v>
      </c>
      <c r="B268" s="2" t="s">
        <v>358</v>
      </c>
      <c r="C268" s="619">
        <v>44623</v>
      </c>
      <c r="D268" s="2" t="s">
        <v>1247</v>
      </c>
      <c r="E268" t="s">
        <v>59</v>
      </c>
      <c r="F268" s="2" t="s">
        <v>43</v>
      </c>
      <c r="G268" t="s">
        <v>40</v>
      </c>
      <c r="H268" s="690" t="s">
        <v>85</v>
      </c>
      <c r="I268" s="691" t="s">
        <v>43</v>
      </c>
      <c r="J268" s="721">
        <v>3780401000108</v>
      </c>
      <c r="K268" s="691" t="s">
        <v>346</v>
      </c>
      <c r="L268" s="721" t="e">
        <v>#VALUE!</v>
      </c>
      <c r="M268" s="718" t="s">
        <v>3</v>
      </c>
      <c r="N268" s="717" t="s">
        <v>44</v>
      </c>
      <c r="O268" s="719">
        <v>44835</v>
      </c>
      <c r="P268" s="720">
        <v>44865</v>
      </c>
      <c r="Q268" s="718">
        <v>200</v>
      </c>
      <c r="R268" s="717">
        <v>5.6</v>
      </c>
      <c r="S268" s="691" t="s">
        <v>54</v>
      </c>
      <c r="T268" t="s">
        <v>358</v>
      </c>
      <c r="U268" s="673" t="s">
        <v>358</v>
      </c>
      <c r="V268" s="690" t="s">
        <v>358</v>
      </c>
      <c r="W268" s="657" t="s">
        <v>214</v>
      </c>
      <c r="X268" s="723"/>
      <c r="Y268" s="4"/>
      <c r="Z268" s="4"/>
      <c r="AA268" s="4"/>
      <c r="AB268" s="4"/>
      <c r="AC268" s="4"/>
      <c r="AD268" s="4"/>
      <c r="AE268" s="4"/>
      <c r="AF268" s="4"/>
      <c r="AG268" s="4">
        <v>5.6</v>
      </c>
      <c r="AH268" s="4"/>
      <c r="AI268" s="654"/>
      <c r="AJ268" s="655"/>
      <c r="AK268" s="4"/>
      <c r="AL268" s="4"/>
      <c r="AM268" s="4"/>
      <c r="AN268" s="4"/>
      <c r="AO268" s="4"/>
      <c r="AP268" s="4"/>
      <c r="AQ268" s="4"/>
      <c r="AR268" s="4"/>
      <c r="AS268" s="4"/>
      <c r="AT268" s="4"/>
      <c r="AU268" s="654"/>
      <c r="AV268" s="655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654"/>
      <c r="BH268" s="655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654"/>
      <c r="BT268" s="655"/>
      <c r="BU268" s="4"/>
      <c r="BV268" s="4"/>
      <c r="BW268" s="4"/>
      <c r="BX268" s="4"/>
      <c r="BY268" s="4"/>
      <c r="BZ268" s="4"/>
      <c r="CA268" s="4"/>
      <c r="CB268" s="4"/>
      <c r="CC268" s="4"/>
      <c r="CD268" s="4"/>
      <c r="CE268" s="693"/>
      <c r="CF268" s="723"/>
      <c r="CG268" s="4"/>
      <c r="CH268" s="4"/>
      <c r="CI268" s="4"/>
      <c r="CJ268" s="4"/>
      <c r="CK268" s="4"/>
      <c r="CL268" s="4"/>
      <c r="CM268" s="4"/>
      <c r="CN268" s="4"/>
      <c r="CO268" s="4">
        <v>200</v>
      </c>
      <c r="CP268" s="4"/>
      <c r="CQ268" s="654"/>
      <c r="CR268" s="655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654"/>
      <c r="DD268" s="655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654"/>
      <c r="DP268" s="655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654"/>
      <c r="EB268" s="655"/>
      <c r="EC268" s="4"/>
      <c r="ED268" s="4"/>
      <c r="EE268" s="4"/>
      <c r="EF268" s="4"/>
      <c r="EG268" s="4"/>
      <c r="EH268" s="4"/>
      <c r="EI268" s="4"/>
      <c r="EJ268" s="4"/>
      <c r="EK268" s="4"/>
      <c r="EL268" s="4"/>
      <c r="EM268" s="693"/>
      <c r="EN268" s="723"/>
      <c r="EO268" s="4"/>
      <c r="EP268" s="4"/>
      <c r="EQ268" s="4"/>
      <c r="ER268" s="4"/>
      <c r="ES268" s="4"/>
      <c r="ET268" s="4"/>
      <c r="EU268" s="4"/>
      <c r="EV268" s="4"/>
      <c r="EW268" s="4">
        <v>200</v>
      </c>
      <c r="EX268" s="4"/>
      <c r="EY268" s="654"/>
      <c r="EZ268" s="655"/>
      <c r="FA268" s="4"/>
      <c r="FB268" s="4"/>
      <c r="FC268" s="4"/>
      <c r="FD268" s="4"/>
      <c r="FE268" s="4"/>
      <c r="FF268" s="4"/>
      <c r="FG268" s="4"/>
      <c r="FH268" s="4"/>
      <c r="FI268" s="4"/>
      <c r="FJ268" s="4"/>
      <c r="FK268" s="654"/>
      <c r="FL268" s="655"/>
      <c r="FM268" s="4"/>
      <c r="FN268" s="4"/>
      <c r="FO268" s="4"/>
      <c r="FP268" s="4"/>
      <c r="FQ268" s="4"/>
      <c r="FR268" s="4"/>
      <c r="FS268" s="4"/>
      <c r="FT268" s="4"/>
      <c r="FU268" s="4"/>
      <c r="FV268" s="4"/>
      <c r="FW268" s="654"/>
      <c r="FX268" s="655"/>
      <c r="FY268" s="4"/>
      <c r="FZ268" s="4"/>
      <c r="GA268" s="4"/>
      <c r="GB268" s="4"/>
      <c r="GC268" s="4"/>
      <c r="GD268" s="4"/>
      <c r="GE268" s="4"/>
      <c r="GF268" s="4"/>
      <c r="GG268" s="4"/>
      <c r="GH268" s="4"/>
      <c r="GI268" s="654"/>
      <c r="GJ268" s="655"/>
      <c r="GK268" s="4"/>
      <c r="GL268" s="4"/>
      <c r="GM268" s="4"/>
      <c r="GN268" s="4"/>
      <c r="GO268" s="4"/>
      <c r="GP268" s="4"/>
      <c r="GQ268" s="4"/>
      <c r="GR268" s="4"/>
      <c r="GS268" s="4"/>
      <c r="GT268" s="4"/>
      <c r="GU268" s="722"/>
      <c r="GV268" s="715"/>
    </row>
    <row r="269" spans="1:204" x14ac:dyDescent="0.25">
      <c r="A269" t="s">
        <v>1273</v>
      </c>
      <c r="B269" s="2" t="s">
        <v>358</v>
      </c>
      <c r="C269" s="619">
        <v>44623</v>
      </c>
      <c r="D269" s="2" t="s">
        <v>1248</v>
      </c>
      <c r="E269" t="s">
        <v>58</v>
      </c>
      <c r="F269" s="2" t="s">
        <v>43</v>
      </c>
      <c r="G269" t="s">
        <v>40</v>
      </c>
      <c r="H269" s="690" t="s">
        <v>84</v>
      </c>
      <c r="I269" s="691" t="s">
        <v>346</v>
      </c>
      <c r="J269" s="721" t="e">
        <v>#VALUE!</v>
      </c>
      <c r="K269" s="691" t="s">
        <v>43</v>
      </c>
      <c r="L269" s="721">
        <v>3780401000108</v>
      </c>
      <c r="M269" s="718" t="s">
        <v>3</v>
      </c>
      <c r="N269" s="717" t="s">
        <v>44</v>
      </c>
      <c r="O269" s="719">
        <v>44835</v>
      </c>
      <c r="P269" s="720">
        <v>44865</v>
      </c>
      <c r="Q269" s="718">
        <v>200</v>
      </c>
      <c r="R269" s="717">
        <v>5.6</v>
      </c>
      <c r="S269" s="691" t="s">
        <v>54</v>
      </c>
      <c r="T269" t="s">
        <v>358</v>
      </c>
      <c r="U269" s="673" t="s">
        <v>358</v>
      </c>
      <c r="V269" s="690" t="s">
        <v>358</v>
      </c>
      <c r="W269" s="657" t="s">
        <v>214</v>
      </c>
      <c r="X269" s="723"/>
      <c r="Y269" s="4"/>
      <c r="Z269" s="4"/>
      <c r="AA269" s="4"/>
      <c r="AB269" s="4"/>
      <c r="AC269" s="4"/>
      <c r="AD269" s="4"/>
      <c r="AE269" s="4"/>
      <c r="AF269" s="4"/>
      <c r="AG269" s="4">
        <v>5.6</v>
      </c>
      <c r="AH269" s="4"/>
      <c r="AI269" s="654"/>
      <c r="AJ269" s="655"/>
      <c r="AK269" s="4"/>
      <c r="AL269" s="4"/>
      <c r="AM269" s="4"/>
      <c r="AN269" s="4"/>
      <c r="AO269" s="4"/>
      <c r="AP269" s="4"/>
      <c r="AQ269" s="4"/>
      <c r="AR269" s="4"/>
      <c r="AS269" s="4"/>
      <c r="AT269" s="4"/>
      <c r="AU269" s="654"/>
      <c r="AV269" s="655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654"/>
      <c r="BH269" s="655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654"/>
      <c r="BT269" s="655"/>
      <c r="BU269" s="4"/>
      <c r="BV269" s="4"/>
      <c r="BW269" s="4"/>
      <c r="BX269" s="4"/>
      <c r="BY269" s="4"/>
      <c r="BZ269" s="4"/>
      <c r="CA269" s="4"/>
      <c r="CB269" s="4"/>
      <c r="CC269" s="4"/>
      <c r="CD269" s="4"/>
      <c r="CE269" s="693"/>
      <c r="CF269" s="723"/>
      <c r="CG269" s="4"/>
      <c r="CH269" s="4"/>
      <c r="CI269" s="4"/>
      <c r="CJ269" s="4"/>
      <c r="CK269" s="4"/>
      <c r="CL269" s="4"/>
      <c r="CM269" s="4"/>
      <c r="CN269" s="4"/>
      <c r="CO269" s="4">
        <v>200</v>
      </c>
      <c r="CP269" s="4"/>
      <c r="CQ269" s="654"/>
      <c r="CR269" s="655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654"/>
      <c r="DD269" s="655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654"/>
      <c r="DP269" s="655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654"/>
      <c r="EB269" s="655"/>
      <c r="EC269" s="4"/>
      <c r="ED269" s="4"/>
      <c r="EE269" s="4"/>
      <c r="EF269" s="4"/>
      <c r="EG269" s="4"/>
      <c r="EH269" s="4"/>
      <c r="EI269" s="4"/>
      <c r="EJ269" s="4"/>
      <c r="EK269" s="4"/>
      <c r="EL269" s="4"/>
      <c r="EM269" s="693"/>
      <c r="EN269" s="723"/>
      <c r="EO269" s="4"/>
      <c r="EP269" s="4"/>
      <c r="EQ269" s="4"/>
      <c r="ER269" s="4"/>
      <c r="ES269" s="4"/>
      <c r="ET269" s="4"/>
      <c r="EU269" s="4"/>
      <c r="EV269" s="4"/>
      <c r="EW269" s="4">
        <v>200</v>
      </c>
      <c r="EX269" s="4"/>
      <c r="EY269" s="654"/>
      <c r="EZ269" s="655"/>
      <c r="FA269" s="4"/>
      <c r="FB269" s="4"/>
      <c r="FC269" s="4"/>
      <c r="FD269" s="4"/>
      <c r="FE269" s="4"/>
      <c r="FF269" s="4"/>
      <c r="FG269" s="4"/>
      <c r="FH269" s="4"/>
      <c r="FI269" s="4"/>
      <c r="FJ269" s="4"/>
      <c r="FK269" s="654"/>
      <c r="FL269" s="655"/>
      <c r="FM269" s="4"/>
      <c r="FN269" s="4"/>
      <c r="FO269" s="4"/>
      <c r="FP269" s="4"/>
      <c r="FQ269" s="4"/>
      <c r="FR269" s="4"/>
      <c r="FS269" s="4"/>
      <c r="FT269" s="4"/>
      <c r="FU269" s="4"/>
      <c r="FV269" s="4"/>
      <c r="FW269" s="654"/>
      <c r="FX269" s="655"/>
      <c r="FY269" s="4"/>
      <c r="FZ269" s="4"/>
      <c r="GA269" s="4"/>
      <c r="GB269" s="4"/>
      <c r="GC269" s="4"/>
      <c r="GD269" s="4"/>
      <c r="GE269" s="4"/>
      <c r="GF269" s="4"/>
      <c r="GG269" s="4"/>
      <c r="GH269" s="4"/>
      <c r="GI269" s="654"/>
      <c r="GJ269" s="655"/>
      <c r="GK269" s="4"/>
      <c r="GL269" s="4"/>
      <c r="GM269" s="4"/>
      <c r="GN269" s="4"/>
      <c r="GO269" s="4"/>
      <c r="GP269" s="4"/>
      <c r="GQ269" s="4"/>
      <c r="GR269" s="4"/>
      <c r="GS269" s="4"/>
      <c r="GT269" s="4"/>
      <c r="GU269" s="722"/>
      <c r="GV269" s="715"/>
    </row>
    <row r="270" spans="1:204" x14ac:dyDescent="0.25">
      <c r="A270" t="s">
        <v>1299</v>
      </c>
      <c r="B270" s="2" t="s">
        <v>1270</v>
      </c>
      <c r="C270" s="619">
        <v>44624</v>
      </c>
      <c r="D270" s="2" t="s">
        <v>1274</v>
      </c>
      <c r="E270" t="s">
        <v>59</v>
      </c>
      <c r="F270" s="2" t="s">
        <v>43</v>
      </c>
      <c r="G270" t="s">
        <v>40</v>
      </c>
      <c r="H270" s="690" t="s">
        <v>85</v>
      </c>
      <c r="I270" s="691" t="s">
        <v>43</v>
      </c>
      <c r="J270" s="721">
        <v>3780401000108</v>
      </c>
      <c r="K270" s="691" t="s">
        <v>466</v>
      </c>
      <c r="L270" s="721">
        <v>26940979000171</v>
      </c>
      <c r="M270" s="718" t="s">
        <v>6</v>
      </c>
      <c r="N270" s="717" t="s">
        <v>44</v>
      </c>
      <c r="O270" s="719">
        <v>44593</v>
      </c>
      <c r="P270" s="720">
        <v>44620</v>
      </c>
      <c r="Q270" s="718">
        <v>203</v>
      </c>
      <c r="R270" s="717">
        <v>0.35</v>
      </c>
      <c r="S270" s="691" t="s">
        <v>92</v>
      </c>
      <c r="T270" t="s">
        <v>358</v>
      </c>
      <c r="U270" s="673" t="s">
        <v>358</v>
      </c>
      <c r="V270" s="690" t="s">
        <v>358</v>
      </c>
      <c r="W270" s="657" t="s">
        <v>324</v>
      </c>
      <c r="X270" s="723"/>
      <c r="Y270" s="4">
        <v>0.35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654"/>
      <c r="AJ270" s="655"/>
      <c r="AK270" s="4"/>
      <c r="AL270" s="4"/>
      <c r="AM270" s="4"/>
      <c r="AN270" s="4"/>
      <c r="AO270" s="4"/>
      <c r="AP270" s="4"/>
      <c r="AQ270" s="4"/>
      <c r="AR270" s="4"/>
      <c r="AS270" s="4"/>
      <c r="AT270" s="4"/>
      <c r="AU270" s="654"/>
      <c r="AV270" s="655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654"/>
      <c r="BH270" s="655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654"/>
      <c r="BT270" s="655"/>
      <c r="BU270" s="4"/>
      <c r="BV270" s="4"/>
      <c r="BW270" s="4"/>
      <c r="BX270" s="4"/>
      <c r="BY270" s="4"/>
      <c r="BZ270" s="4"/>
      <c r="CA270" s="4"/>
      <c r="CB270" s="4"/>
      <c r="CC270" s="4"/>
      <c r="CD270" s="4"/>
      <c r="CE270" s="693"/>
      <c r="CF270" s="723"/>
      <c r="CG270" s="4">
        <v>203</v>
      </c>
      <c r="CH270" s="4"/>
      <c r="CI270" s="4"/>
      <c r="CJ270" s="4"/>
      <c r="CK270" s="4"/>
      <c r="CL270" s="4"/>
      <c r="CM270" s="4"/>
      <c r="CN270" s="4"/>
      <c r="CO270" s="4"/>
      <c r="CP270" s="4"/>
      <c r="CQ270" s="654"/>
      <c r="CR270" s="655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654"/>
      <c r="DD270" s="655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654"/>
      <c r="DP270" s="655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654"/>
      <c r="EB270" s="655"/>
      <c r="EC270" s="4"/>
      <c r="ED270" s="4"/>
      <c r="EE270" s="4"/>
      <c r="EF270" s="4"/>
      <c r="EG270" s="4"/>
      <c r="EH270" s="4"/>
      <c r="EI270" s="4"/>
      <c r="EJ270" s="4"/>
      <c r="EK270" s="4"/>
      <c r="EL270" s="4"/>
      <c r="EM270" s="693"/>
      <c r="EN270" s="723"/>
      <c r="EO270" s="4">
        <v>258.7</v>
      </c>
      <c r="EP270" s="4"/>
      <c r="EQ270" s="4"/>
      <c r="ER270" s="4"/>
      <c r="ES270" s="4"/>
      <c r="ET270" s="4"/>
      <c r="EU270" s="4"/>
      <c r="EV270" s="4"/>
      <c r="EW270" s="4"/>
      <c r="EX270" s="4"/>
      <c r="EY270" s="654"/>
      <c r="EZ270" s="655"/>
      <c r="FA270" s="4"/>
      <c r="FB270" s="4"/>
      <c r="FC270" s="4"/>
      <c r="FD270" s="4"/>
      <c r="FE270" s="4"/>
      <c r="FF270" s="4"/>
      <c r="FG270" s="4"/>
      <c r="FH270" s="4"/>
      <c r="FI270" s="4"/>
      <c r="FJ270" s="4"/>
      <c r="FK270" s="654"/>
      <c r="FL270" s="655"/>
      <c r="FM270" s="4"/>
      <c r="FN270" s="4"/>
      <c r="FO270" s="4"/>
      <c r="FP270" s="4"/>
      <c r="FQ270" s="4"/>
      <c r="FR270" s="4"/>
      <c r="FS270" s="4"/>
      <c r="FT270" s="4"/>
      <c r="FU270" s="4"/>
      <c r="FV270" s="4"/>
      <c r="FW270" s="654"/>
      <c r="FX270" s="655"/>
      <c r="FY270" s="4"/>
      <c r="FZ270" s="4"/>
      <c r="GA270" s="4"/>
      <c r="GB270" s="4"/>
      <c r="GC270" s="4"/>
      <c r="GD270" s="4"/>
      <c r="GE270" s="4"/>
      <c r="GF270" s="4"/>
      <c r="GG270" s="4"/>
      <c r="GH270" s="4"/>
      <c r="GI270" s="654"/>
      <c r="GJ270" s="655"/>
      <c r="GK270" s="4"/>
      <c r="GL270" s="4"/>
      <c r="GM270" s="4"/>
      <c r="GN270" s="4"/>
      <c r="GO270" s="4"/>
      <c r="GP270" s="4"/>
      <c r="GQ270" s="4"/>
      <c r="GR270" s="4"/>
      <c r="GS270" s="4"/>
      <c r="GT270" s="4"/>
      <c r="GU270" s="722"/>
      <c r="GV270" s="715"/>
    </row>
    <row r="271" spans="1:204" x14ac:dyDescent="0.25">
      <c r="A271" t="s">
        <v>1301</v>
      </c>
      <c r="B271" s="2" t="s">
        <v>1272</v>
      </c>
      <c r="C271" s="619">
        <v>44624</v>
      </c>
      <c r="D271" s="2" t="s">
        <v>1275</v>
      </c>
      <c r="E271" t="s">
        <v>59</v>
      </c>
      <c r="F271" s="2" t="s">
        <v>43</v>
      </c>
      <c r="G271" t="s">
        <v>40</v>
      </c>
      <c r="H271" s="690" t="s">
        <v>85</v>
      </c>
      <c r="I271" s="691" t="s">
        <v>43</v>
      </c>
      <c r="J271" s="721">
        <v>3780401000108</v>
      </c>
      <c r="K271" s="691" t="s">
        <v>469</v>
      </c>
      <c r="L271" s="721">
        <v>9495582000107</v>
      </c>
      <c r="M271" s="718" t="s">
        <v>6</v>
      </c>
      <c r="N271" s="717" t="s">
        <v>44</v>
      </c>
      <c r="O271" s="719">
        <v>44593</v>
      </c>
      <c r="P271" s="720">
        <v>44620</v>
      </c>
      <c r="Q271" s="718">
        <v>202</v>
      </c>
      <c r="R271" s="717">
        <v>1</v>
      </c>
      <c r="S271" s="691" t="s">
        <v>92</v>
      </c>
      <c r="T271" t="s">
        <v>358</v>
      </c>
      <c r="U271" s="673" t="s">
        <v>358</v>
      </c>
      <c r="V271" s="690" t="s">
        <v>358</v>
      </c>
      <c r="W271" s="657" t="s">
        <v>324</v>
      </c>
      <c r="X271" s="723"/>
      <c r="Y271" s="4">
        <v>1</v>
      </c>
      <c r="Z271" s="4"/>
      <c r="AA271" s="4"/>
      <c r="AB271" s="4"/>
      <c r="AC271" s="4"/>
      <c r="AD271" s="4"/>
      <c r="AE271" s="4"/>
      <c r="AF271" s="4"/>
      <c r="AG271" s="4"/>
      <c r="AH271" s="4"/>
      <c r="AI271" s="654"/>
      <c r="AJ271" s="655"/>
      <c r="AK271" s="4"/>
      <c r="AL271" s="4"/>
      <c r="AM271" s="4"/>
      <c r="AN271" s="4"/>
      <c r="AO271" s="4"/>
      <c r="AP271" s="4"/>
      <c r="AQ271" s="4"/>
      <c r="AR271" s="4"/>
      <c r="AS271" s="4"/>
      <c r="AT271" s="4"/>
      <c r="AU271" s="654"/>
      <c r="AV271" s="655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654"/>
      <c r="BH271" s="655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654"/>
      <c r="BT271" s="655"/>
      <c r="BU271" s="4"/>
      <c r="BV271" s="4"/>
      <c r="BW271" s="4"/>
      <c r="BX271" s="4"/>
      <c r="BY271" s="4"/>
      <c r="BZ271" s="4"/>
      <c r="CA271" s="4"/>
      <c r="CB271" s="4"/>
      <c r="CC271" s="4"/>
      <c r="CD271" s="4"/>
      <c r="CE271" s="693"/>
      <c r="CF271" s="723"/>
      <c r="CG271" s="4">
        <v>202</v>
      </c>
      <c r="CH271" s="4"/>
      <c r="CI271" s="4"/>
      <c r="CJ271" s="4"/>
      <c r="CK271" s="4"/>
      <c r="CL271" s="4"/>
      <c r="CM271" s="4"/>
      <c r="CN271" s="4"/>
      <c r="CO271" s="4"/>
      <c r="CP271" s="4"/>
      <c r="CQ271" s="654"/>
      <c r="CR271" s="655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654"/>
      <c r="DD271" s="655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654"/>
      <c r="DP271" s="655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654"/>
      <c r="EB271" s="655"/>
      <c r="EC271" s="4"/>
      <c r="ED271" s="4"/>
      <c r="EE271" s="4"/>
      <c r="EF271" s="4"/>
      <c r="EG271" s="4"/>
      <c r="EH271" s="4"/>
      <c r="EI271" s="4"/>
      <c r="EJ271" s="4"/>
      <c r="EK271" s="4"/>
      <c r="EL271" s="4"/>
      <c r="EM271" s="693"/>
      <c r="EN271" s="723"/>
      <c r="EO271" s="4">
        <v>257.7</v>
      </c>
      <c r="EP271" s="4"/>
      <c r="EQ271" s="4"/>
      <c r="ER271" s="4"/>
      <c r="ES271" s="4"/>
      <c r="ET271" s="4"/>
      <c r="EU271" s="4"/>
      <c r="EV271" s="4"/>
      <c r="EW271" s="4"/>
      <c r="EX271" s="4"/>
      <c r="EY271" s="654"/>
      <c r="EZ271" s="655"/>
      <c r="FA271" s="4"/>
      <c r="FB271" s="4"/>
      <c r="FC271" s="4"/>
      <c r="FD271" s="4"/>
      <c r="FE271" s="4"/>
      <c r="FF271" s="4"/>
      <c r="FG271" s="4"/>
      <c r="FH271" s="4"/>
      <c r="FI271" s="4"/>
      <c r="FJ271" s="4"/>
      <c r="FK271" s="654"/>
      <c r="FL271" s="655"/>
      <c r="FM271" s="4"/>
      <c r="FN271" s="4"/>
      <c r="FO271" s="4"/>
      <c r="FP271" s="4"/>
      <c r="FQ271" s="4"/>
      <c r="FR271" s="4"/>
      <c r="FS271" s="4"/>
      <c r="FT271" s="4"/>
      <c r="FU271" s="4"/>
      <c r="FV271" s="4"/>
      <c r="FW271" s="654"/>
      <c r="FX271" s="655"/>
      <c r="FY271" s="4"/>
      <c r="FZ271" s="4"/>
      <c r="GA271" s="4"/>
      <c r="GB271" s="4"/>
      <c r="GC271" s="4"/>
      <c r="GD271" s="4"/>
      <c r="GE271" s="4"/>
      <c r="GF271" s="4"/>
      <c r="GG271" s="4"/>
      <c r="GH271" s="4"/>
      <c r="GI271" s="654"/>
      <c r="GJ271" s="655"/>
      <c r="GK271" s="4"/>
      <c r="GL271" s="4"/>
      <c r="GM271" s="4"/>
      <c r="GN271" s="4"/>
      <c r="GO271" s="4"/>
      <c r="GP271" s="4"/>
      <c r="GQ271" s="4"/>
      <c r="GR271" s="4"/>
      <c r="GS271" s="4"/>
      <c r="GT271" s="4"/>
      <c r="GU271" s="722"/>
      <c r="GV271" s="715"/>
    </row>
    <row r="272" spans="1:204" x14ac:dyDescent="0.25">
      <c r="A272" t="s">
        <v>1303</v>
      </c>
      <c r="B272" s="2" t="s">
        <v>1298</v>
      </c>
      <c r="C272" s="619">
        <v>44624</v>
      </c>
      <c r="D272" s="2" t="s">
        <v>1276</v>
      </c>
      <c r="E272" t="s">
        <v>59</v>
      </c>
      <c r="F272" s="2" t="s">
        <v>43</v>
      </c>
      <c r="G272" t="s">
        <v>40</v>
      </c>
      <c r="H272" s="690" t="s">
        <v>85</v>
      </c>
      <c r="I272" s="691" t="s">
        <v>43</v>
      </c>
      <c r="J272" s="721">
        <v>3780401000108</v>
      </c>
      <c r="K272" s="691" t="s">
        <v>875</v>
      </c>
      <c r="L272" s="721">
        <v>17112981000161</v>
      </c>
      <c r="M272" s="718" t="s">
        <v>3</v>
      </c>
      <c r="N272" s="717" t="s">
        <v>44</v>
      </c>
      <c r="O272" s="719">
        <v>44866</v>
      </c>
      <c r="P272" s="720">
        <v>44895</v>
      </c>
      <c r="Q272" s="718">
        <v>191</v>
      </c>
      <c r="R272" s="717">
        <v>1.6</v>
      </c>
      <c r="S272" s="691" t="s">
        <v>54</v>
      </c>
      <c r="T272" t="s">
        <v>358</v>
      </c>
      <c r="U272" s="673" t="s">
        <v>358</v>
      </c>
      <c r="V272" s="690" t="s">
        <v>358</v>
      </c>
      <c r="W272" s="657" t="s">
        <v>329</v>
      </c>
      <c r="X272" s="723"/>
      <c r="Y272" s="4"/>
      <c r="Z272" s="4"/>
      <c r="AA272" s="4"/>
      <c r="AB272" s="4"/>
      <c r="AC272" s="4"/>
      <c r="AD272" s="4"/>
      <c r="AE272" s="4"/>
      <c r="AF272" s="4"/>
      <c r="AG272" s="4"/>
      <c r="AH272" s="4">
        <v>1.6</v>
      </c>
      <c r="AI272" s="654"/>
      <c r="AJ272" s="655"/>
      <c r="AK272" s="4"/>
      <c r="AL272" s="4"/>
      <c r="AM272" s="4"/>
      <c r="AN272" s="4"/>
      <c r="AO272" s="4"/>
      <c r="AP272" s="4"/>
      <c r="AQ272" s="4"/>
      <c r="AR272" s="4"/>
      <c r="AS272" s="4"/>
      <c r="AT272" s="4"/>
      <c r="AU272" s="654"/>
      <c r="AV272" s="655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654"/>
      <c r="BH272" s="655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654"/>
      <c r="BT272" s="655"/>
      <c r="BU272" s="4"/>
      <c r="BV272" s="4"/>
      <c r="BW272" s="4"/>
      <c r="BX272" s="4"/>
      <c r="BY272" s="4"/>
      <c r="BZ272" s="4"/>
      <c r="CA272" s="4"/>
      <c r="CB272" s="4"/>
      <c r="CC272" s="4"/>
      <c r="CD272" s="4"/>
      <c r="CE272" s="693"/>
      <c r="CF272" s="723"/>
      <c r="CG272" s="4"/>
      <c r="CH272" s="4"/>
      <c r="CI272" s="4"/>
      <c r="CJ272" s="4"/>
      <c r="CK272" s="4"/>
      <c r="CL272" s="4"/>
      <c r="CM272" s="4"/>
      <c r="CN272" s="4"/>
      <c r="CO272" s="4"/>
      <c r="CP272" s="4">
        <v>191</v>
      </c>
      <c r="CQ272" s="654"/>
      <c r="CR272" s="655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654"/>
      <c r="DD272" s="655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654"/>
      <c r="DP272" s="655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654"/>
      <c r="EB272" s="655"/>
      <c r="EC272" s="4"/>
      <c r="ED272" s="4"/>
      <c r="EE272" s="4"/>
      <c r="EF272" s="4"/>
      <c r="EG272" s="4"/>
      <c r="EH272" s="4"/>
      <c r="EI272" s="4"/>
      <c r="EJ272" s="4"/>
      <c r="EK272" s="4"/>
      <c r="EL272" s="4"/>
      <c r="EM272" s="693"/>
      <c r="EN272" s="723"/>
      <c r="EO272" s="4"/>
      <c r="EP272" s="4"/>
      <c r="EQ272" s="4"/>
      <c r="ER272" s="4"/>
      <c r="ES272" s="4"/>
      <c r="ET272" s="4"/>
      <c r="EU272" s="4"/>
      <c r="EV272" s="4"/>
      <c r="EW272" s="4"/>
      <c r="EX272" s="4">
        <v>191</v>
      </c>
      <c r="EY272" s="654"/>
      <c r="EZ272" s="655"/>
      <c r="FA272" s="4"/>
      <c r="FB272" s="4"/>
      <c r="FC272" s="4"/>
      <c r="FD272" s="4"/>
      <c r="FE272" s="4"/>
      <c r="FF272" s="4"/>
      <c r="FG272" s="4"/>
      <c r="FH272" s="4"/>
      <c r="FI272" s="4"/>
      <c r="FJ272" s="4"/>
      <c r="FK272" s="654"/>
      <c r="FL272" s="655"/>
      <c r="FM272" s="4"/>
      <c r="FN272" s="4"/>
      <c r="FO272" s="4"/>
      <c r="FP272" s="4"/>
      <c r="FQ272" s="4"/>
      <c r="FR272" s="4"/>
      <c r="FS272" s="4"/>
      <c r="FT272" s="4"/>
      <c r="FU272" s="4"/>
      <c r="FV272" s="4"/>
      <c r="FW272" s="654"/>
      <c r="FX272" s="655"/>
      <c r="FY272" s="4"/>
      <c r="FZ272" s="4"/>
      <c r="GA272" s="4"/>
      <c r="GB272" s="4"/>
      <c r="GC272" s="4"/>
      <c r="GD272" s="4"/>
      <c r="GE272" s="4"/>
      <c r="GF272" s="4"/>
      <c r="GG272" s="4"/>
      <c r="GH272" s="4"/>
      <c r="GI272" s="654"/>
      <c r="GJ272" s="655"/>
      <c r="GK272" s="4"/>
      <c r="GL272" s="4"/>
      <c r="GM272" s="4"/>
      <c r="GN272" s="4"/>
      <c r="GO272" s="4"/>
      <c r="GP272" s="4"/>
      <c r="GQ272" s="4"/>
      <c r="GR272" s="4"/>
      <c r="GS272" s="4"/>
      <c r="GT272" s="4"/>
      <c r="GU272" s="722"/>
      <c r="GV272" s="715"/>
    </row>
    <row r="273" spans="1:204" x14ac:dyDescent="0.25">
      <c r="A273" t="s">
        <v>1305</v>
      </c>
      <c r="B273" s="2" t="s">
        <v>1300</v>
      </c>
      <c r="C273" s="619">
        <v>44624</v>
      </c>
      <c r="D273" s="2" t="s">
        <v>1277</v>
      </c>
      <c r="E273" t="s">
        <v>59</v>
      </c>
      <c r="F273" s="2" t="s">
        <v>43</v>
      </c>
      <c r="G273" t="s">
        <v>40</v>
      </c>
      <c r="H273" s="690" t="s">
        <v>85</v>
      </c>
      <c r="I273" s="691" t="s">
        <v>43</v>
      </c>
      <c r="J273" s="721">
        <v>3780401000108</v>
      </c>
      <c r="K273" s="691" t="s">
        <v>473</v>
      </c>
      <c r="L273" s="721">
        <v>15042149000100</v>
      </c>
      <c r="M273" s="718" t="s">
        <v>3</v>
      </c>
      <c r="N273" s="717" t="s">
        <v>44</v>
      </c>
      <c r="O273" s="719">
        <v>44743</v>
      </c>
      <c r="P273" s="720">
        <v>44834</v>
      </c>
      <c r="Q273" s="718">
        <v>182</v>
      </c>
      <c r="R273" s="717">
        <v>1</v>
      </c>
      <c r="S273" s="691" t="s">
        <v>54</v>
      </c>
      <c r="T273" t="s">
        <v>358</v>
      </c>
      <c r="U273" s="673" t="s">
        <v>358</v>
      </c>
      <c r="V273" s="690" t="s">
        <v>358</v>
      </c>
      <c r="W273" s="657" t="s">
        <v>329</v>
      </c>
      <c r="X273" s="723"/>
      <c r="Y273" s="4"/>
      <c r="Z273" s="4"/>
      <c r="AA273" s="4"/>
      <c r="AB273" s="4"/>
      <c r="AC273" s="4"/>
      <c r="AD273" s="4">
        <v>1</v>
      </c>
      <c r="AE273" s="4">
        <v>1</v>
      </c>
      <c r="AF273" s="4">
        <v>1</v>
      </c>
      <c r="AG273" s="4"/>
      <c r="AH273" s="4"/>
      <c r="AI273" s="654"/>
      <c r="AJ273" s="655"/>
      <c r="AK273" s="4"/>
      <c r="AL273" s="4"/>
      <c r="AM273" s="4"/>
      <c r="AN273" s="4"/>
      <c r="AO273" s="4"/>
      <c r="AP273" s="4"/>
      <c r="AQ273" s="4"/>
      <c r="AR273" s="4"/>
      <c r="AS273" s="4"/>
      <c r="AT273" s="4"/>
      <c r="AU273" s="654"/>
      <c r="AV273" s="655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654"/>
      <c r="BH273" s="655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654"/>
      <c r="BT273" s="655"/>
      <c r="BU273" s="4"/>
      <c r="BV273" s="4"/>
      <c r="BW273" s="4"/>
      <c r="BX273" s="4"/>
      <c r="BY273" s="4"/>
      <c r="BZ273" s="4"/>
      <c r="CA273" s="4"/>
      <c r="CB273" s="4"/>
      <c r="CC273" s="4"/>
      <c r="CD273" s="4"/>
      <c r="CE273" s="693"/>
      <c r="CF273" s="723"/>
      <c r="CG273" s="4"/>
      <c r="CH273" s="4"/>
      <c r="CI273" s="4"/>
      <c r="CJ273" s="4"/>
      <c r="CK273" s="4"/>
      <c r="CL273" s="4">
        <v>182</v>
      </c>
      <c r="CM273" s="4">
        <v>182</v>
      </c>
      <c r="CN273" s="4">
        <v>182</v>
      </c>
      <c r="CO273" s="4"/>
      <c r="CP273" s="4"/>
      <c r="CQ273" s="654"/>
      <c r="CR273" s="655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654"/>
      <c r="DD273" s="655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654"/>
      <c r="DP273" s="655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654"/>
      <c r="EB273" s="655"/>
      <c r="EC273" s="4"/>
      <c r="ED273" s="4"/>
      <c r="EE273" s="4"/>
      <c r="EF273" s="4"/>
      <c r="EG273" s="4"/>
      <c r="EH273" s="4"/>
      <c r="EI273" s="4"/>
      <c r="EJ273" s="4"/>
      <c r="EK273" s="4"/>
      <c r="EL273" s="4"/>
      <c r="EM273" s="693"/>
      <c r="EN273" s="723"/>
      <c r="EO273" s="4"/>
      <c r="EP273" s="4"/>
      <c r="EQ273" s="4"/>
      <c r="ER273" s="4"/>
      <c r="ES273" s="4"/>
      <c r="ET273" s="4">
        <v>182</v>
      </c>
      <c r="EU273" s="4">
        <v>182</v>
      </c>
      <c r="EV273" s="4">
        <v>182</v>
      </c>
      <c r="EW273" s="4"/>
      <c r="EX273" s="4"/>
      <c r="EY273" s="654"/>
      <c r="EZ273" s="655"/>
      <c r="FA273" s="4"/>
      <c r="FB273" s="4"/>
      <c r="FC273" s="4"/>
      <c r="FD273" s="4"/>
      <c r="FE273" s="4"/>
      <c r="FF273" s="4"/>
      <c r="FG273" s="4"/>
      <c r="FH273" s="4"/>
      <c r="FI273" s="4"/>
      <c r="FJ273" s="4"/>
      <c r="FK273" s="654"/>
      <c r="FL273" s="655"/>
      <c r="FM273" s="4"/>
      <c r="FN273" s="4"/>
      <c r="FO273" s="4"/>
      <c r="FP273" s="4"/>
      <c r="FQ273" s="4"/>
      <c r="FR273" s="4"/>
      <c r="FS273" s="4"/>
      <c r="FT273" s="4"/>
      <c r="FU273" s="4"/>
      <c r="FV273" s="4"/>
      <c r="FW273" s="654"/>
      <c r="FX273" s="655"/>
      <c r="FY273" s="4"/>
      <c r="FZ273" s="4"/>
      <c r="GA273" s="4"/>
      <c r="GB273" s="4"/>
      <c r="GC273" s="4"/>
      <c r="GD273" s="4"/>
      <c r="GE273" s="4"/>
      <c r="GF273" s="4"/>
      <c r="GG273" s="4"/>
      <c r="GH273" s="4"/>
      <c r="GI273" s="654"/>
      <c r="GJ273" s="655"/>
      <c r="GK273" s="4"/>
      <c r="GL273" s="4"/>
      <c r="GM273" s="4"/>
      <c r="GN273" s="4"/>
      <c r="GO273" s="4"/>
      <c r="GP273" s="4"/>
      <c r="GQ273" s="4"/>
      <c r="GR273" s="4"/>
      <c r="GS273" s="4"/>
      <c r="GT273" s="4"/>
      <c r="GU273" s="722"/>
      <c r="GV273" s="715"/>
    </row>
    <row r="274" spans="1:204" x14ac:dyDescent="0.25">
      <c r="A274" t="s">
        <v>1307</v>
      </c>
      <c r="B274" s="2" t="s">
        <v>1302</v>
      </c>
      <c r="C274" s="619">
        <v>44624</v>
      </c>
      <c r="D274" s="2" t="s">
        <v>1278</v>
      </c>
      <c r="E274" t="s">
        <v>59</v>
      </c>
      <c r="F274" s="2" t="s">
        <v>43</v>
      </c>
      <c r="G274" t="s">
        <v>40</v>
      </c>
      <c r="H274" s="690" t="s">
        <v>85</v>
      </c>
      <c r="I274" s="691" t="s">
        <v>43</v>
      </c>
      <c r="J274" s="721">
        <v>3780401000108</v>
      </c>
      <c r="K274" s="691" t="s">
        <v>469</v>
      </c>
      <c r="L274" s="721">
        <v>9495582000107</v>
      </c>
      <c r="M274" s="718" t="s">
        <v>6</v>
      </c>
      <c r="N274" s="717" t="s">
        <v>44</v>
      </c>
      <c r="O274" s="719">
        <v>44593</v>
      </c>
      <c r="P274" s="720">
        <v>44620</v>
      </c>
      <c r="Q274" s="718">
        <v>202</v>
      </c>
      <c r="R274" s="717">
        <v>0.3</v>
      </c>
      <c r="S274" s="691" t="s">
        <v>92</v>
      </c>
      <c r="T274" t="s">
        <v>358</v>
      </c>
      <c r="U274" s="673" t="s">
        <v>358</v>
      </c>
      <c r="V274" s="690" t="s">
        <v>358</v>
      </c>
      <c r="W274" s="657" t="s">
        <v>324</v>
      </c>
      <c r="X274" s="723"/>
      <c r="Y274" s="4">
        <v>0.3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654"/>
      <c r="AJ274" s="655"/>
      <c r="AK274" s="4"/>
      <c r="AL274" s="4"/>
      <c r="AM274" s="4"/>
      <c r="AN274" s="4"/>
      <c r="AO274" s="4"/>
      <c r="AP274" s="4"/>
      <c r="AQ274" s="4"/>
      <c r="AR274" s="4"/>
      <c r="AS274" s="4"/>
      <c r="AT274" s="4"/>
      <c r="AU274" s="654"/>
      <c r="AV274" s="655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654"/>
      <c r="BH274" s="655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654"/>
      <c r="BT274" s="655"/>
      <c r="BU274" s="4"/>
      <c r="BV274" s="4"/>
      <c r="BW274" s="4"/>
      <c r="BX274" s="4"/>
      <c r="BY274" s="4"/>
      <c r="BZ274" s="4"/>
      <c r="CA274" s="4"/>
      <c r="CB274" s="4"/>
      <c r="CC274" s="4"/>
      <c r="CD274" s="4"/>
      <c r="CE274" s="693"/>
      <c r="CF274" s="723"/>
      <c r="CG274" s="4">
        <v>202</v>
      </c>
      <c r="CH274" s="4"/>
      <c r="CI274" s="4"/>
      <c r="CJ274" s="4"/>
      <c r="CK274" s="4"/>
      <c r="CL274" s="4"/>
      <c r="CM274" s="4"/>
      <c r="CN274" s="4"/>
      <c r="CO274" s="4"/>
      <c r="CP274" s="4"/>
      <c r="CQ274" s="654"/>
      <c r="CR274" s="655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654"/>
      <c r="DD274" s="655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654"/>
      <c r="DP274" s="655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654"/>
      <c r="EB274" s="655"/>
      <c r="EC274" s="4"/>
      <c r="ED274" s="4"/>
      <c r="EE274" s="4"/>
      <c r="EF274" s="4"/>
      <c r="EG274" s="4"/>
      <c r="EH274" s="4"/>
      <c r="EI274" s="4"/>
      <c r="EJ274" s="4"/>
      <c r="EK274" s="4"/>
      <c r="EL274" s="4"/>
      <c r="EM274" s="693"/>
      <c r="EN274" s="723"/>
      <c r="EO274" s="4">
        <v>257.7</v>
      </c>
      <c r="EP274" s="4"/>
      <c r="EQ274" s="4"/>
      <c r="ER274" s="4"/>
      <c r="ES274" s="4"/>
      <c r="ET274" s="4"/>
      <c r="EU274" s="4"/>
      <c r="EV274" s="4"/>
      <c r="EW274" s="4"/>
      <c r="EX274" s="4"/>
      <c r="EY274" s="654"/>
      <c r="EZ274" s="655"/>
      <c r="FA274" s="4"/>
      <c r="FB274" s="4"/>
      <c r="FC274" s="4"/>
      <c r="FD274" s="4"/>
      <c r="FE274" s="4"/>
      <c r="FF274" s="4"/>
      <c r="FG274" s="4"/>
      <c r="FH274" s="4"/>
      <c r="FI274" s="4"/>
      <c r="FJ274" s="4"/>
      <c r="FK274" s="654"/>
      <c r="FL274" s="655"/>
      <c r="FM274" s="4"/>
      <c r="FN274" s="4"/>
      <c r="FO274" s="4"/>
      <c r="FP274" s="4"/>
      <c r="FQ274" s="4"/>
      <c r="FR274" s="4"/>
      <c r="FS274" s="4"/>
      <c r="FT274" s="4"/>
      <c r="FU274" s="4"/>
      <c r="FV274" s="4"/>
      <c r="FW274" s="654"/>
      <c r="FX274" s="655"/>
      <c r="FY274" s="4"/>
      <c r="FZ274" s="4"/>
      <c r="GA274" s="4"/>
      <c r="GB274" s="4"/>
      <c r="GC274" s="4"/>
      <c r="GD274" s="4"/>
      <c r="GE274" s="4"/>
      <c r="GF274" s="4"/>
      <c r="GG274" s="4"/>
      <c r="GH274" s="4"/>
      <c r="GI274" s="654"/>
      <c r="GJ274" s="655"/>
      <c r="GK274" s="4"/>
      <c r="GL274" s="4"/>
      <c r="GM274" s="4"/>
      <c r="GN274" s="4"/>
      <c r="GO274" s="4"/>
      <c r="GP274" s="4"/>
      <c r="GQ274" s="4"/>
      <c r="GR274" s="4"/>
      <c r="GS274" s="4"/>
      <c r="GT274" s="4"/>
      <c r="GU274" s="722"/>
      <c r="GV274" s="715"/>
    </row>
    <row r="275" spans="1:204" x14ac:dyDescent="0.25">
      <c r="A275" t="s">
        <v>1309</v>
      </c>
      <c r="B275" s="2" t="s">
        <v>1304</v>
      </c>
      <c r="C275" s="619">
        <v>44624</v>
      </c>
      <c r="D275" s="2" t="s">
        <v>1279</v>
      </c>
      <c r="E275" t="s">
        <v>59</v>
      </c>
      <c r="F275" s="2" t="s">
        <v>43</v>
      </c>
      <c r="G275" t="s">
        <v>40</v>
      </c>
      <c r="H275" s="690" t="s">
        <v>85</v>
      </c>
      <c r="I275" s="691" t="s">
        <v>43</v>
      </c>
      <c r="J275" s="721">
        <v>3780401000108</v>
      </c>
      <c r="K275" s="691" t="s">
        <v>464</v>
      </c>
      <c r="L275" s="721">
        <v>11599292000147</v>
      </c>
      <c r="M275" s="718" t="s">
        <v>6</v>
      </c>
      <c r="N275" s="717" t="s">
        <v>44</v>
      </c>
      <c r="O275" s="719">
        <v>44593</v>
      </c>
      <c r="P275" s="720">
        <v>44620</v>
      </c>
      <c r="Q275" s="718">
        <v>200.01</v>
      </c>
      <c r="R275" s="717">
        <v>1</v>
      </c>
      <c r="S275" s="691" t="s">
        <v>92</v>
      </c>
      <c r="T275" t="s">
        <v>358</v>
      </c>
      <c r="U275" s="673" t="s">
        <v>358</v>
      </c>
      <c r="V275" s="690" t="s">
        <v>358</v>
      </c>
      <c r="W275" s="657" t="s">
        <v>324</v>
      </c>
      <c r="X275" s="723"/>
      <c r="Y275" s="4">
        <v>1</v>
      </c>
      <c r="Z275" s="4"/>
      <c r="AA275" s="4"/>
      <c r="AB275" s="4"/>
      <c r="AC275" s="4"/>
      <c r="AD275" s="4"/>
      <c r="AE275" s="4"/>
      <c r="AF275" s="4"/>
      <c r="AG275" s="4"/>
      <c r="AH275" s="4"/>
      <c r="AI275" s="654"/>
      <c r="AJ275" s="655"/>
      <c r="AK275" s="4"/>
      <c r="AL275" s="4"/>
      <c r="AM275" s="4"/>
      <c r="AN275" s="4"/>
      <c r="AO275" s="4"/>
      <c r="AP275" s="4"/>
      <c r="AQ275" s="4"/>
      <c r="AR275" s="4"/>
      <c r="AS275" s="4"/>
      <c r="AT275" s="4"/>
      <c r="AU275" s="654"/>
      <c r="AV275" s="655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654"/>
      <c r="BH275" s="655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654"/>
      <c r="BT275" s="655"/>
      <c r="BU275" s="4"/>
      <c r="BV275" s="4"/>
      <c r="BW275" s="4"/>
      <c r="BX275" s="4"/>
      <c r="BY275" s="4"/>
      <c r="BZ275" s="4"/>
      <c r="CA275" s="4"/>
      <c r="CB275" s="4"/>
      <c r="CC275" s="4"/>
      <c r="CD275" s="4"/>
      <c r="CE275" s="693"/>
      <c r="CF275" s="723"/>
      <c r="CG275" s="4">
        <v>200.01</v>
      </c>
      <c r="CH275" s="4"/>
      <c r="CI275" s="4"/>
      <c r="CJ275" s="4"/>
      <c r="CK275" s="4"/>
      <c r="CL275" s="4"/>
      <c r="CM275" s="4"/>
      <c r="CN275" s="4"/>
      <c r="CO275" s="4"/>
      <c r="CP275" s="4"/>
      <c r="CQ275" s="654"/>
      <c r="CR275" s="655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654"/>
      <c r="DD275" s="655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654"/>
      <c r="DP275" s="655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654"/>
      <c r="EB275" s="655"/>
      <c r="EC275" s="4"/>
      <c r="ED275" s="4"/>
      <c r="EE275" s="4"/>
      <c r="EF275" s="4"/>
      <c r="EG275" s="4"/>
      <c r="EH275" s="4"/>
      <c r="EI275" s="4"/>
      <c r="EJ275" s="4"/>
      <c r="EK275" s="4"/>
      <c r="EL275" s="4"/>
      <c r="EM275" s="693"/>
      <c r="EN275" s="723"/>
      <c r="EO275" s="4">
        <v>255.70999999999998</v>
      </c>
      <c r="EP275" s="4"/>
      <c r="EQ275" s="4"/>
      <c r="ER275" s="4"/>
      <c r="ES275" s="4"/>
      <c r="ET275" s="4"/>
      <c r="EU275" s="4"/>
      <c r="EV275" s="4"/>
      <c r="EW275" s="4"/>
      <c r="EX275" s="4"/>
      <c r="EY275" s="654"/>
      <c r="EZ275" s="655"/>
      <c r="FA275" s="4"/>
      <c r="FB275" s="4"/>
      <c r="FC275" s="4"/>
      <c r="FD275" s="4"/>
      <c r="FE275" s="4"/>
      <c r="FF275" s="4"/>
      <c r="FG275" s="4"/>
      <c r="FH275" s="4"/>
      <c r="FI275" s="4"/>
      <c r="FJ275" s="4"/>
      <c r="FK275" s="654"/>
      <c r="FL275" s="655"/>
      <c r="FM275" s="4"/>
      <c r="FN275" s="4"/>
      <c r="FO275" s="4"/>
      <c r="FP275" s="4"/>
      <c r="FQ275" s="4"/>
      <c r="FR275" s="4"/>
      <c r="FS275" s="4"/>
      <c r="FT275" s="4"/>
      <c r="FU275" s="4"/>
      <c r="FV275" s="4"/>
      <c r="FW275" s="654"/>
      <c r="FX275" s="655"/>
      <c r="FY275" s="4"/>
      <c r="FZ275" s="4"/>
      <c r="GA275" s="4"/>
      <c r="GB275" s="4"/>
      <c r="GC275" s="4"/>
      <c r="GD275" s="4"/>
      <c r="GE275" s="4"/>
      <c r="GF275" s="4"/>
      <c r="GG275" s="4"/>
      <c r="GH275" s="4"/>
      <c r="GI275" s="654"/>
      <c r="GJ275" s="655"/>
      <c r="GK275" s="4"/>
      <c r="GL275" s="4"/>
      <c r="GM275" s="4"/>
      <c r="GN275" s="4"/>
      <c r="GO275" s="4"/>
      <c r="GP275" s="4"/>
      <c r="GQ275" s="4"/>
      <c r="GR275" s="4"/>
      <c r="GS275" s="4"/>
      <c r="GT275" s="4"/>
      <c r="GU275" s="722"/>
      <c r="GV275" s="715"/>
    </row>
    <row r="276" spans="1:204" x14ac:dyDescent="0.25">
      <c r="A276" t="s">
        <v>1311</v>
      </c>
      <c r="B276" s="2" t="s">
        <v>1306</v>
      </c>
      <c r="C276" s="619">
        <v>44624</v>
      </c>
      <c r="D276" s="2" t="s">
        <v>1280</v>
      </c>
      <c r="E276" t="s">
        <v>59</v>
      </c>
      <c r="F276" s="2" t="s">
        <v>43</v>
      </c>
      <c r="G276" t="s">
        <v>40</v>
      </c>
      <c r="H276" s="690" t="s">
        <v>85</v>
      </c>
      <c r="I276" s="691" t="s">
        <v>43</v>
      </c>
      <c r="J276" s="721">
        <v>3780401000108</v>
      </c>
      <c r="K276" s="691" t="s">
        <v>473</v>
      </c>
      <c r="L276" s="721">
        <v>15042149000100</v>
      </c>
      <c r="M276" s="718" t="s">
        <v>5</v>
      </c>
      <c r="N276" s="717" t="s">
        <v>44</v>
      </c>
      <c r="O276" s="719">
        <v>44593</v>
      </c>
      <c r="P276" s="720">
        <v>44620</v>
      </c>
      <c r="Q276" s="718">
        <v>42.5</v>
      </c>
      <c r="R276" s="717">
        <v>1</v>
      </c>
      <c r="S276" s="691" t="s">
        <v>92</v>
      </c>
      <c r="T276" t="s">
        <v>358</v>
      </c>
      <c r="U276" s="673" t="s">
        <v>358</v>
      </c>
      <c r="V276" s="690" t="s">
        <v>358</v>
      </c>
      <c r="W276" s="657" t="s">
        <v>324</v>
      </c>
      <c r="X276" s="723"/>
      <c r="Y276" s="4">
        <v>1</v>
      </c>
      <c r="Z276" s="4"/>
      <c r="AA276" s="4"/>
      <c r="AB276" s="4"/>
      <c r="AC276" s="4"/>
      <c r="AD276" s="4"/>
      <c r="AE276" s="4"/>
      <c r="AF276" s="4"/>
      <c r="AG276" s="4"/>
      <c r="AH276" s="4"/>
      <c r="AI276" s="654"/>
      <c r="AJ276" s="655"/>
      <c r="AK276" s="4"/>
      <c r="AL276" s="4"/>
      <c r="AM276" s="4"/>
      <c r="AN276" s="4"/>
      <c r="AO276" s="4"/>
      <c r="AP276" s="4"/>
      <c r="AQ276" s="4"/>
      <c r="AR276" s="4"/>
      <c r="AS276" s="4"/>
      <c r="AT276" s="4"/>
      <c r="AU276" s="654"/>
      <c r="AV276" s="655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654"/>
      <c r="BH276" s="655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654"/>
      <c r="BT276" s="655"/>
      <c r="BU276" s="4"/>
      <c r="BV276" s="4"/>
      <c r="BW276" s="4"/>
      <c r="BX276" s="4"/>
      <c r="BY276" s="4"/>
      <c r="BZ276" s="4"/>
      <c r="CA276" s="4"/>
      <c r="CB276" s="4"/>
      <c r="CC276" s="4"/>
      <c r="CD276" s="4"/>
      <c r="CE276" s="693"/>
      <c r="CF276" s="723"/>
      <c r="CG276" s="4">
        <v>42.5</v>
      </c>
      <c r="CH276" s="4"/>
      <c r="CI276" s="4"/>
      <c r="CJ276" s="4"/>
      <c r="CK276" s="4"/>
      <c r="CL276" s="4"/>
      <c r="CM276" s="4"/>
      <c r="CN276" s="4"/>
      <c r="CO276" s="4"/>
      <c r="CP276" s="4"/>
      <c r="CQ276" s="654"/>
      <c r="CR276" s="655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654"/>
      <c r="DD276" s="655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654"/>
      <c r="DP276" s="655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654"/>
      <c r="EB276" s="655"/>
      <c r="EC276" s="4"/>
      <c r="ED276" s="4"/>
      <c r="EE276" s="4"/>
      <c r="EF276" s="4"/>
      <c r="EG276" s="4"/>
      <c r="EH276" s="4"/>
      <c r="EI276" s="4"/>
      <c r="EJ276" s="4"/>
      <c r="EK276" s="4"/>
      <c r="EL276" s="4"/>
      <c r="EM276" s="693"/>
      <c r="EN276" s="723"/>
      <c r="EO276" s="4">
        <v>98.2</v>
      </c>
      <c r="EP276" s="4"/>
      <c r="EQ276" s="4"/>
      <c r="ER276" s="4"/>
      <c r="ES276" s="4"/>
      <c r="ET276" s="4"/>
      <c r="EU276" s="4"/>
      <c r="EV276" s="4"/>
      <c r="EW276" s="4"/>
      <c r="EX276" s="4"/>
      <c r="EY276" s="654"/>
      <c r="EZ276" s="655"/>
      <c r="FA276" s="4"/>
      <c r="FB276" s="4"/>
      <c r="FC276" s="4"/>
      <c r="FD276" s="4"/>
      <c r="FE276" s="4"/>
      <c r="FF276" s="4"/>
      <c r="FG276" s="4"/>
      <c r="FH276" s="4"/>
      <c r="FI276" s="4"/>
      <c r="FJ276" s="4"/>
      <c r="FK276" s="654"/>
      <c r="FL276" s="655"/>
      <c r="FM276" s="4"/>
      <c r="FN276" s="4"/>
      <c r="FO276" s="4"/>
      <c r="FP276" s="4"/>
      <c r="FQ276" s="4"/>
      <c r="FR276" s="4"/>
      <c r="FS276" s="4"/>
      <c r="FT276" s="4"/>
      <c r="FU276" s="4"/>
      <c r="FV276" s="4"/>
      <c r="FW276" s="654"/>
      <c r="FX276" s="655"/>
      <c r="FY276" s="4"/>
      <c r="FZ276" s="4"/>
      <c r="GA276" s="4"/>
      <c r="GB276" s="4"/>
      <c r="GC276" s="4"/>
      <c r="GD276" s="4"/>
      <c r="GE276" s="4"/>
      <c r="GF276" s="4"/>
      <c r="GG276" s="4"/>
      <c r="GH276" s="4"/>
      <c r="GI276" s="654"/>
      <c r="GJ276" s="655"/>
      <c r="GK276" s="4"/>
      <c r="GL276" s="4"/>
      <c r="GM276" s="4"/>
      <c r="GN276" s="4"/>
      <c r="GO276" s="4"/>
      <c r="GP276" s="4"/>
      <c r="GQ276" s="4"/>
      <c r="GR276" s="4"/>
      <c r="GS276" s="4"/>
      <c r="GT276" s="4"/>
      <c r="GU276" s="722"/>
      <c r="GV276" s="715"/>
    </row>
    <row r="277" spans="1:204" x14ac:dyDescent="0.25">
      <c r="A277" t="s">
        <v>1313</v>
      </c>
      <c r="B277" s="2" t="s">
        <v>1308</v>
      </c>
      <c r="C277" s="619">
        <v>44624</v>
      </c>
      <c r="D277" s="2" t="s">
        <v>1281</v>
      </c>
      <c r="E277" t="s">
        <v>59</v>
      </c>
      <c r="F277" s="2" t="s">
        <v>43</v>
      </c>
      <c r="G277" t="s">
        <v>40</v>
      </c>
      <c r="H277" s="690" t="s">
        <v>85</v>
      </c>
      <c r="I277" s="691" t="s">
        <v>43</v>
      </c>
      <c r="J277" s="721">
        <v>3780401000108</v>
      </c>
      <c r="K277" s="691" t="s">
        <v>511</v>
      </c>
      <c r="L277" s="721">
        <v>5352237000155</v>
      </c>
      <c r="M277" s="718" t="s">
        <v>6</v>
      </c>
      <c r="N277" s="717" t="s">
        <v>44</v>
      </c>
      <c r="O277" s="719">
        <v>44593</v>
      </c>
      <c r="P277" s="720">
        <v>44620</v>
      </c>
      <c r="Q277" s="718">
        <v>200</v>
      </c>
      <c r="R277" s="717">
        <v>1.5</v>
      </c>
      <c r="S277" s="691" t="s">
        <v>92</v>
      </c>
      <c r="T277" t="s">
        <v>358</v>
      </c>
      <c r="U277" s="673" t="s">
        <v>358</v>
      </c>
      <c r="V277" s="690" t="s">
        <v>358</v>
      </c>
      <c r="W277" s="657" t="s">
        <v>324</v>
      </c>
      <c r="X277" s="723"/>
      <c r="Y277" s="4">
        <v>1.5</v>
      </c>
      <c r="Z277" s="4"/>
      <c r="AA277" s="4"/>
      <c r="AB277" s="4"/>
      <c r="AC277" s="4"/>
      <c r="AD277" s="4"/>
      <c r="AE277" s="4"/>
      <c r="AF277" s="4"/>
      <c r="AG277" s="4"/>
      <c r="AH277" s="4"/>
      <c r="AI277" s="654"/>
      <c r="AJ277" s="655"/>
      <c r="AK277" s="4"/>
      <c r="AL277" s="4"/>
      <c r="AM277" s="4"/>
      <c r="AN277" s="4"/>
      <c r="AO277" s="4"/>
      <c r="AP277" s="4"/>
      <c r="AQ277" s="4"/>
      <c r="AR277" s="4"/>
      <c r="AS277" s="4"/>
      <c r="AT277" s="4"/>
      <c r="AU277" s="654"/>
      <c r="AV277" s="655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654"/>
      <c r="BH277" s="655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654"/>
      <c r="BT277" s="655"/>
      <c r="BU277" s="4"/>
      <c r="BV277" s="4"/>
      <c r="BW277" s="4"/>
      <c r="BX277" s="4"/>
      <c r="BY277" s="4"/>
      <c r="BZ277" s="4"/>
      <c r="CA277" s="4"/>
      <c r="CB277" s="4"/>
      <c r="CC277" s="4"/>
      <c r="CD277" s="4"/>
      <c r="CE277" s="693"/>
      <c r="CF277" s="723"/>
      <c r="CG277" s="4">
        <v>200</v>
      </c>
      <c r="CH277" s="4"/>
      <c r="CI277" s="4"/>
      <c r="CJ277" s="4"/>
      <c r="CK277" s="4"/>
      <c r="CL277" s="4"/>
      <c r="CM277" s="4"/>
      <c r="CN277" s="4"/>
      <c r="CO277" s="4"/>
      <c r="CP277" s="4"/>
      <c r="CQ277" s="654"/>
      <c r="CR277" s="655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654"/>
      <c r="DD277" s="655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654"/>
      <c r="DP277" s="655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654"/>
      <c r="EB277" s="655"/>
      <c r="EC277" s="4"/>
      <c r="ED277" s="4"/>
      <c r="EE277" s="4"/>
      <c r="EF277" s="4"/>
      <c r="EG277" s="4"/>
      <c r="EH277" s="4"/>
      <c r="EI277" s="4"/>
      <c r="EJ277" s="4"/>
      <c r="EK277" s="4"/>
      <c r="EL277" s="4"/>
      <c r="EM277" s="693"/>
      <c r="EN277" s="723"/>
      <c r="EO277" s="4">
        <v>255.7</v>
      </c>
      <c r="EP277" s="4"/>
      <c r="EQ277" s="4"/>
      <c r="ER277" s="4"/>
      <c r="ES277" s="4"/>
      <c r="ET277" s="4"/>
      <c r="EU277" s="4"/>
      <c r="EV277" s="4"/>
      <c r="EW277" s="4"/>
      <c r="EX277" s="4"/>
      <c r="EY277" s="654"/>
      <c r="EZ277" s="655"/>
      <c r="FA277" s="4"/>
      <c r="FB277" s="4"/>
      <c r="FC277" s="4"/>
      <c r="FD277" s="4"/>
      <c r="FE277" s="4"/>
      <c r="FF277" s="4"/>
      <c r="FG277" s="4"/>
      <c r="FH277" s="4"/>
      <c r="FI277" s="4"/>
      <c r="FJ277" s="4"/>
      <c r="FK277" s="654"/>
      <c r="FL277" s="655"/>
      <c r="FM277" s="4"/>
      <c r="FN277" s="4"/>
      <c r="FO277" s="4"/>
      <c r="FP277" s="4"/>
      <c r="FQ277" s="4"/>
      <c r="FR277" s="4"/>
      <c r="FS277" s="4"/>
      <c r="FT277" s="4"/>
      <c r="FU277" s="4"/>
      <c r="FV277" s="4"/>
      <c r="FW277" s="654"/>
      <c r="FX277" s="655"/>
      <c r="FY277" s="4"/>
      <c r="FZ277" s="4"/>
      <c r="GA277" s="4"/>
      <c r="GB277" s="4"/>
      <c r="GC277" s="4"/>
      <c r="GD277" s="4"/>
      <c r="GE277" s="4"/>
      <c r="GF277" s="4"/>
      <c r="GG277" s="4"/>
      <c r="GH277" s="4"/>
      <c r="GI277" s="654"/>
      <c r="GJ277" s="655"/>
      <c r="GK277" s="4"/>
      <c r="GL277" s="4"/>
      <c r="GM277" s="4"/>
      <c r="GN277" s="4"/>
      <c r="GO277" s="4"/>
      <c r="GP277" s="4"/>
      <c r="GQ277" s="4"/>
      <c r="GR277" s="4"/>
      <c r="GS277" s="4"/>
      <c r="GT277" s="4"/>
      <c r="GU277" s="722"/>
      <c r="GV277" s="715"/>
    </row>
    <row r="278" spans="1:204" x14ac:dyDescent="0.25">
      <c r="A278" t="s">
        <v>1315</v>
      </c>
      <c r="B278" s="2" t="s">
        <v>1310</v>
      </c>
      <c r="C278" s="619">
        <v>44624</v>
      </c>
      <c r="D278" s="2" t="s">
        <v>1282</v>
      </c>
      <c r="E278" t="s">
        <v>59</v>
      </c>
      <c r="F278" s="2" t="s">
        <v>43</v>
      </c>
      <c r="G278" t="s">
        <v>40</v>
      </c>
      <c r="H278" s="690" t="s">
        <v>85</v>
      </c>
      <c r="I278" s="691" t="s">
        <v>43</v>
      </c>
      <c r="J278" s="721">
        <v>3780401000108</v>
      </c>
      <c r="K278" s="691" t="s">
        <v>472</v>
      </c>
      <c r="L278" s="721">
        <v>4802543000183</v>
      </c>
      <c r="M278" s="718" t="s">
        <v>3</v>
      </c>
      <c r="N278" s="717" t="s">
        <v>44</v>
      </c>
      <c r="O278" s="719">
        <v>44743</v>
      </c>
      <c r="P278" s="720">
        <v>44834</v>
      </c>
      <c r="Q278" s="718">
        <v>180</v>
      </c>
      <c r="R278" s="717">
        <v>5</v>
      </c>
      <c r="S278" s="691" t="s">
        <v>54</v>
      </c>
      <c r="T278" t="s">
        <v>358</v>
      </c>
      <c r="U278" s="673" t="s">
        <v>358</v>
      </c>
      <c r="V278" s="690" t="s">
        <v>358</v>
      </c>
      <c r="W278" s="657" t="s">
        <v>329</v>
      </c>
      <c r="X278" s="723"/>
      <c r="Y278" s="4"/>
      <c r="Z278" s="4"/>
      <c r="AA278" s="4"/>
      <c r="AB278" s="4"/>
      <c r="AC278" s="4"/>
      <c r="AD278" s="4">
        <v>5</v>
      </c>
      <c r="AE278" s="4">
        <v>5</v>
      </c>
      <c r="AF278" s="4">
        <v>5</v>
      </c>
      <c r="AG278" s="4"/>
      <c r="AH278" s="4"/>
      <c r="AI278" s="654"/>
      <c r="AJ278" s="655"/>
      <c r="AK278" s="4"/>
      <c r="AL278" s="4"/>
      <c r="AM278" s="4"/>
      <c r="AN278" s="4"/>
      <c r="AO278" s="4"/>
      <c r="AP278" s="4"/>
      <c r="AQ278" s="4"/>
      <c r="AR278" s="4"/>
      <c r="AS278" s="4"/>
      <c r="AT278" s="4"/>
      <c r="AU278" s="654"/>
      <c r="AV278" s="655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654"/>
      <c r="BH278" s="655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654"/>
      <c r="BT278" s="655"/>
      <c r="BU278" s="4"/>
      <c r="BV278" s="4"/>
      <c r="BW278" s="4"/>
      <c r="BX278" s="4"/>
      <c r="BY278" s="4"/>
      <c r="BZ278" s="4"/>
      <c r="CA278" s="4"/>
      <c r="CB278" s="4"/>
      <c r="CC278" s="4"/>
      <c r="CD278" s="4"/>
      <c r="CE278" s="693"/>
      <c r="CF278" s="723"/>
      <c r="CG278" s="4"/>
      <c r="CH278" s="4"/>
      <c r="CI278" s="4"/>
      <c r="CJ278" s="4"/>
      <c r="CK278" s="4"/>
      <c r="CL278" s="4">
        <v>180</v>
      </c>
      <c r="CM278" s="4">
        <v>180</v>
      </c>
      <c r="CN278" s="4">
        <v>180</v>
      </c>
      <c r="CO278" s="4"/>
      <c r="CP278" s="4"/>
      <c r="CQ278" s="654"/>
      <c r="CR278" s="655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654"/>
      <c r="DD278" s="655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654"/>
      <c r="DP278" s="655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654"/>
      <c r="EB278" s="655"/>
      <c r="EC278" s="4"/>
      <c r="ED278" s="4"/>
      <c r="EE278" s="4"/>
      <c r="EF278" s="4"/>
      <c r="EG278" s="4"/>
      <c r="EH278" s="4"/>
      <c r="EI278" s="4"/>
      <c r="EJ278" s="4"/>
      <c r="EK278" s="4"/>
      <c r="EL278" s="4"/>
      <c r="EM278" s="693"/>
      <c r="EN278" s="723"/>
      <c r="EO278" s="4"/>
      <c r="EP278" s="4"/>
      <c r="EQ278" s="4"/>
      <c r="ER278" s="4"/>
      <c r="ES278" s="4"/>
      <c r="ET278" s="4">
        <v>180</v>
      </c>
      <c r="EU278" s="4">
        <v>180</v>
      </c>
      <c r="EV278" s="4">
        <v>180</v>
      </c>
      <c r="EW278" s="4"/>
      <c r="EX278" s="4"/>
      <c r="EY278" s="654"/>
      <c r="EZ278" s="655"/>
      <c r="FA278" s="4"/>
      <c r="FB278" s="4"/>
      <c r="FC278" s="4"/>
      <c r="FD278" s="4"/>
      <c r="FE278" s="4"/>
      <c r="FF278" s="4"/>
      <c r="FG278" s="4"/>
      <c r="FH278" s="4"/>
      <c r="FI278" s="4"/>
      <c r="FJ278" s="4"/>
      <c r="FK278" s="654"/>
      <c r="FL278" s="655"/>
      <c r="FM278" s="4"/>
      <c r="FN278" s="4"/>
      <c r="FO278" s="4"/>
      <c r="FP278" s="4"/>
      <c r="FQ278" s="4"/>
      <c r="FR278" s="4"/>
      <c r="FS278" s="4"/>
      <c r="FT278" s="4"/>
      <c r="FU278" s="4"/>
      <c r="FV278" s="4"/>
      <c r="FW278" s="654"/>
      <c r="FX278" s="655"/>
      <c r="FY278" s="4"/>
      <c r="FZ278" s="4"/>
      <c r="GA278" s="4"/>
      <c r="GB278" s="4"/>
      <c r="GC278" s="4"/>
      <c r="GD278" s="4"/>
      <c r="GE278" s="4"/>
      <c r="GF278" s="4"/>
      <c r="GG278" s="4"/>
      <c r="GH278" s="4"/>
      <c r="GI278" s="654"/>
      <c r="GJ278" s="655"/>
      <c r="GK278" s="4"/>
      <c r="GL278" s="4"/>
      <c r="GM278" s="4"/>
      <c r="GN278" s="4"/>
      <c r="GO278" s="4"/>
      <c r="GP278" s="4"/>
      <c r="GQ278" s="4"/>
      <c r="GR278" s="4"/>
      <c r="GS278" s="4"/>
      <c r="GT278" s="4"/>
      <c r="GU278" s="722"/>
      <c r="GV278" s="715"/>
    </row>
    <row r="279" spans="1:204" x14ac:dyDescent="0.25">
      <c r="A279" t="s">
        <v>1317</v>
      </c>
      <c r="B279" s="2" t="s">
        <v>1312</v>
      </c>
      <c r="C279" s="619">
        <v>44624</v>
      </c>
      <c r="D279" s="2" t="s">
        <v>1283</v>
      </c>
      <c r="E279" t="s">
        <v>59</v>
      </c>
      <c r="F279" s="2" t="s">
        <v>43</v>
      </c>
      <c r="G279" t="s">
        <v>40</v>
      </c>
      <c r="H279" s="690" t="s">
        <v>85</v>
      </c>
      <c r="I279" s="691" t="s">
        <v>43</v>
      </c>
      <c r="J279" s="721">
        <v>3780401000108</v>
      </c>
      <c r="K279" s="691" t="s">
        <v>472</v>
      </c>
      <c r="L279" s="721">
        <v>4802543000183</v>
      </c>
      <c r="M279" s="718" t="s">
        <v>3</v>
      </c>
      <c r="N279" s="717" t="s">
        <v>44</v>
      </c>
      <c r="O279" s="719">
        <v>44866</v>
      </c>
      <c r="P279" s="720">
        <v>44895</v>
      </c>
      <c r="Q279" s="718">
        <v>188</v>
      </c>
      <c r="R279" s="717">
        <v>7</v>
      </c>
      <c r="S279" s="691" t="s">
        <v>54</v>
      </c>
      <c r="T279" t="s">
        <v>358</v>
      </c>
      <c r="U279" s="673" t="s">
        <v>358</v>
      </c>
      <c r="V279" s="690" t="s">
        <v>358</v>
      </c>
      <c r="W279" s="657" t="s">
        <v>329</v>
      </c>
      <c r="X279" s="723"/>
      <c r="Y279" s="4"/>
      <c r="Z279" s="4"/>
      <c r="AA279" s="4"/>
      <c r="AB279" s="4"/>
      <c r="AC279" s="4"/>
      <c r="AD279" s="4"/>
      <c r="AE279" s="4"/>
      <c r="AF279" s="4"/>
      <c r="AG279" s="4"/>
      <c r="AH279" s="4">
        <v>7</v>
      </c>
      <c r="AI279" s="654"/>
      <c r="AJ279" s="655"/>
      <c r="AK279" s="4"/>
      <c r="AL279" s="4"/>
      <c r="AM279" s="4"/>
      <c r="AN279" s="4"/>
      <c r="AO279" s="4"/>
      <c r="AP279" s="4"/>
      <c r="AQ279" s="4"/>
      <c r="AR279" s="4"/>
      <c r="AS279" s="4"/>
      <c r="AT279" s="4"/>
      <c r="AU279" s="654"/>
      <c r="AV279" s="655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654"/>
      <c r="BH279" s="655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654"/>
      <c r="BT279" s="655"/>
      <c r="BU279" s="4"/>
      <c r="BV279" s="4"/>
      <c r="BW279" s="4"/>
      <c r="BX279" s="4"/>
      <c r="BY279" s="4"/>
      <c r="BZ279" s="4"/>
      <c r="CA279" s="4"/>
      <c r="CB279" s="4"/>
      <c r="CC279" s="4"/>
      <c r="CD279" s="4"/>
      <c r="CE279" s="693"/>
      <c r="CF279" s="723"/>
      <c r="CG279" s="4"/>
      <c r="CH279" s="4"/>
      <c r="CI279" s="4"/>
      <c r="CJ279" s="4"/>
      <c r="CK279" s="4"/>
      <c r="CL279" s="4"/>
      <c r="CM279" s="4"/>
      <c r="CN279" s="4"/>
      <c r="CO279" s="4"/>
      <c r="CP279" s="4">
        <v>188</v>
      </c>
      <c r="CQ279" s="654"/>
      <c r="CR279" s="655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654"/>
      <c r="DD279" s="655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654"/>
      <c r="DP279" s="655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654"/>
      <c r="EB279" s="655"/>
      <c r="EC279" s="4"/>
      <c r="ED279" s="4"/>
      <c r="EE279" s="4"/>
      <c r="EF279" s="4"/>
      <c r="EG279" s="4"/>
      <c r="EH279" s="4"/>
      <c r="EI279" s="4"/>
      <c r="EJ279" s="4"/>
      <c r="EK279" s="4"/>
      <c r="EL279" s="4"/>
      <c r="EM279" s="693"/>
      <c r="EN279" s="723"/>
      <c r="EO279" s="4"/>
      <c r="EP279" s="4"/>
      <c r="EQ279" s="4"/>
      <c r="ER279" s="4"/>
      <c r="ES279" s="4"/>
      <c r="ET279" s="4"/>
      <c r="EU279" s="4"/>
      <c r="EV279" s="4"/>
      <c r="EW279" s="4"/>
      <c r="EX279" s="4">
        <v>188</v>
      </c>
      <c r="EY279" s="654"/>
      <c r="EZ279" s="655"/>
      <c r="FA279" s="4"/>
      <c r="FB279" s="4"/>
      <c r="FC279" s="4"/>
      <c r="FD279" s="4"/>
      <c r="FE279" s="4"/>
      <c r="FF279" s="4"/>
      <c r="FG279" s="4"/>
      <c r="FH279" s="4"/>
      <c r="FI279" s="4"/>
      <c r="FJ279" s="4"/>
      <c r="FK279" s="654"/>
      <c r="FL279" s="655"/>
      <c r="FM279" s="4"/>
      <c r="FN279" s="4"/>
      <c r="FO279" s="4"/>
      <c r="FP279" s="4"/>
      <c r="FQ279" s="4"/>
      <c r="FR279" s="4"/>
      <c r="FS279" s="4"/>
      <c r="FT279" s="4"/>
      <c r="FU279" s="4"/>
      <c r="FV279" s="4"/>
      <c r="FW279" s="654"/>
      <c r="FX279" s="655"/>
      <c r="FY279" s="4"/>
      <c r="FZ279" s="4"/>
      <c r="GA279" s="4"/>
      <c r="GB279" s="4"/>
      <c r="GC279" s="4"/>
      <c r="GD279" s="4"/>
      <c r="GE279" s="4"/>
      <c r="GF279" s="4"/>
      <c r="GG279" s="4"/>
      <c r="GH279" s="4"/>
      <c r="GI279" s="654"/>
      <c r="GJ279" s="655"/>
      <c r="GK279" s="4"/>
      <c r="GL279" s="4"/>
      <c r="GM279" s="4"/>
      <c r="GN279" s="4"/>
      <c r="GO279" s="4"/>
      <c r="GP279" s="4"/>
      <c r="GQ279" s="4"/>
      <c r="GR279" s="4"/>
      <c r="GS279" s="4"/>
      <c r="GT279" s="4"/>
      <c r="GU279" s="722"/>
      <c r="GV279" s="715"/>
    </row>
    <row r="280" spans="1:204" x14ac:dyDescent="0.25">
      <c r="A280" t="s">
        <v>1319</v>
      </c>
      <c r="B280" s="2" t="s">
        <v>1314</v>
      </c>
      <c r="C280" s="619">
        <v>44624</v>
      </c>
      <c r="D280" s="2" t="s">
        <v>1284</v>
      </c>
      <c r="E280" t="s">
        <v>59</v>
      </c>
      <c r="F280" s="2" t="s">
        <v>43</v>
      </c>
      <c r="G280" t="s">
        <v>40</v>
      </c>
      <c r="H280" s="690" t="s">
        <v>85</v>
      </c>
      <c r="I280" s="691" t="s">
        <v>43</v>
      </c>
      <c r="J280" s="721">
        <v>3780401000108</v>
      </c>
      <c r="K280" s="691" t="s">
        <v>472</v>
      </c>
      <c r="L280" s="721">
        <v>4802543000183</v>
      </c>
      <c r="M280" s="718" t="s">
        <v>3</v>
      </c>
      <c r="N280" s="717" t="s">
        <v>44</v>
      </c>
      <c r="O280" s="719">
        <v>44896</v>
      </c>
      <c r="P280" s="720">
        <v>44926</v>
      </c>
      <c r="Q280" s="718">
        <v>168</v>
      </c>
      <c r="R280" s="717">
        <v>9.3000000000000007</v>
      </c>
      <c r="S280" s="691" t="s">
        <v>54</v>
      </c>
      <c r="T280" t="s">
        <v>358</v>
      </c>
      <c r="U280" s="673" t="s">
        <v>358</v>
      </c>
      <c r="V280" s="690" t="s">
        <v>358</v>
      </c>
      <c r="W280" s="657" t="s">
        <v>329</v>
      </c>
      <c r="X280" s="723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654">
        <v>9.3000000000000007</v>
      </c>
      <c r="AJ280" s="655"/>
      <c r="AK280" s="4"/>
      <c r="AL280" s="4"/>
      <c r="AM280" s="4"/>
      <c r="AN280" s="4"/>
      <c r="AO280" s="4"/>
      <c r="AP280" s="4"/>
      <c r="AQ280" s="4"/>
      <c r="AR280" s="4"/>
      <c r="AS280" s="4"/>
      <c r="AT280" s="4"/>
      <c r="AU280" s="654"/>
      <c r="AV280" s="655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654"/>
      <c r="BH280" s="655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654"/>
      <c r="BT280" s="655"/>
      <c r="BU280" s="4"/>
      <c r="BV280" s="4"/>
      <c r="BW280" s="4"/>
      <c r="BX280" s="4"/>
      <c r="BY280" s="4"/>
      <c r="BZ280" s="4"/>
      <c r="CA280" s="4"/>
      <c r="CB280" s="4"/>
      <c r="CC280" s="4"/>
      <c r="CD280" s="4"/>
      <c r="CE280" s="693"/>
      <c r="CF280" s="723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654">
        <v>168</v>
      </c>
      <c r="CR280" s="655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654"/>
      <c r="DD280" s="655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654"/>
      <c r="DP280" s="655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654"/>
      <c r="EB280" s="655"/>
      <c r="EC280" s="4"/>
      <c r="ED280" s="4"/>
      <c r="EE280" s="4"/>
      <c r="EF280" s="4"/>
      <c r="EG280" s="4"/>
      <c r="EH280" s="4"/>
      <c r="EI280" s="4"/>
      <c r="EJ280" s="4"/>
      <c r="EK280" s="4"/>
      <c r="EL280" s="4"/>
      <c r="EM280" s="693"/>
      <c r="EN280" s="723"/>
      <c r="EO280" s="4"/>
      <c r="EP280" s="4"/>
      <c r="EQ280" s="4"/>
      <c r="ER280" s="4"/>
      <c r="ES280" s="4"/>
      <c r="ET280" s="4"/>
      <c r="EU280" s="4"/>
      <c r="EV280" s="4"/>
      <c r="EW280" s="4"/>
      <c r="EX280" s="4"/>
      <c r="EY280" s="654">
        <v>168</v>
      </c>
      <c r="EZ280" s="655"/>
      <c r="FA280" s="4"/>
      <c r="FB280" s="4"/>
      <c r="FC280" s="4"/>
      <c r="FD280" s="4"/>
      <c r="FE280" s="4"/>
      <c r="FF280" s="4"/>
      <c r="FG280" s="4"/>
      <c r="FH280" s="4"/>
      <c r="FI280" s="4"/>
      <c r="FJ280" s="4"/>
      <c r="FK280" s="654"/>
      <c r="FL280" s="655"/>
      <c r="FM280" s="4"/>
      <c r="FN280" s="4"/>
      <c r="FO280" s="4"/>
      <c r="FP280" s="4"/>
      <c r="FQ280" s="4"/>
      <c r="FR280" s="4"/>
      <c r="FS280" s="4"/>
      <c r="FT280" s="4"/>
      <c r="FU280" s="4"/>
      <c r="FV280" s="4"/>
      <c r="FW280" s="654"/>
      <c r="FX280" s="655"/>
      <c r="FY280" s="4"/>
      <c r="FZ280" s="4"/>
      <c r="GA280" s="4"/>
      <c r="GB280" s="4"/>
      <c r="GC280" s="4"/>
      <c r="GD280" s="4"/>
      <c r="GE280" s="4"/>
      <c r="GF280" s="4"/>
      <c r="GG280" s="4"/>
      <c r="GH280" s="4"/>
      <c r="GI280" s="654"/>
      <c r="GJ280" s="655"/>
      <c r="GK280" s="4"/>
      <c r="GL280" s="4"/>
      <c r="GM280" s="4"/>
      <c r="GN280" s="4"/>
      <c r="GO280" s="4"/>
      <c r="GP280" s="4"/>
      <c r="GQ280" s="4"/>
      <c r="GR280" s="4"/>
      <c r="GS280" s="4"/>
      <c r="GT280" s="4"/>
      <c r="GU280" s="722"/>
      <c r="GV280" s="715"/>
    </row>
    <row r="281" spans="1:204" x14ac:dyDescent="0.25">
      <c r="A281" t="s">
        <v>1321</v>
      </c>
      <c r="B281" s="2" t="s">
        <v>1316</v>
      </c>
      <c r="C281" s="619">
        <v>44624</v>
      </c>
      <c r="D281" s="2" t="s">
        <v>1285</v>
      </c>
      <c r="E281" t="s">
        <v>59</v>
      </c>
      <c r="F281" s="2" t="s">
        <v>43</v>
      </c>
      <c r="G281" t="s">
        <v>40</v>
      </c>
      <c r="H281" s="690" t="s">
        <v>85</v>
      </c>
      <c r="I281" s="691" t="s">
        <v>43</v>
      </c>
      <c r="J281" s="721">
        <v>3780401000108</v>
      </c>
      <c r="K281" s="691" t="s">
        <v>531</v>
      </c>
      <c r="L281" s="721">
        <v>31102147000116</v>
      </c>
      <c r="M281" s="718" t="s">
        <v>6</v>
      </c>
      <c r="N281" s="717" t="s">
        <v>44</v>
      </c>
      <c r="O281" s="719">
        <v>44593</v>
      </c>
      <c r="P281" s="720">
        <v>44620</v>
      </c>
      <c r="Q281" s="718">
        <v>202</v>
      </c>
      <c r="R281" s="717">
        <v>0.45</v>
      </c>
      <c r="S281" s="691" t="s">
        <v>92</v>
      </c>
      <c r="T281" t="s">
        <v>358</v>
      </c>
      <c r="U281" s="673" t="s">
        <v>358</v>
      </c>
      <c r="V281" s="690" t="s">
        <v>358</v>
      </c>
      <c r="W281" s="657" t="s">
        <v>324</v>
      </c>
      <c r="X281" s="723"/>
      <c r="Y281" s="4">
        <v>0.45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654"/>
      <c r="AJ281" s="655"/>
      <c r="AK281" s="4"/>
      <c r="AL281" s="4"/>
      <c r="AM281" s="4"/>
      <c r="AN281" s="4"/>
      <c r="AO281" s="4"/>
      <c r="AP281" s="4"/>
      <c r="AQ281" s="4"/>
      <c r="AR281" s="4"/>
      <c r="AS281" s="4"/>
      <c r="AT281" s="4"/>
      <c r="AU281" s="654"/>
      <c r="AV281" s="655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654"/>
      <c r="BH281" s="655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654"/>
      <c r="BT281" s="655"/>
      <c r="BU281" s="4"/>
      <c r="BV281" s="4"/>
      <c r="BW281" s="4"/>
      <c r="BX281" s="4"/>
      <c r="BY281" s="4"/>
      <c r="BZ281" s="4"/>
      <c r="CA281" s="4"/>
      <c r="CB281" s="4"/>
      <c r="CC281" s="4"/>
      <c r="CD281" s="4"/>
      <c r="CE281" s="693"/>
      <c r="CF281" s="723"/>
      <c r="CG281" s="4">
        <v>202</v>
      </c>
      <c r="CH281" s="4"/>
      <c r="CI281" s="4"/>
      <c r="CJ281" s="4"/>
      <c r="CK281" s="4"/>
      <c r="CL281" s="4"/>
      <c r="CM281" s="4"/>
      <c r="CN281" s="4"/>
      <c r="CO281" s="4"/>
      <c r="CP281" s="4"/>
      <c r="CQ281" s="654"/>
      <c r="CR281" s="655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654"/>
      <c r="DD281" s="655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654"/>
      <c r="DP281" s="655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654"/>
      <c r="EB281" s="655"/>
      <c r="EC281" s="4"/>
      <c r="ED281" s="4"/>
      <c r="EE281" s="4"/>
      <c r="EF281" s="4"/>
      <c r="EG281" s="4"/>
      <c r="EH281" s="4"/>
      <c r="EI281" s="4"/>
      <c r="EJ281" s="4"/>
      <c r="EK281" s="4"/>
      <c r="EL281" s="4"/>
      <c r="EM281" s="693"/>
      <c r="EN281" s="723"/>
      <c r="EO281" s="4">
        <v>257.7</v>
      </c>
      <c r="EP281" s="4"/>
      <c r="EQ281" s="4"/>
      <c r="ER281" s="4"/>
      <c r="ES281" s="4"/>
      <c r="ET281" s="4"/>
      <c r="EU281" s="4"/>
      <c r="EV281" s="4"/>
      <c r="EW281" s="4"/>
      <c r="EX281" s="4"/>
      <c r="EY281" s="654"/>
      <c r="EZ281" s="655"/>
      <c r="FA281" s="4"/>
      <c r="FB281" s="4"/>
      <c r="FC281" s="4"/>
      <c r="FD281" s="4"/>
      <c r="FE281" s="4"/>
      <c r="FF281" s="4"/>
      <c r="FG281" s="4"/>
      <c r="FH281" s="4"/>
      <c r="FI281" s="4"/>
      <c r="FJ281" s="4"/>
      <c r="FK281" s="654"/>
      <c r="FL281" s="655"/>
      <c r="FM281" s="4"/>
      <c r="FN281" s="4"/>
      <c r="FO281" s="4"/>
      <c r="FP281" s="4"/>
      <c r="FQ281" s="4"/>
      <c r="FR281" s="4"/>
      <c r="FS281" s="4"/>
      <c r="FT281" s="4"/>
      <c r="FU281" s="4"/>
      <c r="FV281" s="4"/>
      <c r="FW281" s="654"/>
      <c r="FX281" s="655"/>
      <c r="FY281" s="4"/>
      <c r="FZ281" s="4"/>
      <c r="GA281" s="4"/>
      <c r="GB281" s="4"/>
      <c r="GC281" s="4"/>
      <c r="GD281" s="4"/>
      <c r="GE281" s="4"/>
      <c r="GF281" s="4"/>
      <c r="GG281" s="4"/>
      <c r="GH281" s="4"/>
      <c r="GI281" s="654"/>
      <c r="GJ281" s="655"/>
      <c r="GK281" s="4"/>
      <c r="GL281" s="4"/>
      <c r="GM281" s="4"/>
      <c r="GN281" s="4"/>
      <c r="GO281" s="4"/>
      <c r="GP281" s="4"/>
      <c r="GQ281" s="4"/>
      <c r="GR281" s="4"/>
      <c r="GS281" s="4"/>
      <c r="GT281" s="4"/>
      <c r="GU281" s="722"/>
      <c r="GV281" s="715"/>
    </row>
    <row r="282" spans="1:204" x14ac:dyDescent="0.25">
      <c r="A282" t="s">
        <v>1323</v>
      </c>
      <c r="B282" s="2" t="s">
        <v>1318</v>
      </c>
      <c r="C282" s="619">
        <v>44624</v>
      </c>
      <c r="D282" s="2" t="s">
        <v>1286</v>
      </c>
      <c r="E282" t="s">
        <v>59</v>
      </c>
      <c r="F282" s="2" t="s">
        <v>43</v>
      </c>
      <c r="G282" t="s">
        <v>40</v>
      </c>
      <c r="H282" s="690" t="s">
        <v>85</v>
      </c>
      <c r="I282" s="691" t="s">
        <v>43</v>
      </c>
      <c r="J282" s="721">
        <v>3780401000108</v>
      </c>
      <c r="K282" s="691" t="s">
        <v>1297</v>
      </c>
      <c r="L282" s="721">
        <v>26268886000142</v>
      </c>
      <c r="M282" s="718" t="s">
        <v>3</v>
      </c>
      <c r="N282" s="717" t="s">
        <v>44</v>
      </c>
      <c r="O282" s="719">
        <v>44896</v>
      </c>
      <c r="P282" s="720">
        <v>44926</v>
      </c>
      <c r="Q282" s="718">
        <v>168</v>
      </c>
      <c r="R282" s="717">
        <v>1</v>
      </c>
      <c r="S282" s="691" t="s">
        <v>54</v>
      </c>
      <c r="T282" t="s">
        <v>358</v>
      </c>
      <c r="U282" s="673" t="s">
        <v>358</v>
      </c>
      <c r="V282" s="690" t="s">
        <v>358</v>
      </c>
      <c r="W282" s="657" t="s">
        <v>329</v>
      </c>
      <c r="X282" s="723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654">
        <v>1</v>
      </c>
      <c r="AJ282" s="655"/>
      <c r="AK282" s="4"/>
      <c r="AL282" s="4"/>
      <c r="AM282" s="4"/>
      <c r="AN282" s="4"/>
      <c r="AO282" s="4"/>
      <c r="AP282" s="4"/>
      <c r="AQ282" s="4"/>
      <c r="AR282" s="4"/>
      <c r="AS282" s="4"/>
      <c r="AT282" s="4"/>
      <c r="AU282" s="654"/>
      <c r="AV282" s="655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654"/>
      <c r="BH282" s="655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654"/>
      <c r="BT282" s="655"/>
      <c r="BU282" s="4"/>
      <c r="BV282" s="4"/>
      <c r="BW282" s="4"/>
      <c r="BX282" s="4"/>
      <c r="BY282" s="4"/>
      <c r="BZ282" s="4"/>
      <c r="CA282" s="4"/>
      <c r="CB282" s="4"/>
      <c r="CC282" s="4"/>
      <c r="CD282" s="4"/>
      <c r="CE282" s="693"/>
      <c r="CF282" s="723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654">
        <v>168</v>
      </c>
      <c r="CR282" s="655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654"/>
      <c r="DD282" s="655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654"/>
      <c r="DP282" s="655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654"/>
      <c r="EB282" s="655"/>
      <c r="EC282" s="4"/>
      <c r="ED282" s="4"/>
      <c r="EE282" s="4"/>
      <c r="EF282" s="4"/>
      <c r="EG282" s="4"/>
      <c r="EH282" s="4"/>
      <c r="EI282" s="4"/>
      <c r="EJ282" s="4"/>
      <c r="EK282" s="4"/>
      <c r="EL282" s="4"/>
      <c r="EM282" s="693"/>
      <c r="EN282" s="723"/>
      <c r="EO282" s="4"/>
      <c r="EP282" s="4"/>
      <c r="EQ282" s="4"/>
      <c r="ER282" s="4"/>
      <c r="ES282" s="4"/>
      <c r="ET282" s="4"/>
      <c r="EU282" s="4"/>
      <c r="EV282" s="4"/>
      <c r="EW282" s="4"/>
      <c r="EX282" s="4"/>
      <c r="EY282" s="654">
        <v>168</v>
      </c>
      <c r="EZ282" s="655"/>
      <c r="FA282" s="4"/>
      <c r="FB282" s="4"/>
      <c r="FC282" s="4"/>
      <c r="FD282" s="4"/>
      <c r="FE282" s="4"/>
      <c r="FF282" s="4"/>
      <c r="FG282" s="4"/>
      <c r="FH282" s="4"/>
      <c r="FI282" s="4"/>
      <c r="FJ282" s="4"/>
      <c r="FK282" s="654"/>
      <c r="FL282" s="655"/>
      <c r="FM282" s="4"/>
      <c r="FN282" s="4"/>
      <c r="FO282" s="4"/>
      <c r="FP282" s="4"/>
      <c r="FQ282" s="4"/>
      <c r="FR282" s="4"/>
      <c r="FS282" s="4"/>
      <c r="FT282" s="4"/>
      <c r="FU282" s="4"/>
      <c r="FV282" s="4"/>
      <c r="FW282" s="654"/>
      <c r="FX282" s="655"/>
      <c r="FY282" s="4"/>
      <c r="FZ282" s="4"/>
      <c r="GA282" s="4"/>
      <c r="GB282" s="4"/>
      <c r="GC282" s="4"/>
      <c r="GD282" s="4"/>
      <c r="GE282" s="4"/>
      <c r="GF282" s="4"/>
      <c r="GG282" s="4"/>
      <c r="GH282" s="4"/>
      <c r="GI282" s="654"/>
      <c r="GJ282" s="655"/>
      <c r="GK282" s="4"/>
      <c r="GL282" s="4"/>
      <c r="GM282" s="4"/>
      <c r="GN282" s="4"/>
      <c r="GO282" s="4"/>
      <c r="GP282" s="4"/>
      <c r="GQ282" s="4"/>
      <c r="GR282" s="4"/>
      <c r="GS282" s="4"/>
      <c r="GT282" s="4"/>
      <c r="GU282" s="722"/>
      <c r="GV282" s="715"/>
    </row>
    <row r="283" spans="1:204" x14ac:dyDescent="0.25">
      <c r="A283" t="s">
        <v>1325</v>
      </c>
      <c r="B283" s="2" t="s">
        <v>1320</v>
      </c>
      <c r="C283" s="619">
        <v>44624</v>
      </c>
      <c r="D283" s="2" t="s">
        <v>1287</v>
      </c>
      <c r="E283" t="s">
        <v>59</v>
      </c>
      <c r="F283" s="2" t="s">
        <v>43</v>
      </c>
      <c r="G283" t="s">
        <v>40</v>
      </c>
      <c r="H283" s="690" t="s">
        <v>85</v>
      </c>
      <c r="I283" s="691" t="s">
        <v>43</v>
      </c>
      <c r="J283" s="721">
        <v>3780401000108</v>
      </c>
      <c r="K283" s="691" t="s">
        <v>1297</v>
      </c>
      <c r="L283" s="721">
        <v>26268886000142</v>
      </c>
      <c r="M283" s="718" t="s">
        <v>3</v>
      </c>
      <c r="N283" s="717" t="s">
        <v>44</v>
      </c>
      <c r="O283" s="719">
        <v>44866</v>
      </c>
      <c r="P283" s="720">
        <v>44895</v>
      </c>
      <c r="Q283" s="718">
        <v>188</v>
      </c>
      <c r="R283" s="717">
        <v>3</v>
      </c>
      <c r="S283" s="691" t="s">
        <v>54</v>
      </c>
      <c r="T283" t="s">
        <v>358</v>
      </c>
      <c r="U283" s="673" t="s">
        <v>358</v>
      </c>
      <c r="V283" s="690" t="s">
        <v>358</v>
      </c>
      <c r="W283" s="657" t="s">
        <v>329</v>
      </c>
      <c r="X283" s="723"/>
      <c r="Y283" s="4"/>
      <c r="Z283" s="4"/>
      <c r="AA283" s="4"/>
      <c r="AB283" s="4"/>
      <c r="AC283" s="4"/>
      <c r="AD283" s="4"/>
      <c r="AE283" s="4"/>
      <c r="AF283" s="4"/>
      <c r="AG283" s="4"/>
      <c r="AH283" s="4">
        <v>3</v>
      </c>
      <c r="AI283" s="654"/>
      <c r="AJ283" s="655"/>
      <c r="AK283" s="4"/>
      <c r="AL283" s="4"/>
      <c r="AM283" s="4"/>
      <c r="AN283" s="4"/>
      <c r="AO283" s="4"/>
      <c r="AP283" s="4"/>
      <c r="AQ283" s="4"/>
      <c r="AR283" s="4"/>
      <c r="AS283" s="4"/>
      <c r="AT283" s="4"/>
      <c r="AU283" s="654"/>
      <c r="AV283" s="655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654"/>
      <c r="BH283" s="655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654"/>
      <c r="BT283" s="655"/>
      <c r="BU283" s="4"/>
      <c r="BV283" s="4"/>
      <c r="BW283" s="4"/>
      <c r="BX283" s="4"/>
      <c r="BY283" s="4"/>
      <c r="BZ283" s="4"/>
      <c r="CA283" s="4"/>
      <c r="CB283" s="4"/>
      <c r="CC283" s="4"/>
      <c r="CD283" s="4"/>
      <c r="CE283" s="693"/>
      <c r="CF283" s="723"/>
      <c r="CG283" s="4"/>
      <c r="CH283" s="4"/>
      <c r="CI283" s="4"/>
      <c r="CJ283" s="4"/>
      <c r="CK283" s="4"/>
      <c r="CL283" s="4"/>
      <c r="CM283" s="4"/>
      <c r="CN283" s="4"/>
      <c r="CO283" s="4"/>
      <c r="CP283" s="4">
        <v>188</v>
      </c>
      <c r="CQ283" s="654"/>
      <c r="CR283" s="655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654"/>
      <c r="DD283" s="655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654"/>
      <c r="DP283" s="655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654"/>
      <c r="EB283" s="655"/>
      <c r="EC283" s="4"/>
      <c r="ED283" s="4"/>
      <c r="EE283" s="4"/>
      <c r="EF283" s="4"/>
      <c r="EG283" s="4"/>
      <c r="EH283" s="4"/>
      <c r="EI283" s="4"/>
      <c r="EJ283" s="4"/>
      <c r="EK283" s="4"/>
      <c r="EL283" s="4"/>
      <c r="EM283" s="693"/>
      <c r="EN283" s="723"/>
      <c r="EO283" s="4"/>
      <c r="EP283" s="4"/>
      <c r="EQ283" s="4"/>
      <c r="ER283" s="4"/>
      <c r="ES283" s="4"/>
      <c r="ET283" s="4"/>
      <c r="EU283" s="4"/>
      <c r="EV283" s="4"/>
      <c r="EW283" s="4"/>
      <c r="EX283" s="4">
        <v>188</v>
      </c>
      <c r="EY283" s="654"/>
      <c r="EZ283" s="655"/>
      <c r="FA283" s="4"/>
      <c r="FB283" s="4"/>
      <c r="FC283" s="4"/>
      <c r="FD283" s="4"/>
      <c r="FE283" s="4"/>
      <c r="FF283" s="4"/>
      <c r="FG283" s="4"/>
      <c r="FH283" s="4"/>
      <c r="FI283" s="4"/>
      <c r="FJ283" s="4"/>
      <c r="FK283" s="654"/>
      <c r="FL283" s="655"/>
      <c r="FM283" s="4"/>
      <c r="FN283" s="4"/>
      <c r="FO283" s="4"/>
      <c r="FP283" s="4"/>
      <c r="FQ283" s="4"/>
      <c r="FR283" s="4"/>
      <c r="FS283" s="4"/>
      <c r="FT283" s="4"/>
      <c r="FU283" s="4"/>
      <c r="FV283" s="4"/>
      <c r="FW283" s="654"/>
      <c r="FX283" s="655"/>
      <c r="FY283" s="4"/>
      <c r="FZ283" s="4"/>
      <c r="GA283" s="4"/>
      <c r="GB283" s="4"/>
      <c r="GC283" s="4"/>
      <c r="GD283" s="4"/>
      <c r="GE283" s="4"/>
      <c r="GF283" s="4"/>
      <c r="GG283" s="4"/>
      <c r="GH283" s="4"/>
      <c r="GI283" s="654"/>
      <c r="GJ283" s="655"/>
      <c r="GK283" s="4"/>
      <c r="GL283" s="4"/>
      <c r="GM283" s="4"/>
      <c r="GN283" s="4"/>
      <c r="GO283" s="4"/>
      <c r="GP283" s="4"/>
      <c r="GQ283" s="4"/>
      <c r="GR283" s="4"/>
      <c r="GS283" s="4"/>
      <c r="GT283" s="4"/>
      <c r="GU283" s="722"/>
      <c r="GV283" s="715"/>
    </row>
    <row r="284" spans="1:204" x14ac:dyDescent="0.25">
      <c r="A284" t="s">
        <v>1327</v>
      </c>
      <c r="B284" s="2" t="s">
        <v>1322</v>
      </c>
      <c r="C284" s="619">
        <v>44624</v>
      </c>
      <c r="D284" s="2" t="s">
        <v>1288</v>
      </c>
      <c r="E284" t="s">
        <v>59</v>
      </c>
      <c r="F284" s="2" t="s">
        <v>43</v>
      </c>
      <c r="G284" t="s">
        <v>40</v>
      </c>
      <c r="H284" s="690" t="s">
        <v>85</v>
      </c>
      <c r="I284" s="691" t="s">
        <v>43</v>
      </c>
      <c r="J284" s="721">
        <v>3780401000108</v>
      </c>
      <c r="K284" s="691" t="s">
        <v>1297</v>
      </c>
      <c r="L284" s="721">
        <v>26268886000142</v>
      </c>
      <c r="M284" s="718" t="s">
        <v>3</v>
      </c>
      <c r="N284" s="717" t="s">
        <v>44</v>
      </c>
      <c r="O284" s="719">
        <v>44743</v>
      </c>
      <c r="P284" s="720">
        <v>44834</v>
      </c>
      <c r="Q284" s="718">
        <v>180</v>
      </c>
      <c r="R284" s="717">
        <v>2</v>
      </c>
      <c r="S284" s="691" t="s">
        <v>54</v>
      </c>
      <c r="T284" t="s">
        <v>358</v>
      </c>
      <c r="U284" s="673" t="s">
        <v>358</v>
      </c>
      <c r="V284" s="690" t="s">
        <v>358</v>
      </c>
      <c r="W284" s="657" t="s">
        <v>329</v>
      </c>
      <c r="X284" s="723"/>
      <c r="Y284" s="4"/>
      <c r="Z284" s="4"/>
      <c r="AA284" s="4"/>
      <c r="AB284" s="4"/>
      <c r="AC284" s="4"/>
      <c r="AD284" s="4">
        <v>2</v>
      </c>
      <c r="AE284" s="4">
        <v>2</v>
      </c>
      <c r="AF284" s="4">
        <v>2</v>
      </c>
      <c r="AG284" s="4"/>
      <c r="AH284" s="4"/>
      <c r="AI284" s="654"/>
      <c r="AJ284" s="655"/>
      <c r="AK284" s="4"/>
      <c r="AL284" s="4"/>
      <c r="AM284" s="4"/>
      <c r="AN284" s="4"/>
      <c r="AO284" s="4"/>
      <c r="AP284" s="4"/>
      <c r="AQ284" s="4"/>
      <c r="AR284" s="4"/>
      <c r="AS284" s="4"/>
      <c r="AT284" s="4"/>
      <c r="AU284" s="654"/>
      <c r="AV284" s="655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654"/>
      <c r="BH284" s="655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654"/>
      <c r="BT284" s="655"/>
      <c r="BU284" s="4"/>
      <c r="BV284" s="4"/>
      <c r="BW284" s="4"/>
      <c r="BX284" s="4"/>
      <c r="BY284" s="4"/>
      <c r="BZ284" s="4"/>
      <c r="CA284" s="4"/>
      <c r="CB284" s="4"/>
      <c r="CC284" s="4"/>
      <c r="CD284" s="4"/>
      <c r="CE284" s="693"/>
      <c r="CF284" s="723"/>
      <c r="CG284" s="4"/>
      <c r="CH284" s="4"/>
      <c r="CI284" s="4"/>
      <c r="CJ284" s="4"/>
      <c r="CK284" s="4"/>
      <c r="CL284" s="4">
        <v>180</v>
      </c>
      <c r="CM284" s="4">
        <v>180</v>
      </c>
      <c r="CN284" s="4">
        <v>180</v>
      </c>
      <c r="CO284" s="4"/>
      <c r="CP284" s="4"/>
      <c r="CQ284" s="654"/>
      <c r="CR284" s="655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654"/>
      <c r="DD284" s="655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654"/>
      <c r="DP284" s="655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654"/>
      <c r="EB284" s="655"/>
      <c r="EC284" s="4"/>
      <c r="ED284" s="4"/>
      <c r="EE284" s="4"/>
      <c r="EF284" s="4"/>
      <c r="EG284" s="4"/>
      <c r="EH284" s="4"/>
      <c r="EI284" s="4"/>
      <c r="EJ284" s="4"/>
      <c r="EK284" s="4"/>
      <c r="EL284" s="4"/>
      <c r="EM284" s="693"/>
      <c r="EN284" s="723"/>
      <c r="EO284" s="4"/>
      <c r="EP284" s="4"/>
      <c r="EQ284" s="4"/>
      <c r="ER284" s="4"/>
      <c r="ES284" s="4"/>
      <c r="ET284" s="4">
        <v>180</v>
      </c>
      <c r="EU284" s="4">
        <v>180</v>
      </c>
      <c r="EV284" s="4">
        <v>180</v>
      </c>
      <c r="EW284" s="4"/>
      <c r="EX284" s="4"/>
      <c r="EY284" s="654"/>
      <c r="EZ284" s="655"/>
      <c r="FA284" s="4"/>
      <c r="FB284" s="4"/>
      <c r="FC284" s="4"/>
      <c r="FD284" s="4"/>
      <c r="FE284" s="4"/>
      <c r="FF284" s="4"/>
      <c r="FG284" s="4"/>
      <c r="FH284" s="4"/>
      <c r="FI284" s="4"/>
      <c r="FJ284" s="4"/>
      <c r="FK284" s="654"/>
      <c r="FL284" s="655"/>
      <c r="FM284" s="4"/>
      <c r="FN284" s="4"/>
      <c r="FO284" s="4"/>
      <c r="FP284" s="4"/>
      <c r="FQ284" s="4"/>
      <c r="FR284" s="4"/>
      <c r="FS284" s="4"/>
      <c r="FT284" s="4"/>
      <c r="FU284" s="4"/>
      <c r="FV284" s="4"/>
      <c r="FW284" s="654"/>
      <c r="FX284" s="655"/>
      <c r="FY284" s="4"/>
      <c r="FZ284" s="4"/>
      <c r="GA284" s="4"/>
      <c r="GB284" s="4"/>
      <c r="GC284" s="4"/>
      <c r="GD284" s="4"/>
      <c r="GE284" s="4"/>
      <c r="GF284" s="4"/>
      <c r="GG284" s="4"/>
      <c r="GH284" s="4"/>
      <c r="GI284" s="654"/>
      <c r="GJ284" s="655"/>
      <c r="GK284" s="4"/>
      <c r="GL284" s="4"/>
      <c r="GM284" s="4"/>
      <c r="GN284" s="4"/>
      <c r="GO284" s="4"/>
      <c r="GP284" s="4"/>
      <c r="GQ284" s="4"/>
      <c r="GR284" s="4"/>
      <c r="GS284" s="4"/>
      <c r="GT284" s="4"/>
      <c r="GU284" s="722"/>
      <c r="GV284" s="715"/>
    </row>
    <row r="285" spans="1:204" x14ac:dyDescent="0.25">
      <c r="A285" t="s">
        <v>1329</v>
      </c>
      <c r="B285" s="2" t="s">
        <v>1324</v>
      </c>
      <c r="C285" s="619">
        <v>44624</v>
      </c>
      <c r="D285" s="2" t="s">
        <v>1289</v>
      </c>
      <c r="E285" t="s">
        <v>59</v>
      </c>
      <c r="F285" s="2" t="s">
        <v>43</v>
      </c>
      <c r="G285" t="s">
        <v>40</v>
      </c>
      <c r="H285" s="690" t="s">
        <v>85</v>
      </c>
      <c r="I285" s="691" t="s">
        <v>43</v>
      </c>
      <c r="J285" s="721">
        <v>3780401000108</v>
      </c>
      <c r="K285" s="691" t="s">
        <v>470</v>
      </c>
      <c r="L285" s="721">
        <v>4518259000180</v>
      </c>
      <c r="M285" s="718" t="s">
        <v>5</v>
      </c>
      <c r="N285" s="717" t="s">
        <v>44</v>
      </c>
      <c r="O285" s="719">
        <v>44593</v>
      </c>
      <c r="P285" s="720">
        <v>44620</v>
      </c>
      <c r="Q285" s="718">
        <v>43</v>
      </c>
      <c r="R285" s="717">
        <v>3</v>
      </c>
      <c r="S285" s="691" t="s">
        <v>92</v>
      </c>
      <c r="T285" t="s">
        <v>358</v>
      </c>
      <c r="U285" s="673" t="s">
        <v>358</v>
      </c>
      <c r="V285" s="690" t="s">
        <v>358</v>
      </c>
      <c r="W285" s="657" t="s">
        <v>324</v>
      </c>
      <c r="X285" s="723"/>
      <c r="Y285" s="4">
        <v>3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654"/>
      <c r="AJ285" s="655"/>
      <c r="AK285" s="4"/>
      <c r="AL285" s="4"/>
      <c r="AM285" s="4"/>
      <c r="AN285" s="4"/>
      <c r="AO285" s="4"/>
      <c r="AP285" s="4"/>
      <c r="AQ285" s="4"/>
      <c r="AR285" s="4"/>
      <c r="AS285" s="4"/>
      <c r="AT285" s="4"/>
      <c r="AU285" s="654"/>
      <c r="AV285" s="655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654"/>
      <c r="BH285" s="655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654"/>
      <c r="BT285" s="655"/>
      <c r="BU285" s="4"/>
      <c r="BV285" s="4"/>
      <c r="BW285" s="4"/>
      <c r="BX285" s="4"/>
      <c r="BY285" s="4"/>
      <c r="BZ285" s="4"/>
      <c r="CA285" s="4"/>
      <c r="CB285" s="4"/>
      <c r="CC285" s="4"/>
      <c r="CD285" s="4"/>
      <c r="CE285" s="693"/>
      <c r="CF285" s="723"/>
      <c r="CG285" s="4">
        <v>43</v>
      </c>
      <c r="CH285" s="4"/>
      <c r="CI285" s="4"/>
      <c r="CJ285" s="4"/>
      <c r="CK285" s="4"/>
      <c r="CL285" s="4"/>
      <c r="CM285" s="4"/>
      <c r="CN285" s="4"/>
      <c r="CO285" s="4"/>
      <c r="CP285" s="4"/>
      <c r="CQ285" s="654"/>
      <c r="CR285" s="655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654"/>
      <c r="DD285" s="655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654"/>
      <c r="DP285" s="655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654"/>
      <c r="EB285" s="655"/>
      <c r="EC285" s="4"/>
      <c r="ED285" s="4"/>
      <c r="EE285" s="4"/>
      <c r="EF285" s="4"/>
      <c r="EG285" s="4"/>
      <c r="EH285" s="4"/>
      <c r="EI285" s="4"/>
      <c r="EJ285" s="4"/>
      <c r="EK285" s="4"/>
      <c r="EL285" s="4"/>
      <c r="EM285" s="693"/>
      <c r="EN285" s="723"/>
      <c r="EO285" s="4">
        <v>98.7</v>
      </c>
      <c r="EP285" s="4"/>
      <c r="EQ285" s="4"/>
      <c r="ER285" s="4"/>
      <c r="ES285" s="4"/>
      <c r="ET285" s="4"/>
      <c r="EU285" s="4"/>
      <c r="EV285" s="4"/>
      <c r="EW285" s="4"/>
      <c r="EX285" s="4"/>
      <c r="EY285" s="654"/>
      <c r="EZ285" s="655"/>
      <c r="FA285" s="4"/>
      <c r="FB285" s="4"/>
      <c r="FC285" s="4"/>
      <c r="FD285" s="4"/>
      <c r="FE285" s="4"/>
      <c r="FF285" s="4"/>
      <c r="FG285" s="4"/>
      <c r="FH285" s="4"/>
      <c r="FI285" s="4"/>
      <c r="FJ285" s="4"/>
      <c r="FK285" s="654"/>
      <c r="FL285" s="655"/>
      <c r="FM285" s="4"/>
      <c r="FN285" s="4"/>
      <c r="FO285" s="4"/>
      <c r="FP285" s="4"/>
      <c r="FQ285" s="4"/>
      <c r="FR285" s="4"/>
      <c r="FS285" s="4"/>
      <c r="FT285" s="4"/>
      <c r="FU285" s="4"/>
      <c r="FV285" s="4"/>
      <c r="FW285" s="654"/>
      <c r="FX285" s="655"/>
      <c r="FY285" s="4"/>
      <c r="FZ285" s="4"/>
      <c r="GA285" s="4"/>
      <c r="GB285" s="4"/>
      <c r="GC285" s="4"/>
      <c r="GD285" s="4"/>
      <c r="GE285" s="4"/>
      <c r="GF285" s="4"/>
      <c r="GG285" s="4"/>
      <c r="GH285" s="4"/>
      <c r="GI285" s="654"/>
      <c r="GJ285" s="655"/>
      <c r="GK285" s="4"/>
      <c r="GL285" s="4"/>
      <c r="GM285" s="4"/>
      <c r="GN285" s="4"/>
      <c r="GO285" s="4"/>
      <c r="GP285" s="4"/>
      <c r="GQ285" s="4"/>
      <c r="GR285" s="4"/>
      <c r="GS285" s="4"/>
      <c r="GT285" s="4"/>
      <c r="GU285" s="722"/>
      <c r="GV285" s="715"/>
    </row>
    <row r="286" spans="1:204" x14ac:dyDescent="0.25">
      <c r="A286" t="s">
        <v>1331</v>
      </c>
      <c r="B286" s="2" t="s">
        <v>1326</v>
      </c>
      <c r="C286" s="619">
        <v>44624</v>
      </c>
      <c r="D286" s="2" t="s">
        <v>1290</v>
      </c>
      <c r="E286" t="s">
        <v>59</v>
      </c>
      <c r="F286" s="2" t="s">
        <v>43</v>
      </c>
      <c r="G286" t="s">
        <v>40</v>
      </c>
      <c r="H286" s="690" t="s">
        <v>85</v>
      </c>
      <c r="I286" s="691" t="s">
        <v>43</v>
      </c>
      <c r="J286" s="721">
        <v>3780401000108</v>
      </c>
      <c r="K286" s="691" t="s">
        <v>531</v>
      </c>
      <c r="L286" s="721">
        <v>31102147000116</v>
      </c>
      <c r="M286" s="718" t="s">
        <v>3</v>
      </c>
      <c r="N286" s="717" t="s">
        <v>44</v>
      </c>
      <c r="O286" s="719">
        <v>44713</v>
      </c>
      <c r="P286" s="720">
        <v>44742</v>
      </c>
      <c r="Q286" s="718">
        <v>125</v>
      </c>
      <c r="R286" s="717">
        <v>2</v>
      </c>
      <c r="S286" s="691" t="s">
        <v>54</v>
      </c>
      <c r="T286" t="s">
        <v>358</v>
      </c>
      <c r="U286" s="673" t="s">
        <v>358</v>
      </c>
      <c r="V286" s="690" t="s">
        <v>358</v>
      </c>
      <c r="W286" s="657" t="s">
        <v>329</v>
      </c>
      <c r="X286" s="723"/>
      <c r="Y286" s="4"/>
      <c r="Z286" s="4"/>
      <c r="AA286" s="4"/>
      <c r="AB286" s="4"/>
      <c r="AC286" s="4">
        <v>2</v>
      </c>
      <c r="AD286" s="4"/>
      <c r="AE286" s="4"/>
      <c r="AF286" s="4"/>
      <c r="AG286" s="4"/>
      <c r="AH286" s="4"/>
      <c r="AI286" s="654"/>
      <c r="AJ286" s="655"/>
      <c r="AK286" s="4"/>
      <c r="AL286" s="4"/>
      <c r="AM286" s="4"/>
      <c r="AN286" s="4"/>
      <c r="AO286" s="4"/>
      <c r="AP286" s="4"/>
      <c r="AQ286" s="4"/>
      <c r="AR286" s="4"/>
      <c r="AS286" s="4"/>
      <c r="AT286" s="4"/>
      <c r="AU286" s="654"/>
      <c r="AV286" s="655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654"/>
      <c r="BH286" s="655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654"/>
      <c r="BT286" s="655"/>
      <c r="BU286" s="4"/>
      <c r="BV286" s="4"/>
      <c r="BW286" s="4"/>
      <c r="BX286" s="4"/>
      <c r="BY286" s="4"/>
      <c r="BZ286" s="4"/>
      <c r="CA286" s="4"/>
      <c r="CB286" s="4"/>
      <c r="CC286" s="4"/>
      <c r="CD286" s="4"/>
      <c r="CE286" s="693"/>
      <c r="CF286" s="723"/>
      <c r="CG286" s="4"/>
      <c r="CH286" s="4"/>
      <c r="CI286" s="4"/>
      <c r="CJ286" s="4"/>
      <c r="CK286" s="4">
        <v>125</v>
      </c>
      <c r="CL286" s="4"/>
      <c r="CM286" s="4"/>
      <c r="CN286" s="4"/>
      <c r="CO286" s="4"/>
      <c r="CP286" s="4"/>
      <c r="CQ286" s="654"/>
      <c r="CR286" s="655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654"/>
      <c r="DD286" s="655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654"/>
      <c r="DP286" s="655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654"/>
      <c r="EB286" s="655"/>
      <c r="EC286" s="4"/>
      <c r="ED286" s="4"/>
      <c r="EE286" s="4"/>
      <c r="EF286" s="4"/>
      <c r="EG286" s="4"/>
      <c r="EH286" s="4"/>
      <c r="EI286" s="4"/>
      <c r="EJ286" s="4"/>
      <c r="EK286" s="4"/>
      <c r="EL286" s="4"/>
      <c r="EM286" s="693"/>
      <c r="EN286" s="723"/>
      <c r="EO286" s="4"/>
      <c r="EP286" s="4"/>
      <c r="EQ286" s="4"/>
      <c r="ER286" s="4"/>
      <c r="ES286" s="4">
        <v>125</v>
      </c>
      <c r="ET286" s="4"/>
      <c r="EU286" s="4"/>
      <c r="EV286" s="4"/>
      <c r="EW286" s="4"/>
      <c r="EX286" s="4"/>
      <c r="EY286" s="654"/>
      <c r="EZ286" s="655"/>
      <c r="FA286" s="4"/>
      <c r="FB286" s="4"/>
      <c r="FC286" s="4"/>
      <c r="FD286" s="4"/>
      <c r="FE286" s="4"/>
      <c r="FF286" s="4"/>
      <c r="FG286" s="4"/>
      <c r="FH286" s="4"/>
      <c r="FI286" s="4"/>
      <c r="FJ286" s="4"/>
      <c r="FK286" s="654"/>
      <c r="FL286" s="655"/>
      <c r="FM286" s="4"/>
      <c r="FN286" s="4"/>
      <c r="FO286" s="4"/>
      <c r="FP286" s="4"/>
      <c r="FQ286" s="4"/>
      <c r="FR286" s="4"/>
      <c r="FS286" s="4"/>
      <c r="FT286" s="4"/>
      <c r="FU286" s="4"/>
      <c r="FV286" s="4"/>
      <c r="FW286" s="654"/>
      <c r="FX286" s="655"/>
      <c r="FY286" s="4"/>
      <c r="FZ286" s="4"/>
      <c r="GA286" s="4"/>
      <c r="GB286" s="4"/>
      <c r="GC286" s="4"/>
      <c r="GD286" s="4"/>
      <c r="GE286" s="4"/>
      <c r="GF286" s="4"/>
      <c r="GG286" s="4"/>
      <c r="GH286" s="4"/>
      <c r="GI286" s="654"/>
      <c r="GJ286" s="655"/>
      <c r="GK286" s="4"/>
      <c r="GL286" s="4"/>
      <c r="GM286" s="4"/>
      <c r="GN286" s="4"/>
      <c r="GO286" s="4"/>
      <c r="GP286" s="4"/>
      <c r="GQ286" s="4"/>
      <c r="GR286" s="4"/>
      <c r="GS286" s="4"/>
      <c r="GT286" s="4"/>
      <c r="GU286" s="722"/>
      <c r="GV286" s="715"/>
    </row>
    <row r="287" spans="1:204" x14ac:dyDescent="0.25">
      <c r="A287" t="s">
        <v>1333</v>
      </c>
      <c r="B287" s="2" t="s">
        <v>1328</v>
      </c>
      <c r="C287" s="619">
        <v>44624</v>
      </c>
      <c r="D287" s="2" t="s">
        <v>1291</v>
      </c>
      <c r="E287" t="s">
        <v>59</v>
      </c>
      <c r="F287" s="2" t="s">
        <v>43</v>
      </c>
      <c r="G287" t="s">
        <v>40</v>
      </c>
      <c r="H287" s="690" t="s">
        <v>85</v>
      </c>
      <c r="I287" s="691" t="s">
        <v>43</v>
      </c>
      <c r="J287" s="721">
        <v>3780401000108</v>
      </c>
      <c r="K287" s="691" t="s">
        <v>531</v>
      </c>
      <c r="L287" s="721">
        <v>31102147000116</v>
      </c>
      <c r="M287" s="718" t="s">
        <v>3</v>
      </c>
      <c r="N287" s="717" t="s">
        <v>44</v>
      </c>
      <c r="O287" s="719">
        <v>44713</v>
      </c>
      <c r="P287" s="720">
        <v>44742</v>
      </c>
      <c r="Q287" s="718">
        <v>125</v>
      </c>
      <c r="R287" s="717">
        <v>3</v>
      </c>
      <c r="S287" s="691" t="s">
        <v>54</v>
      </c>
      <c r="T287" t="s">
        <v>358</v>
      </c>
      <c r="U287" s="673" t="s">
        <v>358</v>
      </c>
      <c r="V287" s="690" t="s">
        <v>358</v>
      </c>
      <c r="W287" s="657" t="s">
        <v>329</v>
      </c>
      <c r="X287" s="723"/>
      <c r="Y287" s="4"/>
      <c r="Z287" s="4"/>
      <c r="AA287" s="4"/>
      <c r="AB287" s="4"/>
      <c r="AC287" s="4">
        <v>3</v>
      </c>
      <c r="AD287" s="4"/>
      <c r="AE287" s="4"/>
      <c r="AF287" s="4"/>
      <c r="AG287" s="4"/>
      <c r="AH287" s="4"/>
      <c r="AI287" s="654"/>
      <c r="AJ287" s="655"/>
      <c r="AK287" s="4"/>
      <c r="AL287" s="4"/>
      <c r="AM287" s="4"/>
      <c r="AN287" s="4"/>
      <c r="AO287" s="4"/>
      <c r="AP287" s="4"/>
      <c r="AQ287" s="4"/>
      <c r="AR287" s="4"/>
      <c r="AS287" s="4"/>
      <c r="AT287" s="4"/>
      <c r="AU287" s="654"/>
      <c r="AV287" s="655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654"/>
      <c r="BH287" s="655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654"/>
      <c r="BT287" s="655"/>
      <c r="BU287" s="4"/>
      <c r="BV287" s="4"/>
      <c r="BW287" s="4"/>
      <c r="BX287" s="4"/>
      <c r="BY287" s="4"/>
      <c r="BZ287" s="4"/>
      <c r="CA287" s="4"/>
      <c r="CB287" s="4"/>
      <c r="CC287" s="4"/>
      <c r="CD287" s="4"/>
      <c r="CE287" s="693"/>
      <c r="CF287" s="723"/>
      <c r="CG287" s="4"/>
      <c r="CH287" s="4"/>
      <c r="CI287" s="4"/>
      <c r="CJ287" s="4"/>
      <c r="CK287" s="4">
        <v>125</v>
      </c>
      <c r="CL287" s="4"/>
      <c r="CM287" s="4"/>
      <c r="CN287" s="4"/>
      <c r="CO287" s="4"/>
      <c r="CP287" s="4"/>
      <c r="CQ287" s="654"/>
      <c r="CR287" s="655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654"/>
      <c r="DD287" s="655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654"/>
      <c r="DP287" s="655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654"/>
      <c r="EB287" s="655"/>
      <c r="EC287" s="4"/>
      <c r="ED287" s="4"/>
      <c r="EE287" s="4"/>
      <c r="EF287" s="4"/>
      <c r="EG287" s="4"/>
      <c r="EH287" s="4"/>
      <c r="EI287" s="4"/>
      <c r="EJ287" s="4"/>
      <c r="EK287" s="4"/>
      <c r="EL287" s="4"/>
      <c r="EM287" s="693"/>
      <c r="EN287" s="723"/>
      <c r="EO287" s="4"/>
      <c r="EP287" s="4"/>
      <c r="EQ287" s="4"/>
      <c r="ER287" s="4"/>
      <c r="ES287" s="4">
        <v>125</v>
      </c>
      <c r="ET287" s="4"/>
      <c r="EU287" s="4"/>
      <c r="EV287" s="4"/>
      <c r="EW287" s="4"/>
      <c r="EX287" s="4"/>
      <c r="EY287" s="654"/>
      <c r="EZ287" s="655"/>
      <c r="FA287" s="4"/>
      <c r="FB287" s="4"/>
      <c r="FC287" s="4"/>
      <c r="FD287" s="4"/>
      <c r="FE287" s="4"/>
      <c r="FF287" s="4"/>
      <c r="FG287" s="4"/>
      <c r="FH287" s="4"/>
      <c r="FI287" s="4"/>
      <c r="FJ287" s="4"/>
      <c r="FK287" s="654"/>
      <c r="FL287" s="655"/>
      <c r="FM287" s="4"/>
      <c r="FN287" s="4"/>
      <c r="FO287" s="4"/>
      <c r="FP287" s="4"/>
      <c r="FQ287" s="4"/>
      <c r="FR287" s="4"/>
      <c r="FS287" s="4"/>
      <c r="FT287" s="4"/>
      <c r="FU287" s="4"/>
      <c r="FV287" s="4"/>
      <c r="FW287" s="654"/>
      <c r="FX287" s="655"/>
      <c r="FY287" s="4"/>
      <c r="FZ287" s="4"/>
      <c r="GA287" s="4"/>
      <c r="GB287" s="4"/>
      <c r="GC287" s="4"/>
      <c r="GD287" s="4"/>
      <c r="GE287" s="4"/>
      <c r="GF287" s="4"/>
      <c r="GG287" s="4"/>
      <c r="GH287" s="4"/>
      <c r="GI287" s="654"/>
      <c r="GJ287" s="655"/>
      <c r="GK287" s="4"/>
      <c r="GL287" s="4"/>
      <c r="GM287" s="4"/>
      <c r="GN287" s="4"/>
      <c r="GO287" s="4"/>
      <c r="GP287" s="4"/>
      <c r="GQ287" s="4"/>
      <c r="GR287" s="4"/>
      <c r="GS287" s="4"/>
      <c r="GT287" s="4"/>
      <c r="GU287" s="722"/>
      <c r="GV287" s="715"/>
    </row>
    <row r="288" spans="1:204" x14ac:dyDescent="0.25">
      <c r="A288" t="s">
        <v>1335</v>
      </c>
      <c r="B288" s="2" t="s">
        <v>1330</v>
      </c>
      <c r="C288" s="619">
        <v>44624</v>
      </c>
      <c r="D288" s="2" t="s">
        <v>1292</v>
      </c>
      <c r="E288" t="s">
        <v>59</v>
      </c>
      <c r="F288" s="2" t="s">
        <v>43</v>
      </c>
      <c r="G288" t="s">
        <v>40</v>
      </c>
      <c r="H288" s="690" t="s">
        <v>85</v>
      </c>
      <c r="I288" s="691" t="s">
        <v>43</v>
      </c>
      <c r="J288" s="721">
        <v>3780401000108</v>
      </c>
      <c r="K288" s="691" t="s">
        <v>466</v>
      </c>
      <c r="L288" s="721">
        <v>26940979000171</v>
      </c>
      <c r="M288" s="718" t="s">
        <v>6</v>
      </c>
      <c r="N288" s="717" t="s">
        <v>44</v>
      </c>
      <c r="O288" s="719">
        <v>44593</v>
      </c>
      <c r="P288" s="720">
        <v>44620</v>
      </c>
      <c r="Q288" s="718">
        <v>205</v>
      </c>
      <c r="R288" s="717">
        <v>0.54910700000000001</v>
      </c>
      <c r="S288" s="691" t="s">
        <v>92</v>
      </c>
      <c r="T288" t="s">
        <v>358</v>
      </c>
      <c r="U288" s="673" t="s">
        <v>358</v>
      </c>
      <c r="V288" s="690" t="s">
        <v>358</v>
      </c>
      <c r="W288" s="657" t="s">
        <v>324</v>
      </c>
      <c r="X288" s="723"/>
      <c r="Y288" s="4">
        <v>0.54910700000000001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654"/>
      <c r="AJ288" s="655"/>
      <c r="AK288" s="4"/>
      <c r="AL288" s="4"/>
      <c r="AM288" s="4"/>
      <c r="AN288" s="4"/>
      <c r="AO288" s="4"/>
      <c r="AP288" s="4"/>
      <c r="AQ288" s="4"/>
      <c r="AR288" s="4"/>
      <c r="AS288" s="4"/>
      <c r="AT288" s="4"/>
      <c r="AU288" s="654"/>
      <c r="AV288" s="655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654"/>
      <c r="BH288" s="655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654"/>
      <c r="BT288" s="655"/>
      <c r="BU288" s="4"/>
      <c r="BV288" s="4"/>
      <c r="BW288" s="4"/>
      <c r="BX288" s="4"/>
      <c r="BY288" s="4"/>
      <c r="BZ288" s="4"/>
      <c r="CA288" s="4"/>
      <c r="CB288" s="4"/>
      <c r="CC288" s="4"/>
      <c r="CD288" s="4"/>
      <c r="CE288" s="693"/>
      <c r="CF288" s="723"/>
      <c r="CG288" s="4">
        <v>205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654"/>
      <c r="CR288" s="655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654"/>
      <c r="DD288" s="655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654"/>
      <c r="DP288" s="655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654"/>
      <c r="EB288" s="655"/>
      <c r="EC288" s="4"/>
      <c r="ED288" s="4"/>
      <c r="EE288" s="4"/>
      <c r="EF288" s="4"/>
      <c r="EG288" s="4"/>
      <c r="EH288" s="4"/>
      <c r="EI288" s="4"/>
      <c r="EJ288" s="4"/>
      <c r="EK288" s="4"/>
      <c r="EL288" s="4"/>
      <c r="EM288" s="693"/>
      <c r="EN288" s="723"/>
      <c r="EO288" s="4">
        <v>260.7</v>
      </c>
      <c r="EP288" s="4"/>
      <c r="EQ288" s="4"/>
      <c r="ER288" s="4"/>
      <c r="ES288" s="4"/>
      <c r="ET288" s="4"/>
      <c r="EU288" s="4"/>
      <c r="EV288" s="4"/>
      <c r="EW288" s="4"/>
      <c r="EX288" s="4"/>
      <c r="EY288" s="654"/>
      <c r="EZ288" s="655"/>
      <c r="FA288" s="4"/>
      <c r="FB288" s="4"/>
      <c r="FC288" s="4"/>
      <c r="FD288" s="4"/>
      <c r="FE288" s="4"/>
      <c r="FF288" s="4"/>
      <c r="FG288" s="4"/>
      <c r="FH288" s="4"/>
      <c r="FI288" s="4"/>
      <c r="FJ288" s="4"/>
      <c r="FK288" s="654"/>
      <c r="FL288" s="655"/>
      <c r="FM288" s="4"/>
      <c r="FN288" s="4"/>
      <c r="FO288" s="4"/>
      <c r="FP288" s="4"/>
      <c r="FQ288" s="4"/>
      <c r="FR288" s="4"/>
      <c r="FS288" s="4"/>
      <c r="FT288" s="4"/>
      <c r="FU288" s="4"/>
      <c r="FV288" s="4"/>
      <c r="FW288" s="654"/>
      <c r="FX288" s="655"/>
      <c r="FY288" s="4"/>
      <c r="FZ288" s="4"/>
      <c r="GA288" s="4"/>
      <c r="GB288" s="4"/>
      <c r="GC288" s="4"/>
      <c r="GD288" s="4"/>
      <c r="GE288" s="4"/>
      <c r="GF288" s="4"/>
      <c r="GG288" s="4"/>
      <c r="GH288" s="4"/>
      <c r="GI288" s="654"/>
      <c r="GJ288" s="655"/>
      <c r="GK288" s="4"/>
      <c r="GL288" s="4"/>
      <c r="GM288" s="4"/>
      <c r="GN288" s="4"/>
      <c r="GO288" s="4"/>
      <c r="GP288" s="4"/>
      <c r="GQ288" s="4"/>
      <c r="GR288" s="4"/>
      <c r="GS288" s="4"/>
      <c r="GT288" s="4"/>
      <c r="GU288" s="722"/>
      <c r="GV288" s="715"/>
    </row>
    <row r="289" spans="1:204" x14ac:dyDescent="0.25">
      <c r="A289" t="s">
        <v>1337</v>
      </c>
      <c r="B289" s="2" t="s">
        <v>358</v>
      </c>
      <c r="C289" s="619">
        <v>44624</v>
      </c>
      <c r="D289" s="2" t="s">
        <v>1293</v>
      </c>
      <c r="E289" t="s">
        <v>59</v>
      </c>
      <c r="F289" s="2" t="s">
        <v>43</v>
      </c>
      <c r="G289" t="s">
        <v>40</v>
      </c>
      <c r="H289" s="690" t="s">
        <v>85</v>
      </c>
      <c r="I289" s="691" t="s">
        <v>43</v>
      </c>
      <c r="J289" s="721">
        <v>3780401000108</v>
      </c>
      <c r="K289" s="691" t="s">
        <v>346</v>
      </c>
      <c r="L289" s="721" t="e">
        <v>#VALUE!</v>
      </c>
      <c r="M289" s="718" t="s">
        <v>3</v>
      </c>
      <c r="N289" s="717" t="s">
        <v>44</v>
      </c>
      <c r="O289" s="719">
        <v>44805</v>
      </c>
      <c r="P289" s="720">
        <v>44834</v>
      </c>
      <c r="Q289" s="718">
        <v>192</v>
      </c>
      <c r="R289" s="717">
        <v>0.7</v>
      </c>
      <c r="S289" s="691" t="s">
        <v>54</v>
      </c>
      <c r="T289" t="s">
        <v>358</v>
      </c>
      <c r="U289" s="673" t="s">
        <v>358</v>
      </c>
      <c r="V289" s="690" t="s">
        <v>358</v>
      </c>
      <c r="W289" s="657" t="s">
        <v>214</v>
      </c>
      <c r="X289" s="723"/>
      <c r="Y289" s="4"/>
      <c r="Z289" s="4"/>
      <c r="AA289" s="4"/>
      <c r="AB289" s="4"/>
      <c r="AC289" s="4"/>
      <c r="AD289" s="4"/>
      <c r="AE289" s="4"/>
      <c r="AF289" s="4">
        <v>0.7</v>
      </c>
      <c r="AG289" s="4"/>
      <c r="AH289" s="4"/>
      <c r="AI289" s="654"/>
      <c r="AJ289" s="655"/>
      <c r="AK289" s="4"/>
      <c r="AL289" s="4"/>
      <c r="AM289" s="4"/>
      <c r="AN289" s="4"/>
      <c r="AO289" s="4"/>
      <c r="AP289" s="4"/>
      <c r="AQ289" s="4"/>
      <c r="AR289" s="4"/>
      <c r="AS289" s="4"/>
      <c r="AT289" s="4"/>
      <c r="AU289" s="654"/>
      <c r="AV289" s="655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654"/>
      <c r="BH289" s="655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654"/>
      <c r="BT289" s="655"/>
      <c r="BU289" s="4"/>
      <c r="BV289" s="4"/>
      <c r="BW289" s="4"/>
      <c r="BX289" s="4"/>
      <c r="BY289" s="4"/>
      <c r="BZ289" s="4"/>
      <c r="CA289" s="4"/>
      <c r="CB289" s="4"/>
      <c r="CC289" s="4"/>
      <c r="CD289" s="4"/>
      <c r="CE289" s="693"/>
      <c r="CF289" s="723"/>
      <c r="CG289" s="4"/>
      <c r="CH289" s="4"/>
      <c r="CI289" s="4"/>
      <c r="CJ289" s="4"/>
      <c r="CK289" s="4"/>
      <c r="CL289" s="4"/>
      <c r="CM289" s="4"/>
      <c r="CN289" s="4">
        <v>192</v>
      </c>
      <c r="CO289" s="4"/>
      <c r="CP289" s="4"/>
      <c r="CQ289" s="654"/>
      <c r="CR289" s="655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654"/>
      <c r="DD289" s="655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654"/>
      <c r="DP289" s="655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654"/>
      <c r="EB289" s="655"/>
      <c r="EC289" s="4"/>
      <c r="ED289" s="4"/>
      <c r="EE289" s="4"/>
      <c r="EF289" s="4"/>
      <c r="EG289" s="4"/>
      <c r="EH289" s="4"/>
      <c r="EI289" s="4"/>
      <c r="EJ289" s="4"/>
      <c r="EK289" s="4"/>
      <c r="EL289" s="4"/>
      <c r="EM289" s="693"/>
      <c r="EN289" s="723"/>
      <c r="EO289" s="4"/>
      <c r="EP289" s="4"/>
      <c r="EQ289" s="4"/>
      <c r="ER289" s="4"/>
      <c r="ES289" s="4"/>
      <c r="ET289" s="4"/>
      <c r="EU289" s="4"/>
      <c r="EV289" s="4">
        <v>192</v>
      </c>
      <c r="EW289" s="4"/>
      <c r="EX289" s="4"/>
      <c r="EY289" s="654"/>
      <c r="EZ289" s="655"/>
      <c r="FA289" s="4"/>
      <c r="FB289" s="4"/>
      <c r="FC289" s="4"/>
      <c r="FD289" s="4"/>
      <c r="FE289" s="4"/>
      <c r="FF289" s="4"/>
      <c r="FG289" s="4"/>
      <c r="FH289" s="4"/>
      <c r="FI289" s="4"/>
      <c r="FJ289" s="4"/>
      <c r="FK289" s="654"/>
      <c r="FL289" s="655"/>
      <c r="FM289" s="4"/>
      <c r="FN289" s="4"/>
      <c r="FO289" s="4"/>
      <c r="FP289" s="4"/>
      <c r="FQ289" s="4"/>
      <c r="FR289" s="4"/>
      <c r="FS289" s="4"/>
      <c r="FT289" s="4"/>
      <c r="FU289" s="4"/>
      <c r="FV289" s="4"/>
      <c r="FW289" s="654"/>
      <c r="FX289" s="655"/>
      <c r="FY289" s="4"/>
      <c r="FZ289" s="4"/>
      <c r="GA289" s="4"/>
      <c r="GB289" s="4"/>
      <c r="GC289" s="4"/>
      <c r="GD289" s="4"/>
      <c r="GE289" s="4"/>
      <c r="GF289" s="4"/>
      <c r="GG289" s="4"/>
      <c r="GH289" s="4"/>
      <c r="GI289" s="654"/>
      <c r="GJ289" s="655"/>
      <c r="GK289" s="4"/>
      <c r="GL289" s="4"/>
      <c r="GM289" s="4"/>
      <c r="GN289" s="4"/>
      <c r="GO289" s="4"/>
      <c r="GP289" s="4"/>
      <c r="GQ289" s="4"/>
      <c r="GR289" s="4"/>
      <c r="GS289" s="4"/>
      <c r="GT289" s="4"/>
      <c r="GU289" s="722"/>
      <c r="GV289" s="715"/>
    </row>
    <row r="290" spans="1:204" x14ac:dyDescent="0.25">
      <c r="A290" t="s">
        <v>1339</v>
      </c>
      <c r="B290" s="2" t="s">
        <v>358</v>
      </c>
      <c r="C290" s="619">
        <v>44624</v>
      </c>
      <c r="D290" s="2" t="s">
        <v>1294</v>
      </c>
      <c r="E290" t="s">
        <v>58</v>
      </c>
      <c r="F290" s="2" t="s">
        <v>43</v>
      </c>
      <c r="G290" t="s">
        <v>40</v>
      </c>
      <c r="H290" s="690" t="s">
        <v>84</v>
      </c>
      <c r="I290" s="691" t="s">
        <v>346</v>
      </c>
      <c r="J290" s="721" t="e">
        <v>#VALUE!</v>
      </c>
      <c r="K290" s="691" t="s">
        <v>43</v>
      </c>
      <c r="L290" s="721">
        <v>3780401000108</v>
      </c>
      <c r="M290" s="718" t="s">
        <v>3</v>
      </c>
      <c r="N290" s="717" t="s">
        <v>44</v>
      </c>
      <c r="O290" s="719">
        <v>44805</v>
      </c>
      <c r="P290" s="720">
        <v>44834</v>
      </c>
      <c r="Q290" s="718">
        <v>192</v>
      </c>
      <c r="R290" s="717">
        <v>0.7</v>
      </c>
      <c r="S290" s="691" t="s">
        <v>54</v>
      </c>
      <c r="T290" t="s">
        <v>358</v>
      </c>
      <c r="U290" s="673" t="s">
        <v>358</v>
      </c>
      <c r="V290" s="690" t="s">
        <v>358</v>
      </c>
      <c r="W290" s="657" t="s">
        <v>214</v>
      </c>
      <c r="X290" s="723"/>
      <c r="Y290" s="4"/>
      <c r="Z290" s="4"/>
      <c r="AA290" s="4"/>
      <c r="AB290" s="4"/>
      <c r="AC290" s="4"/>
      <c r="AD290" s="4"/>
      <c r="AE290" s="4"/>
      <c r="AF290" s="4">
        <v>0.7</v>
      </c>
      <c r="AG290" s="4"/>
      <c r="AH290" s="4"/>
      <c r="AI290" s="654"/>
      <c r="AJ290" s="655"/>
      <c r="AK290" s="4"/>
      <c r="AL290" s="4"/>
      <c r="AM290" s="4"/>
      <c r="AN290" s="4"/>
      <c r="AO290" s="4"/>
      <c r="AP290" s="4"/>
      <c r="AQ290" s="4"/>
      <c r="AR290" s="4"/>
      <c r="AS290" s="4"/>
      <c r="AT290" s="4"/>
      <c r="AU290" s="654"/>
      <c r="AV290" s="655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654"/>
      <c r="BH290" s="655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654"/>
      <c r="BT290" s="655"/>
      <c r="BU290" s="4"/>
      <c r="BV290" s="4"/>
      <c r="BW290" s="4"/>
      <c r="BX290" s="4"/>
      <c r="BY290" s="4"/>
      <c r="BZ290" s="4"/>
      <c r="CA290" s="4"/>
      <c r="CB290" s="4"/>
      <c r="CC290" s="4"/>
      <c r="CD290" s="4"/>
      <c r="CE290" s="693"/>
      <c r="CF290" s="723"/>
      <c r="CG290" s="4"/>
      <c r="CH290" s="4"/>
      <c r="CI290" s="4"/>
      <c r="CJ290" s="4"/>
      <c r="CK290" s="4"/>
      <c r="CL290" s="4"/>
      <c r="CM290" s="4"/>
      <c r="CN290" s="4">
        <v>192</v>
      </c>
      <c r="CO290" s="4"/>
      <c r="CP290" s="4"/>
      <c r="CQ290" s="654"/>
      <c r="CR290" s="655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654"/>
      <c r="DD290" s="655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654"/>
      <c r="DP290" s="655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654"/>
      <c r="EB290" s="655"/>
      <c r="EC290" s="4"/>
      <c r="ED290" s="4"/>
      <c r="EE290" s="4"/>
      <c r="EF290" s="4"/>
      <c r="EG290" s="4"/>
      <c r="EH290" s="4"/>
      <c r="EI290" s="4"/>
      <c r="EJ290" s="4"/>
      <c r="EK290" s="4"/>
      <c r="EL290" s="4"/>
      <c r="EM290" s="693"/>
      <c r="EN290" s="723"/>
      <c r="EO290" s="4"/>
      <c r="EP290" s="4"/>
      <c r="EQ290" s="4"/>
      <c r="ER290" s="4"/>
      <c r="ES290" s="4"/>
      <c r="ET290" s="4"/>
      <c r="EU290" s="4"/>
      <c r="EV290" s="4">
        <v>192</v>
      </c>
      <c r="EW290" s="4"/>
      <c r="EX290" s="4"/>
      <c r="EY290" s="654"/>
      <c r="EZ290" s="655"/>
      <c r="FA290" s="4"/>
      <c r="FB290" s="4"/>
      <c r="FC290" s="4"/>
      <c r="FD290" s="4"/>
      <c r="FE290" s="4"/>
      <c r="FF290" s="4"/>
      <c r="FG290" s="4"/>
      <c r="FH290" s="4"/>
      <c r="FI290" s="4"/>
      <c r="FJ290" s="4"/>
      <c r="FK290" s="654"/>
      <c r="FL290" s="655"/>
      <c r="FM290" s="4"/>
      <c r="FN290" s="4"/>
      <c r="FO290" s="4"/>
      <c r="FP290" s="4"/>
      <c r="FQ290" s="4"/>
      <c r="FR290" s="4"/>
      <c r="FS290" s="4"/>
      <c r="FT290" s="4"/>
      <c r="FU290" s="4"/>
      <c r="FV290" s="4"/>
      <c r="FW290" s="654"/>
      <c r="FX290" s="655"/>
      <c r="FY290" s="4"/>
      <c r="FZ290" s="4"/>
      <c r="GA290" s="4"/>
      <c r="GB290" s="4"/>
      <c r="GC290" s="4"/>
      <c r="GD290" s="4"/>
      <c r="GE290" s="4"/>
      <c r="GF290" s="4"/>
      <c r="GG290" s="4"/>
      <c r="GH290" s="4"/>
      <c r="GI290" s="654"/>
      <c r="GJ290" s="655"/>
      <c r="GK290" s="4"/>
      <c r="GL290" s="4"/>
      <c r="GM290" s="4"/>
      <c r="GN290" s="4"/>
      <c r="GO290" s="4"/>
      <c r="GP290" s="4"/>
      <c r="GQ290" s="4"/>
      <c r="GR290" s="4"/>
      <c r="GS290" s="4"/>
      <c r="GT290" s="4"/>
      <c r="GU290" s="722"/>
      <c r="GV290" s="715"/>
    </row>
    <row r="291" spans="1:204" x14ac:dyDescent="0.25">
      <c r="A291" t="s">
        <v>1341</v>
      </c>
      <c r="B291" s="2" t="s">
        <v>358</v>
      </c>
      <c r="C291" s="619">
        <v>44624</v>
      </c>
      <c r="D291" s="2" t="s">
        <v>1295</v>
      </c>
      <c r="E291" t="s">
        <v>59</v>
      </c>
      <c r="F291" s="2" t="s">
        <v>43</v>
      </c>
      <c r="G291" t="s">
        <v>40</v>
      </c>
      <c r="H291" s="690" t="s">
        <v>85</v>
      </c>
      <c r="I291" s="691" t="s">
        <v>43</v>
      </c>
      <c r="J291" s="721">
        <v>3780401000108</v>
      </c>
      <c r="K291" s="691" t="s">
        <v>346</v>
      </c>
      <c r="L291" s="721" t="e">
        <v>#VALUE!</v>
      </c>
      <c r="M291" s="718" t="s">
        <v>3</v>
      </c>
      <c r="N291" s="717" t="s">
        <v>44</v>
      </c>
      <c r="O291" s="719">
        <v>44774</v>
      </c>
      <c r="P291" s="720">
        <v>44804</v>
      </c>
      <c r="Q291" s="718">
        <v>192</v>
      </c>
      <c r="R291" s="717">
        <v>1.1000000000000001</v>
      </c>
      <c r="S291" s="691" t="s">
        <v>54</v>
      </c>
      <c r="T291" t="s">
        <v>358</v>
      </c>
      <c r="U291" s="673" t="s">
        <v>358</v>
      </c>
      <c r="V291" s="690" t="s">
        <v>358</v>
      </c>
      <c r="W291" s="657" t="s">
        <v>214</v>
      </c>
      <c r="X291" s="723"/>
      <c r="Y291" s="4"/>
      <c r="Z291" s="4"/>
      <c r="AA291" s="4"/>
      <c r="AB291" s="4"/>
      <c r="AC291" s="4"/>
      <c r="AD291" s="4"/>
      <c r="AE291" s="4">
        <v>1.1000000000000001</v>
      </c>
      <c r="AF291" s="4"/>
      <c r="AG291" s="4"/>
      <c r="AH291" s="4"/>
      <c r="AI291" s="654"/>
      <c r="AJ291" s="655"/>
      <c r="AK291" s="4"/>
      <c r="AL291" s="4"/>
      <c r="AM291" s="4"/>
      <c r="AN291" s="4"/>
      <c r="AO291" s="4"/>
      <c r="AP291" s="4"/>
      <c r="AQ291" s="4"/>
      <c r="AR291" s="4"/>
      <c r="AS291" s="4"/>
      <c r="AT291" s="4"/>
      <c r="AU291" s="654"/>
      <c r="AV291" s="655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654"/>
      <c r="BH291" s="655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654"/>
      <c r="BT291" s="655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693"/>
      <c r="CF291" s="723"/>
      <c r="CG291" s="4"/>
      <c r="CH291" s="4"/>
      <c r="CI291" s="4"/>
      <c r="CJ291" s="4"/>
      <c r="CK291" s="4"/>
      <c r="CL291" s="4"/>
      <c r="CM291" s="4">
        <v>192</v>
      </c>
      <c r="CN291" s="4"/>
      <c r="CO291" s="4"/>
      <c r="CP291" s="4"/>
      <c r="CQ291" s="654"/>
      <c r="CR291" s="655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654"/>
      <c r="DD291" s="655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654"/>
      <c r="DP291" s="655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654"/>
      <c r="EB291" s="655"/>
      <c r="EC291" s="4"/>
      <c r="ED291" s="4"/>
      <c r="EE291" s="4"/>
      <c r="EF291" s="4"/>
      <c r="EG291" s="4"/>
      <c r="EH291" s="4"/>
      <c r="EI291" s="4"/>
      <c r="EJ291" s="4"/>
      <c r="EK291" s="4"/>
      <c r="EL291" s="4"/>
      <c r="EM291" s="693"/>
      <c r="EN291" s="723"/>
      <c r="EO291" s="4"/>
      <c r="EP291" s="4"/>
      <c r="EQ291" s="4"/>
      <c r="ER291" s="4"/>
      <c r="ES291" s="4"/>
      <c r="ET291" s="4"/>
      <c r="EU291" s="4">
        <v>192</v>
      </c>
      <c r="EV291" s="4"/>
      <c r="EW291" s="4"/>
      <c r="EX291" s="4"/>
      <c r="EY291" s="654"/>
      <c r="EZ291" s="655"/>
      <c r="FA291" s="4"/>
      <c r="FB291" s="4"/>
      <c r="FC291" s="4"/>
      <c r="FD291" s="4"/>
      <c r="FE291" s="4"/>
      <c r="FF291" s="4"/>
      <c r="FG291" s="4"/>
      <c r="FH291" s="4"/>
      <c r="FI291" s="4"/>
      <c r="FJ291" s="4"/>
      <c r="FK291" s="654"/>
      <c r="FL291" s="655"/>
      <c r="FM291" s="4"/>
      <c r="FN291" s="4"/>
      <c r="FO291" s="4"/>
      <c r="FP291" s="4"/>
      <c r="FQ291" s="4"/>
      <c r="FR291" s="4"/>
      <c r="FS291" s="4"/>
      <c r="FT291" s="4"/>
      <c r="FU291" s="4"/>
      <c r="FV291" s="4"/>
      <c r="FW291" s="654"/>
      <c r="FX291" s="655"/>
      <c r="FY291" s="4"/>
      <c r="FZ291" s="4"/>
      <c r="GA291" s="4"/>
      <c r="GB291" s="4"/>
      <c r="GC291" s="4"/>
      <c r="GD291" s="4"/>
      <c r="GE291" s="4"/>
      <c r="GF291" s="4"/>
      <c r="GG291" s="4"/>
      <c r="GH291" s="4"/>
      <c r="GI291" s="654"/>
      <c r="GJ291" s="655"/>
      <c r="GK291" s="4"/>
      <c r="GL291" s="4"/>
      <c r="GM291" s="4"/>
      <c r="GN291" s="4"/>
      <c r="GO291" s="4"/>
      <c r="GP291" s="4"/>
      <c r="GQ291" s="4"/>
      <c r="GR291" s="4"/>
      <c r="GS291" s="4"/>
      <c r="GT291" s="4"/>
      <c r="GU291" s="722"/>
      <c r="GV291" s="715"/>
    </row>
    <row r="292" spans="1:204" x14ac:dyDescent="0.25">
      <c r="A292" t="s">
        <v>1343</v>
      </c>
      <c r="B292" s="2" t="s">
        <v>358</v>
      </c>
      <c r="C292" s="619">
        <v>44624</v>
      </c>
      <c r="D292" s="2" t="s">
        <v>1296</v>
      </c>
      <c r="E292" t="s">
        <v>58</v>
      </c>
      <c r="F292" s="2" t="s">
        <v>43</v>
      </c>
      <c r="G292" t="s">
        <v>40</v>
      </c>
      <c r="H292" s="690" t="s">
        <v>84</v>
      </c>
      <c r="I292" s="691" t="s">
        <v>346</v>
      </c>
      <c r="J292" s="721" t="e">
        <v>#VALUE!</v>
      </c>
      <c r="K292" s="691" t="s">
        <v>43</v>
      </c>
      <c r="L292" s="721">
        <v>3780401000108</v>
      </c>
      <c r="M292" s="718" t="s">
        <v>3</v>
      </c>
      <c r="N292" s="717" t="s">
        <v>44</v>
      </c>
      <c r="O292" s="719">
        <v>44774</v>
      </c>
      <c r="P292" s="720">
        <v>44804</v>
      </c>
      <c r="Q292" s="718">
        <v>192</v>
      </c>
      <c r="R292" s="717">
        <v>1.1000000000000001</v>
      </c>
      <c r="S292" s="691" t="s">
        <v>54</v>
      </c>
      <c r="T292" t="s">
        <v>358</v>
      </c>
      <c r="U292" s="673" t="s">
        <v>358</v>
      </c>
      <c r="V292" s="690" t="s">
        <v>358</v>
      </c>
      <c r="W292" s="657" t="s">
        <v>214</v>
      </c>
      <c r="X292" s="723"/>
      <c r="Y292" s="4"/>
      <c r="Z292" s="4"/>
      <c r="AA292" s="4"/>
      <c r="AB292" s="4"/>
      <c r="AC292" s="4"/>
      <c r="AD292" s="4"/>
      <c r="AE292" s="4">
        <v>1.1000000000000001</v>
      </c>
      <c r="AF292" s="4"/>
      <c r="AG292" s="4"/>
      <c r="AH292" s="4"/>
      <c r="AI292" s="654"/>
      <c r="AJ292" s="655"/>
      <c r="AK292" s="4"/>
      <c r="AL292" s="4"/>
      <c r="AM292" s="4"/>
      <c r="AN292" s="4"/>
      <c r="AO292" s="4"/>
      <c r="AP292" s="4"/>
      <c r="AQ292" s="4"/>
      <c r="AR292" s="4"/>
      <c r="AS292" s="4"/>
      <c r="AT292" s="4"/>
      <c r="AU292" s="654"/>
      <c r="AV292" s="655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654"/>
      <c r="BH292" s="655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654"/>
      <c r="BT292" s="655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693"/>
      <c r="CF292" s="723"/>
      <c r="CG292" s="4"/>
      <c r="CH292" s="4"/>
      <c r="CI292" s="4"/>
      <c r="CJ292" s="4"/>
      <c r="CK292" s="4"/>
      <c r="CL292" s="4"/>
      <c r="CM292" s="4">
        <v>192</v>
      </c>
      <c r="CN292" s="4"/>
      <c r="CO292" s="4"/>
      <c r="CP292" s="4"/>
      <c r="CQ292" s="654"/>
      <c r="CR292" s="655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654"/>
      <c r="DD292" s="655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654"/>
      <c r="DP292" s="655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654"/>
      <c r="EB292" s="655"/>
      <c r="EC292" s="4"/>
      <c r="ED292" s="4"/>
      <c r="EE292" s="4"/>
      <c r="EF292" s="4"/>
      <c r="EG292" s="4"/>
      <c r="EH292" s="4"/>
      <c r="EI292" s="4"/>
      <c r="EJ292" s="4"/>
      <c r="EK292" s="4"/>
      <c r="EL292" s="4"/>
      <c r="EM292" s="693"/>
      <c r="EN292" s="723"/>
      <c r="EO292" s="4"/>
      <c r="EP292" s="4"/>
      <c r="EQ292" s="4"/>
      <c r="ER292" s="4"/>
      <c r="ES292" s="4"/>
      <c r="ET292" s="4"/>
      <c r="EU292" s="4">
        <v>192</v>
      </c>
      <c r="EV292" s="4"/>
      <c r="EW292" s="4"/>
      <c r="EX292" s="4"/>
      <c r="EY292" s="654"/>
      <c r="EZ292" s="655"/>
      <c r="FA292" s="4"/>
      <c r="FB292" s="4"/>
      <c r="FC292" s="4"/>
      <c r="FD292" s="4"/>
      <c r="FE292" s="4"/>
      <c r="FF292" s="4"/>
      <c r="FG292" s="4"/>
      <c r="FH292" s="4"/>
      <c r="FI292" s="4"/>
      <c r="FJ292" s="4"/>
      <c r="FK292" s="654"/>
      <c r="FL292" s="655"/>
      <c r="FM292" s="4"/>
      <c r="FN292" s="4"/>
      <c r="FO292" s="4"/>
      <c r="FP292" s="4"/>
      <c r="FQ292" s="4"/>
      <c r="FR292" s="4"/>
      <c r="FS292" s="4"/>
      <c r="FT292" s="4"/>
      <c r="FU292" s="4"/>
      <c r="FV292" s="4"/>
      <c r="FW292" s="654"/>
      <c r="FX292" s="655"/>
      <c r="FY292" s="4"/>
      <c r="FZ292" s="4"/>
      <c r="GA292" s="4"/>
      <c r="GB292" s="4"/>
      <c r="GC292" s="4"/>
      <c r="GD292" s="4"/>
      <c r="GE292" s="4"/>
      <c r="GF292" s="4"/>
      <c r="GG292" s="4"/>
      <c r="GH292" s="4"/>
      <c r="GI292" s="654"/>
      <c r="GJ292" s="655"/>
      <c r="GK292" s="4"/>
      <c r="GL292" s="4"/>
      <c r="GM292" s="4"/>
      <c r="GN292" s="4"/>
      <c r="GO292" s="4"/>
      <c r="GP292" s="4"/>
      <c r="GQ292" s="4"/>
      <c r="GR292" s="4"/>
      <c r="GS292" s="4"/>
      <c r="GT292" s="4"/>
      <c r="GU292" s="722"/>
      <c r="GV292" s="715"/>
    </row>
    <row r="293" spans="1:204" x14ac:dyDescent="0.25">
      <c r="A293" t="s">
        <v>1345</v>
      </c>
      <c r="B293" s="2" t="s">
        <v>1332</v>
      </c>
      <c r="C293" s="619">
        <v>44624</v>
      </c>
      <c r="D293" s="2">
        <v>22420</v>
      </c>
      <c r="E293" t="s">
        <v>59</v>
      </c>
      <c r="F293" s="2" t="s">
        <v>43</v>
      </c>
      <c r="G293" t="s">
        <v>40</v>
      </c>
      <c r="H293" s="690" t="s">
        <v>85</v>
      </c>
      <c r="I293" s="691" t="s">
        <v>43</v>
      </c>
      <c r="J293" s="721">
        <v>3780401000108</v>
      </c>
      <c r="K293" s="691" t="s">
        <v>1135</v>
      </c>
      <c r="L293" s="721">
        <v>30306294000226</v>
      </c>
      <c r="M293" s="718" t="s">
        <v>3</v>
      </c>
      <c r="N293" s="717" t="s">
        <v>44</v>
      </c>
      <c r="O293" s="719">
        <v>44805</v>
      </c>
      <c r="P293" s="720">
        <v>44834</v>
      </c>
      <c r="Q293" s="718">
        <v>192</v>
      </c>
      <c r="R293" s="717">
        <v>3</v>
      </c>
      <c r="S293" s="691" t="s">
        <v>54</v>
      </c>
      <c r="T293" t="s">
        <v>358</v>
      </c>
      <c r="U293" s="673" t="s">
        <v>358</v>
      </c>
      <c r="V293" s="690" t="s">
        <v>358</v>
      </c>
      <c r="W293" s="657" t="s">
        <v>329</v>
      </c>
      <c r="X293" s="723"/>
      <c r="Y293" s="4"/>
      <c r="Z293" s="4"/>
      <c r="AA293" s="4"/>
      <c r="AB293" s="4"/>
      <c r="AC293" s="4"/>
      <c r="AD293" s="4"/>
      <c r="AE293" s="4"/>
      <c r="AF293" s="4">
        <v>3</v>
      </c>
      <c r="AG293" s="4"/>
      <c r="AH293" s="4"/>
      <c r="AI293" s="654"/>
      <c r="AJ293" s="655"/>
      <c r="AK293" s="4"/>
      <c r="AL293" s="4"/>
      <c r="AM293" s="4"/>
      <c r="AN293" s="4"/>
      <c r="AO293" s="4"/>
      <c r="AP293" s="4"/>
      <c r="AQ293" s="4"/>
      <c r="AR293" s="4"/>
      <c r="AS293" s="4"/>
      <c r="AT293" s="4"/>
      <c r="AU293" s="654"/>
      <c r="AV293" s="655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654"/>
      <c r="BH293" s="655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654"/>
      <c r="BT293" s="655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693"/>
      <c r="CF293" s="723"/>
      <c r="CG293" s="4"/>
      <c r="CH293" s="4"/>
      <c r="CI293" s="4"/>
      <c r="CJ293" s="4"/>
      <c r="CK293" s="4"/>
      <c r="CL293" s="4"/>
      <c r="CM293" s="4"/>
      <c r="CN293" s="4">
        <v>192</v>
      </c>
      <c r="CO293" s="4"/>
      <c r="CP293" s="4"/>
      <c r="CQ293" s="654"/>
      <c r="CR293" s="655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654"/>
      <c r="DD293" s="655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654"/>
      <c r="DP293" s="655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654"/>
      <c r="EB293" s="655"/>
      <c r="EC293" s="4"/>
      <c r="ED293" s="4"/>
      <c r="EE293" s="4"/>
      <c r="EF293" s="4"/>
      <c r="EG293" s="4"/>
      <c r="EH293" s="4"/>
      <c r="EI293" s="4"/>
      <c r="EJ293" s="4"/>
      <c r="EK293" s="4"/>
      <c r="EL293" s="4"/>
      <c r="EM293" s="693"/>
      <c r="EN293" s="723"/>
      <c r="EO293" s="4"/>
      <c r="EP293" s="4"/>
      <c r="EQ293" s="4"/>
      <c r="ER293" s="4"/>
      <c r="ES293" s="4"/>
      <c r="ET293" s="4"/>
      <c r="EU293" s="4"/>
      <c r="EV293" s="4">
        <v>192</v>
      </c>
      <c r="EW293" s="4"/>
      <c r="EX293" s="4"/>
      <c r="EY293" s="654"/>
      <c r="EZ293" s="655"/>
      <c r="FA293" s="4"/>
      <c r="FB293" s="4"/>
      <c r="FC293" s="4"/>
      <c r="FD293" s="4"/>
      <c r="FE293" s="4"/>
      <c r="FF293" s="4"/>
      <c r="FG293" s="4"/>
      <c r="FH293" s="4"/>
      <c r="FI293" s="4"/>
      <c r="FJ293" s="4"/>
      <c r="FK293" s="654"/>
      <c r="FL293" s="655"/>
      <c r="FM293" s="4"/>
      <c r="FN293" s="4"/>
      <c r="FO293" s="4"/>
      <c r="FP293" s="4"/>
      <c r="FQ293" s="4"/>
      <c r="FR293" s="4"/>
      <c r="FS293" s="4"/>
      <c r="FT293" s="4"/>
      <c r="FU293" s="4"/>
      <c r="FV293" s="4"/>
      <c r="FW293" s="654"/>
      <c r="FX293" s="655"/>
      <c r="FY293" s="4"/>
      <c r="FZ293" s="4"/>
      <c r="GA293" s="4"/>
      <c r="GB293" s="4"/>
      <c r="GC293" s="4"/>
      <c r="GD293" s="4"/>
      <c r="GE293" s="4"/>
      <c r="GF293" s="4"/>
      <c r="GG293" s="4"/>
      <c r="GH293" s="4"/>
      <c r="GI293" s="654"/>
      <c r="GJ293" s="655"/>
      <c r="GK293" s="4"/>
      <c r="GL293" s="4"/>
      <c r="GM293" s="4"/>
      <c r="GN293" s="4"/>
      <c r="GO293" s="4"/>
      <c r="GP293" s="4"/>
      <c r="GQ293" s="4"/>
      <c r="GR293" s="4"/>
      <c r="GS293" s="4"/>
      <c r="GT293" s="4"/>
      <c r="GU293" s="722"/>
      <c r="GV293" s="715"/>
    </row>
    <row r="294" spans="1:204" x14ac:dyDescent="0.25">
      <c r="A294" t="s">
        <v>1347</v>
      </c>
      <c r="B294" s="2" t="s">
        <v>1334</v>
      </c>
      <c r="C294" s="619">
        <v>44624</v>
      </c>
      <c r="D294" s="2">
        <v>21700</v>
      </c>
      <c r="E294" t="s">
        <v>59</v>
      </c>
      <c r="F294" s="2" t="s">
        <v>43</v>
      </c>
      <c r="G294" t="s">
        <v>40</v>
      </c>
      <c r="H294" s="690" t="s">
        <v>85</v>
      </c>
      <c r="I294" s="691" t="s">
        <v>43</v>
      </c>
      <c r="J294" s="721">
        <v>3780401000108</v>
      </c>
      <c r="K294" s="691" t="s">
        <v>1073</v>
      </c>
      <c r="L294" s="721">
        <v>19125927000186</v>
      </c>
      <c r="M294" s="718" t="s">
        <v>5</v>
      </c>
      <c r="N294" s="717" t="s">
        <v>44</v>
      </c>
      <c r="O294" s="719">
        <v>44593</v>
      </c>
      <c r="P294" s="720">
        <v>44620</v>
      </c>
      <c r="Q294" s="718">
        <v>42</v>
      </c>
      <c r="R294" s="717">
        <v>10</v>
      </c>
      <c r="S294" s="691" t="s">
        <v>92</v>
      </c>
      <c r="T294" t="s">
        <v>358</v>
      </c>
      <c r="U294" s="673" t="s">
        <v>358</v>
      </c>
      <c r="V294" s="690" t="s">
        <v>358</v>
      </c>
      <c r="W294" s="657" t="s">
        <v>324</v>
      </c>
      <c r="X294" s="723"/>
      <c r="Y294" s="4">
        <v>10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654"/>
      <c r="AJ294" s="655"/>
      <c r="AK294" s="4"/>
      <c r="AL294" s="4"/>
      <c r="AM294" s="4"/>
      <c r="AN294" s="4"/>
      <c r="AO294" s="4"/>
      <c r="AP294" s="4"/>
      <c r="AQ294" s="4"/>
      <c r="AR294" s="4"/>
      <c r="AS294" s="4"/>
      <c r="AT294" s="4"/>
      <c r="AU294" s="654"/>
      <c r="AV294" s="655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654"/>
      <c r="BH294" s="655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654"/>
      <c r="BT294" s="655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693"/>
      <c r="CF294" s="723"/>
      <c r="CG294" s="4">
        <v>42</v>
      </c>
      <c r="CH294" s="4"/>
      <c r="CI294" s="4"/>
      <c r="CJ294" s="4"/>
      <c r="CK294" s="4"/>
      <c r="CL294" s="4"/>
      <c r="CM294" s="4"/>
      <c r="CN294" s="4"/>
      <c r="CO294" s="4"/>
      <c r="CP294" s="4"/>
      <c r="CQ294" s="654"/>
      <c r="CR294" s="655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654"/>
      <c r="DD294" s="655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654"/>
      <c r="DP294" s="655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654"/>
      <c r="EB294" s="655"/>
      <c r="EC294" s="4"/>
      <c r="ED294" s="4"/>
      <c r="EE294" s="4"/>
      <c r="EF294" s="4"/>
      <c r="EG294" s="4"/>
      <c r="EH294" s="4"/>
      <c r="EI294" s="4"/>
      <c r="EJ294" s="4"/>
      <c r="EK294" s="4"/>
      <c r="EL294" s="4"/>
      <c r="EM294" s="693"/>
      <c r="EN294" s="723"/>
      <c r="EO294" s="4">
        <v>97.7</v>
      </c>
      <c r="EP294" s="4"/>
      <c r="EQ294" s="4"/>
      <c r="ER294" s="4"/>
      <c r="ES294" s="4"/>
      <c r="ET294" s="4"/>
      <c r="EU294" s="4"/>
      <c r="EV294" s="4"/>
      <c r="EW294" s="4"/>
      <c r="EX294" s="4"/>
      <c r="EY294" s="654"/>
      <c r="EZ294" s="655"/>
      <c r="FA294" s="4"/>
      <c r="FB294" s="4"/>
      <c r="FC294" s="4"/>
      <c r="FD294" s="4"/>
      <c r="FE294" s="4"/>
      <c r="FF294" s="4"/>
      <c r="FG294" s="4"/>
      <c r="FH294" s="4"/>
      <c r="FI294" s="4"/>
      <c r="FJ294" s="4"/>
      <c r="FK294" s="654"/>
      <c r="FL294" s="655"/>
      <c r="FM294" s="4"/>
      <c r="FN294" s="4"/>
      <c r="FO294" s="4"/>
      <c r="FP294" s="4"/>
      <c r="FQ294" s="4"/>
      <c r="FR294" s="4"/>
      <c r="FS294" s="4"/>
      <c r="FT294" s="4"/>
      <c r="FU294" s="4"/>
      <c r="FV294" s="4"/>
      <c r="FW294" s="654"/>
      <c r="FX294" s="655"/>
      <c r="FY294" s="4"/>
      <c r="FZ294" s="4"/>
      <c r="GA294" s="4"/>
      <c r="GB294" s="4"/>
      <c r="GC294" s="4"/>
      <c r="GD294" s="4"/>
      <c r="GE294" s="4"/>
      <c r="GF294" s="4"/>
      <c r="GG294" s="4"/>
      <c r="GH294" s="4"/>
      <c r="GI294" s="654"/>
      <c r="GJ294" s="655"/>
      <c r="GK294" s="4"/>
      <c r="GL294" s="4"/>
      <c r="GM294" s="4"/>
      <c r="GN294" s="4"/>
      <c r="GO294" s="4"/>
      <c r="GP294" s="4"/>
      <c r="GQ294" s="4"/>
      <c r="GR294" s="4"/>
      <c r="GS294" s="4"/>
      <c r="GT294" s="4"/>
      <c r="GU294" s="722"/>
      <c r="GV294" s="715"/>
    </row>
    <row r="295" spans="1:204" x14ac:dyDescent="0.25">
      <c r="A295" t="s">
        <v>1356</v>
      </c>
      <c r="B295" s="2" t="s">
        <v>1336</v>
      </c>
      <c r="C295" s="619">
        <v>44627</v>
      </c>
      <c r="D295" s="2" t="s">
        <v>1348</v>
      </c>
      <c r="E295" t="s">
        <v>59</v>
      </c>
      <c r="F295" s="2" t="s">
        <v>43</v>
      </c>
      <c r="G295" t="s">
        <v>40</v>
      </c>
      <c r="H295" s="690" t="s">
        <v>85</v>
      </c>
      <c r="I295" s="691" t="s">
        <v>43</v>
      </c>
      <c r="J295" s="721">
        <v>3780401000108</v>
      </c>
      <c r="K295" s="691" t="s">
        <v>475</v>
      </c>
      <c r="L295" s="721">
        <v>27796415000170</v>
      </c>
      <c r="M295" s="718" t="s">
        <v>5</v>
      </c>
      <c r="N295" s="717" t="s">
        <v>44</v>
      </c>
      <c r="O295" s="719">
        <v>44593</v>
      </c>
      <c r="P295" s="720">
        <v>44620</v>
      </c>
      <c r="Q295" s="718">
        <v>43</v>
      </c>
      <c r="R295" s="717">
        <v>0.6</v>
      </c>
      <c r="S295" s="691" t="s">
        <v>92</v>
      </c>
      <c r="T295" t="s">
        <v>358</v>
      </c>
      <c r="U295" s="673" t="s">
        <v>358</v>
      </c>
      <c r="V295" s="690" t="s">
        <v>358</v>
      </c>
      <c r="W295" s="657" t="s">
        <v>324</v>
      </c>
      <c r="X295" s="723"/>
      <c r="Y295" s="4">
        <v>0.6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654"/>
      <c r="AJ295" s="655"/>
      <c r="AK295" s="4"/>
      <c r="AL295" s="4"/>
      <c r="AM295" s="4"/>
      <c r="AN295" s="4"/>
      <c r="AO295" s="4"/>
      <c r="AP295" s="4"/>
      <c r="AQ295" s="4"/>
      <c r="AR295" s="4"/>
      <c r="AS295" s="4"/>
      <c r="AT295" s="4"/>
      <c r="AU295" s="654"/>
      <c r="AV295" s="655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654"/>
      <c r="BH295" s="655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654"/>
      <c r="BT295" s="655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693"/>
      <c r="CF295" s="723"/>
      <c r="CG295" s="4">
        <v>43</v>
      </c>
      <c r="CH295" s="4"/>
      <c r="CI295" s="4"/>
      <c r="CJ295" s="4"/>
      <c r="CK295" s="4"/>
      <c r="CL295" s="4"/>
      <c r="CM295" s="4"/>
      <c r="CN295" s="4"/>
      <c r="CO295" s="4"/>
      <c r="CP295" s="4"/>
      <c r="CQ295" s="654"/>
      <c r="CR295" s="655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654"/>
      <c r="DD295" s="655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654"/>
      <c r="DP295" s="655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654"/>
      <c r="EB295" s="655"/>
      <c r="EC295" s="4"/>
      <c r="ED295" s="4"/>
      <c r="EE295" s="4"/>
      <c r="EF295" s="4"/>
      <c r="EG295" s="4"/>
      <c r="EH295" s="4"/>
      <c r="EI295" s="4"/>
      <c r="EJ295" s="4"/>
      <c r="EK295" s="4"/>
      <c r="EL295" s="4"/>
      <c r="EM295" s="693"/>
      <c r="EN295" s="723"/>
      <c r="EO295" s="4">
        <v>98.7</v>
      </c>
      <c r="EP295" s="4"/>
      <c r="EQ295" s="4"/>
      <c r="ER295" s="4"/>
      <c r="ES295" s="4"/>
      <c r="ET295" s="4"/>
      <c r="EU295" s="4"/>
      <c r="EV295" s="4"/>
      <c r="EW295" s="4"/>
      <c r="EX295" s="4"/>
      <c r="EY295" s="654"/>
      <c r="EZ295" s="655"/>
      <c r="FA295" s="4"/>
      <c r="FB295" s="4"/>
      <c r="FC295" s="4"/>
      <c r="FD295" s="4"/>
      <c r="FE295" s="4"/>
      <c r="FF295" s="4"/>
      <c r="FG295" s="4"/>
      <c r="FH295" s="4"/>
      <c r="FI295" s="4"/>
      <c r="FJ295" s="4"/>
      <c r="FK295" s="654"/>
      <c r="FL295" s="655"/>
      <c r="FM295" s="4"/>
      <c r="FN295" s="4"/>
      <c r="FO295" s="4"/>
      <c r="FP295" s="4"/>
      <c r="FQ295" s="4"/>
      <c r="FR295" s="4"/>
      <c r="FS295" s="4"/>
      <c r="FT295" s="4"/>
      <c r="FU295" s="4"/>
      <c r="FV295" s="4"/>
      <c r="FW295" s="654"/>
      <c r="FX295" s="655"/>
      <c r="FY295" s="4"/>
      <c r="FZ295" s="4"/>
      <c r="GA295" s="4"/>
      <c r="GB295" s="4"/>
      <c r="GC295" s="4"/>
      <c r="GD295" s="4"/>
      <c r="GE295" s="4"/>
      <c r="GF295" s="4"/>
      <c r="GG295" s="4"/>
      <c r="GH295" s="4"/>
      <c r="GI295" s="654"/>
      <c r="GJ295" s="655"/>
      <c r="GK295" s="4"/>
      <c r="GL295" s="4"/>
      <c r="GM295" s="4"/>
      <c r="GN295" s="4"/>
      <c r="GO295" s="4"/>
      <c r="GP295" s="4"/>
      <c r="GQ295" s="4"/>
      <c r="GR295" s="4"/>
      <c r="GS295" s="4"/>
      <c r="GT295" s="4"/>
      <c r="GU295" s="722"/>
      <c r="GV295" s="715"/>
    </row>
    <row r="296" spans="1:204" x14ac:dyDescent="0.25">
      <c r="A296" t="s">
        <v>1358</v>
      </c>
      <c r="B296" s="2" t="s">
        <v>1338</v>
      </c>
      <c r="C296" s="619">
        <v>44627</v>
      </c>
      <c r="D296" s="2" t="s">
        <v>1349</v>
      </c>
      <c r="E296" t="s">
        <v>59</v>
      </c>
      <c r="F296" s="2" t="s">
        <v>43</v>
      </c>
      <c r="G296" t="s">
        <v>40</v>
      </c>
      <c r="H296" s="690" t="s">
        <v>85</v>
      </c>
      <c r="I296" s="691" t="s">
        <v>43</v>
      </c>
      <c r="J296" s="721">
        <v>3780401000108</v>
      </c>
      <c r="K296" s="691" t="s">
        <v>620</v>
      </c>
      <c r="L296" s="721">
        <v>4149295000113</v>
      </c>
      <c r="M296" s="718" t="s">
        <v>3</v>
      </c>
      <c r="N296" s="717" t="s">
        <v>44</v>
      </c>
      <c r="O296" s="719">
        <v>44593</v>
      </c>
      <c r="P296" s="720">
        <v>44620</v>
      </c>
      <c r="Q296" s="718">
        <v>1.3</v>
      </c>
      <c r="R296" s="717">
        <v>2.9</v>
      </c>
      <c r="S296" s="691" t="s">
        <v>92</v>
      </c>
      <c r="T296" t="s">
        <v>358</v>
      </c>
      <c r="U296" s="673" t="s">
        <v>358</v>
      </c>
      <c r="V296" s="690" t="s">
        <v>358</v>
      </c>
      <c r="W296" s="657" t="s">
        <v>324</v>
      </c>
      <c r="X296" s="723"/>
      <c r="Y296" s="4">
        <v>2.9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654"/>
      <c r="AJ296" s="655"/>
      <c r="AK296" s="4"/>
      <c r="AL296" s="4"/>
      <c r="AM296" s="4"/>
      <c r="AN296" s="4"/>
      <c r="AO296" s="4"/>
      <c r="AP296" s="4"/>
      <c r="AQ296" s="4"/>
      <c r="AR296" s="4"/>
      <c r="AS296" s="4"/>
      <c r="AT296" s="4"/>
      <c r="AU296" s="654"/>
      <c r="AV296" s="655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654"/>
      <c r="BH296" s="655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654"/>
      <c r="BT296" s="655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693"/>
      <c r="CF296" s="723"/>
      <c r="CG296" s="4">
        <v>1.3</v>
      </c>
      <c r="CH296" s="4"/>
      <c r="CI296" s="4"/>
      <c r="CJ296" s="4"/>
      <c r="CK296" s="4"/>
      <c r="CL296" s="4"/>
      <c r="CM296" s="4"/>
      <c r="CN296" s="4"/>
      <c r="CO296" s="4"/>
      <c r="CP296" s="4"/>
      <c r="CQ296" s="654"/>
      <c r="CR296" s="655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654"/>
      <c r="DD296" s="655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654"/>
      <c r="DP296" s="655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654"/>
      <c r="EB296" s="655"/>
      <c r="EC296" s="4"/>
      <c r="ED296" s="4"/>
      <c r="EE296" s="4"/>
      <c r="EF296" s="4"/>
      <c r="EG296" s="4"/>
      <c r="EH296" s="4"/>
      <c r="EI296" s="4"/>
      <c r="EJ296" s="4"/>
      <c r="EK296" s="4"/>
      <c r="EL296" s="4"/>
      <c r="EM296" s="693"/>
      <c r="EN296" s="723"/>
      <c r="EO296" s="4">
        <v>57</v>
      </c>
      <c r="EP296" s="4"/>
      <c r="EQ296" s="4"/>
      <c r="ER296" s="4"/>
      <c r="ES296" s="4"/>
      <c r="ET296" s="4"/>
      <c r="EU296" s="4"/>
      <c r="EV296" s="4"/>
      <c r="EW296" s="4"/>
      <c r="EX296" s="4"/>
      <c r="EY296" s="654"/>
      <c r="EZ296" s="655"/>
      <c r="FA296" s="4"/>
      <c r="FB296" s="4"/>
      <c r="FC296" s="4"/>
      <c r="FD296" s="4"/>
      <c r="FE296" s="4"/>
      <c r="FF296" s="4"/>
      <c r="FG296" s="4"/>
      <c r="FH296" s="4"/>
      <c r="FI296" s="4"/>
      <c r="FJ296" s="4"/>
      <c r="FK296" s="654"/>
      <c r="FL296" s="655"/>
      <c r="FM296" s="4"/>
      <c r="FN296" s="4"/>
      <c r="FO296" s="4"/>
      <c r="FP296" s="4"/>
      <c r="FQ296" s="4"/>
      <c r="FR296" s="4"/>
      <c r="FS296" s="4"/>
      <c r="FT296" s="4"/>
      <c r="FU296" s="4"/>
      <c r="FV296" s="4"/>
      <c r="FW296" s="654"/>
      <c r="FX296" s="655"/>
      <c r="FY296" s="4"/>
      <c r="FZ296" s="4"/>
      <c r="GA296" s="4"/>
      <c r="GB296" s="4"/>
      <c r="GC296" s="4"/>
      <c r="GD296" s="4"/>
      <c r="GE296" s="4"/>
      <c r="GF296" s="4"/>
      <c r="GG296" s="4"/>
      <c r="GH296" s="4"/>
      <c r="GI296" s="654"/>
      <c r="GJ296" s="655"/>
      <c r="GK296" s="4"/>
      <c r="GL296" s="4"/>
      <c r="GM296" s="4"/>
      <c r="GN296" s="4"/>
      <c r="GO296" s="4"/>
      <c r="GP296" s="4"/>
      <c r="GQ296" s="4"/>
      <c r="GR296" s="4"/>
      <c r="GS296" s="4"/>
      <c r="GT296" s="4"/>
      <c r="GU296" s="722"/>
      <c r="GV296" s="715"/>
    </row>
    <row r="297" spans="1:204" x14ac:dyDescent="0.25">
      <c r="A297" t="s">
        <v>1359</v>
      </c>
      <c r="B297" s="2" t="s">
        <v>1340</v>
      </c>
      <c r="C297" s="619">
        <v>44627</v>
      </c>
      <c r="D297" s="2" t="s">
        <v>1350</v>
      </c>
      <c r="E297" t="s">
        <v>59</v>
      </c>
      <c r="F297" s="2" t="s">
        <v>43</v>
      </c>
      <c r="G297" t="s">
        <v>40</v>
      </c>
      <c r="H297" s="690" t="s">
        <v>85</v>
      </c>
      <c r="I297" s="691" t="s">
        <v>43</v>
      </c>
      <c r="J297" s="721">
        <v>3780401000108</v>
      </c>
      <c r="K297" s="691" t="s">
        <v>1167</v>
      </c>
      <c r="L297" s="721">
        <v>15087610000141</v>
      </c>
      <c r="M297" s="718" t="s">
        <v>5</v>
      </c>
      <c r="N297" s="717" t="s">
        <v>44</v>
      </c>
      <c r="O297" s="719">
        <v>44593</v>
      </c>
      <c r="P297" s="720">
        <v>44620</v>
      </c>
      <c r="Q297" s="718">
        <v>42.5</v>
      </c>
      <c r="R297" s="717">
        <v>6.48</v>
      </c>
      <c r="S297" s="691" t="s">
        <v>92</v>
      </c>
      <c r="T297" t="s">
        <v>358</v>
      </c>
      <c r="U297" s="673" t="s">
        <v>358</v>
      </c>
      <c r="V297" s="690" t="s">
        <v>358</v>
      </c>
      <c r="W297" s="657" t="s">
        <v>324</v>
      </c>
      <c r="X297" s="723"/>
      <c r="Y297" s="4">
        <v>6.48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654"/>
      <c r="AJ297" s="655"/>
      <c r="AK297" s="4"/>
      <c r="AL297" s="4"/>
      <c r="AM297" s="4"/>
      <c r="AN297" s="4"/>
      <c r="AO297" s="4"/>
      <c r="AP297" s="4"/>
      <c r="AQ297" s="4"/>
      <c r="AR297" s="4"/>
      <c r="AS297" s="4"/>
      <c r="AT297" s="4"/>
      <c r="AU297" s="654"/>
      <c r="AV297" s="655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654"/>
      <c r="BH297" s="655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654"/>
      <c r="BT297" s="655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693"/>
      <c r="CF297" s="723"/>
      <c r="CG297" s="4">
        <v>42.5</v>
      </c>
      <c r="CH297" s="4"/>
      <c r="CI297" s="4"/>
      <c r="CJ297" s="4"/>
      <c r="CK297" s="4"/>
      <c r="CL297" s="4"/>
      <c r="CM297" s="4"/>
      <c r="CN297" s="4"/>
      <c r="CO297" s="4"/>
      <c r="CP297" s="4"/>
      <c r="CQ297" s="654"/>
      <c r="CR297" s="655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654"/>
      <c r="DD297" s="655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654"/>
      <c r="DP297" s="655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654"/>
      <c r="EB297" s="655"/>
      <c r="EC297" s="4"/>
      <c r="ED297" s="4"/>
      <c r="EE297" s="4"/>
      <c r="EF297" s="4"/>
      <c r="EG297" s="4"/>
      <c r="EH297" s="4"/>
      <c r="EI297" s="4"/>
      <c r="EJ297" s="4"/>
      <c r="EK297" s="4"/>
      <c r="EL297" s="4"/>
      <c r="EM297" s="693"/>
      <c r="EN297" s="723"/>
      <c r="EO297" s="4">
        <v>98.2</v>
      </c>
      <c r="EP297" s="4"/>
      <c r="EQ297" s="4"/>
      <c r="ER297" s="4"/>
      <c r="ES297" s="4"/>
      <c r="ET297" s="4"/>
      <c r="EU297" s="4"/>
      <c r="EV297" s="4"/>
      <c r="EW297" s="4"/>
      <c r="EX297" s="4"/>
      <c r="EY297" s="654"/>
      <c r="EZ297" s="655"/>
      <c r="FA297" s="4"/>
      <c r="FB297" s="4"/>
      <c r="FC297" s="4"/>
      <c r="FD297" s="4"/>
      <c r="FE297" s="4"/>
      <c r="FF297" s="4"/>
      <c r="FG297" s="4"/>
      <c r="FH297" s="4"/>
      <c r="FI297" s="4"/>
      <c r="FJ297" s="4"/>
      <c r="FK297" s="654"/>
      <c r="FL297" s="655"/>
      <c r="FM297" s="4"/>
      <c r="FN297" s="4"/>
      <c r="FO297" s="4"/>
      <c r="FP297" s="4"/>
      <c r="FQ297" s="4"/>
      <c r="FR297" s="4"/>
      <c r="FS297" s="4"/>
      <c r="FT297" s="4"/>
      <c r="FU297" s="4"/>
      <c r="FV297" s="4"/>
      <c r="FW297" s="654"/>
      <c r="FX297" s="655"/>
      <c r="FY297" s="4"/>
      <c r="FZ297" s="4"/>
      <c r="GA297" s="4"/>
      <c r="GB297" s="4"/>
      <c r="GC297" s="4"/>
      <c r="GD297" s="4"/>
      <c r="GE297" s="4"/>
      <c r="GF297" s="4"/>
      <c r="GG297" s="4"/>
      <c r="GH297" s="4"/>
      <c r="GI297" s="654"/>
      <c r="GJ297" s="655"/>
      <c r="GK297" s="4"/>
      <c r="GL297" s="4"/>
      <c r="GM297" s="4"/>
      <c r="GN297" s="4"/>
      <c r="GO297" s="4"/>
      <c r="GP297" s="4"/>
      <c r="GQ297" s="4"/>
      <c r="GR297" s="4"/>
      <c r="GS297" s="4"/>
      <c r="GT297" s="4"/>
      <c r="GU297" s="722"/>
      <c r="GV297" s="715"/>
    </row>
    <row r="298" spans="1:204" x14ac:dyDescent="0.25">
      <c r="A298" t="s">
        <v>1360</v>
      </c>
      <c r="B298" s="2" t="s">
        <v>1342</v>
      </c>
      <c r="C298" s="619">
        <v>44627</v>
      </c>
      <c r="D298" s="2" t="s">
        <v>1351</v>
      </c>
      <c r="E298" t="s">
        <v>59</v>
      </c>
      <c r="F298" s="2" t="s">
        <v>43</v>
      </c>
      <c r="G298" t="s">
        <v>40</v>
      </c>
      <c r="H298" s="690" t="s">
        <v>85</v>
      </c>
      <c r="I298" s="691" t="s">
        <v>43</v>
      </c>
      <c r="J298" s="721">
        <v>3780401000108</v>
      </c>
      <c r="K298" s="691" t="s">
        <v>1167</v>
      </c>
      <c r="L298" s="721">
        <v>15087610000141</v>
      </c>
      <c r="M298" s="718" t="s">
        <v>5</v>
      </c>
      <c r="N298" s="717" t="s">
        <v>44</v>
      </c>
      <c r="O298" s="719">
        <v>44593</v>
      </c>
      <c r="P298" s="720">
        <v>44620</v>
      </c>
      <c r="Q298" s="718">
        <v>42.5</v>
      </c>
      <c r="R298" s="717">
        <v>5</v>
      </c>
      <c r="S298" s="691" t="s">
        <v>92</v>
      </c>
      <c r="T298" t="s">
        <v>358</v>
      </c>
      <c r="U298" s="673" t="s">
        <v>358</v>
      </c>
      <c r="V298" s="690" t="s">
        <v>358</v>
      </c>
      <c r="W298" s="657" t="s">
        <v>324</v>
      </c>
      <c r="X298" s="723"/>
      <c r="Y298" s="4">
        <v>5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654"/>
      <c r="AJ298" s="655"/>
      <c r="AK298" s="4"/>
      <c r="AL298" s="4"/>
      <c r="AM298" s="4"/>
      <c r="AN298" s="4"/>
      <c r="AO298" s="4"/>
      <c r="AP298" s="4"/>
      <c r="AQ298" s="4"/>
      <c r="AR298" s="4"/>
      <c r="AS298" s="4"/>
      <c r="AT298" s="4"/>
      <c r="AU298" s="654"/>
      <c r="AV298" s="655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654"/>
      <c r="BH298" s="655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654"/>
      <c r="BT298" s="655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693"/>
      <c r="CF298" s="723"/>
      <c r="CG298" s="4">
        <v>42.5</v>
      </c>
      <c r="CH298" s="4"/>
      <c r="CI298" s="4"/>
      <c r="CJ298" s="4"/>
      <c r="CK298" s="4"/>
      <c r="CL298" s="4"/>
      <c r="CM298" s="4"/>
      <c r="CN298" s="4"/>
      <c r="CO298" s="4"/>
      <c r="CP298" s="4"/>
      <c r="CQ298" s="654"/>
      <c r="CR298" s="655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654"/>
      <c r="DD298" s="655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654"/>
      <c r="DP298" s="655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654"/>
      <c r="EB298" s="655"/>
      <c r="EC298" s="4"/>
      <c r="ED298" s="4"/>
      <c r="EE298" s="4"/>
      <c r="EF298" s="4"/>
      <c r="EG298" s="4"/>
      <c r="EH298" s="4"/>
      <c r="EI298" s="4"/>
      <c r="EJ298" s="4"/>
      <c r="EK298" s="4"/>
      <c r="EL298" s="4"/>
      <c r="EM298" s="693"/>
      <c r="EN298" s="723"/>
      <c r="EO298" s="4">
        <v>98.2</v>
      </c>
      <c r="EP298" s="4"/>
      <c r="EQ298" s="4"/>
      <c r="ER298" s="4"/>
      <c r="ES298" s="4"/>
      <c r="ET298" s="4"/>
      <c r="EU298" s="4"/>
      <c r="EV298" s="4"/>
      <c r="EW298" s="4"/>
      <c r="EX298" s="4"/>
      <c r="EY298" s="654"/>
      <c r="EZ298" s="655"/>
      <c r="FA298" s="4"/>
      <c r="FB298" s="4"/>
      <c r="FC298" s="4"/>
      <c r="FD298" s="4"/>
      <c r="FE298" s="4"/>
      <c r="FF298" s="4"/>
      <c r="FG298" s="4"/>
      <c r="FH298" s="4"/>
      <c r="FI298" s="4"/>
      <c r="FJ298" s="4"/>
      <c r="FK298" s="654"/>
      <c r="FL298" s="655"/>
      <c r="FM298" s="4"/>
      <c r="FN298" s="4"/>
      <c r="FO298" s="4"/>
      <c r="FP298" s="4"/>
      <c r="FQ298" s="4"/>
      <c r="FR298" s="4"/>
      <c r="FS298" s="4"/>
      <c r="FT298" s="4"/>
      <c r="FU298" s="4"/>
      <c r="FV298" s="4"/>
      <c r="FW298" s="654"/>
      <c r="FX298" s="655"/>
      <c r="FY298" s="4"/>
      <c r="FZ298" s="4"/>
      <c r="GA298" s="4"/>
      <c r="GB298" s="4"/>
      <c r="GC298" s="4"/>
      <c r="GD298" s="4"/>
      <c r="GE298" s="4"/>
      <c r="GF298" s="4"/>
      <c r="GG298" s="4"/>
      <c r="GH298" s="4"/>
      <c r="GI298" s="654"/>
      <c r="GJ298" s="655"/>
      <c r="GK298" s="4"/>
      <c r="GL298" s="4"/>
      <c r="GM298" s="4"/>
      <c r="GN298" s="4"/>
      <c r="GO298" s="4"/>
      <c r="GP298" s="4"/>
      <c r="GQ298" s="4"/>
      <c r="GR298" s="4"/>
      <c r="GS298" s="4"/>
      <c r="GT298" s="4"/>
      <c r="GU298" s="722"/>
      <c r="GV298" s="715"/>
    </row>
    <row r="299" spans="1:204" x14ac:dyDescent="0.25">
      <c r="A299" t="s">
        <v>1361</v>
      </c>
      <c r="B299" s="2" t="s">
        <v>1344</v>
      </c>
      <c r="C299" s="619">
        <v>44627</v>
      </c>
      <c r="D299" s="2" t="s">
        <v>1352</v>
      </c>
      <c r="E299" t="s">
        <v>59</v>
      </c>
      <c r="F299" s="2" t="s">
        <v>43</v>
      </c>
      <c r="G299" t="s">
        <v>40</v>
      </c>
      <c r="H299" s="690" t="s">
        <v>85</v>
      </c>
      <c r="I299" s="691" t="s">
        <v>43</v>
      </c>
      <c r="J299" s="721">
        <v>3780401000108</v>
      </c>
      <c r="K299" s="691" t="s">
        <v>478</v>
      </c>
      <c r="L299" s="721">
        <v>18483400000160</v>
      </c>
      <c r="M299" s="718" t="s">
        <v>3</v>
      </c>
      <c r="N299" s="717" t="s">
        <v>44</v>
      </c>
      <c r="O299" s="719">
        <v>44621</v>
      </c>
      <c r="P299" s="720">
        <v>44651</v>
      </c>
      <c r="Q299" s="718">
        <v>58</v>
      </c>
      <c r="R299" s="717">
        <v>1.8</v>
      </c>
      <c r="S299" s="691" t="s">
        <v>54</v>
      </c>
      <c r="T299" t="s">
        <v>358</v>
      </c>
      <c r="U299" s="673" t="s">
        <v>358</v>
      </c>
      <c r="V299" s="690" t="s">
        <v>358</v>
      </c>
      <c r="W299" s="657" t="s">
        <v>329</v>
      </c>
      <c r="X299" s="723"/>
      <c r="Y299" s="4"/>
      <c r="Z299" s="4">
        <v>1.8</v>
      </c>
      <c r="AA299" s="4"/>
      <c r="AB299" s="4"/>
      <c r="AC299" s="4"/>
      <c r="AD299" s="4"/>
      <c r="AE299" s="4"/>
      <c r="AF299" s="4"/>
      <c r="AG299" s="4"/>
      <c r="AH299" s="4"/>
      <c r="AI299" s="654"/>
      <c r="AJ299" s="655"/>
      <c r="AK299" s="4"/>
      <c r="AL299" s="4"/>
      <c r="AM299" s="4"/>
      <c r="AN299" s="4"/>
      <c r="AO299" s="4"/>
      <c r="AP299" s="4"/>
      <c r="AQ299" s="4"/>
      <c r="AR299" s="4"/>
      <c r="AS299" s="4"/>
      <c r="AT299" s="4"/>
      <c r="AU299" s="654"/>
      <c r="AV299" s="655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654"/>
      <c r="BH299" s="655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654"/>
      <c r="BT299" s="655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693"/>
      <c r="CF299" s="723"/>
      <c r="CG299" s="4"/>
      <c r="CH299" s="4">
        <v>58</v>
      </c>
      <c r="CI299" s="4"/>
      <c r="CJ299" s="4"/>
      <c r="CK299" s="4"/>
      <c r="CL299" s="4"/>
      <c r="CM299" s="4"/>
      <c r="CN299" s="4"/>
      <c r="CO299" s="4"/>
      <c r="CP299" s="4"/>
      <c r="CQ299" s="654"/>
      <c r="CR299" s="655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654"/>
      <c r="DD299" s="655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654"/>
      <c r="DP299" s="655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654"/>
      <c r="EB299" s="655"/>
      <c r="EC299" s="4"/>
      <c r="ED299" s="4"/>
      <c r="EE299" s="4"/>
      <c r="EF299" s="4"/>
      <c r="EG299" s="4"/>
      <c r="EH299" s="4"/>
      <c r="EI299" s="4"/>
      <c r="EJ299" s="4"/>
      <c r="EK299" s="4"/>
      <c r="EL299" s="4"/>
      <c r="EM299" s="693"/>
      <c r="EN299" s="723"/>
      <c r="EO299" s="4"/>
      <c r="EP299" s="4">
        <v>58</v>
      </c>
      <c r="EQ299" s="4"/>
      <c r="ER299" s="4"/>
      <c r="ES299" s="4"/>
      <c r="ET299" s="4"/>
      <c r="EU299" s="4"/>
      <c r="EV299" s="4"/>
      <c r="EW299" s="4"/>
      <c r="EX299" s="4"/>
      <c r="EY299" s="654"/>
      <c r="EZ299" s="655"/>
      <c r="FA299" s="4"/>
      <c r="FB299" s="4"/>
      <c r="FC299" s="4"/>
      <c r="FD299" s="4"/>
      <c r="FE299" s="4"/>
      <c r="FF299" s="4"/>
      <c r="FG299" s="4"/>
      <c r="FH299" s="4"/>
      <c r="FI299" s="4"/>
      <c r="FJ299" s="4"/>
      <c r="FK299" s="654"/>
      <c r="FL299" s="655"/>
      <c r="FM299" s="4"/>
      <c r="FN299" s="4"/>
      <c r="FO299" s="4"/>
      <c r="FP299" s="4"/>
      <c r="FQ299" s="4"/>
      <c r="FR299" s="4"/>
      <c r="FS299" s="4"/>
      <c r="FT299" s="4"/>
      <c r="FU299" s="4"/>
      <c r="FV299" s="4"/>
      <c r="FW299" s="654"/>
      <c r="FX299" s="655"/>
      <c r="FY299" s="4"/>
      <c r="FZ299" s="4"/>
      <c r="GA299" s="4"/>
      <c r="GB299" s="4"/>
      <c r="GC299" s="4"/>
      <c r="GD299" s="4"/>
      <c r="GE299" s="4"/>
      <c r="GF299" s="4"/>
      <c r="GG299" s="4"/>
      <c r="GH299" s="4"/>
      <c r="GI299" s="654"/>
      <c r="GJ299" s="655"/>
      <c r="GK299" s="4"/>
      <c r="GL299" s="4"/>
      <c r="GM299" s="4"/>
      <c r="GN299" s="4"/>
      <c r="GO299" s="4"/>
      <c r="GP299" s="4"/>
      <c r="GQ299" s="4"/>
      <c r="GR299" s="4"/>
      <c r="GS299" s="4"/>
      <c r="GT299" s="4"/>
      <c r="GU299" s="722"/>
      <c r="GV299" s="715"/>
    </row>
    <row r="300" spans="1:204" x14ac:dyDescent="0.25">
      <c r="A300" t="s">
        <v>1362</v>
      </c>
      <c r="B300" s="2" t="s">
        <v>1346</v>
      </c>
      <c r="C300" s="619">
        <v>44627</v>
      </c>
      <c r="D300" s="2" t="s">
        <v>1353</v>
      </c>
      <c r="E300" t="s">
        <v>59</v>
      </c>
      <c r="F300" s="2" t="s">
        <v>43</v>
      </c>
      <c r="G300" t="s">
        <v>40</v>
      </c>
      <c r="H300" s="690" t="s">
        <v>85</v>
      </c>
      <c r="I300" s="691" t="s">
        <v>43</v>
      </c>
      <c r="J300" s="721">
        <v>3780401000108</v>
      </c>
      <c r="K300" s="691" t="s">
        <v>507</v>
      </c>
      <c r="L300" s="721">
        <v>11315117000180</v>
      </c>
      <c r="M300" s="718" t="s">
        <v>5</v>
      </c>
      <c r="N300" s="717" t="s">
        <v>44</v>
      </c>
      <c r="O300" s="719">
        <v>44593</v>
      </c>
      <c r="P300" s="720">
        <v>44620</v>
      </c>
      <c r="Q300" s="718">
        <v>43</v>
      </c>
      <c r="R300" s="717">
        <v>0.3</v>
      </c>
      <c r="S300" s="691" t="s">
        <v>92</v>
      </c>
      <c r="T300" t="s">
        <v>358</v>
      </c>
      <c r="U300" s="673" t="s">
        <v>358</v>
      </c>
      <c r="V300" s="690" t="s">
        <v>358</v>
      </c>
      <c r="W300" s="657" t="s">
        <v>324</v>
      </c>
      <c r="X300" s="723"/>
      <c r="Y300" s="4">
        <v>0.3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654"/>
      <c r="AJ300" s="655"/>
      <c r="AK300" s="4"/>
      <c r="AL300" s="4"/>
      <c r="AM300" s="4"/>
      <c r="AN300" s="4"/>
      <c r="AO300" s="4"/>
      <c r="AP300" s="4"/>
      <c r="AQ300" s="4"/>
      <c r="AR300" s="4"/>
      <c r="AS300" s="4"/>
      <c r="AT300" s="4"/>
      <c r="AU300" s="654"/>
      <c r="AV300" s="655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654"/>
      <c r="BH300" s="655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654"/>
      <c r="BT300" s="655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693"/>
      <c r="CF300" s="723"/>
      <c r="CG300" s="4">
        <v>43</v>
      </c>
      <c r="CH300" s="4"/>
      <c r="CI300" s="4"/>
      <c r="CJ300" s="4"/>
      <c r="CK300" s="4"/>
      <c r="CL300" s="4"/>
      <c r="CM300" s="4"/>
      <c r="CN300" s="4"/>
      <c r="CO300" s="4"/>
      <c r="CP300" s="4"/>
      <c r="CQ300" s="654"/>
      <c r="CR300" s="655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654"/>
      <c r="DD300" s="655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654"/>
      <c r="DP300" s="655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654"/>
      <c r="EB300" s="655"/>
      <c r="EC300" s="4"/>
      <c r="ED300" s="4"/>
      <c r="EE300" s="4"/>
      <c r="EF300" s="4"/>
      <c r="EG300" s="4"/>
      <c r="EH300" s="4"/>
      <c r="EI300" s="4"/>
      <c r="EJ300" s="4"/>
      <c r="EK300" s="4"/>
      <c r="EL300" s="4"/>
      <c r="EM300" s="693"/>
      <c r="EN300" s="723"/>
      <c r="EO300" s="4">
        <v>98.7</v>
      </c>
      <c r="EP300" s="4"/>
      <c r="EQ300" s="4"/>
      <c r="ER300" s="4"/>
      <c r="ES300" s="4"/>
      <c r="ET300" s="4"/>
      <c r="EU300" s="4"/>
      <c r="EV300" s="4"/>
      <c r="EW300" s="4"/>
      <c r="EX300" s="4"/>
      <c r="EY300" s="654"/>
      <c r="EZ300" s="655"/>
      <c r="FA300" s="4"/>
      <c r="FB300" s="4"/>
      <c r="FC300" s="4"/>
      <c r="FD300" s="4"/>
      <c r="FE300" s="4"/>
      <c r="FF300" s="4"/>
      <c r="FG300" s="4"/>
      <c r="FH300" s="4"/>
      <c r="FI300" s="4"/>
      <c r="FJ300" s="4"/>
      <c r="FK300" s="654"/>
      <c r="FL300" s="655"/>
      <c r="FM300" s="4"/>
      <c r="FN300" s="4"/>
      <c r="FO300" s="4"/>
      <c r="FP300" s="4"/>
      <c r="FQ300" s="4"/>
      <c r="FR300" s="4"/>
      <c r="FS300" s="4"/>
      <c r="FT300" s="4"/>
      <c r="FU300" s="4"/>
      <c r="FV300" s="4"/>
      <c r="FW300" s="654"/>
      <c r="FX300" s="655"/>
      <c r="FY300" s="4"/>
      <c r="FZ300" s="4"/>
      <c r="GA300" s="4"/>
      <c r="GB300" s="4"/>
      <c r="GC300" s="4"/>
      <c r="GD300" s="4"/>
      <c r="GE300" s="4"/>
      <c r="GF300" s="4"/>
      <c r="GG300" s="4"/>
      <c r="GH300" s="4"/>
      <c r="GI300" s="654"/>
      <c r="GJ300" s="655"/>
      <c r="GK300" s="4"/>
      <c r="GL300" s="4"/>
      <c r="GM300" s="4"/>
      <c r="GN300" s="4"/>
      <c r="GO300" s="4"/>
      <c r="GP300" s="4"/>
      <c r="GQ300" s="4"/>
      <c r="GR300" s="4"/>
      <c r="GS300" s="4"/>
      <c r="GT300" s="4"/>
      <c r="GU300" s="722"/>
      <c r="GV300" s="715"/>
    </row>
    <row r="301" spans="1:204" x14ac:dyDescent="0.25">
      <c r="A301" t="s">
        <v>1363</v>
      </c>
      <c r="B301" s="2" t="s">
        <v>1355</v>
      </c>
      <c r="C301" s="619">
        <v>44627</v>
      </c>
      <c r="D301" s="2" t="s">
        <v>1354</v>
      </c>
      <c r="E301" t="s">
        <v>59</v>
      </c>
      <c r="F301" s="2" t="s">
        <v>43</v>
      </c>
      <c r="G301" t="s">
        <v>40</v>
      </c>
      <c r="H301" s="690" t="s">
        <v>85</v>
      </c>
      <c r="I301" s="691" t="s">
        <v>43</v>
      </c>
      <c r="J301" s="721">
        <v>3780401000108</v>
      </c>
      <c r="K301" s="691" t="s">
        <v>507</v>
      </c>
      <c r="L301" s="721">
        <v>11315117000180</v>
      </c>
      <c r="M301" s="718" t="s">
        <v>3</v>
      </c>
      <c r="N301" s="717" t="s">
        <v>44</v>
      </c>
      <c r="O301" s="719">
        <v>44593</v>
      </c>
      <c r="P301" s="720">
        <v>44620</v>
      </c>
      <c r="Q301" s="718">
        <v>1.3</v>
      </c>
      <c r="R301" s="717">
        <v>3</v>
      </c>
      <c r="S301" s="691" t="s">
        <v>92</v>
      </c>
      <c r="T301" t="s">
        <v>358</v>
      </c>
      <c r="U301" s="673" t="s">
        <v>358</v>
      </c>
      <c r="V301" s="690" t="s">
        <v>358</v>
      </c>
      <c r="W301" s="657" t="s">
        <v>324</v>
      </c>
      <c r="X301" s="723"/>
      <c r="Y301" s="4">
        <v>3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654"/>
      <c r="AJ301" s="655"/>
      <c r="AK301" s="4"/>
      <c r="AL301" s="4"/>
      <c r="AM301" s="4"/>
      <c r="AN301" s="4"/>
      <c r="AO301" s="4"/>
      <c r="AP301" s="4"/>
      <c r="AQ301" s="4"/>
      <c r="AR301" s="4"/>
      <c r="AS301" s="4"/>
      <c r="AT301" s="4"/>
      <c r="AU301" s="654"/>
      <c r="AV301" s="655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654"/>
      <c r="BH301" s="655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654"/>
      <c r="BT301" s="655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693"/>
      <c r="CF301" s="723"/>
      <c r="CG301" s="4">
        <v>1.3</v>
      </c>
      <c r="CH301" s="4"/>
      <c r="CI301" s="4"/>
      <c r="CJ301" s="4"/>
      <c r="CK301" s="4"/>
      <c r="CL301" s="4"/>
      <c r="CM301" s="4"/>
      <c r="CN301" s="4"/>
      <c r="CO301" s="4"/>
      <c r="CP301" s="4"/>
      <c r="CQ301" s="654"/>
      <c r="CR301" s="655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654"/>
      <c r="DD301" s="655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654"/>
      <c r="DP301" s="655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654"/>
      <c r="EB301" s="655"/>
      <c r="EC301" s="4"/>
      <c r="ED301" s="4"/>
      <c r="EE301" s="4"/>
      <c r="EF301" s="4"/>
      <c r="EG301" s="4"/>
      <c r="EH301" s="4"/>
      <c r="EI301" s="4"/>
      <c r="EJ301" s="4"/>
      <c r="EK301" s="4"/>
      <c r="EL301" s="4"/>
      <c r="EM301" s="693"/>
      <c r="EN301" s="723"/>
      <c r="EO301" s="4">
        <v>57</v>
      </c>
      <c r="EP301" s="4"/>
      <c r="EQ301" s="4"/>
      <c r="ER301" s="4"/>
      <c r="ES301" s="4"/>
      <c r="ET301" s="4"/>
      <c r="EU301" s="4"/>
      <c r="EV301" s="4"/>
      <c r="EW301" s="4"/>
      <c r="EX301" s="4"/>
      <c r="EY301" s="654"/>
      <c r="EZ301" s="655"/>
      <c r="FA301" s="4"/>
      <c r="FB301" s="4"/>
      <c r="FC301" s="4"/>
      <c r="FD301" s="4"/>
      <c r="FE301" s="4"/>
      <c r="FF301" s="4"/>
      <c r="FG301" s="4"/>
      <c r="FH301" s="4"/>
      <c r="FI301" s="4"/>
      <c r="FJ301" s="4"/>
      <c r="FK301" s="654"/>
      <c r="FL301" s="655"/>
      <c r="FM301" s="4"/>
      <c r="FN301" s="4"/>
      <c r="FO301" s="4"/>
      <c r="FP301" s="4"/>
      <c r="FQ301" s="4"/>
      <c r="FR301" s="4"/>
      <c r="FS301" s="4"/>
      <c r="FT301" s="4"/>
      <c r="FU301" s="4"/>
      <c r="FV301" s="4"/>
      <c r="FW301" s="654"/>
      <c r="FX301" s="655"/>
      <c r="FY301" s="4"/>
      <c r="FZ301" s="4"/>
      <c r="GA301" s="4"/>
      <c r="GB301" s="4"/>
      <c r="GC301" s="4"/>
      <c r="GD301" s="4"/>
      <c r="GE301" s="4"/>
      <c r="GF301" s="4"/>
      <c r="GG301" s="4"/>
      <c r="GH301" s="4"/>
      <c r="GI301" s="654"/>
      <c r="GJ301" s="655"/>
      <c r="GK301" s="4"/>
      <c r="GL301" s="4"/>
      <c r="GM301" s="4"/>
      <c r="GN301" s="4"/>
      <c r="GO301" s="4"/>
      <c r="GP301" s="4"/>
      <c r="GQ301" s="4"/>
      <c r="GR301" s="4"/>
      <c r="GS301" s="4"/>
      <c r="GT301" s="4"/>
      <c r="GU301" s="722"/>
      <c r="GV301" s="715"/>
    </row>
    <row r="302" spans="1:204" x14ac:dyDescent="0.25">
      <c r="A302" t="s">
        <v>1365</v>
      </c>
      <c r="B302" s="2" t="s">
        <v>1357</v>
      </c>
      <c r="C302" s="619">
        <v>44628</v>
      </c>
      <c r="D302" s="2" t="s">
        <v>1364</v>
      </c>
      <c r="E302" t="s">
        <v>59</v>
      </c>
      <c r="F302" s="2" t="s">
        <v>43</v>
      </c>
      <c r="G302" t="s">
        <v>40</v>
      </c>
      <c r="H302" s="690" t="s">
        <v>85</v>
      </c>
      <c r="I302" s="691" t="s">
        <v>43</v>
      </c>
      <c r="J302" s="721">
        <v>3780401000108</v>
      </c>
      <c r="K302" s="691" t="s">
        <v>466</v>
      </c>
      <c r="L302" s="721">
        <v>26940979000171</v>
      </c>
      <c r="M302" s="718" t="s">
        <v>3</v>
      </c>
      <c r="N302" s="717" t="s">
        <v>44</v>
      </c>
      <c r="O302" s="719">
        <v>44713</v>
      </c>
      <c r="P302" s="720">
        <v>44742</v>
      </c>
      <c r="Q302" s="718">
        <v>125</v>
      </c>
      <c r="R302" s="717">
        <v>2</v>
      </c>
      <c r="S302" s="691" t="s">
        <v>54</v>
      </c>
      <c r="T302" t="s">
        <v>358</v>
      </c>
      <c r="U302" s="673" t="s">
        <v>358</v>
      </c>
      <c r="V302" s="690" t="s">
        <v>358</v>
      </c>
      <c r="W302" s="657" t="s">
        <v>329</v>
      </c>
      <c r="X302" s="723"/>
      <c r="Y302" s="4"/>
      <c r="Z302" s="4"/>
      <c r="AA302" s="4"/>
      <c r="AB302" s="4"/>
      <c r="AC302" s="4">
        <v>2</v>
      </c>
      <c r="AD302" s="4"/>
      <c r="AE302" s="4"/>
      <c r="AF302" s="4"/>
      <c r="AG302" s="4"/>
      <c r="AH302" s="4"/>
      <c r="AI302" s="654"/>
      <c r="AJ302" s="655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654"/>
      <c r="AV302" s="655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654"/>
      <c r="BH302" s="655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654"/>
      <c r="BT302" s="655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693"/>
      <c r="CF302" s="723"/>
      <c r="CG302" s="4"/>
      <c r="CH302" s="4"/>
      <c r="CI302" s="4"/>
      <c r="CJ302" s="4"/>
      <c r="CK302" s="4">
        <v>125</v>
      </c>
      <c r="CL302" s="4"/>
      <c r="CM302" s="4"/>
      <c r="CN302" s="4"/>
      <c r="CO302" s="4"/>
      <c r="CP302" s="4"/>
      <c r="CQ302" s="654"/>
      <c r="CR302" s="655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654"/>
      <c r="DD302" s="655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654"/>
      <c r="DP302" s="655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654"/>
      <c r="EB302" s="655"/>
      <c r="EC302" s="4"/>
      <c r="ED302" s="4"/>
      <c r="EE302" s="4"/>
      <c r="EF302" s="4"/>
      <c r="EG302" s="4"/>
      <c r="EH302" s="4"/>
      <c r="EI302" s="4"/>
      <c r="EJ302" s="4"/>
      <c r="EK302" s="4"/>
      <c r="EL302" s="4"/>
      <c r="EM302" s="693"/>
      <c r="EN302" s="723"/>
      <c r="EO302" s="4"/>
      <c r="EP302" s="4"/>
      <c r="EQ302" s="4"/>
      <c r="ER302" s="4"/>
      <c r="ES302" s="4">
        <v>125</v>
      </c>
      <c r="ET302" s="4"/>
      <c r="EU302" s="4"/>
      <c r="EV302" s="4"/>
      <c r="EW302" s="4"/>
      <c r="EX302" s="4"/>
      <c r="EY302" s="654"/>
      <c r="EZ302" s="655"/>
      <c r="FA302" s="4"/>
      <c r="FB302" s="4"/>
      <c r="FC302" s="4"/>
      <c r="FD302" s="4"/>
      <c r="FE302" s="4"/>
      <c r="FF302" s="4"/>
      <c r="FG302" s="4"/>
      <c r="FH302" s="4"/>
      <c r="FI302" s="4"/>
      <c r="FJ302" s="4"/>
      <c r="FK302" s="654"/>
      <c r="FL302" s="655"/>
      <c r="FM302" s="4"/>
      <c r="FN302" s="4"/>
      <c r="FO302" s="4"/>
      <c r="FP302" s="4"/>
      <c r="FQ302" s="4"/>
      <c r="FR302" s="4"/>
      <c r="FS302" s="4"/>
      <c r="FT302" s="4"/>
      <c r="FU302" s="4"/>
      <c r="FV302" s="4"/>
      <c r="FW302" s="654"/>
      <c r="FX302" s="655"/>
      <c r="FY302" s="4"/>
      <c r="FZ302" s="4"/>
      <c r="GA302" s="4"/>
      <c r="GB302" s="4"/>
      <c r="GC302" s="4"/>
      <c r="GD302" s="4"/>
      <c r="GE302" s="4"/>
      <c r="GF302" s="4"/>
      <c r="GG302" s="4"/>
      <c r="GH302" s="4"/>
      <c r="GI302" s="654"/>
      <c r="GJ302" s="655"/>
      <c r="GK302" s="4"/>
      <c r="GL302" s="4"/>
      <c r="GM302" s="4"/>
      <c r="GN302" s="4"/>
      <c r="GO302" s="4"/>
      <c r="GP302" s="4"/>
      <c r="GQ302" s="4"/>
      <c r="GR302" s="4"/>
      <c r="GS302" s="4"/>
      <c r="GT302" s="4"/>
      <c r="GU302" s="722"/>
      <c r="GV302" s="715"/>
    </row>
    <row r="303" spans="1:204" x14ac:dyDescent="0.25">
      <c r="A303" t="s">
        <v>1369</v>
      </c>
      <c r="B303" s="2" t="s">
        <v>358</v>
      </c>
      <c r="C303" s="619">
        <v>44630</v>
      </c>
      <c r="D303" s="2" t="s">
        <v>1366</v>
      </c>
      <c r="E303" t="s">
        <v>59</v>
      </c>
      <c r="F303" s="2" t="s">
        <v>43</v>
      </c>
      <c r="G303" t="s">
        <v>40</v>
      </c>
      <c r="H303" s="690" t="s">
        <v>85</v>
      </c>
      <c r="I303" s="691" t="s">
        <v>43</v>
      </c>
      <c r="J303" s="721">
        <v>3780401000108</v>
      </c>
      <c r="K303" s="691" t="s">
        <v>349</v>
      </c>
      <c r="L303" s="721">
        <v>4973790000142</v>
      </c>
      <c r="M303" s="718" t="s">
        <v>3</v>
      </c>
      <c r="N303" s="717" t="s">
        <v>44</v>
      </c>
      <c r="O303" s="719">
        <v>44652</v>
      </c>
      <c r="P303" s="720">
        <v>44681</v>
      </c>
      <c r="Q303" s="718">
        <v>68</v>
      </c>
      <c r="R303" s="717">
        <v>5</v>
      </c>
      <c r="S303" s="691" t="s">
        <v>54</v>
      </c>
      <c r="T303" t="s">
        <v>358</v>
      </c>
      <c r="U303" s="673" t="s">
        <v>358</v>
      </c>
      <c r="V303" s="690" t="s">
        <v>358</v>
      </c>
      <c r="W303" s="657" t="s">
        <v>214</v>
      </c>
      <c r="X303" s="723"/>
      <c r="Y303" s="4"/>
      <c r="Z303" s="4"/>
      <c r="AA303" s="4">
        <v>5</v>
      </c>
      <c r="AB303" s="4"/>
      <c r="AC303" s="4"/>
      <c r="AD303" s="4"/>
      <c r="AE303" s="4"/>
      <c r="AF303" s="4"/>
      <c r="AG303" s="4"/>
      <c r="AH303" s="4"/>
      <c r="AI303" s="654"/>
      <c r="AJ303" s="655"/>
      <c r="AK303" s="4"/>
      <c r="AL303" s="4"/>
      <c r="AM303" s="4"/>
      <c r="AN303" s="4"/>
      <c r="AO303" s="4"/>
      <c r="AP303" s="4"/>
      <c r="AQ303" s="4"/>
      <c r="AR303" s="4"/>
      <c r="AS303" s="4"/>
      <c r="AT303" s="4"/>
      <c r="AU303" s="654"/>
      <c r="AV303" s="655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654"/>
      <c r="BH303" s="655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654"/>
      <c r="BT303" s="655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693"/>
      <c r="CF303" s="723"/>
      <c r="CG303" s="4"/>
      <c r="CH303" s="4"/>
      <c r="CI303" s="4">
        <v>68</v>
      </c>
      <c r="CJ303" s="4"/>
      <c r="CK303" s="4"/>
      <c r="CL303" s="4"/>
      <c r="CM303" s="4"/>
      <c r="CN303" s="4"/>
      <c r="CO303" s="4"/>
      <c r="CP303" s="4"/>
      <c r="CQ303" s="654"/>
      <c r="CR303" s="655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654"/>
      <c r="DD303" s="655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654"/>
      <c r="DP303" s="655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654"/>
      <c r="EB303" s="655"/>
      <c r="EC303" s="4"/>
      <c r="ED303" s="4"/>
      <c r="EE303" s="4"/>
      <c r="EF303" s="4"/>
      <c r="EG303" s="4"/>
      <c r="EH303" s="4"/>
      <c r="EI303" s="4"/>
      <c r="EJ303" s="4"/>
      <c r="EK303" s="4"/>
      <c r="EL303" s="4"/>
      <c r="EM303" s="693"/>
      <c r="EN303" s="723"/>
      <c r="EO303" s="4"/>
      <c r="EP303" s="4"/>
      <c r="EQ303" s="4">
        <v>68</v>
      </c>
      <c r="ER303" s="4"/>
      <c r="ES303" s="4"/>
      <c r="ET303" s="4"/>
      <c r="EU303" s="4"/>
      <c r="EV303" s="4"/>
      <c r="EW303" s="4"/>
      <c r="EX303" s="4"/>
      <c r="EY303" s="654"/>
      <c r="EZ303" s="655"/>
      <c r="FA303" s="4"/>
      <c r="FB303" s="4"/>
      <c r="FC303" s="4"/>
      <c r="FD303" s="4"/>
      <c r="FE303" s="4"/>
      <c r="FF303" s="4"/>
      <c r="FG303" s="4"/>
      <c r="FH303" s="4"/>
      <c r="FI303" s="4"/>
      <c r="FJ303" s="4"/>
      <c r="FK303" s="654"/>
      <c r="FL303" s="655"/>
      <c r="FM303" s="4"/>
      <c r="FN303" s="4"/>
      <c r="FO303" s="4"/>
      <c r="FP303" s="4"/>
      <c r="FQ303" s="4"/>
      <c r="FR303" s="4"/>
      <c r="FS303" s="4"/>
      <c r="FT303" s="4"/>
      <c r="FU303" s="4"/>
      <c r="FV303" s="4"/>
      <c r="FW303" s="654"/>
      <c r="FX303" s="655"/>
      <c r="FY303" s="4"/>
      <c r="FZ303" s="4"/>
      <c r="GA303" s="4"/>
      <c r="GB303" s="4"/>
      <c r="GC303" s="4"/>
      <c r="GD303" s="4"/>
      <c r="GE303" s="4"/>
      <c r="GF303" s="4"/>
      <c r="GG303" s="4"/>
      <c r="GH303" s="4"/>
      <c r="GI303" s="654"/>
      <c r="GJ303" s="655"/>
      <c r="GK303" s="4"/>
      <c r="GL303" s="4"/>
      <c r="GM303" s="4"/>
      <c r="GN303" s="4"/>
      <c r="GO303" s="4"/>
      <c r="GP303" s="4"/>
      <c r="GQ303" s="4"/>
      <c r="GR303" s="4"/>
      <c r="GS303" s="4"/>
      <c r="GT303" s="4"/>
      <c r="GU303" s="722"/>
      <c r="GV303" s="715"/>
    </row>
    <row r="304" spans="1:204" x14ac:dyDescent="0.25">
      <c r="A304" t="s">
        <v>1370</v>
      </c>
      <c r="B304" s="2" t="s">
        <v>358</v>
      </c>
      <c r="C304" s="619">
        <v>44630</v>
      </c>
      <c r="D304" s="2" t="s">
        <v>1367</v>
      </c>
      <c r="E304" t="s">
        <v>59</v>
      </c>
      <c r="F304" s="2" t="s">
        <v>43</v>
      </c>
      <c r="G304" t="s">
        <v>40</v>
      </c>
      <c r="H304" s="690" t="s">
        <v>85</v>
      </c>
      <c r="I304" s="691" t="s">
        <v>43</v>
      </c>
      <c r="J304" s="721">
        <v>3780401000108</v>
      </c>
      <c r="K304" s="691" t="s">
        <v>467</v>
      </c>
      <c r="L304" s="721">
        <v>25099255000184</v>
      </c>
      <c r="M304" s="718" t="s">
        <v>3</v>
      </c>
      <c r="N304" s="717" t="s">
        <v>44</v>
      </c>
      <c r="O304" s="719">
        <v>44652</v>
      </c>
      <c r="P304" s="720">
        <v>44681</v>
      </c>
      <c r="Q304" s="718">
        <v>68.5</v>
      </c>
      <c r="R304" s="717">
        <v>5</v>
      </c>
      <c r="S304" s="691" t="s">
        <v>54</v>
      </c>
      <c r="T304" t="s">
        <v>358</v>
      </c>
      <c r="U304" s="673" t="s">
        <v>358</v>
      </c>
      <c r="V304" s="690" t="s">
        <v>358</v>
      </c>
      <c r="W304" s="657" t="s">
        <v>214</v>
      </c>
      <c r="X304" s="723"/>
      <c r="Y304" s="4"/>
      <c r="Z304" s="4"/>
      <c r="AA304" s="4">
        <v>5</v>
      </c>
      <c r="AB304" s="4"/>
      <c r="AC304" s="4"/>
      <c r="AD304" s="4"/>
      <c r="AE304" s="4"/>
      <c r="AF304" s="4"/>
      <c r="AG304" s="4"/>
      <c r="AH304" s="4"/>
      <c r="AI304" s="654"/>
      <c r="AJ304" s="655"/>
      <c r="AK304" s="4"/>
      <c r="AL304" s="4"/>
      <c r="AM304" s="4"/>
      <c r="AN304" s="4"/>
      <c r="AO304" s="4"/>
      <c r="AP304" s="4"/>
      <c r="AQ304" s="4"/>
      <c r="AR304" s="4"/>
      <c r="AS304" s="4"/>
      <c r="AT304" s="4"/>
      <c r="AU304" s="654"/>
      <c r="AV304" s="655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654"/>
      <c r="BH304" s="655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654"/>
      <c r="BT304" s="655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693"/>
      <c r="CF304" s="723"/>
      <c r="CG304" s="4"/>
      <c r="CH304" s="4"/>
      <c r="CI304" s="4">
        <v>68.5</v>
      </c>
      <c r="CJ304" s="4"/>
      <c r="CK304" s="4"/>
      <c r="CL304" s="4"/>
      <c r="CM304" s="4"/>
      <c r="CN304" s="4"/>
      <c r="CO304" s="4"/>
      <c r="CP304" s="4"/>
      <c r="CQ304" s="654"/>
      <c r="CR304" s="655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654"/>
      <c r="DD304" s="655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654"/>
      <c r="DP304" s="655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654"/>
      <c r="EB304" s="655"/>
      <c r="EC304" s="4"/>
      <c r="ED304" s="4"/>
      <c r="EE304" s="4"/>
      <c r="EF304" s="4"/>
      <c r="EG304" s="4"/>
      <c r="EH304" s="4"/>
      <c r="EI304" s="4"/>
      <c r="EJ304" s="4"/>
      <c r="EK304" s="4"/>
      <c r="EL304" s="4"/>
      <c r="EM304" s="693"/>
      <c r="EN304" s="723"/>
      <c r="EO304" s="4"/>
      <c r="EP304" s="4"/>
      <c r="EQ304" s="4">
        <v>68.5</v>
      </c>
      <c r="ER304" s="4"/>
      <c r="ES304" s="4"/>
      <c r="ET304" s="4"/>
      <c r="EU304" s="4"/>
      <c r="EV304" s="4"/>
      <c r="EW304" s="4"/>
      <c r="EX304" s="4"/>
      <c r="EY304" s="654"/>
      <c r="EZ304" s="655"/>
      <c r="FA304" s="4"/>
      <c r="FB304" s="4"/>
      <c r="FC304" s="4"/>
      <c r="FD304" s="4"/>
      <c r="FE304" s="4"/>
      <c r="FF304" s="4"/>
      <c r="FG304" s="4"/>
      <c r="FH304" s="4"/>
      <c r="FI304" s="4"/>
      <c r="FJ304" s="4"/>
      <c r="FK304" s="654"/>
      <c r="FL304" s="655"/>
      <c r="FM304" s="4"/>
      <c r="FN304" s="4"/>
      <c r="FO304" s="4"/>
      <c r="FP304" s="4"/>
      <c r="FQ304" s="4"/>
      <c r="FR304" s="4"/>
      <c r="FS304" s="4"/>
      <c r="FT304" s="4"/>
      <c r="FU304" s="4"/>
      <c r="FV304" s="4"/>
      <c r="FW304" s="654"/>
      <c r="FX304" s="655"/>
      <c r="FY304" s="4"/>
      <c r="FZ304" s="4"/>
      <c r="GA304" s="4"/>
      <c r="GB304" s="4"/>
      <c r="GC304" s="4"/>
      <c r="GD304" s="4"/>
      <c r="GE304" s="4"/>
      <c r="GF304" s="4"/>
      <c r="GG304" s="4"/>
      <c r="GH304" s="4"/>
      <c r="GI304" s="654"/>
      <c r="GJ304" s="655"/>
      <c r="GK304" s="4"/>
      <c r="GL304" s="4"/>
      <c r="GM304" s="4"/>
      <c r="GN304" s="4"/>
      <c r="GO304" s="4"/>
      <c r="GP304" s="4"/>
      <c r="GQ304" s="4"/>
      <c r="GR304" s="4"/>
      <c r="GS304" s="4"/>
      <c r="GT304" s="4"/>
      <c r="GU304" s="722"/>
      <c r="GV304" s="715"/>
    </row>
    <row r="305" spans="1:204" x14ac:dyDescent="0.25">
      <c r="A305" t="s">
        <v>1371</v>
      </c>
      <c r="B305" s="2" t="s">
        <v>358</v>
      </c>
      <c r="C305" s="619">
        <v>44630</v>
      </c>
      <c r="D305" s="2" t="s">
        <v>1368</v>
      </c>
      <c r="E305" t="s">
        <v>59</v>
      </c>
      <c r="F305" s="2" t="s">
        <v>43</v>
      </c>
      <c r="G305" t="s">
        <v>40</v>
      </c>
      <c r="H305" s="690" t="s">
        <v>85</v>
      </c>
      <c r="I305" s="691" t="s">
        <v>43</v>
      </c>
      <c r="J305" s="721">
        <v>3780401000108</v>
      </c>
      <c r="K305" s="691" t="s">
        <v>349</v>
      </c>
      <c r="L305" s="721">
        <v>4973790000142</v>
      </c>
      <c r="M305" s="718" t="s">
        <v>3</v>
      </c>
      <c r="N305" s="717" t="s">
        <v>44</v>
      </c>
      <c r="O305" s="719">
        <v>44652</v>
      </c>
      <c r="P305" s="720">
        <v>44681</v>
      </c>
      <c r="Q305" s="718">
        <v>68</v>
      </c>
      <c r="R305" s="717">
        <v>20</v>
      </c>
      <c r="S305" s="691" t="s">
        <v>54</v>
      </c>
      <c r="T305" t="s">
        <v>358</v>
      </c>
      <c r="U305" s="673" t="s">
        <v>358</v>
      </c>
      <c r="V305" s="690" t="s">
        <v>358</v>
      </c>
      <c r="W305" s="657" t="s">
        <v>214</v>
      </c>
      <c r="X305" s="723"/>
      <c r="Y305" s="4"/>
      <c r="Z305" s="4"/>
      <c r="AA305" s="4">
        <v>20</v>
      </c>
      <c r="AB305" s="4"/>
      <c r="AC305" s="4"/>
      <c r="AD305" s="4"/>
      <c r="AE305" s="4"/>
      <c r="AF305" s="4"/>
      <c r="AG305" s="4"/>
      <c r="AH305" s="4"/>
      <c r="AI305" s="654"/>
      <c r="AJ305" s="655"/>
      <c r="AK305" s="4"/>
      <c r="AL305" s="4"/>
      <c r="AM305" s="4"/>
      <c r="AN305" s="4"/>
      <c r="AO305" s="4"/>
      <c r="AP305" s="4"/>
      <c r="AQ305" s="4"/>
      <c r="AR305" s="4"/>
      <c r="AS305" s="4"/>
      <c r="AT305" s="4"/>
      <c r="AU305" s="654"/>
      <c r="AV305" s="655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654"/>
      <c r="BH305" s="655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654"/>
      <c r="BT305" s="655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693"/>
      <c r="CF305" s="723"/>
      <c r="CG305" s="4"/>
      <c r="CH305" s="4"/>
      <c r="CI305" s="4">
        <v>68</v>
      </c>
      <c r="CJ305" s="4"/>
      <c r="CK305" s="4"/>
      <c r="CL305" s="4"/>
      <c r="CM305" s="4"/>
      <c r="CN305" s="4"/>
      <c r="CO305" s="4"/>
      <c r="CP305" s="4"/>
      <c r="CQ305" s="654"/>
      <c r="CR305" s="655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654"/>
      <c r="DD305" s="655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654"/>
      <c r="DP305" s="655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654"/>
      <c r="EB305" s="655"/>
      <c r="EC305" s="4"/>
      <c r="ED305" s="4"/>
      <c r="EE305" s="4"/>
      <c r="EF305" s="4"/>
      <c r="EG305" s="4"/>
      <c r="EH305" s="4"/>
      <c r="EI305" s="4"/>
      <c r="EJ305" s="4"/>
      <c r="EK305" s="4"/>
      <c r="EL305" s="4"/>
      <c r="EM305" s="693"/>
      <c r="EN305" s="723"/>
      <c r="EO305" s="4"/>
      <c r="EP305" s="4"/>
      <c r="EQ305" s="4">
        <v>68</v>
      </c>
      <c r="ER305" s="4"/>
      <c r="ES305" s="4"/>
      <c r="ET305" s="4"/>
      <c r="EU305" s="4"/>
      <c r="EV305" s="4"/>
      <c r="EW305" s="4"/>
      <c r="EX305" s="4"/>
      <c r="EY305" s="654"/>
      <c r="EZ305" s="655"/>
      <c r="FA305" s="4"/>
      <c r="FB305" s="4"/>
      <c r="FC305" s="4"/>
      <c r="FD305" s="4"/>
      <c r="FE305" s="4"/>
      <c r="FF305" s="4"/>
      <c r="FG305" s="4"/>
      <c r="FH305" s="4"/>
      <c r="FI305" s="4"/>
      <c r="FJ305" s="4"/>
      <c r="FK305" s="654"/>
      <c r="FL305" s="655"/>
      <c r="FM305" s="4"/>
      <c r="FN305" s="4"/>
      <c r="FO305" s="4"/>
      <c r="FP305" s="4"/>
      <c r="FQ305" s="4"/>
      <c r="FR305" s="4"/>
      <c r="FS305" s="4"/>
      <c r="FT305" s="4"/>
      <c r="FU305" s="4"/>
      <c r="FV305" s="4"/>
      <c r="FW305" s="654"/>
      <c r="FX305" s="655"/>
      <c r="FY305" s="4"/>
      <c r="FZ305" s="4"/>
      <c r="GA305" s="4"/>
      <c r="GB305" s="4"/>
      <c r="GC305" s="4"/>
      <c r="GD305" s="4"/>
      <c r="GE305" s="4"/>
      <c r="GF305" s="4"/>
      <c r="GG305" s="4"/>
      <c r="GH305" s="4"/>
      <c r="GI305" s="654"/>
      <c r="GJ305" s="655"/>
      <c r="GK305" s="4"/>
      <c r="GL305" s="4"/>
      <c r="GM305" s="4"/>
      <c r="GN305" s="4"/>
      <c r="GO305" s="4"/>
      <c r="GP305" s="4"/>
      <c r="GQ305" s="4"/>
      <c r="GR305" s="4"/>
      <c r="GS305" s="4"/>
      <c r="GT305" s="4"/>
      <c r="GU305" s="722"/>
      <c r="GV305" s="715"/>
    </row>
    <row r="306" spans="1:204" x14ac:dyDescent="0.25">
      <c r="A306" t="s">
        <v>1375</v>
      </c>
      <c r="B306" s="2" t="s">
        <v>1374</v>
      </c>
      <c r="C306" s="619">
        <v>44631</v>
      </c>
      <c r="D306" s="2" t="s">
        <v>1372</v>
      </c>
      <c r="E306" t="s">
        <v>58</v>
      </c>
      <c r="F306" s="2" t="s">
        <v>43</v>
      </c>
      <c r="G306" t="s">
        <v>40</v>
      </c>
      <c r="H306" s="690" t="s">
        <v>84</v>
      </c>
      <c r="I306" s="691" t="s">
        <v>967</v>
      </c>
      <c r="J306" s="721">
        <v>3984862000194</v>
      </c>
      <c r="K306" s="691" t="s">
        <v>43</v>
      </c>
      <c r="L306" s="721">
        <v>3780401000108</v>
      </c>
      <c r="M306" s="718" t="s">
        <v>3</v>
      </c>
      <c r="N306" s="717" t="s">
        <v>44</v>
      </c>
      <c r="O306" s="719">
        <v>44835</v>
      </c>
      <c r="P306" s="720">
        <v>44865</v>
      </c>
      <c r="Q306" s="718">
        <v>194</v>
      </c>
      <c r="R306" s="717">
        <v>6.4</v>
      </c>
      <c r="S306" s="691" t="s">
        <v>54</v>
      </c>
      <c r="T306" t="s">
        <v>358</v>
      </c>
      <c r="U306" s="673" t="s">
        <v>358</v>
      </c>
      <c r="V306" s="690" t="s">
        <v>358</v>
      </c>
      <c r="W306" s="657" t="s">
        <v>329</v>
      </c>
      <c r="X306" s="723"/>
      <c r="Y306" s="4"/>
      <c r="Z306" s="4"/>
      <c r="AA306" s="4"/>
      <c r="AB306" s="4"/>
      <c r="AC306" s="4"/>
      <c r="AD306" s="4"/>
      <c r="AE306" s="4"/>
      <c r="AF306" s="4"/>
      <c r="AG306" s="4">
        <v>6.4</v>
      </c>
      <c r="AH306" s="4"/>
      <c r="AI306" s="654"/>
      <c r="AJ306" s="655"/>
      <c r="AK306" s="4"/>
      <c r="AL306" s="4"/>
      <c r="AM306" s="4"/>
      <c r="AN306" s="4"/>
      <c r="AO306" s="4"/>
      <c r="AP306" s="4"/>
      <c r="AQ306" s="4"/>
      <c r="AR306" s="4"/>
      <c r="AS306" s="4"/>
      <c r="AT306" s="4"/>
      <c r="AU306" s="654"/>
      <c r="AV306" s="655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654"/>
      <c r="BH306" s="655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654"/>
      <c r="BT306" s="655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693"/>
      <c r="CF306" s="723"/>
      <c r="CG306" s="4"/>
      <c r="CH306" s="4"/>
      <c r="CI306" s="4"/>
      <c r="CJ306" s="4"/>
      <c r="CK306" s="4"/>
      <c r="CL306" s="4"/>
      <c r="CM306" s="4"/>
      <c r="CN306" s="4"/>
      <c r="CO306" s="4">
        <v>194</v>
      </c>
      <c r="CP306" s="4"/>
      <c r="CQ306" s="654"/>
      <c r="CR306" s="655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654"/>
      <c r="DD306" s="655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654"/>
      <c r="DP306" s="655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654"/>
      <c r="EB306" s="655"/>
      <c r="EC306" s="4"/>
      <c r="ED306" s="4"/>
      <c r="EE306" s="4"/>
      <c r="EF306" s="4"/>
      <c r="EG306" s="4"/>
      <c r="EH306" s="4"/>
      <c r="EI306" s="4"/>
      <c r="EJ306" s="4"/>
      <c r="EK306" s="4"/>
      <c r="EL306" s="4"/>
      <c r="EM306" s="693"/>
      <c r="EN306" s="723"/>
      <c r="EO306" s="4"/>
      <c r="EP306" s="4"/>
      <c r="EQ306" s="4"/>
      <c r="ER306" s="4"/>
      <c r="ES306" s="4"/>
      <c r="ET306" s="4"/>
      <c r="EU306" s="4"/>
      <c r="EV306" s="4"/>
      <c r="EW306" s="4">
        <v>194</v>
      </c>
      <c r="EX306" s="4"/>
      <c r="EY306" s="654"/>
      <c r="EZ306" s="655"/>
      <c r="FA306" s="4"/>
      <c r="FB306" s="4"/>
      <c r="FC306" s="4"/>
      <c r="FD306" s="4"/>
      <c r="FE306" s="4"/>
      <c r="FF306" s="4"/>
      <c r="FG306" s="4"/>
      <c r="FH306" s="4"/>
      <c r="FI306" s="4"/>
      <c r="FJ306" s="4"/>
      <c r="FK306" s="654"/>
      <c r="FL306" s="655"/>
      <c r="FM306" s="4"/>
      <c r="FN306" s="4"/>
      <c r="FO306" s="4"/>
      <c r="FP306" s="4"/>
      <c r="FQ306" s="4"/>
      <c r="FR306" s="4"/>
      <c r="FS306" s="4"/>
      <c r="FT306" s="4"/>
      <c r="FU306" s="4"/>
      <c r="FV306" s="4"/>
      <c r="FW306" s="654"/>
      <c r="FX306" s="655"/>
      <c r="FY306" s="4"/>
      <c r="FZ306" s="4"/>
      <c r="GA306" s="4"/>
      <c r="GB306" s="4"/>
      <c r="GC306" s="4"/>
      <c r="GD306" s="4"/>
      <c r="GE306" s="4"/>
      <c r="GF306" s="4"/>
      <c r="GG306" s="4"/>
      <c r="GH306" s="4"/>
      <c r="GI306" s="654"/>
      <c r="GJ306" s="655"/>
      <c r="GK306" s="4"/>
      <c r="GL306" s="4"/>
      <c r="GM306" s="4"/>
      <c r="GN306" s="4"/>
      <c r="GO306" s="4"/>
      <c r="GP306" s="4"/>
      <c r="GQ306" s="4"/>
      <c r="GR306" s="4"/>
      <c r="GS306" s="4"/>
      <c r="GT306" s="4"/>
      <c r="GU306" s="722"/>
      <c r="GV306" s="715"/>
    </row>
    <row r="307" spans="1:204" x14ac:dyDescent="0.25">
      <c r="A307" t="s">
        <v>1377</v>
      </c>
      <c r="B307" s="2" t="s">
        <v>1376</v>
      </c>
      <c r="C307" s="619">
        <v>44631</v>
      </c>
      <c r="D307" s="2" t="s">
        <v>1373</v>
      </c>
      <c r="E307" t="s">
        <v>59</v>
      </c>
      <c r="F307" s="2" t="s">
        <v>43</v>
      </c>
      <c r="G307" t="s">
        <v>40</v>
      </c>
      <c r="H307" s="690" t="s">
        <v>85</v>
      </c>
      <c r="I307" s="691" t="s">
        <v>43</v>
      </c>
      <c r="J307" s="721">
        <v>3780401000108</v>
      </c>
      <c r="K307" s="691" t="s">
        <v>967</v>
      </c>
      <c r="L307" s="721">
        <v>3984862000194</v>
      </c>
      <c r="M307" s="718" t="s">
        <v>3</v>
      </c>
      <c r="N307" s="717" t="s">
        <v>44</v>
      </c>
      <c r="O307" s="719">
        <v>44896</v>
      </c>
      <c r="P307" s="720">
        <v>44926</v>
      </c>
      <c r="Q307" s="718">
        <v>167</v>
      </c>
      <c r="R307" s="717">
        <v>6.4</v>
      </c>
      <c r="S307" s="691" t="s">
        <v>54</v>
      </c>
      <c r="T307" t="s">
        <v>358</v>
      </c>
      <c r="U307" s="673" t="s">
        <v>358</v>
      </c>
      <c r="V307" s="690" t="s">
        <v>358</v>
      </c>
      <c r="W307" s="657" t="s">
        <v>329</v>
      </c>
      <c r="X307" s="723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654">
        <v>6.4</v>
      </c>
      <c r="AJ307" s="655"/>
      <c r="AK307" s="4"/>
      <c r="AL307" s="4"/>
      <c r="AM307" s="4"/>
      <c r="AN307" s="4"/>
      <c r="AO307" s="4"/>
      <c r="AP307" s="4"/>
      <c r="AQ307" s="4"/>
      <c r="AR307" s="4"/>
      <c r="AS307" s="4"/>
      <c r="AT307" s="4"/>
      <c r="AU307" s="654"/>
      <c r="AV307" s="655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654"/>
      <c r="BH307" s="655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654"/>
      <c r="BT307" s="655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693"/>
      <c r="CF307" s="723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654">
        <v>167</v>
      </c>
      <c r="CR307" s="655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654"/>
      <c r="DD307" s="655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654"/>
      <c r="DP307" s="655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654"/>
      <c r="EB307" s="655"/>
      <c r="EC307" s="4"/>
      <c r="ED307" s="4"/>
      <c r="EE307" s="4"/>
      <c r="EF307" s="4"/>
      <c r="EG307" s="4"/>
      <c r="EH307" s="4"/>
      <c r="EI307" s="4"/>
      <c r="EJ307" s="4"/>
      <c r="EK307" s="4"/>
      <c r="EL307" s="4"/>
      <c r="EM307" s="693"/>
      <c r="EN307" s="723"/>
      <c r="EO307" s="4"/>
      <c r="EP307" s="4"/>
      <c r="EQ307" s="4"/>
      <c r="ER307" s="4"/>
      <c r="ES307" s="4"/>
      <c r="ET307" s="4"/>
      <c r="EU307" s="4"/>
      <c r="EV307" s="4"/>
      <c r="EW307" s="4"/>
      <c r="EX307" s="4"/>
      <c r="EY307" s="654">
        <v>167</v>
      </c>
      <c r="EZ307" s="655"/>
      <c r="FA307" s="4"/>
      <c r="FB307" s="4"/>
      <c r="FC307" s="4"/>
      <c r="FD307" s="4"/>
      <c r="FE307" s="4"/>
      <c r="FF307" s="4"/>
      <c r="FG307" s="4"/>
      <c r="FH307" s="4"/>
      <c r="FI307" s="4"/>
      <c r="FJ307" s="4"/>
      <c r="FK307" s="654"/>
      <c r="FL307" s="655"/>
      <c r="FM307" s="4"/>
      <c r="FN307" s="4"/>
      <c r="FO307" s="4"/>
      <c r="FP307" s="4"/>
      <c r="FQ307" s="4"/>
      <c r="FR307" s="4"/>
      <c r="FS307" s="4"/>
      <c r="FT307" s="4"/>
      <c r="FU307" s="4"/>
      <c r="FV307" s="4"/>
      <c r="FW307" s="654"/>
      <c r="FX307" s="655"/>
      <c r="FY307" s="4"/>
      <c r="FZ307" s="4"/>
      <c r="GA307" s="4"/>
      <c r="GB307" s="4"/>
      <c r="GC307" s="4"/>
      <c r="GD307" s="4"/>
      <c r="GE307" s="4"/>
      <c r="GF307" s="4"/>
      <c r="GG307" s="4"/>
      <c r="GH307" s="4"/>
      <c r="GI307" s="654"/>
      <c r="GJ307" s="655"/>
      <c r="GK307" s="4"/>
      <c r="GL307" s="4"/>
      <c r="GM307" s="4"/>
      <c r="GN307" s="4"/>
      <c r="GO307" s="4"/>
      <c r="GP307" s="4"/>
      <c r="GQ307" s="4"/>
      <c r="GR307" s="4"/>
      <c r="GS307" s="4"/>
      <c r="GT307" s="4"/>
      <c r="GU307" s="722"/>
      <c r="GV307" s="715"/>
    </row>
    <row r="308" spans="1:204" x14ac:dyDescent="0.25">
      <c r="A308" t="s">
        <v>1385</v>
      </c>
      <c r="B308" s="2" t="s">
        <v>1384</v>
      </c>
      <c r="C308" s="619">
        <v>44635</v>
      </c>
      <c r="D308" s="2" t="s">
        <v>1378</v>
      </c>
      <c r="E308" t="s">
        <v>58</v>
      </c>
      <c r="F308" s="2" t="s">
        <v>43</v>
      </c>
      <c r="G308" t="s">
        <v>40</v>
      </c>
      <c r="H308" s="690" t="s">
        <v>84</v>
      </c>
      <c r="I308" s="691" t="s">
        <v>1195</v>
      </c>
      <c r="J308" s="721">
        <v>9185485000100</v>
      </c>
      <c r="K308" s="691" t="s">
        <v>43</v>
      </c>
      <c r="L308" s="721">
        <v>3780401000108</v>
      </c>
      <c r="M308" s="718" t="s">
        <v>3</v>
      </c>
      <c r="N308" s="717" t="s">
        <v>44</v>
      </c>
      <c r="O308" s="719">
        <v>44743</v>
      </c>
      <c r="P308" s="720">
        <v>44834</v>
      </c>
      <c r="Q308" s="718">
        <v>163</v>
      </c>
      <c r="R308" s="717">
        <v>10</v>
      </c>
      <c r="S308" s="691" t="s">
        <v>54</v>
      </c>
      <c r="T308" t="s">
        <v>358</v>
      </c>
      <c r="U308" s="673" t="s">
        <v>358</v>
      </c>
      <c r="V308" s="690" t="s">
        <v>358</v>
      </c>
      <c r="W308" s="657" t="s">
        <v>329</v>
      </c>
      <c r="X308" s="723"/>
      <c r="Y308" s="4"/>
      <c r="Z308" s="4"/>
      <c r="AA308" s="4"/>
      <c r="AB308" s="4"/>
      <c r="AC308" s="4"/>
      <c r="AD308" s="4">
        <v>10</v>
      </c>
      <c r="AE308" s="4">
        <v>10</v>
      </c>
      <c r="AF308" s="4">
        <v>10</v>
      </c>
      <c r="AG308" s="4"/>
      <c r="AH308" s="4"/>
      <c r="AI308" s="654"/>
      <c r="AJ308" s="655"/>
      <c r="AK308" s="4"/>
      <c r="AL308" s="4"/>
      <c r="AM308" s="4"/>
      <c r="AN308" s="4"/>
      <c r="AO308" s="4"/>
      <c r="AP308" s="4"/>
      <c r="AQ308" s="4"/>
      <c r="AR308" s="4"/>
      <c r="AS308" s="4"/>
      <c r="AT308" s="4"/>
      <c r="AU308" s="654"/>
      <c r="AV308" s="655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654"/>
      <c r="BH308" s="655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654"/>
      <c r="BT308" s="655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693"/>
      <c r="CF308" s="723"/>
      <c r="CG308" s="4"/>
      <c r="CH308" s="4"/>
      <c r="CI308" s="4"/>
      <c r="CJ308" s="4"/>
      <c r="CK308" s="4"/>
      <c r="CL308" s="4">
        <v>163</v>
      </c>
      <c r="CM308" s="4">
        <v>163</v>
      </c>
      <c r="CN308" s="4">
        <v>163</v>
      </c>
      <c r="CO308" s="4"/>
      <c r="CP308" s="4"/>
      <c r="CQ308" s="654"/>
      <c r="CR308" s="655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654"/>
      <c r="DD308" s="655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654"/>
      <c r="DP308" s="655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654"/>
      <c r="EB308" s="655"/>
      <c r="EC308" s="4"/>
      <c r="ED308" s="4"/>
      <c r="EE308" s="4"/>
      <c r="EF308" s="4"/>
      <c r="EG308" s="4"/>
      <c r="EH308" s="4"/>
      <c r="EI308" s="4"/>
      <c r="EJ308" s="4"/>
      <c r="EK308" s="4"/>
      <c r="EL308" s="4"/>
      <c r="EM308" s="693"/>
      <c r="EN308" s="723"/>
      <c r="EO308" s="4"/>
      <c r="EP308" s="4"/>
      <c r="EQ308" s="4"/>
      <c r="ER308" s="4"/>
      <c r="ES308" s="4"/>
      <c r="ET308" s="4">
        <v>163</v>
      </c>
      <c r="EU308" s="4">
        <v>163</v>
      </c>
      <c r="EV308" s="4">
        <v>163</v>
      </c>
      <c r="EW308" s="4"/>
      <c r="EX308" s="4"/>
      <c r="EY308" s="654"/>
      <c r="EZ308" s="655"/>
      <c r="FA308" s="4"/>
      <c r="FB308" s="4"/>
      <c r="FC308" s="4"/>
      <c r="FD308" s="4"/>
      <c r="FE308" s="4"/>
      <c r="FF308" s="4"/>
      <c r="FG308" s="4"/>
      <c r="FH308" s="4"/>
      <c r="FI308" s="4"/>
      <c r="FJ308" s="4"/>
      <c r="FK308" s="654"/>
      <c r="FL308" s="655"/>
      <c r="FM308" s="4"/>
      <c r="FN308" s="4"/>
      <c r="FO308" s="4"/>
      <c r="FP308" s="4"/>
      <c r="FQ308" s="4"/>
      <c r="FR308" s="4"/>
      <c r="FS308" s="4"/>
      <c r="FT308" s="4"/>
      <c r="FU308" s="4"/>
      <c r="FV308" s="4"/>
      <c r="FW308" s="654"/>
      <c r="FX308" s="655"/>
      <c r="FY308" s="4"/>
      <c r="FZ308" s="4"/>
      <c r="GA308" s="4"/>
      <c r="GB308" s="4"/>
      <c r="GC308" s="4"/>
      <c r="GD308" s="4"/>
      <c r="GE308" s="4"/>
      <c r="GF308" s="4"/>
      <c r="GG308" s="4"/>
      <c r="GH308" s="4"/>
      <c r="GI308" s="654"/>
      <c r="GJ308" s="655"/>
      <c r="GK308" s="4"/>
      <c r="GL308" s="4"/>
      <c r="GM308" s="4"/>
      <c r="GN308" s="4"/>
      <c r="GO308" s="4"/>
      <c r="GP308" s="4"/>
      <c r="GQ308" s="4"/>
      <c r="GR308" s="4"/>
      <c r="GS308" s="4"/>
      <c r="GT308" s="4"/>
      <c r="GU308" s="722"/>
      <c r="GV308" s="715"/>
    </row>
    <row r="309" spans="1:204" x14ac:dyDescent="0.25">
      <c r="A309" t="s">
        <v>1387</v>
      </c>
      <c r="B309" s="2" t="s">
        <v>1386</v>
      </c>
      <c r="C309" s="619">
        <v>44635</v>
      </c>
      <c r="D309" s="2" t="s">
        <v>1379</v>
      </c>
      <c r="E309" t="s">
        <v>59</v>
      </c>
      <c r="F309" s="2" t="s">
        <v>43</v>
      </c>
      <c r="G309" t="s">
        <v>40</v>
      </c>
      <c r="H309" s="690" t="s">
        <v>85</v>
      </c>
      <c r="I309" s="691" t="s">
        <v>43</v>
      </c>
      <c r="J309" s="721">
        <v>3780401000108</v>
      </c>
      <c r="K309" s="691" t="s">
        <v>1195</v>
      </c>
      <c r="L309" s="721">
        <v>9185485000100</v>
      </c>
      <c r="M309" s="718" t="s">
        <v>3</v>
      </c>
      <c r="N309" s="717" t="s">
        <v>44</v>
      </c>
      <c r="O309" s="719">
        <v>44835</v>
      </c>
      <c r="P309" s="720">
        <v>44926</v>
      </c>
      <c r="Q309" s="718">
        <v>183</v>
      </c>
      <c r="R309" s="717">
        <v>10</v>
      </c>
      <c r="S309" s="691" t="s">
        <v>54</v>
      </c>
      <c r="T309" t="s">
        <v>358</v>
      </c>
      <c r="U309" s="673" t="s">
        <v>358</v>
      </c>
      <c r="V309" s="690" t="s">
        <v>358</v>
      </c>
      <c r="W309" s="657" t="s">
        <v>329</v>
      </c>
      <c r="X309" s="723"/>
      <c r="Y309" s="4"/>
      <c r="Z309" s="4"/>
      <c r="AA309" s="4"/>
      <c r="AB309" s="4"/>
      <c r="AC309" s="4"/>
      <c r="AD309" s="4"/>
      <c r="AE309" s="4"/>
      <c r="AF309" s="4"/>
      <c r="AG309" s="4">
        <v>10</v>
      </c>
      <c r="AH309" s="4">
        <v>10</v>
      </c>
      <c r="AI309" s="654">
        <v>10</v>
      </c>
      <c r="AJ309" s="655"/>
      <c r="AK309" s="4"/>
      <c r="AL309" s="4"/>
      <c r="AM309" s="4"/>
      <c r="AN309" s="4"/>
      <c r="AO309" s="4"/>
      <c r="AP309" s="4"/>
      <c r="AQ309" s="4"/>
      <c r="AR309" s="4"/>
      <c r="AS309" s="4"/>
      <c r="AT309" s="4"/>
      <c r="AU309" s="654"/>
      <c r="AV309" s="655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654"/>
      <c r="BH309" s="655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654"/>
      <c r="BT309" s="655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693"/>
      <c r="CF309" s="723"/>
      <c r="CG309" s="4"/>
      <c r="CH309" s="4"/>
      <c r="CI309" s="4"/>
      <c r="CJ309" s="4"/>
      <c r="CK309" s="4"/>
      <c r="CL309" s="4"/>
      <c r="CM309" s="4"/>
      <c r="CN309" s="4"/>
      <c r="CO309" s="4">
        <v>183</v>
      </c>
      <c r="CP309" s="4">
        <v>183</v>
      </c>
      <c r="CQ309" s="654">
        <v>183</v>
      </c>
      <c r="CR309" s="655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654"/>
      <c r="DD309" s="655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654"/>
      <c r="DP309" s="655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654"/>
      <c r="EB309" s="655"/>
      <c r="EC309" s="4"/>
      <c r="ED309" s="4"/>
      <c r="EE309" s="4"/>
      <c r="EF309" s="4"/>
      <c r="EG309" s="4"/>
      <c r="EH309" s="4"/>
      <c r="EI309" s="4"/>
      <c r="EJ309" s="4"/>
      <c r="EK309" s="4"/>
      <c r="EL309" s="4"/>
      <c r="EM309" s="693"/>
      <c r="EN309" s="723"/>
      <c r="EO309" s="4"/>
      <c r="EP309" s="4"/>
      <c r="EQ309" s="4"/>
      <c r="ER309" s="4"/>
      <c r="ES309" s="4"/>
      <c r="ET309" s="4"/>
      <c r="EU309" s="4"/>
      <c r="EV309" s="4"/>
      <c r="EW309" s="4">
        <v>183</v>
      </c>
      <c r="EX309" s="4">
        <v>183</v>
      </c>
      <c r="EY309" s="654">
        <v>183</v>
      </c>
      <c r="EZ309" s="655"/>
      <c r="FA309" s="4"/>
      <c r="FB309" s="4"/>
      <c r="FC309" s="4"/>
      <c r="FD309" s="4"/>
      <c r="FE309" s="4"/>
      <c r="FF309" s="4"/>
      <c r="FG309" s="4"/>
      <c r="FH309" s="4"/>
      <c r="FI309" s="4"/>
      <c r="FJ309" s="4"/>
      <c r="FK309" s="654"/>
      <c r="FL309" s="655"/>
      <c r="FM309" s="4"/>
      <c r="FN309" s="4"/>
      <c r="FO309" s="4"/>
      <c r="FP309" s="4"/>
      <c r="FQ309" s="4"/>
      <c r="FR309" s="4"/>
      <c r="FS309" s="4"/>
      <c r="FT309" s="4"/>
      <c r="FU309" s="4"/>
      <c r="FV309" s="4"/>
      <c r="FW309" s="654"/>
      <c r="FX309" s="655"/>
      <c r="FY309" s="4"/>
      <c r="FZ309" s="4"/>
      <c r="GA309" s="4"/>
      <c r="GB309" s="4"/>
      <c r="GC309" s="4"/>
      <c r="GD309" s="4"/>
      <c r="GE309" s="4"/>
      <c r="GF309" s="4"/>
      <c r="GG309" s="4"/>
      <c r="GH309" s="4"/>
      <c r="GI309" s="654"/>
      <c r="GJ309" s="655"/>
      <c r="GK309" s="4"/>
      <c r="GL309" s="4"/>
      <c r="GM309" s="4"/>
      <c r="GN309" s="4"/>
      <c r="GO309" s="4"/>
      <c r="GP309" s="4"/>
      <c r="GQ309" s="4"/>
      <c r="GR309" s="4"/>
      <c r="GS309" s="4"/>
      <c r="GT309" s="4"/>
      <c r="GU309" s="722"/>
      <c r="GV309" s="715"/>
    </row>
    <row r="310" spans="1:204" x14ac:dyDescent="0.25">
      <c r="A310" t="s">
        <v>1389</v>
      </c>
      <c r="B310" s="2" t="s">
        <v>1388</v>
      </c>
      <c r="C310" s="619">
        <v>44635</v>
      </c>
      <c r="D310" s="2" t="s">
        <v>1380</v>
      </c>
      <c r="E310" t="s">
        <v>58</v>
      </c>
      <c r="F310" s="2" t="s">
        <v>43</v>
      </c>
      <c r="G310" t="s">
        <v>40</v>
      </c>
      <c r="H310" s="690" t="s">
        <v>84</v>
      </c>
      <c r="I310" s="691" t="s">
        <v>875</v>
      </c>
      <c r="J310" s="721">
        <v>17112981000161</v>
      </c>
      <c r="K310" s="691" t="s">
        <v>43</v>
      </c>
      <c r="L310" s="721">
        <v>3780401000108</v>
      </c>
      <c r="M310" s="718" t="s">
        <v>3</v>
      </c>
      <c r="N310" s="717" t="s">
        <v>44</v>
      </c>
      <c r="O310" s="719">
        <v>44743</v>
      </c>
      <c r="P310" s="720">
        <v>44834</v>
      </c>
      <c r="Q310" s="718">
        <v>164</v>
      </c>
      <c r="R310" s="717">
        <v>5</v>
      </c>
      <c r="S310" s="691" t="s">
        <v>54</v>
      </c>
      <c r="T310" t="s">
        <v>358</v>
      </c>
      <c r="U310" s="673" t="s">
        <v>358</v>
      </c>
      <c r="V310" s="690" t="s">
        <v>358</v>
      </c>
      <c r="W310" s="657" t="s">
        <v>329</v>
      </c>
      <c r="X310" s="723"/>
      <c r="Y310" s="4"/>
      <c r="Z310" s="4"/>
      <c r="AA310" s="4"/>
      <c r="AB310" s="4"/>
      <c r="AC310" s="4"/>
      <c r="AD310" s="4">
        <v>5</v>
      </c>
      <c r="AE310" s="4">
        <v>5</v>
      </c>
      <c r="AF310" s="4">
        <v>5</v>
      </c>
      <c r="AG310" s="4"/>
      <c r="AH310" s="4"/>
      <c r="AI310" s="654"/>
      <c r="AJ310" s="655"/>
      <c r="AK310" s="4"/>
      <c r="AL310" s="4"/>
      <c r="AM310" s="4"/>
      <c r="AN310" s="4"/>
      <c r="AO310" s="4"/>
      <c r="AP310" s="4"/>
      <c r="AQ310" s="4"/>
      <c r="AR310" s="4"/>
      <c r="AS310" s="4"/>
      <c r="AT310" s="4"/>
      <c r="AU310" s="654"/>
      <c r="AV310" s="655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654"/>
      <c r="BH310" s="655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654"/>
      <c r="BT310" s="655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693"/>
      <c r="CF310" s="723"/>
      <c r="CG310" s="4"/>
      <c r="CH310" s="4"/>
      <c r="CI310" s="4"/>
      <c r="CJ310" s="4"/>
      <c r="CK310" s="4"/>
      <c r="CL310" s="4">
        <v>164</v>
      </c>
      <c r="CM310" s="4">
        <v>164</v>
      </c>
      <c r="CN310" s="4">
        <v>164</v>
      </c>
      <c r="CO310" s="4"/>
      <c r="CP310" s="4"/>
      <c r="CQ310" s="654"/>
      <c r="CR310" s="655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654"/>
      <c r="DD310" s="655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654"/>
      <c r="DP310" s="655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654"/>
      <c r="EB310" s="655"/>
      <c r="EC310" s="4"/>
      <c r="ED310" s="4"/>
      <c r="EE310" s="4"/>
      <c r="EF310" s="4"/>
      <c r="EG310" s="4"/>
      <c r="EH310" s="4"/>
      <c r="EI310" s="4"/>
      <c r="EJ310" s="4"/>
      <c r="EK310" s="4"/>
      <c r="EL310" s="4"/>
      <c r="EM310" s="693"/>
      <c r="EN310" s="723"/>
      <c r="EO310" s="4"/>
      <c r="EP310" s="4"/>
      <c r="EQ310" s="4"/>
      <c r="ER310" s="4"/>
      <c r="ES310" s="4"/>
      <c r="ET310" s="4">
        <v>164</v>
      </c>
      <c r="EU310" s="4">
        <v>164</v>
      </c>
      <c r="EV310" s="4">
        <v>164</v>
      </c>
      <c r="EW310" s="4"/>
      <c r="EX310" s="4"/>
      <c r="EY310" s="654"/>
      <c r="EZ310" s="655"/>
      <c r="FA310" s="4"/>
      <c r="FB310" s="4"/>
      <c r="FC310" s="4"/>
      <c r="FD310" s="4"/>
      <c r="FE310" s="4"/>
      <c r="FF310" s="4"/>
      <c r="FG310" s="4"/>
      <c r="FH310" s="4"/>
      <c r="FI310" s="4"/>
      <c r="FJ310" s="4"/>
      <c r="FK310" s="654"/>
      <c r="FL310" s="655"/>
      <c r="FM310" s="4"/>
      <c r="FN310" s="4"/>
      <c r="FO310" s="4"/>
      <c r="FP310" s="4"/>
      <c r="FQ310" s="4"/>
      <c r="FR310" s="4"/>
      <c r="FS310" s="4"/>
      <c r="FT310" s="4"/>
      <c r="FU310" s="4"/>
      <c r="FV310" s="4"/>
      <c r="FW310" s="654"/>
      <c r="FX310" s="655"/>
      <c r="FY310" s="4"/>
      <c r="FZ310" s="4"/>
      <c r="GA310" s="4"/>
      <c r="GB310" s="4"/>
      <c r="GC310" s="4"/>
      <c r="GD310" s="4"/>
      <c r="GE310" s="4"/>
      <c r="GF310" s="4"/>
      <c r="GG310" s="4"/>
      <c r="GH310" s="4"/>
      <c r="GI310" s="654"/>
      <c r="GJ310" s="655"/>
      <c r="GK310" s="4"/>
      <c r="GL310" s="4"/>
      <c r="GM310" s="4"/>
      <c r="GN310" s="4"/>
      <c r="GO310" s="4"/>
      <c r="GP310" s="4"/>
      <c r="GQ310" s="4"/>
      <c r="GR310" s="4"/>
      <c r="GS310" s="4"/>
      <c r="GT310" s="4"/>
      <c r="GU310" s="722"/>
      <c r="GV310" s="715"/>
    </row>
    <row r="311" spans="1:204" x14ac:dyDescent="0.25">
      <c r="A311" t="s">
        <v>1391</v>
      </c>
      <c r="B311" s="2" t="s">
        <v>1390</v>
      </c>
      <c r="C311" s="619">
        <v>44635</v>
      </c>
      <c r="D311" s="2" t="s">
        <v>1381</v>
      </c>
      <c r="E311" t="s">
        <v>59</v>
      </c>
      <c r="F311" s="2" t="s">
        <v>43</v>
      </c>
      <c r="G311" t="s">
        <v>40</v>
      </c>
      <c r="H311" s="690" t="s">
        <v>85</v>
      </c>
      <c r="I311" s="691" t="s">
        <v>43</v>
      </c>
      <c r="J311" s="721">
        <v>3780401000108</v>
      </c>
      <c r="K311" s="691" t="s">
        <v>875</v>
      </c>
      <c r="L311" s="721">
        <v>17112981000161</v>
      </c>
      <c r="M311" s="718" t="s">
        <v>3</v>
      </c>
      <c r="N311" s="717" t="s">
        <v>44</v>
      </c>
      <c r="O311" s="719">
        <v>44835</v>
      </c>
      <c r="P311" s="720">
        <v>44926</v>
      </c>
      <c r="Q311" s="718">
        <v>184</v>
      </c>
      <c r="R311" s="717">
        <v>5</v>
      </c>
      <c r="S311" s="691" t="s">
        <v>54</v>
      </c>
      <c r="T311" t="s">
        <v>358</v>
      </c>
      <c r="U311" s="673" t="s">
        <v>358</v>
      </c>
      <c r="V311" s="690" t="s">
        <v>358</v>
      </c>
      <c r="W311" s="657" t="s">
        <v>329</v>
      </c>
      <c r="X311" s="723"/>
      <c r="Y311" s="4"/>
      <c r="Z311" s="4"/>
      <c r="AA311" s="4"/>
      <c r="AB311" s="4"/>
      <c r="AC311" s="4"/>
      <c r="AD311" s="4"/>
      <c r="AE311" s="4"/>
      <c r="AF311" s="4"/>
      <c r="AG311" s="4">
        <v>5</v>
      </c>
      <c r="AH311" s="4">
        <v>5</v>
      </c>
      <c r="AI311" s="654">
        <v>5</v>
      </c>
      <c r="AJ311" s="655"/>
      <c r="AK311" s="4"/>
      <c r="AL311" s="4"/>
      <c r="AM311" s="4"/>
      <c r="AN311" s="4"/>
      <c r="AO311" s="4"/>
      <c r="AP311" s="4"/>
      <c r="AQ311" s="4"/>
      <c r="AR311" s="4"/>
      <c r="AS311" s="4"/>
      <c r="AT311" s="4"/>
      <c r="AU311" s="654"/>
      <c r="AV311" s="655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654"/>
      <c r="BH311" s="655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654"/>
      <c r="BT311" s="655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693"/>
      <c r="CF311" s="723"/>
      <c r="CG311" s="4"/>
      <c r="CH311" s="4"/>
      <c r="CI311" s="4"/>
      <c r="CJ311" s="4"/>
      <c r="CK311" s="4"/>
      <c r="CL311" s="4"/>
      <c r="CM311" s="4"/>
      <c r="CN311" s="4"/>
      <c r="CO311" s="4">
        <v>184</v>
      </c>
      <c r="CP311" s="4">
        <v>184</v>
      </c>
      <c r="CQ311" s="654">
        <v>184</v>
      </c>
      <c r="CR311" s="655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654"/>
      <c r="DD311" s="655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654"/>
      <c r="DP311" s="655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654"/>
      <c r="EB311" s="655"/>
      <c r="EC311" s="4"/>
      <c r="ED311" s="4"/>
      <c r="EE311" s="4"/>
      <c r="EF311" s="4"/>
      <c r="EG311" s="4"/>
      <c r="EH311" s="4"/>
      <c r="EI311" s="4"/>
      <c r="EJ311" s="4"/>
      <c r="EK311" s="4"/>
      <c r="EL311" s="4"/>
      <c r="EM311" s="693"/>
      <c r="EN311" s="723"/>
      <c r="EO311" s="4"/>
      <c r="EP311" s="4"/>
      <c r="EQ311" s="4"/>
      <c r="ER311" s="4"/>
      <c r="ES311" s="4"/>
      <c r="ET311" s="4"/>
      <c r="EU311" s="4"/>
      <c r="EV311" s="4"/>
      <c r="EW311" s="4">
        <v>184</v>
      </c>
      <c r="EX311" s="4">
        <v>184</v>
      </c>
      <c r="EY311" s="654">
        <v>184</v>
      </c>
      <c r="EZ311" s="655"/>
      <c r="FA311" s="4"/>
      <c r="FB311" s="4"/>
      <c r="FC311" s="4"/>
      <c r="FD311" s="4"/>
      <c r="FE311" s="4"/>
      <c r="FF311" s="4"/>
      <c r="FG311" s="4"/>
      <c r="FH311" s="4"/>
      <c r="FI311" s="4"/>
      <c r="FJ311" s="4"/>
      <c r="FK311" s="654"/>
      <c r="FL311" s="655"/>
      <c r="FM311" s="4"/>
      <c r="FN311" s="4"/>
      <c r="FO311" s="4"/>
      <c r="FP311" s="4"/>
      <c r="FQ311" s="4"/>
      <c r="FR311" s="4"/>
      <c r="FS311" s="4"/>
      <c r="FT311" s="4"/>
      <c r="FU311" s="4"/>
      <c r="FV311" s="4"/>
      <c r="FW311" s="654"/>
      <c r="FX311" s="655"/>
      <c r="FY311" s="4"/>
      <c r="FZ311" s="4"/>
      <c r="GA311" s="4"/>
      <c r="GB311" s="4"/>
      <c r="GC311" s="4"/>
      <c r="GD311" s="4"/>
      <c r="GE311" s="4"/>
      <c r="GF311" s="4"/>
      <c r="GG311" s="4"/>
      <c r="GH311" s="4"/>
      <c r="GI311" s="654"/>
      <c r="GJ311" s="655"/>
      <c r="GK311" s="4"/>
      <c r="GL311" s="4"/>
      <c r="GM311" s="4"/>
      <c r="GN311" s="4"/>
      <c r="GO311" s="4"/>
      <c r="GP311" s="4"/>
      <c r="GQ311" s="4"/>
      <c r="GR311" s="4"/>
      <c r="GS311" s="4"/>
      <c r="GT311" s="4"/>
      <c r="GU311" s="722"/>
      <c r="GV311" s="715"/>
    </row>
    <row r="312" spans="1:204" x14ac:dyDescent="0.25">
      <c r="A312" t="s">
        <v>1393</v>
      </c>
      <c r="B312" s="2" t="s">
        <v>1392</v>
      </c>
      <c r="C312" s="619">
        <v>44635</v>
      </c>
      <c r="D312" s="2" t="s">
        <v>1382</v>
      </c>
      <c r="E312" t="s">
        <v>59</v>
      </c>
      <c r="F312" s="2" t="s">
        <v>43</v>
      </c>
      <c r="G312" t="s">
        <v>40</v>
      </c>
      <c r="H312" s="690" t="s">
        <v>85</v>
      </c>
      <c r="I312" s="691" t="s">
        <v>43</v>
      </c>
      <c r="J312" s="721">
        <v>3780401000108</v>
      </c>
      <c r="K312" s="691" t="s">
        <v>472</v>
      </c>
      <c r="L312" s="721">
        <v>4802543000183</v>
      </c>
      <c r="M312" s="718" t="s">
        <v>3</v>
      </c>
      <c r="N312" s="717" t="s">
        <v>44</v>
      </c>
      <c r="O312" s="719">
        <v>44835</v>
      </c>
      <c r="P312" s="720">
        <v>44926</v>
      </c>
      <c r="Q312" s="718">
        <v>184</v>
      </c>
      <c r="R312" s="717">
        <v>5</v>
      </c>
      <c r="S312" s="691" t="s">
        <v>54</v>
      </c>
      <c r="T312" t="s">
        <v>358</v>
      </c>
      <c r="U312" s="673" t="s">
        <v>358</v>
      </c>
      <c r="V312" s="690" t="s">
        <v>358</v>
      </c>
      <c r="W312" s="657" t="s">
        <v>329</v>
      </c>
      <c r="X312" s="723"/>
      <c r="Y312" s="4"/>
      <c r="Z312" s="4"/>
      <c r="AA312" s="4"/>
      <c r="AB312" s="4"/>
      <c r="AC312" s="4"/>
      <c r="AD312" s="4"/>
      <c r="AE312" s="4"/>
      <c r="AF312" s="4"/>
      <c r="AG312" s="4">
        <v>5</v>
      </c>
      <c r="AH312" s="4">
        <v>5</v>
      </c>
      <c r="AI312" s="654">
        <v>5</v>
      </c>
      <c r="AJ312" s="655"/>
      <c r="AK312" s="4"/>
      <c r="AL312" s="4"/>
      <c r="AM312" s="4"/>
      <c r="AN312" s="4"/>
      <c r="AO312" s="4"/>
      <c r="AP312" s="4"/>
      <c r="AQ312" s="4"/>
      <c r="AR312" s="4"/>
      <c r="AS312" s="4"/>
      <c r="AT312" s="4"/>
      <c r="AU312" s="654"/>
      <c r="AV312" s="655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654"/>
      <c r="BH312" s="655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654"/>
      <c r="BT312" s="655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693"/>
      <c r="CF312" s="723"/>
      <c r="CG312" s="4"/>
      <c r="CH312" s="4"/>
      <c r="CI312" s="4"/>
      <c r="CJ312" s="4"/>
      <c r="CK312" s="4"/>
      <c r="CL312" s="4"/>
      <c r="CM312" s="4"/>
      <c r="CN312" s="4"/>
      <c r="CO312" s="4">
        <v>184</v>
      </c>
      <c r="CP312" s="4">
        <v>184</v>
      </c>
      <c r="CQ312" s="654">
        <v>184</v>
      </c>
      <c r="CR312" s="655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654"/>
      <c r="DD312" s="655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654"/>
      <c r="DP312" s="655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654"/>
      <c r="EB312" s="655"/>
      <c r="EC312" s="4"/>
      <c r="ED312" s="4"/>
      <c r="EE312" s="4"/>
      <c r="EF312" s="4"/>
      <c r="EG312" s="4"/>
      <c r="EH312" s="4"/>
      <c r="EI312" s="4"/>
      <c r="EJ312" s="4"/>
      <c r="EK312" s="4"/>
      <c r="EL312" s="4"/>
      <c r="EM312" s="693"/>
      <c r="EN312" s="723"/>
      <c r="EO312" s="4"/>
      <c r="EP312" s="4"/>
      <c r="EQ312" s="4"/>
      <c r="ER312" s="4"/>
      <c r="ES312" s="4"/>
      <c r="ET312" s="4"/>
      <c r="EU312" s="4"/>
      <c r="EV312" s="4"/>
      <c r="EW312" s="4">
        <v>184</v>
      </c>
      <c r="EX312" s="4">
        <v>184</v>
      </c>
      <c r="EY312" s="654">
        <v>184</v>
      </c>
      <c r="EZ312" s="655"/>
      <c r="FA312" s="4"/>
      <c r="FB312" s="4"/>
      <c r="FC312" s="4"/>
      <c r="FD312" s="4"/>
      <c r="FE312" s="4"/>
      <c r="FF312" s="4"/>
      <c r="FG312" s="4"/>
      <c r="FH312" s="4"/>
      <c r="FI312" s="4"/>
      <c r="FJ312" s="4"/>
      <c r="FK312" s="654"/>
      <c r="FL312" s="655"/>
      <c r="FM312" s="4"/>
      <c r="FN312" s="4"/>
      <c r="FO312" s="4"/>
      <c r="FP312" s="4"/>
      <c r="FQ312" s="4"/>
      <c r="FR312" s="4"/>
      <c r="FS312" s="4"/>
      <c r="FT312" s="4"/>
      <c r="FU312" s="4"/>
      <c r="FV312" s="4"/>
      <c r="FW312" s="654"/>
      <c r="FX312" s="655"/>
      <c r="FY312" s="4"/>
      <c r="FZ312" s="4"/>
      <c r="GA312" s="4"/>
      <c r="GB312" s="4"/>
      <c r="GC312" s="4"/>
      <c r="GD312" s="4"/>
      <c r="GE312" s="4"/>
      <c r="GF312" s="4"/>
      <c r="GG312" s="4"/>
      <c r="GH312" s="4"/>
      <c r="GI312" s="654"/>
      <c r="GJ312" s="655"/>
      <c r="GK312" s="4"/>
      <c r="GL312" s="4"/>
      <c r="GM312" s="4"/>
      <c r="GN312" s="4"/>
      <c r="GO312" s="4"/>
      <c r="GP312" s="4"/>
      <c r="GQ312" s="4"/>
      <c r="GR312" s="4"/>
      <c r="GS312" s="4"/>
      <c r="GT312" s="4"/>
      <c r="GU312" s="722"/>
      <c r="GV312" s="715"/>
    </row>
    <row r="313" spans="1:204" x14ac:dyDescent="0.25">
      <c r="A313" t="s">
        <v>1395</v>
      </c>
      <c r="B313" s="2" t="s">
        <v>1394</v>
      </c>
      <c r="C313" s="619">
        <v>44635</v>
      </c>
      <c r="D313" s="2" t="s">
        <v>1383</v>
      </c>
      <c r="E313" t="s">
        <v>58</v>
      </c>
      <c r="F313" s="2" t="s">
        <v>43</v>
      </c>
      <c r="G313" t="s">
        <v>40</v>
      </c>
      <c r="H313" s="690" t="s">
        <v>84</v>
      </c>
      <c r="I313" s="691" t="s">
        <v>472</v>
      </c>
      <c r="J313" s="721">
        <v>4802543000183</v>
      </c>
      <c r="K313" s="691" t="s">
        <v>43</v>
      </c>
      <c r="L313" s="721">
        <v>3780401000108</v>
      </c>
      <c r="M313" s="718" t="s">
        <v>3</v>
      </c>
      <c r="N313" s="717" t="s">
        <v>44</v>
      </c>
      <c r="O313" s="719">
        <v>44743</v>
      </c>
      <c r="P313" s="720">
        <v>44834</v>
      </c>
      <c r="Q313" s="718">
        <v>164</v>
      </c>
      <c r="R313" s="717">
        <v>5</v>
      </c>
      <c r="S313" s="691" t="s">
        <v>54</v>
      </c>
      <c r="T313" t="s">
        <v>358</v>
      </c>
      <c r="U313" s="673" t="s">
        <v>358</v>
      </c>
      <c r="V313" s="690" t="s">
        <v>358</v>
      </c>
      <c r="W313" s="657" t="s">
        <v>329</v>
      </c>
      <c r="X313" s="723"/>
      <c r="Y313" s="4"/>
      <c r="Z313" s="4"/>
      <c r="AA313" s="4"/>
      <c r="AB313" s="4"/>
      <c r="AC313" s="4"/>
      <c r="AD313" s="4">
        <v>5</v>
      </c>
      <c r="AE313" s="4">
        <v>5</v>
      </c>
      <c r="AF313" s="4">
        <v>5</v>
      </c>
      <c r="AG313" s="4"/>
      <c r="AH313" s="4"/>
      <c r="AI313" s="654"/>
      <c r="AJ313" s="655"/>
      <c r="AK313" s="4"/>
      <c r="AL313" s="4"/>
      <c r="AM313" s="4"/>
      <c r="AN313" s="4"/>
      <c r="AO313" s="4"/>
      <c r="AP313" s="4"/>
      <c r="AQ313" s="4"/>
      <c r="AR313" s="4"/>
      <c r="AS313" s="4"/>
      <c r="AT313" s="4"/>
      <c r="AU313" s="654"/>
      <c r="AV313" s="655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654"/>
      <c r="BH313" s="655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654"/>
      <c r="BT313" s="655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693"/>
      <c r="CF313" s="723"/>
      <c r="CG313" s="4"/>
      <c r="CH313" s="4"/>
      <c r="CI313" s="4"/>
      <c r="CJ313" s="4"/>
      <c r="CK313" s="4"/>
      <c r="CL313" s="4">
        <v>164</v>
      </c>
      <c r="CM313" s="4">
        <v>164</v>
      </c>
      <c r="CN313" s="4">
        <v>164</v>
      </c>
      <c r="CO313" s="4"/>
      <c r="CP313" s="4"/>
      <c r="CQ313" s="654"/>
      <c r="CR313" s="655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654"/>
      <c r="DD313" s="655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654"/>
      <c r="DP313" s="655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654"/>
      <c r="EB313" s="655"/>
      <c r="EC313" s="4"/>
      <c r="ED313" s="4"/>
      <c r="EE313" s="4"/>
      <c r="EF313" s="4"/>
      <c r="EG313" s="4"/>
      <c r="EH313" s="4"/>
      <c r="EI313" s="4"/>
      <c r="EJ313" s="4"/>
      <c r="EK313" s="4"/>
      <c r="EL313" s="4"/>
      <c r="EM313" s="693"/>
      <c r="EN313" s="723"/>
      <c r="EO313" s="4"/>
      <c r="EP313" s="4"/>
      <c r="EQ313" s="4"/>
      <c r="ER313" s="4"/>
      <c r="ES313" s="4"/>
      <c r="ET313" s="4">
        <v>164</v>
      </c>
      <c r="EU313" s="4">
        <v>164</v>
      </c>
      <c r="EV313" s="4">
        <v>164</v>
      </c>
      <c r="EW313" s="4"/>
      <c r="EX313" s="4"/>
      <c r="EY313" s="654"/>
      <c r="EZ313" s="655"/>
      <c r="FA313" s="4"/>
      <c r="FB313" s="4"/>
      <c r="FC313" s="4"/>
      <c r="FD313" s="4"/>
      <c r="FE313" s="4"/>
      <c r="FF313" s="4"/>
      <c r="FG313" s="4"/>
      <c r="FH313" s="4"/>
      <c r="FI313" s="4"/>
      <c r="FJ313" s="4"/>
      <c r="FK313" s="654"/>
      <c r="FL313" s="655"/>
      <c r="FM313" s="4"/>
      <c r="FN313" s="4"/>
      <c r="FO313" s="4"/>
      <c r="FP313" s="4"/>
      <c r="FQ313" s="4"/>
      <c r="FR313" s="4"/>
      <c r="FS313" s="4"/>
      <c r="FT313" s="4"/>
      <c r="FU313" s="4"/>
      <c r="FV313" s="4"/>
      <c r="FW313" s="654"/>
      <c r="FX313" s="655"/>
      <c r="FY313" s="4"/>
      <c r="FZ313" s="4"/>
      <c r="GA313" s="4"/>
      <c r="GB313" s="4"/>
      <c r="GC313" s="4"/>
      <c r="GD313" s="4"/>
      <c r="GE313" s="4"/>
      <c r="GF313" s="4"/>
      <c r="GG313" s="4"/>
      <c r="GH313" s="4"/>
      <c r="GI313" s="654"/>
      <c r="GJ313" s="655"/>
      <c r="GK313" s="4"/>
      <c r="GL313" s="4"/>
      <c r="GM313" s="4"/>
      <c r="GN313" s="4"/>
      <c r="GO313" s="4"/>
      <c r="GP313" s="4"/>
      <c r="GQ313" s="4"/>
      <c r="GR313" s="4"/>
      <c r="GS313" s="4"/>
      <c r="GT313" s="4"/>
      <c r="GU313" s="722"/>
      <c r="GV313" s="715"/>
    </row>
    <row r="314" spans="1:204" x14ac:dyDescent="0.25">
      <c r="A314" t="s">
        <v>1399</v>
      </c>
      <c r="B314" s="2" t="s">
        <v>1398</v>
      </c>
      <c r="C314" s="619">
        <v>44636</v>
      </c>
      <c r="D314" s="2" t="s">
        <v>1396</v>
      </c>
      <c r="E314" t="s">
        <v>58</v>
      </c>
      <c r="F314" s="2" t="s">
        <v>43</v>
      </c>
      <c r="G314" t="s">
        <v>40</v>
      </c>
      <c r="H314" s="690" t="s">
        <v>84</v>
      </c>
      <c r="I314" s="691" t="s">
        <v>1195</v>
      </c>
      <c r="J314" s="721">
        <v>9185485000100</v>
      </c>
      <c r="K314" s="691" t="s">
        <v>43</v>
      </c>
      <c r="L314" s="721">
        <v>3780401000108</v>
      </c>
      <c r="M314" s="718" t="s">
        <v>3</v>
      </c>
      <c r="N314" s="717" t="s">
        <v>44</v>
      </c>
      <c r="O314" s="719">
        <v>44743</v>
      </c>
      <c r="P314" s="720">
        <v>44834</v>
      </c>
      <c r="Q314" s="718">
        <v>163</v>
      </c>
      <c r="R314" s="717">
        <v>15</v>
      </c>
      <c r="S314" s="691" t="s">
        <v>54</v>
      </c>
      <c r="T314" t="s">
        <v>358</v>
      </c>
      <c r="U314" s="673" t="s">
        <v>358</v>
      </c>
      <c r="V314" s="690" t="s">
        <v>358</v>
      </c>
      <c r="W314" s="657" t="s">
        <v>329</v>
      </c>
      <c r="X314" s="723"/>
      <c r="Y314" s="4"/>
      <c r="Z314" s="4"/>
      <c r="AA314" s="4"/>
      <c r="AB314" s="4"/>
      <c r="AC314" s="4"/>
      <c r="AD314" s="4">
        <v>15</v>
      </c>
      <c r="AE314" s="4">
        <v>15</v>
      </c>
      <c r="AF314" s="4">
        <v>15</v>
      </c>
      <c r="AG314" s="4"/>
      <c r="AH314" s="4"/>
      <c r="AI314" s="654"/>
      <c r="AJ314" s="655"/>
      <c r="AK314" s="4"/>
      <c r="AL314" s="4"/>
      <c r="AM314" s="4"/>
      <c r="AN314" s="4"/>
      <c r="AO314" s="4"/>
      <c r="AP314" s="4"/>
      <c r="AQ314" s="4"/>
      <c r="AR314" s="4"/>
      <c r="AS314" s="4"/>
      <c r="AT314" s="4"/>
      <c r="AU314" s="654"/>
      <c r="AV314" s="655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654"/>
      <c r="BH314" s="655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654"/>
      <c r="BT314" s="655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693"/>
      <c r="CF314" s="723"/>
      <c r="CG314" s="4"/>
      <c r="CH314" s="4"/>
      <c r="CI314" s="4"/>
      <c r="CJ314" s="4"/>
      <c r="CK314" s="4"/>
      <c r="CL314" s="4">
        <v>163</v>
      </c>
      <c r="CM314" s="4">
        <v>163</v>
      </c>
      <c r="CN314" s="4">
        <v>163</v>
      </c>
      <c r="CO314" s="4"/>
      <c r="CP314" s="4"/>
      <c r="CQ314" s="654"/>
      <c r="CR314" s="655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654"/>
      <c r="DD314" s="655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654"/>
      <c r="DP314" s="655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654"/>
      <c r="EB314" s="655"/>
      <c r="EC314" s="4"/>
      <c r="ED314" s="4"/>
      <c r="EE314" s="4"/>
      <c r="EF314" s="4"/>
      <c r="EG314" s="4"/>
      <c r="EH314" s="4"/>
      <c r="EI314" s="4"/>
      <c r="EJ314" s="4"/>
      <c r="EK314" s="4"/>
      <c r="EL314" s="4"/>
      <c r="EM314" s="693"/>
      <c r="EN314" s="723"/>
      <c r="EO314" s="4"/>
      <c r="EP314" s="4"/>
      <c r="EQ314" s="4"/>
      <c r="ER314" s="4"/>
      <c r="ES314" s="4"/>
      <c r="ET314" s="4">
        <v>163</v>
      </c>
      <c r="EU314" s="4">
        <v>163</v>
      </c>
      <c r="EV314" s="4">
        <v>163</v>
      </c>
      <c r="EW314" s="4"/>
      <c r="EX314" s="4"/>
      <c r="EY314" s="654"/>
      <c r="EZ314" s="655"/>
      <c r="FA314" s="4"/>
      <c r="FB314" s="4"/>
      <c r="FC314" s="4"/>
      <c r="FD314" s="4"/>
      <c r="FE314" s="4"/>
      <c r="FF314" s="4"/>
      <c r="FG314" s="4"/>
      <c r="FH314" s="4"/>
      <c r="FI314" s="4"/>
      <c r="FJ314" s="4"/>
      <c r="FK314" s="654"/>
      <c r="FL314" s="655"/>
      <c r="FM314" s="4"/>
      <c r="FN314" s="4"/>
      <c r="FO314" s="4"/>
      <c r="FP314" s="4"/>
      <c r="FQ314" s="4"/>
      <c r="FR314" s="4"/>
      <c r="FS314" s="4"/>
      <c r="FT314" s="4"/>
      <c r="FU314" s="4"/>
      <c r="FV314" s="4"/>
      <c r="FW314" s="654"/>
      <c r="FX314" s="655"/>
      <c r="FY314" s="4"/>
      <c r="FZ314" s="4"/>
      <c r="GA314" s="4"/>
      <c r="GB314" s="4"/>
      <c r="GC314" s="4"/>
      <c r="GD314" s="4"/>
      <c r="GE314" s="4"/>
      <c r="GF314" s="4"/>
      <c r="GG314" s="4"/>
      <c r="GH314" s="4"/>
      <c r="GI314" s="654"/>
      <c r="GJ314" s="655"/>
      <c r="GK314" s="4"/>
      <c r="GL314" s="4"/>
      <c r="GM314" s="4"/>
      <c r="GN314" s="4"/>
      <c r="GO314" s="4"/>
      <c r="GP314" s="4"/>
      <c r="GQ314" s="4"/>
      <c r="GR314" s="4"/>
      <c r="GS314" s="4"/>
      <c r="GT314" s="4"/>
      <c r="GU314" s="722"/>
      <c r="GV314" s="715"/>
    </row>
    <row r="315" spans="1:204" x14ac:dyDescent="0.25">
      <c r="A315" t="s">
        <v>1401</v>
      </c>
      <c r="B315" s="2" t="s">
        <v>1400</v>
      </c>
      <c r="C315" s="619">
        <v>44636</v>
      </c>
      <c r="D315" s="2" t="s">
        <v>1397</v>
      </c>
      <c r="E315" t="s">
        <v>59</v>
      </c>
      <c r="F315" s="2" t="s">
        <v>43</v>
      </c>
      <c r="G315" t="s">
        <v>40</v>
      </c>
      <c r="H315" s="690" t="s">
        <v>85</v>
      </c>
      <c r="I315" s="691" t="s">
        <v>43</v>
      </c>
      <c r="J315" s="721">
        <v>3780401000108</v>
      </c>
      <c r="K315" s="691" t="s">
        <v>1195</v>
      </c>
      <c r="L315" s="721">
        <v>9185485000100</v>
      </c>
      <c r="M315" s="718" t="s">
        <v>3</v>
      </c>
      <c r="N315" s="717" t="s">
        <v>44</v>
      </c>
      <c r="O315" s="719">
        <v>44835</v>
      </c>
      <c r="P315" s="720">
        <v>44926</v>
      </c>
      <c r="Q315" s="718">
        <v>183</v>
      </c>
      <c r="R315" s="717">
        <v>15</v>
      </c>
      <c r="S315" s="691" t="s">
        <v>54</v>
      </c>
      <c r="T315" t="s">
        <v>358</v>
      </c>
      <c r="U315" s="673" t="s">
        <v>358</v>
      </c>
      <c r="V315" s="690" t="s">
        <v>358</v>
      </c>
      <c r="W315" s="657" t="s">
        <v>329</v>
      </c>
      <c r="X315" s="723"/>
      <c r="Y315" s="4"/>
      <c r="Z315" s="4"/>
      <c r="AA315" s="4"/>
      <c r="AB315" s="4"/>
      <c r="AC315" s="4"/>
      <c r="AD315" s="4"/>
      <c r="AE315" s="4"/>
      <c r="AF315" s="4"/>
      <c r="AG315" s="4">
        <v>15</v>
      </c>
      <c r="AH315" s="4">
        <v>15</v>
      </c>
      <c r="AI315" s="654">
        <v>15</v>
      </c>
      <c r="AJ315" s="655"/>
      <c r="AK315" s="4"/>
      <c r="AL315" s="4"/>
      <c r="AM315" s="4"/>
      <c r="AN315" s="4"/>
      <c r="AO315" s="4"/>
      <c r="AP315" s="4"/>
      <c r="AQ315" s="4"/>
      <c r="AR315" s="4"/>
      <c r="AS315" s="4"/>
      <c r="AT315" s="4"/>
      <c r="AU315" s="654"/>
      <c r="AV315" s="655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654"/>
      <c r="BH315" s="655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654"/>
      <c r="BT315" s="655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693"/>
      <c r="CF315" s="723"/>
      <c r="CG315" s="4"/>
      <c r="CH315" s="4"/>
      <c r="CI315" s="4"/>
      <c r="CJ315" s="4"/>
      <c r="CK315" s="4"/>
      <c r="CL315" s="4"/>
      <c r="CM315" s="4"/>
      <c r="CN315" s="4"/>
      <c r="CO315" s="4">
        <v>183</v>
      </c>
      <c r="CP315" s="4">
        <v>183</v>
      </c>
      <c r="CQ315" s="654">
        <v>183</v>
      </c>
      <c r="CR315" s="655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654"/>
      <c r="DD315" s="655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654"/>
      <c r="DP315" s="655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654"/>
      <c r="EB315" s="655"/>
      <c r="EC315" s="4"/>
      <c r="ED315" s="4"/>
      <c r="EE315" s="4"/>
      <c r="EF315" s="4"/>
      <c r="EG315" s="4"/>
      <c r="EH315" s="4"/>
      <c r="EI315" s="4"/>
      <c r="EJ315" s="4"/>
      <c r="EK315" s="4"/>
      <c r="EL315" s="4"/>
      <c r="EM315" s="693"/>
      <c r="EN315" s="723"/>
      <c r="EO315" s="4"/>
      <c r="EP315" s="4"/>
      <c r="EQ315" s="4"/>
      <c r="ER315" s="4"/>
      <c r="ES315" s="4"/>
      <c r="ET315" s="4"/>
      <c r="EU315" s="4"/>
      <c r="EV315" s="4"/>
      <c r="EW315" s="4">
        <v>183</v>
      </c>
      <c r="EX315" s="4">
        <v>183</v>
      </c>
      <c r="EY315" s="654">
        <v>183</v>
      </c>
      <c r="EZ315" s="655"/>
      <c r="FA315" s="4"/>
      <c r="FB315" s="4"/>
      <c r="FC315" s="4"/>
      <c r="FD315" s="4"/>
      <c r="FE315" s="4"/>
      <c r="FF315" s="4"/>
      <c r="FG315" s="4"/>
      <c r="FH315" s="4"/>
      <c r="FI315" s="4"/>
      <c r="FJ315" s="4"/>
      <c r="FK315" s="654"/>
      <c r="FL315" s="655"/>
      <c r="FM315" s="4"/>
      <c r="FN315" s="4"/>
      <c r="FO315" s="4"/>
      <c r="FP315" s="4"/>
      <c r="FQ315" s="4"/>
      <c r="FR315" s="4"/>
      <c r="FS315" s="4"/>
      <c r="FT315" s="4"/>
      <c r="FU315" s="4"/>
      <c r="FV315" s="4"/>
      <c r="FW315" s="654"/>
      <c r="FX315" s="655"/>
      <c r="FY315" s="4"/>
      <c r="FZ315" s="4"/>
      <c r="GA315" s="4"/>
      <c r="GB315" s="4"/>
      <c r="GC315" s="4"/>
      <c r="GD315" s="4"/>
      <c r="GE315" s="4"/>
      <c r="GF315" s="4"/>
      <c r="GG315" s="4"/>
      <c r="GH315" s="4"/>
      <c r="GI315" s="654"/>
      <c r="GJ315" s="655"/>
      <c r="GK315" s="4"/>
      <c r="GL315" s="4"/>
      <c r="GM315" s="4"/>
      <c r="GN315" s="4"/>
      <c r="GO315" s="4"/>
      <c r="GP315" s="4"/>
      <c r="GQ315" s="4"/>
      <c r="GR315" s="4"/>
      <c r="GS315" s="4"/>
      <c r="GT315" s="4"/>
      <c r="GU315" s="722"/>
      <c r="GV315" s="715"/>
    </row>
    <row r="316" spans="1:204" x14ac:dyDescent="0.25">
      <c r="A316" t="s">
        <v>1408</v>
      </c>
      <c r="B316" s="2" t="s">
        <v>358</v>
      </c>
      <c r="C316" s="619">
        <v>44638</v>
      </c>
      <c r="D316" s="2" t="s">
        <v>1402</v>
      </c>
      <c r="E316" t="s">
        <v>59</v>
      </c>
      <c r="F316" s="2" t="s">
        <v>43</v>
      </c>
      <c r="G316" t="s">
        <v>40</v>
      </c>
      <c r="H316" s="690" t="s">
        <v>85</v>
      </c>
      <c r="I316" s="691" t="s">
        <v>43</v>
      </c>
      <c r="J316" s="721">
        <v>3780401000108</v>
      </c>
      <c r="K316" s="691" t="s">
        <v>506</v>
      </c>
      <c r="L316" s="721">
        <v>33652516000170</v>
      </c>
      <c r="M316" s="718" t="s">
        <v>3</v>
      </c>
      <c r="N316" s="717" t="s">
        <v>44</v>
      </c>
      <c r="O316" s="719">
        <v>44743</v>
      </c>
      <c r="P316" s="720">
        <v>44926</v>
      </c>
      <c r="Q316" s="718">
        <v>165</v>
      </c>
      <c r="R316" s="717">
        <v>5</v>
      </c>
      <c r="S316" s="691" t="s">
        <v>54</v>
      </c>
      <c r="T316" t="s">
        <v>358</v>
      </c>
      <c r="U316" s="673" t="s">
        <v>358</v>
      </c>
      <c r="V316" s="690" t="s">
        <v>358</v>
      </c>
      <c r="W316" s="657" t="s">
        <v>214</v>
      </c>
      <c r="X316" s="723"/>
      <c r="Y316" s="4"/>
      <c r="Z316" s="4"/>
      <c r="AA316" s="4"/>
      <c r="AB316" s="4"/>
      <c r="AC316" s="4"/>
      <c r="AD316" s="4">
        <v>5</v>
      </c>
      <c r="AE316" s="4">
        <v>5</v>
      </c>
      <c r="AF316" s="4">
        <v>5</v>
      </c>
      <c r="AG316" s="4">
        <v>5</v>
      </c>
      <c r="AH316" s="4">
        <v>5</v>
      </c>
      <c r="AI316" s="654">
        <v>5</v>
      </c>
      <c r="AJ316" s="655"/>
      <c r="AK316" s="4"/>
      <c r="AL316" s="4"/>
      <c r="AM316" s="4"/>
      <c r="AN316" s="4"/>
      <c r="AO316" s="4"/>
      <c r="AP316" s="4"/>
      <c r="AQ316" s="4"/>
      <c r="AR316" s="4"/>
      <c r="AS316" s="4"/>
      <c r="AT316" s="4"/>
      <c r="AU316" s="654"/>
      <c r="AV316" s="655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654"/>
      <c r="BH316" s="655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654"/>
      <c r="BT316" s="655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693"/>
      <c r="CF316" s="723"/>
      <c r="CG316" s="4"/>
      <c r="CH316" s="4"/>
      <c r="CI316" s="4"/>
      <c r="CJ316" s="4"/>
      <c r="CK316" s="4"/>
      <c r="CL316" s="4">
        <v>165</v>
      </c>
      <c r="CM316" s="4">
        <v>165</v>
      </c>
      <c r="CN316" s="4">
        <v>165</v>
      </c>
      <c r="CO316" s="4">
        <v>165</v>
      </c>
      <c r="CP316" s="4">
        <v>165</v>
      </c>
      <c r="CQ316" s="654">
        <v>165</v>
      </c>
      <c r="CR316" s="655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654"/>
      <c r="DD316" s="655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654"/>
      <c r="DP316" s="655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654"/>
      <c r="EB316" s="655"/>
      <c r="EC316" s="4"/>
      <c r="ED316" s="4"/>
      <c r="EE316" s="4"/>
      <c r="EF316" s="4"/>
      <c r="EG316" s="4"/>
      <c r="EH316" s="4"/>
      <c r="EI316" s="4"/>
      <c r="EJ316" s="4"/>
      <c r="EK316" s="4"/>
      <c r="EL316" s="4"/>
      <c r="EM316" s="693"/>
      <c r="EN316" s="723"/>
      <c r="EO316" s="4"/>
      <c r="EP316" s="4"/>
      <c r="EQ316" s="4"/>
      <c r="ER316" s="4"/>
      <c r="ES316" s="4"/>
      <c r="ET316" s="4">
        <v>165</v>
      </c>
      <c r="EU316" s="4">
        <v>165</v>
      </c>
      <c r="EV316" s="4">
        <v>165</v>
      </c>
      <c r="EW316" s="4">
        <v>165</v>
      </c>
      <c r="EX316" s="4">
        <v>165</v>
      </c>
      <c r="EY316" s="654">
        <v>165</v>
      </c>
      <c r="EZ316" s="655"/>
      <c r="FA316" s="4"/>
      <c r="FB316" s="4"/>
      <c r="FC316" s="4"/>
      <c r="FD316" s="4"/>
      <c r="FE316" s="4"/>
      <c r="FF316" s="4"/>
      <c r="FG316" s="4"/>
      <c r="FH316" s="4"/>
      <c r="FI316" s="4"/>
      <c r="FJ316" s="4"/>
      <c r="FK316" s="654"/>
      <c r="FL316" s="655"/>
      <c r="FM316" s="4"/>
      <c r="FN316" s="4"/>
      <c r="FO316" s="4"/>
      <c r="FP316" s="4"/>
      <c r="FQ316" s="4"/>
      <c r="FR316" s="4"/>
      <c r="FS316" s="4"/>
      <c r="FT316" s="4"/>
      <c r="FU316" s="4"/>
      <c r="FV316" s="4"/>
      <c r="FW316" s="654"/>
      <c r="FX316" s="655"/>
      <c r="FY316" s="4"/>
      <c r="FZ316" s="4"/>
      <c r="GA316" s="4"/>
      <c r="GB316" s="4"/>
      <c r="GC316" s="4"/>
      <c r="GD316" s="4"/>
      <c r="GE316" s="4"/>
      <c r="GF316" s="4"/>
      <c r="GG316" s="4"/>
      <c r="GH316" s="4"/>
      <c r="GI316" s="654"/>
      <c r="GJ316" s="655"/>
      <c r="GK316" s="4"/>
      <c r="GL316" s="4"/>
      <c r="GM316" s="4"/>
      <c r="GN316" s="4"/>
      <c r="GO316" s="4"/>
      <c r="GP316" s="4"/>
      <c r="GQ316" s="4"/>
      <c r="GR316" s="4"/>
      <c r="GS316" s="4"/>
      <c r="GT316" s="4"/>
      <c r="GU316" s="722"/>
      <c r="GV316" s="715"/>
    </row>
    <row r="317" spans="1:204" x14ac:dyDescent="0.25">
      <c r="A317" t="s">
        <v>1409</v>
      </c>
      <c r="B317" s="2" t="s">
        <v>358</v>
      </c>
      <c r="C317" s="619">
        <v>44638</v>
      </c>
      <c r="D317" s="2" t="s">
        <v>1403</v>
      </c>
      <c r="E317" t="s">
        <v>59</v>
      </c>
      <c r="F317" s="2" t="s">
        <v>43</v>
      </c>
      <c r="G317" t="s">
        <v>40</v>
      </c>
      <c r="H317" s="690" t="s">
        <v>85</v>
      </c>
      <c r="I317" s="691" t="s">
        <v>43</v>
      </c>
      <c r="J317" s="721">
        <v>3780401000108</v>
      </c>
      <c r="K317" s="691" t="s">
        <v>471</v>
      </c>
      <c r="L317" s="721">
        <v>11182210000164</v>
      </c>
      <c r="M317" s="718" t="s">
        <v>3</v>
      </c>
      <c r="N317" s="717" t="s">
        <v>44</v>
      </c>
      <c r="O317" s="719">
        <v>44743</v>
      </c>
      <c r="P317" s="720">
        <v>44926</v>
      </c>
      <c r="Q317" s="718">
        <v>165</v>
      </c>
      <c r="R317" s="717">
        <v>2</v>
      </c>
      <c r="S317" s="691" t="s">
        <v>54</v>
      </c>
      <c r="T317" t="s">
        <v>358</v>
      </c>
      <c r="U317" s="673" t="s">
        <v>358</v>
      </c>
      <c r="V317" s="690" t="s">
        <v>358</v>
      </c>
      <c r="W317" s="657" t="s">
        <v>214</v>
      </c>
      <c r="X317" s="723"/>
      <c r="Y317" s="4"/>
      <c r="Z317" s="4"/>
      <c r="AA317" s="4"/>
      <c r="AB317" s="4"/>
      <c r="AC317" s="4"/>
      <c r="AD317" s="4">
        <v>2</v>
      </c>
      <c r="AE317" s="4">
        <v>2</v>
      </c>
      <c r="AF317" s="4">
        <v>2</v>
      </c>
      <c r="AG317" s="4">
        <v>2</v>
      </c>
      <c r="AH317" s="4">
        <v>2</v>
      </c>
      <c r="AI317" s="654">
        <v>2</v>
      </c>
      <c r="AJ317" s="655"/>
      <c r="AK317" s="4"/>
      <c r="AL317" s="4"/>
      <c r="AM317" s="4"/>
      <c r="AN317" s="4"/>
      <c r="AO317" s="4"/>
      <c r="AP317" s="4"/>
      <c r="AQ317" s="4"/>
      <c r="AR317" s="4"/>
      <c r="AS317" s="4"/>
      <c r="AT317" s="4"/>
      <c r="AU317" s="654"/>
      <c r="AV317" s="655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654"/>
      <c r="BH317" s="655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654"/>
      <c r="BT317" s="655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693"/>
      <c r="CF317" s="723"/>
      <c r="CG317" s="4"/>
      <c r="CH317" s="4"/>
      <c r="CI317" s="4"/>
      <c r="CJ317" s="4"/>
      <c r="CK317" s="4"/>
      <c r="CL317" s="4">
        <v>165</v>
      </c>
      <c r="CM317" s="4">
        <v>165</v>
      </c>
      <c r="CN317" s="4">
        <v>165</v>
      </c>
      <c r="CO317" s="4">
        <v>165</v>
      </c>
      <c r="CP317" s="4">
        <v>165</v>
      </c>
      <c r="CQ317" s="654">
        <v>165</v>
      </c>
      <c r="CR317" s="655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654"/>
      <c r="DD317" s="655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654"/>
      <c r="DP317" s="655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654"/>
      <c r="EB317" s="655"/>
      <c r="EC317" s="4"/>
      <c r="ED317" s="4"/>
      <c r="EE317" s="4"/>
      <c r="EF317" s="4"/>
      <c r="EG317" s="4"/>
      <c r="EH317" s="4"/>
      <c r="EI317" s="4"/>
      <c r="EJ317" s="4"/>
      <c r="EK317" s="4"/>
      <c r="EL317" s="4"/>
      <c r="EM317" s="693"/>
      <c r="EN317" s="723"/>
      <c r="EO317" s="4"/>
      <c r="EP317" s="4"/>
      <c r="EQ317" s="4"/>
      <c r="ER317" s="4"/>
      <c r="ES317" s="4"/>
      <c r="ET317" s="4">
        <v>165</v>
      </c>
      <c r="EU317" s="4">
        <v>165</v>
      </c>
      <c r="EV317" s="4">
        <v>165</v>
      </c>
      <c r="EW317" s="4">
        <v>165</v>
      </c>
      <c r="EX317" s="4">
        <v>165</v>
      </c>
      <c r="EY317" s="654">
        <v>165</v>
      </c>
      <c r="EZ317" s="655"/>
      <c r="FA317" s="4"/>
      <c r="FB317" s="4"/>
      <c r="FC317" s="4"/>
      <c r="FD317" s="4"/>
      <c r="FE317" s="4"/>
      <c r="FF317" s="4"/>
      <c r="FG317" s="4"/>
      <c r="FH317" s="4"/>
      <c r="FI317" s="4"/>
      <c r="FJ317" s="4"/>
      <c r="FK317" s="654"/>
      <c r="FL317" s="655"/>
      <c r="FM317" s="4"/>
      <c r="FN317" s="4"/>
      <c r="FO317" s="4"/>
      <c r="FP317" s="4"/>
      <c r="FQ317" s="4"/>
      <c r="FR317" s="4"/>
      <c r="FS317" s="4"/>
      <c r="FT317" s="4"/>
      <c r="FU317" s="4"/>
      <c r="FV317" s="4"/>
      <c r="FW317" s="654"/>
      <c r="FX317" s="655"/>
      <c r="FY317" s="4"/>
      <c r="FZ317" s="4"/>
      <c r="GA317" s="4"/>
      <c r="GB317" s="4"/>
      <c r="GC317" s="4"/>
      <c r="GD317" s="4"/>
      <c r="GE317" s="4"/>
      <c r="GF317" s="4"/>
      <c r="GG317" s="4"/>
      <c r="GH317" s="4"/>
      <c r="GI317" s="654"/>
      <c r="GJ317" s="655"/>
      <c r="GK317" s="4"/>
      <c r="GL317" s="4"/>
      <c r="GM317" s="4"/>
      <c r="GN317" s="4"/>
      <c r="GO317" s="4"/>
      <c r="GP317" s="4"/>
      <c r="GQ317" s="4"/>
      <c r="GR317" s="4"/>
      <c r="GS317" s="4"/>
      <c r="GT317" s="4"/>
      <c r="GU317" s="722"/>
      <c r="GV317" s="715"/>
    </row>
    <row r="318" spans="1:204" x14ac:dyDescent="0.25">
      <c r="A318" t="s">
        <v>1410</v>
      </c>
      <c r="B318" s="2" t="s">
        <v>358</v>
      </c>
      <c r="C318" s="619">
        <v>44638</v>
      </c>
      <c r="D318" s="2" t="s">
        <v>1404</v>
      </c>
      <c r="E318" t="s">
        <v>58</v>
      </c>
      <c r="F318" s="2" t="s">
        <v>43</v>
      </c>
      <c r="G318" t="s">
        <v>40</v>
      </c>
      <c r="H318" s="690" t="s">
        <v>84</v>
      </c>
      <c r="I318" s="691" t="s">
        <v>510</v>
      </c>
      <c r="J318" s="721">
        <v>28397998000129</v>
      </c>
      <c r="K318" s="691" t="s">
        <v>43</v>
      </c>
      <c r="L318" s="721">
        <v>3780401000108</v>
      </c>
      <c r="M318" s="718" t="s">
        <v>3</v>
      </c>
      <c r="N318" s="717" t="s">
        <v>44</v>
      </c>
      <c r="O318" s="719">
        <v>44927</v>
      </c>
      <c r="P318" s="720">
        <v>45016</v>
      </c>
      <c r="Q318" s="718">
        <v>215</v>
      </c>
      <c r="R318" s="717">
        <v>4</v>
      </c>
      <c r="S318" s="691" t="s">
        <v>54</v>
      </c>
      <c r="T318" t="s">
        <v>649</v>
      </c>
      <c r="U318" s="673">
        <v>44638</v>
      </c>
      <c r="V318" s="690">
        <v>1</v>
      </c>
      <c r="W318" s="657" t="s">
        <v>214</v>
      </c>
      <c r="X318" s="723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654"/>
      <c r="AJ318" s="655">
        <v>4</v>
      </c>
      <c r="AK318" s="4">
        <v>4</v>
      </c>
      <c r="AL318" s="4">
        <v>4</v>
      </c>
      <c r="AM318" s="4"/>
      <c r="AN318" s="4"/>
      <c r="AO318" s="4"/>
      <c r="AP318" s="4"/>
      <c r="AQ318" s="4"/>
      <c r="AR318" s="4"/>
      <c r="AS318" s="4"/>
      <c r="AT318" s="4"/>
      <c r="AU318" s="654"/>
      <c r="AV318" s="655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654"/>
      <c r="BH318" s="655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654"/>
      <c r="BT318" s="655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693"/>
      <c r="CF318" s="723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654"/>
      <c r="CR318" s="655">
        <v>223.64262249879329</v>
      </c>
      <c r="CS318" s="4">
        <v>223.64262249879329</v>
      </c>
      <c r="CT318" s="4">
        <v>223.64262249879329</v>
      </c>
      <c r="CU318" s="4"/>
      <c r="CV318" s="4"/>
      <c r="CW318" s="4"/>
      <c r="CX318" s="4"/>
      <c r="CY318" s="4"/>
      <c r="CZ318" s="4"/>
      <c r="DA318" s="4"/>
      <c r="DB318" s="4"/>
      <c r="DC318" s="654"/>
      <c r="DD318" s="655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654"/>
      <c r="DP318" s="655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654"/>
      <c r="EB318" s="655"/>
      <c r="EC318" s="4"/>
      <c r="ED318" s="4"/>
      <c r="EE318" s="4"/>
      <c r="EF318" s="4"/>
      <c r="EG318" s="4"/>
      <c r="EH318" s="4"/>
      <c r="EI318" s="4"/>
      <c r="EJ318" s="4"/>
      <c r="EK318" s="4"/>
      <c r="EL318" s="4"/>
      <c r="EM318" s="693"/>
      <c r="EN318" s="723"/>
      <c r="EO318" s="4"/>
      <c r="EP318" s="4"/>
      <c r="EQ318" s="4"/>
      <c r="ER318" s="4"/>
      <c r="ES318" s="4"/>
      <c r="ET318" s="4"/>
      <c r="EU318" s="4"/>
      <c r="EV318" s="4"/>
      <c r="EW318" s="4"/>
      <c r="EX318" s="4"/>
      <c r="EY318" s="654"/>
      <c r="EZ318" s="655">
        <v>223.64262249879329</v>
      </c>
      <c r="FA318" s="4">
        <v>223.64262249879329</v>
      </c>
      <c r="FB318" s="4">
        <v>223.64262249879329</v>
      </c>
      <c r="FC318" s="4"/>
      <c r="FD318" s="4"/>
      <c r="FE318" s="4"/>
      <c r="FF318" s="4"/>
      <c r="FG318" s="4"/>
      <c r="FH318" s="4"/>
      <c r="FI318" s="4"/>
      <c r="FJ318" s="4"/>
      <c r="FK318" s="654"/>
      <c r="FL318" s="655"/>
      <c r="FM318" s="4"/>
      <c r="FN318" s="4"/>
      <c r="FO318" s="4"/>
      <c r="FP318" s="4"/>
      <c r="FQ318" s="4"/>
      <c r="FR318" s="4"/>
      <c r="FS318" s="4"/>
      <c r="FT318" s="4"/>
      <c r="FU318" s="4"/>
      <c r="FV318" s="4"/>
      <c r="FW318" s="654"/>
      <c r="FX318" s="655"/>
      <c r="FY318" s="4"/>
      <c r="FZ318" s="4"/>
      <c r="GA318" s="4"/>
      <c r="GB318" s="4"/>
      <c r="GC318" s="4"/>
      <c r="GD318" s="4"/>
      <c r="GE318" s="4"/>
      <c r="GF318" s="4"/>
      <c r="GG318" s="4"/>
      <c r="GH318" s="4"/>
      <c r="GI318" s="654"/>
      <c r="GJ318" s="655"/>
      <c r="GK318" s="4"/>
      <c r="GL318" s="4"/>
      <c r="GM318" s="4"/>
      <c r="GN318" s="4"/>
      <c r="GO318" s="4"/>
      <c r="GP318" s="4"/>
      <c r="GQ318" s="4"/>
      <c r="GR318" s="4"/>
      <c r="GS318" s="4"/>
      <c r="GT318" s="4"/>
      <c r="GU318" s="722"/>
      <c r="GV318" s="715"/>
    </row>
    <row r="319" spans="1:204" x14ac:dyDescent="0.25">
      <c r="A319" t="s">
        <v>1412</v>
      </c>
      <c r="B319" s="2" t="s">
        <v>1411</v>
      </c>
      <c r="C319" s="619">
        <v>44638</v>
      </c>
      <c r="D319" s="2" t="s">
        <v>1405</v>
      </c>
      <c r="E319" t="s">
        <v>58</v>
      </c>
      <c r="F319" s="2" t="s">
        <v>43</v>
      </c>
      <c r="G319" t="s">
        <v>40</v>
      </c>
      <c r="H319" s="690" t="s">
        <v>84</v>
      </c>
      <c r="I319" s="691" t="s">
        <v>472</v>
      </c>
      <c r="J319" s="721">
        <v>4802543000183</v>
      </c>
      <c r="K319" s="691" t="s">
        <v>43</v>
      </c>
      <c r="L319" s="721">
        <v>3780401000108</v>
      </c>
      <c r="M319" s="718" t="s">
        <v>3</v>
      </c>
      <c r="N319" s="717" t="s">
        <v>44</v>
      </c>
      <c r="O319" s="719">
        <v>44743</v>
      </c>
      <c r="P319" s="720">
        <v>44834</v>
      </c>
      <c r="Q319" s="718">
        <v>155</v>
      </c>
      <c r="R319" s="717">
        <v>5</v>
      </c>
      <c r="S319" s="691" t="s">
        <v>54</v>
      </c>
      <c r="T319" t="s">
        <v>358</v>
      </c>
      <c r="U319" s="673" t="s">
        <v>358</v>
      </c>
      <c r="V319" s="690" t="s">
        <v>358</v>
      </c>
      <c r="W319" s="657" t="s">
        <v>329</v>
      </c>
      <c r="X319" s="723"/>
      <c r="Y319" s="4"/>
      <c r="Z319" s="4"/>
      <c r="AA319" s="4"/>
      <c r="AB319" s="4"/>
      <c r="AC319" s="4"/>
      <c r="AD319" s="4">
        <v>5</v>
      </c>
      <c r="AE319" s="4">
        <v>5</v>
      </c>
      <c r="AF319" s="4">
        <v>5</v>
      </c>
      <c r="AG319" s="4"/>
      <c r="AH319" s="4"/>
      <c r="AI319" s="654"/>
      <c r="AJ319" s="655"/>
      <c r="AK319" s="4"/>
      <c r="AL319" s="4"/>
      <c r="AM319" s="4"/>
      <c r="AN319" s="4"/>
      <c r="AO319" s="4"/>
      <c r="AP319" s="4"/>
      <c r="AQ319" s="4"/>
      <c r="AR319" s="4"/>
      <c r="AS319" s="4"/>
      <c r="AT319" s="4"/>
      <c r="AU319" s="654"/>
      <c r="AV319" s="655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654"/>
      <c r="BH319" s="655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654"/>
      <c r="BT319" s="655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693"/>
      <c r="CF319" s="723"/>
      <c r="CG319" s="4"/>
      <c r="CH319" s="4"/>
      <c r="CI319" s="4"/>
      <c r="CJ319" s="4"/>
      <c r="CK319" s="4"/>
      <c r="CL319" s="4">
        <v>155</v>
      </c>
      <c r="CM319" s="4">
        <v>155</v>
      </c>
      <c r="CN319" s="4">
        <v>155</v>
      </c>
      <c r="CO319" s="4"/>
      <c r="CP319" s="4"/>
      <c r="CQ319" s="654"/>
      <c r="CR319" s="655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654"/>
      <c r="DD319" s="655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654"/>
      <c r="DP319" s="655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654"/>
      <c r="EB319" s="655"/>
      <c r="EC319" s="4"/>
      <c r="ED319" s="4"/>
      <c r="EE319" s="4"/>
      <c r="EF319" s="4"/>
      <c r="EG319" s="4"/>
      <c r="EH319" s="4"/>
      <c r="EI319" s="4"/>
      <c r="EJ319" s="4"/>
      <c r="EK319" s="4"/>
      <c r="EL319" s="4"/>
      <c r="EM319" s="693"/>
      <c r="EN319" s="723"/>
      <c r="EO319" s="4"/>
      <c r="EP319" s="4"/>
      <c r="EQ319" s="4"/>
      <c r="ER319" s="4"/>
      <c r="ES319" s="4"/>
      <c r="ET319" s="4">
        <v>155</v>
      </c>
      <c r="EU319" s="4">
        <v>155</v>
      </c>
      <c r="EV319" s="4">
        <v>155</v>
      </c>
      <c r="EW319" s="4"/>
      <c r="EX319" s="4"/>
      <c r="EY319" s="654"/>
      <c r="EZ319" s="655"/>
      <c r="FA319" s="4"/>
      <c r="FB319" s="4"/>
      <c r="FC319" s="4"/>
      <c r="FD319" s="4"/>
      <c r="FE319" s="4"/>
      <c r="FF319" s="4"/>
      <c r="FG319" s="4"/>
      <c r="FH319" s="4"/>
      <c r="FI319" s="4"/>
      <c r="FJ319" s="4"/>
      <c r="FK319" s="654"/>
      <c r="FL319" s="655"/>
      <c r="FM319" s="4"/>
      <c r="FN319" s="4"/>
      <c r="FO319" s="4"/>
      <c r="FP319" s="4"/>
      <c r="FQ319" s="4"/>
      <c r="FR319" s="4"/>
      <c r="FS319" s="4"/>
      <c r="FT319" s="4"/>
      <c r="FU319" s="4"/>
      <c r="FV319" s="4"/>
      <c r="FW319" s="654"/>
      <c r="FX319" s="655"/>
      <c r="FY319" s="4"/>
      <c r="FZ319" s="4"/>
      <c r="GA319" s="4"/>
      <c r="GB319" s="4"/>
      <c r="GC319" s="4"/>
      <c r="GD319" s="4"/>
      <c r="GE319" s="4"/>
      <c r="GF319" s="4"/>
      <c r="GG319" s="4"/>
      <c r="GH319" s="4"/>
      <c r="GI319" s="654"/>
      <c r="GJ319" s="655"/>
      <c r="GK319" s="4"/>
      <c r="GL319" s="4"/>
      <c r="GM319" s="4"/>
      <c r="GN319" s="4"/>
      <c r="GO319" s="4"/>
      <c r="GP319" s="4"/>
      <c r="GQ319" s="4"/>
      <c r="GR319" s="4"/>
      <c r="GS319" s="4"/>
      <c r="GT319" s="4"/>
      <c r="GU319" s="722"/>
      <c r="GV319" s="715"/>
    </row>
    <row r="320" spans="1:204" x14ac:dyDescent="0.25">
      <c r="A320" t="s">
        <v>1414</v>
      </c>
      <c r="B320" s="2" t="s">
        <v>1413</v>
      </c>
      <c r="C320" s="619">
        <v>44638</v>
      </c>
      <c r="D320" s="2">
        <v>23085</v>
      </c>
      <c r="E320" t="s">
        <v>59</v>
      </c>
      <c r="F320" s="2" t="s">
        <v>43</v>
      </c>
      <c r="G320" t="s">
        <v>40</v>
      </c>
      <c r="H320" s="690" t="s">
        <v>85</v>
      </c>
      <c r="I320" s="691" t="s">
        <v>43</v>
      </c>
      <c r="J320" s="721">
        <v>3780401000108</v>
      </c>
      <c r="K320" s="691" t="s">
        <v>1406</v>
      </c>
      <c r="L320" s="721">
        <v>31781135000165</v>
      </c>
      <c r="M320" s="718" t="s">
        <v>3</v>
      </c>
      <c r="N320" s="717" t="s">
        <v>44</v>
      </c>
      <c r="O320" s="719">
        <v>44835</v>
      </c>
      <c r="P320" s="720">
        <v>44926</v>
      </c>
      <c r="Q320" s="718">
        <v>175</v>
      </c>
      <c r="R320" s="717">
        <v>5</v>
      </c>
      <c r="S320" s="691" t="s">
        <v>54</v>
      </c>
      <c r="T320" t="s">
        <v>358</v>
      </c>
      <c r="U320" s="673" t="s">
        <v>358</v>
      </c>
      <c r="V320" s="690" t="s">
        <v>358</v>
      </c>
      <c r="W320" s="657" t="s">
        <v>329</v>
      </c>
      <c r="X320" s="723"/>
      <c r="Y320" s="4"/>
      <c r="Z320" s="4"/>
      <c r="AA320" s="4"/>
      <c r="AB320" s="4"/>
      <c r="AC320" s="4"/>
      <c r="AD320" s="4"/>
      <c r="AE320" s="4"/>
      <c r="AF320" s="4"/>
      <c r="AG320" s="4">
        <v>5</v>
      </c>
      <c r="AH320" s="4">
        <v>5</v>
      </c>
      <c r="AI320" s="654">
        <v>5</v>
      </c>
      <c r="AJ320" s="655"/>
      <c r="AK320" s="4"/>
      <c r="AL320" s="4"/>
      <c r="AM320" s="4"/>
      <c r="AN320" s="4"/>
      <c r="AO320" s="4"/>
      <c r="AP320" s="4"/>
      <c r="AQ320" s="4"/>
      <c r="AR320" s="4"/>
      <c r="AS320" s="4"/>
      <c r="AT320" s="4"/>
      <c r="AU320" s="654"/>
      <c r="AV320" s="655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654"/>
      <c r="BH320" s="655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654"/>
      <c r="BT320" s="655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693"/>
      <c r="CF320" s="723"/>
      <c r="CG320" s="4"/>
      <c r="CH320" s="4"/>
      <c r="CI320" s="4"/>
      <c r="CJ320" s="4"/>
      <c r="CK320" s="4"/>
      <c r="CL320" s="4"/>
      <c r="CM320" s="4"/>
      <c r="CN320" s="4"/>
      <c r="CO320" s="4">
        <v>175</v>
      </c>
      <c r="CP320" s="4">
        <v>175</v>
      </c>
      <c r="CQ320" s="654">
        <v>175</v>
      </c>
      <c r="CR320" s="655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654"/>
      <c r="DD320" s="655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654"/>
      <c r="DP320" s="655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654"/>
      <c r="EB320" s="655"/>
      <c r="EC320" s="4"/>
      <c r="ED320" s="4"/>
      <c r="EE320" s="4"/>
      <c r="EF320" s="4"/>
      <c r="EG320" s="4"/>
      <c r="EH320" s="4"/>
      <c r="EI320" s="4"/>
      <c r="EJ320" s="4"/>
      <c r="EK320" s="4"/>
      <c r="EL320" s="4"/>
      <c r="EM320" s="693"/>
      <c r="EN320" s="723"/>
      <c r="EO320" s="4"/>
      <c r="EP320" s="4"/>
      <c r="EQ320" s="4"/>
      <c r="ER320" s="4"/>
      <c r="ES320" s="4"/>
      <c r="ET320" s="4"/>
      <c r="EU320" s="4"/>
      <c r="EV320" s="4"/>
      <c r="EW320" s="4">
        <v>175</v>
      </c>
      <c r="EX320" s="4">
        <v>175</v>
      </c>
      <c r="EY320" s="654">
        <v>175</v>
      </c>
      <c r="EZ320" s="655"/>
      <c r="FA320" s="4"/>
      <c r="FB320" s="4"/>
      <c r="FC320" s="4"/>
      <c r="FD320" s="4"/>
      <c r="FE320" s="4"/>
      <c r="FF320" s="4"/>
      <c r="FG320" s="4"/>
      <c r="FH320" s="4"/>
      <c r="FI320" s="4"/>
      <c r="FJ320" s="4"/>
      <c r="FK320" s="654"/>
      <c r="FL320" s="655"/>
      <c r="FM320" s="4"/>
      <c r="FN320" s="4"/>
      <c r="FO320" s="4"/>
      <c r="FP320" s="4"/>
      <c r="FQ320" s="4"/>
      <c r="FR320" s="4"/>
      <c r="FS320" s="4"/>
      <c r="FT320" s="4"/>
      <c r="FU320" s="4"/>
      <c r="FV320" s="4"/>
      <c r="FW320" s="654"/>
      <c r="FX320" s="655"/>
      <c r="FY320" s="4"/>
      <c r="FZ320" s="4"/>
      <c r="GA320" s="4"/>
      <c r="GB320" s="4"/>
      <c r="GC320" s="4"/>
      <c r="GD320" s="4"/>
      <c r="GE320" s="4"/>
      <c r="GF320" s="4"/>
      <c r="GG320" s="4"/>
      <c r="GH320" s="4"/>
      <c r="GI320" s="654"/>
      <c r="GJ320" s="655"/>
      <c r="GK320" s="4"/>
      <c r="GL320" s="4"/>
      <c r="GM320" s="4"/>
      <c r="GN320" s="4"/>
      <c r="GO320" s="4"/>
      <c r="GP320" s="4"/>
      <c r="GQ320" s="4"/>
      <c r="GR320" s="4"/>
      <c r="GS320" s="4"/>
      <c r="GT320" s="4"/>
      <c r="GU320" s="722"/>
      <c r="GV320" s="715"/>
    </row>
    <row r="321" spans="1:204" x14ac:dyDescent="0.25">
      <c r="A321" t="s">
        <v>1415</v>
      </c>
      <c r="B321" s="2" t="s">
        <v>358</v>
      </c>
      <c r="C321" s="619">
        <v>44638</v>
      </c>
      <c r="D321" s="2">
        <v>23087</v>
      </c>
      <c r="E321" t="s">
        <v>58</v>
      </c>
      <c r="F321" s="2" t="s">
        <v>43</v>
      </c>
      <c r="G321" t="s">
        <v>40</v>
      </c>
      <c r="H321" s="690" t="s">
        <v>84</v>
      </c>
      <c r="I321" s="691" t="s">
        <v>1407</v>
      </c>
      <c r="J321" s="721">
        <v>19125927000186</v>
      </c>
      <c r="K321" s="691" t="s">
        <v>43</v>
      </c>
      <c r="L321" s="721">
        <v>3780401000108</v>
      </c>
      <c r="M321" s="718" t="s">
        <v>3</v>
      </c>
      <c r="N321" s="717" t="s">
        <v>44</v>
      </c>
      <c r="O321" s="719">
        <v>44927</v>
      </c>
      <c r="P321" s="720">
        <v>45016</v>
      </c>
      <c r="Q321" s="718">
        <v>212</v>
      </c>
      <c r="R321" s="717">
        <v>10</v>
      </c>
      <c r="S321" s="691" t="s">
        <v>54</v>
      </c>
      <c r="T321" t="s">
        <v>649</v>
      </c>
      <c r="U321" s="673">
        <v>44638</v>
      </c>
      <c r="V321" s="690">
        <v>1</v>
      </c>
      <c r="W321" s="657" t="s">
        <v>214</v>
      </c>
      <c r="X321" s="723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654"/>
      <c r="AJ321" s="655">
        <v>10</v>
      </c>
      <c r="AK321" s="4">
        <v>10</v>
      </c>
      <c r="AL321" s="4">
        <v>10</v>
      </c>
      <c r="AM321" s="4"/>
      <c r="AN321" s="4"/>
      <c r="AO321" s="4"/>
      <c r="AP321" s="4"/>
      <c r="AQ321" s="4"/>
      <c r="AR321" s="4"/>
      <c r="AS321" s="4"/>
      <c r="AT321" s="4"/>
      <c r="AU321" s="654"/>
      <c r="AV321" s="655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654"/>
      <c r="BH321" s="655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654"/>
      <c r="BT321" s="655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693"/>
      <c r="CF321" s="723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654"/>
      <c r="CR321" s="655">
        <v>220.52202776625197</v>
      </c>
      <c r="CS321" s="4">
        <v>220.52202776625197</v>
      </c>
      <c r="CT321" s="4">
        <v>220.52202776625197</v>
      </c>
      <c r="CU321" s="4"/>
      <c r="CV321" s="4"/>
      <c r="CW321" s="4"/>
      <c r="CX321" s="4"/>
      <c r="CY321" s="4"/>
      <c r="CZ321" s="4"/>
      <c r="DA321" s="4"/>
      <c r="DB321" s="4"/>
      <c r="DC321" s="654"/>
      <c r="DD321" s="655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654"/>
      <c r="DP321" s="655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654"/>
      <c r="EB321" s="655"/>
      <c r="EC321" s="4"/>
      <c r="ED321" s="4"/>
      <c r="EE321" s="4"/>
      <c r="EF321" s="4"/>
      <c r="EG321" s="4"/>
      <c r="EH321" s="4"/>
      <c r="EI321" s="4"/>
      <c r="EJ321" s="4"/>
      <c r="EK321" s="4"/>
      <c r="EL321" s="4"/>
      <c r="EM321" s="693"/>
      <c r="EN321" s="723"/>
      <c r="EO321" s="4"/>
      <c r="EP321" s="4"/>
      <c r="EQ321" s="4"/>
      <c r="ER321" s="4"/>
      <c r="ES321" s="4"/>
      <c r="ET321" s="4"/>
      <c r="EU321" s="4"/>
      <c r="EV321" s="4"/>
      <c r="EW321" s="4"/>
      <c r="EX321" s="4"/>
      <c r="EY321" s="654"/>
      <c r="EZ321" s="655">
        <v>220.52202776625197</v>
      </c>
      <c r="FA321" s="4">
        <v>220.52202776625197</v>
      </c>
      <c r="FB321" s="4">
        <v>220.52202776625197</v>
      </c>
      <c r="FC321" s="4"/>
      <c r="FD321" s="4"/>
      <c r="FE321" s="4"/>
      <c r="FF321" s="4"/>
      <c r="FG321" s="4"/>
      <c r="FH321" s="4"/>
      <c r="FI321" s="4"/>
      <c r="FJ321" s="4"/>
      <c r="FK321" s="654"/>
      <c r="FL321" s="655"/>
      <c r="FM321" s="4"/>
      <c r="FN321" s="4"/>
      <c r="FO321" s="4"/>
      <c r="FP321" s="4"/>
      <c r="FQ321" s="4"/>
      <c r="FR321" s="4"/>
      <c r="FS321" s="4"/>
      <c r="FT321" s="4"/>
      <c r="FU321" s="4"/>
      <c r="FV321" s="4"/>
      <c r="FW321" s="654"/>
      <c r="FX321" s="655"/>
      <c r="FY321" s="4"/>
      <c r="FZ321" s="4"/>
      <c r="GA321" s="4"/>
      <c r="GB321" s="4"/>
      <c r="GC321" s="4"/>
      <c r="GD321" s="4"/>
      <c r="GE321" s="4"/>
      <c r="GF321" s="4"/>
      <c r="GG321" s="4"/>
      <c r="GH321" s="4"/>
      <c r="GI321" s="654"/>
      <c r="GJ321" s="655"/>
      <c r="GK321" s="4"/>
      <c r="GL321" s="4"/>
      <c r="GM321" s="4"/>
      <c r="GN321" s="4"/>
      <c r="GO321" s="4"/>
      <c r="GP321" s="4"/>
      <c r="GQ321" s="4"/>
      <c r="GR321" s="4"/>
      <c r="GS321" s="4"/>
      <c r="GT321" s="4"/>
      <c r="GU321" s="722"/>
      <c r="GV321" s="715"/>
    </row>
    <row r="322" spans="1:204" x14ac:dyDescent="0.25">
      <c r="A322" t="s">
        <v>1429</v>
      </c>
      <c r="B322" s="2" t="s">
        <v>1428</v>
      </c>
      <c r="C322" s="619">
        <v>44641</v>
      </c>
      <c r="D322" s="2" t="s">
        <v>1416</v>
      </c>
      <c r="E322" t="s">
        <v>59</v>
      </c>
      <c r="F322" s="2" t="s">
        <v>43</v>
      </c>
      <c r="G322" t="s">
        <v>40</v>
      </c>
      <c r="H322" s="690" t="s">
        <v>85</v>
      </c>
      <c r="I322" s="691" t="s">
        <v>43</v>
      </c>
      <c r="J322" s="721">
        <v>3780401000108</v>
      </c>
      <c r="K322" s="691" t="s">
        <v>475</v>
      </c>
      <c r="L322" s="721">
        <v>27796415000170</v>
      </c>
      <c r="M322" s="718" t="s">
        <v>3</v>
      </c>
      <c r="N322" s="717" t="s">
        <v>44</v>
      </c>
      <c r="O322" s="719">
        <v>44805</v>
      </c>
      <c r="P322" s="720">
        <v>44834</v>
      </c>
      <c r="Q322" s="718">
        <v>160</v>
      </c>
      <c r="R322" s="717">
        <v>7</v>
      </c>
      <c r="S322" s="691" t="s">
        <v>54</v>
      </c>
      <c r="T322" t="s">
        <v>358</v>
      </c>
      <c r="U322" s="673" t="s">
        <v>358</v>
      </c>
      <c r="V322" s="690" t="s">
        <v>358</v>
      </c>
      <c r="W322" s="657" t="s">
        <v>329</v>
      </c>
      <c r="X322" s="723"/>
      <c r="Y322" s="4"/>
      <c r="Z322" s="4"/>
      <c r="AA322" s="4"/>
      <c r="AB322" s="4"/>
      <c r="AC322" s="4"/>
      <c r="AD322" s="4"/>
      <c r="AE322" s="4"/>
      <c r="AF322" s="4">
        <v>7</v>
      </c>
      <c r="AG322" s="4"/>
      <c r="AH322" s="4"/>
      <c r="AI322" s="654"/>
      <c r="AJ322" s="655"/>
      <c r="AK322" s="4"/>
      <c r="AL322" s="4"/>
      <c r="AM322" s="4"/>
      <c r="AN322" s="4"/>
      <c r="AO322" s="4"/>
      <c r="AP322" s="4"/>
      <c r="AQ322" s="4"/>
      <c r="AR322" s="4"/>
      <c r="AS322" s="4"/>
      <c r="AT322" s="4"/>
      <c r="AU322" s="654"/>
      <c r="AV322" s="655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654"/>
      <c r="BH322" s="655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654"/>
      <c r="BT322" s="655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693"/>
      <c r="CF322" s="723"/>
      <c r="CG322" s="4"/>
      <c r="CH322" s="4"/>
      <c r="CI322" s="4"/>
      <c r="CJ322" s="4"/>
      <c r="CK322" s="4"/>
      <c r="CL322" s="4"/>
      <c r="CM322" s="4"/>
      <c r="CN322" s="4">
        <v>160</v>
      </c>
      <c r="CO322" s="4"/>
      <c r="CP322" s="4"/>
      <c r="CQ322" s="654"/>
      <c r="CR322" s="655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654"/>
      <c r="DD322" s="655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654"/>
      <c r="DP322" s="655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654"/>
      <c r="EB322" s="655"/>
      <c r="EC322" s="4"/>
      <c r="ED322" s="4"/>
      <c r="EE322" s="4"/>
      <c r="EF322" s="4"/>
      <c r="EG322" s="4"/>
      <c r="EH322" s="4"/>
      <c r="EI322" s="4"/>
      <c r="EJ322" s="4"/>
      <c r="EK322" s="4"/>
      <c r="EL322" s="4"/>
      <c r="EM322" s="693"/>
      <c r="EN322" s="723"/>
      <c r="EO322" s="4"/>
      <c r="EP322" s="4"/>
      <c r="EQ322" s="4"/>
      <c r="ER322" s="4"/>
      <c r="ES322" s="4"/>
      <c r="ET322" s="4"/>
      <c r="EU322" s="4"/>
      <c r="EV322" s="4">
        <v>160</v>
      </c>
      <c r="EW322" s="4"/>
      <c r="EX322" s="4"/>
      <c r="EY322" s="654"/>
      <c r="EZ322" s="655"/>
      <c r="FA322" s="4"/>
      <c r="FB322" s="4"/>
      <c r="FC322" s="4"/>
      <c r="FD322" s="4"/>
      <c r="FE322" s="4"/>
      <c r="FF322" s="4"/>
      <c r="FG322" s="4"/>
      <c r="FH322" s="4"/>
      <c r="FI322" s="4"/>
      <c r="FJ322" s="4"/>
      <c r="FK322" s="654"/>
      <c r="FL322" s="655"/>
      <c r="FM322" s="4"/>
      <c r="FN322" s="4"/>
      <c r="FO322" s="4"/>
      <c r="FP322" s="4"/>
      <c r="FQ322" s="4"/>
      <c r="FR322" s="4"/>
      <c r="FS322" s="4"/>
      <c r="FT322" s="4"/>
      <c r="FU322" s="4"/>
      <c r="FV322" s="4"/>
      <c r="FW322" s="654"/>
      <c r="FX322" s="655"/>
      <c r="FY322" s="4"/>
      <c r="FZ322" s="4"/>
      <c r="GA322" s="4"/>
      <c r="GB322" s="4"/>
      <c r="GC322" s="4"/>
      <c r="GD322" s="4"/>
      <c r="GE322" s="4"/>
      <c r="GF322" s="4"/>
      <c r="GG322" s="4"/>
      <c r="GH322" s="4"/>
      <c r="GI322" s="654"/>
      <c r="GJ322" s="655"/>
      <c r="GK322" s="4"/>
      <c r="GL322" s="4"/>
      <c r="GM322" s="4"/>
      <c r="GN322" s="4"/>
      <c r="GO322" s="4"/>
      <c r="GP322" s="4"/>
      <c r="GQ322" s="4"/>
      <c r="GR322" s="4"/>
      <c r="GS322" s="4"/>
      <c r="GT322" s="4"/>
      <c r="GU322" s="722"/>
      <c r="GV322" s="715"/>
    </row>
    <row r="323" spans="1:204" x14ac:dyDescent="0.25">
      <c r="A323" t="s">
        <v>1431</v>
      </c>
      <c r="B323" s="2" t="s">
        <v>1430</v>
      </c>
      <c r="C323" s="619">
        <v>44641</v>
      </c>
      <c r="D323" s="2" t="s">
        <v>1417</v>
      </c>
      <c r="E323" t="s">
        <v>58</v>
      </c>
      <c r="F323" s="2" t="s">
        <v>43</v>
      </c>
      <c r="G323" t="s">
        <v>40</v>
      </c>
      <c r="H323" s="690" t="s">
        <v>84</v>
      </c>
      <c r="I323" s="691" t="s">
        <v>475</v>
      </c>
      <c r="J323" s="721">
        <v>27796415000170</v>
      </c>
      <c r="K323" s="691" t="s">
        <v>43</v>
      </c>
      <c r="L323" s="721">
        <v>3780401000108</v>
      </c>
      <c r="M323" s="718" t="s">
        <v>3</v>
      </c>
      <c r="N323" s="717" t="s">
        <v>44</v>
      </c>
      <c r="O323" s="719">
        <v>44774</v>
      </c>
      <c r="P323" s="720">
        <v>44804</v>
      </c>
      <c r="Q323" s="718">
        <v>149</v>
      </c>
      <c r="R323" s="717">
        <v>7</v>
      </c>
      <c r="S323" s="691" t="s">
        <v>54</v>
      </c>
      <c r="T323" t="s">
        <v>358</v>
      </c>
      <c r="U323" s="673" t="s">
        <v>358</v>
      </c>
      <c r="V323" s="690" t="s">
        <v>358</v>
      </c>
      <c r="W323" s="657" t="s">
        <v>329</v>
      </c>
      <c r="X323" s="723"/>
      <c r="Y323" s="4"/>
      <c r="Z323" s="4"/>
      <c r="AA323" s="4"/>
      <c r="AB323" s="4"/>
      <c r="AC323" s="4"/>
      <c r="AD323" s="4"/>
      <c r="AE323" s="4">
        <v>7</v>
      </c>
      <c r="AF323" s="4"/>
      <c r="AG323" s="4"/>
      <c r="AH323" s="4"/>
      <c r="AI323" s="654"/>
      <c r="AJ323" s="655"/>
      <c r="AK323" s="4"/>
      <c r="AL323" s="4"/>
      <c r="AM323" s="4"/>
      <c r="AN323" s="4"/>
      <c r="AO323" s="4"/>
      <c r="AP323" s="4"/>
      <c r="AQ323" s="4"/>
      <c r="AR323" s="4"/>
      <c r="AS323" s="4"/>
      <c r="AT323" s="4"/>
      <c r="AU323" s="654"/>
      <c r="AV323" s="655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654"/>
      <c r="BH323" s="655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654"/>
      <c r="BT323" s="655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693"/>
      <c r="CF323" s="723"/>
      <c r="CG323" s="4"/>
      <c r="CH323" s="4"/>
      <c r="CI323" s="4"/>
      <c r="CJ323" s="4"/>
      <c r="CK323" s="4"/>
      <c r="CL323" s="4"/>
      <c r="CM323" s="4">
        <v>149</v>
      </c>
      <c r="CN323" s="4"/>
      <c r="CO323" s="4"/>
      <c r="CP323" s="4"/>
      <c r="CQ323" s="654"/>
      <c r="CR323" s="655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654"/>
      <c r="DD323" s="655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654"/>
      <c r="DP323" s="655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654"/>
      <c r="EB323" s="655"/>
      <c r="EC323" s="4"/>
      <c r="ED323" s="4"/>
      <c r="EE323" s="4"/>
      <c r="EF323" s="4"/>
      <c r="EG323" s="4"/>
      <c r="EH323" s="4"/>
      <c r="EI323" s="4"/>
      <c r="EJ323" s="4"/>
      <c r="EK323" s="4"/>
      <c r="EL323" s="4"/>
      <c r="EM323" s="693"/>
      <c r="EN323" s="723"/>
      <c r="EO323" s="4"/>
      <c r="EP323" s="4"/>
      <c r="EQ323" s="4"/>
      <c r="ER323" s="4"/>
      <c r="ES323" s="4"/>
      <c r="ET323" s="4"/>
      <c r="EU323" s="4">
        <v>149</v>
      </c>
      <c r="EV323" s="4"/>
      <c r="EW323" s="4"/>
      <c r="EX323" s="4"/>
      <c r="EY323" s="654"/>
      <c r="EZ323" s="655"/>
      <c r="FA323" s="4"/>
      <c r="FB323" s="4"/>
      <c r="FC323" s="4"/>
      <c r="FD323" s="4"/>
      <c r="FE323" s="4"/>
      <c r="FF323" s="4"/>
      <c r="FG323" s="4"/>
      <c r="FH323" s="4"/>
      <c r="FI323" s="4"/>
      <c r="FJ323" s="4"/>
      <c r="FK323" s="654"/>
      <c r="FL323" s="655"/>
      <c r="FM323" s="4"/>
      <c r="FN323" s="4"/>
      <c r="FO323" s="4"/>
      <c r="FP323" s="4"/>
      <c r="FQ323" s="4"/>
      <c r="FR323" s="4"/>
      <c r="FS323" s="4"/>
      <c r="FT323" s="4"/>
      <c r="FU323" s="4"/>
      <c r="FV323" s="4"/>
      <c r="FW323" s="654"/>
      <c r="FX323" s="655"/>
      <c r="FY323" s="4"/>
      <c r="FZ323" s="4"/>
      <c r="GA323" s="4"/>
      <c r="GB323" s="4"/>
      <c r="GC323" s="4"/>
      <c r="GD323" s="4"/>
      <c r="GE323" s="4"/>
      <c r="GF323" s="4"/>
      <c r="GG323" s="4"/>
      <c r="GH323" s="4"/>
      <c r="GI323" s="654"/>
      <c r="GJ323" s="655"/>
      <c r="GK323" s="4"/>
      <c r="GL323" s="4"/>
      <c r="GM323" s="4"/>
      <c r="GN323" s="4"/>
      <c r="GO323" s="4"/>
      <c r="GP323" s="4"/>
      <c r="GQ323" s="4"/>
      <c r="GR323" s="4"/>
      <c r="GS323" s="4"/>
      <c r="GT323" s="4"/>
      <c r="GU323" s="722"/>
      <c r="GV323" s="715"/>
    </row>
    <row r="324" spans="1:204" x14ac:dyDescent="0.25">
      <c r="A324" t="s">
        <v>1433</v>
      </c>
      <c r="B324" s="2" t="s">
        <v>1432</v>
      </c>
      <c r="C324" s="619">
        <v>44641</v>
      </c>
      <c r="D324" s="2" t="s">
        <v>1418</v>
      </c>
      <c r="E324" t="s">
        <v>59</v>
      </c>
      <c r="F324" s="2" t="s">
        <v>43</v>
      </c>
      <c r="G324" t="s">
        <v>40</v>
      </c>
      <c r="H324" s="690" t="s">
        <v>85</v>
      </c>
      <c r="I324" s="691" t="s">
        <v>43</v>
      </c>
      <c r="J324" s="721">
        <v>3780401000108</v>
      </c>
      <c r="K324" s="691" t="s">
        <v>353</v>
      </c>
      <c r="L324" s="721">
        <v>28758086000135</v>
      </c>
      <c r="M324" s="718" t="s">
        <v>3</v>
      </c>
      <c r="N324" s="717" t="s">
        <v>44</v>
      </c>
      <c r="O324" s="719">
        <v>44805</v>
      </c>
      <c r="P324" s="720">
        <v>44834</v>
      </c>
      <c r="Q324" s="718">
        <v>162</v>
      </c>
      <c r="R324" s="717">
        <v>3</v>
      </c>
      <c r="S324" s="691" t="s">
        <v>54</v>
      </c>
      <c r="T324" t="s">
        <v>358</v>
      </c>
      <c r="U324" s="673" t="s">
        <v>358</v>
      </c>
      <c r="V324" s="690" t="s">
        <v>358</v>
      </c>
      <c r="W324" s="657" t="s">
        <v>329</v>
      </c>
      <c r="X324" s="723"/>
      <c r="Y324" s="4"/>
      <c r="Z324" s="4"/>
      <c r="AA324" s="4"/>
      <c r="AB324" s="4"/>
      <c r="AC324" s="4"/>
      <c r="AD324" s="4"/>
      <c r="AE324" s="4"/>
      <c r="AF324" s="4">
        <v>3</v>
      </c>
      <c r="AG324" s="4"/>
      <c r="AH324" s="4"/>
      <c r="AI324" s="654"/>
      <c r="AJ324" s="655"/>
      <c r="AK324" s="4"/>
      <c r="AL324" s="4"/>
      <c r="AM324" s="4"/>
      <c r="AN324" s="4"/>
      <c r="AO324" s="4"/>
      <c r="AP324" s="4"/>
      <c r="AQ324" s="4"/>
      <c r="AR324" s="4"/>
      <c r="AS324" s="4"/>
      <c r="AT324" s="4"/>
      <c r="AU324" s="654"/>
      <c r="AV324" s="655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654"/>
      <c r="BH324" s="655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654"/>
      <c r="BT324" s="655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693"/>
      <c r="CF324" s="723"/>
      <c r="CG324" s="4"/>
      <c r="CH324" s="4"/>
      <c r="CI324" s="4"/>
      <c r="CJ324" s="4"/>
      <c r="CK324" s="4"/>
      <c r="CL324" s="4"/>
      <c r="CM324" s="4"/>
      <c r="CN324" s="4">
        <v>162</v>
      </c>
      <c r="CO324" s="4"/>
      <c r="CP324" s="4"/>
      <c r="CQ324" s="654"/>
      <c r="CR324" s="655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654"/>
      <c r="DD324" s="655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654"/>
      <c r="DP324" s="655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654"/>
      <c r="EB324" s="655"/>
      <c r="EC324" s="4"/>
      <c r="ED324" s="4"/>
      <c r="EE324" s="4"/>
      <c r="EF324" s="4"/>
      <c r="EG324" s="4"/>
      <c r="EH324" s="4"/>
      <c r="EI324" s="4"/>
      <c r="EJ324" s="4"/>
      <c r="EK324" s="4"/>
      <c r="EL324" s="4"/>
      <c r="EM324" s="693"/>
      <c r="EN324" s="723"/>
      <c r="EO324" s="4"/>
      <c r="EP324" s="4"/>
      <c r="EQ324" s="4"/>
      <c r="ER324" s="4"/>
      <c r="ES324" s="4"/>
      <c r="ET324" s="4"/>
      <c r="EU324" s="4"/>
      <c r="EV324" s="4">
        <v>162</v>
      </c>
      <c r="EW324" s="4"/>
      <c r="EX324" s="4"/>
      <c r="EY324" s="654"/>
      <c r="EZ324" s="655"/>
      <c r="FA324" s="4"/>
      <c r="FB324" s="4"/>
      <c r="FC324" s="4"/>
      <c r="FD324" s="4"/>
      <c r="FE324" s="4"/>
      <c r="FF324" s="4"/>
      <c r="FG324" s="4"/>
      <c r="FH324" s="4"/>
      <c r="FI324" s="4"/>
      <c r="FJ324" s="4"/>
      <c r="FK324" s="654"/>
      <c r="FL324" s="655"/>
      <c r="FM324" s="4"/>
      <c r="FN324" s="4"/>
      <c r="FO324" s="4"/>
      <c r="FP324" s="4"/>
      <c r="FQ324" s="4"/>
      <c r="FR324" s="4"/>
      <c r="FS324" s="4"/>
      <c r="FT324" s="4"/>
      <c r="FU324" s="4"/>
      <c r="FV324" s="4"/>
      <c r="FW324" s="654"/>
      <c r="FX324" s="655"/>
      <c r="FY324" s="4"/>
      <c r="FZ324" s="4"/>
      <c r="GA324" s="4"/>
      <c r="GB324" s="4"/>
      <c r="GC324" s="4"/>
      <c r="GD324" s="4"/>
      <c r="GE324" s="4"/>
      <c r="GF324" s="4"/>
      <c r="GG324" s="4"/>
      <c r="GH324" s="4"/>
      <c r="GI324" s="654"/>
      <c r="GJ324" s="655"/>
      <c r="GK324" s="4"/>
      <c r="GL324" s="4"/>
      <c r="GM324" s="4"/>
      <c r="GN324" s="4"/>
      <c r="GO324" s="4"/>
      <c r="GP324" s="4"/>
      <c r="GQ324" s="4"/>
      <c r="GR324" s="4"/>
      <c r="GS324" s="4"/>
      <c r="GT324" s="4"/>
      <c r="GU324" s="722"/>
      <c r="GV324" s="715"/>
    </row>
    <row r="325" spans="1:204" x14ac:dyDescent="0.25">
      <c r="A325" t="s">
        <v>1435</v>
      </c>
      <c r="B325" s="2" t="s">
        <v>1434</v>
      </c>
      <c r="C325" s="619">
        <v>44641</v>
      </c>
      <c r="D325" s="2" t="s">
        <v>1419</v>
      </c>
      <c r="E325" t="s">
        <v>58</v>
      </c>
      <c r="F325" s="2" t="s">
        <v>43</v>
      </c>
      <c r="G325" t="s">
        <v>40</v>
      </c>
      <c r="H325" s="690" t="s">
        <v>84</v>
      </c>
      <c r="I325" s="691" t="s">
        <v>353</v>
      </c>
      <c r="J325" s="721">
        <v>28758086000135</v>
      </c>
      <c r="K325" s="691" t="s">
        <v>43</v>
      </c>
      <c r="L325" s="721">
        <v>3780401000108</v>
      </c>
      <c r="M325" s="718" t="s">
        <v>3</v>
      </c>
      <c r="N325" s="717" t="s">
        <v>44</v>
      </c>
      <c r="O325" s="719">
        <v>44743</v>
      </c>
      <c r="P325" s="720">
        <v>44773</v>
      </c>
      <c r="Q325" s="718">
        <v>125</v>
      </c>
      <c r="R325" s="717">
        <v>3</v>
      </c>
      <c r="S325" s="691" t="s">
        <v>54</v>
      </c>
      <c r="T325" t="s">
        <v>358</v>
      </c>
      <c r="U325" s="673" t="s">
        <v>358</v>
      </c>
      <c r="V325" s="690" t="s">
        <v>358</v>
      </c>
      <c r="W325" s="657" t="s">
        <v>329</v>
      </c>
      <c r="X325" s="723"/>
      <c r="Y325" s="4"/>
      <c r="Z325" s="4"/>
      <c r="AA325" s="4"/>
      <c r="AB325" s="4"/>
      <c r="AC325" s="4"/>
      <c r="AD325" s="4">
        <v>3</v>
      </c>
      <c r="AE325" s="4"/>
      <c r="AF325" s="4"/>
      <c r="AG325" s="4"/>
      <c r="AH325" s="4"/>
      <c r="AI325" s="654"/>
      <c r="AJ325" s="655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654"/>
      <c r="AV325" s="655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654"/>
      <c r="BH325" s="655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654"/>
      <c r="BT325" s="655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693"/>
      <c r="CF325" s="723"/>
      <c r="CG325" s="4"/>
      <c r="CH325" s="4"/>
      <c r="CI325" s="4"/>
      <c r="CJ325" s="4"/>
      <c r="CK325" s="4"/>
      <c r="CL325" s="4">
        <v>125</v>
      </c>
      <c r="CM325" s="4"/>
      <c r="CN325" s="4"/>
      <c r="CO325" s="4"/>
      <c r="CP325" s="4"/>
      <c r="CQ325" s="654"/>
      <c r="CR325" s="655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654"/>
      <c r="DD325" s="655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654"/>
      <c r="DP325" s="655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654"/>
      <c r="EB325" s="655"/>
      <c r="EC325" s="4"/>
      <c r="ED325" s="4"/>
      <c r="EE325" s="4"/>
      <c r="EF325" s="4"/>
      <c r="EG325" s="4"/>
      <c r="EH325" s="4"/>
      <c r="EI325" s="4"/>
      <c r="EJ325" s="4"/>
      <c r="EK325" s="4"/>
      <c r="EL325" s="4"/>
      <c r="EM325" s="693"/>
      <c r="EN325" s="723"/>
      <c r="EO325" s="4"/>
      <c r="EP325" s="4"/>
      <c r="EQ325" s="4"/>
      <c r="ER325" s="4"/>
      <c r="ES325" s="4"/>
      <c r="ET325" s="4">
        <v>125</v>
      </c>
      <c r="EU325" s="4"/>
      <c r="EV325" s="4"/>
      <c r="EW325" s="4"/>
      <c r="EX325" s="4"/>
      <c r="EY325" s="654"/>
      <c r="EZ325" s="655"/>
      <c r="FA325" s="4"/>
      <c r="FB325" s="4"/>
      <c r="FC325" s="4"/>
      <c r="FD325" s="4"/>
      <c r="FE325" s="4"/>
      <c r="FF325" s="4"/>
      <c r="FG325" s="4"/>
      <c r="FH325" s="4"/>
      <c r="FI325" s="4"/>
      <c r="FJ325" s="4"/>
      <c r="FK325" s="654"/>
      <c r="FL325" s="655"/>
      <c r="FM325" s="4"/>
      <c r="FN325" s="4"/>
      <c r="FO325" s="4"/>
      <c r="FP325" s="4"/>
      <c r="FQ325" s="4"/>
      <c r="FR325" s="4"/>
      <c r="FS325" s="4"/>
      <c r="FT325" s="4"/>
      <c r="FU325" s="4"/>
      <c r="FV325" s="4"/>
      <c r="FW325" s="654"/>
      <c r="FX325" s="655"/>
      <c r="FY325" s="4"/>
      <c r="FZ325" s="4"/>
      <c r="GA325" s="4"/>
      <c r="GB325" s="4"/>
      <c r="GC325" s="4"/>
      <c r="GD325" s="4"/>
      <c r="GE325" s="4"/>
      <c r="GF325" s="4"/>
      <c r="GG325" s="4"/>
      <c r="GH325" s="4"/>
      <c r="GI325" s="654"/>
      <c r="GJ325" s="655"/>
      <c r="GK325" s="4"/>
      <c r="GL325" s="4"/>
      <c r="GM325" s="4"/>
      <c r="GN325" s="4"/>
      <c r="GO325" s="4"/>
      <c r="GP325" s="4"/>
      <c r="GQ325" s="4"/>
      <c r="GR325" s="4"/>
      <c r="GS325" s="4"/>
      <c r="GT325" s="4"/>
      <c r="GU325" s="722"/>
      <c r="GV325" s="715"/>
    </row>
    <row r="326" spans="1:204" x14ac:dyDescent="0.25">
      <c r="A326" t="s">
        <v>1437</v>
      </c>
      <c r="B326" s="2" t="s">
        <v>1436</v>
      </c>
      <c r="C326" s="619">
        <v>44642</v>
      </c>
      <c r="D326" s="2" t="s">
        <v>1420</v>
      </c>
      <c r="E326" t="s">
        <v>59</v>
      </c>
      <c r="F326" s="2" t="s">
        <v>43</v>
      </c>
      <c r="G326" t="s">
        <v>40</v>
      </c>
      <c r="H326" s="690" t="s">
        <v>85</v>
      </c>
      <c r="I326" s="691" t="s">
        <v>43</v>
      </c>
      <c r="J326" s="721">
        <v>3780401000108</v>
      </c>
      <c r="K326" s="691" t="s">
        <v>475</v>
      </c>
      <c r="L326" s="721">
        <v>27796415000170</v>
      </c>
      <c r="M326" s="718" t="s">
        <v>3</v>
      </c>
      <c r="N326" s="717" t="s">
        <v>44</v>
      </c>
      <c r="O326" s="719">
        <v>44805</v>
      </c>
      <c r="P326" s="720">
        <v>44834</v>
      </c>
      <c r="Q326" s="718">
        <v>165</v>
      </c>
      <c r="R326" s="717">
        <v>10</v>
      </c>
      <c r="S326" s="691" t="s">
        <v>54</v>
      </c>
      <c r="T326" t="s">
        <v>358</v>
      </c>
      <c r="U326" s="673" t="s">
        <v>358</v>
      </c>
      <c r="V326" s="690" t="s">
        <v>358</v>
      </c>
      <c r="W326" s="657" t="s">
        <v>329</v>
      </c>
      <c r="X326" s="723"/>
      <c r="Y326" s="4"/>
      <c r="Z326" s="4"/>
      <c r="AA326" s="4"/>
      <c r="AB326" s="4"/>
      <c r="AC326" s="4"/>
      <c r="AD326" s="4"/>
      <c r="AE326" s="4"/>
      <c r="AF326" s="4">
        <v>10</v>
      </c>
      <c r="AG326" s="4"/>
      <c r="AH326" s="4"/>
      <c r="AI326" s="654"/>
      <c r="AJ326" s="655"/>
      <c r="AK326" s="4"/>
      <c r="AL326" s="4"/>
      <c r="AM326" s="4"/>
      <c r="AN326" s="4"/>
      <c r="AO326" s="4"/>
      <c r="AP326" s="4"/>
      <c r="AQ326" s="4"/>
      <c r="AR326" s="4"/>
      <c r="AS326" s="4"/>
      <c r="AT326" s="4"/>
      <c r="AU326" s="654"/>
      <c r="AV326" s="655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654"/>
      <c r="BH326" s="655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654"/>
      <c r="BT326" s="655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693"/>
      <c r="CF326" s="723"/>
      <c r="CG326" s="4"/>
      <c r="CH326" s="4"/>
      <c r="CI326" s="4"/>
      <c r="CJ326" s="4"/>
      <c r="CK326" s="4"/>
      <c r="CL326" s="4"/>
      <c r="CM326" s="4"/>
      <c r="CN326" s="4">
        <v>165</v>
      </c>
      <c r="CO326" s="4"/>
      <c r="CP326" s="4"/>
      <c r="CQ326" s="654"/>
      <c r="CR326" s="655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654"/>
      <c r="DD326" s="655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654"/>
      <c r="DP326" s="655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654"/>
      <c r="EB326" s="655"/>
      <c r="EC326" s="4"/>
      <c r="ED326" s="4"/>
      <c r="EE326" s="4"/>
      <c r="EF326" s="4"/>
      <c r="EG326" s="4"/>
      <c r="EH326" s="4"/>
      <c r="EI326" s="4"/>
      <c r="EJ326" s="4"/>
      <c r="EK326" s="4"/>
      <c r="EL326" s="4"/>
      <c r="EM326" s="693"/>
      <c r="EN326" s="723"/>
      <c r="EO326" s="4"/>
      <c r="EP326" s="4"/>
      <c r="EQ326" s="4"/>
      <c r="ER326" s="4"/>
      <c r="ES326" s="4"/>
      <c r="ET326" s="4"/>
      <c r="EU326" s="4"/>
      <c r="EV326" s="4">
        <v>165</v>
      </c>
      <c r="EW326" s="4"/>
      <c r="EX326" s="4"/>
      <c r="EY326" s="654"/>
      <c r="EZ326" s="655"/>
      <c r="FA326" s="4"/>
      <c r="FB326" s="4"/>
      <c r="FC326" s="4"/>
      <c r="FD326" s="4"/>
      <c r="FE326" s="4"/>
      <c r="FF326" s="4"/>
      <c r="FG326" s="4"/>
      <c r="FH326" s="4"/>
      <c r="FI326" s="4"/>
      <c r="FJ326" s="4"/>
      <c r="FK326" s="654"/>
      <c r="FL326" s="655"/>
      <c r="FM326" s="4"/>
      <c r="FN326" s="4"/>
      <c r="FO326" s="4"/>
      <c r="FP326" s="4"/>
      <c r="FQ326" s="4"/>
      <c r="FR326" s="4"/>
      <c r="FS326" s="4"/>
      <c r="FT326" s="4"/>
      <c r="FU326" s="4"/>
      <c r="FV326" s="4"/>
      <c r="FW326" s="654"/>
      <c r="FX326" s="655"/>
      <c r="FY326" s="4"/>
      <c r="FZ326" s="4"/>
      <c r="GA326" s="4"/>
      <c r="GB326" s="4"/>
      <c r="GC326" s="4"/>
      <c r="GD326" s="4"/>
      <c r="GE326" s="4"/>
      <c r="GF326" s="4"/>
      <c r="GG326" s="4"/>
      <c r="GH326" s="4"/>
      <c r="GI326" s="654"/>
      <c r="GJ326" s="655"/>
      <c r="GK326" s="4"/>
      <c r="GL326" s="4"/>
      <c r="GM326" s="4"/>
      <c r="GN326" s="4"/>
      <c r="GO326" s="4"/>
      <c r="GP326" s="4"/>
      <c r="GQ326" s="4"/>
      <c r="GR326" s="4"/>
      <c r="GS326" s="4"/>
      <c r="GT326" s="4"/>
      <c r="GU326" s="722"/>
      <c r="GV326" s="715"/>
    </row>
    <row r="327" spans="1:204" x14ac:dyDescent="0.25">
      <c r="A327" t="s">
        <v>1439</v>
      </c>
      <c r="B327" s="2" t="s">
        <v>1438</v>
      </c>
      <c r="C327" s="619">
        <v>44642</v>
      </c>
      <c r="D327" s="2" t="s">
        <v>1421</v>
      </c>
      <c r="E327" t="s">
        <v>58</v>
      </c>
      <c r="F327" s="2" t="s">
        <v>43</v>
      </c>
      <c r="G327" t="s">
        <v>40</v>
      </c>
      <c r="H327" s="690" t="s">
        <v>84</v>
      </c>
      <c r="I327" s="691" t="s">
        <v>475</v>
      </c>
      <c r="J327" s="721">
        <v>27796415000170</v>
      </c>
      <c r="K327" s="691" t="s">
        <v>43</v>
      </c>
      <c r="L327" s="721">
        <v>3780401000108</v>
      </c>
      <c r="M327" s="718" t="s">
        <v>3</v>
      </c>
      <c r="N327" s="717" t="s">
        <v>44</v>
      </c>
      <c r="O327" s="719">
        <v>44743</v>
      </c>
      <c r="P327" s="720">
        <v>44773</v>
      </c>
      <c r="Q327" s="718">
        <v>128</v>
      </c>
      <c r="R327" s="717">
        <v>10</v>
      </c>
      <c r="S327" s="691" t="s">
        <v>54</v>
      </c>
      <c r="T327" t="s">
        <v>358</v>
      </c>
      <c r="U327" s="673" t="s">
        <v>358</v>
      </c>
      <c r="V327" s="690" t="s">
        <v>358</v>
      </c>
      <c r="W327" s="657" t="s">
        <v>329</v>
      </c>
      <c r="X327" s="723"/>
      <c r="Y327" s="4"/>
      <c r="Z327" s="4"/>
      <c r="AA327" s="4"/>
      <c r="AB327" s="4"/>
      <c r="AC327" s="4"/>
      <c r="AD327" s="4">
        <v>10</v>
      </c>
      <c r="AE327" s="4"/>
      <c r="AF327" s="4"/>
      <c r="AG327" s="4"/>
      <c r="AH327" s="4"/>
      <c r="AI327" s="654"/>
      <c r="AJ327" s="655"/>
      <c r="AK327" s="4"/>
      <c r="AL327" s="4"/>
      <c r="AM327" s="4"/>
      <c r="AN327" s="4"/>
      <c r="AO327" s="4"/>
      <c r="AP327" s="4"/>
      <c r="AQ327" s="4"/>
      <c r="AR327" s="4"/>
      <c r="AS327" s="4"/>
      <c r="AT327" s="4"/>
      <c r="AU327" s="654"/>
      <c r="AV327" s="655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654"/>
      <c r="BH327" s="655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654"/>
      <c r="BT327" s="655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693"/>
      <c r="CF327" s="723"/>
      <c r="CG327" s="4"/>
      <c r="CH327" s="4"/>
      <c r="CI327" s="4"/>
      <c r="CJ327" s="4"/>
      <c r="CK327" s="4"/>
      <c r="CL327" s="4">
        <v>128</v>
      </c>
      <c r="CM327" s="4"/>
      <c r="CN327" s="4"/>
      <c r="CO327" s="4"/>
      <c r="CP327" s="4"/>
      <c r="CQ327" s="654"/>
      <c r="CR327" s="655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654"/>
      <c r="DD327" s="655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654"/>
      <c r="DP327" s="655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654"/>
      <c r="EB327" s="655"/>
      <c r="EC327" s="4"/>
      <c r="ED327" s="4"/>
      <c r="EE327" s="4"/>
      <c r="EF327" s="4"/>
      <c r="EG327" s="4"/>
      <c r="EH327" s="4"/>
      <c r="EI327" s="4"/>
      <c r="EJ327" s="4"/>
      <c r="EK327" s="4"/>
      <c r="EL327" s="4"/>
      <c r="EM327" s="693"/>
      <c r="EN327" s="723"/>
      <c r="EO327" s="4"/>
      <c r="EP327" s="4"/>
      <c r="EQ327" s="4"/>
      <c r="ER327" s="4"/>
      <c r="ES327" s="4"/>
      <c r="ET327" s="4">
        <v>128</v>
      </c>
      <c r="EU327" s="4"/>
      <c r="EV327" s="4"/>
      <c r="EW327" s="4"/>
      <c r="EX327" s="4"/>
      <c r="EY327" s="654"/>
      <c r="EZ327" s="655"/>
      <c r="FA327" s="4"/>
      <c r="FB327" s="4"/>
      <c r="FC327" s="4"/>
      <c r="FD327" s="4"/>
      <c r="FE327" s="4"/>
      <c r="FF327" s="4"/>
      <c r="FG327" s="4"/>
      <c r="FH327" s="4"/>
      <c r="FI327" s="4"/>
      <c r="FJ327" s="4"/>
      <c r="FK327" s="654"/>
      <c r="FL327" s="655"/>
      <c r="FM327" s="4"/>
      <c r="FN327" s="4"/>
      <c r="FO327" s="4"/>
      <c r="FP327" s="4"/>
      <c r="FQ327" s="4"/>
      <c r="FR327" s="4"/>
      <c r="FS327" s="4"/>
      <c r="FT327" s="4"/>
      <c r="FU327" s="4"/>
      <c r="FV327" s="4"/>
      <c r="FW327" s="654"/>
      <c r="FX327" s="655"/>
      <c r="FY327" s="4"/>
      <c r="FZ327" s="4"/>
      <c r="GA327" s="4"/>
      <c r="GB327" s="4"/>
      <c r="GC327" s="4"/>
      <c r="GD327" s="4"/>
      <c r="GE327" s="4"/>
      <c r="GF327" s="4"/>
      <c r="GG327" s="4"/>
      <c r="GH327" s="4"/>
      <c r="GI327" s="654"/>
      <c r="GJ327" s="655"/>
      <c r="GK327" s="4"/>
      <c r="GL327" s="4"/>
      <c r="GM327" s="4"/>
      <c r="GN327" s="4"/>
      <c r="GO327" s="4"/>
      <c r="GP327" s="4"/>
      <c r="GQ327" s="4"/>
      <c r="GR327" s="4"/>
      <c r="GS327" s="4"/>
      <c r="GT327" s="4"/>
      <c r="GU327" s="722"/>
      <c r="GV327" s="715"/>
    </row>
    <row r="328" spans="1:204" x14ac:dyDescent="0.25">
      <c r="A328" t="s">
        <v>1441</v>
      </c>
      <c r="B328" s="2" t="s">
        <v>1440</v>
      </c>
      <c r="C328" s="619">
        <v>44642</v>
      </c>
      <c r="D328" s="2" t="s">
        <v>1422</v>
      </c>
      <c r="E328" t="s">
        <v>59</v>
      </c>
      <c r="F328" s="2" t="s">
        <v>43</v>
      </c>
      <c r="G328" t="s">
        <v>40</v>
      </c>
      <c r="H328" s="690" t="s">
        <v>85</v>
      </c>
      <c r="I328" s="691" t="s">
        <v>43</v>
      </c>
      <c r="J328" s="721">
        <v>3780401000108</v>
      </c>
      <c r="K328" s="691" t="s">
        <v>945</v>
      </c>
      <c r="L328" s="721">
        <v>12630054000110</v>
      </c>
      <c r="M328" s="718" t="s">
        <v>3</v>
      </c>
      <c r="N328" s="717" t="s">
        <v>44</v>
      </c>
      <c r="O328" s="719">
        <v>44805</v>
      </c>
      <c r="P328" s="720">
        <v>44834</v>
      </c>
      <c r="Q328" s="718">
        <v>165</v>
      </c>
      <c r="R328" s="717">
        <v>5</v>
      </c>
      <c r="S328" s="691" t="s">
        <v>54</v>
      </c>
      <c r="T328" t="s">
        <v>358</v>
      </c>
      <c r="U328" s="673" t="s">
        <v>358</v>
      </c>
      <c r="V328" s="690" t="s">
        <v>358</v>
      </c>
      <c r="W328" s="657" t="s">
        <v>329</v>
      </c>
      <c r="X328" s="723"/>
      <c r="Y328" s="4"/>
      <c r="Z328" s="4"/>
      <c r="AA328" s="4"/>
      <c r="AB328" s="4"/>
      <c r="AC328" s="4"/>
      <c r="AD328" s="4"/>
      <c r="AE328" s="4"/>
      <c r="AF328" s="4">
        <v>5</v>
      </c>
      <c r="AG328" s="4"/>
      <c r="AH328" s="4"/>
      <c r="AI328" s="654"/>
      <c r="AJ328" s="655"/>
      <c r="AK328" s="4"/>
      <c r="AL328" s="4"/>
      <c r="AM328" s="4"/>
      <c r="AN328" s="4"/>
      <c r="AO328" s="4"/>
      <c r="AP328" s="4"/>
      <c r="AQ328" s="4"/>
      <c r="AR328" s="4"/>
      <c r="AS328" s="4"/>
      <c r="AT328" s="4"/>
      <c r="AU328" s="654"/>
      <c r="AV328" s="655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654"/>
      <c r="BH328" s="655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654"/>
      <c r="BT328" s="655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693"/>
      <c r="CF328" s="723"/>
      <c r="CG328" s="4"/>
      <c r="CH328" s="4"/>
      <c r="CI328" s="4"/>
      <c r="CJ328" s="4"/>
      <c r="CK328" s="4"/>
      <c r="CL328" s="4"/>
      <c r="CM328" s="4"/>
      <c r="CN328" s="4">
        <v>165</v>
      </c>
      <c r="CO328" s="4"/>
      <c r="CP328" s="4"/>
      <c r="CQ328" s="654"/>
      <c r="CR328" s="655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654"/>
      <c r="DD328" s="655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654"/>
      <c r="DP328" s="655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654"/>
      <c r="EB328" s="655"/>
      <c r="EC328" s="4"/>
      <c r="ED328" s="4"/>
      <c r="EE328" s="4"/>
      <c r="EF328" s="4"/>
      <c r="EG328" s="4"/>
      <c r="EH328" s="4"/>
      <c r="EI328" s="4"/>
      <c r="EJ328" s="4"/>
      <c r="EK328" s="4"/>
      <c r="EL328" s="4"/>
      <c r="EM328" s="693"/>
      <c r="EN328" s="723"/>
      <c r="EO328" s="4"/>
      <c r="EP328" s="4"/>
      <c r="EQ328" s="4"/>
      <c r="ER328" s="4"/>
      <c r="ES328" s="4"/>
      <c r="ET328" s="4"/>
      <c r="EU328" s="4"/>
      <c r="EV328" s="4">
        <v>165</v>
      </c>
      <c r="EW328" s="4"/>
      <c r="EX328" s="4"/>
      <c r="EY328" s="654"/>
      <c r="EZ328" s="655"/>
      <c r="FA328" s="4"/>
      <c r="FB328" s="4"/>
      <c r="FC328" s="4"/>
      <c r="FD328" s="4"/>
      <c r="FE328" s="4"/>
      <c r="FF328" s="4"/>
      <c r="FG328" s="4"/>
      <c r="FH328" s="4"/>
      <c r="FI328" s="4"/>
      <c r="FJ328" s="4"/>
      <c r="FK328" s="654"/>
      <c r="FL328" s="655"/>
      <c r="FM328" s="4"/>
      <c r="FN328" s="4"/>
      <c r="FO328" s="4"/>
      <c r="FP328" s="4"/>
      <c r="FQ328" s="4"/>
      <c r="FR328" s="4"/>
      <c r="FS328" s="4"/>
      <c r="FT328" s="4"/>
      <c r="FU328" s="4"/>
      <c r="FV328" s="4"/>
      <c r="FW328" s="654"/>
      <c r="FX328" s="655"/>
      <c r="FY328" s="4"/>
      <c r="FZ328" s="4"/>
      <c r="GA328" s="4"/>
      <c r="GB328" s="4"/>
      <c r="GC328" s="4"/>
      <c r="GD328" s="4"/>
      <c r="GE328" s="4"/>
      <c r="GF328" s="4"/>
      <c r="GG328" s="4"/>
      <c r="GH328" s="4"/>
      <c r="GI328" s="654"/>
      <c r="GJ328" s="655"/>
      <c r="GK328" s="4"/>
      <c r="GL328" s="4"/>
      <c r="GM328" s="4"/>
      <c r="GN328" s="4"/>
      <c r="GO328" s="4"/>
      <c r="GP328" s="4"/>
      <c r="GQ328" s="4"/>
      <c r="GR328" s="4"/>
      <c r="GS328" s="4"/>
      <c r="GT328" s="4"/>
      <c r="GU328" s="722"/>
      <c r="GV328" s="715"/>
    </row>
    <row r="329" spans="1:204" x14ac:dyDescent="0.25">
      <c r="A329" t="s">
        <v>1443</v>
      </c>
      <c r="B329" s="2" t="s">
        <v>1442</v>
      </c>
      <c r="C329" s="619">
        <v>44642</v>
      </c>
      <c r="D329" s="2" t="s">
        <v>1423</v>
      </c>
      <c r="E329" t="s">
        <v>58</v>
      </c>
      <c r="F329" s="2" t="s">
        <v>43</v>
      </c>
      <c r="G329" t="s">
        <v>40</v>
      </c>
      <c r="H329" s="690" t="s">
        <v>84</v>
      </c>
      <c r="I329" s="691" t="s">
        <v>477</v>
      </c>
      <c r="J329" s="721">
        <v>11322550000224</v>
      </c>
      <c r="K329" s="691" t="s">
        <v>43</v>
      </c>
      <c r="L329" s="721">
        <v>3780401000108</v>
      </c>
      <c r="M329" s="718" t="s">
        <v>3</v>
      </c>
      <c r="N329" s="717" t="s">
        <v>44</v>
      </c>
      <c r="O329" s="719">
        <v>44743</v>
      </c>
      <c r="P329" s="720">
        <v>44773</v>
      </c>
      <c r="Q329" s="718">
        <v>127</v>
      </c>
      <c r="R329" s="717">
        <v>2</v>
      </c>
      <c r="S329" s="691" t="s">
        <v>54</v>
      </c>
      <c r="T329" t="s">
        <v>358</v>
      </c>
      <c r="U329" s="673" t="s">
        <v>358</v>
      </c>
      <c r="V329" s="690" t="s">
        <v>358</v>
      </c>
      <c r="W329" s="657" t="s">
        <v>329</v>
      </c>
      <c r="X329" s="723"/>
      <c r="Y329" s="4"/>
      <c r="Z329" s="4"/>
      <c r="AA329" s="4"/>
      <c r="AB329" s="4"/>
      <c r="AC329" s="4"/>
      <c r="AD329" s="4">
        <v>2</v>
      </c>
      <c r="AE329" s="4"/>
      <c r="AF329" s="4"/>
      <c r="AG329" s="4"/>
      <c r="AH329" s="4"/>
      <c r="AI329" s="654"/>
      <c r="AJ329" s="655"/>
      <c r="AK329" s="4"/>
      <c r="AL329" s="4"/>
      <c r="AM329" s="4"/>
      <c r="AN329" s="4"/>
      <c r="AO329" s="4"/>
      <c r="AP329" s="4"/>
      <c r="AQ329" s="4"/>
      <c r="AR329" s="4"/>
      <c r="AS329" s="4"/>
      <c r="AT329" s="4"/>
      <c r="AU329" s="654"/>
      <c r="AV329" s="655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654"/>
      <c r="BH329" s="655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654"/>
      <c r="BT329" s="655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693"/>
      <c r="CF329" s="723"/>
      <c r="CG329" s="4"/>
      <c r="CH329" s="4"/>
      <c r="CI329" s="4"/>
      <c r="CJ329" s="4"/>
      <c r="CK329" s="4"/>
      <c r="CL329" s="4">
        <v>127</v>
      </c>
      <c r="CM329" s="4"/>
      <c r="CN329" s="4"/>
      <c r="CO329" s="4"/>
      <c r="CP329" s="4"/>
      <c r="CQ329" s="654"/>
      <c r="CR329" s="655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654"/>
      <c r="DD329" s="655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654"/>
      <c r="DP329" s="655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654"/>
      <c r="EB329" s="655"/>
      <c r="EC329" s="4"/>
      <c r="ED329" s="4"/>
      <c r="EE329" s="4"/>
      <c r="EF329" s="4"/>
      <c r="EG329" s="4"/>
      <c r="EH329" s="4"/>
      <c r="EI329" s="4"/>
      <c r="EJ329" s="4"/>
      <c r="EK329" s="4"/>
      <c r="EL329" s="4"/>
      <c r="EM329" s="693"/>
      <c r="EN329" s="723"/>
      <c r="EO329" s="4"/>
      <c r="EP329" s="4"/>
      <c r="EQ329" s="4"/>
      <c r="ER329" s="4"/>
      <c r="ES329" s="4"/>
      <c r="ET329" s="4">
        <v>127</v>
      </c>
      <c r="EU329" s="4"/>
      <c r="EV329" s="4"/>
      <c r="EW329" s="4"/>
      <c r="EX329" s="4"/>
      <c r="EY329" s="654"/>
      <c r="EZ329" s="655"/>
      <c r="FA329" s="4"/>
      <c r="FB329" s="4"/>
      <c r="FC329" s="4"/>
      <c r="FD329" s="4"/>
      <c r="FE329" s="4"/>
      <c r="FF329" s="4"/>
      <c r="FG329" s="4"/>
      <c r="FH329" s="4"/>
      <c r="FI329" s="4"/>
      <c r="FJ329" s="4"/>
      <c r="FK329" s="654"/>
      <c r="FL329" s="655"/>
      <c r="FM329" s="4"/>
      <c r="FN329" s="4"/>
      <c r="FO329" s="4"/>
      <c r="FP329" s="4"/>
      <c r="FQ329" s="4"/>
      <c r="FR329" s="4"/>
      <c r="FS329" s="4"/>
      <c r="FT329" s="4"/>
      <c r="FU329" s="4"/>
      <c r="FV329" s="4"/>
      <c r="FW329" s="654"/>
      <c r="FX329" s="655"/>
      <c r="FY329" s="4"/>
      <c r="FZ329" s="4"/>
      <c r="GA329" s="4"/>
      <c r="GB329" s="4"/>
      <c r="GC329" s="4"/>
      <c r="GD329" s="4"/>
      <c r="GE329" s="4"/>
      <c r="GF329" s="4"/>
      <c r="GG329" s="4"/>
      <c r="GH329" s="4"/>
      <c r="GI329" s="654"/>
      <c r="GJ329" s="655"/>
      <c r="GK329" s="4"/>
      <c r="GL329" s="4"/>
      <c r="GM329" s="4"/>
      <c r="GN329" s="4"/>
      <c r="GO329" s="4"/>
      <c r="GP329" s="4"/>
      <c r="GQ329" s="4"/>
      <c r="GR329" s="4"/>
      <c r="GS329" s="4"/>
      <c r="GT329" s="4"/>
      <c r="GU329" s="722"/>
      <c r="GV329" s="715"/>
    </row>
    <row r="330" spans="1:204" x14ac:dyDescent="0.25">
      <c r="A330" t="s">
        <v>1445</v>
      </c>
      <c r="B330" s="2" t="s">
        <v>1444</v>
      </c>
      <c r="C330" s="619">
        <v>44642</v>
      </c>
      <c r="D330" s="2" t="s">
        <v>1424</v>
      </c>
      <c r="E330" t="s">
        <v>59</v>
      </c>
      <c r="F330" s="2" t="s">
        <v>43</v>
      </c>
      <c r="G330" t="s">
        <v>40</v>
      </c>
      <c r="H330" s="690" t="s">
        <v>85</v>
      </c>
      <c r="I330" s="691" t="s">
        <v>43</v>
      </c>
      <c r="J330" s="721">
        <v>3780401000108</v>
      </c>
      <c r="K330" s="691" t="s">
        <v>509</v>
      </c>
      <c r="L330" s="721">
        <v>9149503000360</v>
      </c>
      <c r="M330" s="718" t="s">
        <v>3</v>
      </c>
      <c r="N330" s="717" t="s">
        <v>44</v>
      </c>
      <c r="O330" s="719">
        <v>44896</v>
      </c>
      <c r="P330" s="720">
        <v>44926</v>
      </c>
      <c r="Q330" s="718">
        <v>160</v>
      </c>
      <c r="R330" s="717">
        <v>10</v>
      </c>
      <c r="S330" s="691" t="s">
        <v>54</v>
      </c>
      <c r="T330" t="s">
        <v>358</v>
      </c>
      <c r="U330" s="673" t="s">
        <v>358</v>
      </c>
      <c r="V330" s="690" t="s">
        <v>358</v>
      </c>
      <c r="W330" s="657" t="s">
        <v>329</v>
      </c>
      <c r="X330" s="723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654">
        <v>10</v>
      </c>
      <c r="AJ330" s="655"/>
      <c r="AK330" s="4"/>
      <c r="AL330" s="4"/>
      <c r="AM330" s="4"/>
      <c r="AN330" s="4"/>
      <c r="AO330" s="4"/>
      <c r="AP330" s="4"/>
      <c r="AQ330" s="4"/>
      <c r="AR330" s="4"/>
      <c r="AS330" s="4"/>
      <c r="AT330" s="4"/>
      <c r="AU330" s="654"/>
      <c r="AV330" s="655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654"/>
      <c r="BH330" s="655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654"/>
      <c r="BT330" s="655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693"/>
      <c r="CF330" s="723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654">
        <v>160</v>
      </c>
      <c r="CR330" s="655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654"/>
      <c r="DD330" s="655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654"/>
      <c r="DP330" s="655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654"/>
      <c r="EB330" s="655"/>
      <c r="EC330" s="4"/>
      <c r="ED330" s="4"/>
      <c r="EE330" s="4"/>
      <c r="EF330" s="4"/>
      <c r="EG330" s="4"/>
      <c r="EH330" s="4"/>
      <c r="EI330" s="4"/>
      <c r="EJ330" s="4"/>
      <c r="EK330" s="4"/>
      <c r="EL330" s="4"/>
      <c r="EM330" s="693"/>
      <c r="EN330" s="723"/>
      <c r="EO330" s="4"/>
      <c r="EP330" s="4"/>
      <c r="EQ330" s="4"/>
      <c r="ER330" s="4"/>
      <c r="ES330" s="4"/>
      <c r="ET330" s="4"/>
      <c r="EU330" s="4"/>
      <c r="EV330" s="4"/>
      <c r="EW330" s="4"/>
      <c r="EX330" s="4"/>
      <c r="EY330" s="654">
        <v>160</v>
      </c>
      <c r="EZ330" s="655"/>
      <c r="FA330" s="4"/>
      <c r="FB330" s="4"/>
      <c r="FC330" s="4"/>
      <c r="FD330" s="4"/>
      <c r="FE330" s="4"/>
      <c r="FF330" s="4"/>
      <c r="FG330" s="4"/>
      <c r="FH330" s="4"/>
      <c r="FI330" s="4"/>
      <c r="FJ330" s="4"/>
      <c r="FK330" s="654"/>
      <c r="FL330" s="655"/>
      <c r="FM330" s="4"/>
      <c r="FN330" s="4"/>
      <c r="FO330" s="4"/>
      <c r="FP330" s="4"/>
      <c r="FQ330" s="4"/>
      <c r="FR330" s="4"/>
      <c r="FS330" s="4"/>
      <c r="FT330" s="4"/>
      <c r="FU330" s="4"/>
      <c r="FV330" s="4"/>
      <c r="FW330" s="654"/>
      <c r="FX330" s="655"/>
      <c r="FY330" s="4"/>
      <c r="FZ330" s="4"/>
      <c r="GA330" s="4"/>
      <c r="GB330" s="4"/>
      <c r="GC330" s="4"/>
      <c r="GD330" s="4"/>
      <c r="GE330" s="4"/>
      <c r="GF330" s="4"/>
      <c r="GG330" s="4"/>
      <c r="GH330" s="4"/>
      <c r="GI330" s="654"/>
      <c r="GJ330" s="655"/>
      <c r="GK330" s="4"/>
      <c r="GL330" s="4"/>
      <c r="GM330" s="4"/>
      <c r="GN330" s="4"/>
      <c r="GO330" s="4"/>
      <c r="GP330" s="4"/>
      <c r="GQ330" s="4"/>
      <c r="GR330" s="4"/>
      <c r="GS330" s="4"/>
      <c r="GT330" s="4"/>
      <c r="GU330" s="722"/>
      <c r="GV330" s="715"/>
    </row>
    <row r="331" spans="1:204" x14ac:dyDescent="0.25">
      <c r="A331" t="s">
        <v>1447</v>
      </c>
      <c r="B331" s="2" t="s">
        <v>1446</v>
      </c>
      <c r="C331" s="619">
        <v>44642</v>
      </c>
      <c r="D331" s="2" t="s">
        <v>1425</v>
      </c>
      <c r="E331" t="s">
        <v>58</v>
      </c>
      <c r="F331" s="2" t="s">
        <v>43</v>
      </c>
      <c r="G331" t="s">
        <v>40</v>
      </c>
      <c r="H331" s="690" t="s">
        <v>84</v>
      </c>
      <c r="I331" s="691" t="s">
        <v>472</v>
      </c>
      <c r="J331" s="721">
        <v>4802543000183</v>
      </c>
      <c r="K331" s="691" t="s">
        <v>43</v>
      </c>
      <c r="L331" s="721">
        <v>3780401000108</v>
      </c>
      <c r="M331" s="718" t="s">
        <v>3</v>
      </c>
      <c r="N331" s="717" t="s">
        <v>44</v>
      </c>
      <c r="O331" s="719">
        <v>44743</v>
      </c>
      <c r="P331" s="720">
        <v>44773</v>
      </c>
      <c r="Q331" s="718">
        <v>127</v>
      </c>
      <c r="R331" s="717">
        <v>15</v>
      </c>
      <c r="S331" s="691" t="s">
        <v>54</v>
      </c>
      <c r="T331" t="s">
        <v>358</v>
      </c>
      <c r="U331" s="673" t="s">
        <v>358</v>
      </c>
      <c r="V331" s="690" t="s">
        <v>358</v>
      </c>
      <c r="W331" s="657" t="s">
        <v>329</v>
      </c>
      <c r="X331" s="723"/>
      <c r="Y331" s="4"/>
      <c r="Z331" s="4"/>
      <c r="AA331" s="4"/>
      <c r="AB331" s="4"/>
      <c r="AC331" s="4"/>
      <c r="AD331" s="4">
        <v>15</v>
      </c>
      <c r="AE331" s="4"/>
      <c r="AF331" s="4"/>
      <c r="AG331" s="4"/>
      <c r="AH331" s="4"/>
      <c r="AI331" s="654"/>
      <c r="AJ331" s="655"/>
      <c r="AK331" s="4"/>
      <c r="AL331" s="4"/>
      <c r="AM331" s="4"/>
      <c r="AN331" s="4"/>
      <c r="AO331" s="4"/>
      <c r="AP331" s="4"/>
      <c r="AQ331" s="4"/>
      <c r="AR331" s="4"/>
      <c r="AS331" s="4"/>
      <c r="AT331" s="4"/>
      <c r="AU331" s="654"/>
      <c r="AV331" s="655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654"/>
      <c r="BH331" s="655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654"/>
      <c r="BT331" s="655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693"/>
      <c r="CF331" s="723"/>
      <c r="CG331" s="4"/>
      <c r="CH331" s="4"/>
      <c r="CI331" s="4"/>
      <c r="CJ331" s="4"/>
      <c r="CK331" s="4"/>
      <c r="CL331" s="4">
        <v>127</v>
      </c>
      <c r="CM331" s="4"/>
      <c r="CN331" s="4"/>
      <c r="CO331" s="4"/>
      <c r="CP331" s="4"/>
      <c r="CQ331" s="654"/>
      <c r="CR331" s="655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654"/>
      <c r="DD331" s="655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654"/>
      <c r="DP331" s="655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654"/>
      <c r="EB331" s="655"/>
      <c r="EC331" s="4"/>
      <c r="ED331" s="4"/>
      <c r="EE331" s="4"/>
      <c r="EF331" s="4"/>
      <c r="EG331" s="4"/>
      <c r="EH331" s="4"/>
      <c r="EI331" s="4"/>
      <c r="EJ331" s="4"/>
      <c r="EK331" s="4"/>
      <c r="EL331" s="4"/>
      <c r="EM331" s="693"/>
      <c r="EN331" s="723"/>
      <c r="EO331" s="4"/>
      <c r="EP331" s="4"/>
      <c r="EQ331" s="4"/>
      <c r="ER331" s="4"/>
      <c r="ES331" s="4"/>
      <c r="ET331" s="4">
        <v>127</v>
      </c>
      <c r="EU331" s="4"/>
      <c r="EV331" s="4"/>
      <c r="EW331" s="4"/>
      <c r="EX331" s="4"/>
      <c r="EY331" s="654"/>
      <c r="EZ331" s="655"/>
      <c r="FA331" s="4"/>
      <c r="FB331" s="4"/>
      <c r="FC331" s="4"/>
      <c r="FD331" s="4"/>
      <c r="FE331" s="4"/>
      <c r="FF331" s="4"/>
      <c r="FG331" s="4"/>
      <c r="FH331" s="4"/>
      <c r="FI331" s="4"/>
      <c r="FJ331" s="4"/>
      <c r="FK331" s="654"/>
      <c r="FL331" s="655"/>
      <c r="FM331" s="4"/>
      <c r="FN331" s="4"/>
      <c r="FO331" s="4"/>
      <c r="FP331" s="4"/>
      <c r="FQ331" s="4"/>
      <c r="FR331" s="4"/>
      <c r="FS331" s="4"/>
      <c r="FT331" s="4"/>
      <c r="FU331" s="4"/>
      <c r="FV331" s="4"/>
      <c r="FW331" s="654"/>
      <c r="FX331" s="655"/>
      <c r="FY331" s="4"/>
      <c r="FZ331" s="4"/>
      <c r="GA331" s="4"/>
      <c r="GB331" s="4"/>
      <c r="GC331" s="4"/>
      <c r="GD331" s="4"/>
      <c r="GE331" s="4"/>
      <c r="GF331" s="4"/>
      <c r="GG331" s="4"/>
      <c r="GH331" s="4"/>
      <c r="GI331" s="654"/>
      <c r="GJ331" s="655"/>
      <c r="GK331" s="4"/>
      <c r="GL331" s="4"/>
      <c r="GM331" s="4"/>
      <c r="GN331" s="4"/>
      <c r="GO331" s="4"/>
      <c r="GP331" s="4"/>
      <c r="GQ331" s="4"/>
      <c r="GR331" s="4"/>
      <c r="GS331" s="4"/>
      <c r="GT331" s="4"/>
      <c r="GU331" s="722"/>
      <c r="GV331" s="715"/>
    </row>
    <row r="332" spans="1:204" x14ac:dyDescent="0.25">
      <c r="A332" t="s">
        <v>1449</v>
      </c>
      <c r="B332" s="2" t="s">
        <v>358</v>
      </c>
      <c r="C332" s="619">
        <v>44642</v>
      </c>
      <c r="D332" s="2" t="s">
        <v>1426</v>
      </c>
      <c r="E332" t="s">
        <v>58</v>
      </c>
      <c r="F332" s="2" t="s">
        <v>43</v>
      </c>
      <c r="G332" t="s">
        <v>40</v>
      </c>
      <c r="H332" s="690" t="s">
        <v>84</v>
      </c>
      <c r="I332" s="691" t="s">
        <v>346</v>
      </c>
      <c r="J332" s="721" t="e">
        <v>#VALUE!</v>
      </c>
      <c r="K332" s="691" t="s">
        <v>43</v>
      </c>
      <c r="L332" s="721">
        <v>3780401000108</v>
      </c>
      <c r="M332" s="718" t="s">
        <v>3</v>
      </c>
      <c r="N332" s="717" t="s">
        <v>44</v>
      </c>
      <c r="O332" s="719">
        <v>44896</v>
      </c>
      <c r="P332" s="720">
        <v>44926</v>
      </c>
      <c r="Q332" s="718">
        <v>160</v>
      </c>
      <c r="R332" s="717">
        <v>2</v>
      </c>
      <c r="S332" s="691" t="s">
        <v>54</v>
      </c>
      <c r="T332" t="s">
        <v>358</v>
      </c>
      <c r="U332" s="673" t="s">
        <v>358</v>
      </c>
      <c r="V332" s="690" t="s">
        <v>358</v>
      </c>
      <c r="W332" s="657" t="s">
        <v>214</v>
      </c>
      <c r="X332" s="723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654">
        <v>2</v>
      </c>
      <c r="AJ332" s="655"/>
      <c r="AK332" s="4"/>
      <c r="AL332" s="4"/>
      <c r="AM332" s="4"/>
      <c r="AN332" s="4"/>
      <c r="AO332" s="4"/>
      <c r="AP332" s="4"/>
      <c r="AQ332" s="4"/>
      <c r="AR332" s="4"/>
      <c r="AS332" s="4"/>
      <c r="AT332" s="4"/>
      <c r="AU332" s="654"/>
      <c r="AV332" s="655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654"/>
      <c r="BH332" s="655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654"/>
      <c r="BT332" s="655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693"/>
      <c r="CF332" s="723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654">
        <v>160</v>
      </c>
      <c r="CR332" s="655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654"/>
      <c r="DD332" s="655"/>
      <c r="DE332" s="4"/>
      <c r="DF332" s="4"/>
      <c r="DG332" s="4"/>
      <c r="DH332" s="4"/>
      <c r="DI332" s="4"/>
      <c r="DJ332" s="4"/>
      <c r="DK332" s="4"/>
      <c r="DL332" s="4"/>
      <c r="DM332" s="4"/>
      <c r="DN332" s="4"/>
      <c r="DO332" s="654"/>
      <c r="DP332" s="655"/>
      <c r="DQ332" s="4"/>
      <c r="DR332" s="4"/>
      <c r="DS332" s="4"/>
      <c r="DT332" s="4"/>
      <c r="DU332" s="4"/>
      <c r="DV332" s="4"/>
      <c r="DW332" s="4"/>
      <c r="DX332" s="4"/>
      <c r="DY332" s="4"/>
      <c r="DZ332" s="4"/>
      <c r="EA332" s="654"/>
      <c r="EB332" s="655"/>
      <c r="EC332" s="4"/>
      <c r="ED332" s="4"/>
      <c r="EE332" s="4"/>
      <c r="EF332" s="4"/>
      <c r="EG332" s="4"/>
      <c r="EH332" s="4"/>
      <c r="EI332" s="4"/>
      <c r="EJ332" s="4"/>
      <c r="EK332" s="4"/>
      <c r="EL332" s="4"/>
      <c r="EM332" s="693"/>
      <c r="EN332" s="723"/>
      <c r="EO332" s="4"/>
      <c r="EP332" s="4"/>
      <c r="EQ332" s="4"/>
      <c r="ER332" s="4"/>
      <c r="ES332" s="4"/>
      <c r="ET332" s="4"/>
      <c r="EU332" s="4"/>
      <c r="EV332" s="4"/>
      <c r="EW332" s="4"/>
      <c r="EX332" s="4"/>
      <c r="EY332" s="654">
        <v>160</v>
      </c>
      <c r="EZ332" s="655"/>
      <c r="FA332" s="4"/>
      <c r="FB332" s="4"/>
      <c r="FC332" s="4"/>
      <c r="FD332" s="4"/>
      <c r="FE332" s="4"/>
      <c r="FF332" s="4"/>
      <c r="FG332" s="4"/>
      <c r="FH332" s="4"/>
      <c r="FI332" s="4"/>
      <c r="FJ332" s="4"/>
      <c r="FK332" s="654"/>
      <c r="FL332" s="655"/>
      <c r="FM332" s="4"/>
      <c r="FN332" s="4"/>
      <c r="FO332" s="4"/>
      <c r="FP332" s="4"/>
      <c r="FQ332" s="4"/>
      <c r="FR332" s="4"/>
      <c r="FS332" s="4"/>
      <c r="FT332" s="4"/>
      <c r="FU332" s="4"/>
      <c r="FV332" s="4"/>
      <c r="FW332" s="654"/>
      <c r="FX332" s="655"/>
      <c r="FY332" s="4"/>
      <c r="FZ332" s="4"/>
      <c r="GA332" s="4"/>
      <c r="GB332" s="4"/>
      <c r="GC332" s="4"/>
      <c r="GD332" s="4"/>
      <c r="GE332" s="4"/>
      <c r="GF332" s="4"/>
      <c r="GG332" s="4"/>
      <c r="GH332" s="4"/>
      <c r="GI332" s="654"/>
      <c r="GJ332" s="655"/>
      <c r="GK332" s="4"/>
      <c r="GL332" s="4"/>
      <c r="GM332" s="4"/>
      <c r="GN332" s="4"/>
      <c r="GO332" s="4"/>
      <c r="GP332" s="4"/>
      <c r="GQ332" s="4"/>
      <c r="GR332" s="4"/>
      <c r="GS332" s="4"/>
      <c r="GT332" s="4"/>
      <c r="GU332" s="722"/>
      <c r="GV332" s="715"/>
    </row>
    <row r="333" spans="1:204" x14ac:dyDescent="0.25">
      <c r="A333" t="s">
        <v>1451</v>
      </c>
      <c r="B333" s="2" t="s">
        <v>358</v>
      </c>
      <c r="C333" s="619">
        <v>44642</v>
      </c>
      <c r="D333" s="2" t="s">
        <v>1427</v>
      </c>
      <c r="E333" t="s">
        <v>59</v>
      </c>
      <c r="F333" s="2" t="s">
        <v>43</v>
      </c>
      <c r="G333" t="s">
        <v>40</v>
      </c>
      <c r="H333" s="690" t="s">
        <v>85</v>
      </c>
      <c r="I333" s="691" t="s">
        <v>43</v>
      </c>
      <c r="J333" s="721">
        <v>3780401000108</v>
      </c>
      <c r="K333" s="691" t="s">
        <v>346</v>
      </c>
      <c r="L333" s="721" t="e">
        <v>#VALUE!</v>
      </c>
      <c r="M333" s="718" t="s">
        <v>3</v>
      </c>
      <c r="N333" s="717" t="s">
        <v>44</v>
      </c>
      <c r="O333" s="719">
        <v>44896</v>
      </c>
      <c r="P333" s="720">
        <v>44926</v>
      </c>
      <c r="Q333" s="718">
        <v>160</v>
      </c>
      <c r="R333" s="717">
        <v>2</v>
      </c>
      <c r="S333" s="691" t="s">
        <v>54</v>
      </c>
      <c r="T333" t="s">
        <v>358</v>
      </c>
      <c r="U333" s="673" t="s">
        <v>358</v>
      </c>
      <c r="V333" s="690" t="s">
        <v>358</v>
      </c>
      <c r="W333" s="657" t="s">
        <v>214</v>
      </c>
      <c r="X333" s="723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654">
        <v>2</v>
      </c>
      <c r="AJ333" s="655"/>
      <c r="AK333" s="4"/>
      <c r="AL333" s="4"/>
      <c r="AM333" s="4"/>
      <c r="AN333" s="4"/>
      <c r="AO333" s="4"/>
      <c r="AP333" s="4"/>
      <c r="AQ333" s="4"/>
      <c r="AR333" s="4"/>
      <c r="AS333" s="4"/>
      <c r="AT333" s="4"/>
      <c r="AU333" s="654"/>
      <c r="AV333" s="655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654"/>
      <c r="BH333" s="655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654"/>
      <c r="BT333" s="655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693"/>
      <c r="CF333" s="723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654">
        <v>160</v>
      </c>
      <c r="CR333" s="655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654"/>
      <c r="DD333" s="655"/>
      <c r="DE333" s="4"/>
      <c r="DF333" s="4"/>
      <c r="DG333" s="4"/>
      <c r="DH333" s="4"/>
      <c r="DI333" s="4"/>
      <c r="DJ333" s="4"/>
      <c r="DK333" s="4"/>
      <c r="DL333" s="4"/>
      <c r="DM333" s="4"/>
      <c r="DN333" s="4"/>
      <c r="DO333" s="654"/>
      <c r="DP333" s="655"/>
      <c r="DQ333" s="4"/>
      <c r="DR333" s="4"/>
      <c r="DS333" s="4"/>
      <c r="DT333" s="4"/>
      <c r="DU333" s="4"/>
      <c r="DV333" s="4"/>
      <c r="DW333" s="4"/>
      <c r="DX333" s="4"/>
      <c r="DY333" s="4"/>
      <c r="DZ333" s="4"/>
      <c r="EA333" s="654"/>
      <c r="EB333" s="655"/>
      <c r="EC333" s="4"/>
      <c r="ED333" s="4"/>
      <c r="EE333" s="4"/>
      <c r="EF333" s="4"/>
      <c r="EG333" s="4"/>
      <c r="EH333" s="4"/>
      <c r="EI333" s="4"/>
      <c r="EJ333" s="4"/>
      <c r="EK333" s="4"/>
      <c r="EL333" s="4"/>
      <c r="EM333" s="693"/>
      <c r="EN333" s="723"/>
      <c r="EO333" s="4"/>
      <c r="EP333" s="4"/>
      <c r="EQ333" s="4"/>
      <c r="ER333" s="4"/>
      <c r="ES333" s="4"/>
      <c r="ET333" s="4"/>
      <c r="EU333" s="4"/>
      <c r="EV333" s="4"/>
      <c r="EW333" s="4"/>
      <c r="EX333" s="4"/>
      <c r="EY333" s="654">
        <v>160</v>
      </c>
      <c r="EZ333" s="655"/>
      <c r="FA333" s="4"/>
      <c r="FB333" s="4"/>
      <c r="FC333" s="4"/>
      <c r="FD333" s="4"/>
      <c r="FE333" s="4"/>
      <c r="FF333" s="4"/>
      <c r="FG333" s="4"/>
      <c r="FH333" s="4"/>
      <c r="FI333" s="4"/>
      <c r="FJ333" s="4"/>
      <c r="FK333" s="654"/>
      <c r="FL333" s="655"/>
      <c r="FM333" s="4"/>
      <c r="FN333" s="4"/>
      <c r="FO333" s="4"/>
      <c r="FP333" s="4"/>
      <c r="FQ333" s="4"/>
      <c r="FR333" s="4"/>
      <c r="FS333" s="4"/>
      <c r="FT333" s="4"/>
      <c r="FU333" s="4"/>
      <c r="FV333" s="4"/>
      <c r="FW333" s="654"/>
      <c r="FX333" s="655"/>
      <c r="FY333" s="4"/>
      <c r="FZ333" s="4"/>
      <c r="GA333" s="4"/>
      <c r="GB333" s="4"/>
      <c r="GC333" s="4"/>
      <c r="GD333" s="4"/>
      <c r="GE333" s="4"/>
      <c r="GF333" s="4"/>
      <c r="GG333" s="4"/>
      <c r="GH333" s="4"/>
      <c r="GI333" s="654"/>
      <c r="GJ333" s="655"/>
      <c r="GK333" s="4"/>
      <c r="GL333" s="4"/>
      <c r="GM333" s="4"/>
      <c r="GN333" s="4"/>
      <c r="GO333" s="4"/>
      <c r="GP333" s="4"/>
      <c r="GQ333" s="4"/>
      <c r="GR333" s="4"/>
      <c r="GS333" s="4"/>
      <c r="GT333" s="4"/>
      <c r="GU333" s="722"/>
      <c r="GV333" s="715"/>
    </row>
    <row r="334" spans="1:204" x14ac:dyDescent="0.25">
      <c r="A334" t="s">
        <v>1458</v>
      </c>
      <c r="B334" s="2" t="s">
        <v>358</v>
      </c>
      <c r="C334" s="619">
        <v>44644</v>
      </c>
      <c r="D334" s="2" t="s">
        <v>1452</v>
      </c>
      <c r="E334" t="s">
        <v>59</v>
      </c>
      <c r="F334" s="2" t="s">
        <v>43</v>
      </c>
      <c r="G334" t="s">
        <v>40</v>
      </c>
      <c r="H334" s="690" t="s">
        <v>85</v>
      </c>
      <c r="I334" s="691" t="s">
        <v>43</v>
      </c>
      <c r="J334" s="721">
        <v>3780401000108</v>
      </c>
      <c r="K334" s="691" t="s">
        <v>405</v>
      </c>
      <c r="L334" s="721">
        <v>58177643000195</v>
      </c>
      <c r="M334" s="718" t="s">
        <v>3</v>
      </c>
      <c r="N334" s="717" t="s">
        <v>44</v>
      </c>
      <c r="O334" s="719">
        <v>44927</v>
      </c>
      <c r="P334" s="720">
        <v>45291</v>
      </c>
      <c r="Q334" s="718">
        <v>215</v>
      </c>
      <c r="R334" s="717">
        <v>3</v>
      </c>
      <c r="S334" s="691" t="s">
        <v>54</v>
      </c>
      <c r="T334" t="s">
        <v>649</v>
      </c>
      <c r="U334" s="673">
        <v>44644</v>
      </c>
      <c r="V334" s="690">
        <v>1</v>
      </c>
      <c r="W334" s="657" t="s">
        <v>214</v>
      </c>
      <c r="X334" s="723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654"/>
      <c r="AJ334" s="655">
        <v>3</v>
      </c>
      <c r="AK334" s="4">
        <v>3</v>
      </c>
      <c r="AL334" s="4">
        <v>3</v>
      </c>
      <c r="AM334" s="4">
        <v>3</v>
      </c>
      <c r="AN334" s="4">
        <v>3</v>
      </c>
      <c r="AO334" s="4">
        <v>3</v>
      </c>
      <c r="AP334" s="4">
        <v>3</v>
      </c>
      <c r="AQ334" s="4">
        <v>3</v>
      </c>
      <c r="AR334" s="4">
        <v>3</v>
      </c>
      <c r="AS334" s="4">
        <v>3</v>
      </c>
      <c r="AT334" s="4">
        <v>3</v>
      </c>
      <c r="AU334" s="654">
        <v>3</v>
      </c>
      <c r="AV334" s="655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654"/>
      <c r="BH334" s="655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654"/>
      <c r="BT334" s="655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693"/>
      <c r="CF334" s="723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654"/>
      <c r="CR334" s="655">
        <v>223.64262249879329</v>
      </c>
      <c r="CS334" s="4">
        <v>223.64262249879329</v>
      </c>
      <c r="CT334" s="4">
        <v>223.64262249879329</v>
      </c>
      <c r="CU334" s="4">
        <v>223.64262249879329</v>
      </c>
      <c r="CV334" s="4">
        <v>223.64262249879329</v>
      </c>
      <c r="CW334" s="4">
        <v>223.64262249879329</v>
      </c>
      <c r="CX334" s="4">
        <v>223.64262249879329</v>
      </c>
      <c r="CY334" s="4">
        <v>223.64262249879329</v>
      </c>
      <c r="CZ334" s="4">
        <v>223.64262249879329</v>
      </c>
      <c r="DA334" s="4">
        <v>223.64262249879329</v>
      </c>
      <c r="DB334" s="4">
        <v>223.64262249879329</v>
      </c>
      <c r="DC334" s="654">
        <v>223.64262249879329</v>
      </c>
      <c r="DD334" s="655"/>
      <c r="DE334" s="4"/>
      <c r="DF334" s="4"/>
      <c r="DG334" s="4"/>
      <c r="DH334" s="4"/>
      <c r="DI334" s="4"/>
      <c r="DJ334" s="4"/>
      <c r="DK334" s="4"/>
      <c r="DL334" s="4"/>
      <c r="DM334" s="4"/>
      <c r="DN334" s="4"/>
      <c r="DO334" s="654"/>
      <c r="DP334" s="655"/>
      <c r="DQ334" s="4"/>
      <c r="DR334" s="4"/>
      <c r="DS334" s="4"/>
      <c r="DT334" s="4"/>
      <c r="DU334" s="4"/>
      <c r="DV334" s="4"/>
      <c r="DW334" s="4"/>
      <c r="DX334" s="4"/>
      <c r="DY334" s="4"/>
      <c r="DZ334" s="4"/>
      <c r="EA334" s="654"/>
      <c r="EB334" s="655"/>
      <c r="EC334" s="4"/>
      <c r="ED334" s="4"/>
      <c r="EE334" s="4"/>
      <c r="EF334" s="4"/>
      <c r="EG334" s="4"/>
      <c r="EH334" s="4"/>
      <c r="EI334" s="4"/>
      <c r="EJ334" s="4"/>
      <c r="EK334" s="4"/>
      <c r="EL334" s="4"/>
      <c r="EM334" s="693"/>
      <c r="EN334" s="723"/>
      <c r="EO334" s="4"/>
      <c r="EP334" s="4"/>
      <c r="EQ334" s="4"/>
      <c r="ER334" s="4"/>
      <c r="ES334" s="4"/>
      <c r="ET334" s="4"/>
      <c r="EU334" s="4"/>
      <c r="EV334" s="4"/>
      <c r="EW334" s="4"/>
      <c r="EX334" s="4"/>
      <c r="EY334" s="654"/>
      <c r="EZ334" s="655">
        <v>223.64262249879329</v>
      </c>
      <c r="FA334" s="4">
        <v>223.64262249879329</v>
      </c>
      <c r="FB334" s="4">
        <v>223.64262249879329</v>
      </c>
      <c r="FC334" s="4">
        <v>223.64262249879329</v>
      </c>
      <c r="FD334" s="4">
        <v>223.64262249879329</v>
      </c>
      <c r="FE334" s="4">
        <v>223.64262249879329</v>
      </c>
      <c r="FF334" s="4">
        <v>223.64262249879329</v>
      </c>
      <c r="FG334" s="4">
        <v>223.64262249879329</v>
      </c>
      <c r="FH334" s="4">
        <v>223.64262249879329</v>
      </c>
      <c r="FI334" s="4">
        <v>223.64262249879329</v>
      </c>
      <c r="FJ334" s="4">
        <v>223.64262249879329</v>
      </c>
      <c r="FK334" s="654">
        <v>223.64262249879329</v>
      </c>
      <c r="FL334" s="655"/>
      <c r="FM334" s="4"/>
      <c r="FN334" s="4"/>
      <c r="FO334" s="4"/>
      <c r="FP334" s="4"/>
      <c r="FQ334" s="4"/>
      <c r="FR334" s="4"/>
      <c r="FS334" s="4"/>
      <c r="FT334" s="4"/>
      <c r="FU334" s="4"/>
      <c r="FV334" s="4"/>
      <c r="FW334" s="654"/>
      <c r="FX334" s="655"/>
      <c r="FY334" s="4"/>
      <c r="FZ334" s="4"/>
      <c r="GA334" s="4"/>
      <c r="GB334" s="4"/>
      <c r="GC334" s="4"/>
      <c r="GD334" s="4"/>
      <c r="GE334" s="4"/>
      <c r="GF334" s="4"/>
      <c r="GG334" s="4"/>
      <c r="GH334" s="4"/>
      <c r="GI334" s="654"/>
      <c r="GJ334" s="655"/>
      <c r="GK334" s="4"/>
      <c r="GL334" s="4"/>
      <c r="GM334" s="4"/>
      <c r="GN334" s="4"/>
      <c r="GO334" s="4"/>
      <c r="GP334" s="4"/>
      <c r="GQ334" s="4"/>
      <c r="GR334" s="4"/>
      <c r="GS334" s="4"/>
      <c r="GT334" s="4"/>
      <c r="GU334" s="722"/>
      <c r="GV334" s="715"/>
    </row>
    <row r="335" spans="1:204" x14ac:dyDescent="0.25">
      <c r="A335" t="s">
        <v>1460</v>
      </c>
      <c r="B335" s="2" t="s">
        <v>1448</v>
      </c>
      <c r="C335" s="619">
        <v>44644</v>
      </c>
      <c r="D335" s="2" t="s">
        <v>1453</v>
      </c>
      <c r="E335" t="s">
        <v>59</v>
      </c>
      <c r="F335" s="2" t="s">
        <v>43</v>
      </c>
      <c r="G335" t="s">
        <v>40</v>
      </c>
      <c r="H335" s="690" t="s">
        <v>85</v>
      </c>
      <c r="I335" s="691" t="s">
        <v>43</v>
      </c>
      <c r="J335" s="721">
        <v>3780401000108</v>
      </c>
      <c r="K335" s="691" t="s">
        <v>348</v>
      </c>
      <c r="L335" s="721">
        <v>13777004000122</v>
      </c>
      <c r="M335" s="718" t="s">
        <v>3</v>
      </c>
      <c r="N335" s="717" t="s">
        <v>44</v>
      </c>
      <c r="O335" s="719">
        <v>44805</v>
      </c>
      <c r="P335" s="720">
        <v>44834</v>
      </c>
      <c r="Q335" s="718">
        <v>156</v>
      </c>
      <c r="R335" s="717">
        <v>7</v>
      </c>
      <c r="S335" s="691" t="s">
        <v>54</v>
      </c>
      <c r="T335" t="s">
        <v>358</v>
      </c>
      <c r="U335" s="673" t="s">
        <v>358</v>
      </c>
      <c r="V335" s="690" t="s">
        <v>358</v>
      </c>
      <c r="W335" s="657" t="s">
        <v>329</v>
      </c>
      <c r="X335" s="723"/>
      <c r="Y335" s="4"/>
      <c r="Z335" s="4"/>
      <c r="AA335" s="4"/>
      <c r="AB335" s="4"/>
      <c r="AC335" s="4"/>
      <c r="AD335" s="4"/>
      <c r="AE335" s="4"/>
      <c r="AF335" s="4">
        <v>7</v>
      </c>
      <c r="AG335" s="4"/>
      <c r="AH335" s="4"/>
      <c r="AI335" s="654"/>
      <c r="AJ335" s="655"/>
      <c r="AK335" s="4"/>
      <c r="AL335" s="4"/>
      <c r="AM335" s="4"/>
      <c r="AN335" s="4"/>
      <c r="AO335" s="4"/>
      <c r="AP335" s="4"/>
      <c r="AQ335" s="4"/>
      <c r="AR335" s="4"/>
      <c r="AS335" s="4"/>
      <c r="AT335" s="4"/>
      <c r="AU335" s="654"/>
      <c r="AV335" s="655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654"/>
      <c r="BH335" s="655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654"/>
      <c r="BT335" s="655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693"/>
      <c r="CF335" s="723"/>
      <c r="CG335" s="4"/>
      <c r="CH335" s="4"/>
      <c r="CI335" s="4"/>
      <c r="CJ335" s="4"/>
      <c r="CK335" s="4"/>
      <c r="CL335" s="4"/>
      <c r="CM335" s="4"/>
      <c r="CN335" s="4">
        <v>156</v>
      </c>
      <c r="CO335" s="4"/>
      <c r="CP335" s="4"/>
      <c r="CQ335" s="654"/>
      <c r="CR335" s="655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654"/>
      <c r="DD335" s="655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654"/>
      <c r="DP335" s="655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654"/>
      <c r="EB335" s="655"/>
      <c r="EC335" s="4"/>
      <c r="ED335" s="4"/>
      <c r="EE335" s="4"/>
      <c r="EF335" s="4"/>
      <c r="EG335" s="4"/>
      <c r="EH335" s="4"/>
      <c r="EI335" s="4"/>
      <c r="EJ335" s="4"/>
      <c r="EK335" s="4"/>
      <c r="EL335" s="4"/>
      <c r="EM335" s="693"/>
      <c r="EN335" s="723"/>
      <c r="EO335" s="4"/>
      <c r="EP335" s="4"/>
      <c r="EQ335" s="4"/>
      <c r="ER335" s="4"/>
      <c r="ES335" s="4"/>
      <c r="ET335" s="4"/>
      <c r="EU335" s="4"/>
      <c r="EV335" s="4">
        <v>156</v>
      </c>
      <c r="EW335" s="4"/>
      <c r="EX335" s="4"/>
      <c r="EY335" s="654"/>
      <c r="EZ335" s="655"/>
      <c r="FA335" s="4"/>
      <c r="FB335" s="4"/>
      <c r="FC335" s="4"/>
      <c r="FD335" s="4"/>
      <c r="FE335" s="4"/>
      <c r="FF335" s="4"/>
      <c r="FG335" s="4"/>
      <c r="FH335" s="4"/>
      <c r="FI335" s="4"/>
      <c r="FJ335" s="4"/>
      <c r="FK335" s="654"/>
      <c r="FL335" s="655"/>
      <c r="FM335" s="4"/>
      <c r="FN335" s="4"/>
      <c r="FO335" s="4"/>
      <c r="FP335" s="4"/>
      <c r="FQ335" s="4"/>
      <c r="FR335" s="4"/>
      <c r="FS335" s="4"/>
      <c r="FT335" s="4"/>
      <c r="FU335" s="4"/>
      <c r="FV335" s="4"/>
      <c r="FW335" s="654"/>
      <c r="FX335" s="655"/>
      <c r="FY335" s="4"/>
      <c r="FZ335" s="4"/>
      <c r="GA335" s="4"/>
      <c r="GB335" s="4"/>
      <c r="GC335" s="4"/>
      <c r="GD335" s="4"/>
      <c r="GE335" s="4"/>
      <c r="GF335" s="4"/>
      <c r="GG335" s="4"/>
      <c r="GH335" s="4"/>
      <c r="GI335" s="654"/>
      <c r="GJ335" s="655"/>
      <c r="GK335" s="4"/>
      <c r="GL335" s="4"/>
      <c r="GM335" s="4"/>
      <c r="GN335" s="4"/>
      <c r="GO335" s="4"/>
      <c r="GP335" s="4"/>
      <c r="GQ335" s="4"/>
      <c r="GR335" s="4"/>
      <c r="GS335" s="4"/>
      <c r="GT335" s="4"/>
      <c r="GU335" s="722"/>
      <c r="GV335" s="715"/>
    </row>
    <row r="336" spans="1:204" x14ac:dyDescent="0.25">
      <c r="A336" t="s">
        <v>1462</v>
      </c>
      <c r="B336" s="2" t="s">
        <v>1450</v>
      </c>
      <c r="C336" s="619">
        <v>44644</v>
      </c>
      <c r="D336" s="2" t="s">
        <v>1454</v>
      </c>
      <c r="E336" t="s">
        <v>58</v>
      </c>
      <c r="F336" s="2" t="s">
        <v>43</v>
      </c>
      <c r="G336" t="s">
        <v>40</v>
      </c>
      <c r="H336" s="690" t="s">
        <v>84</v>
      </c>
      <c r="I336" s="691" t="s">
        <v>348</v>
      </c>
      <c r="J336" s="721">
        <v>13777004000122</v>
      </c>
      <c r="K336" s="691" t="s">
        <v>43</v>
      </c>
      <c r="L336" s="721">
        <v>3780401000108</v>
      </c>
      <c r="M336" s="718" t="s">
        <v>3</v>
      </c>
      <c r="N336" s="717" t="s">
        <v>44</v>
      </c>
      <c r="O336" s="719">
        <v>44743</v>
      </c>
      <c r="P336" s="720">
        <v>44773</v>
      </c>
      <c r="Q336" s="718">
        <v>120</v>
      </c>
      <c r="R336" s="717">
        <v>7</v>
      </c>
      <c r="S336" s="691" t="s">
        <v>54</v>
      </c>
      <c r="T336" t="s">
        <v>358</v>
      </c>
      <c r="U336" s="673" t="s">
        <v>358</v>
      </c>
      <c r="V336" s="690" t="s">
        <v>358</v>
      </c>
      <c r="W336" s="657" t="s">
        <v>329</v>
      </c>
      <c r="X336" s="723"/>
      <c r="Y336" s="4"/>
      <c r="Z336" s="4"/>
      <c r="AA336" s="4"/>
      <c r="AB336" s="4"/>
      <c r="AC336" s="4"/>
      <c r="AD336" s="4">
        <v>7</v>
      </c>
      <c r="AE336" s="4"/>
      <c r="AF336" s="4"/>
      <c r="AG336" s="4"/>
      <c r="AH336" s="4"/>
      <c r="AI336" s="654"/>
      <c r="AJ336" s="655"/>
      <c r="AK336" s="4"/>
      <c r="AL336" s="4"/>
      <c r="AM336" s="4"/>
      <c r="AN336" s="4"/>
      <c r="AO336" s="4"/>
      <c r="AP336" s="4"/>
      <c r="AQ336" s="4"/>
      <c r="AR336" s="4"/>
      <c r="AS336" s="4"/>
      <c r="AT336" s="4"/>
      <c r="AU336" s="654"/>
      <c r="AV336" s="655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654"/>
      <c r="BH336" s="655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654"/>
      <c r="BT336" s="655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693"/>
      <c r="CF336" s="723"/>
      <c r="CG336" s="4"/>
      <c r="CH336" s="4"/>
      <c r="CI336" s="4"/>
      <c r="CJ336" s="4"/>
      <c r="CK336" s="4"/>
      <c r="CL336" s="4">
        <v>120</v>
      </c>
      <c r="CM336" s="4"/>
      <c r="CN336" s="4"/>
      <c r="CO336" s="4"/>
      <c r="CP336" s="4"/>
      <c r="CQ336" s="654"/>
      <c r="CR336" s="655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654"/>
      <c r="DD336" s="655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654"/>
      <c r="DP336" s="655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654"/>
      <c r="EB336" s="655"/>
      <c r="EC336" s="4"/>
      <c r="ED336" s="4"/>
      <c r="EE336" s="4"/>
      <c r="EF336" s="4"/>
      <c r="EG336" s="4"/>
      <c r="EH336" s="4"/>
      <c r="EI336" s="4"/>
      <c r="EJ336" s="4"/>
      <c r="EK336" s="4"/>
      <c r="EL336" s="4"/>
      <c r="EM336" s="693"/>
      <c r="EN336" s="723"/>
      <c r="EO336" s="4"/>
      <c r="EP336" s="4"/>
      <c r="EQ336" s="4"/>
      <c r="ER336" s="4"/>
      <c r="ES336" s="4"/>
      <c r="ET336" s="4">
        <v>120</v>
      </c>
      <c r="EU336" s="4"/>
      <c r="EV336" s="4"/>
      <c r="EW336" s="4"/>
      <c r="EX336" s="4"/>
      <c r="EY336" s="654"/>
      <c r="EZ336" s="655"/>
      <c r="FA336" s="4"/>
      <c r="FB336" s="4"/>
      <c r="FC336" s="4"/>
      <c r="FD336" s="4"/>
      <c r="FE336" s="4"/>
      <c r="FF336" s="4"/>
      <c r="FG336" s="4"/>
      <c r="FH336" s="4"/>
      <c r="FI336" s="4"/>
      <c r="FJ336" s="4"/>
      <c r="FK336" s="654"/>
      <c r="FL336" s="655"/>
      <c r="FM336" s="4"/>
      <c r="FN336" s="4"/>
      <c r="FO336" s="4"/>
      <c r="FP336" s="4"/>
      <c r="FQ336" s="4"/>
      <c r="FR336" s="4"/>
      <c r="FS336" s="4"/>
      <c r="FT336" s="4"/>
      <c r="FU336" s="4"/>
      <c r="FV336" s="4"/>
      <c r="FW336" s="654"/>
      <c r="FX336" s="655"/>
      <c r="FY336" s="4"/>
      <c r="FZ336" s="4"/>
      <c r="GA336" s="4"/>
      <c r="GB336" s="4"/>
      <c r="GC336" s="4"/>
      <c r="GD336" s="4"/>
      <c r="GE336" s="4"/>
      <c r="GF336" s="4"/>
      <c r="GG336" s="4"/>
      <c r="GH336" s="4"/>
      <c r="GI336" s="654"/>
      <c r="GJ336" s="655"/>
      <c r="GK336" s="4"/>
      <c r="GL336" s="4"/>
      <c r="GM336" s="4"/>
      <c r="GN336" s="4"/>
      <c r="GO336" s="4"/>
      <c r="GP336" s="4"/>
      <c r="GQ336" s="4"/>
      <c r="GR336" s="4"/>
      <c r="GS336" s="4"/>
      <c r="GT336" s="4"/>
      <c r="GU336" s="722"/>
      <c r="GV336" s="715"/>
    </row>
    <row r="337" spans="1:204" x14ac:dyDescent="0.25">
      <c r="A337" t="s">
        <v>1464</v>
      </c>
      <c r="B337" s="2" t="s">
        <v>1459</v>
      </c>
      <c r="C337" s="619">
        <v>44644</v>
      </c>
      <c r="D337" s="2" t="s">
        <v>1455</v>
      </c>
      <c r="E337" t="s">
        <v>58</v>
      </c>
      <c r="F337" s="2" t="s">
        <v>43</v>
      </c>
      <c r="G337" t="s">
        <v>40</v>
      </c>
      <c r="H337" s="690" t="s">
        <v>84</v>
      </c>
      <c r="I337" s="691" t="s">
        <v>348</v>
      </c>
      <c r="J337" s="721">
        <v>13777004000122</v>
      </c>
      <c r="K337" s="691" t="s">
        <v>43</v>
      </c>
      <c r="L337" s="721">
        <v>3780401000108</v>
      </c>
      <c r="M337" s="718" t="s">
        <v>3</v>
      </c>
      <c r="N337" s="717" t="s">
        <v>44</v>
      </c>
      <c r="O337" s="719">
        <v>44743</v>
      </c>
      <c r="P337" s="720">
        <v>44773</v>
      </c>
      <c r="Q337" s="718">
        <v>120</v>
      </c>
      <c r="R337" s="717">
        <v>1</v>
      </c>
      <c r="S337" s="691" t="s">
        <v>54</v>
      </c>
      <c r="T337" t="s">
        <v>358</v>
      </c>
      <c r="U337" s="673" t="s">
        <v>358</v>
      </c>
      <c r="V337" s="690" t="s">
        <v>358</v>
      </c>
      <c r="W337" s="657" t="s">
        <v>329</v>
      </c>
      <c r="X337" s="723"/>
      <c r="Y337" s="4"/>
      <c r="Z337" s="4"/>
      <c r="AA337" s="4"/>
      <c r="AB337" s="4"/>
      <c r="AC337" s="4"/>
      <c r="AD337" s="4">
        <v>1</v>
      </c>
      <c r="AE337" s="4"/>
      <c r="AF337" s="4"/>
      <c r="AG337" s="4"/>
      <c r="AH337" s="4"/>
      <c r="AI337" s="654"/>
      <c r="AJ337" s="655"/>
      <c r="AK337" s="4"/>
      <c r="AL337" s="4"/>
      <c r="AM337" s="4"/>
      <c r="AN337" s="4"/>
      <c r="AO337" s="4"/>
      <c r="AP337" s="4"/>
      <c r="AQ337" s="4"/>
      <c r="AR337" s="4"/>
      <c r="AS337" s="4"/>
      <c r="AT337" s="4"/>
      <c r="AU337" s="654"/>
      <c r="AV337" s="655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654"/>
      <c r="BH337" s="655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654"/>
      <c r="BT337" s="655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693"/>
      <c r="CF337" s="723"/>
      <c r="CG337" s="4"/>
      <c r="CH337" s="4"/>
      <c r="CI337" s="4"/>
      <c r="CJ337" s="4"/>
      <c r="CK337" s="4"/>
      <c r="CL337" s="4">
        <v>120</v>
      </c>
      <c r="CM337" s="4"/>
      <c r="CN337" s="4"/>
      <c r="CO337" s="4"/>
      <c r="CP337" s="4"/>
      <c r="CQ337" s="654"/>
      <c r="CR337" s="655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654"/>
      <c r="DD337" s="655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654"/>
      <c r="DP337" s="655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654"/>
      <c r="EB337" s="655"/>
      <c r="EC337" s="4"/>
      <c r="ED337" s="4"/>
      <c r="EE337" s="4"/>
      <c r="EF337" s="4"/>
      <c r="EG337" s="4"/>
      <c r="EH337" s="4"/>
      <c r="EI337" s="4"/>
      <c r="EJ337" s="4"/>
      <c r="EK337" s="4"/>
      <c r="EL337" s="4"/>
      <c r="EM337" s="693"/>
      <c r="EN337" s="723"/>
      <c r="EO337" s="4"/>
      <c r="EP337" s="4"/>
      <c r="EQ337" s="4"/>
      <c r="ER337" s="4"/>
      <c r="ES337" s="4"/>
      <c r="ET337" s="4">
        <v>120</v>
      </c>
      <c r="EU337" s="4"/>
      <c r="EV337" s="4"/>
      <c r="EW337" s="4"/>
      <c r="EX337" s="4"/>
      <c r="EY337" s="654"/>
      <c r="EZ337" s="655"/>
      <c r="FA337" s="4"/>
      <c r="FB337" s="4"/>
      <c r="FC337" s="4"/>
      <c r="FD337" s="4"/>
      <c r="FE337" s="4"/>
      <c r="FF337" s="4"/>
      <c r="FG337" s="4"/>
      <c r="FH337" s="4"/>
      <c r="FI337" s="4"/>
      <c r="FJ337" s="4"/>
      <c r="FK337" s="654"/>
      <c r="FL337" s="655"/>
      <c r="FM337" s="4"/>
      <c r="FN337" s="4"/>
      <c r="FO337" s="4"/>
      <c r="FP337" s="4"/>
      <c r="FQ337" s="4"/>
      <c r="FR337" s="4"/>
      <c r="FS337" s="4"/>
      <c r="FT337" s="4"/>
      <c r="FU337" s="4"/>
      <c r="FV337" s="4"/>
      <c r="FW337" s="654"/>
      <c r="FX337" s="655"/>
      <c r="FY337" s="4"/>
      <c r="FZ337" s="4"/>
      <c r="GA337" s="4"/>
      <c r="GB337" s="4"/>
      <c r="GC337" s="4"/>
      <c r="GD337" s="4"/>
      <c r="GE337" s="4"/>
      <c r="GF337" s="4"/>
      <c r="GG337" s="4"/>
      <c r="GH337" s="4"/>
      <c r="GI337" s="654"/>
      <c r="GJ337" s="655"/>
      <c r="GK337" s="4"/>
      <c r="GL337" s="4"/>
      <c r="GM337" s="4"/>
      <c r="GN337" s="4"/>
      <c r="GO337" s="4"/>
      <c r="GP337" s="4"/>
      <c r="GQ337" s="4"/>
      <c r="GR337" s="4"/>
      <c r="GS337" s="4"/>
      <c r="GT337" s="4"/>
      <c r="GU337" s="722"/>
      <c r="GV337" s="715"/>
    </row>
    <row r="338" spans="1:204" x14ac:dyDescent="0.25">
      <c r="A338" t="s">
        <v>1466</v>
      </c>
      <c r="B338" s="2" t="s">
        <v>1461</v>
      </c>
      <c r="C338" s="619">
        <v>44644</v>
      </c>
      <c r="D338" s="2" t="s">
        <v>1456</v>
      </c>
      <c r="E338" t="s">
        <v>58</v>
      </c>
      <c r="F338" s="2" t="s">
        <v>43</v>
      </c>
      <c r="G338" t="s">
        <v>40</v>
      </c>
      <c r="H338" s="690" t="s">
        <v>84</v>
      </c>
      <c r="I338" s="691" t="s">
        <v>501</v>
      </c>
      <c r="J338" s="721">
        <v>15732189000184</v>
      </c>
      <c r="K338" s="691" t="s">
        <v>43</v>
      </c>
      <c r="L338" s="721">
        <v>3780401000108</v>
      </c>
      <c r="M338" s="718" t="s">
        <v>3</v>
      </c>
      <c r="N338" s="717" t="s">
        <v>44</v>
      </c>
      <c r="O338" s="719">
        <v>44743</v>
      </c>
      <c r="P338" s="720">
        <v>44773</v>
      </c>
      <c r="Q338" s="718">
        <v>120</v>
      </c>
      <c r="R338" s="717">
        <v>2</v>
      </c>
      <c r="S338" s="691" t="s">
        <v>54</v>
      </c>
      <c r="T338" t="s">
        <v>358</v>
      </c>
      <c r="U338" s="673" t="s">
        <v>358</v>
      </c>
      <c r="V338" s="690" t="s">
        <v>358</v>
      </c>
      <c r="W338" s="657" t="s">
        <v>329</v>
      </c>
      <c r="X338" s="723"/>
      <c r="Y338" s="4"/>
      <c r="Z338" s="4"/>
      <c r="AA338" s="4"/>
      <c r="AB338" s="4"/>
      <c r="AC338" s="4"/>
      <c r="AD338" s="4">
        <v>2</v>
      </c>
      <c r="AE338" s="4"/>
      <c r="AF338" s="4"/>
      <c r="AG338" s="4"/>
      <c r="AH338" s="4"/>
      <c r="AI338" s="654"/>
      <c r="AJ338" s="655"/>
      <c r="AK338" s="4"/>
      <c r="AL338" s="4"/>
      <c r="AM338" s="4"/>
      <c r="AN338" s="4"/>
      <c r="AO338" s="4"/>
      <c r="AP338" s="4"/>
      <c r="AQ338" s="4"/>
      <c r="AR338" s="4"/>
      <c r="AS338" s="4"/>
      <c r="AT338" s="4"/>
      <c r="AU338" s="654"/>
      <c r="AV338" s="655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654"/>
      <c r="BH338" s="655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654"/>
      <c r="BT338" s="655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693"/>
      <c r="CF338" s="723"/>
      <c r="CG338" s="4"/>
      <c r="CH338" s="4"/>
      <c r="CI338" s="4"/>
      <c r="CJ338" s="4"/>
      <c r="CK338" s="4"/>
      <c r="CL338" s="4">
        <v>120</v>
      </c>
      <c r="CM338" s="4"/>
      <c r="CN338" s="4"/>
      <c r="CO338" s="4"/>
      <c r="CP338" s="4"/>
      <c r="CQ338" s="654"/>
      <c r="CR338" s="655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654"/>
      <c r="DD338" s="655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654"/>
      <c r="DP338" s="655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654"/>
      <c r="EB338" s="655"/>
      <c r="EC338" s="4"/>
      <c r="ED338" s="4"/>
      <c r="EE338" s="4"/>
      <c r="EF338" s="4"/>
      <c r="EG338" s="4"/>
      <c r="EH338" s="4"/>
      <c r="EI338" s="4"/>
      <c r="EJ338" s="4"/>
      <c r="EK338" s="4"/>
      <c r="EL338" s="4"/>
      <c r="EM338" s="693"/>
      <c r="EN338" s="723"/>
      <c r="EO338" s="4"/>
      <c r="EP338" s="4"/>
      <c r="EQ338" s="4"/>
      <c r="ER338" s="4"/>
      <c r="ES338" s="4"/>
      <c r="ET338" s="4">
        <v>120</v>
      </c>
      <c r="EU338" s="4"/>
      <c r="EV338" s="4"/>
      <c r="EW338" s="4"/>
      <c r="EX338" s="4"/>
      <c r="EY338" s="654"/>
      <c r="EZ338" s="655"/>
      <c r="FA338" s="4"/>
      <c r="FB338" s="4"/>
      <c r="FC338" s="4"/>
      <c r="FD338" s="4"/>
      <c r="FE338" s="4"/>
      <c r="FF338" s="4"/>
      <c r="FG338" s="4"/>
      <c r="FH338" s="4"/>
      <c r="FI338" s="4"/>
      <c r="FJ338" s="4"/>
      <c r="FK338" s="654"/>
      <c r="FL338" s="655"/>
      <c r="FM338" s="4"/>
      <c r="FN338" s="4"/>
      <c r="FO338" s="4"/>
      <c r="FP338" s="4"/>
      <c r="FQ338" s="4"/>
      <c r="FR338" s="4"/>
      <c r="FS338" s="4"/>
      <c r="FT338" s="4"/>
      <c r="FU338" s="4"/>
      <c r="FV338" s="4"/>
      <c r="FW338" s="654"/>
      <c r="FX338" s="655"/>
      <c r="FY338" s="4"/>
      <c r="FZ338" s="4"/>
      <c r="GA338" s="4"/>
      <c r="GB338" s="4"/>
      <c r="GC338" s="4"/>
      <c r="GD338" s="4"/>
      <c r="GE338" s="4"/>
      <c r="GF338" s="4"/>
      <c r="GG338" s="4"/>
      <c r="GH338" s="4"/>
      <c r="GI338" s="654"/>
      <c r="GJ338" s="655"/>
      <c r="GK338" s="4"/>
      <c r="GL338" s="4"/>
      <c r="GM338" s="4"/>
      <c r="GN338" s="4"/>
      <c r="GO338" s="4"/>
      <c r="GP338" s="4"/>
      <c r="GQ338" s="4"/>
      <c r="GR338" s="4"/>
      <c r="GS338" s="4"/>
      <c r="GT338" s="4"/>
      <c r="GU338" s="722"/>
      <c r="GV338" s="715"/>
    </row>
    <row r="339" spans="1:204" x14ac:dyDescent="0.25">
      <c r="A339" t="s">
        <v>1468</v>
      </c>
      <c r="B339" s="2" t="s">
        <v>1463</v>
      </c>
      <c r="C339" s="619">
        <v>44644</v>
      </c>
      <c r="D339" s="2" t="s">
        <v>1457</v>
      </c>
      <c r="E339" t="s">
        <v>59</v>
      </c>
      <c r="F339" s="2" t="s">
        <v>43</v>
      </c>
      <c r="G339" t="s">
        <v>40</v>
      </c>
      <c r="H339" s="690" t="s">
        <v>85</v>
      </c>
      <c r="I339" s="691" t="s">
        <v>43</v>
      </c>
      <c r="J339" s="721">
        <v>3780401000108</v>
      </c>
      <c r="K339" s="691" t="s">
        <v>620</v>
      </c>
      <c r="L339" s="721">
        <v>4149295000113</v>
      </c>
      <c r="M339" s="718" t="s">
        <v>3</v>
      </c>
      <c r="N339" s="717" t="s">
        <v>44</v>
      </c>
      <c r="O339" s="719">
        <v>44805</v>
      </c>
      <c r="P339" s="720">
        <v>44834</v>
      </c>
      <c r="Q339" s="718">
        <v>156</v>
      </c>
      <c r="R339" s="717">
        <v>3</v>
      </c>
      <c r="S339" s="691" t="s">
        <v>54</v>
      </c>
      <c r="T339" t="s">
        <v>358</v>
      </c>
      <c r="U339" s="673" t="s">
        <v>358</v>
      </c>
      <c r="V339" s="690" t="s">
        <v>358</v>
      </c>
      <c r="W339" s="657" t="s">
        <v>329</v>
      </c>
      <c r="X339" s="723"/>
      <c r="Y339" s="4"/>
      <c r="Z339" s="4"/>
      <c r="AA339" s="4"/>
      <c r="AB339" s="4"/>
      <c r="AC339" s="4"/>
      <c r="AD339" s="4"/>
      <c r="AE339" s="4"/>
      <c r="AF339" s="4">
        <v>3</v>
      </c>
      <c r="AG339" s="4"/>
      <c r="AH339" s="4"/>
      <c r="AI339" s="654"/>
      <c r="AJ339" s="655"/>
      <c r="AK339" s="4"/>
      <c r="AL339" s="4"/>
      <c r="AM339" s="4"/>
      <c r="AN339" s="4"/>
      <c r="AO339" s="4"/>
      <c r="AP339" s="4"/>
      <c r="AQ339" s="4"/>
      <c r="AR339" s="4"/>
      <c r="AS339" s="4"/>
      <c r="AT339" s="4"/>
      <c r="AU339" s="654"/>
      <c r="AV339" s="655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654"/>
      <c r="BH339" s="655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654"/>
      <c r="BT339" s="655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693"/>
      <c r="CF339" s="723"/>
      <c r="CG339" s="4"/>
      <c r="CH339" s="4"/>
      <c r="CI339" s="4"/>
      <c r="CJ339" s="4"/>
      <c r="CK339" s="4"/>
      <c r="CL339" s="4"/>
      <c r="CM339" s="4"/>
      <c r="CN339" s="4">
        <v>156</v>
      </c>
      <c r="CO339" s="4"/>
      <c r="CP339" s="4"/>
      <c r="CQ339" s="654"/>
      <c r="CR339" s="655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654"/>
      <c r="DD339" s="655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654"/>
      <c r="DP339" s="655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654"/>
      <c r="EB339" s="655"/>
      <c r="EC339" s="4"/>
      <c r="ED339" s="4"/>
      <c r="EE339" s="4"/>
      <c r="EF339" s="4"/>
      <c r="EG339" s="4"/>
      <c r="EH339" s="4"/>
      <c r="EI339" s="4"/>
      <c r="EJ339" s="4"/>
      <c r="EK339" s="4"/>
      <c r="EL339" s="4"/>
      <c r="EM339" s="693"/>
      <c r="EN339" s="723"/>
      <c r="EO339" s="4"/>
      <c r="EP339" s="4"/>
      <c r="EQ339" s="4"/>
      <c r="ER339" s="4"/>
      <c r="ES339" s="4"/>
      <c r="ET339" s="4"/>
      <c r="EU339" s="4"/>
      <c r="EV339" s="4">
        <v>156</v>
      </c>
      <c r="EW339" s="4"/>
      <c r="EX339" s="4"/>
      <c r="EY339" s="654"/>
      <c r="EZ339" s="655"/>
      <c r="FA339" s="4"/>
      <c r="FB339" s="4"/>
      <c r="FC339" s="4"/>
      <c r="FD339" s="4"/>
      <c r="FE339" s="4"/>
      <c r="FF339" s="4"/>
      <c r="FG339" s="4"/>
      <c r="FH339" s="4"/>
      <c r="FI339" s="4"/>
      <c r="FJ339" s="4"/>
      <c r="FK339" s="654"/>
      <c r="FL339" s="655"/>
      <c r="FM339" s="4"/>
      <c r="FN339" s="4"/>
      <c r="FO339" s="4"/>
      <c r="FP339" s="4"/>
      <c r="FQ339" s="4"/>
      <c r="FR339" s="4"/>
      <c r="FS339" s="4"/>
      <c r="FT339" s="4"/>
      <c r="FU339" s="4"/>
      <c r="FV339" s="4"/>
      <c r="FW339" s="654"/>
      <c r="FX339" s="655"/>
      <c r="FY339" s="4"/>
      <c r="FZ339" s="4"/>
      <c r="GA339" s="4"/>
      <c r="GB339" s="4"/>
      <c r="GC339" s="4"/>
      <c r="GD339" s="4"/>
      <c r="GE339" s="4"/>
      <c r="GF339" s="4"/>
      <c r="GG339" s="4"/>
      <c r="GH339" s="4"/>
      <c r="GI339" s="654"/>
      <c r="GJ339" s="655"/>
      <c r="GK339" s="4"/>
      <c r="GL339" s="4"/>
      <c r="GM339" s="4"/>
      <c r="GN339" s="4"/>
      <c r="GO339" s="4"/>
      <c r="GP339" s="4"/>
      <c r="GQ339" s="4"/>
      <c r="GR339" s="4"/>
      <c r="GS339" s="4"/>
      <c r="GT339" s="4"/>
      <c r="GU339" s="722"/>
      <c r="GV339" s="715"/>
    </row>
    <row r="340" spans="1:204" x14ac:dyDescent="0.25">
      <c r="A340" t="s">
        <v>1472</v>
      </c>
      <c r="B340" s="2" t="s">
        <v>1465</v>
      </c>
      <c r="C340" s="619">
        <v>44645</v>
      </c>
      <c r="D340" s="2" t="s">
        <v>1469</v>
      </c>
      <c r="E340" t="s">
        <v>59</v>
      </c>
      <c r="F340" s="2" t="s">
        <v>43</v>
      </c>
      <c r="G340" t="s">
        <v>40</v>
      </c>
      <c r="H340" s="690" t="s">
        <v>85</v>
      </c>
      <c r="I340" s="691" t="s">
        <v>43</v>
      </c>
      <c r="J340" s="721">
        <v>3780401000108</v>
      </c>
      <c r="K340" s="691" t="s">
        <v>1470</v>
      </c>
      <c r="L340" s="721">
        <v>32783106000103</v>
      </c>
      <c r="M340" s="718" t="s">
        <v>6</v>
      </c>
      <c r="N340" s="717" t="s">
        <v>44</v>
      </c>
      <c r="O340" s="719">
        <v>44621</v>
      </c>
      <c r="P340" s="720">
        <v>44651</v>
      </c>
      <c r="Q340" s="718">
        <v>200</v>
      </c>
      <c r="R340" s="717">
        <v>3</v>
      </c>
      <c r="S340" s="691" t="s">
        <v>92</v>
      </c>
      <c r="T340" t="s">
        <v>358</v>
      </c>
      <c r="U340" s="673" t="s">
        <v>358</v>
      </c>
      <c r="V340" s="690" t="s">
        <v>358</v>
      </c>
      <c r="W340" s="657" t="s">
        <v>324</v>
      </c>
      <c r="X340" s="723"/>
      <c r="Y340" s="4"/>
      <c r="Z340" s="4">
        <v>3</v>
      </c>
      <c r="AA340" s="4"/>
      <c r="AB340" s="4"/>
      <c r="AC340" s="4"/>
      <c r="AD340" s="4"/>
      <c r="AE340" s="4"/>
      <c r="AF340" s="4"/>
      <c r="AG340" s="4"/>
      <c r="AH340" s="4"/>
      <c r="AI340" s="654"/>
      <c r="AJ340" s="655"/>
      <c r="AK340" s="4"/>
      <c r="AL340" s="4"/>
      <c r="AM340" s="4"/>
      <c r="AN340" s="4"/>
      <c r="AO340" s="4"/>
      <c r="AP340" s="4"/>
      <c r="AQ340" s="4"/>
      <c r="AR340" s="4"/>
      <c r="AS340" s="4"/>
      <c r="AT340" s="4"/>
      <c r="AU340" s="654"/>
      <c r="AV340" s="655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654"/>
      <c r="BH340" s="655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654"/>
      <c r="BT340" s="655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693"/>
      <c r="CF340" s="723"/>
      <c r="CG340" s="4"/>
      <c r="CH340" s="4">
        <v>200</v>
      </c>
      <c r="CI340" s="4"/>
      <c r="CJ340" s="4"/>
      <c r="CK340" s="4"/>
      <c r="CL340" s="4"/>
      <c r="CM340" s="4"/>
      <c r="CN340" s="4"/>
      <c r="CO340" s="4"/>
      <c r="CP340" s="4"/>
      <c r="CQ340" s="654"/>
      <c r="CR340" s="655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654"/>
      <c r="DD340" s="655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654"/>
      <c r="DP340" s="655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654"/>
      <c r="EB340" s="655"/>
      <c r="EC340" s="4"/>
      <c r="ED340" s="4"/>
      <c r="EE340" s="4"/>
      <c r="EF340" s="4"/>
      <c r="EG340" s="4"/>
      <c r="EH340" s="4"/>
      <c r="EI340" s="4"/>
      <c r="EJ340" s="4"/>
      <c r="EK340" s="4"/>
      <c r="EL340" s="4"/>
      <c r="EM340" s="693"/>
      <c r="EN340" s="723"/>
      <c r="EO340" s="4"/>
      <c r="EP340" s="4">
        <v>255.7</v>
      </c>
      <c r="EQ340" s="4"/>
      <c r="ER340" s="4"/>
      <c r="ES340" s="4"/>
      <c r="ET340" s="4"/>
      <c r="EU340" s="4"/>
      <c r="EV340" s="4"/>
      <c r="EW340" s="4"/>
      <c r="EX340" s="4"/>
      <c r="EY340" s="654"/>
      <c r="EZ340" s="655"/>
      <c r="FA340" s="4"/>
      <c r="FB340" s="4"/>
      <c r="FC340" s="4"/>
      <c r="FD340" s="4"/>
      <c r="FE340" s="4"/>
      <c r="FF340" s="4"/>
      <c r="FG340" s="4"/>
      <c r="FH340" s="4"/>
      <c r="FI340" s="4"/>
      <c r="FJ340" s="4"/>
      <c r="FK340" s="654"/>
      <c r="FL340" s="655"/>
      <c r="FM340" s="4"/>
      <c r="FN340" s="4"/>
      <c r="FO340" s="4"/>
      <c r="FP340" s="4"/>
      <c r="FQ340" s="4"/>
      <c r="FR340" s="4"/>
      <c r="FS340" s="4"/>
      <c r="FT340" s="4"/>
      <c r="FU340" s="4"/>
      <c r="FV340" s="4"/>
      <c r="FW340" s="654"/>
      <c r="FX340" s="655"/>
      <c r="FY340" s="4"/>
      <c r="FZ340" s="4"/>
      <c r="GA340" s="4"/>
      <c r="GB340" s="4"/>
      <c r="GC340" s="4"/>
      <c r="GD340" s="4"/>
      <c r="GE340" s="4"/>
      <c r="GF340" s="4"/>
      <c r="GG340" s="4"/>
      <c r="GH340" s="4"/>
      <c r="GI340" s="654"/>
      <c r="GJ340" s="655"/>
      <c r="GK340" s="4"/>
      <c r="GL340" s="4"/>
      <c r="GM340" s="4"/>
      <c r="GN340" s="4"/>
      <c r="GO340" s="4"/>
      <c r="GP340" s="4"/>
      <c r="GQ340" s="4"/>
      <c r="GR340" s="4"/>
      <c r="GS340" s="4"/>
      <c r="GT340" s="4"/>
      <c r="GU340" s="722"/>
      <c r="GV340" s="715"/>
    </row>
    <row r="341" spans="1:204" x14ac:dyDescent="0.25">
      <c r="A341" t="s">
        <v>1478</v>
      </c>
      <c r="B341" s="2" t="s">
        <v>1467</v>
      </c>
      <c r="C341" s="619">
        <v>44648</v>
      </c>
      <c r="D341" s="2" t="s">
        <v>1473</v>
      </c>
      <c r="E341" t="s">
        <v>59</v>
      </c>
      <c r="F341" s="2" t="s">
        <v>43</v>
      </c>
      <c r="G341" t="s">
        <v>40</v>
      </c>
      <c r="H341" s="690" t="s">
        <v>85</v>
      </c>
      <c r="I341" s="691" t="s">
        <v>43</v>
      </c>
      <c r="J341" s="721">
        <v>3780401000108</v>
      </c>
      <c r="K341" s="691" t="s">
        <v>474</v>
      </c>
      <c r="L341" s="721">
        <v>30483222000173</v>
      </c>
      <c r="M341" s="718" t="s">
        <v>5</v>
      </c>
      <c r="N341" s="717" t="s">
        <v>44</v>
      </c>
      <c r="O341" s="719">
        <v>44621</v>
      </c>
      <c r="P341" s="720">
        <v>44651</v>
      </c>
      <c r="Q341" s="718">
        <v>43.5</v>
      </c>
      <c r="R341" s="717">
        <v>10</v>
      </c>
      <c r="S341" s="691" t="s">
        <v>92</v>
      </c>
      <c r="T341" t="s">
        <v>358</v>
      </c>
      <c r="U341" s="673" t="s">
        <v>358</v>
      </c>
      <c r="V341" s="690" t="s">
        <v>358</v>
      </c>
      <c r="W341" s="657" t="s">
        <v>324</v>
      </c>
      <c r="X341" s="723"/>
      <c r="Y341" s="4"/>
      <c r="Z341" s="4">
        <v>10</v>
      </c>
      <c r="AA341" s="4"/>
      <c r="AB341" s="4"/>
      <c r="AC341" s="4"/>
      <c r="AD341" s="4"/>
      <c r="AE341" s="4"/>
      <c r="AF341" s="4"/>
      <c r="AG341" s="4"/>
      <c r="AH341" s="4"/>
      <c r="AI341" s="654"/>
      <c r="AJ341" s="655"/>
      <c r="AK341" s="4"/>
      <c r="AL341" s="4"/>
      <c r="AM341" s="4"/>
      <c r="AN341" s="4"/>
      <c r="AO341" s="4"/>
      <c r="AP341" s="4"/>
      <c r="AQ341" s="4"/>
      <c r="AR341" s="4"/>
      <c r="AS341" s="4"/>
      <c r="AT341" s="4"/>
      <c r="AU341" s="654"/>
      <c r="AV341" s="655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654"/>
      <c r="BH341" s="655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654"/>
      <c r="BT341" s="655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693"/>
      <c r="CF341" s="723"/>
      <c r="CG341" s="4"/>
      <c r="CH341" s="4">
        <v>43.5</v>
      </c>
      <c r="CI341" s="4"/>
      <c r="CJ341" s="4"/>
      <c r="CK341" s="4"/>
      <c r="CL341" s="4"/>
      <c r="CM341" s="4"/>
      <c r="CN341" s="4"/>
      <c r="CO341" s="4"/>
      <c r="CP341" s="4"/>
      <c r="CQ341" s="654"/>
      <c r="CR341" s="655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654"/>
      <c r="DD341" s="655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654"/>
      <c r="DP341" s="655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654"/>
      <c r="EB341" s="655"/>
      <c r="EC341" s="4"/>
      <c r="ED341" s="4"/>
      <c r="EE341" s="4"/>
      <c r="EF341" s="4"/>
      <c r="EG341" s="4"/>
      <c r="EH341" s="4"/>
      <c r="EI341" s="4"/>
      <c r="EJ341" s="4"/>
      <c r="EK341" s="4"/>
      <c r="EL341" s="4"/>
      <c r="EM341" s="693"/>
      <c r="EN341" s="723"/>
      <c r="EO341" s="4"/>
      <c r="EP341" s="4">
        <v>99.2</v>
      </c>
      <c r="EQ341" s="4"/>
      <c r="ER341" s="4"/>
      <c r="ES341" s="4"/>
      <c r="ET341" s="4"/>
      <c r="EU341" s="4"/>
      <c r="EV341" s="4"/>
      <c r="EW341" s="4"/>
      <c r="EX341" s="4"/>
      <c r="EY341" s="654"/>
      <c r="EZ341" s="655"/>
      <c r="FA341" s="4"/>
      <c r="FB341" s="4"/>
      <c r="FC341" s="4"/>
      <c r="FD341" s="4"/>
      <c r="FE341" s="4"/>
      <c r="FF341" s="4"/>
      <c r="FG341" s="4"/>
      <c r="FH341" s="4"/>
      <c r="FI341" s="4"/>
      <c r="FJ341" s="4"/>
      <c r="FK341" s="654"/>
      <c r="FL341" s="655"/>
      <c r="FM341" s="4"/>
      <c r="FN341" s="4"/>
      <c r="FO341" s="4"/>
      <c r="FP341" s="4"/>
      <c r="FQ341" s="4"/>
      <c r="FR341" s="4"/>
      <c r="FS341" s="4"/>
      <c r="FT341" s="4"/>
      <c r="FU341" s="4"/>
      <c r="FV341" s="4"/>
      <c r="FW341" s="654"/>
      <c r="FX341" s="655"/>
      <c r="FY341" s="4"/>
      <c r="FZ341" s="4"/>
      <c r="GA341" s="4"/>
      <c r="GB341" s="4"/>
      <c r="GC341" s="4"/>
      <c r="GD341" s="4"/>
      <c r="GE341" s="4"/>
      <c r="GF341" s="4"/>
      <c r="GG341" s="4"/>
      <c r="GH341" s="4"/>
      <c r="GI341" s="654"/>
      <c r="GJ341" s="655"/>
      <c r="GK341" s="4"/>
      <c r="GL341" s="4"/>
      <c r="GM341" s="4"/>
      <c r="GN341" s="4"/>
      <c r="GO341" s="4"/>
      <c r="GP341" s="4"/>
      <c r="GQ341" s="4"/>
      <c r="GR341" s="4"/>
      <c r="GS341" s="4"/>
      <c r="GT341" s="4"/>
      <c r="GU341" s="722"/>
      <c r="GV341" s="715"/>
    </row>
    <row r="342" spans="1:204" x14ac:dyDescent="0.25">
      <c r="A342" t="s">
        <v>1480</v>
      </c>
      <c r="B342" s="2" t="s">
        <v>1471</v>
      </c>
      <c r="C342" s="619">
        <v>44648</v>
      </c>
      <c r="D342" s="2" t="s">
        <v>1474</v>
      </c>
      <c r="E342" t="s">
        <v>59</v>
      </c>
      <c r="F342" s="2" t="s">
        <v>43</v>
      </c>
      <c r="G342" t="s">
        <v>40</v>
      </c>
      <c r="H342" s="690" t="s">
        <v>85</v>
      </c>
      <c r="I342" s="691" t="s">
        <v>43</v>
      </c>
      <c r="J342" s="721">
        <v>3780401000108</v>
      </c>
      <c r="K342" s="691" t="s">
        <v>639</v>
      </c>
      <c r="L342" s="721">
        <v>11820864000176</v>
      </c>
      <c r="M342" s="718" t="s">
        <v>5</v>
      </c>
      <c r="N342" s="717" t="s">
        <v>44</v>
      </c>
      <c r="O342" s="719">
        <v>44621</v>
      </c>
      <c r="P342" s="720">
        <v>44651</v>
      </c>
      <c r="Q342" s="718">
        <v>43</v>
      </c>
      <c r="R342" s="717">
        <v>10</v>
      </c>
      <c r="S342" s="691" t="s">
        <v>92</v>
      </c>
      <c r="T342" t="s">
        <v>358</v>
      </c>
      <c r="U342" s="673" t="s">
        <v>358</v>
      </c>
      <c r="V342" s="690" t="s">
        <v>358</v>
      </c>
      <c r="W342" s="657" t="s">
        <v>324</v>
      </c>
      <c r="X342" s="723"/>
      <c r="Y342" s="4"/>
      <c r="Z342" s="4">
        <v>10</v>
      </c>
      <c r="AA342" s="4"/>
      <c r="AB342" s="4"/>
      <c r="AC342" s="4"/>
      <c r="AD342" s="4"/>
      <c r="AE342" s="4"/>
      <c r="AF342" s="4"/>
      <c r="AG342" s="4"/>
      <c r="AH342" s="4"/>
      <c r="AI342" s="654"/>
      <c r="AJ342" s="655"/>
      <c r="AK342" s="4"/>
      <c r="AL342" s="4"/>
      <c r="AM342" s="4"/>
      <c r="AN342" s="4"/>
      <c r="AO342" s="4"/>
      <c r="AP342" s="4"/>
      <c r="AQ342" s="4"/>
      <c r="AR342" s="4"/>
      <c r="AS342" s="4"/>
      <c r="AT342" s="4"/>
      <c r="AU342" s="654"/>
      <c r="AV342" s="655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654"/>
      <c r="BH342" s="655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654"/>
      <c r="BT342" s="655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693"/>
      <c r="CF342" s="723"/>
      <c r="CG342" s="4"/>
      <c r="CH342" s="4">
        <v>43</v>
      </c>
      <c r="CI342" s="4"/>
      <c r="CJ342" s="4"/>
      <c r="CK342" s="4"/>
      <c r="CL342" s="4"/>
      <c r="CM342" s="4"/>
      <c r="CN342" s="4"/>
      <c r="CO342" s="4"/>
      <c r="CP342" s="4"/>
      <c r="CQ342" s="654"/>
      <c r="CR342" s="655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654"/>
      <c r="DD342" s="655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654"/>
      <c r="DP342" s="655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654"/>
      <c r="EB342" s="655"/>
      <c r="EC342" s="4"/>
      <c r="ED342" s="4"/>
      <c r="EE342" s="4"/>
      <c r="EF342" s="4"/>
      <c r="EG342" s="4"/>
      <c r="EH342" s="4"/>
      <c r="EI342" s="4"/>
      <c r="EJ342" s="4"/>
      <c r="EK342" s="4"/>
      <c r="EL342" s="4"/>
      <c r="EM342" s="693"/>
      <c r="EN342" s="723"/>
      <c r="EO342" s="4"/>
      <c r="EP342" s="4">
        <v>98.7</v>
      </c>
      <c r="EQ342" s="4"/>
      <c r="ER342" s="4"/>
      <c r="ES342" s="4"/>
      <c r="ET342" s="4"/>
      <c r="EU342" s="4"/>
      <c r="EV342" s="4"/>
      <c r="EW342" s="4"/>
      <c r="EX342" s="4"/>
      <c r="EY342" s="654"/>
      <c r="EZ342" s="655"/>
      <c r="FA342" s="4"/>
      <c r="FB342" s="4"/>
      <c r="FC342" s="4"/>
      <c r="FD342" s="4"/>
      <c r="FE342" s="4"/>
      <c r="FF342" s="4"/>
      <c r="FG342" s="4"/>
      <c r="FH342" s="4"/>
      <c r="FI342" s="4"/>
      <c r="FJ342" s="4"/>
      <c r="FK342" s="654"/>
      <c r="FL342" s="655"/>
      <c r="FM342" s="4"/>
      <c r="FN342" s="4"/>
      <c r="FO342" s="4"/>
      <c r="FP342" s="4"/>
      <c r="FQ342" s="4"/>
      <c r="FR342" s="4"/>
      <c r="FS342" s="4"/>
      <c r="FT342" s="4"/>
      <c r="FU342" s="4"/>
      <c r="FV342" s="4"/>
      <c r="FW342" s="654"/>
      <c r="FX342" s="655"/>
      <c r="FY342" s="4"/>
      <c r="FZ342" s="4"/>
      <c r="GA342" s="4"/>
      <c r="GB342" s="4"/>
      <c r="GC342" s="4"/>
      <c r="GD342" s="4"/>
      <c r="GE342" s="4"/>
      <c r="GF342" s="4"/>
      <c r="GG342" s="4"/>
      <c r="GH342" s="4"/>
      <c r="GI342" s="654"/>
      <c r="GJ342" s="655"/>
      <c r="GK342" s="4"/>
      <c r="GL342" s="4"/>
      <c r="GM342" s="4"/>
      <c r="GN342" s="4"/>
      <c r="GO342" s="4"/>
      <c r="GP342" s="4"/>
      <c r="GQ342" s="4"/>
      <c r="GR342" s="4"/>
      <c r="GS342" s="4"/>
      <c r="GT342" s="4"/>
      <c r="GU342" s="722"/>
      <c r="GV342" s="715"/>
    </row>
    <row r="343" spans="1:204" x14ac:dyDescent="0.25">
      <c r="A343" t="s">
        <v>1482</v>
      </c>
      <c r="B343" s="2" t="s">
        <v>1477</v>
      </c>
      <c r="C343" s="619">
        <v>44648</v>
      </c>
      <c r="D343" s="2" t="s">
        <v>1475</v>
      </c>
      <c r="E343" t="s">
        <v>59</v>
      </c>
      <c r="F343" s="2" t="s">
        <v>43</v>
      </c>
      <c r="G343" t="s">
        <v>40</v>
      </c>
      <c r="H343" s="690" t="s">
        <v>85</v>
      </c>
      <c r="I343" s="691" t="s">
        <v>43</v>
      </c>
      <c r="J343" s="721">
        <v>3780401000108</v>
      </c>
      <c r="K343" s="691" t="s">
        <v>1476</v>
      </c>
      <c r="L343" s="721">
        <v>27690671000188</v>
      </c>
      <c r="M343" s="718" t="s">
        <v>5</v>
      </c>
      <c r="N343" s="717" t="s">
        <v>44</v>
      </c>
      <c r="O343" s="719">
        <v>44621</v>
      </c>
      <c r="P343" s="720">
        <v>44651</v>
      </c>
      <c r="Q343" s="718">
        <v>45</v>
      </c>
      <c r="R343" s="717">
        <v>2</v>
      </c>
      <c r="S343" s="691" t="s">
        <v>92</v>
      </c>
      <c r="T343" t="s">
        <v>358</v>
      </c>
      <c r="U343" s="673" t="s">
        <v>358</v>
      </c>
      <c r="V343" s="690" t="s">
        <v>358</v>
      </c>
      <c r="W343" s="657" t="s">
        <v>324</v>
      </c>
      <c r="X343" s="723"/>
      <c r="Y343" s="4"/>
      <c r="Z343" s="4">
        <v>2</v>
      </c>
      <c r="AA343" s="4"/>
      <c r="AB343" s="4"/>
      <c r="AC343" s="4"/>
      <c r="AD343" s="4"/>
      <c r="AE343" s="4"/>
      <c r="AF343" s="4"/>
      <c r="AG343" s="4"/>
      <c r="AH343" s="4"/>
      <c r="AI343" s="654"/>
      <c r="AJ343" s="655"/>
      <c r="AK343" s="4"/>
      <c r="AL343" s="4"/>
      <c r="AM343" s="4"/>
      <c r="AN343" s="4"/>
      <c r="AO343" s="4"/>
      <c r="AP343" s="4"/>
      <c r="AQ343" s="4"/>
      <c r="AR343" s="4"/>
      <c r="AS343" s="4"/>
      <c r="AT343" s="4"/>
      <c r="AU343" s="654"/>
      <c r="AV343" s="655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654"/>
      <c r="BH343" s="655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654"/>
      <c r="BT343" s="655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693"/>
      <c r="CF343" s="723"/>
      <c r="CG343" s="4"/>
      <c r="CH343" s="4">
        <v>45</v>
      </c>
      <c r="CI343" s="4"/>
      <c r="CJ343" s="4"/>
      <c r="CK343" s="4"/>
      <c r="CL343" s="4"/>
      <c r="CM343" s="4"/>
      <c r="CN343" s="4"/>
      <c r="CO343" s="4"/>
      <c r="CP343" s="4"/>
      <c r="CQ343" s="654"/>
      <c r="CR343" s="655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654"/>
      <c r="DD343" s="655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654"/>
      <c r="DP343" s="655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654"/>
      <c r="EB343" s="655"/>
      <c r="EC343" s="4"/>
      <c r="ED343" s="4"/>
      <c r="EE343" s="4"/>
      <c r="EF343" s="4"/>
      <c r="EG343" s="4"/>
      <c r="EH343" s="4"/>
      <c r="EI343" s="4"/>
      <c r="EJ343" s="4"/>
      <c r="EK343" s="4"/>
      <c r="EL343" s="4"/>
      <c r="EM343" s="693"/>
      <c r="EN343" s="723"/>
      <c r="EO343" s="4"/>
      <c r="EP343" s="4">
        <v>100.7</v>
      </c>
      <c r="EQ343" s="4"/>
      <c r="ER343" s="4"/>
      <c r="ES343" s="4"/>
      <c r="ET343" s="4"/>
      <c r="EU343" s="4"/>
      <c r="EV343" s="4"/>
      <c r="EW343" s="4"/>
      <c r="EX343" s="4"/>
      <c r="EY343" s="654"/>
      <c r="EZ343" s="655"/>
      <c r="FA343" s="4"/>
      <c r="FB343" s="4"/>
      <c r="FC343" s="4"/>
      <c r="FD343" s="4"/>
      <c r="FE343" s="4"/>
      <c r="FF343" s="4"/>
      <c r="FG343" s="4"/>
      <c r="FH343" s="4"/>
      <c r="FI343" s="4"/>
      <c r="FJ343" s="4"/>
      <c r="FK343" s="654"/>
      <c r="FL343" s="655"/>
      <c r="FM343" s="4"/>
      <c r="FN343" s="4"/>
      <c r="FO343" s="4"/>
      <c r="FP343" s="4"/>
      <c r="FQ343" s="4"/>
      <c r="FR343" s="4"/>
      <c r="FS343" s="4"/>
      <c r="FT343" s="4"/>
      <c r="FU343" s="4"/>
      <c r="FV343" s="4"/>
      <c r="FW343" s="654"/>
      <c r="FX343" s="655"/>
      <c r="FY343" s="4"/>
      <c r="FZ343" s="4"/>
      <c r="GA343" s="4"/>
      <c r="GB343" s="4"/>
      <c r="GC343" s="4"/>
      <c r="GD343" s="4"/>
      <c r="GE343" s="4"/>
      <c r="GF343" s="4"/>
      <c r="GG343" s="4"/>
      <c r="GH343" s="4"/>
      <c r="GI343" s="654"/>
      <c r="GJ343" s="655"/>
      <c r="GK343" s="4"/>
      <c r="GL343" s="4"/>
      <c r="GM343" s="4"/>
      <c r="GN343" s="4"/>
      <c r="GO343" s="4"/>
      <c r="GP343" s="4"/>
      <c r="GQ343" s="4"/>
      <c r="GR343" s="4"/>
      <c r="GS343" s="4"/>
      <c r="GT343" s="4"/>
      <c r="GU343" s="722"/>
      <c r="GV343" s="715"/>
    </row>
    <row r="344" spans="1:204" x14ac:dyDescent="0.25">
      <c r="A344" t="s">
        <v>1484</v>
      </c>
      <c r="B344" s="2" t="s">
        <v>1479</v>
      </c>
      <c r="C344" s="619">
        <v>44649</v>
      </c>
      <c r="D344" s="2">
        <v>23535</v>
      </c>
      <c r="E344" t="s">
        <v>59</v>
      </c>
      <c r="F344" s="2" t="s">
        <v>43</v>
      </c>
      <c r="G344" t="s">
        <v>40</v>
      </c>
      <c r="H344" s="690" t="s">
        <v>85</v>
      </c>
      <c r="I344" s="691" t="s">
        <v>43</v>
      </c>
      <c r="J344" s="721">
        <v>3780401000108</v>
      </c>
      <c r="K344" s="691" t="s">
        <v>1203</v>
      </c>
      <c r="L344" s="721">
        <v>17155730000164</v>
      </c>
      <c r="M344" s="718" t="s">
        <v>5</v>
      </c>
      <c r="N344" s="717" t="s">
        <v>44</v>
      </c>
      <c r="O344" s="719">
        <v>44621</v>
      </c>
      <c r="P344" s="720">
        <v>44651</v>
      </c>
      <c r="Q344" s="718">
        <v>44</v>
      </c>
      <c r="R344" s="717">
        <v>15</v>
      </c>
      <c r="S344" s="691" t="s">
        <v>92</v>
      </c>
      <c r="T344" t="s">
        <v>358</v>
      </c>
      <c r="U344" s="673" t="s">
        <v>358</v>
      </c>
      <c r="V344" s="690" t="s">
        <v>358</v>
      </c>
      <c r="W344" s="657" t="s">
        <v>324</v>
      </c>
      <c r="X344" s="723"/>
      <c r="Y344" s="4"/>
      <c r="Z344" s="4">
        <v>15</v>
      </c>
      <c r="AA344" s="4"/>
      <c r="AB344" s="4"/>
      <c r="AC344" s="4"/>
      <c r="AD344" s="4"/>
      <c r="AE344" s="4"/>
      <c r="AF344" s="4"/>
      <c r="AG344" s="4"/>
      <c r="AH344" s="4"/>
      <c r="AI344" s="654"/>
      <c r="AJ344" s="655"/>
      <c r="AK344" s="4"/>
      <c r="AL344" s="4"/>
      <c r="AM344" s="4"/>
      <c r="AN344" s="4"/>
      <c r="AO344" s="4"/>
      <c r="AP344" s="4"/>
      <c r="AQ344" s="4"/>
      <c r="AR344" s="4"/>
      <c r="AS344" s="4"/>
      <c r="AT344" s="4"/>
      <c r="AU344" s="654"/>
      <c r="AV344" s="655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654"/>
      <c r="BH344" s="655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654"/>
      <c r="BT344" s="655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693"/>
      <c r="CF344" s="723"/>
      <c r="CG344" s="4"/>
      <c r="CH344" s="4">
        <v>44</v>
      </c>
      <c r="CI344" s="4"/>
      <c r="CJ344" s="4"/>
      <c r="CK344" s="4"/>
      <c r="CL344" s="4"/>
      <c r="CM344" s="4"/>
      <c r="CN344" s="4"/>
      <c r="CO344" s="4"/>
      <c r="CP344" s="4"/>
      <c r="CQ344" s="654"/>
      <c r="CR344" s="655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654"/>
      <c r="DD344" s="655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654"/>
      <c r="DP344" s="655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654"/>
      <c r="EB344" s="655"/>
      <c r="EC344" s="4"/>
      <c r="ED344" s="4"/>
      <c r="EE344" s="4"/>
      <c r="EF344" s="4"/>
      <c r="EG344" s="4"/>
      <c r="EH344" s="4"/>
      <c r="EI344" s="4"/>
      <c r="EJ344" s="4"/>
      <c r="EK344" s="4"/>
      <c r="EL344" s="4"/>
      <c r="EM344" s="693"/>
      <c r="EN344" s="723"/>
      <c r="EO344" s="4"/>
      <c r="EP344" s="4">
        <v>99.7</v>
      </c>
      <c r="EQ344" s="4"/>
      <c r="ER344" s="4"/>
      <c r="ES344" s="4"/>
      <c r="ET344" s="4"/>
      <c r="EU344" s="4"/>
      <c r="EV344" s="4"/>
      <c r="EW344" s="4"/>
      <c r="EX344" s="4"/>
      <c r="EY344" s="654"/>
      <c r="EZ344" s="655"/>
      <c r="FA344" s="4"/>
      <c r="FB344" s="4"/>
      <c r="FC344" s="4"/>
      <c r="FD344" s="4"/>
      <c r="FE344" s="4"/>
      <c r="FF344" s="4"/>
      <c r="FG344" s="4"/>
      <c r="FH344" s="4"/>
      <c r="FI344" s="4"/>
      <c r="FJ344" s="4"/>
      <c r="FK344" s="654"/>
      <c r="FL344" s="655"/>
      <c r="FM344" s="4"/>
      <c r="FN344" s="4"/>
      <c r="FO344" s="4"/>
      <c r="FP344" s="4"/>
      <c r="FQ344" s="4"/>
      <c r="FR344" s="4"/>
      <c r="FS344" s="4"/>
      <c r="FT344" s="4"/>
      <c r="FU344" s="4"/>
      <c r="FV344" s="4"/>
      <c r="FW344" s="654"/>
      <c r="FX344" s="655"/>
      <c r="FY344" s="4"/>
      <c r="FZ344" s="4"/>
      <c r="GA344" s="4"/>
      <c r="GB344" s="4"/>
      <c r="GC344" s="4"/>
      <c r="GD344" s="4"/>
      <c r="GE344" s="4"/>
      <c r="GF344" s="4"/>
      <c r="GG344" s="4"/>
      <c r="GH344" s="4"/>
      <c r="GI344" s="654"/>
      <c r="GJ344" s="655"/>
      <c r="GK344" s="4"/>
      <c r="GL344" s="4"/>
      <c r="GM344" s="4"/>
      <c r="GN344" s="4"/>
      <c r="GO344" s="4"/>
      <c r="GP344" s="4"/>
      <c r="GQ344" s="4"/>
      <c r="GR344" s="4"/>
      <c r="GS344" s="4"/>
      <c r="GT344" s="4"/>
      <c r="GU344" s="722"/>
      <c r="GV344" s="715"/>
    </row>
    <row r="345" spans="1:204" x14ac:dyDescent="0.25">
      <c r="A345" t="s">
        <v>1485</v>
      </c>
      <c r="B345" s="2" t="s">
        <v>358</v>
      </c>
      <c r="C345" s="619">
        <v>44649</v>
      </c>
      <c r="D345" s="2">
        <v>23569</v>
      </c>
      <c r="E345" t="s">
        <v>59</v>
      </c>
      <c r="F345" s="2" t="s">
        <v>43</v>
      </c>
      <c r="G345" t="s">
        <v>40</v>
      </c>
      <c r="H345" s="690" t="s">
        <v>85</v>
      </c>
      <c r="I345" s="691" t="s">
        <v>43</v>
      </c>
      <c r="J345" s="721">
        <v>3780401000108</v>
      </c>
      <c r="K345" s="691" t="s">
        <v>475</v>
      </c>
      <c r="L345" s="721">
        <v>27796415000170</v>
      </c>
      <c r="M345" s="718" t="s">
        <v>3</v>
      </c>
      <c r="N345" s="717" t="s">
        <v>44</v>
      </c>
      <c r="O345" s="719">
        <v>44927</v>
      </c>
      <c r="P345" s="720">
        <v>45016</v>
      </c>
      <c r="Q345" s="718">
        <v>210</v>
      </c>
      <c r="R345" s="717">
        <v>9.1666670000000003</v>
      </c>
      <c r="S345" s="691" t="s">
        <v>54</v>
      </c>
      <c r="T345" t="s">
        <v>649</v>
      </c>
      <c r="U345" s="673">
        <v>44652</v>
      </c>
      <c r="V345" s="690">
        <v>1</v>
      </c>
      <c r="W345" s="657" t="s">
        <v>214</v>
      </c>
      <c r="X345" s="723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654"/>
      <c r="AJ345" s="655">
        <v>9.1666670000000003</v>
      </c>
      <c r="AK345" s="4">
        <v>9.1666670000000003</v>
      </c>
      <c r="AL345" s="4">
        <v>9.1666670000000003</v>
      </c>
      <c r="AM345" s="4"/>
      <c r="AN345" s="4"/>
      <c r="AO345" s="4"/>
      <c r="AP345" s="4"/>
      <c r="AQ345" s="4"/>
      <c r="AR345" s="4"/>
      <c r="AS345" s="4"/>
      <c r="AT345" s="4"/>
      <c r="AU345" s="654"/>
      <c r="AV345" s="655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654"/>
      <c r="BH345" s="655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654"/>
      <c r="BT345" s="655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693"/>
      <c r="CF345" s="723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654"/>
      <c r="CR345" s="655">
        <v>214.95918485220699</v>
      </c>
      <c r="CS345" s="4">
        <v>214.95918485220699</v>
      </c>
      <c r="CT345" s="4">
        <v>214.95918485220699</v>
      </c>
      <c r="CU345" s="4"/>
      <c r="CV345" s="4"/>
      <c r="CW345" s="4"/>
      <c r="CX345" s="4"/>
      <c r="CY345" s="4"/>
      <c r="CZ345" s="4"/>
      <c r="DA345" s="4"/>
      <c r="DB345" s="4"/>
      <c r="DC345" s="654"/>
      <c r="DD345" s="655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654"/>
      <c r="DP345" s="655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654"/>
      <c r="EB345" s="655"/>
      <c r="EC345" s="4"/>
      <c r="ED345" s="4"/>
      <c r="EE345" s="4"/>
      <c r="EF345" s="4"/>
      <c r="EG345" s="4"/>
      <c r="EH345" s="4"/>
      <c r="EI345" s="4"/>
      <c r="EJ345" s="4"/>
      <c r="EK345" s="4"/>
      <c r="EL345" s="4"/>
      <c r="EM345" s="693"/>
      <c r="EN345" s="723"/>
      <c r="EO345" s="4"/>
      <c r="EP345" s="4"/>
      <c r="EQ345" s="4"/>
      <c r="ER345" s="4"/>
      <c r="ES345" s="4"/>
      <c r="ET345" s="4"/>
      <c r="EU345" s="4"/>
      <c r="EV345" s="4"/>
      <c r="EW345" s="4"/>
      <c r="EX345" s="4"/>
      <c r="EY345" s="654"/>
      <c r="EZ345" s="655">
        <v>214.95918485220699</v>
      </c>
      <c r="FA345" s="4">
        <v>214.95918485220699</v>
      </c>
      <c r="FB345" s="4">
        <v>214.95918485220699</v>
      </c>
      <c r="FC345" s="4"/>
      <c r="FD345" s="4"/>
      <c r="FE345" s="4"/>
      <c r="FF345" s="4"/>
      <c r="FG345" s="4"/>
      <c r="FH345" s="4"/>
      <c r="FI345" s="4"/>
      <c r="FJ345" s="4"/>
      <c r="FK345" s="654"/>
      <c r="FL345" s="655"/>
      <c r="FM345" s="4"/>
      <c r="FN345" s="4"/>
      <c r="FO345" s="4"/>
      <c r="FP345" s="4"/>
      <c r="FQ345" s="4"/>
      <c r="FR345" s="4"/>
      <c r="FS345" s="4"/>
      <c r="FT345" s="4"/>
      <c r="FU345" s="4"/>
      <c r="FV345" s="4"/>
      <c r="FW345" s="654"/>
      <c r="FX345" s="655"/>
      <c r="FY345" s="4"/>
      <c r="FZ345" s="4"/>
      <c r="GA345" s="4"/>
      <c r="GB345" s="4"/>
      <c r="GC345" s="4"/>
      <c r="GD345" s="4"/>
      <c r="GE345" s="4"/>
      <c r="GF345" s="4"/>
      <c r="GG345" s="4"/>
      <c r="GH345" s="4"/>
      <c r="GI345" s="654"/>
      <c r="GJ345" s="655"/>
      <c r="GK345" s="4"/>
      <c r="GL345" s="4"/>
      <c r="GM345" s="4"/>
      <c r="GN345" s="4"/>
      <c r="GO345" s="4"/>
      <c r="GP345" s="4"/>
      <c r="GQ345" s="4"/>
      <c r="GR345" s="4"/>
      <c r="GS345" s="4"/>
      <c r="GT345" s="4"/>
      <c r="GU345" s="722"/>
      <c r="GV345" s="715"/>
    </row>
    <row r="346" spans="1:204" x14ac:dyDescent="0.25">
      <c r="A346" t="s">
        <v>1486</v>
      </c>
      <c r="B346" s="2" t="s">
        <v>358</v>
      </c>
      <c r="C346" s="619">
        <v>44649</v>
      </c>
      <c r="D346" s="2">
        <v>23567</v>
      </c>
      <c r="E346" t="s">
        <v>58</v>
      </c>
      <c r="F346" s="2" t="s">
        <v>43</v>
      </c>
      <c r="G346" t="s">
        <v>40</v>
      </c>
      <c r="H346" s="690" t="s">
        <v>84</v>
      </c>
      <c r="I346" s="691" t="s">
        <v>475</v>
      </c>
      <c r="J346" s="721">
        <v>27796415000170</v>
      </c>
      <c r="K346" s="691" t="s">
        <v>43</v>
      </c>
      <c r="L346" s="721">
        <v>3780401000108</v>
      </c>
      <c r="M346" s="718" t="s">
        <v>3</v>
      </c>
      <c r="N346" s="717" t="s">
        <v>44</v>
      </c>
      <c r="O346" s="719">
        <v>45017</v>
      </c>
      <c r="P346" s="720">
        <v>45291</v>
      </c>
      <c r="Q346" s="718">
        <v>212</v>
      </c>
      <c r="R346" s="717">
        <v>3</v>
      </c>
      <c r="S346" s="691" t="s">
        <v>54</v>
      </c>
      <c r="T346" t="s">
        <v>649</v>
      </c>
      <c r="U346" s="673">
        <v>44652</v>
      </c>
      <c r="V346" s="690">
        <v>4</v>
      </c>
      <c r="W346" s="657" t="s">
        <v>214</v>
      </c>
      <c r="X346" s="723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654"/>
      <c r="AJ346" s="655"/>
      <c r="AK346" s="4"/>
      <c r="AL346" s="4"/>
      <c r="AM346" s="4">
        <v>3</v>
      </c>
      <c r="AN346" s="4">
        <v>3</v>
      </c>
      <c r="AO346" s="4">
        <v>3</v>
      </c>
      <c r="AP346" s="4">
        <v>3</v>
      </c>
      <c r="AQ346" s="4">
        <v>3</v>
      </c>
      <c r="AR346" s="4">
        <v>3</v>
      </c>
      <c r="AS346" s="4">
        <v>3</v>
      </c>
      <c r="AT346" s="4">
        <v>3</v>
      </c>
      <c r="AU346" s="654">
        <v>3</v>
      </c>
      <c r="AV346" s="655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654"/>
      <c r="BH346" s="655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654"/>
      <c r="BT346" s="655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693"/>
      <c r="CF346" s="723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654"/>
      <c r="CR346" s="655"/>
      <c r="CS346" s="4"/>
      <c r="CT346" s="4"/>
      <c r="CU346" s="4">
        <v>217.00641518413278</v>
      </c>
      <c r="CV346" s="4">
        <v>217.00641518413278</v>
      </c>
      <c r="CW346" s="4">
        <v>217.00641518413278</v>
      </c>
      <c r="CX346" s="4">
        <v>217.00641518413278</v>
      </c>
      <c r="CY346" s="4">
        <v>217.00641518413278</v>
      </c>
      <c r="CZ346" s="4">
        <v>217.00641518413278</v>
      </c>
      <c r="DA346" s="4">
        <v>217.00641518413278</v>
      </c>
      <c r="DB346" s="4">
        <v>217.00641518413278</v>
      </c>
      <c r="DC346" s="654">
        <v>217.00641518413278</v>
      </c>
      <c r="DD346" s="655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654"/>
      <c r="DP346" s="655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654"/>
      <c r="EB346" s="655"/>
      <c r="EC346" s="4"/>
      <c r="ED346" s="4"/>
      <c r="EE346" s="4"/>
      <c r="EF346" s="4"/>
      <c r="EG346" s="4"/>
      <c r="EH346" s="4"/>
      <c r="EI346" s="4"/>
      <c r="EJ346" s="4"/>
      <c r="EK346" s="4"/>
      <c r="EL346" s="4"/>
      <c r="EM346" s="693"/>
      <c r="EN346" s="723"/>
      <c r="EO346" s="4"/>
      <c r="EP346" s="4"/>
      <c r="EQ346" s="4"/>
      <c r="ER346" s="4"/>
      <c r="ES346" s="4"/>
      <c r="ET346" s="4"/>
      <c r="EU346" s="4"/>
      <c r="EV346" s="4"/>
      <c r="EW346" s="4"/>
      <c r="EX346" s="4"/>
      <c r="EY346" s="654"/>
      <c r="EZ346" s="655"/>
      <c r="FA346" s="4"/>
      <c r="FB346" s="4"/>
      <c r="FC346" s="4">
        <v>217.00641518413278</v>
      </c>
      <c r="FD346" s="4">
        <v>217.00641518413278</v>
      </c>
      <c r="FE346" s="4">
        <v>217.00641518413278</v>
      </c>
      <c r="FF346" s="4">
        <v>217.00641518413278</v>
      </c>
      <c r="FG346" s="4">
        <v>217.00641518413278</v>
      </c>
      <c r="FH346" s="4">
        <v>217.00641518413278</v>
      </c>
      <c r="FI346" s="4">
        <v>217.00641518413278</v>
      </c>
      <c r="FJ346" s="4">
        <v>217.00641518413278</v>
      </c>
      <c r="FK346" s="654">
        <v>217.00641518413278</v>
      </c>
      <c r="FL346" s="655"/>
      <c r="FM346" s="4"/>
      <c r="FN346" s="4"/>
      <c r="FO346" s="4"/>
      <c r="FP346" s="4"/>
      <c r="FQ346" s="4"/>
      <c r="FR346" s="4"/>
      <c r="FS346" s="4"/>
      <c r="FT346" s="4"/>
      <c r="FU346" s="4"/>
      <c r="FV346" s="4"/>
      <c r="FW346" s="654"/>
      <c r="FX346" s="655"/>
      <c r="FY346" s="4"/>
      <c r="FZ346" s="4"/>
      <c r="GA346" s="4"/>
      <c r="GB346" s="4"/>
      <c r="GC346" s="4"/>
      <c r="GD346" s="4"/>
      <c r="GE346" s="4"/>
      <c r="GF346" s="4"/>
      <c r="GG346" s="4"/>
      <c r="GH346" s="4"/>
      <c r="GI346" s="654"/>
      <c r="GJ346" s="655"/>
      <c r="GK346" s="4"/>
      <c r="GL346" s="4"/>
      <c r="GM346" s="4"/>
      <c r="GN346" s="4"/>
      <c r="GO346" s="4"/>
      <c r="GP346" s="4"/>
      <c r="GQ346" s="4"/>
      <c r="GR346" s="4"/>
      <c r="GS346" s="4"/>
      <c r="GT346" s="4"/>
      <c r="GU346" s="722"/>
      <c r="GV346" s="715"/>
    </row>
    <row r="347" spans="1:204" x14ac:dyDescent="0.25">
      <c r="A347" t="s">
        <v>1497</v>
      </c>
      <c r="B347" s="2" t="s">
        <v>1481</v>
      </c>
      <c r="C347" s="619">
        <v>44650</v>
      </c>
      <c r="D347" s="2" t="s">
        <v>1487</v>
      </c>
      <c r="E347" t="s">
        <v>59</v>
      </c>
      <c r="F347" s="2" t="s">
        <v>43</v>
      </c>
      <c r="G347" t="s">
        <v>40</v>
      </c>
      <c r="H347" s="690" t="s">
        <v>85</v>
      </c>
      <c r="I347" s="691" t="s">
        <v>43</v>
      </c>
      <c r="J347" s="721">
        <v>3780401000108</v>
      </c>
      <c r="K347" s="691" t="s">
        <v>502</v>
      </c>
      <c r="L347" s="721">
        <v>4270778000171</v>
      </c>
      <c r="M347" s="718" t="s">
        <v>6</v>
      </c>
      <c r="N347" s="717" t="s">
        <v>44</v>
      </c>
      <c r="O347" s="719">
        <v>44621</v>
      </c>
      <c r="P347" s="720">
        <v>44651</v>
      </c>
      <c r="Q347" s="718">
        <v>198</v>
      </c>
      <c r="R347" s="717">
        <v>1</v>
      </c>
      <c r="S347" s="691" t="s">
        <v>92</v>
      </c>
      <c r="T347" t="s">
        <v>358</v>
      </c>
      <c r="U347" s="673" t="s">
        <v>358</v>
      </c>
      <c r="V347" s="690" t="s">
        <v>358</v>
      </c>
      <c r="W347" s="657" t="s">
        <v>324</v>
      </c>
      <c r="X347" s="723"/>
      <c r="Y347" s="4"/>
      <c r="Z347" s="4">
        <v>1</v>
      </c>
      <c r="AA347" s="4"/>
      <c r="AB347" s="4"/>
      <c r="AC347" s="4"/>
      <c r="AD347" s="4"/>
      <c r="AE347" s="4"/>
      <c r="AF347" s="4"/>
      <c r="AG347" s="4"/>
      <c r="AH347" s="4"/>
      <c r="AI347" s="654"/>
      <c r="AJ347" s="655"/>
      <c r="AK347" s="4"/>
      <c r="AL347" s="4"/>
      <c r="AM347" s="4"/>
      <c r="AN347" s="4"/>
      <c r="AO347" s="4"/>
      <c r="AP347" s="4"/>
      <c r="AQ347" s="4"/>
      <c r="AR347" s="4"/>
      <c r="AS347" s="4"/>
      <c r="AT347" s="4"/>
      <c r="AU347" s="654"/>
      <c r="AV347" s="655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654"/>
      <c r="BH347" s="655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654"/>
      <c r="BT347" s="655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693"/>
      <c r="CF347" s="723"/>
      <c r="CG347" s="4"/>
      <c r="CH347" s="4">
        <v>198</v>
      </c>
      <c r="CI347" s="4"/>
      <c r="CJ347" s="4"/>
      <c r="CK347" s="4"/>
      <c r="CL347" s="4"/>
      <c r="CM347" s="4"/>
      <c r="CN347" s="4"/>
      <c r="CO347" s="4"/>
      <c r="CP347" s="4"/>
      <c r="CQ347" s="654"/>
      <c r="CR347" s="655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654"/>
      <c r="DD347" s="655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654"/>
      <c r="DP347" s="655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654"/>
      <c r="EB347" s="655"/>
      <c r="EC347" s="4"/>
      <c r="ED347" s="4"/>
      <c r="EE347" s="4"/>
      <c r="EF347" s="4"/>
      <c r="EG347" s="4"/>
      <c r="EH347" s="4"/>
      <c r="EI347" s="4"/>
      <c r="EJ347" s="4"/>
      <c r="EK347" s="4"/>
      <c r="EL347" s="4"/>
      <c r="EM347" s="693"/>
      <c r="EN347" s="723"/>
      <c r="EO347" s="4"/>
      <c r="EP347" s="4">
        <v>253.7</v>
      </c>
      <c r="EQ347" s="4"/>
      <c r="ER347" s="4"/>
      <c r="ES347" s="4"/>
      <c r="ET347" s="4"/>
      <c r="EU347" s="4"/>
      <c r="EV347" s="4"/>
      <c r="EW347" s="4"/>
      <c r="EX347" s="4"/>
      <c r="EY347" s="654"/>
      <c r="EZ347" s="655"/>
      <c r="FA347" s="4"/>
      <c r="FB347" s="4"/>
      <c r="FC347" s="4"/>
      <c r="FD347" s="4"/>
      <c r="FE347" s="4"/>
      <c r="FF347" s="4"/>
      <c r="FG347" s="4"/>
      <c r="FH347" s="4"/>
      <c r="FI347" s="4"/>
      <c r="FJ347" s="4"/>
      <c r="FK347" s="654"/>
      <c r="FL347" s="655"/>
      <c r="FM347" s="4"/>
      <c r="FN347" s="4"/>
      <c r="FO347" s="4"/>
      <c r="FP347" s="4"/>
      <c r="FQ347" s="4"/>
      <c r="FR347" s="4"/>
      <c r="FS347" s="4"/>
      <c r="FT347" s="4"/>
      <c r="FU347" s="4"/>
      <c r="FV347" s="4"/>
      <c r="FW347" s="654"/>
      <c r="FX347" s="655"/>
      <c r="FY347" s="4"/>
      <c r="FZ347" s="4"/>
      <c r="GA347" s="4"/>
      <c r="GB347" s="4"/>
      <c r="GC347" s="4"/>
      <c r="GD347" s="4"/>
      <c r="GE347" s="4"/>
      <c r="GF347" s="4"/>
      <c r="GG347" s="4"/>
      <c r="GH347" s="4"/>
      <c r="GI347" s="654"/>
      <c r="GJ347" s="655"/>
      <c r="GK347" s="4"/>
      <c r="GL347" s="4"/>
      <c r="GM347" s="4"/>
      <c r="GN347" s="4"/>
      <c r="GO347" s="4"/>
      <c r="GP347" s="4"/>
      <c r="GQ347" s="4"/>
      <c r="GR347" s="4"/>
      <c r="GS347" s="4"/>
      <c r="GT347" s="4"/>
      <c r="GU347" s="722"/>
      <c r="GV347" s="715"/>
    </row>
    <row r="348" spans="1:204" x14ac:dyDescent="0.25">
      <c r="A348" t="s">
        <v>1499</v>
      </c>
      <c r="B348" s="2" t="s">
        <v>1483</v>
      </c>
      <c r="C348" s="619">
        <v>44650</v>
      </c>
      <c r="D348" s="2" t="s">
        <v>1488</v>
      </c>
      <c r="E348" t="s">
        <v>59</v>
      </c>
      <c r="F348" s="2" t="s">
        <v>43</v>
      </c>
      <c r="G348" t="s">
        <v>40</v>
      </c>
      <c r="H348" s="690" t="s">
        <v>85</v>
      </c>
      <c r="I348" s="691" t="s">
        <v>43</v>
      </c>
      <c r="J348" s="721">
        <v>3780401000108</v>
      </c>
      <c r="K348" s="691" t="s">
        <v>472</v>
      </c>
      <c r="L348" s="721">
        <v>4802543000183</v>
      </c>
      <c r="M348" s="718" t="s">
        <v>6</v>
      </c>
      <c r="N348" s="717" t="s">
        <v>44</v>
      </c>
      <c r="O348" s="719">
        <v>44621</v>
      </c>
      <c r="P348" s="720">
        <v>44651</v>
      </c>
      <c r="Q348" s="718">
        <v>198</v>
      </c>
      <c r="R348" s="717">
        <v>3</v>
      </c>
      <c r="S348" s="691" t="s">
        <v>92</v>
      </c>
      <c r="T348" t="s">
        <v>358</v>
      </c>
      <c r="U348" s="673" t="s">
        <v>358</v>
      </c>
      <c r="V348" s="690" t="s">
        <v>358</v>
      </c>
      <c r="W348" s="657" t="s">
        <v>324</v>
      </c>
      <c r="X348" s="723"/>
      <c r="Y348" s="4"/>
      <c r="Z348" s="4">
        <v>3</v>
      </c>
      <c r="AA348" s="4"/>
      <c r="AB348" s="4"/>
      <c r="AC348" s="4"/>
      <c r="AD348" s="4"/>
      <c r="AE348" s="4"/>
      <c r="AF348" s="4"/>
      <c r="AG348" s="4"/>
      <c r="AH348" s="4"/>
      <c r="AI348" s="654"/>
      <c r="AJ348" s="655"/>
      <c r="AK348" s="4"/>
      <c r="AL348" s="4"/>
      <c r="AM348" s="4"/>
      <c r="AN348" s="4"/>
      <c r="AO348" s="4"/>
      <c r="AP348" s="4"/>
      <c r="AQ348" s="4"/>
      <c r="AR348" s="4"/>
      <c r="AS348" s="4"/>
      <c r="AT348" s="4"/>
      <c r="AU348" s="654"/>
      <c r="AV348" s="655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654"/>
      <c r="BH348" s="655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654"/>
      <c r="BT348" s="655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693"/>
      <c r="CF348" s="723"/>
      <c r="CG348" s="4"/>
      <c r="CH348" s="4">
        <v>198</v>
      </c>
      <c r="CI348" s="4"/>
      <c r="CJ348" s="4"/>
      <c r="CK348" s="4"/>
      <c r="CL348" s="4"/>
      <c r="CM348" s="4"/>
      <c r="CN348" s="4"/>
      <c r="CO348" s="4"/>
      <c r="CP348" s="4"/>
      <c r="CQ348" s="654"/>
      <c r="CR348" s="655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654"/>
      <c r="DD348" s="655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654"/>
      <c r="DP348" s="655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654"/>
      <c r="EB348" s="655"/>
      <c r="EC348" s="4"/>
      <c r="ED348" s="4"/>
      <c r="EE348" s="4"/>
      <c r="EF348" s="4"/>
      <c r="EG348" s="4"/>
      <c r="EH348" s="4"/>
      <c r="EI348" s="4"/>
      <c r="EJ348" s="4"/>
      <c r="EK348" s="4"/>
      <c r="EL348" s="4"/>
      <c r="EM348" s="693"/>
      <c r="EN348" s="723"/>
      <c r="EO348" s="4"/>
      <c r="EP348" s="4">
        <v>253.7</v>
      </c>
      <c r="EQ348" s="4"/>
      <c r="ER348" s="4"/>
      <c r="ES348" s="4"/>
      <c r="ET348" s="4"/>
      <c r="EU348" s="4"/>
      <c r="EV348" s="4"/>
      <c r="EW348" s="4"/>
      <c r="EX348" s="4"/>
      <c r="EY348" s="654"/>
      <c r="EZ348" s="655"/>
      <c r="FA348" s="4"/>
      <c r="FB348" s="4"/>
      <c r="FC348" s="4"/>
      <c r="FD348" s="4"/>
      <c r="FE348" s="4"/>
      <c r="FF348" s="4"/>
      <c r="FG348" s="4"/>
      <c r="FH348" s="4"/>
      <c r="FI348" s="4"/>
      <c r="FJ348" s="4"/>
      <c r="FK348" s="654"/>
      <c r="FL348" s="655"/>
      <c r="FM348" s="4"/>
      <c r="FN348" s="4"/>
      <c r="FO348" s="4"/>
      <c r="FP348" s="4"/>
      <c r="FQ348" s="4"/>
      <c r="FR348" s="4"/>
      <c r="FS348" s="4"/>
      <c r="FT348" s="4"/>
      <c r="FU348" s="4"/>
      <c r="FV348" s="4"/>
      <c r="FW348" s="654"/>
      <c r="FX348" s="655"/>
      <c r="FY348" s="4"/>
      <c r="FZ348" s="4"/>
      <c r="GA348" s="4"/>
      <c r="GB348" s="4"/>
      <c r="GC348" s="4"/>
      <c r="GD348" s="4"/>
      <c r="GE348" s="4"/>
      <c r="GF348" s="4"/>
      <c r="GG348" s="4"/>
      <c r="GH348" s="4"/>
      <c r="GI348" s="654"/>
      <c r="GJ348" s="655"/>
      <c r="GK348" s="4"/>
      <c r="GL348" s="4"/>
      <c r="GM348" s="4"/>
      <c r="GN348" s="4"/>
      <c r="GO348" s="4"/>
      <c r="GP348" s="4"/>
      <c r="GQ348" s="4"/>
      <c r="GR348" s="4"/>
      <c r="GS348" s="4"/>
      <c r="GT348" s="4"/>
      <c r="GU348" s="722"/>
      <c r="GV348" s="715"/>
    </row>
    <row r="349" spans="1:204" x14ac:dyDescent="0.25">
      <c r="A349" t="s">
        <v>1501</v>
      </c>
      <c r="B349" s="2" t="s">
        <v>1496</v>
      </c>
      <c r="C349" s="619">
        <v>44650</v>
      </c>
      <c r="D349" s="2" t="s">
        <v>1489</v>
      </c>
      <c r="E349" t="s">
        <v>59</v>
      </c>
      <c r="F349" s="2" t="s">
        <v>43</v>
      </c>
      <c r="G349" t="s">
        <v>40</v>
      </c>
      <c r="H349" s="690" t="s">
        <v>85</v>
      </c>
      <c r="I349" s="691" t="s">
        <v>43</v>
      </c>
      <c r="J349" s="721">
        <v>3780401000108</v>
      </c>
      <c r="K349" s="691" t="s">
        <v>404</v>
      </c>
      <c r="L349" s="721">
        <v>18384740000134</v>
      </c>
      <c r="M349" s="718" t="s">
        <v>6</v>
      </c>
      <c r="N349" s="717" t="s">
        <v>44</v>
      </c>
      <c r="O349" s="719">
        <v>44621</v>
      </c>
      <c r="P349" s="720">
        <v>44651</v>
      </c>
      <c r="Q349" s="718">
        <v>198</v>
      </c>
      <c r="R349" s="717">
        <v>1</v>
      </c>
      <c r="S349" s="691" t="s">
        <v>92</v>
      </c>
      <c r="T349" t="s">
        <v>358</v>
      </c>
      <c r="U349" s="673" t="s">
        <v>358</v>
      </c>
      <c r="V349" s="690" t="s">
        <v>358</v>
      </c>
      <c r="W349" s="657" t="s">
        <v>324</v>
      </c>
      <c r="X349" s="723"/>
      <c r="Y349" s="4"/>
      <c r="Z349" s="4">
        <v>1</v>
      </c>
      <c r="AA349" s="4"/>
      <c r="AB349" s="4"/>
      <c r="AC349" s="4"/>
      <c r="AD349" s="4"/>
      <c r="AE349" s="4"/>
      <c r="AF349" s="4"/>
      <c r="AG349" s="4"/>
      <c r="AH349" s="4"/>
      <c r="AI349" s="654"/>
      <c r="AJ349" s="655"/>
      <c r="AK349" s="4"/>
      <c r="AL349" s="4"/>
      <c r="AM349" s="4"/>
      <c r="AN349" s="4"/>
      <c r="AO349" s="4"/>
      <c r="AP349" s="4"/>
      <c r="AQ349" s="4"/>
      <c r="AR349" s="4"/>
      <c r="AS349" s="4"/>
      <c r="AT349" s="4"/>
      <c r="AU349" s="654"/>
      <c r="AV349" s="655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654"/>
      <c r="BH349" s="655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654"/>
      <c r="BT349" s="655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693"/>
      <c r="CF349" s="723"/>
      <c r="CG349" s="4"/>
      <c r="CH349" s="4">
        <v>198</v>
      </c>
      <c r="CI349" s="4"/>
      <c r="CJ349" s="4"/>
      <c r="CK349" s="4"/>
      <c r="CL349" s="4"/>
      <c r="CM349" s="4"/>
      <c r="CN349" s="4"/>
      <c r="CO349" s="4"/>
      <c r="CP349" s="4"/>
      <c r="CQ349" s="654"/>
      <c r="CR349" s="655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654"/>
      <c r="DD349" s="655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654"/>
      <c r="DP349" s="655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654"/>
      <c r="EB349" s="655"/>
      <c r="EC349" s="4"/>
      <c r="ED349" s="4"/>
      <c r="EE349" s="4"/>
      <c r="EF349" s="4"/>
      <c r="EG349" s="4"/>
      <c r="EH349" s="4"/>
      <c r="EI349" s="4"/>
      <c r="EJ349" s="4"/>
      <c r="EK349" s="4"/>
      <c r="EL349" s="4"/>
      <c r="EM349" s="693"/>
      <c r="EN349" s="723"/>
      <c r="EO349" s="4"/>
      <c r="EP349" s="4">
        <v>253.7</v>
      </c>
      <c r="EQ349" s="4"/>
      <c r="ER349" s="4"/>
      <c r="ES349" s="4"/>
      <c r="ET349" s="4"/>
      <c r="EU349" s="4"/>
      <c r="EV349" s="4"/>
      <c r="EW349" s="4"/>
      <c r="EX349" s="4"/>
      <c r="EY349" s="654"/>
      <c r="EZ349" s="655"/>
      <c r="FA349" s="4"/>
      <c r="FB349" s="4"/>
      <c r="FC349" s="4"/>
      <c r="FD349" s="4"/>
      <c r="FE349" s="4"/>
      <c r="FF349" s="4"/>
      <c r="FG349" s="4"/>
      <c r="FH349" s="4"/>
      <c r="FI349" s="4"/>
      <c r="FJ349" s="4"/>
      <c r="FK349" s="654"/>
      <c r="FL349" s="655"/>
      <c r="FM349" s="4"/>
      <c r="FN349" s="4"/>
      <c r="FO349" s="4"/>
      <c r="FP349" s="4"/>
      <c r="FQ349" s="4"/>
      <c r="FR349" s="4"/>
      <c r="FS349" s="4"/>
      <c r="FT349" s="4"/>
      <c r="FU349" s="4"/>
      <c r="FV349" s="4"/>
      <c r="FW349" s="654"/>
      <c r="FX349" s="655"/>
      <c r="FY349" s="4"/>
      <c r="FZ349" s="4"/>
      <c r="GA349" s="4"/>
      <c r="GB349" s="4"/>
      <c r="GC349" s="4"/>
      <c r="GD349" s="4"/>
      <c r="GE349" s="4"/>
      <c r="GF349" s="4"/>
      <c r="GG349" s="4"/>
      <c r="GH349" s="4"/>
      <c r="GI349" s="654"/>
      <c r="GJ349" s="655"/>
      <c r="GK349" s="4"/>
      <c r="GL349" s="4"/>
      <c r="GM349" s="4"/>
      <c r="GN349" s="4"/>
      <c r="GO349" s="4"/>
      <c r="GP349" s="4"/>
      <c r="GQ349" s="4"/>
      <c r="GR349" s="4"/>
      <c r="GS349" s="4"/>
      <c r="GT349" s="4"/>
      <c r="GU349" s="722"/>
      <c r="GV349" s="715"/>
    </row>
    <row r="350" spans="1:204" x14ac:dyDescent="0.25">
      <c r="A350" t="s">
        <v>1503</v>
      </c>
      <c r="B350" s="2" t="s">
        <v>1498</v>
      </c>
      <c r="C350" s="619">
        <v>44650</v>
      </c>
      <c r="D350" s="2" t="s">
        <v>1490</v>
      </c>
      <c r="E350" t="s">
        <v>59</v>
      </c>
      <c r="F350" s="2" t="s">
        <v>43</v>
      </c>
      <c r="G350" t="s">
        <v>40</v>
      </c>
      <c r="H350" s="690" t="s">
        <v>85</v>
      </c>
      <c r="I350" s="691" t="s">
        <v>43</v>
      </c>
      <c r="J350" s="721">
        <v>3780401000108</v>
      </c>
      <c r="K350" s="691" t="s">
        <v>476</v>
      </c>
      <c r="L350" s="721">
        <v>17077752000153</v>
      </c>
      <c r="M350" s="718" t="s">
        <v>6</v>
      </c>
      <c r="N350" s="717" t="s">
        <v>44</v>
      </c>
      <c r="O350" s="719">
        <v>44621</v>
      </c>
      <c r="P350" s="720">
        <v>44651</v>
      </c>
      <c r="Q350" s="718">
        <v>198</v>
      </c>
      <c r="R350" s="717">
        <v>1</v>
      </c>
      <c r="S350" s="691" t="s">
        <v>92</v>
      </c>
      <c r="T350" t="s">
        <v>358</v>
      </c>
      <c r="U350" s="673" t="s">
        <v>358</v>
      </c>
      <c r="V350" s="690" t="s">
        <v>358</v>
      </c>
      <c r="W350" s="657" t="s">
        <v>324</v>
      </c>
      <c r="X350" s="723"/>
      <c r="Y350" s="4"/>
      <c r="Z350" s="4">
        <v>1</v>
      </c>
      <c r="AA350" s="4"/>
      <c r="AB350" s="4"/>
      <c r="AC350" s="4"/>
      <c r="AD350" s="4"/>
      <c r="AE350" s="4"/>
      <c r="AF350" s="4"/>
      <c r="AG350" s="4"/>
      <c r="AH350" s="4"/>
      <c r="AI350" s="654"/>
      <c r="AJ350" s="655"/>
      <c r="AK350" s="4"/>
      <c r="AL350" s="4"/>
      <c r="AM350" s="4"/>
      <c r="AN350" s="4"/>
      <c r="AO350" s="4"/>
      <c r="AP350" s="4"/>
      <c r="AQ350" s="4"/>
      <c r="AR350" s="4"/>
      <c r="AS350" s="4"/>
      <c r="AT350" s="4"/>
      <c r="AU350" s="654"/>
      <c r="AV350" s="655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654"/>
      <c r="BH350" s="655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654"/>
      <c r="BT350" s="655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693"/>
      <c r="CF350" s="723"/>
      <c r="CG350" s="4"/>
      <c r="CH350" s="4">
        <v>198</v>
      </c>
      <c r="CI350" s="4"/>
      <c r="CJ350" s="4"/>
      <c r="CK350" s="4"/>
      <c r="CL350" s="4"/>
      <c r="CM350" s="4"/>
      <c r="CN350" s="4"/>
      <c r="CO350" s="4"/>
      <c r="CP350" s="4"/>
      <c r="CQ350" s="654"/>
      <c r="CR350" s="655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654"/>
      <c r="DD350" s="655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654"/>
      <c r="DP350" s="655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654"/>
      <c r="EB350" s="655"/>
      <c r="EC350" s="4"/>
      <c r="ED350" s="4"/>
      <c r="EE350" s="4"/>
      <c r="EF350" s="4"/>
      <c r="EG350" s="4"/>
      <c r="EH350" s="4"/>
      <c r="EI350" s="4"/>
      <c r="EJ350" s="4"/>
      <c r="EK350" s="4"/>
      <c r="EL350" s="4"/>
      <c r="EM350" s="693"/>
      <c r="EN350" s="723"/>
      <c r="EO350" s="4"/>
      <c r="EP350" s="4">
        <v>253.7</v>
      </c>
      <c r="EQ350" s="4"/>
      <c r="ER350" s="4"/>
      <c r="ES350" s="4"/>
      <c r="ET350" s="4"/>
      <c r="EU350" s="4"/>
      <c r="EV350" s="4"/>
      <c r="EW350" s="4"/>
      <c r="EX350" s="4"/>
      <c r="EY350" s="654"/>
      <c r="EZ350" s="655"/>
      <c r="FA350" s="4"/>
      <c r="FB350" s="4"/>
      <c r="FC350" s="4"/>
      <c r="FD350" s="4"/>
      <c r="FE350" s="4"/>
      <c r="FF350" s="4"/>
      <c r="FG350" s="4"/>
      <c r="FH350" s="4"/>
      <c r="FI350" s="4"/>
      <c r="FJ350" s="4"/>
      <c r="FK350" s="654"/>
      <c r="FL350" s="655"/>
      <c r="FM350" s="4"/>
      <c r="FN350" s="4"/>
      <c r="FO350" s="4"/>
      <c r="FP350" s="4"/>
      <c r="FQ350" s="4"/>
      <c r="FR350" s="4"/>
      <c r="FS350" s="4"/>
      <c r="FT350" s="4"/>
      <c r="FU350" s="4"/>
      <c r="FV350" s="4"/>
      <c r="FW350" s="654"/>
      <c r="FX350" s="655"/>
      <c r="FY350" s="4"/>
      <c r="FZ350" s="4"/>
      <c r="GA350" s="4"/>
      <c r="GB350" s="4"/>
      <c r="GC350" s="4"/>
      <c r="GD350" s="4"/>
      <c r="GE350" s="4"/>
      <c r="GF350" s="4"/>
      <c r="GG350" s="4"/>
      <c r="GH350" s="4"/>
      <c r="GI350" s="654"/>
      <c r="GJ350" s="655"/>
      <c r="GK350" s="4"/>
      <c r="GL350" s="4"/>
      <c r="GM350" s="4"/>
      <c r="GN350" s="4"/>
      <c r="GO350" s="4"/>
      <c r="GP350" s="4"/>
      <c r="GQ350" s="4"/>
      <c r="GR350" s="4"/>
      <c r="GS350" s="4"/>
      <c r="GT350" s="4"/>
      <c r="GU350" s="722"/>
      <c r="GV350" s="715"/>
    </row>
    <row r="351" spans="1:204" x14ac:dyDescent="0.25">
      <c r="A351" t="s">
        <v>1505</v>
      </c>
      <c r="B351" s="2" t="s">
        <v>1500</v>
      </c>
      <c r="C351" s="619">
        <v>44650</v>
      </c>
      <c r="D351" s="2" t="s">
        <v>1491</v>
      </c>
      <c r="E351" t="s">
        <v>59</v>
      </c>
      <c r="F351" s="2" t="s">
        <v>43</v>
      </c>
      <c r="G351" t="s">
        <v>40</v>
      </c>
      <c r="H351" s="690" t="s">
        <v>85</v>
      </c>
      <c r="I351" s="691" t="s">
        <v>43</v>
      </c>
      <c r="J351" s="721">
        <v>3780401000108</v>
      </c>
      <c r="K351" s="691" t="s">
        <v>469</v>
      </c>
      <c r="L351" s="721">
        <v>9495582000107</v>
      </c>
      <c r="M351" s="718" t="s">
        <v>6</v>
      </c>
      <c r="N351" s="717" t="s">
        <v>44</v>
      </c>
      <c r="O351" s="719">
        <v>44621</v>
      </c>
      <c r="P351" s="720">
        <v>44651</v>
      </c>
      <c r="Q351" s="718">
        <v>198</v>
      </c>
      <c r="R351" s="717">
        <v>1</v>
      </c>
      <c r="S351" s="691" t="s">
        <v>92</v>
      </c>
      <c r="T351" t="s">
        <v>358</v>
      </c>
      <c r="U351" s="673" t="s">
        <v>358</v>
      </c>
      <c r="V351" s="690" t="s">
        <v>358</v>
      </c>
      <c r="W351" s="657" t="s">
        <v>324</v>
      </c>
      <c r="X351" s="723"/>
      <c r="Y351" s="4"/>
      <c r="Z351" s="4">
        <v>1</v>
      </c>
      <c r="AA351" s="4"/>
      <c r="AB351" s="4"/>
      <c r="AC351" s="4"/>
      <c r="AD351" s="4"/>
      <c r="AE351" s="4"/>
      <c r="AF351" s="4"/>
      <c r="AG351" s="4"/>
      <c r="AH351" s="4"/>
      <c r="AI351" s="654"/>
      <c r="AJ351" s="655"/>
      <c r="AK351" s="4"/>
      <c r="AL351" s="4"/>
      <c r="AM351" s="4"/>
      <c r="AN351" s="4"/>
      <c r="AO351" s="4"/>
      <c r="AP351" s="4"/>
      <c r="AQ351" s="4"/>
      <c r="AR351" s="4"/>
      <c r="AS351" s="4"/>
      <c r="AT351" s="4"/>
      <c r="AU351" s="654"/>
      <c r="AV351" s="655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654"/>
      <c r="BH351" s="655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654"/>
      <c r="BT351" s="655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693"/>
      <c r="CF351" s="723"/>
      <c r="CG351" s="4"/>
      <c r="CH351" s="4">
        <v>198</v>
      </c>
      <c r="CI351" s="4"/>
      <c r="CJ351" s="4"/>
      <c r="CK351" s="4"/>
      <c r="CL351" s="4"/>
      <c r="CM351" s="4"/>
      <c r="CN351" s="4"/>
      <c r="CO351" s="4"/>
      <c r="CP351" s="4"/>
      <c r="CQ351" s="654"/>
      <c r="CR351" s="655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654"/>
      <c r="DD351" s="655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654"/>
      <c r="DP351" s="655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654"/>
      <c r="EB351" s="655"/>
      <c r="EC351" s="4"/>
      <c r="ED351" s="4"/>
      <c r="EE351" s="4"/>
      <c r="EF351" s="4"/>
      <c r="EG351" s="4"/>
      <c r="EH351" s="4"/>
      <c r="EI351" s="4"/>
      <c r="EJ351" s="4"/>
      <c r="EK351" s="4"/>
      <c r="EL351" s="4"/>
      <c r="EM351" s="693"/>
      <c r="EN351" s="723"/>
      <c r="EO351" s="4"/>
      <c r="EP351" s="4">
        <v>253.7</v>
      </c>
      <c r="EQ351" s="4"/>
      <c r="ER351" s="4"/>
      <c r="ES351" s="4"/>
      <c r="ET351" s="4"/>
      <c r="EU351" s="4"/>
      <c r="EV351" s="4"/>
      <c r="EW351" s="4"/>
      <c r="EX351" s="4"/>
      <c r="EY351" s="654"/>
      <c r="EZ351" s="655"/>
      <c r="FA351" s="4"/>
      <c r="FB351" s="4"/>
      <c r="FC351" s="4"/>
      <c r="FD351" s="4"/>
      <c r="FE351" s="4"/>
      <c r="FF351" s="4"/>
      <c r="FG351" s="4"/>
      <c r="FH351" s="4"/>
      <c r="FI351" s="4"/>
      <c r="FJ351" s="4"/>
      <c r="FK351" s="654"/>
      <c r="FL351" s="655"/>
      <c r="FM351" s="4"/>
      <c r="FN351" s="4"/>
      <c r="FO351" s="4"/>
      <c r="FP351" s="4"/>
      <c r="FQ351" s="4"/>
      <c r="FR351" s="4"/>
      <c r="FS351" s="4"/>
      <c r="FT351" s="4"/>
      <c r="FU351" s="4"/>
      <c r="FV351" s="4"/>
      <c r="FW351" s="654"/>
      <c r="FX351" s="655"/>
      <c r="FY351" s="4"/>
      <c r="FZ351" s="4"/>
      <c r="GA351" s="4"/>
      <c r="GB351" s="4"/>
      <c r="GC351" s="4"/>
      <c r="GD351" s="4"/>
      <c r="GE351" s="4"/>
      <c r="GF351" s="4"/>
      <c r="GG351" s="4"/>
      <c r="GH351" s="4"/>
      <c r="GI351" s="654"/>
      <c r="GJ351" s="655"/>
      <c r="GK351" s="4"/>
      <c r="GL351" s="4"/>
      <c r="GM351" s="4"/>
      <c r="GN351" s="4"/>
      <c r="GO351" s="4"/>
      <c r="GP351" s="4"/>
      <c r="GQ351" s="4"/>
      <c r="GR351" s="4"/>
      <c r="GS351" s="4"/>
      <c r="GT351" s="4"/>
      <c r="GU351" s="722"/>
      <c r="GV351" s="715"/>
    </row>
    <row r="352" spans="1:204" x14ac:dyDescent="0.25">
      <c r="A352" t="s">
        <v>1507</v>
      </c>
      <c r="B352" s="2" t="s">
        <v>1502</v>
      </c>
      <c r="C352" s="619">
        <v>44650</v>
      </c>
      <c r="D352" s="2" t="s">
        <v>1492</v>
      </c>
      <c r="E352" t="s">
        <v>59</v>
      </c>
      <c r="F352" s="2" t="s">
        <v>43</v>
      </c>
      <c r="G352" t="s">
        <v>40</v>
      </c>
      <c r="H352" s="690" t="s">
        <v>85</v>
      </c>
      <c r="I352" s="691" t="s">
        <v>43</v>
      </c>
      <c r="J352" s="721">
        <v>3780401000108</v>
      </c>
      <c r="K352" s="691" t="s">
        <v>1476</v>
      </c>
      <c r="L352" s="721">
        <v>27690671000188</v>
      </c>
      <c r="M352" s="718" t="s">
        <v>5</v>
      </c>
      <c r="N352" s="717" t="s">
        <v>44</v>
      </c>
      <c r="O352" s="719">
        <v>44621</v>
      </c>
      <c r="P352" s="720">
        <v>44651</v>
      </c>
      <c r="Q352" s="718">
        <v>41</v>
      </c>
      <c r="R352" s="717">
        <v>1</v>
      </c>
      <c r="S352" s="691" t="s">
        <v>92</v>
      </c>
      <c r="T352" t="s">
        <v>358</v>
      </c>
      <c r="U352" s="673" t="s">
        <v>358</v>
      </c>
      <c r="V352" s="690" t="s">
        <v>358</v>
      </c>
      <c r="W352" s="657" t="s">
        <v>324</v>
      </c>
      <c r="X352" s="723"/>
      <c r="Y352" s="4"/>
      <c r="Z352" s="4">
        <v>1</v>
      </c>
      <c r="AA352" s="4"/>
      <c r="AB352" s="4"/>
      <c r="AC352" s="4"/>
      <c r="AD352" s="4"/>
      <c r="AE352" s="4"/>
      <c r="AF352" s="4"/>
      <c r="AG352" s="4"/>
      <c r="AH352" s="4"/>
      <c r="AI352" s="654"/>
      <c r="AJ352" s="655"/>
      <c r="AK352" s="4"/>
      <c r="AL352" s="4"/>
      <c r="AM352" s="4"/>
      <c r="AN352" s="4"/>
      <c r="AO352" s="4"/>
      <c r="AP352" s="4"/>
      <c r="AQ352" s="4"/>
      <c r="AR352" s="4"/>
      <c r="AS352" s="4"/>
      <c r="AT352" s="4"/>
      <c r="AU352" s="654"/>
      <c r="AV352" s="655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654"/>
      <c r="BH352" s="655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654"/>
      <c r="BT352" s="655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693"/>
      <c r="CF352" s="723"/>
      <c r="CG352" s="4"/>
      <c r="CH352" s="4">
        <v>41</v>
      </c>
      <c r="CI352" s="4"/>
      <c r="CJ352" s="4"/>
      <c r="CK352" s="4"/>
      <c r="CL352" s="4"/>
      <c r="CM352" s="4"/>
      <c r="CN352" s="4"/>
      <c r="CO352" s="4"/>
      <c r="CP352" s="4"/>
      <c r="CQ352" s="654"/>
      <c r="CR352" s="655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654"/>
      <c r="DD352" s="655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654"/>
      <c r="DP352" s="655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654"/>
      <c r="EB352" s="655"/>
      <c r="EC352" s="4"/>
      <c r="ED352" s="4"/>
      <c r="EE352" s="4"/>
      <c r="EF352" s="4"/>
      <c r="EG352" s="4"/>
      <c r="EH352" s="4"/>
      <c r="EI352" s="4"/>
      <c r="EJ352" s="4"/>
      <c r="EK352" s="4"/>
      <c r="EL352" s="4"/>
      <c r="EM352" s="693"/>
      <c r="EN352" s="723"/>
      <c r="EO352" s="4"/>
      <c r="EP352" s="4">
        <v>96.7</v>
      </c>
      <c r="EQ352" s="4"/>
      <c r="ER352" s="4"/>
      <c r="ES352" s="4"/>
      <c r="ET352" s="4"/>
      <c r="EU352" s="4"/>
      <c r="EV352" s="4"/>
      <c r="EW352" s="4"/>
      <c r="EX352" s="4"/>
      <c r="EY352" s="654"/>
      <c r="EZ352" s="655"/>
      <c r="FA352" s="4"/>
      <c r="FB352" s="4"/>
      <c r="FC352" s="4"/>
      <c r="FD352" s="4"/>
      <c r="FE352" s="4"/>
      <c r="FF352" s="4"/>
      <c r="FG352" s="4"/>
      <c r="FH352" s="4"/>
      <c r="FI352" s="4"/>
      <c r="FJ352" s="4"/>
      <c r="FK352" s="654"/>
      <c r="FL352" s="655"/>
      <c r="FM352" s="4"/>
      <c r="FN352" s="4"/>
      <c r="FO352" s="4"/>
      <c r="FP352" s="4"/>
      <c r="FQ352" s="4"/>
      <c r="FR352" s="4"/>
      <c r="FS352" s="4"/>
      <c r="FT352" s="4"/>
      <c r="FU352" s="4"/>
      <c r="FV352" s="4"/>
      <c r="FW352" s="654"/>
      <c r="FX352" s="655"/>
      <c r="FY352" s="4"/>
      <c r="FZ352" s="4"/>
      <c r="GA352" s="4"/>
      <c r="GB352" s="4"/>
      <c r="GC352" s="4"/>
      <c r="GD352" s="4"/>
      <c r="GE352" s="4"/>
      <c r="GF352" s="4"/>
      <c r="GG352" s="4"/>
      <c r="GH352" s="4"/>
      <c r="GI352" s="654"/>
      <c r="GJ352" s="655"/>
      <c r="GK352" s="4"/>
      <c r="GL352" s="4"/>
      <c r="GM352" s="4"/>
      <c r="GN352" s="4"/>
      <c r="GO352" s="4"/>
      <c r="GP352" s="4"/>
      <c r="GQ352" s="4"/>
      <c r="GR352" s="4"/>
      <c r="GS352" s="4"/>
      <c r="GT352" s="4"/>
      <c r="GU352" s="722"/>
      <c r="GV352" s="715"/>
    </row>
    <row r="353" spans="1:204" x14ac:dyDescent="0.25">
      <c r="A353" t="s">
        <v>1509</v>
      </c>
      <c r="B353" s="2" t="s">
        <v>1504</v>
      </c>
      <c r="C353" s="619">
        <v>44650</v>
      </c>
      <c r="D353" s="2" t="s">
        <v>1493</v>
      </c>
      <c r="E353" t="s">
        <v>59</v>
      </c>
      <c r="F353" s="2" t="s">
        <v>43</v>
      </c>
      <c r="G353" t="s">
        <v>40</v>
      </c>
      <c r="H353" s="690" t="s">
        <v>85</v>
      </c>
      <c r="I353" s="691" t="s">
        <v>43</v>
      </c>
      <c r="J353" s="721">
        <v>3780401000108</v>
      </c>
      <c r="K353" s="691" t="s">
        <v>1476</v>
      </c>
      <c r="L353" s="721">
        <v>27690671000188</v>
      </c>
      <c r="M353" s="718" t="s">
        <v>5</v>
      </c>
      <c r="N353" s="717" t="s">
        <v>44</v>
      </c>
      <c r="O353" s="719">
        <v>44621</v>
      </c>
      <c r="P353" s="720">
        <v>44651</v>
      </c>
      <c r="Q353" s="718">
        <v>41</v>
      </c>
      <c r="R353" s="717">
        <v>2</v>
      </c>
      <c r="S353" s="691" t="s">
        <v>92</v>
      </c>
      <c r="T353" t="s">
        <v>358</v>
      </c>
      <c r="U353" s="673" t="s">
        <v>358</v>
      </c>
      <c r="V353" s="690" t="s">
        <v>358</v>
      </c>
      <c r="W353" s="657" t="s">
        <v>324</v>
      </c>
      <c r="X353" s="723"/>
      <c r="Y353" s="4"/>
      <c r="Z353" s="4">
        <v>2</v>
      </c>
      <c r="AA353" s="4"/>
      <c r="AB353" s="4"/>
      <c r="AC353" s="4"/>
      <c r="AD353" s="4"/>
      <c r="AE353" s="4"/>
      <c r="AF353" s="4"/>
      <c r="AG353" s="4"/>
      <c r="AH353" s="4"/>
      <c r="AI353" s="654"/>
      <c r="AJ353" s="655"/>
      <c r="AK353" s="4"/>
      <c r="AL353" s="4"/>
      <c r="AM353" s="4"/>
      <c r="AN353" s="4"/>
      <c r="AO353" s="4"/>
      <c r="AP353" s="4"/>
      <c r="AQ353" s="4"/>
      <c r="AR353" s="4"/>
      <c r="AS353" s="4"/>
      <c r="AT353" s="4"/>
      <c r="AU353" s="654"/>
      <c r="AV353" s="655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654"/>
      <c r="BH353" s="655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654"/>
      <c r="BT353" s="655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693"/>
      <c r="CF353" s="723"/>
      <c r="CG353" s="4"/>
      <c r="CH353" s="4">
        <v>41</v>
      </c>
      <c r="CI353" s="4"/>
      <c r="CJ353" s="4"/>
      <c r="CK353" s="4"/>
      <c r="CL353" s="4"/>
      <c r="CM353" s="4"/>
      <c r="CN353" s="4"/>
      <c r="CO353" s="4"/>
      <c r="CP353" s="4"/>
      <c r="CQ353" s="654"/>
      <c r="CR353" s="655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654"/>
      <c r="DD353" s="655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654"/>
      <c r="DP353" s="655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654"/>
      <c r="EB353" s="655"/>
      <c r="EC353" s="4"/>
      <c r="ED353" s="4"/>
      <c r="EE353" s="4"/>
      <c r="EF353" s="4"/>
      <c r="EG353" s="4"/>
      <c r="EH353" s="4"/>
      <c r="EI353" s="4"/>
      <c r="EJ353" s="4"/>
      <c r="EK353" s="4"/>
      <c r="EL353" s="4"/>
      <c r="EM353" s="693"/>
      <c r="EN353" s="723"/>
      <c r="EO353" s="4"/>
      <c r="EP353" s="4">
        <v>96.7</v>
      </c>
      <c r="EQ353" s="4"/>
      <c r="ER353" s="4"/>
      <c r="ES353" s="4"/>
      <c r="ET353" s="4"/>
      <c r="EU353" s="4"/>
      <c r="EV353" s="4"/>
      <c r="EW353" s="4"/>
      <c r="EX353" s="4"/>
      <c r="EY353" s="654"/>
      <c r="EZ353" s="655"/>
      <c r="FA353" s="4"/>
      <c r="FB353" s="4"/>
      <c r="FC353" s="4"/>
      <c r="FD353" s="4"/>
      <c r="FE353" s="4"/>
      <c r="FF353" s="4"/>
      <c r="FG353" s="4"/>
      <c r="FH353" s="4"/>
      <c r="FI353" s="4"/>
      <c r="FJ353" s="4"/>
      <c r="FK353" s="654"/>
      <c r="FL353" s="655"/>
      <c r="FM353" s="4"/>
      <c r="FN353" s="4"/>
      <c r="FO353" s="4"/>
      <c r="FP353" s="4"/>
      <c r="FQ353" s="4"/>
      <c r="FR353" s="4"/>
      <c r="FS353" s="4"/>
      <c r="FT353" s="4"/>
      <c r="FU353" s="4"/>
      <c r="FV353" s="4"/>
      <c r="FW353" s="654"/>
      <c r="FX353" s="655"/>
      <c r="FY353" s="4"/>
      <c r="FZ353" s="4"/>
      <c r="GA353" s="4"/>
      <c r="GB353" s="4"/>
      <c r="GC353" s="4"/>
      <c r="GD353" s="4"/>
      <c r="GE353" s="4"/>
      <c r="GF353" s="4"/>
      <c r="GG353" s="4"/>
      <c r="GH353" s="4"/>
      <c r="GI353" s="654"/>
      <c r="GJ353" s="655"/>
      <c r="GK353" s="4"/>
      <c r="GL353" s="4"/>
      <c r="GM353" s="4"/>
      <c r="GN353" s="4"/>
      <c r="GO353" s="4"/>
      <c r="GP353" s="4"/>
      <c r="GQ353" s="4"/>
      <c r="GR353" s="4"/>
      <c r="GS353" s="4"/>
      <c r="GT353" s="4"/>
      <c r="GU353" s="722"/>
      <c r="GV353" s="715"/>
    </row>
    <row r="354" spans="1:204" x14ac:dyDescent="0.25">
      <c r="A354" t="s">
        <v>1511</v>
      </c>
      <c r="B354" s="2" t="s">
        <v>1506</v>
      </c>
      <c r="C354" s="619">
        <v>44650</v>
      </c>
      <c r="D354" s="2" t="s">
        <v>1494</v>
      </c>
      <c r="E354" t="s">
        <v>59</v>
      </c>
      <c r="F354" s="2" t="s">
        <v>43</v>
      </c>
      <c r="G354" t="s">
        <v>40</v>
      </c>
      <c r="H354" s="690" t="s">
        <v>85</v>
      </c>
      <c r="I354" s="691" t="s">
        <v>43</v>
      </c>
      <c r="J354" s="721">
        <v>3780401000108</v>
      </c>
      <c r="K354" s="691" t="s">
        <v>476</v>
      </c>
      <c r="L354" s="721">
        <v>17077752000153</v>
      </c>
      <c r="M354" s="718" t="s">
        <v>5</v>
      </c>
      <c r="N354" s="717" t="s">
        <v>44</v>
      </c>
      <c r="O354" s="719">
        <v>44621</v>
      </c>
      <c r="P354" s="720">
        <v>44651</v>
      </c>
      <c r="Q354" s="718">
        <v>41</v>
      </c>
      <c r="R354" s="717">
        <v>2</v>
      </c>
      <c r="S354" s="691" t="s">
        <v>92</v>
      </c>
      <c r="T354" t="s">
        <v>358</v>
      </c>
      <c r="U354" s="673" t="s">
        <v>358</v>
      </c>
      <c r="V354" s="690" t="s">
        <v>358</v>
      </c>
      <c r="W354" s="657" t="s">
        <v>324</v>
      </c>
      <c r="X354" s="723"/>
      <c r="Y354" s="4"/>
      <c r="Z354" s="4">
        <v>2</v>
      </c>
      <c r="AA354" s="4"/>
      <c r="AB354" s="4"/>
      <c r="AC354" s="4"/>
      <c r="AD354" s="4"/>
      <c r="AE354" s="4"/>
      <c r="AF354" s="4"/>
      <c r="AG354" s="4"/>
      <c r="AH354" s="4"/>
      <c r="AI354" s="654"/>
      <c r="AJ354" s="655"/>
      <c r="AK354" s="4"/>
      <c r="AL354" s="4"/>
      <c r="AM354" s="4"/>
      <c r="AN354" s="4"/>
      <c r="AO354" s="4"/>
      <c r="AP354" s="4"/>
      <c r="AQ354" s="4"/>
      <c r="AR354" s="4"/>
      <c r="AS354" s="4"/>
      <c r="AT354" s="4"/>
      <c r="AU354" s="654"/>
      <c r="AV354" s="655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654"/>
      <c r="BH354" s="655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654"/>
      <c r="BT354" s="655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693"/>
      <c r="CF354" s="723"/>
      <c r="CG354" s="4"/>
      <c r="CH354" s="4">
        <v>41</v>
      </c>
      <c r="CI354" s="4"/>
      <c r="CJ354" s="4"/>
      <c r="CK354" s="4"/>
      <c r="CL354" s="4"/>
      <c r="CM354" s="4"/>
      <c r="CN354" s="4"/>
      <c r="CO354" s="4"/>
      <c r="CP354" s="4"/>
      <c r="CQ354" s="654"/>
      <c r="CR354" s="655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654"/>
      <c r="DD354" s="655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654"/>
      <c r="DP354" s="655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654"/>
      <c r="EB354" s="655"/>
      <c r="EC354" s="4"/>
      <c r="ED354" s="4"/>
      <c r="EE354" s="4"/>
      <c r="EF354" s="4"/>
      <c r="EG354" s="4"/>
      <c r="EH354" s="4"/>
      <c r="EI354" s="4"/>
      <c r="EJ354" s="4"/>
      <c r="EK354" s="4"/>
      <c r="EL354" s="4"/>
      <c r="EM354" s="693"/>
      <c r="EN354" s="723"/>
      <c r="EO354" s="4"/>
      <c r="EP354" s="4">
        <v>96.7</v>
      </c>
      <c r="EQ354" s="4"/>
      <c r="ER354" s="4"/>
      <c r="ES354" s="4"/>
      <c r="ET354" s="4"/>
      <c r="EU354" s="4"/>
      <c r="EV354" s="4"/>
      <c r="EW354" s="4"/>
      <c r="EX354" s="4"/>
      <c r="EY354" s="654"/>
      <c r="EZ354" s="655"/>
      <c r="FA354" s="4"/>
      <c r="FB354" s="4"/>
      <c r="FC354" s="4"/>
      <c r="FD354" s="4"/>
      <c r="FE354" s="4"/>
      <c r="FF354" s="4"/>
      <c r="FG354" s="4"/>
      <c r="FH354" s="4"/>
      <c r="FI354" s="4"/>
      <c r="FJ354" s="4"/>
      <c r="FK354" s="654"/>
      <c r="FL354" s="655"/>
      <c r="FM354" s="4"/>
      <c r="FN354" s="4"/>
      <c r="FO354" s="4"/>
      <c r="FP354" s="4"/>
      <c r="FQ354" s="4"/>
      <c r="FR354" s="4"/>
      <c r="FS354" s="4"/>
      <c r="FT354" s="4"/>
      <c r="FU354" s="4"/>
      <c r="FV354" s="4"/>
      <c r="FW354" s="654"/>
      <c r="FX354" s="655"/>
      <c r="FY354" s="4"/>
      <c r="FZ354" s="4"/>
      <c r="GA354" s="4"/>
      <c r="GB354" s="4"/>
      <c r="GC354" s="4"/>
      <c r="GD354" s="4"/>
      <c r="GE354" s="4"/>
      <c r="GF354" s="4"/>
      <c r="GG354" s="4"/>
      <c r="GH354" s="4"/>
      <c r="GI354" s="654"/>
      <c r="GJ354" s="655"/>
      <c r="GK354" s="4"/>
      <c r="GL354" s="4"/>
      <c r="GM354" s="4"/>
      <c r="GN354" s="4"/>
      <c r="GO354" s="4"/>
      <c r="GP354" s="4"/>
      <c r="GQ354" s="4"/>
      <c r="GR354" s="4"/>
      <c r="GS354" s="4"/>
      <c r="GT354" s="4"/>
      <c r="GU354" s="722"/>
      <c r="GV354" s="715"/>
    </row>
    <row r="355" spans="1:204" x14ac:dyDescent="0.25">
      <c r="A355" t="s">
        <v>1513</v>
      </c>
      <c r="B355" s="2" t="s">
        <v>1508</v>
      </c>
      <c r="C355" s="619">
        <v>44650</v>
      </c>
      <c r="D355" s="2" t="s">
        <v>1495</v>
      </c>
      <c r="E355" t="s">
        <v>59</v>
      </c>
      <c r="F355" s="2" t="s">
        <v>43</v>
      </c>
      <c r="G355" t="s">
        <v>40</v>
      </c>
      <c r="H355" s="690" t="s">
        <v>85</v>
      </c>
      <c r="I355" s="691" t="s">
        <v>43</v>
      </c>
      <c r="J355" s="721">
        <v>3780401000108</v>
      </c>
      <c r="K355" s="691" t="s">
        <v>1133</v>
      </c>
      <c r="L355" s="721">
        <v>10202852000115</v>
      </c>
      <c r="M355" s="718" t="s">
        <v>5</v>
      </c>
      <c r="N355" s="717" t="s">
        <v>44</v>
      </c>
      <c r="O355" s="719">
        <v>44621</v>
      </c>
      <c r="P355" s="720">
        <v>44651</v>
      </c>
      <c r="Q355" s="718">
        <v>41</v>
      </c>
      <c r="R355" s="717">
        <v>3</v>
      </c>
      <c r="S355" s="691" t="s">
        <v>92</v>
      </c>
      <c r="T355" t="s">
        <v>358</v>
      </c>
      <c r="U355" s="673" t="s">
        <v>358</v>
      </c>
      <c r="V355" s="690" t="s">
        <v>358</v>
      </c>
      <c r="W355" s="657" t="s">
        <v>324</v>
      </c>
      <c r="X355" s="723"/>
      <c r="Y355" s="4"/>
      <c r="Z355" s="4">
        <v>3</v>
      </c>
      <c r="AA355" s="4"/>
      <c r="AB355" s="4"/>
      <c r="AC355" s="4"/>
      <c r="AD355" s="4"/>
      <c r="AE355" s="4"/>
      <c r="AF355" s="4"/>
      <c r="AG355" s="4"/>
      <c r="AH355" s="4"/>
      <c r="AI355" s="654"/>
      <c r="AJ355" s="655"/>
      <c r="AK355" s="4"/>
      <c r="AL355" s="4"/>
      <c r="AM355" s="4"/>
      <c r="AN355" s="4"/>
      <c r="AO355" s="4"/>
      <c r="AP355" s="4"/>
      <c r="AQ355" s="4"/>
      <c r="AR355" s="4"/>
      <c r="AS355" s="4"/>
      <c r="AT355" s="4"/>
      <c r="AU355" s="654"/>
      <c r="AV355" s="655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654"/>
      <c r="BH355" s="655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654"/>
      <c r="BT355" s="655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693"/>
      <c r="CF355" s="723"/>
      <c r="CG355" s="4"/>
      <c r="CH355" s="4">
        <v>41</v>
      </c>
      <c r="CI355" s="4"/>
      <c r="CJ355" s="4"/>
      <c r="CK355" s="4"/>
      <c r="CL355" s="4"/>
      <c r="CM355" s="4"/>
      <c r="CN355" s="4"/>
      <c r="CO355" s="4"/>
      <c r="CP355" s="4"/>
      <c r="CQ355" s="654"/>
      <c r="CR355" s="655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654"/>
      <c r="DD355" s="655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654"/>
      <c r="DP355" s="655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654"/>
      <c r="EB355" s="655"/>
      <c r="EC355" s="4"/>
      <c r="ED355" s="4"/>
      <c r="EE355" s="4"/>
      <c r="EF355" s="4"/>
      <c r="EG355" s="4"/>
      <c r="EH355" s="4"/>
      <c r="EI355" s="4"/>
      <c r="EJ355" s="4"/>
      <c r="EK355" s="4"/>
      <c r="EL355" s="4"/>
      <c r="EM355" s="693"/>
      <c r="EN355" s="723"/>
      <c r="EO355" s="4"/>
      <c r="EP355" s="4">
        <v>96.7</v>
      </c>
      <c r="EQ355" s="4"/>
      <c r="ER355" s="4"/>
      <c r="ES355" s="4"/>
      <c r="ET355" s="4"/>
      <c r="EU355" s="4"/>
      <c r="EV355" s="4"/>
      <c r="EW355" s="4"/>
      <c r="EX355" s="4"/>
      <c r="EY355" s="654"/>
      <c r="EZ355" s="655"/>
      <c r="FA355" s="4"/>
      <c r="FB355" s="4"/>
      <c r="FC355" s="4"/>
      <c r="FD355" s="4"/>
      <c r="FE355" s="4"/>
      <c r="FF355" s="4"/>
      <c r="FG355" s="4"/>
      <c r="FH355" s="4"/>
      <c r="FI355" s="4"/>
      <c r="FJ355" s="4"/>
      <c r="FK355" s="654"/>
      <c r="FL355" s="655"/>
      <c r="FM355" s="4"/>
      <c r="FN355" s="4"/>
      <c r="FO355" s="4"/>
      <c r="FP355" s="4"/>
      <c r="FQ355" s="4"/>
      <c r="FR355" s="4"/>
      <c r="FS355" s="4"/>
      <c r="FT355" s="4"/>
      <c r="FU355" s="4"/>
      <c r="FV355" s="4"/>
      <c r="FW355" s="654"/>
      <c r="FX355" s="655"/>
      <c r="FY355" s="4"/>
      <c r="FZ355" s="4"/>
      <c r="GA355" s="4"/>
      <c r="GB355" s="4"/>
      <c r="GC355" s="4"/>
      <c r="GD355" s="4"/>
      <c r="GE355" s="4"/>
      <c r="GF355" s="4"/>
      <c r="GG355" s="4"/>
      <c r="GH355" s="4"/>
      <c r="GI355" s="654"/>
      <c r="GJ355" s="655"/>
      <c r="GK355" s="4"/>
      <c r="GL355" s="4"/>
      <c r="GM355" s="4"/>
      <c r="GN355" s="4"/>
      <c r="GO355" s="4"/>
      <c r="GP355" s="4"/>
      <c r="GQ355" s="4"/>
      <c r="GR355" s="4"/>
      <c r="GS355" s="4"/>
      <c r="GT355" s="4"/>
      <c r="GU355" s="722"/>
      <c r="GV355" s="715"/>
    </row>
    <row r="356" spans="1:204" x14ac:dyDescent="0.25">
      <c r="A356" t="s">
        <v>1522</v>
      </c>
      <c r="B356" s="2" t="s">
        <v>1510</v>
      </c>
      <c r="C356" s="619">
        <v>44651</v>
      </c>
      <c r="D356" s="2" t="s">
        <v>1514</v>
      </c>
      <c r="E356" t="s">
        <v>59</v>
      </c>
      <c r="F356" s="2" t="s">
        <v>43</v>
      </c>
      <c r="G356" t="s">
        <v>40</v>
      </c>
      <c r="H356" s="690" t="s">
        <v>85</v>
      </c>
      <c r="I356" s="691" t="s">
        <v>43</v>
      </c>
      <c r="J356" s="721">
        <v>3780401000108</v>
      </c>
      <c r="K356" s="691" t="s">
        <v>531</v>
      </c>
      <c r="L356" s="721">
        <v>31102147000116</v>
      </c>
      <c r="M356" s="718" t="s">
        <v>6</v>
      </c>
      <c r="N356" s="717" t="s">
        <v>44</v>
      </c>
      <c r="O356" s="719">
        <v>44621</v>
      </c>
      <c r="P356" s="720">
        <v>44651</v>
      </c>
      <c r="Q356" s="718">
        <v>198.5</v>
      </c>
      <c r="R356" s="717">
        <v>2</v>
      </c>
      <c r="S356" s="691" t="s">
        <v>92</v>
      </c>
      <c r="T356" t="s">
        <v>358</v>
      </c>
      <c r="U356" s="673" t="s">
        <v>358</v>
      </c>
      <c r="V356" s="690" t="s">
        <v>358</v>
      </c>
      <c r="W356" s="657" t="s">
        <v>324</v>
      </c>
      <c r="X356" s="723"/>
      <c r="Y356" s="4"/>
      <c r="Z356" s="4">
        <v>2</v>
      </c>
      <c r="AA356" s="4"/>
      <c r="AB356" s="4"/>
      <c r="AC356" s="4"/>
      <c r="AD356" s="4"/>
      <c r="AE356" s="4"/>
      <c r="AF356" s="4"/>
      <c r="AG356" s="4"/>
      <c r="AH356" s="4"/>
      <c r="AI356" s="654"/>
      <c r="AJ356" s="655"/>
      <c r="AK356" s="4"/>
      <c r="AL356" s="4"/>
      <c r="AM356" s="4"/>
      <c r="AN356" s="4"/>
      <c r="AO356" s="4"/>
      <c r="AP356" s="4"/>
      <c r="AQ356" s="4"/>
      <c r="AR356" s="4"/>
      <c r="AS356" s="4"/>
      <c r="AT356" s="4"/>
      <c r="AU356" s="654"/>
      <c r="AV356" s="655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654"/>
      <c r="BH356" s="655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654"/>
      <c r="BT356" s="655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693"/>
      <c r="CF356" s="723"/>
      <c r="CG356" s="4"/>
      <c r="CH356" s="4">
        <v>198.5</v>
      </c>
      <c r="CI356" s="4"/>
      <c r="CJ356" s="4"/>
      <c r="CK356" s="4"/>
      <c r="CL356" s="4"/>
      <c r="CM356" s="4"/>
      <c r="CN356" s="4"/>
      <c r="CO356" s="4"/>
      <c r="CP356" s="4"/>
      <c r="CQ356" s="654"/>
      <c r="CR356" s="655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654"/>
      <c r="DD356" s="655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654"/>
      <c r="DP356" s="655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654"/>
      <c r="EB356" s="655"/>
      <c r="EC356" s="4"/>
      <c r="ED356" s="4"/>
      <c r="EE356" s="4"/>
      <c r="EF356" s="4"/>
      <c r="EG356" s="4"/>
      <c r="EH356" s="4"/>
      <c r="EI356" s="4"/>
      <c r="EJ356" s="4"/>
      <c r="EK356" s="4"/>
      <c r="EL356" s="4"/>
      <c r="EM356" s="693"/>
      <c r="EN356" s="723"/>
      <c r="EO356" s="4"/>
      <c r="EP356" s="4">
        <v>254.2</v>
      </c>
      <c r="EQ356" s="4"/>
      <c r="ER356" s="4"/>
      <c r="ES356" s="4"/>
      <c r="ET356" s="4"/>
      <c r="EU356" s="4"/>
      <c r="EV356" s="4"/>
      <c r="EW356" s="4"/>
      <c r="EX356" s="4"/>
      <c r="EY356" s="654"/>
      <c r="EZ356" s="655"/>
      <c r="FA356" s="4"/>
      <c r="FB356" s="4"/>
      <c r="FC356" s="4"/>
      <c r="FD356" s="4"/>
      <c r="FE356" s="4"/>
      <c r="FF356" s="4"/>
      <c r="FG356" s="4"/>
      <c r="FH356" s="4"/>
      <c r="FI356" s="4"/>
      <c r="FJ356" s="4"/>
      <c r="FK356" s="654"/>
      <c r="FL356" s="655"/>
      <c r="FM356" s="4"/>
      <c r="FN356" s="4"/>
      <c r="FO356" s="4"/>
      <c r="FP356" s="4"/>
      <c r="FQ356" s="4"/>
      <c r="FR356" s="4"/>
      <c r="FS356" s="4"/>
      <c r="FT356" s="4"/>
      <c r="FU356" s="4"/>
      <c r="FV356" s="4"/>
      <c r="FW356" s="654"/>
      <c r="FX356" s="655"/>
      <c r="FY356" s="4"/>
      <c r="FZ356" s="4"/>
      <c r="GA356" s="4"/>
      <c r="GB356" s="4"/>
      <c r="GC356" s="4"/>
      <c r="GD356" s="4"/>
      <c r="GE356" s="4"/>
      <c r="GF356" s="4"/>
      <c r="GG356" s="4"/>
      <c r="GH356" s="4"/>
      <c r="GI356" s="654"/>
      <c r="GJ356" s="655"/>
      <c r="GK356" s="4"/>
      <c r="GL356" s="4"/>
      <c r="GM356" s="4"/>
      <c r="GN356" s="4"/>
      <c r="GO356" s="4"/>
      <c r="GP356" s="4"/>
      <c r="GQ356" s="4"/>
      <c r="GR356" s="4"/>
      <c r="GS356" s="4"/>
      <c r="GT356" s="4"/>
      <c r="GU356" s="722"/>
      <c r="GV356" s="715"/>
    </row>
    <row r="357" spans="1:204" x14ac:dyDescent="0.25">
      <c r="A357" t="s">
        <v>1524</v>
      </c>
      <c r="B357" s="2" t="s">
        <v>1512</v>
      </c>
      <c r="C357" s="619">
        <v>44651</v>
      </c>
      <c r="D357" s="2" t="s">
        <v>1515</v>
      </c>
      <c r="E357" t="s">
        <v>59</v>
      </c>
      <c r="F357" s="2" t="s">
        <v>43</v>
      </c>
      <c r="G357" t="s">
        <v>40</v>
      </c>
      <c r="H357" s="690" t="s">
        <v>85</v>
      </c>
      <c r="I357" s="691" t="s">
        <v>43</v>
      </c>
      <c r="J357" s="721">
        <v>3780401000108</v>
      </c>
      <c r="K357" s="691" t="s">
        <v>1520</v>
      </c>
      <c r="L357" s="721">
        <v>29270235000185</v>
      </c>
      <c r="M357" s="718" t="s">
        <v>5</v>
      </c>
      <c r="N357" s="717" t="s">
        <v>44</v>
      </c>
      <c r="O357" s="719">
        <v>44621</v>
      </c>
      <c r="P357" s="720">
        <v>44651</v>
      </c>
      <c r="Q357" s="718">
        <v>41</v>
      </c>
      <c r="R357" s="717">
        <v>2</v>
      </c>
      <c r="S357" s="691" t="s">
        <v>92</v>
      </c>
      <c r="T357" t="s">
        <v>358</v>
      </c>
      <c r="U357" s="673" t="s">
        <v>358</v>
      </c>
      <c r="V357" s="690" t="s">
        <v>358</v>
      </c>
      <c r="W357" s="657" t="s">
        <v>324</v>
      </c>
      <c r="X357" s="723"/>
      <c r="Y357" s="4"/>
      <c r="Z357" s="4">
        <v>2</v>
      </c>
      <c r="AA357" s="4"/>
      <c r="AB357" s="4"/>
      <c r="AC357" s="4"/>
      <c r="AD357" s="4"/>
      <c r="AE357" s="4"/>
      <c r="AF357" s="4"/>
      <c r="AG357" s="4"/>
      <c r="AH357" s="4"/>
      <c r="AI357" s="654"/>
      <c r="AJ357" s="655"/>
      <c r="AK357" s="4"/>
      <c r="AL357" s="4"/>
      <c r="AM357" s="4"/>
      <c r="AN357" s="4"/>
      <c r="AO357" s="4"/>
      <c r="AP357" s="4"/>
      <c r="AQ357" s="4"/>
      <c r="AR357" s="4"/>
      <c r="AS357" s="4"/>
      <c r="AT357" s="4"/>
      <c r="AU357" s="654"/>
      <c r="AV357" s="655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654"/>
      <c r="BH357" s="655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654"/>
      <c r="BT357" s="655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693"/>
      <c r="CF357" s="723"/>
      <c r="CG357" s="4"/>
      <c r="CH357" s="4">
        <v>41</v>
      </c>
      <c r="CI357" s="4"/>
      <c r="CJ357" s="4"/>
      <c r="CK357" s="4"/>
      <c r="CL357" s="4"/>
      <c r="CM357" s="4"/>
      <c r="CN357" s="4"/>
      <c r="CO357" s="4"/>
      <c r="CP357" s="4"/>
      <c r="CQ357" s="654"/>
      <c r="CR357" s="655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654"/>
      <c r="DD357" s="655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654"/>
      <c r="DP357" s="655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654"/>
      <c r="EB357" s="655"/>
      <c r="EC357" s="4"/>
      <c r="ED357" s="4"/>
      <c r="EE357" s="4"/>
      <c r="EF357" s="4"/>
      <c r="EG357" s="4"/>
      <c r="EH357" s="4"/>
      <c r="EI357" s="4"/>
      <c r="EJ357" s="4"/>
      <c r="EK357" s="4"/>
      <c r="EL357" s="4"/>
      <c r="EM357" s="693"/>
      <c r="EN357" s="723"/>
      <c r="EO357" s="4"/>
      <c r="EP357" s="4">
        <v>96.7</v>
      </c>
      <c r="EQ357" s="4"/>
      <c r="ER357" s="4"/>
      <c r="ES357" s="4"/>
      <c r="ET357" s="4"/>
      <c r="EU357" s="4"/>
      <c r="EV357" s="4"/>
      <c r="EW357" s="4"/>
      <c r="EX357" s="4"/>
      <c r="EY357" s="654"/>
      <c r="EZ357" s="655"/>
      <c r="FA357" s="4"/>
      <c r="FB357" s="4"/>
      <c r="FC357" s="4"/>
      <c r="FD357" s="4"/>
      <c r="FE357" s="4"/>
      <c r="FF357" s="4"/>
      <c r="FG357" s="4"/>
      <c r="FH357" s="4"/>
      <c r="FI357" s="4"/>
      <c r="FJ357" s="4"/>
      <c r="FK357" s="654"/>
      <c r="FL357" s="655"/>
      <c r="FM357" s="4"/>
      <c r="FN357" s="4"/>
      <c r="FO357" s="4"/>
      <c r="FP357" s="4"/>
      <c r="FQ357" s="4"/>
      <c r="FR357" s="4"/>
      <c r="FS357" s="4"/>
      <c r="FT357" s="4"/>
      <c r="FU357" s="4"/>
      <c r="FV357" s="4"/>
      <c r="FW357" s="654"/>
      <c r="FX357" s="655"/>
      <c r="FY357" s="4"/>
      <c r="FZ357" s="4"/>
      <c r="GA357" s="4"/>
      <c r="GB357" s="4"/>
      <c r="GC357" s="4"/>
      <c r="GD357" s="4"/>
      <c r="GE357" s="4"/>
      <c r="GF357" s="4"/>
      <c r="GG357" s="4"/>
      <c r="GH357" s="4"/>
      <c r="GI357" s="654"/>
      <c r="GJ357" s="655"/>
      <c r="GK357" s="4"/>
      <c r="GL357" s="4"/>
      <c r="GM357" s="4"/>
      <c r="GN357" s="4"/>
      <c r="GO357" s="4"/>
      <c r="GP357" s="4"/>
      <c r="GQ357" s="4"/>
      <c r="GR357" s="4"/>
      <c r="GS357" s="4"/>
      <c r="GT357" s="4"/>
      <c r="GU357" s="722"/>
      <c r="GV357" s="715"/>
    </row>
    <row r="358" spans="1:204" x14ac:dyDescent="0.25">
      <c r="A358" t="s">
        <v>1525</v>
      </c>
      <c r="B358" s="2" t="s">
        <v>358</v>
      </c>
      <c r="C358" s="619">
        <v>44651</v>
      </c>
      <c r="D358" s="2" t="s">
        <v>1516</v>
      </c>
      <c r="E358" t="s">
        <v>59</v>
      </c>
      <c r="F358" s="2" t="s">
        <v>43</v>
      </c>
      <c r="G358" t="s">
        <v>40</v>
      </c>
      <c r="H358" s="690" t="s">
        <v>85</v>
      </c>
      <c r="I358" s="691" t="s">
        <v>43</v>
      </c>
      <c r="J358" s="721">
        <v>3780401000108</v>
      </c>
      <c r="K358" s="691" t="s">
        <v>353</v>
      </c>
      <c r="L358" s="721">
        <v>28758086000135</v>
      </c>
      <c r="M358" s="718" t="s">
        <v>3</v>
      </c>
      <c r="N358" s="717" t="s">
        <v>44</v>
      </c>
      <c r="O358" s="719">
        <v>44682</v>
      </c>
      <c r="P358" s="720">
        <v>44712</v>
      </c>
      <c r="Q358" s="718">
        <v>65</v>
      </c>
      <c r="R358" s="717">
        <v>5</v>
      </c>
      <c r="S358" s="691" t="s">
        <v>54</v>
      </c>
      <c r="T358" t="s">
        <v>358</v>
      </c>
      <c r="U358" s="673" t="s">
        <v>358</v>
      </c>
      <c r="V358" s="690" t="s">
        <v>358</v>
      </c>
      <c r="W358" s="657" t="s">
        <v>214</v>
      </c>
      <c r="X358" s="723"/>
      <c r="Y358" s="4"/>
      <c r="Z358" s="4"/>
      <c r="AA358" s="4"/>
      <c r="AB358" s="4">
        <v>5</v>
      </c>
      <c r="AC358" s="4"/>
      <c r="AD358" s="4"/>
      <c r="AE358" s="4"/>
      <c r="AF358" s="4"/>
      <c r="AG358" s="4"/>
      <c r="AH358" s="4"/>
      <c r="AI358" s="654"/>
      <c r="AJ358" s="655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654"/>
      <c r="AV358" s="655"/>
      <c r="AW358" s="4"/>
      <c r="AX358" s="4"/>
      <c r="AY358" s="4"/>
      <c r="AZ358" s="4"/>
      <c r="BA358" s="4"/>
      <c r="BB358" s="4"/>
      <c r="BC358" s="4"/>
      <c r="BD358" s="4"/>
      <c r="BE358" s="4"/>
      <c r="BF358" s="4"/>
      <c r="BG358" s="654"/>
      <c r="BH358" s="655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654"/>
      <c r="BT358" s="655"/>
      <c r="BU358" s="4"/>
      <c r="BV358" s="4"/>
      <c r="BW358" s="4"/>
      <c r="BX358" s="4"/>
      <c r="BY358" s="4"/>
      <c r="BZ358" s="4"/>
      <c r="CA358" s="4"/>
      <c r="CB358" s="4"/>
      <c r="CC358" s="4"/>
      <c r="CD358" s="4"/>
      <c r="CE358" s="693"/>
      <c r="CF358" s="723"/>
      <c r="CG358" s="4"/>
      <c r="CH358" s="4"/>
      <c r="CI358" s="4"/>
      <c r="CJ358" s="4">
        <v>65</v>
      </c>
      <c r="CK358" s="4"/>
      <c r="CL358" s="4"/>
      <c r="CM358" s="4"/>
      <c r="CN358" s="4"/>
      <c r="CO358" s="4"/>
      <c r="CP358" s="4"/>
      <c r="CQ358" s="654"/>
      <c r="CR358" s="655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654"/>
      <c r="DD358" s="655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654"/>
      <c r="DP358" s="655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654"/>
      <c r="EB358" s="655"/>
      <c r="EC358" s="4"/>
      <c r="ED358" s="4"/>
      <c r="EE358" s="4"/>
      <c r="EF358" s="4"/>
      <c r="EG358" s="4"/>
      <c r="EH358" s="4"/>
      <c r="EI358" s="4"/>
      <c r="EJ358" s="4"/>
      <c r="EK358" s="4"/>
      <c r="EL358" s="4"/>
      <c r="EM358" s="693"/>
      <c r="EN358" s="723"/>
      <c r="EO358" s="4"/>
      <c r="EP358" s="4"/>
      <c r="EQ358" s="4"/>
      <c r="ER358" s="4">
        <v>65</v>
      </c>
      <c r="ES358" s="4"/>
      <c r="ET358" s="4"/>
      <c r="EU358" s="4"/>
      <c r="EV358" s="4"/>
      <c r="EW358" s="4"/>
      <c r="EX358" s="4"/>
      <c r="EY358" s="654"/>
      <c r="EZ358" s="655"/>
      <c r="FA358" s="4"/>
      <c r="FB358" s="4"/>
      <c r="FC358" s="4"/>
      <c r="FD358" s="4"/>
      <c r="FE358" s="4"/>
      <c r="FF358" s="4"/>
      <c r="FG358" s="4"/>
      <c r="FH358" s="4"/>
      <c r="FI358" s="4"/>
      <c r="FJ358" s="4"/>
      <c r="FK358" s="654"/>
      <c r="FL358" s="655"/>
      <c r="FM358" s="4"/>
      <c r="FN358" s="4"/>
      <c r="FO358" s="4"/>
      <c r="FP358" s="4"/>
      <c r="FQ358" s="4"/>
      <c r="FR358" s="4"/>
      <c r="FS358" s="4"/>
      <c r="FT358" s="4"/>
      <c r="FU358" s="4"/>
      <c r="FV358" s="4"/>
      <c r="FW358" s="654"/>
      <c r="FX358" s="655"/>
      <c r="FY358" s="4"/>
      <c r="FZ358" s="4"/>
      <c r="GA358" s="4"/>
      <c r="GB358" s="4"/>
      <c r="GC358" s="4"/>
      <c r="GD358" s="4"/>
      <c r="GE358" s="4"/>
      <c r="GF358" s="4"/>
      <c r="GG358" s="4"/>
      <c r="GH358" s="4"/>
      <c r="GI358" s="654"/>
      <c r="GJ358" s="655"/>
      <c r="GK358" s="4"/>
      <c r="GL358" s="4"/>
      <c r="GM358" s="4"/>
      <c r="GN358" s="4"/>
      <c r="GO358" s="4"/>
      <c r="GP358" s="4"/>
      <c r="GQ358" s="4"/>
      <c r="GR358" s="4"/>
      <c r="GS358" s="4"/>
      <c r="GT358" s="4"/>
      <c r="GU358" s="722"/>
      <c r="GV358" s="715"/>
    </row>
    <row r="359" spans="1:204" x14ac:dyDescent="0.25">
      <c r="A359" t="s">
        <v>1526</v>
      </c>
      <c r="B359" s="2" t="s">
        <v>358</v>
      </c>
      <c r="C359" s="619">
        <v>44651</v>
      </c>
      <c r="D359" s="2" t="s">
        <v>1517</v>
      </c>
      <c r="E359" t="s">
        <v>59</v>
      </c>
      <c r="F359" s="2" t="s">
        <v>43</v>
      </c>
      <c r="G359" t="s">
        <v>40</v>
      </c>
      <c r="H359" s="690" t="s">
        <v>85</v>
      </c>
      <c r="I359" s="691" t="s">
        <v>43</v>
      </c>
      <c r="J359" s="721">
        <v>3780401000108</v>
      </c>
      <c r="K359" s="691" t="s">
        <v>1167</v>
      </c>
      <c r="L359" s="721">
        <v>15087610000141</v>
      </c>
      <c r="M359" s="718" t="s">
        <v>3</v>
      </c>
      <c r="N359" s="717" t="s">
        <v>44</v>
      </c>
      <c r="O359" s="719">
        <v>44682</v>
      </c>
      <c r="P359" s="720">
        <v>44712</v>
      </c>
      <c r="Q359" s="718">
        <v>65</v>
      </c>
      <c r="R359" s="717">
        <v>5</v>
      </c>
      <c r="S359" s="691" t="s">
        <v>54</v>
      </c>
      <c r="T359" t="s">
        <v>358</v>
      </c>
      <c r="U359" s="673" t="s">
        <v>358</v>
      </c>
      <c r="V359" s="690" t="s">
        <v>358</v>
      </c>
      <c r="W359" s="657" t="s">
        <v>214</v>
      </c>
      <c r="X359" s="723"/>
      <c r="Y359" s="4"/>
      <c r="Z359" s="4"/>
      <c r="AA359" s="4"/>
      <c r="AB359" s="4">
        <v>5</v>
      </c>
      <c r="AC359" s="4"/>
      <c r="AD359" s="4"/>
      <c r="AE359" s="4"/>
      <c r="AF359" s="4"/>
      <c r="AG359" s="4"/>
      <c r="AH359" s="4"/>
      <c r="AI359" s="654"/>
      <c r="AJ359" s="655"/>
      <c r="AK359" s="4"/>
      <c r="AL359" s="4"/>
      <c r="AM359" s="4"/>
      <c r="AN359" s="4"/>
      <c r="AO359" s="4"/>
      <c r="AP359" s="4"/>
      <c r="AQ359" s="4"/>
      <c r="AR359" s="4"/>
      <c r="AS359" s="4"/>
      <c r="AT359" s="4"/>
      <c r="AU359" s="654"/>
      <c r="AV359" s="655"/>
      <c r="AW359" s="4"/>
      <c r="AX359" s="4"/>
      <c r="AY359" s="4"/>
      <c r="AZ359" s="4"/>
      <c r="BA359" s="4"/>
      <c r="BB359" s="4"/>
      <c r="BC359" s="4"/>
      <c r="BD359" s="4"/>
      <c r="BE359" s="4"/>
      <c r="BF359" s="4"/>
      <c r="BG359" s="654"/>
      <c r="BH359" s="655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654"/>
      <c r="BT359" s="655"/>
      <c r="BU359" s="4"/>
      <c r="BV359" s="4"/>
      <c r="BW359" s="4"/>
      <c r="BX359" s="4"/>
      <c r="BY359" s="4"/>
      <c r="BZ359" s="4"/>
      <c r="CA359" s="4"/>
      <c r="CB359" s="4"/>
      <c r="CC359" s="4"/>
      <c r="CD359" s="4"/>
      <c r="CE359" s="693"/>
      <c r="CF359" s="723"/>
      <c r="CG359" s="4"/>
      <c r="CH359" s="4"/>
      <c r="CI359" s="4"/>
      <c r="CJ359" s="4">
        <v>65</v>
      </c>
      <c r="CK359" s="4"/>
      <c r="CL359" s="4"/>
      <c r="CM359" s="4"/>
      <c r="CN359" s="4"/>
      <c r="CO359" s="4"/>
      <c r="CP359" s="4"/>
      <c r="CQ359" s="654"/>
      <c r="CR359" s="655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654"/>
      <c r="DD359" s="655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654"/>
      <c r="DP359" s="655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654"/>
      <c r="EB359" s="655"/>
      <c r="EC359" s="4"/>
      <c r="ED359" s="4"/>
      <c r="EE359" s="4"/>
      <c r="EF359" s="4"/>
      <c r="EG359" s="4"/>
      <c r="EH359" s="4"/>
      <c r="EI359" s="4"/>
      <c r="EJ359" s="4"/>
      <c r="EK359" s="4"/>
      <c r="EL359" s="4"/>
      <c r="EM359" s="693"/>
      <c r="EN359" s="723"/>
      <c r="EO359" s="4"/>
      <c r="EP359" s="4"/>
      <c r="EQ359" s="4"/>
      <c r="ER359" s="4">
        <v>65</v>
      </c>
      <c r="ES359" s="4"/>
      <c r="ET359" s="4"/>
      <c r="EU359" s="4"/>
      <c r="EV359" s="4"/>
      <c r="EW359" s="4"/>
      <c r="EX359" s="4"/>
      <c r="EY359" s="654"/>
      <c r="EZ359" s="655"/>
      <c r="FA359" s="4"/>
      <c r="FB359" s="4"/>
      <c r="FC359" s="4"/>
      <c r="FD359" s="4"/>
      <c r="FE359" s="4"/>
      <c r="FF359" s="4"/>
      <c r="FG359" s="4"/>
      <c r="FH359" s="4"/>
      <c r="FI359" s="4"/>
      <c r="FJ359" s="4"/>
      <c r="FK359" s="654"/>
      <c r="FL359" s="655"/>
      <c r="FM359" s="4"/>
      <c r="FN359" s="4"/>
      <c r="FO359" s="4"/>
      <c r="FP359" s="4"/>
      <c r="FQ359" s="4"/>
      <c r="FR359" s="4"/>
      <c r="FS359" s="4"/>
      <c r="FT359" s="4"/>
      <c r="FU359" s="4"/>
      <c r="FV359" s="4"/>
      <c r="FW359" s="654"/>
      <c r="FX359" s="655"/>
      <c r="FY359" s="4"/>
      <c r="FZ359" s="4"/>
      <c r="GA359" s="4"/>
      <c r="GB359" s="4"/>
      <c r="GC359" s="4"/>
      <c r="GD359" s="4"/>
      <c r="GE359" s="4"/>
      <c r="GF359" s="4"/>
      <c r="GG359" s="4"/>
      <c r="GH359" s="4"/>
      <c r="GI359" s="654"/>
      <c r="GJ359" s="655"/>
      <c r="GK359" s="4"/>
      <c r="GL359" s="4"/>
      <c r="GM359" s="4"/>
      <c r="GN359" s="4"/>
      <c r="GO359" s="4"/>
      <c r="GP359" s="4"/>
      <c r="GQ359" s="4"/>
      <c r="GR359" s="4"/>
      <c r="GS359" s="4"/>
      <c r="GT359" s="4"/>
      <c r="GU359" s="722"/>
      <c r="GV359" s="715"/>
    </row>
    <row r="360" spans="1:204" x14ac:dyDescent="0.25">
      <c r="A360" t="s">
        <v>1528</v>
      </c>
      <c r="B360" s="2" t="s">
        <v>1521</v>
      </c>
      <c r="C360" s="619">
        <v>44651</v>
      </c>
      <c r="D360" s="2" t="s">
        <v>1518</v>
      </c>
      <c r="E360" t="s">
        <v>59</v>
      </c>
      <c r="F360" s="2" t="s">
        <v>43</v>
      </c>
      <c r="G360" t="s">
        <v>40</v>
      </c>
      <c r="H360" s="690" t="s">
        <v>85</v>
      </c>
      <c r="I360" s="691" t="s">
        <v>43</v>
      </c>
      <c r="J360" s="721">
        <v>3780401000108</v>
      </c>
      <c r="K360" s="691" t="s">
        <v>1476</v>
      </c>
      <c r="L360" s="721">
        <v>27690671000188</v>
      </c>
      <c r="M360" s="718" t="s">
        <v>5</v>
      </c>
      <c r="N360" s="717" t="s">
        <v>44</v>
      </c>
      <c r="O360" s="719">
        <v>44621</v>
      </c>
      <c r="P360" s="720">
        <v>44651</v>
      </c>
      <c r="Q360" s="718">
        <v>41</v>
      </c>
      <c r="R360" s="717">
        <v>10</v>
      </c>
      <c r="S360" s="691" t="s">
        <v>92</v>
      </c>
      <c r="T360" t="s">
        <v>358</v>
      </c>
      <c r="U360" s="673" t="s">
        <v>358</v>
      </c>
      <c r="V360" s="690" t="s">
        <v>358</v>
      </c>
      <c r="W360" s="657" t="s">
        <v>324</v>
      </c>
      <c r="X360" s="723"/>
      <c r="Y360" s="4"/>
      <c r="Z360" s="4">
        <v>10</v>
      </c>
      <c r="AA360" s="4"/>
      <c r="AB360" s="4"/>
      <c r="AC360" s="4"/>
      <c r="AD360" s="4"/>
      <c r="AE360" s="4"/>
      <c r="AF360" s="4"/>
      <c r="AG360" s="4"/>
      <c r="AH360" s="4"/>
      <c r="AI360" s="654"/>
      <c r="AJ360" s="655"/>
      <c r="AK360" s="4"/>
      <c r="AL360" s="4"/>
      <c r="AM360" s="4"/>
      <c r="AN360" s="4"/>
      <c r="AO360" s="4"/>
      <c r="AP360" s="4"/>
      <c r="AQ360" s="4"/>
      <c r="AR360" s="4"/>
      <c r="AS360" s="4"/>
      <c r="AT360" s="4"/>
      <c r="AU360" s="654"/>
      <c r="AV360" s="655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654"/>
      <c r="BH360" s="655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654"/>
      <c r="BT360" s="655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693"/>
      <c r="CF360" s="723"/>
      <c r="CG360" s="4"/>
      <c r="CH360" s="4">
        <v>41</v>
      </c>
      <c r="CI360" s="4"/>
      <c r="CJ360" s="4"/>
      <c r="CK360" s="4"/>
      <c r="CL360" s="4"/>
      <c r="CM360" s="4"/>
      <c r="CN360" s="4"/>
      <c r="CO360" s="4"/>
      <c r="CP360" s="4"/>
      <c r="CQ360" s="654"/>
      <c r="CR360" s="655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654"/>
      <c r="DD360" s="655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654"/>
      <c r="DP360" s="655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654"/>
      <c r="EB360" s="655"/>
      <c r="EC360" s="4"/>
      <c r="ED360" s="4"/>
      <c r="EE360" s="4"/>
      <c r="EF360" s="4"/>
      <c r="EG360" s="4"/>
      <c r="EH360" s="4"/>
      <c r="EI360" s="4"/>
      <c r="EJ360" s="4"/>
      <c r="EK360" s="4"/>
      <c r="EL360" s="4"/>
      <c r="EM360" s="693"/>
      <c r="EN360" s="723"/>
      <c r="EO360" s="4"/>
      <c r="EP360" s="4">
        <v>96.7</v>
      </c>
      <c r="EQ360" s="4"/>
      <c r="ER360" s="4"/>
      <c r="ES360" s="4"/>
      <c r="ET360" s="4"/>
      <c r="EU360" s="4"/>
      <c r="EV360" s="4"/>
      <c r="EW360" s="4"/>
      <c r="EX360" s="4"/>
      <c r="EY360" s="654"/>
      <c r="EZ360" s="655"/>
      <c r="FA360" s="4"/>
      <c r="FB360" s="4"/>
      <c r="FC360" s="4"/>
      <c r="FD360" s="4"/>
      <c r="FE360" s="4"/>
      <c r="FF360" s="4"/>
      <c r="FG360" s="4"/>
      <c r="FH360" s="4"/>
      <c r="FI360" s="4"/>
      <c r="FJ360" s="4"/>
      <c r="FK360" s="654"/>
      <c r="FL360" s="655"/>
      <c r="FM360" s="4"/>
      <c r="FN360" s="4"/>
      <c r="FO360" s="4"/>
      <c r="FP360" s="4"/>
      <c r="FQ360" s="4"/>
      <c r="FR360" s="4"/>
      <c r="FS360" s="4"/>
      <c r="FT360" s="4"/>
      <c r="FU360" s="4"/>
      <c r="FV360" s="4"/>
      <c r="FW360" s="654"/>
      <c r="FX360" s="655"/>
      <c r="FY360" s="4"/>
      <c r="FZ360" s="4"/>
      <c r="GA360" s="4"/>
      <c r="GB360" s="4"/>
      <c r="GC360" s="4"/>
      <c r="GD360" s="4"/>
      <c r="GE360" s="4"/>
      <c r="GF360" s="4"/>
      <c r="GG360" s="4"/>
      <c r="GH360" s="4"/>
      <c r="GI360" s="654"/>
      <c r="GJ360" s="655"/>
      <c r="GK360" s="4"/>
      <c r="GL360" s="4"/>
      <c r="GM360" s="4"/>
      <c r="GN360" s="4"/>
      <c r="GO360" s="4"/>
      <c r="GP360" s="4"/>
      <c r="GQ360" s="4"/>
      <c r="GR360" s="4"/>
      <c r="GS360" s="4"/>
      <c r="GT360" s="4"/>
      <c r="GU360" s="722"/>
      <c r="GV360" s="715"/>
    </row>
    <row r="361" spans="1:204" x14ac:dyDescent="0.25">
      <c r="A361" t="s">
        <v>1529</v>
      </c>
      <c r="B361" s="2" t="s">
        <v>358</v>
      </c>
      <c r="C361" s="619">
        <v>44651</v>
      </c>
      <c r="D361" s="2" t="s">
        <v>1519</v>
      </c>
      <c r="E361" t="s">
        <v>59</v>
      </c>
      <c r="F361" s="2" t="s">
        <v>43</v>
      </c>
      <c r="G361" t="s">
        <v>40</v>
      </c>
      <c r="H361" s="690" t="s">
        <v>85</v>
      </c>
      <c r="I361" s="691" t="s">
        <v>43</v>
      </c>
      <c r="J361" s="721">
        <v>3780401000108</v>
      </c>
      <c r="K361" s="691" t="s">
        <v>478</v>
      </c>
      <c r="L361" s="721">
        <v>18483400000160</v>
      </c>
      <c r="M361" s="718" t="s">
        <v>3</v>
      </c>
      <c r="N361" s="717" t="s">
        <v>44</v>
      </c>
      <c r="O361" s="719">
        <v>44835</v>
      </c>
      <c r="P361" s="720">
        <v>44926</v>
      </c>
      <c r="Q361" s="718">
        <v>161</v>
      </c>
      <c r="R361" s="717">
        <v>2</v>
      </c>
      <c r="S361" s="691" t="s">
        <v>54</v>
      </c>
      <c r="T361" t="s">
        <v>358</v>
      </c>
      <c r="U361" s="673" t="s">
        <v>358</v>
      </c>
      <c r="V361" s="690" t="s">
        <v>358</v>
      </c>
      <c r="W361" s="657" t="s">
        <v>214</v>
      </c>
      <c r="X361" s="723"/>
      <c r="Y361" s="4"/>
      <c r="Z361" s="4"/>
      <c r="AA361" s="4"/>
      <c r="AB361" s="4"/>
      <c r="AC361" s="4"/>
      <c r="AD361" s="4"/>
      <c r="AE361" s="4"/>
      <c r="AF361" s="4"/>
      <c r="AG361" s="4">
        <v>2</v>
      </c>
      <c r="AH361" s="4">
        <v>2</v>
      </c>
      <c r="AI361" s="654">
        <v>2</v>
      </c>
      <c r="AJ361" s="655"/>
      <c r="AK361" s="4"/>
      <c r="AL361" s="4"/>
      <c r="AM361" s="4"/>
      <c r="AN361" s="4"/>
      <c r="AO361" s="4"/>
      <c r="AP361" s="4"/>
      <c r="AQ361" s="4"/>
      <c r="AR361" s="4"/>
      <c r="AS361" s="4"/>
      <c r="AT361" s="4"/>
      <c r="AU361" s="654"/>
      <c r="AV361" s="655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654"/>
      <c r="BH361" s="655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654"/>
      <c r="BT361" s="655"/>
      <c r="BU361" s="4"/>
      <c r="BV361" s="4"/>
      <c r="BW361" s="4"/>
      <c r="BX361" s="4"/>
      <c r="BY361" s="4"/>
      <c r="BZ361" s="4"/>
      <c r="CA361" s="4"/>
      <c r="CB361" s="4"/>
      <c r="CC361" s="4"/>
      <c r="CD361" s="4"/>
      <c r="CE361" s="693"/>
      <c r="CF361" s="723"/>
      <c r="CG361" s="4"/>
      <c r="CH361" s="4"/>
      <c r="CI361" s="4"/>
      <c r="CJ361" s="4"/>
      <c r="CK361" s="4"/>
      <c r="CL361" s="4"/>
      <c r="CM361" s="4"/>
      <c r="CN361" s="4"/>
      <c r="CO361" s="4">
        <v>161</v>
      </c>
      <c r="CP361" s="4">
        <v>161</v>
      </c>
      <c r="CQ361" s="654">
        <v>161</v>
      </c>
      <c r="CR361" s="655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654"/>
      <c r="DD361" s="655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654"/>
      <c r="DP361" s="655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654"/>
      <c r="EB361" s="655"/>
      <c r="EC361" s="4"/>
      <c r="ED361" s="4"/>
      <c r="EE361" s="4"/>
      <c r="EF361" s="4"/>
      <c r="EG361" s="4"/>
      <c r="EH361" s="4"/>
      <c r="EI361" s="4"/>
      <c r="EJ361" s="4"/>
      <c r="EK361" s="4"/>
      <c r="EL361" s="4"/>
      <c r="EM361" s="693"/>
      <c r="EN361" s="723"/>
      <c r="EO361" s="4"/>
      <c r="EP361" s="4"/>
      <c r="EQ361" s="4"/>
      <c r="ER361" s="4"/>
      <c r="ES361" s="4"/>
      <c r="ET361" s="4"/>
      <c r="EU361" s="4"/>
      <c r="EV361" s="4"/>
      <c r="EW361" s="4">
        <v>161</v>
      </c>
      <c r="EX361" s="4">
        <v>161</v>
      </c>
      <c r="EY361" s="654">
        <v>161</v>
      </c>
      <c r="EZ361" s="655"/>
      <c r="FA361" s="4"/>
      <c r="FB361" s="4"/>
      <c r="FC361" s="4"/>
      <c r="FD361" s="4"/>
      <c r="FE361" s="4"/>
      <c r="FF361" s="4"/>
      <c r="FG361" s="4"/>
      <c r="FH361" s="4"/>
      <c r="FI361" s="4"/>
      <c r="FJ361" s="4"/>
      <c r="FK361" s="654"/>
      <c r="FL361" s="655"/>
      <c r="FM361" s="4"/>
      <c r="FN361" s="4"/>
      <c r="FO361" s="4"/>
      <c r="FP361" s="4"/>
      <c r="FQ361" s="4"/>
      <c r="FR361" s="4"/>
      <c r="FS361" s="4"/>
      <c r="FT361" s="4"/>
      <c r="FU361" s="4"/>
      <c r="FV361" s="4"/>
      <c r="FW361" s="654"/>
      <c r="FX361" s="655"/>
      <c r="FY361" s="4"/>
      <c r="FZ361" s="4"/>
      <c r="GA361" s="4"/>
      <c r="GB361" s="4"/>
      <c r="GC361" s="4"/>
      <c r="GD361" s="4"/>
      <c r="GE361" s="4"/>
      <c r="GF361" s="4"/>
      <c r="GG361" s="4"/>
      <c r="GH361" s="4"/>
      <c r="GI361" s="654"/>
      <c r="GJ361" s="655"/>
      <c r="GK361" s="4"/>
      <c r="GL361" s="4"/>
      <c r="GM361" s="4"/>
      <c r="GN361" s="4"/>
      <c r="GO361" s="4"/>
      <c r="GP361" s="4"/>
      <c r="GQ361" s="4"/>
      <c r="GR361" s="4"/>
      <c r="GS361" s="4"/>
      <c r="GT361" s="4"/>
      <c r="GU361" s="722"/>
      <c r="GV361" s="715"/>
    </row>
    <row r="362" spans="1:204" x14ac:dyDescent="0.25">
      <c r="A362" t="s">
        <v>1533</v>
      </c>
      <c r="B362" s="2" t="s">
        <v>358</v>
      </c>
      <c r="C362" s="619">
        <v>44652</v>
      </c>
      <c r="D362" s="2" t="s">
        <v>1530</v>
      </c>
      <c r="E362" t="s">
        <v>59</v>
      </c>
      <c r="F362" s="2" t="s">
        <v>43</v>
      </c>
      <c r="G362" t="s">
        <v>40</v>
      </c>
      <c r="H362" s="690" t="s">
        <v>85</v>
      </c>
      <c r="I362" s="691" t="s">
        <v>43</v>
      </c>
      <c r="J362" s="721">
        <v>3780401000108</v>
      </c>
      <c r="K362" s="691" t="s">
        <v>585</v>
      </c>
      <c r="L362" s="721">
        <v>33933760000100</v>
      </c>
      <c r="M362" s="718" t="s">
        <v>3</v>
      </c>
      <c r="N362" s="717" t="s">
        <v>44</v>
      </c>
      <c r="O362" s="719">
        <v>44682</v>
      </c>
      <c r="P362" s="720">
        <v>44712</v>
      </c>
      <c r="Q362" s="718">
        <v>66</v>
      </c>
      <c r="R362" s="717">
        <v>17</v>
      </c>
      <c r="S362" s="691" t="s">
        <v>54</v>
      </c>
      <c r="T362" t="s">
        <v>358</v>
      </c>
      <c r="U362" s="673" t="s">
        <v>358</v>
      </c>
      <c r="V362" s="690" t="s">
        <v>358</v>
      </c>
      <c r="W362" s="657" t="s">
        <v>214</v>
      </c>
      <c r="X362" s="723"/>
      <c r="Y362" s="4"/>
      <c r="Z362" s="4"/>
      <c r="AA362" s="4"/>
      <c r="AB362" s="4">
        <v>17</v>
      </c>
      <c r="AC362" s="4"/>
      <c r="AD362" s="4"/>
      <c r="AE362" s="4"/>
      <c r="AF362" s="4"/>
      <c r="AG362" s="4"/>
      <c r="AH362" s="4"/>
      <c r="AI362" s="654"/>
      <c r="AJ362" s="655"/>
      <c r="AK362" s="4"/>
      <c r="AL362" s="4"/>
      <c r="AM362" s="4"/>
      <c r="AN362" s="4"/>
      <c r="AO362" s="4"/>
      <c r="AP362" s="4"/>
      <c r="AQ362" s="4"/>
      <c r="AR362" s="4"/>
      <c r="AS362" s="4"/>
      <c r="AT362" s="4"/>
      <c r="AU362" s="654"/>
      <c r="AV362" s="655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654"/>
      <c r="BH362" s="655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654"/>
      <c r="BT362" s="655"/>
      <c r="BU362" s="4"/>
      <c r="BV362" s="4"/>
      <c r="BW362" s="4"/>
      <c r="BX362" s="4"/>
      <c r="BY362" s="4"/>
      <c r="BZ362" s="4"/>
      <c r="CA362" s="4"/>
      <c r="CB362" s="4"/>
      <c r="CC362" s="4"/>
      <c r="CD362" s="4"/>
      <c r="CE362" s="693"/>
      <c r="CF362" s="723"/>
      <c r="CG362" s="4"/>
      <c r="CH362" s="4"/>
      <c r="CI362" s="4"/>
      <c r="CJ362" s="4">
        <v>66</v>
      </c>
      <c r="CK362" s="4"/>
      <c r="CL362" s="4"/>
      <c r="CM362" s="4"/>
      <c r="CN362" s="4"/>
      <c r="CO362" s="4"/>
      <c r="CP362" s="4"/>
      <c r="CQ362" s="654"/>
      <c r="CR362" s="655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654"/>
      <c r="DD362" s="655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654"/>
      <c r="DP362" s="655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654"/>
      <c r="EB362" s="655"/>
      <c r="EC362" s="4"/>
      <c r="ED362" s="4"/>
      <c r="EE362" s="4"/>
      <c r="EF362" s="4"/>
      <c r="EG362" s="4"/>
      <c r="EH362" s="4"/>
      <c r="EI362" s="4"/>
      <c r="EJ362" s="4"/>
      <c r="EK362" s="4"/>
      <c r="EL362" s="4"/>
      <c r="EM362" s="693"/>
      <c r="EN362" s="723"/>
      <c r="EO362" s="4"/>
      <c r="EP362" s="4"/>
      <c r="EQ362" s="4"/>
      <c r="ER362" s="4">
        <v>66</v>
      </c>
      <c r="ES362" s="4"/>
      <c r="ET362" s="4"/>
      <c r="EU362" s="4"/>
      <c r="EV362" s="4"/>
      <c r="EW362" s="4"/>
      <c r="EX362" s="4"/>
      <c r="EY362" s="654"/>
      <c r="EZ362" s="655"/>
      <c r="FA362" s="4"/>
      <c r="FB362" s="4"/>
      <c r="FC362" s="4"/>
      <c r="FD362" s="4"/>
      <c r="FE362" s="4"/>
      <c r="FF362" s="4"/>
      <c r="FG362" s="4"/>
      <c r="FH362" s="4"/>
      <c r="FI362" s="4"/>
      <c r="FJ362" s="4"/>
      <c r="FK362" s="654"/>
      <c r="FL362" s="655"/>
      <c r="FM362" s="4"/>
      <c r="FN362" s="4"/>
      <c r="FO362" s="4"/>
      <c r="FP362" s="4"/>
      <c r="FQ362" s="4"/>
      <c r="FR362" s="4"/>
      <c r="FS362" s="4"/>
      <c r="FT362" s="4"/>
      <c r="FU362" s="4"/>
      <c r="FV362" s="4"/>
      <c r="FW362" s="654"/>
      <c r="FX362" s="655"/>
      <c r="FY362" s="4"/>
      <c r="FZ362" s="4"/>
      <c r="GA362" s="4"/>
      <c r="GB362" s="4"/>
      <c r="GC362" s="4"/>
      <c r="GD362" s="4"/>
      <c r="GE362" s="4"/>
      <c r="GF362" s="4"/>
      <c r="GG362" s="4"/>
      <c r="GH362" s="4"/>
      <c r="GI362" s="654"/>
      <c r="GJ362" s="655"/>
      <c r="GK362" s="4"/>
      <c r="GL362" s="4"/>
      <c r="GM362" s="4"/>
      <c r="GN362" s="4"/>
      <c r="GO362" s="4"/>
      <c r="GP362" s="4"/>
      <c r="GQ362" s="4"/>
      <c r="GR362" s="4"/>
      <c r="GS362" s="4"/>
      <c r="GT362" s="4"/>
      <c r="GU362" s="722"/>
      <c r="GV362" s="715"/>
    </row>
    <row r="363" spans="1:204" x14ac:dyDescent="0.25">
      <c r="A363" t="s">
        <v>1534</v>
      </c>
      <c r="B363" s="2" t="s">
        <v>358</v>
      </c>
      <c r="C363" s="619">
        <v>44652</v>
      </c>
      <c r="D363" s="2" t="s">
        <v>1531</v>
      </c>
      <c r="E363" t="s">
        <v>59</v>
      </c>
      <c r="F363" s="2" t="s">
        <v>43</v>
      </c>
      <c r="G363" t="s">
        <v>40</v>
      </c>
      <c r="H363" s="690" t="s">
        <v>85</v>
      </c>
      <c r="I363" s="691" t="s">
        <v>43</v>
      </c>
      <c r="J363" s="721">
        <v>3780401000108</v>
      </c>
      <c r="K363" s="691" t="s">
        <v>620</v>
      </c>
      <c r="L363" s="721">
        <v>4149295000113</v>
      </c>
      <c r="M363" s="718" t="s">
        <v>3</v>
      </c>
      <c r="N363" s="717" t="s">
        <v>44</v>
      </c>
      <c r="O363" s="719">
        <v>44835</v>
      </c>
      <c r="P363" s="720">
        <v>44926</v>
      </c>
      <c r="Q363" s="718">
        <v>160</v>
      </c>
      <c r="R363" s="717">
        <v>3</v>
      </c>
      <c r="S363" s="691" t="s">
        <v>54</v>
      </c>
      <c r="T363" t="s">
        <v>358</v>
      </c>
      <c r="U363" s="673" t="s">
        <v>358</v>
      </c>
      <c r="V363" s="690" t="s">
        <v>358</v>
      </c>
      <c r="W363" s="657" t="s">
        <v>214</v>
      </c>
      <c r="X363" s="723"/>
      <c r="Y363" s="4"/>
      <c r="Z363" s="4"/>
      <c r="AA363" s="4"/>
      <c r="AB363" s="4"/>
      <c r="AC363" s="4"/>
      <c r="AD363" s="4"/>
      <c r="AE363" s="4"/>
      <c r="AF363" s="4"/>
      <c r="AG363" s="4">
        <v>3</v>
      </c>
      <c r="AH363" s="4">
        <v>3</v>
      </c>
      <c r="AI363" s="654">
        <v>3</v>
      </c>
      <c r="AJ363" s="655"/>
      <c r="AK363" s="4"/>
      <c r="AL363" s="4"/>
      <c r="AM363" s="4"/>
      <c r="AN363" s="4"/>
      <c r="AO363" s="4"/>
      <c r="AP363" s="4"/>
      <c r="AQ363" s="4"/>
      <c r="AR363" s="4"/>
      <c r="AS363" s="4"/>
      <c r="AT363" s="4"/>
      <c r="AU363" s="654"/>
      <c r="AV363" s="655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654"/>
      <c r="BH363" s="655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654"/>
      <c r="BT363" s="655"/>
      <c r="BU363" s="4"/>
      <c r="BV363" s="4"/>
      <c r="BW363" s="4"/>
      <c r="BX363" s="4"/>
      <c r="BY363" s="4"/>
      <c r="BZ363" s="4"/>
      <c r="CA363" s="4"/>
      <c r="CB363" s="4"/>
      <c r="CC363" s="4"/>
      <c r="CD363" s="4"/>
      <c r="CE363" s="693"/>
      <c r="CF363" s="723"/>
      <c r="CG363" s="4"/>
      <c r="CH363" s="4"/>
      <c r="CI363" s="4"/>
      <c r="CJ363" s="4"/>
      <c r="CK363" s="4"/>
      <c r="CL363" s="4"/>
      <c r="CM363" s="4"/>
      <c r="CN363" s="4"/>
      <c r="CO363" s="4">
        <v>160</v>
      </c>
      <c r="CP363" s="4">
        <v>160</v>
      </c>
      <c r="CQ363" s="654">
        <v>160</v>
      </c>
      <c r="CR363" s="655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654"/>
      <c r="DD363" s="655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654"/>
      <c r="DP363" s="655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654"/>
      <c r="EB363" s="655"/>
      <c r="EC363" s="4"/>
      <c r="ED363" s="4"/>
      <c r="EE363" s="4"/>
      <c r="EF363" s="4"/>
      <c r="EG363" s="4"/>
      <c r="EH363" s="4"/>
      <c r="EI363" s="4"/>
      <c r="EJ363" s="4"/>
      <c r="EK363" s="4"/>
      <c r="EL363" s="4"/>
      <c r="EM363" s="693"/>
      <c r="EN363" s="723"/>
      <c r="EO363" s="4"/>
      <c r="EP363" s="4"/>
      <c r="EQ363" s="4"/>
      <c r="ER363" s="4"/>
      <c r="ES363" s="4"/>
      <c r="ET363" s="4"/>
      <c r="EU363" s="4"/>
      <c r="EV363" s="4"/>
      <c r="EW363" s="4">
        <v>160</v>
      </c>
      <c r="EX363" s="4">
        <v>160</v>
      </c>
      <c r="EY363" s="654">
        <v>160</v>
      </c>
      <c r="EZ363" s="655"/>
      <c r="FA363" s="4"/>
      <c r="FB363" s="4"/>
      <c r="FC363" s="4"/>
      <c r="FD363" s="4"/>
      <c r="FE363" s="4"/>
      <c r="FF363" s="4"/>
      <c r="FG363" s="4"/>
      <c r="FH363" s="4"/>
      <c r="FI363" s="4"/>
      <c r="FJ363" s="4"/>
      <c r="FK363" s="654"/>
      <c r="FL363" s="655"/>
      <c r="FM363" s="4"/>
      <c r="FN363" s="4"/>
      <c r="FO363" s="4"/>
      <c r="FP363" s="4"/>
      <c r="FQ363" s="4"/>
      <c r="FR363" s="4"/>
      <c r="FS363" s="4"/>
      <c r="FT363" s="4"/>
      <c r="FU363" s="4"/>
      <c r="FV363" s="4"/>
      <c r="FW363" s="654"/>
      <c r="FX363" s="655"/>
      <c r="FY363" s="4"/>
      <c r="FZ363" s="4"/>
      <c r="GA363" s="4"/>
      <c r="GB363" s="4"/>
      <c r="GC363" s="4"/>
      <c r="GD363" s="4"/>
      <c r="GE363" s="4"/>
      <c r="GF363" s="4"/>
      <c r="GG363" s="4"/>
      <c r="GH363" s="4"/>
      <c r="GI363" s="654"/>
      <c r="GJ363" s="655"/>
      <c r="GK363" s="4"/>
      <c r="GL363" s="4"/>
      <c r="GM363" s="4"/>
      <c r="GN363" s="4"/>
      <c r="GO363" s="4"/>
      <c r="GP363" s="4"/>
      <c r="GQ363" s="4"/>
      <c r="GR363" s="4"/>
      <c r="GS363" s="4"/>
      <c r="GT363" s="4"/>
      <c r="GU363" s="722"/>
      <c r="GV363" s="715"/>
    </row>
    <row r="364" spans="1:204" x14ac:dyDescent="0.25">
      <c r="A364" t="s">
        <v>1535</v>
      </c>
      <c r="B364" s="2" t="s">
        <v>358</v>
      </c>
      <c r="C364" s="619">
        <v>44652</v>
      </c>
      <c r="D364" s="2" t="s">
        <v>1532</v>
      </c>
      <c r="E364" t="s">
        <v>59</v>
      </c>
      <c r="F364" s="2" t="s">
        <v>43</v>
      </c>
      <c r="G364" t="s">
        <v>40</v>
      </c>
      <c r="H364" s="690" t="s">
        <v>85</v>
      </c>
      <c r="I364" s="691" t="s">
        <v>43</v>
      </c>
      <c r="J364" s="721">
        <v>3780401000108</v>
      </c>
      <c r="K364" s="691" t="s">
        <v>585</v>
      </c>
      <c r="L364" s="721">
        <v>33933760000100</v>
      </c>
      <c r="M364" s="718" t="s">
        <v>3</v>
      </c>
      <c r="N364" s="717" t="s">
        <v>44</v>
      </c>
      <c r="O364" s="719">
        <v>44682</v>
      </c>
      <c r="P364" s="720">
        <v>44712</v>
      </c>
      <c r="Q364" s="718">
        <v>65</v>
      </c>
      <c r="R364" s="717">
        <v>15</v>
      </c>
      <c r="S364" s="691" t="s">
        <v>54</v>
      </c>
      <c r="T364" t="s">
        <v>358</v>
      </c>
      <c r="U364" s="673" t="s">
        <v>358</v>
      </c>
      <c r="V364" s="690" t="s">
        <v>358</v>
      </c>
      <c r="W364" s="657" t="s">
        <v>214</v>
      </c>
      <c r="X364" s="723"/>
      <c r="Y364" s="4"/>
      <c r="Z364" s="4"/>
      <c r="AA364" s="4"/>
      <c r="AB364" s="4">
        <v>15</v>
      </c>
      <c r="AC364" s="4"/>
      <c r="AD364" s="4"/>
      <c r="AE364" s="4"/>
      <c r="AF364" s="4"/>
      <c r="AG364" s="4"/>
      <c r="AH364" s="4"/>
      <c r="AI364" s="654"/>
      <c r="AJ364" s="655"/>
      <c r="AK364" s="4"/>
      <c r="AL364" s="4"/>
      <c r="AM364" s="4"/>
      <c r="AN364" s="4"/>
      <c r="AO364" s="4"/>
      <c r="AP364" s="4"/>
      <c r="AQ364" s="4"/>
      <c r="AR364" s="4"/>
      <c r="AS364" s="4"/>
      <c r="AT364" s="4"/>
      <c r="AU364" s="654"/>
      <c r="AV364" s="655"/>
      <c r="AW364" s="4"/>
      <c r="AX364" s="4"/>
      <c r="AY364" s="4"/>
      <c r="AZ364" s="4"/>
      <c r="BA364" s="4"/>
      <c r="BB364" s="4"/>
      <c r="BC364" s="4"/>
      <c r="BD364" s="4"/>
      <c r="BE364" s="4"/>
      <c r="BF364" s="4"/>
      <c r="BG364" s="654"/>
      <c r="BH364" s="655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654"/>
      <c r="BT364" s="655"/>
      <c r="BU364" s="4"/>
      <c r="BV364" s="4"/>
      <c r="BW364" s="4"/>
      <c r="BX364" s="4"/>
      <c r="BY364" s="4"/>
      <c r="BZ364" s="4"/>
      <c r="CA364" s="4"/>
      <c r="CB364" s="4"/>
      <c r="CC364" s="4"/>
      <c r="CD364" s="4"/>
      <c r="CE364" s="693"/>
      <c r="CF364" s="723"/>
      <c r="CG364" s="4"/>
      <c r="CH364" s="4"/>
      <c r="CI364" s="4"/>
      <c r="CJ364" s="4">
        <v>65</v>
      </c>
      <c r="CK364" s="4"/>
      <c r="CL364" s="4"/>
      <c r="CM364" s="4"/>
      <c r="CN364" s="4"/>
      <c r="CO364" s="4"/>
      <c r="CP364" s="4"/>
      <c r="CQ364" s="654"/>
      <c r="CR364" s="655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654"/>
      <c r="DD364" s="655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654"/>
      <c r="DP364" s="655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654"/>
      <c r="EB364" s="655"/>
      <c r="EC364" s="4"/>
      <c r="ED364" s="4"/>
      <c r="EE364" s="4"/>
      <c r="EF364" s="4"/>
      <c r="EG364" s="4"/>
      <c r="EH364" s="4"/>
      <c r="EI364" s="4"/>
      <c r="EJ364" s="4"/>
      <c r="EK364" s="4"/>
      <c r="EL364" s="4"/>
      <c r="EM364" s="693"/>
      <c r="EN364" s="723"/>
      <c r="EO364" s="4"/>
      <c r="EP364" s="4"/>
      <c r="EQ364" s="4"/>
      <c r="ER364" s="4">
        <v>65</v>
      </c>
      <c r="ES364" s="4"/>
      <c r="ET364" s="4"/>
      <c r="EU364" s="4"/>
      <c r="EV364" s="4"/>
      <c r="EW364" s="4"/>
      <c r="EX364" s="4"/>
      <c r="EY364" s="654"/>
      <c r="EZ364" s="655"/>
      <c r="FA364" s="4"/>
      <c r="FB364" s="4"/>
      <c r="FC364" s="4"/>
      <c r="FD364" s="4"/>
      <c r="FE364" s="4"/>
      <c r="FF364" s="4"/>
      <c r="FG364" s="4"/>
      <c r="FH364" s="4"/>
      <c r="FI364" s="4"/>
      <c r="FJ364" s="4"/>
      <c r="FK364" s="654"/>
      <c r="FL364" s="655"/>
      <c r="FM364" s="4"/>
      <c r="FN364" s="4"/>
      <c r="FO364" s="4"/>
      <c r="FP364" s="4"/>
      <c r="FQ364" s="4"/>
      <c r="FR364" s="4"/>
      <c r="FS364" s="4"/>
      <c r="FT364" s="4"/>
      <c r="FU364" s="4"/>
      <c r="FV364" s="4"/>
      <c r="FW364" s="654"/>
      <c r="FX364" s="655"/>
      <c r="FY364" s="4"/>
      <c r="FZ364" s="4"/>
      <c r="GA364" s="4"/>
      <c r="GB364" s="4"/>
      <c r="GC364" s="4"/>
      <c r="GD364" s="4"/>
      <c r="GE364" s="4"/>
      <c r="GF364" s="4"/>
      <c r="GG364" s="4"/>
      <c r="GH364" s="4"/>
      <c r="GI364" s="654"/>
      <c r="GJ364" s="655"/>
      <c r="GK364" s="4"/>
      <c r="GL364" s="4"/>
      <c r="GM364" s="4"/>
      <c r="GN364" s="4"/>
      <c r="GO364" s="4"/>
      <c r="GP364" s="4"/>
      <c r="GQ364" s="4"/>
      <c r="GR364" s="4"/>
      <c r="GS364" s="4"/>
      <c r="GT364" s="4"/>
      <c r="GU364" s="722"/>
      <c r="GV364" s="715"/>
    </row>
    <row r="365" spans="1:204" x14ac:dyDescent="0.25">
      <c r="A365" t="s">
        <v>1542</v>
      </c>
      <c r="B365" s="2" t="s">
        <v>1523</v>
      </c>
      <c r="C365" s="619">
        <v>44655</v>
      </c>
      <c r="D365" s="2" t="s">
        <v>1536</v>
      </c>
      <c r="E365" t="s">
        <v>59</v>
      </c>
      <c r="F365" s="2" t="s">
        <v>43</v>
      </c>
      <c r="G365" t="s">
        <v>40</v>
      </c>
      <c r="H365" s="690" t="s">
        <v>85</v>
      </c>
      <c r="I365" s="691" t="s">
        <v>43</v>
      </c>
      <c r="J365" s="721">
        <v>3780401000108</v>
      </c>
      <c r="K365" s="691" t="s">
        <v>511</v>
      </c>
      <c r="L365" s="721">
        <v>5352237000155</v>
      </c>
      <c r="M365" s="718" t="s">
        <v>6</v>
      </c>
      <c r="N365" s="717" t="s">
        <v>44</v>
      </c>
      <c r="O365" s="719">
        <v>44621</v>
      </c>
      <c r="P365" s="720">
        <v>44651</v>
      </c>
      <c r="Q365" s="718">
        <v>198</v>
      </c>
      <c r="R365" s="717">
        <v>1.24</v>
      </c>
      <c r="S365" s="691" t="s">
        <v>92</v>
      </c>
      <c r="T365" t="s">
        <v>358</v>
      </c>
      <c r="U365" s="673" t="s">
        <v>358</v>
      </c>
      <c r="V365" s="690" t="s">
        <v>358</v>
      </c>
      <c r="W365" s="657" t="s">
        <v>324</v>
      </c>
      <c r="X365" s="723"/>
      <c r="Y365" s="4"/>
      <c r="Z365" s="4">
        <v>1.24</v>
      </c>
      <c r="AA365" s="4"/>
      <c r="AB365" s="4"/>
      <c r="AC365" s="4"/>
      <c r="AD365" s="4"/>
      <c r="AE365" s="4"/>
      <c r="AF365" s="4"/>
      <c r="AG365" s="4"/>
      <c r="AH365" s="4"/>
      <c r="AI365" s="654"/>
      <c r="AJ365" s="655"/>
      <c r="AK365" s="4"/>
      <c r="AL365" s="4"/>
      <c r="AM365" s="4"/>
      <c r="AN365" s="4"/>
      <c r="AO365" s="4"/>
      <c r="AP365" s="4"/>
      <c r="AQ365" s="4"/>
      <c r="AR365" s="4"/>
      <c r="AS365" s="4"/>
      <c r="AT365" s="4"/>
      <c r="AU365" s="654"/>
      <c r="AV365" s="655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654"/>
      <c r="BH365" s="655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654"/>
      <c r="BT365" s="655"/>
      <c r="BU365" s="4"/>
      <c r="BV365" s="4"/>
      <c r="BW365" s="4"/>
      <c r="BX365" s="4"/>
      <c r="BY365" s="4"/>
      <c r="BZ365" s="4"/>
      <c r="CA365" s="4"/>
      <c r="CB365" s="4"/>
      <c r="CC365" s="4"/>
      <c r="CD365" s="4"/>
      <c r="CE365" s="693"/>
      <c r="CF365" s="723"/>
      <c r="CG365" s="4"/>
      <c r="CH365" s="4">
        <v>198</v>
      </c>
      <c r="CI365" s="4"/>
      <c r="CJ365" s="4"/>
      <c r="CK365" s="4"/>
      <c r="CL365" s="4"/>
      <c r="CM365" s="4"/>
      <c r="CN365" s="4"/>
      <c r="CO365" s="4"/>
      <c r="CP365" s="4"/>
      <c r="CQ365" s="654"/>
      <c r="CR365" s="655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654"/>
      <c r="DD365" s="655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654"/>
      <c r="DP365" s="655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654"/>
      <c r="EB365" s="655"/>
      <c r="EC365" s="4"/>
      <c r="ED365" s="4"/>
      <c r="EE365" s="4"/>
      <c r="EF365" s="4"/>
      <c r="EG365" s="4"/>
      <c r="EH365" s="4"/>
      <c r="EI365" s="4"/>
      <c r="EJ365" s="4"/>
      <c r="EK365" s="4"/>
      <c r="EL365" s="4"/>
      <c r="EM365" s="693"/>
      <c r="EN365" s="723"/>
      <c r="EO365" s="4"/>
      <c r="EP365" s="4">
        <v>253.7</v>
      </c>
      <c r="EQ365" s="4"/>
      <c r="ER365" s="4"/>
      <c r="ES365" s="4"/>
      <c r="ET365" s="4"/>
      <c r="EU365" s="4"/>
      <c r="EV365" s="4"/>
      <c r="EW365" s="4"/>
      <c r="EX365" s="4"/>
      <c r="EY365" s="654"/>
      <c r="EZ365" s="655"/>
      <c r="FA365" s="4"/>
      <c r="FB365" s="4"/>
      <c r="FC365" s="4"/>
      <c r="FD365" s="4"/>
      <c r="FE365" s="4"/>
      <c r="FF365" s="4"/>
      <c r="FG365" s="4"/>
      <c r="FH365" s="4"/>
      <c r="FI365" s="4"/>
      <c r="FJ365" s="4"/>
      <c r="FK365" s="654"/>
      <c r="FL365" s="655"/>
      <c r="FM365" s="4"/>
      <c r="FN365" s="4"/>
      <c r="FO365" s="4"/>
      <c r="FP365" s="4"/>
      <c r="FQ365" s="4"/>
      <c r="FR365" s="4"/>
      <c r="FS365" s="4"/>
      <c r="FT365" s="4"/>
      <c r="FU365" s="4"/>
      <c r="FV365" s="4"/>
      <c r="FW365" s="654"/>
      <c r="FX365" s="655"/>
      <c r="FY365" s="4"/>
      <c r="FZ365" s="4"/>
      <c r="GA365" s="4"/>
      <c r="GB365" s="4"/>
      <c r="GC365" s="4"/>
      <c r="GD365" s="4"/>
      <c r="GE365" s="4"/>
      <c r="GF365" s="4"/>
      <c r="GG365" s="4"/>
      <c r="GH365" s="4"/>
      <c r="GI365" s="654"/>
      <c r="GJ365" s="655"/>
      <c r="GK365" s="4"/>
      <c r="GL365" s="4"/>
      <c r="GM365" s="4"/>
      <c r="GN365" s="4"/>
      <c r="GO365" s="4"/>
      <c r="GP365" s="4"/>
      <c r="GQ365" s="4"/>
      <c r="GR365" s="4"/>
      <c r="GS365" s="4"/>
      <c r="GT365" s="4"/>
      <c r="GU365" s="722"/>
      <c r="GV365" s="715"/>
    </row>
    <row r="366" spans="1:204" x14ac:dyDescent="0.25">
      <c r="A366" t="s">
        <v>1544</v>
      </c>
      <c r="B366" s="2" t="s">
        <v>1527</v>
      </c>
      <c r="C366" s="619">
        <v>44655</v>
      </c>
      <c r="D366" s="2" t="s">
        <v>1537</v>
      </c>
      <c r="E366" t="s">
        <v>59</v>
      </c>
      <c r="F366" s="2" t="s">
        <v>43</v>
      </c>
      <c r="G366" t="s">
        <v>40</v>
      </c>
      <c r="H366" s="690" t="s">
        <v>85</v>
      </c>
      <c r="I366" s="691" t="s">
        <v>43</v>
      </c>
      <c r="J366" s="721">
        <v>3780401000108</v>
      </c>
      <c r="K366" s="691" t="s">
        <v>466</v>
      </c>
      <c r="L366" s="721">
        <v>26940979000171</v>
      </c>
      <c r="M366" s="718" t="s">
        <v>6</v>
      </c>
      <c r="N366" s="717" t="s">
        <v>44</v>
      </c>
      <c r="O366" s="719">
        <v>44621</v>
      </c>
      <c r="P366" s="720">
        <v>44651</v>
      </c>
      <c r="Q366" s="718">
        <v>201</v>
      </c>
      <c r="R366" s="717">
        <v>0.3</v>
      </c>
      <c r="S366" s="691" t="s">
        <v>92</v>
      </c>
      <c r="T366" t="s">
        <v>358</v>
      </c>
      <c r="U366" s="673" t="s">
        <v>358</v>
      </c>
      <c r="V366" s="690" t="s">
        <v>358</v>
      </c>
      <c r="W366" s="657" t="s">
        <v>324</v>
      </c>
      <c r="X366" s="723"/>
      <c r="Y366" s="4"/>
      <c r="Z366" s="4">
        <v>0.3</v>
      </c>
      <c r="AA366" s="4"/>
      <c r="AB366" s="4"/>
      <c r="AC366" s="4"/>
      <c r="AD366" s="4"/>
      <c r="AE366" s="4"/>
      <c r="AF366" s="4"/>
      <c r="AG366" s="4"/>
      <c r="AH366" s="4"/>
      <c r="AI366" s="654"/>
      <c r="AJ366" s="655"/>
      <c r="AK366" s="4"/>
      <c r="AL366" s="4"/>
      <c r="AM366" s="4"/>
      <c r="AN366" s="4"/>
      <c r="AO366" s="4"/>
      <c r="AP366" s="4"/>
      <c r="AQ366" s="4"/>
      <c r="AR366" s="4"/>
      <c r="AS366" s="4"/>
      <c r="AT366" s="4"/>
      <c r="AU366" s="654"/>
      <c r="AV366" s="655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654"/>
      <c r="BH366" s="655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654"/>
      <c r="BT366" s="655"/>
      <c r="BU366" s="4"/>
      <c r="BV366" s="4"/>
      <c r="BW366" s="4"/>
      <c r="BX366" s="4"/>
      <c r="BY366" s="4"/>
      <c r="BZ366" s="4"/>
      <c r="CA366" s="4"/>
      <c r="CB366" s="4"/>
      <c r="CC366" s="4"/>
      <c r="CD366" s="4"/>
      <c r="CE366" s="693"/>
      <c r="CF366" s="723"/>
      <c r="CG366" s="4"/>
      <c r="CH366" s="4">
        <v>201</v>
      </c>
      <c r="CI366" s="4"/>
      <c r="CJ366" s="4"/>
      <c r="CK366" s="4"/>
      <c r="CL366" s="4"/>
      <c r="CM366" s="4"/>
      <c r="CN366" s="4"/>
      <c r="CO366" s="4"/>
      <c r="CP366" s="4"/>
      <c r="CQ366" s="654"/>
      <c r="CR366" s="655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654"/>
      <c r="DD366" s="655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654"/>
      <c r="DP366" s="655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654"/>
      <c r="EB366" s="655"/>
      <c r="EC366" s="4"/>
      <c r="ED366" s="4"/>
      <c r="EE366" s="4"/>
      <c r="EF366" s="4"/>
      <c r="EG366" s="4"/>
      <c r="EH366" s="4"/>
      <c r="EI366" s="4"/>
      <c r="EJ366" s="4"/>
      <c r="EK366" s="4"/>
      <c r="EL366" s="4"/>
      <c r="EM366" s="693"/>
      <c r="EN366" s="723"/>
      <c r="EO366" s="4"/>
      <c r="EP366" s="4">
        <v>256.7</v>
      </c>
      <c r="EQ366" s="4"/>
      <c r="ER366" s="4"/>
      <c r="ES366" s="4"/>
      <c r="ET366" s="4"/>
      <c r="EU366" s="4"/>
      <c r="EV366" s="4"/>
      <c r="EW366" s="4"/>
      <c r="EX366" s="4"/>
      <c r="EY366" s="654"/>
      <c r="EZ366" s="655"/>
      <c r="FA366" s="4"/>
      <c r="FB366" s="4"/>
      <c r="FC366" s="4"/>
      <c r="FD366" s="4"/>
      <c r="FE366" s="4"/>
      <c r="FF366" s="4"/>
      <c r="FG366" s="4"/>
      <c r="FH366" s="4"/>
      <c r="FI366" s="4"/>
      <c r="FJ366" s="4"/>
      <c r="FK366" s="654"/>
      <c r="FL366" s="655"/>
      <c r="FM366" s="4"/>
      <c r="FN366" s="4"/>
      <c r="FO366" s="4"/>
      <c r="FP366" s="4"/>
      <c r="FQ366" s="4"/>
      <c r="FR366" s="4"/>
      <c r="FS366" s="4"/>
      <c r="FT366" s="4"/>
      <c r="FU366" s="4"/>
      <c r="FV366" s="4"/>
      <c r="FW366" s="654"/>
      <c r="FX366" s="655"/>
      <c r="FY366" s="4"/>
      <c r="FZ366" s="4"/>
      <c r="GA366" s="4"/>
      <c r="GB366" s="4"/>
      <c r="GC366" s="4"/>
      <c r="GD366" s="4"/>
      <c r="GE366" s="4"/>
      <c r="GF366" s="4"/>
      <c r="GG366" s="4"/>
      <c r="GH366" s="4"/>
      <c r="GI366" s="654"/>
      <c r="GJ366" s="655"/>
      <c r="GK366" s="4"/>
      <c r="GL366" s="4"/>
      <c r="GM366" s="4"/>
      <c r="GN366" s="4"/>
      <c r="GO366" s="4"/>
      <c r="GP366" s="4"/>
      <c r="GQ366" s="4"/>
      <c r="GR366" s="4"/>
      <c r="GS366" s="4"/>
      <c r="GT366" s="4"/>
      <c r="GU366" s="722"/>
      <c r="GV366" s="715"/>
    </row>
    <row r="367" spans="1:204" x14ac:dyDescent="0.25">
      <c r="A367" t="s">
        <v>1546</v>
      </c>
      <c r="B367" s="2" t="s">
        <v>1541</v>
      </c>
      <c r="C367" s="619">
        <v>44655</v>
      </c>
      <c r="D367" s="2" t="s">
        <v>1538</v>
      </c>
      <c r="E367" t="s">
        <v>59</v>
      </c>
      <c r="F367" s="2" t="s">
        <v>43</v>
      </c>
      <c r="G367" t="s">
        <v>40</v>
      </c>
      <c r="H367" s="690" t="s">
        <v>85</v>
      </c>
      <c r="I367" s="691" t="s">
        <v>43</v>
      </c>
      <c r="J367" s="721">
        <v>3780401000108</v>
      </c>
      <c r="K367" s="691" t="s">
        <v>1540</v>
      </c>
      <c r="L367" s="721">
        <v>24510849000173</v>
      </c>
      <c r="M367" s="718" t="s">
        <v>6</v>
      </c>
      <c r="N367" s="717" t="s">
        <v>44</v>
      </c>
      <c r="O367" s="719">
        <v>44621</v>
      </c>
      <c r="P367" s="720">
        <v>44651</v>
      </c>
      <c r="Q367" s="718">
        <v>198</v>
      </c>
      <c r="R367" s="717">
        <v>1</v>
      </c>
      <c r="S367" s="691" t="s">
        <v>92</v>
      </c>
      <c r="T367" t="s">
        <v>358</v>
      </c>
      <c r="U367" s="673" t="s">
        <v>358</v>
      </c>
      <c r="V367" s="690" t="s">
        <v>358</v>
      </c>
      <c r="W367" s="657" t="s">
        <v>324</v>
      </c>
      <c r="X367" s="723"/>
      <c r="Y367" s="4"/>
      <c r="Z367" s="4">
        <v>1</v>
      </c>
      <c r="AA367" s="4"/>
      <c r="AB367" s="4"/>
      <c r="AC367" s="4"/>
      <c r="AD367" s="4"/>
      <c r="AE367" s="4"/>
      <c r="AF367" s="4"/>
      <c r="AG367" s="4"/>
      <c r="AH367" s="4"/>
      <c r="AI367" s="654"/>
      <c r="AJ367" s="655"/>
      <c r="AK367" s="4"/>
      <c r="AL367" s="4"/>
      <c r="AM367" s="4"/>
      <c r="AN367" s="4"/>
      <c r="AO367" s="4"/>
      <c r="AP367" s="4"/>
      <c r="AQ367" s="4"/>
      <c r="AR367" s="4"/>
      <c r="AS367" s="4"/>
      <c r="AT367" s="4"/>
      <c r="AU367" s="654"/>
      <c r="AV367" s="655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654"/>
      <c r="BH367" s="655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654"/>
      <c r="BT367" s="655"/>
      <c r="BU367" s="4"/>
      <c r="BV367" s="4"/>
      <c r="BW367" s="4"/>
      <c r="BX367" s="4"/>
      <c r="BY367" s="4"/>
      <c r="BZ367" s="4"/>
      <c r="CA367" s="4"/>
      <c r="CB367" s="4"/>
      <c r="CC367" s="4"/>
      <c r="CD367" s="4"/>
      <c r="CE367" s="693"/>
      <c r="CF367" s="723"/>
      <c r="CG367" s="4"/>
      <c r="CH367" s="4">
        <v>198</v>
      </c>
      <c r="CI367" s="4"/>
      <c r="CJ367" s="4"/>
      <c r="CK367" s="4"/>
      <c r="CL367" s="4"/>
      <c r="CM367" s="4"/>
      <c r="CN367" s="4"/>
      <c r="CO367" s="4"/>
      <c r="CP367" s="4"/>
      <c r="CQ367" s="654"/>
      <c r="CR367" s="655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654"/>
      <c r="DD367" s="655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654"/>
      <c r="DP367" s="655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654"/>
      <c r="EB367" s="655"/>
      <c r="EC367" s="4"/>
      <c r="ED367" s="4"/>
      <c r="EE367" s="4"/>
      <c r="EF367" s="4"/>
      <c r="EG367" s="4"/>
      <c r="EH367" s="4"/>
      <c r="EI367" s="4"/>
      <c r="EJ367" s="4"/>
      <c r="EK367" s="4"/>
      <c r="EL367" s="4"/>
      <c r="EM367" s="693"/>
      <c r="EN367" s="723"/>
      <c r="EO367" s="4"/>
      <c r="EP367" s="4">
        <v>253.7</v>
      </c>
      <c r="EQ367" s="4"/>
      <c r="ER367" s="4"/>
      <c r="ES367" s="4"/>
      <c r="ET367" s="4"/>
      <c r="EU367" s="4"/>
      <c r="EV367" s="4"/>
      <c r="EW367" s="4"/>
      <c r="EX367" s="4"/>
      <c r="EY367" s="654"/>
      <c r="EZ367" s="655"/>
      <c r="FA367" s="4"/>
      <c r="FB367" s="4"/>
      <c r="FC367" s="4"/>
      <c r="FD367" s="4"/>
      <c r="FE367" s="4"/>
      <c r="FF367" s="4"/>
      <c r="FG367" s="4"/>
      <c r="FH367" s="4"/>
      <c r="FI367" s="4"/>
      <c r="FJ367" s="4"/>
      <c r="FK367" s="654"/>
      <c r="FL367" s="655"/>
      <c r="FM367" s="4"/>
      <c r="FN367" s="4"/>
      <c r="FO367" s="4"/>
      <c r="FP367" s="4"/>
      <c r="FQ367" s="4"/>
      <c r="FR367" s="4"/>
      <c r="FS367" s="4"/>
      <c r="FT367" s="4"/>
      <c r="FU367" s="4"/>
      <c r="FV367" s="4"/>
      <c r="FW367" s="654"/>
      <c r="FX367" s="655"/>
      <c r="FY367" s="4"/>
      <c r="FZ367" s="4"/>
      <c r="GA367" s="4"/>
      <c r="GB367" s="4"/>
      <c r="GC367" s="4"/>
      <c r="GD367" s="4"/>
      <c r="GE367" s="4"/>
      <c r="GF367" s="4"/>
      <c r="GG367" s="4"/>
      <c r="GH367" s="4"/>
      <c r="GI367" s="654"/>
      <c r="GJ367" s="655"/>
      <c r="GK367" s="4"/>
      <c r="GL367" s="4"/>
      <c r="GM367" s="4"/>
      <c r="GN367" s="4"/>
      <c r="GO367" s="4"/>
      <c r="GP367" s="4"/>
      <c r="GQ367" s="4"/>
      <c r="GR367" s="4"/>
      <c r="GS367" s="4"/>
      <c r="GT367" s="4"/>
      <c r="GU367" s="722"/>
      <c r="GV367" s="715"/>
    </row>
    <row r="368" spans="1:204" x14ac:dyDescent="0.25">
      <c r="A368" t="s">
        <v>1548</v>
      </c>
      <c r="B368" s="2" t="s">
        <v>1543</v>
      </c>
      <c r="C368" s="619">
        <v>44655</v>
      </c>
      <c r="D368" s="2" t="s">
        <v>1539</v>
      </c>
      <c r="E368" t="s">
        <v>59</v>
      </c>
      <c r="F368" s="2" t="s">
        <v>43</v>
      </c>
      <c r="G368" t="s">
        <v>40</v>
      </c>
      <c r="H368" s="690" t="s">
        <v>85</v>
      </c>
      <c r="I368" s="691" t="s">
        <v>43</v>
      </c>
      <c r="J368" s="721">
        <v>3780401000108</v>
      </c>
      <c r="K368" s="691" t="s">
        <v>502</v>
      </c>
      <c r="L368" s="721">
        <v>4270778000171</v>
      </c>
      <c r="M368" s="718" t="s">
        <v>6</v>
      </c>
      <c r="N368" s="717" t="s">
        <v>44</v>
      </c>
      <c r="O368" s="719">
        <v>44621</v>
      </c>
      <c r="P368" s="720">
        <v>44651</v>
      </c>
      <c r="Q368" s="718">
        <v>198</v>
      </c>
      <c r="R368" s="717">
        <v>2.8</v>
      </c>
      <c r="S368" s="691" t="s">
        <v>92</v>
      </c>
      <c r="T368" t="s">
        <v>358</v>
      </c>
      <c r="U368" s="673" t="s">
        <v>358</v>
      </c>
      <c r="V368" s="690" t="s">
        <v>358</v>
      </c>
      <c r="W368" s="657" t="s">
        <v>324</v>
      </c>
      <c r="X368" s="723"/>
      <c r="Y368" s="4"/>
      <c r="Z368" s="4">
        <v>2.8</v>
      </c>
      <c r="AA368" s="4"/>
      <c r="AB368" s="4"/>
      <c r="AC368" s="4"/>
      <c r="AD368" s="4"/>
      <c r="AE368" s="4"/>
      <c r="AF368" s="4"/>
      <c r="AG368" s="4"/>
      <c r="AH368" s="4"/>
      <c r="AI368" s="654"/>
      <c r="AJ368" s="655"/>
      <c r="AK368" s="4"/>
      <c r="AL368" s="4"/>
      <c r="AM368" s="4"/>
      <c r="AN368" s="4"/>
      <c r="AO368" s="4"/>
      <c r="AP368" s="4"/>
      <c r="AQ368" s="4"/>
      <c r="AR368" s="4"/>
      <c r="AS368" s="4"/>
      <c r="AT368" s="4"/>
      <c r="AU368" s="654"/>
      <c r="AV368" s="655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654"/>
      <c r="BH368" s="655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654"/>
      <c r="BT368" s="655"/>
      <c r="BU368" s="4"/>
      <c r="BV368" s="4"/>
      <c r="BW368" s="4"/>
      <c r="BX368" s="4"/>
      <c r="BY368" s="4"/>
      <c r="BZ368" s="4"/>
      <c r="CA368" s="4"/>
      <c r="CB368" s="4"/>
      <c r="CC368" s="4"/>
      <c r="CD368" s="4"/>
      <c r="CE368" s="693"/>
      <c r="CF368" s="723"/>
      <c r="CG368" s="4"/>
      <c r="CH368" s="4">
        <v>198</v>
      </c>
      <c r="CI368" s="4"/>
      <c r="CJ368" s="4"/>
      <c r="CK368" s="4"/>
      <c r="CL368" s="4"/>
      <c r="CM368" s="4"/>
      <c r="CN368" s="4"/>
      <c r="CO368" s="4"/>
      <c r="CP368" s="4"/>
      <c r="CQ368" s="654"/>
      <c r="CR368" s="655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654"/>
      <c r="DD368" s="655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654"/>
      <c r="DP368" s="655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654"/>
      <c r="EB368" s="655"/>
      <c r="EC368" s="4"/>
      <c r="ED368" s="4"/>
      <c r="EE368" s="4"/>
      <c r="EF368" s="4"/>
      <c r="EG368" s="4"/>
      <c r="EH368" s="4"/>
      <c r="EI368" s="4"/>
      <c r="EJ368" s="4"/>
      <c r="EK368" s="4"/>
      <c r="EL368" s="4"/>
      <c r="EM368" s="693"/>
      <c r="EN368" s="723"/>
      <c r="EO368" s="4"/>
      <c r="EP368" s="4">
        <v>253.7</v>
      </c>
      <c r="EQ368" s="4"/>
      <c r="ER368" s="4"/>
      <c r="ES368" s="4"/>
      <c r="ET368" s="4"/>
      <c r="EU368" s="4"/>
      <c r="EV368" s="4"/>
      <c r="EW368" s="4"/>
      <c r="EX368" s="4"/>
      <c r="EY368" s="654"/>
      <c r="EZ368" s="655"/>
      <c r="FA368" s="4"/>
      <c r="FB368" s="4"/>
      <c r="FC368" s="4"/>
      <c r="FD368" s="4"/>
      <c r="FE368" s="4"/>
      <c r="FF368" s="4"/>
      <c r="FG368" s="4"/>
      <c r="FH368" s="4"/>
      <c r="FI368" s="4"/>
      <c r="FJ368" s="4"/>
      <c r="FK368" s="654"/>
      <c r="FL368" s="655"/>
      <c r="FM368" s="4"/>
      <c r="FN368" s="4"/>
      <c r="FO368" s="4"/>
      <c r="FP368" s="4"/>
      <c r="FQ368" s="4"/>
      <c r="FR368" s="4"/>
      <c r="FS368" s="4"/>
      <c r="FT368" s="4"/>
      <c r="FU368" s="4"/>
      <c r="FV368" s="4"/>
      <c r="FW368" s="654"/>
      <c r="FX368" s="655"/>
      <c r="FY368" s="4"/>
      <c r="FZ368" s="4"/>
      <c r="GA368" s="4"/>
      <c r="GB368" s="4"/>
      <c r="GC368" s="4"/>
      <c r="GD368" s="4"/>
      <c r="GE368" s="4"/>
      <c r="GF368" s="4"/>
      <c r="GG368" s="4"/>
      <c r="GH368" s="4"/>
      <c r="GI368" s="654"/>
      <c r="GJ368" s="655"/>
      <c r="GK368" s="4"/>
      <c r="GL368" s="4"/>
      <c r="GM368" s="4"/>
      <c r="GN368" s="4"/>
      <c r="GO368" s="4"/>
      <c r="GP368" s="4"/>
      <c r="GQ368" s="4"/>
      <c r="GR368" s="4"/>
      <c r="GS368" s="4"/>
      <c r="GT368" s="4"/>
      <c r="GU368" s="722"/>
      <c r="GV368" s="715"/>
    </row>
    <row r="369" spans="1:204" x14ac:dyDescent="0.25">
      <c r="A369" t="s">
        <v>1556</v>
      </c>
      <c r="B369" s="2" t="s">
        <v>1545</v>
      </c>
      <c r="C369" s="619">
        <v>44656</v>
      </c>
      <c r="D369" s="2" t="s">
        <v>1549</v>
      </c>
      <c r="E369" t="s">
        <v>59</v>
      </c>
      <c r="F369" s="2" t="s">
        <v>43</v>
      </c>
      <c r="G369" t="s">
        <v>40</v>
      </c>
      <c r="H369" s="690" t="s">
        <v>85</v>
      </c>
      <c r="I369" s="691" t="s">
        <v>43</v>
      </c>
      <c r="J369" s="721">
        <v>3780401000108</v>
      </c>
      <c r="K369" s="691" t="s">
        <v>620</v>
      </c>
      <c r="L369" s="721">
        <v>4149295000113</v>
      </c>
      <c r="M369" s="718" t="s">
        <v>5</v>
      </c>
      <c r="N369" s="717" t="s">
        <v>44</v>
      </c>
      <c r="O369" s="719">
        <v>44621</v>
      </c>
      <c r="P369" s="720">
        <v>44651</v>
      </c>
      <c r="Q369" s="718">
        <v>40</v>
      </c>
      <c r="R369" s="717">
        <v>2</v>
      </c>
      <c r="S369" s="691" t="s">
        <v>92</v>
      </c>
      <c r="T369" t="s">
        <v>358</v>
      </c>
      <c r="U369" s="673" t="s">
        <v>358</v>
      </c>
      <c r="V369" s="690" t="s">
        <v>358</v>
      </c>
      <c r="W369" s="657" t="s">
        <v>324</v>
      </c>
      <c r="X369" s="723"/>
      <c r="Y369" s="4"/>
      <c r="Z369" s="4">
        <v>2</v>
      </c>
      <c r="AA369" s="4"/>
      <c r="AB369" s="4"/>
      <c r="AC369" s="4"/>
      <c r="AD369" s="4"/>
      <c r="AE369" s="4"/>
      <c r="AF369" s="4"/>
      <c r="AG369" s="4"/>
      <c r="AH369" s="4"/>
      <c r="AI369" s="654"/>
      <c r="AJ369" s="655"/>
      <c r="AK369" s="4"/>
      <c r="AL369" s="4"/>
      <c r="AM369" s="4"/>
      <c r="AN369" s="4"/>
      <c r="AO369" s="4"/>
      <c r="AP369" s="4"/>
      <c r="AQ369" s="4"/>
      <c r="AR369" s="4"/>
      <c r="AS369" s="4"/>
      <c r="AT369" s="4"/>
      <c r="AU369" s="654"/>
      <c r="AV369" s="655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654"/>
      <c r="BH369" s="655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654"/>
      <c r="BT369" s="655"/>
      <c r="BU369" s="4"/>
      <c r="BV369" s="4"/>
      <c r="BW369" s="4"/>
      <c r="BX369" s="4"/>
      <c r="BY369" s="4"/>
      <c r="BZ369" s="4"/>
      <c r="CA369" s="4"/>
      <c r="CB369" s="4"/>
      <c r="CC369" s="4"/>
      <c r="CD369" s="4"/>
      <c r="CE369" s="693"/>
      <c r="CF369" s="723"/>
      <c r="CG369" s="4"/>
      <c r="CH369" s="4">
        <v>40</v>
      </c>
      <c r="CI369" s="4"/>
      <c r="CJ369" s="4"/>
      <c r="CK369" s="4"/>
      <c r="CL369" s="4"/>
      <c r="CM369" s="4"/>
      <c r="CN369" s="4"/>
      <c r="CO369" s="4"/>
      <c r="CP369" s="4"/>
      <c r="CQ369" s="654"/>
      <c r="CR369" s="655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654"/>
      <c r="DD369" s="655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654"/>
      <c r="DP369" s="655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654"/>
      <c r="EB369" s="655"/>
      <c r="EC369" s="4"/>
      <c r="ED369" s="4"/>
      <c r="EE369" s="4"/>
      <c r="EF369" s="4"/>
      <c r="EG369" s="4"/>
      <c r="EH369" s="4"/>
      <c r="EI369" s="4"/>
      <c r="EJ369" s="4"/>
      <c r="EK369" s="4"/>
      <c r="EL369" s="4"/>
      <c r="EM369" s="693"/>
      <c r="EN369" s="723"/>
      <c r="EO369" s="4"/>
      <c r="EP369" s="4">
        <v>95.7</v>
      </c>
      <c r="EQ369" s="4"/>
      <c r="ER369" s="4"/>
      <c r="ES369" s="4"/>
      <c r="ET369" s="4"/>
      <c r="EU369" s="4"/>
      <c r="EV369" s="4"/>
      <c r="EW369" s="4"/>
      <c r="EX369" s="4"/>
      <c r="EY369" s="654"/>
      <c r="EZ369" s="655"/>
      <c r="FA369" s="4"/>
      <c r="FB369" s="4"/>
      <c r="FC369" s="4"/>
      <c r="FD369" s="4"/>
      <c r="FE369" s="4"/>
      <c r="FF369" s="4"/>
      <c r="FG369" s="4"/>
      <c r="FH369" s="4"/>
      <c r="FI369" s="4"/>
      <c r="FJ369" s="4"/>
      <c r="FK369" s="654"/>
      <c r="FL369" s="655"/>
      <c r="FM369" s="4"/>
      <c r="FN369" s="4"/>
      <c r="FO369" s="4"/>
      <c r="FP369" s="4"/>
      <c r="FQ369" s="4"/>
      <c r="FR369" s="4"/>
      <c r="FS369" s="4"/>
      <c r="FT369" s="4"/>
      <c r="FU369" s="4"/>
      <c r="FV369" s="4"/>
      <c r="FW369" s="654"/>
      <c r="FX369" s="655"/>
      <c r="FY369" s="4"/>
      <c r="FZ369" s="4"/>
      <c r="GA369" s="4"/>
      <c r="GB369" s="4"/>
      <c r="GC369" s="4"/>
      <c r="GD369" s="4"/>
      <c r="GE369" s="4"/>
      <c r="GF369" s="4"/>
      <c r="GG369" s="4"/>
      <c r="GH369" s="4"/>
      <c r="GI369" s="654"/>
      <c r="GJ369" s="655"/>
      <c r="GK369" s="4"/>
      <c r="GL369" s="4"/>
      <c r="GM369" s="4"/>
      <c r="GN369" s="4"/>
      <c r="GO369" s="4"/>
      <c r="GP369" s="4"/>
      <c r="GQ369" s="4"/>
      <c r="GR369" s="4"/>
      <c r="GS369" s="4"/>
      <c r="GT369" s="4"/>
      <c r="GU369" s="722"/>
      <c r="GV369" s="715"/>
    </row>
    <row r="370" spans="1:204" x14ac:dyDescent="0.25">
      <c r="A370" t="s">
        <v>1557</v>
      </c>
      <c r="B370" s="2" t="s">
        <v>1547</v>
      </c>
      <c r="C370" s="619">
        <v>44656</v>
      </c>
      <c r="D370" s="2" t="s">
        <v>1550</v>
      </c>
      <c r="E370" t="s">
        <v>59</v>
      </c>
      <c r="F370" s="2" t="s">
        <v>43</v>
      </c>
      <c r="G370" t="s">
        <v>40</v>
      </c>
      <c r="H370" s="690" t="s">
        <v>85</v>
      </c>
      <c r="I370" s="691" t="s">
        <v>43</v>
      </c>
      <c r="J370" s="721">
        <v>3780401000108</v>
      </c>
      <c r="K370" s="691" t="s">
        <v>620</v>
      </c>
      <c r="L370" s="721">
        <v>4149295000113</v>
      </c>
      <c r="M370" s="718" t="s">
        <v>5</v>
      </c>
      <c r="N370" s="717" t="s">
        <v>44</v>
      </c>
      <c r="O370" s="719">
        <v>44621</v>
      </c>
      <c r="P370" s="720">
        <v>44651</v>
      </c>
      <c r="Q370" s="718">
        <v>40</v>
      </c>
      <c r="R370" s="717">
        <v>2</v>
      </c>
      <c r="S370" s="691" t="s">
        <v>92</v>
      </c>
      <c r="T370" t="s">
        <v>358</v>
      </c>
      <c r="U370" s="673" t="s">
        <v>358</v>
      </c>
      <c r="V370" s="690" t="s">
        <v>358</v>
      </c>
      <c r="W370" s="657" t="s">
        <v>324</v>
      </c>
      <c r="X370" s="723"/>
      <c r="Y370" s="4"/>
      <c r="Z370" s="4">
        <v>2</v>
      </c>
      <c r="AA370" s="4"/>
      <c r="AB370" s="4"/>
      <c r="AC370" s="4"/>
      <c r="AD370" s="4"/>
      <c r="AE370" s="4"/>
      <c r="AF370" s="4"/>
      <c r="AG370" s="4"/>
      <c r="AH370" s="4"/>
      <c r="AI370" s="654"/>
      <c r="AJ370" s="655"/>
      <c r="AK370" s="4"/>
      <c r="AL370" s="4"/>
      <c r="AM370" s="4"/>
      <c r="AN370" s="4"/>
      <c r="AO370" s="4"/>
      <c r="AP370" s="4"/>
      <c r="AQ370" s="4"/>
      <c r="AR370" s="4"/>
      <c r="AS370" s="4"/>
      <c r="AT370" s="4"/>
      <c r="AU370" s="654"/>
      <c r="AV370" s="655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654"/>
      <c r="BH370" s="655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654"/>
      <c r="BT370" s="655"/>
      <c r="BU370" s="4"/>
      <c r="BV370" s="4"/>
      <c r="BW370" s="4"/>
      <c r="BX370" s="4"/>
      <c r="BY370" s="4"/>
      <c r="BZ370" s="4"/>
      <c r="CA370" s="4"/>
      <c r="CB370" s="4"/>
      <c r="CC370" s="4"/>
      <c r="CD370" s="4"/>
      <c r="CE370" s="693"/>
      <c r="CF370" s="723"/>
      <c r="CG370" s="4"/>
      <c r="CH370" s="4">
        <v>40</v>
      </c>
      <c r="CI370" s="4"/>
      <c r="CJ370" s="4"/>
      <c r="CK370" s="4"/>
      <c r="CL370" s="4"/>
      <c r="CM370" s="4"/>
      <c r="CN370" s="4"/>
      <c r="CO370" s="4"/>
      <c r="CP370" s="4"/>
      <c r="CQ370" s="654"/>
      <c r="CR370" s="655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654"/>
      <c r="DD370" s="655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654"/>
      <c r="DP370" s="655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654"/>
      <c r="EB370" s="655"/>
      <c r="EC370" s="4"/>
      <c r="ED370" s="4"/>
      <c r="EE370" s="4"/>
      <c r="EF370" s="4"/>
      <c r="EG370" s="4"/>
      <c r="EH370" s="4"/>
      <c r="EI370" s="4"/>
      <c r="EJ370" s="4"/>
      <c r="EK370" s="4"/>
      <c r="EL370" s="4"/>
      <c r="EM370" s="693"/>
      <c r="EN370" s="723"/>
      <c r="EO370" s="4"/>
      <c r="EP370" s="4">
        <v>95.7</v>
      </c>
      <c r="EQ370" s="4"/>
      <c r="ER370" s="4"/>
      <c r="ES370" s="4"/>
      <c r="ET370" s="4"/>
      <c r="EU370" s="4"/>
      <c r="EV370" s="4"/>
      <c r="EW370" s="4"/>
      <c r="EX370" s="4"/>
      <c r="EY370" s="654"/>
      <c r="EZ370" s="655"/>
      <c r="FA370" s="4"/>
      <c r="FB370" s="4"/>
      <c r="FC370" s="4"/>
      <c r="FD370" s="4"/>
      <c r="FE370" s="4"/>
      <c r="FF370" s="4"/>
      <c r="FG370" s="4"/>
      <c r="FH370" s="4"/>
      <c r="FI370" s="4"/>
      <c r="FJ370" s="4"/>
      <c r="FK370" s="654"/>
      <c r="FL370" s="655"/>
      <c r="FM370" s="4"/>
      <c r="FN370" s="4"/>
      <c r="FO370" s="4"/>
      <c r="FP370" s="4"/>
      <c r="FQ370" s="4"/>
      <c r="FR370" s="4"/>
      <c r="FS370" s="4"/>
      <c r="FT370" s="4"/>
      <c r="FU370" s="4"/>
      <c r="FV370" s="4"/>
      <c r="FW370" s="654"/>
      <c r="FX370" s="655"/>
      <c r="FY370" s="4"/>
      <c r="FZ370" s="4"/>
      <c r="GA370" s="4"/>
      <c r="GB370" s="4"/>
      <c r="GC370" s="4"/>
      <c r="GD370" s="4"/>
      <c r="GE370" s="4"/>
      <c r="GF370" s="4"/>
      <c r="GG370" s="4"/>
      <c r="GH370" s="4"/>
      <c r="GI370" s="654"/>
      <c r="GJ370" s="655"/>
      <c r="GK370" s="4"/>
      <c r="GL370" s="4"/>
      <c r="GM370" s="4"/>
      <c r="GN370" s="4"/>
      <c r="GO370" s="4"/>
      <c r="GP370" s="4"/>
      <c r="GQ370" s="4"/>
      <c r="GR370" s="4"/>
      <c r="GS370" s="4"/>
      <c r="GT370" s="4"/>
      <c r="GU370" s="722"/>
      <c r="GV370" s="715"/>
    </row>
    <row r="371" spans="1:204" x14ac:dyDescent="0.25">
      <c r="A371" t="s">
        <v>1559</v>
      </c>
      <c r="B371" s="2" t="s">
        <v>1558</v>
      </c>
      <c r="C371" s="619">
        <v>44656</v>
      </c>
      <c r="D371" s="2" t="s">
        <v>1551</v>
      </c>
      <c r="E371" t="s">
        <v>59</v>
      </c>
      <c r="F371" s="2" t="s">
        <v>43</v>
      </c>
      <c r="G371" t="s">
        <v>40</v>
      </c>
      <c r="H371" s="690" t="s">
        <v>85</v>
      </c>
      <c r="I371" s="691" t="s">
        <v>43</v>
      </c>
      <c r="J371" s="721">
        <v>3780401000108</v>
      </c>
      <c r="K371" s="691" t="s">
        <v>1540</v>
      </c>
      <c r="L371" s="721">
        <v>24510849000173</v>
      </c>
      <c r="M371" s="718" t="s">
        <v>6</v>
      </c>
      <c r="N371" s="717" t="s">
        <v>44</v>
      </c>
      <c r="O371" s="719">
        <v>44621</v>
      </c>
      <c r="P371" s="720">
        <v>44651</v>
      </c>
      <c r="Q371" s="718">
        <v>198</v>
      </c>
      <c r="R371" s="717">
        <v>0.2</v>
      </c>
      <c r="S371" s="691" t="s">
        <v>92</v>
      </c>
      <c r="T371" t="s">
        <v>358</v>
      </c>
      <c r="U371" s="673" t="s">
        <v>358</v>
      </c>
      <c r="V371" s="690" t="s">
        <v>358</v>
      </c>
      <c r="W371" s="657" t="s">
        <v>324</v>
      </c>
      <c r="X371" s="723"/>
      <c r="Y371" s="4"/>
      <c r="Z371" s="4">
        <v>0.2</v>
      </c>
      <c r="AA371" s="4"/>
      <c r="AB371" s="4"/>
      <c r="AC371" s="4"/>
      <c r="AD371" s="4"/>
      <c r="AE371" s="4"/>
      <c r="AF371" s="4"/>
      <c r="AG371" s="4"/>
      <c r="AH371" s="4"/>
      <c r="AI371" s="654"/>
      <c r="AJ371" s="655"/>
      <c r="AK371" s="4"/>
      <c r="AL371" s="4"/>
      <c r="AM371" s="4"/>
      <c r="AN371" s="4"/>
      <c r="AO371" s="4"/>
      <c r="AP371" s="4"/>
      <c r="AQ371" s="4"/>
      <c r="AR371" s="4"/>
      <c r="AS371" s="4"/>
      <c r="AT371" s="4"/>
      <c r="AU371" s="654"/>
      <c r="AV371" s="655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654"/>
      <c r="BH371" s="655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654"/>
      <c r="BT371" s="655"/>
      <c r="BU371" s="4"/>
      <c r="BV371" s="4"/>
      <c r="BW371" s="4"/>
      <c r="BX371" s="4"/>
      <c r="BY371" s="4"/>
      <c r="BZ371" s="4"/>
      <c r="CA371" s="4"/>
      <c r="CB371" s="4"/>
      <c r="CC371" s="4"/>
      <c r="CD371" s="4"/>
      <c r="CE371" s="693"/>
      <c r="CF371" s="723"/>
      <c r="CG371" s="4"/>
      <c r="CH371" s="4">
        <v>198</v>
      </c>
      <c r="CI371" s="4"/>
      <c r="CJ371" s="4"/>
      <c r="CK371" s="4"/>
      <c r="CL371" s="4"/>
      <c r="CM371" s="4"/>
      <c r="CN371" s="4"/>
      <c r="CO371" s="4"/>
      <c r="CP371" s="4"/>
      <c r="CQ371" s="654"/>
      <c r="CR371" s="655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654"/>
      <c r="DD371" s="655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654"/>
      <c r="DP371" s="655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654"/>
      <c r="EB371" s="655"/>
      <c r="EC371" s="4"/>
      <c r="ED371" s="4"/>
      <c r="EE371" s="4"/>
      <c r="EF371" s="4"/>
      <c r="EG371" s="4"/>
      <c r="EH371" s="4"/>
      <c r="EI371" s="4"/>
      <c r="EJ371" s="4"/>
      <c r="EK371" s="4"/>
      <c r="EL371" s="4"/>
      <c r="EM371" s="693"/>
      <c r="EN371" s="723"/>
      <c r="EO371" s="4"/>
      <c r="EP371" s="4">
        <v>253.7</v>
      </c>
      <c r="EQ371" s="4"/>
      <c r="ER371" s="4"/>
      <c r="ES371" s="4"/>
      <c r="ET371" s="4"/>
      <c r="EU371" s="4"/>
      <c r="EV371" s="4"/>
      <c r="EW371" s="4"/>
      <c r="EX371" s="4"/>
      <c r="EY371" s="654"/>
      <c r="EZ371" s="655"/>
      <c r="FA371" s="4"/>
      <c r="FB371" s="4"/>
      <c r="FC371" s="4"/>
      <c r="FD371" s="4"/>
      <c r="FE371" s="4"/>
      <c r="FF371" s="4"/>
      <c r="FG371" s="4"/>
      <c r="FH371" s="4"/>
      <c r="FI371" s="4"/>
      <c r="FJ371" s="4"/>
      <c r="FK371" s="654"/>
      <c r="FL371" s="655"/>
      <c r="FM371" s="4"/>
      <c r="FN371" s="4"/>
      <c r="FO371" s="4"/>
      <c r="FP371" s="4"/>
      <c r="FQ371" s="4"/>
      <c r="FR371" s="4"/>
      <c r="FS371" s="4"/>
      <c r="FT371" s="4"/>
      <c r="FU371" s="4"/>
      <c r="FV371" s="4"/>
      <c r="FW371" s="654"/>
      <c r="FX371" s="655"/>
      <c r="FY371" s="4"/>
      <c r="FZ371" s="4"/>
      <c r="GA371" s="4"/>
      <c r="GB371" s="4"/>
      <c r="GC371" s="4"/>
      <c r="GD371" s="4"/>
      <c r="GE371" s="4"/>
      <c r="GF371" s="4"/>
      <c r="GG371" s="4"/>
      <c r="GH371" s="4"/>
      <c r="GI371" s="654"/>
      <c r="GJ371" s="655"/>
      <c r="GK371" s="4"/>
      <c r="GL371" s="4"/>
      <c r="GM371" s="4"/>
      <c r="GN371" s="4"/>
      <c r="GO371" s="4"/>
      <c r="GP371" s="4"/>
      <c r="GQ371" s="4"/>
      <c r="GR371" s="4"/>
      <c r="GS371" s="4"/>
      <c r="GT371" s="4"/>
      <c r="GU371" s="722"/>
      <c r="GV371" s="715"/>
    </row>
    <row r="372" spans="1:204" x14ac:dyDescent="0.25">
      <c r="A372" t="s">
        <v>1561</v>
      </c>
      <c r="B372" s="2" t="s">
        <v>1560</v>
      </c>
      <c r="C372" s="619">
        <v>44656</v>
      </c>
      <c r="D372" s="2" t="s">
        <v>1552</v>
      </c>
      <c r="E372" t="s">
        <v>59</v>
      </c>
      <c r="F372" s="2" t="s">
        <v>43</v>
      </c>
      <c r="G372" t="s">
        <v>40</v>
      </c>
      <c r="H372" s="690" t="s">
        <v>85</v>
      </c>
      <c r="I372" s="691" t="s">
        <v>43</v>
      </c>
      <c r="J372" s="721">
        <v>3780401000108</v>
      </c>
      <c r="K372" s="691" t="s">
        <v>411</v>
      </c>
      <c r="L372" s="721">
        <v>31864869000108</v>
      </c>
      <c r="M372" s="718" t="s">
        <v>5</v>
      </c>
      <c r="N372" s="717" t="s">
        <v>44</v>
      </c>
      <c r="O372" s="719">
        <v>44621</v>
      </c>
      <c r="P372" s="720">
        <v>44651</v>
      </c>
      <c r="Q372" s="718">
        <v>40</v>
      </c>
      <c r="R372" s="717">
        <v>1.9</v>
      </c>
      <c r="S372" s="691" t="s">
        <v>92</v>
      </c>
      <c r="T372" t="s">
        <v>358</v>
      </c>
      <c r="U372" s="673" t="s">
        <v>358</v>
      </c>
      <c r="V372" s="690" t="s">
        <v>358</v>
      </c>
      <c r="W372" s="657" t="s">
        <v>324</v>
      </c>
      <c r="X372" s="723"/>
      <c r="Y372" s="4"/>
      <c r="Z372" s="4">
        <v>1.9</v>
      </c>
      <c r="AA372" s="4"/>
      <c r="AB372" s="4"/>
      <c r="AC372" s="4"/>
      <c r="AD372" s="4"/>
      <c r="AE372" s="4"/>
      <c r="AF372" s="4"/>
      <c r="AG372" s="4"/>
      <c r="AH372" s="4"/>
      <c r="AI372" s="654"/>
      <c r="AJ372" s="655"/>
      <c r="AK372" s="4"/>
      <c r="AL372" s="4"/>
      <c r="AM372" s="4"/>
      <c r="AN372" s="4"/>
      <c r="AO372" s="4"/>
      <c r="AP372" s="4"/>
      <c r="AQ372" s="4"/>
      <c r="AR372" s="4"/>
      <c r="AS372" s="4"/>
      <c r="AT372" s="4"/>
      <c r="AU372" s="654"/>
      <c r="AV372" s="655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654"/>
      <c r="BH372" s="655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654"/>
      <c r="BT372" s="655"/>
      <c r="BU372" s="4"/>
      <c r="BV372" s="4"/>
      <c r="BW372" s="4"/>
      <c r="BX372" s="4"/>
      <c r="BY372" s="4"/>
      <c r="BZ372" s="4"/>
      <c r="CA372" s="4"/>
      <c r="CB372" s="4"/>
      <c r="CC372" s="4"/>
      <c r="CD372" s="4"/>
      <c r="CE372" s="693"/>
      <c r="CF372" s="723"/>
      <c r="CG372" s="4"/>
      <c r="CH372" s="4">
        <v>40</v>
      </c>
      <c r="CI372" s="4"/>
      <c r="CJ372" s="4"/>
      <c r="CK372" s="4"/>
      <c r="CL372" s="4"/>
      <c r="CM372" s="4"/>
      <c r="CN372" s="4"/>
      <c r="CO372" s="4"/>
      <c r="CP372" s="4"/>
      <c r="CQ372" s="654"/>
      <c r="CR372" s="655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654"/>
      <c r="DD372" s="655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654"/>
      <c r="DP372" s="655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654"/>
      <c r="EB372" s="655"/>
      <c r="EC372" s="4"/>
      <c r="ED372" s="4"/>
      <c r="EE372" s="4"/>
      <c r="EF372" s="4"/>
      <c r="EG372" s="4"/>
      <c r="EH372" s="4"/>
      <c r="EI372" s="4"/>
      <c r="EJ372" s="4"/>
      <c r="EK372" s="4"/>
      <c r="EL372" s="4"/>
      <c r="EM372" s="693"/>
      <c r="EN372" s="723"/>
      <c r="EO372" s="4"/>
      <c r="EP372" s="4">
        <v>95.7</v>
      </c>
      <c r="EQ372" s="4"/>
      <c r="ER372" s="4"/>
      <c r="ES372" s="4"/>
      <c r="ET372" s="4"/>
      <c r="EU372" s="4"/>
      <c r="EV372" s="4"/>
      <c r="EW372" s="4"/>
      <c r="EX372" s="4"/>
      <c r="EY372" s="654"/>
      <c r="EZ372" s="655"/>
      <c r="FA372" s="4"/>
      <c r="FB372" s="4"/>
      <c r="FC372" s="4"/>
      <c r="FD372" s="4"/>
      <c r="FE372" s="4"/>
      <c r="FF372" s="4"/>
      <c r="FG372" s="4"/>
      <c r="FH372" s="4"/>
      <c r="FI372" s="4"/>
      <c r="FJ372" s="4"/>
      <c r="FK372" s="654"/>
      <c r="FL372" s="655"/>
      <c r="FM372" s="4"/>
      <c r="FN372" s="4"/>
      <c r="FO372" s="4"/>
      <c r="FP372" s="4"/>
      <c r="FQ372" s="4"/>
      <c r="FR372" s="4"/>
      <c r="FS372" s="4"/>
      <c r="FT372" s="4"/>
      <c r="FU372" s="4"/>
      <c r="FV372" s="4"/>
      <c r="FW372" s="654"/>
      <c r="FX372" s="655"/>
      <c r="FY372" s="4"/>
      <c r="FZ372" s="4"/>
      <c r="GA372" s="4"/>
      <c r="GB372" s="4"/>
      <c r="GC372" s="4"/>
      <c r="GD372" s="4"/>
      <c r="GE372" s="4"/>
      <c r="GF372" s="4"/>
      <c r="GG372" s="4"/>
      <c r="GH372" s="4"/>
      <c r="GI372" s="654"/>
      <c r="GJ372" s="655"/>
      <c r="GK372" s="4"/>
      <c r="GL372" s="4"/>
      <c r="GM372" s="4"/>
      <c r="GN372" s="4"/>
      <c r="GO372" s="4"/>
      <c r="GP372" s="4"/>
      <c r="GQ372" s="4"/>
      <c r="GR372" s="4"/>
      <c r="GS372" s="4"/>
      <c r="GT372" s="4"/>
      <c r="GU372" s="722"/>
      <c r="GV372" s="715"/>
    </row>
    <row r="373" spans="1:204" x14ac:dyDescent="0.25">
      <c r="A373" t="s">
        <v>1563</v>
      </c>
      <c r="B373" s="2" t="s">
        <v>1562</v>
      </c>
      <c r="C373" s="619">
        <v>44656</v>
      </c>
      <c r="D373" s="2" t="s">
        <v>1553</v>
      </c>
      <c r="E373" t="s">
        <v>59</v>
      </c>
      <c r="F373" s="2" t="s">
        <v>43</v>
      </c>
      <c r="G373" t="s">
        <v>40</v>
      </c>
      <c r="H373" s="690" t="s">
        <v>85</v>
      </c>
      <c r="I373" s="691" t="s">
        <v>43</v>
      </c>
      <c r="J373" s="721">
        <v>3780401000108</v>
      </c>
      <c r="K373" s="691" t="s">
        <v>475</v>
      </c>
      <c r="L373" s="721">
        <v>27796415000170</v>
      </c>
      <c r="M373" s="718" t="s">
        <v>5</v>
      </c>
      <c r="N373" s="717" t="s">
        <v>44</v>
      </c>
      <c r="O373" s="719">
        <v>44621</v>
      </c>
      <c r="P373" s="720">
        <v>44651</v>
      </c>
      <c r="Q373" s="718">
        <v>40</v>
      </c>
      <c r="R373" s="717">
        <v>0.1</v>
      </c>
      <c r="S373" s="691" t="s">
        <v>92</v>
      </c>
      <c r="T373" t="s">
        <v>358</v>
      </c>
      <c r="U373" s="673" t="s">
        <v>358</v>
      </c>
      <c r="V373" s="690" t="s">
        <v>358</v>
      </c>
      <c r="W373" s="657" t="s">
        <v>324</v>
      </c>
      <c r="X373" s="723"/>
      <c r="Y373" s="4"/>
      <c r="Z373" s="4">
        <v>0.1</v>
      </c>
      <c r="AA373" s="4"/>
      <c r="AB373" s="4"/>
      <c r="AC373" s="4"/>
      <c r="AD373" s="4"/>
      <c r="AE373" s="4"/>
      <c r="AF373" s="4"/>
      <c r="AG373" s="4"/>
      <c r="AH373" s="4"/>
      <c r="AI373" s="654"/>
      <c r="AJ373" s="655"/>
      <c r="AK373" s="4"/>
      <c r="AL373" s="4"/>
      <c r="AM373" s="4"/>
      <c r="AN373" s="4"/>
      <c r="AO373" s="4"/>
      <c r="AP373" s="4"/>
      <c r="AQ373" s="4"/>
      <c r="AR373" s="4"/>
      <c r="AS373" s="4"/>
      <c r="AT373" s="4"/>
      <c r="AU373" s="654"/>
      <c r="AV373" s="655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654"/>
      <c r="BH373" s="655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654"/>
      <c r="BT373" s="655"/>
      <c r="BU373" s="4"/>
      <c r="BV373" s="4"/>
      <c r="BW373" s="4"/>
      <c r="BX373" s="4"/>
      <c r="BY373" s="4"/>
      <c r="BZ373" s="4"/>
      <c r="CA373" s="4"/>
      <c r="CB373" s="4"/>
      <c r="CC373" s="4"/>
      <c r="CD373" s="4"/>
      <c r="CE373" s="693"/>
      <c r="CF373" s="723"/>
      <c r="CG373" s="4"/>
      <c r="CH373" s="4">
        <v>40</v>
      </c>
      <c r="CI373" s="4"/>
      <c r="CJ373" s="4"/>
      <c r="CK373" s="4"/>
      <c r="CL373" s="4"/>
      <c r="CM373" s="4"/>
      <c r="CN373" s="4"/>
      <c r="CO373" s="4"/>
      <c r="CP373" s="4"/>
      <c r="CQ373" s="654"/>
      <c r="CR373" s="655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654"/>
      <c r="DD373" s="655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654"/>
      <c r="DP373" s="655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654"/>
      <c r="EB373" s="655"/>
      <c r="EC373" s="4"/>
      <c r="ED373" s="4"/>
      <c r="EE373" s="4"/>
      <c r="EF373" s="4"/>
      <c r="EG373" s="4"/>
      <c r="EH373" s="4"/>
      <c r="EI373" s="4"/>
      <c r="EJ373" s="4"/>
      <c r="EK373" s="4"/>
      <c r="EL373" s="4"/>
      <c r="EM373" s="693"/>
      <c r="EN373" s="723"/>
      <c r="EO373" s="4"/>
      <c r="EP373" s="4">
        <v>95.7</v>
      </c>
      <c r="EQ373" s="4"/>
      <c r="ER373" s="4"/>
      <c r="ES373" s="4"/>
      <c r="ET373" s="4"/>
      <c r="EU373" s="4"/>
      <c r="EV373" s="4"/>
      <c r="EW373" s="4"/>
      <c r="EX373" s="4"/>
      <c r="EY373" s="654"/>
      <c r="EZ373" s="655"/>
      <c r="FA373" s="4"/>
      <c r="FB373" s="4"/>
      <c r="FC373" s="4"/>
      <c r="FD373" s="4"/>
      <c r="FE373" s="4"/>
      <c r="FF373" s="4"/>
      <c r="FG373" s="4"/>
      <c r="FH373" s="4"/>
      <c r="FI373" s="4"/>
      <c r="FJ373" s="4"/>
      <c r="FK373" s="654"/>
      <c r="FL373" s="655"/>
      <c r="FM373" s="4"/>
      <c r="FN373" s="4"/>
      <c r="FO373" s="4"/>
      <c r="FP373" s="4"/>
      <c r="FQ373" s="4"/>
      <c r="FR373" s="4"/>
      <c r="FS373" s="4"/>
      <c r="FT373" s="4"/>
      <c r="FU373" s="4"/>
      <c r="FV373" s="4"/>
      <c r="FW373" s="654"/>
      <c r="FX373" s="655"/>
      <c r="FY373" s="4"/>
      <c r="FZ373" s="4"/>
      <c r="GA373" s="4"/>
      <c r="GB373" s="4"/>
      <c r="GC373" s="4"/>
      <c r="GD373" s="4"/>
      <c r="GE373" s="4"/>
      <c r="GF373" s="4"/>
      <c r="GG373" s="4"/>
      <c r="GH373" s="4"/>
      <c r="GI373" s="654"/>
      <c r="GJ373" s="655"/>
      <c r="GK373" s="4"/>
      <c r="GL373" s="4"/>
      <c r="GM373" s="4"/>
      <c r="GN373" s="4"/>
      <c r="GO373" s="4"/>
      <c r="GP373" s="4"/>
      <c r="GQ373" s="4"/>
      <c r="GR373" s="4"/>
      <c r="GS373" s="4"/>
      <c r="GT373" s="4"/>
      <c r="GU373" s="722"/>
      <c r="GV373" s="715"/>
    </row>
    <row r="374" spans="1:204" x14ac:dyDescent="0.25">
      <c r="A374" t="s">
        <v>1565</v>
      </c>
      <c r="B374" s="2" t="s">
        <v>1564</v>
      </c>
      <c r="C374" s="619">
        <v>44656</v>
      </c>
      <c r="D374" s="2" t="s">
        <v>1554</v>
      </c>
      <c r="E374" t="s">
        <v>59</v>
      </c>
      <c r="F374" s="2" t="s">
        <v>43</v>
      </c>
      <c r="G374" t="s">
        <v>40</v>
      </c>
      <c r="H374" s="690" t="s">
        <v>85</v>
      </c>
      <c r="I374" s="691" t="s">
        <v>43</v>
      </c>
      <c r="J374" s="721">
        <v>3780401000108</v>
      </c>
      <c r="K374" s="691" t="s">
        <v>639</v>
      </c>
      <c r="L374" s="721">
        <v>11820864000176</v>
      </c>
      <c r="M374" s="718" t="s">
        <v>5</v>
      </c>
      <c r="N374" s="717" t="s">
        <v>44</v>
      </c>
      <c r="O374" s="719">
        <v>44621</v>
      </c>
      <c r="P374" s="720">
        <v>44651</v>
      </c>
      <c r="Q374" s="718">
        <v>40</v>
      </c>
      <c r="R374" s="717">
        <v>4</v>
      </c>
      <c r="S374" s="691" t="s">
        <v>92</v>
      </c>
      <c r="T374" t="s">
        <v>358</v>
      </c>
      <c r="U374" s="673" t="s">
        <v>358</v>
      </c>
      <c r="V374" s="690" t="s">
        <v>358</v>
      </c>
      <c r="W374" s="657" t="s">
        <v>324</v>
      </c>
      <c r="X374" s="723"/>
      <c r="Y374" s="4"/>
      <c r="Z374" s="4">
        <v>4</v>
      </c>
      <c r="AA374" s="4"/>
      <c r="AB374" s="4"/>
      <c r="AC374" s="4"/>
      <c r="AD374" s="4"/>
      <c r="AE374" s="4"/>
      <c r="AF374" s="4"/>
      <c r="AG374" s="4"/>
      <c r="AH374" s="4"/>
      <c r="AI374" s="654"/>
      <c r="AJ374" s="655"/>
      <c r="AK374" s="4"/>
      <c r="AL374" s="4"/>
      <c r="AM374" s="4"/>
      <c r="AN374" s="4"/>
      <c r="AO374" s="4"/>
      <c r="AP374" s="4"/>
      <c r="AQ374" s="4"/>
      <c r="AR374" s="4"/>
      <c r="AS374" s="4"/>
      <c r="AT374" s="4"/>
      <c r="AU374" s="654"/>
      <c r="AV374" s="655"/>
      <c r="AW374" s="4"/>
      <c r="AX374" s="4"/>
      <c r="AY374" s="4"/>
      <c r="AZ374" s="4"/>
      <c r="BA374" s="4"/>
      <c r="BB374" s="4"/>
      <c r="BC374" s="4"/>
      <c r="BD374" s="4"/>
      <c r="BE374" s="4"/>
      <c r="BF374" s="4"/>
      <c r="BG374" s="654"/>
      <c r="BH374" s="655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654"/>
      <c r="BT374" s="655"/>
      <c r="BU374" s="4"/>
      <c r="BV374" s="4"/>
      <c r="BW374" s="4"/>
      <c r="BX374" s="4"/>
      <c r="BY374" s="4"/>
      <c r="BZ374" s="4"/>
      <c r="CA374" s="4"/>
      <c r="CB374" s="4"/>
      <c r="CC374" s="4"/>
      <c r="CD374" s="4"/>
      <c r="CE374" s="693"/>
      <c r="CF374" s="723"/>
      <c r="CG374" s="4"/>
      <c r="CH374" s="4">
        <v>40</v>
      </c>
      <c r="CI374" s="4"/>
      <c r="CJ374" s="4"/>
      <c r="CK374" s="4"/>
      <c r="CL374" s="4"/>
      <c r="CM374" s="4"/>
      <c r="CN374" s="4"/>
      <c r="CO374" s="4"/>
      <c r="CP374" s="4"/>
      <c r="CQ374" s="654"/>
      <c r="CR374" s="655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654"/>
      <c r="DD374" s="655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654"/>
      <c r="DP374" s="655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654"/>
      <c r="EB374" s="655"/>
      <c r="EC374" s="4"/>
      <c r="ED374" s="4"/>
      <c r="EE374" s="4"/>
      <c r="EF374" s="4"/>
      <c r="EG374" s="4"/>
      <c r="EH374" s="4"/>
      <c r="EI374" s="4"/>
      <c r="EJ374" s="4"/>
      <c r="EK374" s="4"/>
      <c r="EL374" s="4"/>
      <c r="EM374" s="693"/>
      <c r="EN374" s="723"/>
      <c r="EO374" s="4"/>
      <c r="EP374" s="4">
        <v>95.7</v>
      </c>
      <c r="EQ374" s="4"/>
      <c r="ER374" s="4"/>
      <c r="ES374" s="4"/>
      <c r="ET374" s="4"/>
      <c r="EU374" s="4"/>
      <c r="EV374" s="4"/>
      <c r="EW374" s="4"/>
      <c r="EX374" s="4"/>
      <c r="EY374" s="654"/>
      <c r="EZ374" s="655"/>
      <c r="FA374" s="4"/>
      <c r="FB374" s="4"/>
      <c r="FC374" s="4"/>
      <c r="FD374" s="4"/>
      <c r="FE374" s="4"/>
      <c r="FF374" s="4"/>
      <c r="FG374" s="4"/>
      <c r="FH374" s="4"/>
      <c r="FI374" s="4"/>
      <c r="FJ374" s="4"/>
      <c r="FK374" s="654"/>
      <c r="FL374" s="655"/>
      <c r="FM374" s="4"/>
      <c r="FN374" s="4"/>
      <c r="FO374" s="4"/>
      <c r="FP374" s="4"/>
      <c r="FQ374" s="4"/>
      <c r="FR374" s="4"/>
      <c r="FS374" s="4"/>
      <c r="FT374" s="4"/>
      <c r="FU374" s="4"/>
      <c r="FV374" s="4"/>
      <c r="FW374" s="654"/>
      <c r="FX374" s="655"/>
      <c r="FY374" s="4"/>
      <c r="FZ374" s="4"/>
      <c r="GA374" s="4"/>
      <c r="GB374" s="4"/>
      <c r="GC374" s="4"/>
      <c r="GD374" s="4"/>
      <c r="GE374" s="4"/>
      <c r="GF374" s="4"/>
      <c r="GG374" s="4"/>
      <c r="GH374" s="4"/>
      <c r="GI374" s="654"/>
      <c r="GJ374" s="655"/>
      <c r="GK374" s="4"/>
      <c r="GL374" s="4"/>
      <c r="GM374" s="4"/>
      <c r="GN374" s="4"/>
      <c r="GO374" s="4"/>
      <c r="GP374" s="4"/>
      <c r="GQ374" s="4"/>
      <c r="GR374" s="4"/>
      <c r="GS374" s="4"/>
      <c r="GT374" s="4"/>
      <c r="GU374" s="722"/>
      <c r="GV374" s="715"/>
    </row>
    <row r="375" spans="1:204" x14ac:dyDescent="0.25">
      <c r="A375" t="s">
        <v>1567</v>
      </c>
      <c r="B375" s="2" t="s">
        <v>1566</v>
      </c>
      <c r="C375" s="619">
        <v>44656</v>
      </c>
      <c r="D375" s="2" t="s">
        <v>1555</v>
      </c>
      <c r="E375" t="s">
        <v>59</v>
      </c>
      <c r="F375" s="2" t="s">
        <v>43</v>
      </c>
      <c r="G375" t="s">
        <v>40</v>
      </c>
      <c r="H375" s="690" t="s">
        <v>85</v>
      </c>
      <c r="I375" s="691" t="s">
        <v>43</v>
      </c>
      <c r="J375" s="721">
        <v>3780401000108</v>
      </c>
      <c r="K375" s="691" t="s">
        <v>1520</v>
      </c>
      <c r="L375" s="721">
        <v>29270235000185</v>
      </c>
      <c r="M375" s="718" t="s">
        <v>6</v>
      </c>
      <c r="N375" s="717" t="s">
        <v>44</v>
      </c>
      <c r="O375" s="719">
        <v>44621</v>
      </c>
      <c r="P375" s="720">
        <v>44651</v>
      </c>
      <c r="Q375" s="718">
        <v>201</v>
      </c>
      <c r="R375" s="717">
        <v>0.5</v>
      </c>
      <c r="S375" s="691" t="s">
        <v>92</v>
      </c>
      <c r="T375" t="s">
        <v>358</v>
      </c>
      <c r="U375" s="673" t="s">
        <v>358</v>
      </c>
      <c r="V375" s="690" t="s">
        <v>358</v>
      </c>
      <c r="W375" s="657" t="s">
        <v>324</v>
      </c>
      <c r="X375" s="723"/>
      <c r="Y375" s="4"/>
      <c r="Z375" s="4">
        <v>0.5</v>
      </c>
      <c r="AA375" s="4"/>
      <c r="AB375" s="4"/>
      <c r="AC375" s="4"/>
      <c r="AD375" s="4"/>
      <c r="AE375" s="4"/>
      <c r="AF375" s="4"/>
      <c r="AG375" s="4"/>
      <c r="AH375" s="4"/>
      <c r="AI375" s="654"/>
      <c r="AJ375" s="655"/>
      <c r="AK375" s="4"/>
      <c r="AL375" s="4"/>
      <c r="AM375" s="4"/>
      <c r="AN375" s="4"/>
      <c r="AO375" s="4"/>
      <c r="AP375" s="4"/>
      <c r="AQ375" s="4"/>
      <c r="AR375" s="4"/>
      <c r="AS375" s="4"/>
      <c r="AT375" s="4"/>
      <c r="AU375" s="654"/>
      <c r="AV375" s="655"/>
      <c r="AW375" s="4"/>
      <c r="AX375" s="4"/>
      <c r="AY375" s="4"/>
      <c r="AZ375" s="4"/>
      <c r="BA375" s="4"/>
      <c r="BB375" s="4"/>
      <c r="BC375" s="4"/>
      <c r="BD375" s="4"/>
      <c r="BE375" s="4"/>
      <c r="BF375" s="4"/>
      <c r="BG375" s="654"/>
      <c r="BH375" s="655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654"/>
      <c r="BT375" s="655"/>
      <c r="BU375" s="4"/>
      <c r="BV375" s="4"/>
      <c r="BW375" s="4"/>
      <c r="BX375" s="4"/>
      <c r="BY375" s="4"/>
      <c r="BZ375" s="4"/>
      <c r="CA375" s="4"/>
      <c r="CB375" s="4"/>
      <c r="CC375" s="4"/>
      <c r="CD375" s="4"/>
      <c r="CE375" s="693"/>
      <c r="CF375" s="723"/>
      <c r="CG375" s="4"/>
      <c r="CH375" s="4">
        <v>201</v>
      </c>
      <c r="CI375" s="4"/>
      <c r="CJ375" s="4"/>
      <c r="CK375" s="4"/>
      <c r="CL375" s="4"/>
      <c r="CM375" s="4"/>
      <c r="CN375" s="4"/>
      <c r="CO375" s="4"/>
      <c r="CP375" s="4"/>
      <c r="CQ375" s="654"/>
      <c r="CR375" s="655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654"/>
      <c r="DD375" s="655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654"/>
      <c r="DP375" s="655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654"/>
      <c r="EB375" s="655"/>
      <c r="EC375" s="4"/>
      <c r="ED375" s="4"/>
      <c r="EE375" s="4"/>
      <c r="EF375" s="4"/>
      <c r="EG375" s="4"/>
      <c r="EH375" s="4"/>
      <c r="EI375" s="4"/>
      <c r="EJ375" s="4"/>
      <c r="EK375" s="4"/>
      <c r="EL375" s="4"/>
      <c r="EM375" s="693"/>
      <c r="EN375" s="723"/>
      <c r="EO375" s="4"/>
      <c r="EP375" s="4">
        <v>256.7</v>
      </c>
      <c r="EQ375" s="4"/>
      <c r="ER375" s="4"/>
      <c r="ES375" s="4"/>
      <c r="ET375" s="4"/>
      <c r="EU375" s="4"/>
      <c r="EV375" s="4"/>
      <c r="EW375" s="4"/>
      <c r="EX375" s="4"/>
      <c r="EY375" s="654"/>
      <c r="EZ375" s="655"/>
      <c r="FA375" s="4"/>
      <c r="FB375" s="4"/>
      <c r="FC375" s="4"/>
      <c r="FD375" s="4"/>
      <c r="FE375" s="4"/>
      <c r="FF375" s="4"/>
      <c r="FG375" s="4"/>
      <c r="FH375" s="4"/>
      <c r="FI375" s="4"/>
      <c r="FJ375" s="4"/>
      <c r="FK375" s="654"/>
      <c r="FL375" s="655"/>
      <c r="FM375" s="4"/>
      <c r="FN375" s="4"/>
      <c r="FO375" s="4"/>
      <c r="FP375" s="4"/>
      <c r="FQ375" s="4"/>
      <c r="FR375" s="4"/>
      <c r="FS375" s="4"/>
      <c r="FT375" s="4"/>
      <c r="FU375" s="4"/>
      <c r="FV375" s="4"/>
      <c r="FW375" s="654"/>
      <c r="FX375" s="655"/>
      <c r="FY375" s="4"/>
      <c r="FZ375" s="4"/>
      <c r="GA375" s="4"/>
      <c r="GB375" s="4"/>
      <c r="GC375" s="4"/>
      <c r="GD375" s="4"/>
      <c r="GE375" s="4"/>
      <c r="GF375" s="4"/>
      <c r="GG375" s="4"/>
      <c r="GH375" s="4"/>
      <c r="GI375" s="654"/>
      <c r="GJ375" s="655"/>
      <c r="GK375" s="4"/>
      <c r="GL375" s="4"/>
      <c r="GM375" s="4"/>
      <c r="GN375" s="4"/>
      <c r="GO375" s="4"/>
      <c r="GP375" s="4"/>
      <c r="GQ375" s="4"/>
      <c r="GR375" s="4"/>
      <c r="GS375" s="4"/>
      <c r="GT375" s="4"/>
      <c r="GU375" s="722"/>
      <c r="GV375" s="715"/>
    </row>
    <row r="376" spans="1:204" x14ac:dyDescent="0.25">
      <c r="A376" t="s">
        <v>1583</v>
      </c>
      <c r="B376" s="2" t="s">
        <v>358</v>
      </c>
      <c r="C376" s="619">
        <v>44657</v>
      </c>
      <c r="D376" s="2" t="s">
        <v>1578</v>
      </c>
      <c r="E376" t="s">
        <v>59</v>
      </c>
      <c r="F376" s="2" t="s">
        <v>43</v>
      </c>
      <c r="G376" t="s">
        <v>40</v>
      </c>
      <c r="H376" s="690" t="s">
        <v>85</v>
      </c>
      <c r="I376" s="691" t="s">
        <v>43</v>
      </c>
      <c r="J376" s="721">
        <v>3780401000108</v>
      </c>
      <c r="K376" s="691" t="s">
        <v>404</v>
      </c>
      <c r="L376" s="721">
        <v>18384740000134</v>
      </c>
      <c r="M376" s="718" t="s">
        <v>3</v>
      </c>
      <c r="N376" s="717" t="s">
        <v>44</v>
      </c>
      <c r="O376" s="719">
        <v>44835</v>
      </c>
      <c r="P376" s="720">
        <v>44926</v>
      </c>
      <c r="Q376" s="718">
        <v>143</v>
      </c>
      <c r="R376" s="717">
        <v>5</v>
      </c>
      <c r="S376" s="691" t="s">
        <v>54</v>
      </c>
      <c r="T376" t="s">
        <v>358</v>
      </c>
      <c r="U376" s="673" t="s">
        <v>358</v>
      </c>
      <c r="V376" s="690" t="s">
        <v>358</v>
      </c>
      <c r="W376" s="657" t="s">
        <v>214</v>
      </c>
      <c r="X376" s="723"/>
      <c r="Y376" s="4"/>
      <c r="Z376" s="4"/>
      <c r="AA376" s="4"/>
      <c r="AB376" s="4"/>
      <c r="AC376" s="4"/>
      <c r="AD376" s="4"/>
      <c r="AE376" s="4"/>
      <c r="AF376" s="4"/>
      <c r="AG376" s="4">
        <v>5</v>
      </c>
      <c r="AH376" s="4">
        <v>5</v>
      </c>
      <c r="AI376" s="654">
        <v>5</v>
      </c>
      <c r="AJ376" s="655"/>
      <c r="AK376" s="4"/>
      <c r="AL376" s="4"/>
      <c r="AM376" s="4"/>
      <c r="AN376" s="4"/>
      <c r="AO376" s="4"/>
      <c r="AP376" s="4"/>
      <c r="AQ376" s="4"/>
      <c r="AR376" s="4"/>
      <c r="AS376" s="4"/>
      <c r="AT376" s="4"/>
      <c r="AU376" s="654"/>
      <c r="AV376" s="655"/>
      <c r="AW376" s="4"/>
      <c r="AX376" s="4"/>
      <c r="AY376" s="4"/>
      <c r="AZ376" s="4"/>
      <c r="BA376" s="4"/>
      <c r="BB376" s="4"/>
      <c r="BC376" s="4"/>
      <c r="BD376" s="4"/>
      <c r="BE376" s="4"/>
      <c r="BF376" s="4"/>
      <c r="BG376" s="654"/>
      <c r="BH376" s="655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654"/>
      <c r="BT376" s="655"/>
      <c r="BU376" s="4"/>
      <c r="BV376" s="4"/>
      <c r="BW376" s="4"/>
      <c r="BX376" s="4"/>
      <c r="BY376" s="4"/>
      <c r="BZ376" s="4"/>
      <c r="CA376" s="4"/>
      <c r="CB376" s="4"/>
      <c r="CC376" s="4"/>
      <c r="CD376" s="4"/>
      <c r="CE376" s="693"/>
      <c r="CF376" s="723"/>
      <c r="CG376" s="4"/>
      <c r="CH376" s="4"/>
      <c r="CI376" s="4"/>
      <c r="CJ376" s="4"/>
      <c r="CK376" s="4"/>
      <c r="CL376" s="4"/>
      <c r="CM376" s="4"/>
      <c r="CN376" s="4"/>
      <c r="CO376" s="4">
        <v>143</v>
      </c>
      <c r="CP376" s="4">
        <v>143</v>
      </c>
      <c r="CQ376" s="654">
        <v>143</v>
      </c>
      <c r="CR376" s="655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654"/>
      <c r="DD376" s="655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654"/>
      <c r="DP376" s="655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654"/>
      <c r="EB376" s="655"/>
      <c r="EC376" s="4"/>
      <c r="ED376" s="4"/>
      <c r="EE376" s="4"/>
      <c r="EF376" s="4"/>
      <c r="EG376" s="4"/>
      <c r="EH376" s="4"/>
      <c r="EI376" s="4"/>
      <c r="EJ376" s="4"/>
      <c r="EK376" s="4"/>
      <c r="EL376" s="4"/>
      <c r="EM376" s="693"/>
      <c r="EN376" s="723"/>
      <c r="EO376" s="4"/>
      <c r="EP376" s="4"/>
      <c r="EQ376" s="4"/>
      <c r="ER376" s="4"/>
      <c r="ES376" s="4"/>
      <c r="ET376" s="4"/>
      <c r="EU376" s="4"/>
      <c r="EV376" s="4"/>
      <c r="EW376" s="4">
        <v>143</v>
      </c>
      <c r="EX376" s="4">
        <v>143</v>
      </c>
      <c r="EY376" s="654">
        <v>143</v>
      </c>
      <c r="EZ376" s="655"/>
      <c r="FA376" s="4"/>
      <c r="FB376" s="4"/>
      <c r="FC376" s="4"/>
      <c r="FD376" s="4"/>
      <c r="FE376" s="4"/>
      <c r="FF376" s="4"/>
      <c r="FG376" s="4"/>
      <c r="FH376" s="4"/>
      <c r="FI376" s="4"/>
      <c r="FJ376" s="4"/>
      <c r="FK376" s="654"/>
      <c r="FL376" s="655"/>
      <c r="FM376" s="4"/>
      <c r="FN376" s="4"/>
      <c r="FO376" s="4"/>
      <c r="FP376" s="4"/>
      <c r="FQ376" s="4"/>
      <c r="FR376" s="4"/>
      <c r="FS376" s="4"/>
      <c r="FT376" s="4"/>
      <c r="FU376" s="4"/>
      <c r="FV376" s="4"/>
      <c r="FW376" s="654"/>
      <c r="FX376" s="655"/>
      <c r="FY376" s="4"/>
      <c r="FZ376" s="4"/>
      <c r="GA376" s="4"/>
      <c r="GB376" s="4"/>
      <c r="GC376" s="4"/>
      <c r="GD376" s="4"/>
      <c r="GE376" s="4"/>
      <c r="GF376" s="4"/>
      <c r="GG376" s="4"/>
      <c r="GH376" s="4"/>
      <c r="GI376" s="654"/>
      <c r="GJ376" s="655"/>
      <c r="GK376" s="4"/>
      <c r="GL376" s="4"/>
      <c r="GM376" s="4"/>
      <c r="GN376" s="4"/>
      <c r="GO376" s="4"/>
      <c r="GP376" s="4"/>
      <c r="GQ376" s="4"/>
      <c r="GR376" s="4"/>
      <c r="GS376" s="4"/>
      <c r="GT376" s="4"/>
      <c r="GU376" s="722"/>
      <c r="GV376" s="715"/>
    </row>
    <row r="377" spans="1:204" x14ac:dyDescent="0.25">
      <c r="A377" t="s">
        <v>1584</v>
      </c>
      <c r="B377" s="2" t="s">
        <v>358</v>
      </c>
      <c r="C377" s="619">
        <v>44657</v>
      </c>
      <c r="D377" s="2" t="s">
        <v>1579</v>
      </c>
      <c r="E377" t="s">
        <v>59</v>
      </c>
      <c r="F377" s="2" t="s">
        <v>43</v>
      </c>
      <c r="G377" t="s">
        <v>40</v>
      </c>
      <c r="H377" s="690" t="s">
        <v>85</v>
      </c>
      <c r="I377" s="691" t="s">
        <v>43</v>
      </c>
      <c r="J377" s="721">
        <v>3780401000108</v>
      </c>
      <c r="K377" s="691" t="s">
        <v>349</v>
      </c>
      <c r="L377" s="721">
        <v>4973790000142</v>
      </c>
      <c r="M377" s="718" t="s">
        <v>3</v>
      </c>
      <c r="N377" s="717" t="s">
        <v>44</v>
      </c>
      <c r="O377" s="719">
        <v>44805</v>
      </c>
      <c r="P377" s="720">
        <v>44834</v>
      </c>
      <c r="Q377" s="718">
        <v>125</v>
      </c>
      <c r="R377" s="717">
        <v>5</v>
      </c>
      <c r="S377" s="691" t="s">
        <v>54</v>
      </c>
      <c r="T377" t="s">
        <v>358</v>
      </c>
      <c r="U377" s="673" t="s">
        <v>358</v>
      </c>
      <c r="V377" s="690" t="s">
        <v>358</v>
      </c>
      <c r="W377" s="657" t="s">
        <v>214</v>
      </c>
      <c r="X377" s="723"/>
      <c r="Y377" s="4"/>
      <c r="Z377" s="4"/>
      <c r="AA377" s="4"/>
      <c r="AB377" s="4"/>
      <c r="AC377" s="4"/>
      <c r="AD377" s="4"/>
      <c r="AE377" s="4"/>
      <c r="AF377" s="4">
        <v>5</v>
      </c>
      <c r="AG377" s="4"/>
      <c r="AH377" s="4"/>
      <c r="AI377" s="654"/>
      <c r="AJ377" s="655"/>
      <c r="AK377" s="4"/>
      <c r="AL377" s="4"/>
      <c r="AM377" s="4"/>
      <c r="AN377" s="4"/>
      <c r="AO377" s="4"/>
      <c r="AP377" s="4"/>
      <c r="AQ377" s="4"/>
      <c r="AR377" s="4"/>
      <c r="AS377" s="4"/>
      <c r="AT377" s="4"/>
      <c r="AU377" s="654"/>
      <c r="AV377" s="655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654"/>
      <c r="BH377" s="655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654"/>
      <c r="BT377" s="655"/>
      <c r="BU377" s="4"/>
      <c r="BV377" s="4"/>
      <c r="BW377" s="4"/>
      <c r="BX377" s="4"/>
      <c r="BY377" s="4"/>
      <c r="BZ377" s="4"/>
      <c r="CA377" s="4"/>
      <c r="CB377" s="4"/>
      <c r="CC377" s="4"/>
      <c r="CD377" s="4"/>
      <c r="CE377" s="693"/>
      <c r="CF377" s="723"/>
      <c r="CG377" s="4"/>
      <c r="CH377" s="4"/>
      <c r="CI377" s="4"/>
      <c r="CJ377" s="4"/>
      <c r="CK377" s="4"/>
      <c r="CL377" s="4"/>
      <c r="CM377" s="4"/>
      <c r="CN377" s="4">
        <v>125</v>
      </c>
      <c r="CO377" s="4"/>
      <c r="CP377" s="4"/>
      <c r="CQ377" s="654"/>
      <c r="CR377" s="655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654"/>
      <c r="DD377" s="655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654"/>
      <c r="DP377" s="655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654"/>
      <c r="EB377" s="655"/>
      <c r="EC377" s="4"/>
      <c r="ED377" s="4"/>
      <c r="EE377" s="4"/>
      <c r="EF377" s="4"/>
      <c r="EG377" s="4"/>
      <c r="EH377" s="4"/>
      <c r="EI377" s="4"/>
      <c r="EJ377" s="4"/>
      <c r="EK377" s="4"/>
      <c r="EL377" s="4"/>
      <c r="EM377" s="693"/>
      <c r="EN377" s="723"/>
      <c r="EO377" s="4"/>
      <c r="EP377" s="4"/>
      <c r="EQ377" s="4"/>
      <c r="ER377" s="4"/>
      <c r="ES377" s="4"/>
      <c r="ET377" s="4"/>
      <c r="EU377" s="4"/>
      <c r="EV377" s="4">
        <v>125</v>
      </c>
      <c r="EW377" s="4"/>
      <c r="EX377" s="4"/>
      <c r="EY377" s="654"/>
      <c r="EZ377" s="655"/>
      <c r="FA377" s="4"/>
      <c r="FB377" s="4"/>
      <c r="FC377" s="4"/>
      <c r="FD377" s="4"/>
      <c r="FE377" s="4"/>
      <c r="FF377" s="4"/>
      <c r="FG377" s="4"/>
      <c r="FH377" s="4"/>
      <c r="FI377" s="4"/>
      <c r="FJ377" s="4"/>
      <c r="FK377" s="654"/>
      <c r="FL377" s="655"/>
      <c r="FM377" s="4"/>
      <c r="FN377" s="4"/>
      <c r="FO377" s="4"/>
      <c r="FP377" s="4"/>
      <c r="FQ377" s="4"/>
      <c r="FR377" s="4"/>
      <c r="FS377" s="4"/>
      <c r="FT377" s="4"/>
      <c r="FU377" s="4"/>
      <c r="FV377" s="4"/>
      <c r="FW377" s="654"/>
      <c r="FX377" s="655"/>
      <c r="FY377" s="4"/>
      <c r="FZ377" s="4"/>
      <c r="GA377" s="4"/>
      <c r="GB377" s="4"/>
      <c r="GC377" s="4"/>
      <c r="GD377" s="4"/>
      <c r="GE377" s="4"/>
      <c r="GF377" s="4"/>
      <c r="GG377" s="4"/>
      <c r="GH377" s="4"/>
      <c r="GI377" s="654"/>
      <c r="GJ377" s="655"/>
      <c r="GK377" s="4"/>
      <c r="GL377" s="4"/>
      <c r="GM377" s="4"/>
      <c r="GN377" s="4"/>
      <c r="GO377" s="4"/>
      <c r="GP377" s="4"/>
      <c r="GQ377" s="4"/>
      <c r="GR377" s="4"/>
      <c r="GS377" s="4"/>
      <c r="GT377" s="4"/>
      <c r="GU377" s="722"/>
      <c r="GV377" s="715"/>
    </row>
    <row r="378" spans="1:204" x14ac:dyDescent="0.25">
      <c r="A378" t="s">
        <v>1585</v>
      </c>
      <c r="B378" s="2" t="s">
        <v>358</v>
      </c>
      <c r="C378" s="619">
        <v>44657</v>
      </c>
      <c r="D378" s="2" t="s">
        <v>1580</v>
      </c>
      <c r="E378" t="s">
        <v>59</v>
      </c>
      <c r="F378" s="2" t="s">
        <v>43</v>
      </c>
      <c r="G378" t="s">
        <v>40</v>
      </c>
      <c r="H378" s="690" t="s">
        <v>85</v>
      </c>
      <c r="I378" s="691" t="s">
        <v>43</v>
      </c>
      <c r="J378" s="721">
        <v>3780401000108</v>
      </c>
      <c r="K378" s="691" t="s">
        <v>465</v>
      </c>
      <c r="L378" s="721">
        <v>11085823000183</v>
      </c>
      <c r="M378" s="718" t="s">
        <v>3</v>
      </c>
      <c r="N378" s="717" t="s">
        <v>44</v>
      </c>
      <c r="O378" s="719">
        <v>44896</v>
      </c>
      <c r="P378" s="720">
        <v>44926</v>
      </c>
      <c r="Q378" s="718">
        <v>138</v>
      </c>
      <c r="R378" s="717">
        <v>10</v>
      </c>
      <c r="S378" s="691" t="s">
        <v>54</v>
      </c>
      <c r="T378" t="s">
        <v>358</v>
      </c>
      <c r="U378" s="673" t="s">
        <v>358</v>
      </c>
      <c r="V378" s="690" t="s">
        <v>358</v>
      </c>
      <c r="W378" s="657" t="s">
        <v>214</v>
      </c>
      <c r="X378" s="723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654">
        <v>10</v>
      </c>
      <c r="AJ378" s="655"/>
      <c r="AK378" s="4"/>
      <c r="AL378" s="4"/>
      <c r="AM378" s="4"/>
      <c r="AN378" s="4"/>
      <c r="AO378" s="4"/>
      <c r="AP378" s="4"/>
      <c r="AQ378" s="4"/>
      <c r="AR378" s="4"/>
      <c r="AS378" s="4"/>
      <c r="AT378" s="4"/>
      <c r="AU378" s="654"/>
      <c r="AV378" s="655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654"/>
      <c r="BH378" s="655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654"/>
      <c r="BT378" s="655"/>
      <c r="BU378" s="4"/>
      <c r="BV378" s="4"/>
      <c r="BW378" s="4"/>
      <c r="BX378" s="4"/>
      <c r="BY378" s="4"/>
      <c r="BZ378" s="4"/>
      <c r="CA378" s="4"/>
      <c r="CB378" s="4"/>
      <c r="CC378" s="4"/>
      <c r="CD378" s="4"/>
      <c r="CE378" s="693"/>
      <c r="CF378" s="723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654">
        <v>138</v>
      </c>
      <c r="CR378" s="655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654"/>
      <c r="DD378" s="655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654"/>
      <c r="DP378" s="655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654"/>
      <c r="EB378" s="655"/>
      <c r="EC378" s="4"/>
      <c r="ED378" s="4"/>
      <c r="EE378" s="4"/>
      <c r="EF378" s="4"/>
      <c r="EG378" s="4"/>
      <c r="EH378" s="4"/>
      <c r="EI378" s="4"/>
      <c r="EJ378" s="4"/>
      <c r="EK378" s="4"/>
      <c r="EL378" s="4"/>
      <c r="EM378" s="693"/>
      <c r="EN378" s="723"/>
      <c r="EO378" s="4"/>
      <c r="EP378" s="4"/>
      <c r="EQ378" s="4"/>
      <c r="ER378" s="4"/>
      <c r="ES378" s="4"/>
      <c r="ET378" s="4"/>
      <c r="EU378" s="4"/>
      <c r="EV378" s="4"/>
      <c r="EW378" s="4"/>
      <c r="EX378" s="4"/>
      <c r="EY378" s="654">
        <v>138</v>
      </c>
      <c r="EZ378" s="655"/>
      <c r="FA378" s="4"/>
      <c r="FB378" s="4"/>
      <c r="FC378" s="4"/>
      <c r="FD378" s="4"/>
      <c r="FE378" s="4"/>
      <c r="FF378" s="4"/>
      <c r="FG378" s="4"/>
      <c r="FH378" s="4"/>
      <c r="FI378" s="4"/>
      <c r="FJ378" s="4"/>
      <c r="FK378" s="654"/>
      <c r="FL378" s="655"/>
      <c r="FM378" s="4"/>
      <c r="FN378" s="4"/>
      <c r="FO378" s="4"/>
      <c r="FP378" s="4"/>
      <c r="FQ378" s="4"/>
      <c r="FR378" s="4"/>
      <c r="FS378" s="4"/>
      <c r="FT378" s="4"/>
      <c r="FU378" s="4"/>
      <c r="FV378" s="4"/>
      <c r="FW378" s="654"/>
      <c r="FX378" s="655"/>
      <c r="FY378" s="4"/>
      <c r="FZ378" s="4"/>
      <c r="GA378" s="4"/>
      <c r="GB378" s="4"/>
      <c r="GC378" s="4"/>
      <c r="GD378" s="4"/>
      <c r="GE378" s="4"/>
      <c r="GF378" s="4"/>
      <c r="GG378" s="4"/>
      <c r="GH378" s="4"/>
      <c r="GI378" s="654"/>
      <c r="GJ378" s="655"/>
      <c r="GK378" s="4"/>
      <c r="GL378" s="4"/>
      <c r="GM378" s="4"/>
      <c r="GN378" s="4"/>
      <c r="GO378" s="4"/>
      <c r="GP378" s="4"/>
      <c r="GQ378" s="4"/>
      <c r="GR378" s="4"/>
      <c r="GS378" s="4"/>
      <c r="GT378" s="4"/>
      <c r="GU378" s="722"/>
      <c r="GV378" s="715"/>
    </row>
    <row r="379" spans="1:204" x14ac:dyDescent="0.25">
      <c r="A379" t="s">
        <v>1586</v>
      </c>
      <c r="B379" s="2" t="s">
        <v>358</v>
      </c>
      <c r="C379" s="619">
        <v>44657</v>
      </c>
      <c r="D379" s="2" t="s">
        <v>1581</v>
      </c>
      <c r="E379" t="s">
        <v>59</v>
      </c>
      <c r="F379" s="2" t="s">
        <v>43</v>
      </c>
      <c r="G379" t="s">
        <v>40</v>
      </c>
      <c r="H379" s="690" t="s">
        <v>85</v>
      </c>
      <c r="I379" s="691" t="s">
        <v>43</v>
      </c>
      <c r="J379" s="721">
        <v>3780401000108</v>
      </c>
      <c r="K379" s="691" t="s">
        <v>471</v>
      </c>
      <c r="L379" s="721">
        <v>11182210000164</v>
      </c>
      <c r="M379" s="718" t="s">
        <v>3</v>
      </c>
      <c r="N379" s="717" t="s">
        <v>44</v>
      </c>
      <c r="O379" s="719">
        <v>44896</v>
      </c>
      <c r="P379" s="720">
        <v>44926</v>
      </c>
      <c r="Q379" s="718">
        <v>138</v>
      </c>
      <c r="R379" s="717">
        <v>2.5</v>
      </c>
      <c r="S379" s="691" t="s">
        <v>54</v>
      </c>
      <c r="T379" t="s">
        <v>358</v>
      </c>
      <c r="U379" s="673" t="s">
        <v>358</v>
      </c>
      <c r="V379" s="690" t="s">
        <v>358</v>
      </c>
      <c r="W379" s="657" t="s">
        <v>214</v>
      </c>
      <c r="X379" s="723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654">
        <v>2.5</v>
      </c>
      <c r="AJ379" s="655"/>
      <c r="AK379" s="4"/>
      <c r="AL379" s="4"/>
      <c r="AM379" s="4"/>
      <c r="AN379" s="4"/>
      <c r="AO379" s="4"/>
      <c r="AP379" s="4"/>
      <c r="AQ379" s="4"/>
      <c r="AR379" s="4"/>
      <c r="AS379" s="4"/>
      <c r="AT379" s="4"/>
      <c r="AU379" s="654"/>
      <c r="AV379" s="655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654"/>
      <c r="BH379" s="655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654"/>
      <c r="BT379" s="655"/>
      <c r="BU379" s="4"/>
      <c r="BV379" s="4"/>
      <c r="BW379" s="4"/>
      <c r="BX379" s="4"/>
      <c r="BY379" s="4"/>
      <c r="BZ379" s="4"/>
      <c r="CA379" s="4"/>
      <c r="CB379" s="4"/>
      <c r="CC379" s="4"/>
      <c r="CD379" s="4"/>
      <c r="CE379" s="693"/>
      <c r="CF379" s="723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654">
        <v>138</v>
      </c>
      <c r="CR379" s="655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654"/>
      <c r="DD379" s="655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654"/>
      <c r="DP379" s="655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654"/>
      <c r="EB379" s="655"/>
      <c r="EC379" s="4"/>
      <c r="ED379" s="4"/>
      <c r="EE379" s="4"/>
      <c r="EF379" s="4"/>
      <c r="EG379" s="4"/>
      <c r="EH379" s="4"/>
      <c r="EI379" s="4"/>
      <c r="EJ379" s="4"/>
      <c r="EK379" s="4"/>
      <c r="EL379" s="4"/>
      <c r="EM379" s="693"/>
      <c r="EN379" s="723"/>
      <c r="EO379" s="4"/>
      <c r="EP379" s="4"/>
      <c r="EQ379" s="4"/>
      <c r="ER379" s="4"/>
      <c r="ES379" s="4"/>
      <c r="ET379" s="4"/>
      <c r="EU379" s="4"/>
      <c r="EV379" s="4"/>
      <c r="EW379" s="4"/>
      <c r="EX379" s="4"/>
      <c r="EY379" s="654">
        <v>138</v>
      </c>
      <c r="EZ379" s="655"/>
      <c r="FA379" s="4"/>
      <c r="FB379" s="4"/>
      <c r="FC379" s="4"/>
      <c r="FD379" s="4"/>
      <c r="FE379" s="4"/>
      <c r="FF379" s="4"/>
      <c r="FG379" s="4"/>
      <c r="FH379" s="4"/>
      <c r="FI379" s="4"/>
      <c r="FJ379" s="4"/>
      <c r="FK379" s="654"/>
      <c r="FL379" s="655"/>
      <c r="FM379" s="4"/>
      <c r="FN379" s="4"/>
      <c r="FO379" s="4"/>
      <c r="FP379" s="4"/>
      <c r="FQ379" s="4"/>
      <c r="FR379" s="4"/>
      <c r="FS379" s="4"/>
      <c r="FT379" s="4"/>
      <c r="FU379" s="4"/>
      <c r="FV379" s="4"/>
      <c r="FW379" s="654"/>
      <c r="FX379" s="655"/>
      <c r="FY379" s="4"/>
      <c r="FZ379" s="4"/>
      <c r="GA379" s="4"/>
      <c r="GB379" s="4"/>
      <c r="GC379" s="4"/>
      <c r="GD379" s="4"/>
      <c r="GE379" s="4"/>
      <c r="GF379" s="4"/>
      <c r="GG379" s="4"/>
      <c r="GH379" s="4"/>
      <c r="GI379" s="654"/>
      <c r="GJ379" s="655"/>
      <c r="GK379" s="4"/>
      <c r="GL379" s="4"/>
      <c r="GM379" s="4"/>
      <c r="GN379" s="4"/>
      <c r="GO379" s="4"/>
      <c r="GP379" s="4"/>
      <c r="GQ379" s="4"/>
      <c r="GR379" s="4"/>
      <c r="GS379" s="4"/>
      <c r="GT379" s="4"/>
      <c r="GU379" s="722"/>
      <c r="GV379" s="715"/>
    </row>
    <row r="380" spans="1:204" x14ac:dyDescent="0.25">
      <c r="A380" t="s">
        <v>1587</v>
      </c>
      <c r="B380" s="2" t="s">
        <v>358</v>
      </c>
      <c r="C380" s="619">
        <v>44657</v>
      </c>
      <c r="D380" s="2" t="s">
        <v>1582</v>
      </c>
      <c r="E380" t="s">
        <v>59</v>
      </c>
      <c r="F380" s="2" t="s">
        <v>43</v>
      </c>
      <c r="G380" t="s">
        <v>40</v>
      </c>
      <c r="H380" s="690" t="s">
        <v>85</v>
      </c>
      <c r="I380" s="691" t="s">
        <v>43</v>
      </c>
      <c r="J380" s="721">
        <v>3780401000108</v>
      </c>
      <c r="K380" s="691" t="s">
        <v>465</v>
      </c>
      <c r="L380" s="721">
        <v>11085823000183</v>
      </c>
      <c r="M380" s="718" t="s">
        <v>3</v>
      </c>
      <c r="N380" s="717" t="s">
        <v>44</v>
      </c>
      <c r="O380" s="719">
        <v>44805</v>
      </c>
      <c r="P380" s="720">
        <v>44834</v>
      </c>
      <c r="Q380" s="718">
        <v>125</v>
      </c>
      <c r="R380" s="717">
        <v>5</v>
      </c>
      <c r="S380" s="691" t="s">
        <v>54</v>
      </c>
      <c r="T380" t="s">
        <v>358</v>
      </c>
      <c r="U380" s="673" t="s">
        <v>358</v>
      </c>
      <c r="V380" s="690" t="s">
        <v>358</v>
      </c>
      <c r="W380" s="657" t="s">
        <v>214</v>
      </c>
      <c r="X380" s="723"/>
      <c r="Y380" s="4"/>
      <c r="Z380" s="4"/>
      <c r="AA380" s="4"/>
      <c r="AB380" s="4"/>
      <c r="AC380" s="4"/>
      <c r="AD380" s="4"/>
      <c r="AE380" s="4"/>
      <c r="AF380" s="4">
        <v>5</v>
      </c>
      <c r="AG380" s="4"/>
      <c r="AH380" s="4"/>
      <c r="AI380" s="654"/>
      <c r="AJ380" s="655"/>
      <c r="AK380" s="4"/>
      <c r="AL380" s="4"/>
      <c r="AM380" s="4"/>
      <c r="AN380" s="4"/>
      <c r="AO380" s="4"/>
      <c r="AP380" s="4"/>
      <c r="AQ380" s="4"/>
      <c r="AR380" s="4"/>
      <c r="AS380" s="4"/>
      <c r="AT380" s="4"/>
      <c r="AU380" s="654"/>
      <c r="AV380" s="655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654"/>
      <c r="BH380" s="655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654"/>
      <c r="BT380" s="655"/>
      <c r="BU380" s="4"/>
      <c r="BV380" s="4"/>
      <c r="BW380" s="4"/>
      <c r="BX380" s="4"/>
      <c r="BY380" s="4"/>
      <c r="BZ380" s="4"/>
      <c r="CA380" s="4"/>
      <c r="CB380" s="4"/>
      <c r="CC380" s="4"/>
      <c r="CD380" s="4"/>
      <c r="CE380" s="693"/>
      <c r="CF380" s="723"/>
      <c r="CG380" s="4"/>
      <c r="CH380" s="4"/>
      <c r="CI380" s="4"/>
      <c r="CJ380" s="4"/>
      <c r="CK380" s="4"/>
      <c r="CL380" s="4"/>
      <c r="CM380" s="4"/>
      <c r="CN380" s="4">
        <v>125</v>
      </c>
      <c r="CO380" s="4"/>
      <c r="CP380" s="4"/>
      <c r="CQ380" s="654"/>
      <c r="CR380" s="655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654"/>
      <c r="DD380" s="655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654"/>
      <c r="DP380" s="655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654"/>
      <c r="EB380" s="655"/>
      <c r="EC380" s="4"/>
      <c r="ED380" s="4"/>
      <c r="EE380" s="4"/>
      <c r="EF380" s="4"/>
      <c r="EG380" s="4"/>
      <c r="EH380" s="4"/>
      <c r="EI380" s="4"/>
      <c r="EJ380" s="4"/>
      <c r="EK380" s="4"/>
      <c r="EL380" s="4"/>
      <c r="EM380" s="693"/>
      <c r="EN380" s="723"/>
      <c r="EO380" s="4"/>
      <c r="EP380" s="4"/>
      <c r="EQ380" s="4"/>
      <c r="ER380" s="4"/>
      <c r="ES380" s="4"/>
      <c r="ET380" s="4"/>
      <c r="EU380" s="4"/>
      <c r="EV380" s="4">
        <v>125</v>
      </c>
      <c r="EW380" s="4"/>
      <c r="EX380" s="4"/>
      <c r="EY380" s="654"/>
      <c r="EZ380" s="655"/>
      <c r="FA380" s="4"/>
      <c r="FB380" s="4"/>
      <c r="FC380" s="4"/>
      <c r="FD380" s="4"/>
      <c r="FE380" s="4"/>
      <c r="FF380" s="4"/>
      <c r="FG380" s="4"/>
      <c r="FH380" s="4"/>
      <c r="FI380" s="4"/>
      <c r="FJ380" s="4"/>
      <c r="FK380" s="654"/>
      <c r="FL380" s="655"/>
      <c r="FM380" s="4"/>
      <c r="FN380" s="4"/>
      <c r="FO380" s="4"/>
      <c r="FP380" s="4"/>
      <c r="FQ380" s="4"/>
      <c r="FR380" s="4"/>
      <c r="FS380" s="4"/>
      <c r="FT380" s="4"/>
      <c r="FU380" s="4"/>
      <c r="FV380" s="4"/>
      <c r="FW380" s="654"/>
      <c r="FX380" s="655"/>
      <c r="FY380" s="4"/>
      <c r="FZ380" s="4"/>
      <c r="GA380" s="4"/>
      <c r="GB380" s="4"/>
      <c r="GC380" s="4"/>
      <c r="GD380" s="4"/>
      <c r="GE380" s="4"/>
      <c r="GF380" s="4"/>
      <c r="GG380" s="4"/>
      <c r="GH380" s="4"/>
      <c r="GI380" s="654"/>
      <c r="GJ380" s="655"/>
      <c r="GK380" s="4"/>
      <c r="GL380" s="4"/>
      <c r="GM380" s="4"/>
      <c r="GN380" s="4"/>
      <c r="GO380" s="4"/>
      <c r="GP380" s="4"/>
      <c r="GQ380" s="4"/>
      <c r="GR380" s="4"/>
      <c r="GS380" s="4"/>
      <c r="GT380" s="4"/>
      <c r="GU380" s="722"/>
      <c r="GV380" s="715"/>
    </row>
    <row r="381" spans="1:204" x14ac:dyDescent="0.25">
      <c r="A381" t="s">
        <v>1590</v>
      </c>
      <c r="B381" s="2" t="s">
        <v>358</v>
      </c>
      <c r="C381" s="619">
        <v>44658</v>
      </c>
      <c r="D381" s="2" t="s">
        <v>1589</v>
      </c>
      <c r="E381" t="s">
        <v>59</v>
      </c>
      <c r="F381" s="2" t="s">
        <v>43</v>
      </c>
      <c r="G381" t="s">
        <v>40</v>
      </c>
      <c r="H381" s="690" t="s">
        <v>85</v>
      </c>
      <c r="I381" s="691" t="s">
        <v>43</v>
      </c>
      <c r="J381" s="721">
        <v>3780401000108</v>
      </c>
      <c r="K381" s="691" t="s">
        <v>1167</v>
      </c>
      <c r="L381" s="721">
        <v>15087610000141</v>
      </c>
      <c r="M381" s="718" t="s">
        <v>3</v>
      </c>
      <c r="N381" s="717" t="s">
        <v>44</v>
      </c>
      <c r="O381" s="719">
        <v>44927</v>
      </c>
      <c r="P381" s="720">
        <v>45016</v>
      </c>
      <c r="Q381" s="718">
        <v>197</v>
      </c>
      <c r="R381" s="717">
        <v>2</v>
      </c>
      <c r="S381" s="691" t="s">
        <v>54</v>
      </c>
      <c r="T381" t="s">
        <v>649</v>
      </c>
      <c r="U381" s="673">
        <v>44658</v>
      </c>
      <c r="V381" s="690">
        <v>1</v>
      </c>
      <c r="W381" s="657" t="s">
        <v>214</v>
      </c>
      <c r="X381" s="723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654"/>
      <c r="AJ381" s="655">
        <v>2</v>
      </c>
      <c r="AK381" s="4">
        <v>2</v>
      </c>
      <c r="AL381" s="4">
        <v>2</v>
      </c>
      <c r="AM381" s="4"/>
      <c r="AN381" s="4"/>
      <c r="AO381" s="4"/>
      <c r="AP381" s="4"/>
      <c r="AQ381" s="4"/>
      <c r="AR381" s="4"/>
      <c r="AS381" s="4"/>
      <c r="AT381" s="4"/>
      <c r="AU381" s="654"/>
      <c r="AV381" s="655"/>
      <c r="AW381" s="4"/>
      <c r="AX381" s="4"/>
      <c r="AY381" s="4"/>
      <c r="AZ381" s="4"/>
      <c r="BA381" s="4"/>
      <c r="BB381" s="4"/>
      <c r="BC381" s="4"/>
      <c r="BD381" s="4"/>
      <c r="BE381" s="4"/>
      <c r="BF381" s="4"/>
      <c r="BG381" s="654"/>
      <c r="BH381" s="655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654"/>
      <c r="BT381" s="655"/>
      <c r="BU381" s="4"/>
      <c r="BV381" s="4"/>
      <c r="BW381" s="4"/>
      <c r="BX381" s="4"/>
      <c r="BY381" s="4"/>
      <c r="BZ381" s="4"/>
      <c r="CA381" s="4"/>
      <c r="CB381" s="4"/>
      <c r="CC381" s="4"/>
      <c r="CD381" s="4"/>
      <c r="CE381" s="693"/>
      <c r="CF381" s="723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654"/>
      <c r="CR381" s="655">
        <v>201.65218769468942</v>
      </c>
      <c r="CS381" s="4">
        <v>201.65218769468942</v>
      </c>
      <c r="CT381" s="4">
        <v>201.65218769468942</v>
      </c>
      <c r="CU381" s="4"/>
      <c r="CV381" s="4"/>
      <c r="CW381" s="4"/>
      <c r="CX381" s="4"/>
      <c r="CY381" s="4"/>
      <c r="CZ381" s="4"/>
      <c r="DA381" s="4"/>
      <c r="DB381" s="4"/>
      <c r="DC381" s="654"/>
      <c r="DD381" s="655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654"/>
      <c r="DP381" s="655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654"/>
      <c r="EB381" s="655"/>
      <c r="EC381" s="4"/>
      <c r="ED381" s="4"/>
      <c r="EE381" s="4"/>
      <c r="EF381" s="4"/>
      <c r="EG381" s="4"/>
      <c r="EH381" s="4"/>
      <c r="EI381" s="4"/>
      <c r="EJ381" s="4"/>
      <c r="EK381" s="4"/>
      <c r="EL381" s="4"/>
      <c r="EM381" s="693"/>
      <c r="EN381" s="723"/>
      <c r="EO381" s="4"/>
      <c r="EP381" s="4"/>
      <c r="EQ381" s="4"/>
      <c r="ER381" s="4"/>
      <c r="ES381" s="4"/>
      <c r="ET381" s="4"/>
      <c r="EU381" s="4"/>
      <c r="EV381" s="4"/>
      <c r="EW381" s="4"/>
      <c r="EX381" s="4"/>
      <c r="EY381" s="654"/>
      <c r="EZ381" s="655">
        <v>201.65218769468942</v>
      </c>
      <c r="FA381" s="4">
        <v>201.65218769468942</v>
      </c>
      <c r="FB381" s="4">
        <v>201.65218769468942</v>
      </c>
      <c r="FC381" s="4"/>
      <c r="FD381" s="4"/>
      <c r="FE381" s="4"/>
      <c r="FF381" s="4"/>
      <c r="FG381" s="4"/>
      <c r="FH381" s="4"/>
      <c r="FI381" s="4"/>
      <c r="FJ381" s="4"/>
      <c r="FK381" s="654"/>
      <c r="FL381" s="655"/>
      <c r="FM381" s="4"/>
      <c r="FN381" s="4"/>
      <c r="FO381" s="4"/>
      <c r="FP381" s="4"/>
      <c r="FQ381" s="4"/>
      <c r="FR381" s="4"/>
      <c r="FS381" s="4"/>
      <c r="FT381" s="4"/>
      <c r="FU381" s="4"/>
      <c r="FV381" s="4"/>
      <c r="FW381" s="654"/>
      <c r="FX381" s="655"/>
      <c r="FY381" s="4"/>
      <c r="FZ381" s="4"/>
      <c r="GA381" s="4"/>
      <c r="GB381" s="4"/>
      <c r="GC381" s="4"/>
      <c r="GD381" s="4"/>
      <c r="GE381" s="4"/>
      <c r="GF381" s="4"/>
      <c r="GG381" s="4"/>
      <c r="GH381" s="4"/>
      <c r="GI381" s="654"/>
      <c r="GJ381" s="655"/>
      <c r="GK381" s="4"/>
      <c r="GL381" s="4"/>
      <c r="GM381" s="4"/>
      <c r="GN381" s="4"/>
      <c r="GO381" s="4"/>
      <c r="GP381" s="4"/>
      <c r="GQ381" s="4"/>
      <c r="GR381" s="4"/>
      <c r="GS381" s="4"/>
      <c r="GT381" s="4"/>
      <c r="GU381" s="722"/>
      <c r="GV381" s="715"/>
    </row>
    <row r="382" spans="1:204" x14ac:dyDescent="0.25">
      <c r="A382" t="s">
        <v>1593</v>
      </c>
      <c r="B382" s="2" t="s">
        <v>358</v>
      </c>
      <c r="C382" s="619">
        <v>44662</v>
      </c>
      <c r="D382" s="2" t="s">
        <v>1591</v>
      </c>
      <c r="E382" t="s">
        <v>58</v>
      </c>
      <c r="F382" s="2" t="s">
        <v>43</v>
      </c>
      <c r="G382" t="s">
        <v>40</v>
      </c>
      <c r="H382" s="690" t="s">
        <v>84</v>
      </c>
      <c r="I382" s="691" t="s">
        <v>1592</v>
      </c>
      <c r="J382" s="721">
        <v>2691745000170</v>
      </c>
      <c r="K382" s="691" t="s">
        <v>43</v>
      </c>
      <c r="L382" s="721">
        <v>3780401000108</v>
      </c>
      <c r="M382" s="718" t="s">
        <v>3</v>
      </c>
      <c r="N382" s="717" t="s">
        <v>44</v>
      </c>
      <c r="O382" s="719">
        <v>44743</v>
      </c>
      <c r="P382" s="720">
        <v>44773</v>
      </c>
      <c r="Q382" s="718">
        <v>104</v>
      </c>
      <c r="R382" s="717">
        <v>3</v>
      </c>
      <c r="S382" s="691" t="s">
        <v>54</v>
      </c>
      <c r="T382" t="s">
        <v>358</v>
      </c>
      <c r="U382" s="673" t="s">
        <v>358</v>
      </c>
      <c r="V382" s="690" t="s">
        <v>358</v>
      </c>
      <c r="W382" s="657" t="s">
        <v>214</v>
      </c>
      <c r="X382" s="723"/>
      <c r="Y382" s="4"/>
      <c r="Z382" s="4"/>
      <c r="AA382" s="4"/>
      <c r="AB382" s="4"/>
      <c r="AC382" s="4"/>
      <c r="AD382" s="4">
        <v>3</v>
      </c>
      <c r="AE382" s="4"/>
      <c r="AF382" s="4"/>
      <c r="AG382" s="4"/>
      <c r="AH382" s="4"/>
      <c r="AI382" s="654"/>
      <c r="AJ382" s="655"/>
      <c r="AK382" s="4"/>
      <c r="AL382" s="4"/>
      <c r="AM382" s="4"/>
      <c r="AN382" s="4"/>
      <c r="AO382" s="4"/>
      <c r="AP382" s="4"/>
      <c r="AQ382" s="4"/>
      <c r="AR382" s="4"/>
      <c r="AS382" s="4"/>
      <c r="AT382" s="4"/>
      <c r="AU382" s="654"/>
      <c r="AV382" s="655"/>
      <c r="AW382" s="4"/>
      <c r="AX382" s="4"/>
      <c r="AY382" s="4"/>
      <c r="AZ382" s="4"/>
      <c r="BA382" s="4"/>
      <c r="BB382" s="4"/>
      <c r="BC382" s="4"/>
      <c r="BD382" s="4"/>
      <c r="BE382" s="4"/>
      <c r="BF382" s="4"/>
      <c r="BG382" s="654"/>
      <c r="BH382" s="655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654"/>
      <c r="BT382" s="655"/>
      <c r="BU382" s="4"/>
      <c r="BV382" s="4"/>
      <c r="BW382" s="4"/>
      <c r="BX382" s="4"/>
      <c r="BY382" s="4"/>
      <c r="BZ382" s="4"/>
      <c r="CA382" s="4"/>
      <c r="CB382" s="4"/>
      <c r="CC382" s="4"/>
      <c r="CD382" s="4"/>
      <c r="CE382" s="693"/>
      <c r="CF382" s="723"/>
      <c r="CG382" s="4"/>
      <c r="CH382" s="4"/>
      <c r="CI382" s="4"/>
      <c r="CJ382" s="4"/>
      <c r="CK382" s="4"/>
      <c r="CL382" s="4">
        <v>104</v>
      </c>
      <c r="CM382" s="4"/>
      <c r="CN382" s="4"/>
      <c r="CO382" s="4"/>
      <c r="CP382" s="4"/>
      <c r="CQ382" s="654"/>
      <c r="CR382" s="655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654"/>
      <c r="DD382" s="655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654"/>
      <c r="DP382" s="655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654"/>
      <c r="EB382" s="655"/>
      <c r="EC382" s="4"/>
      <c r="ED382" s="4"/>
      <c r="EE382" s="4"/>
      <c r="EF382" s="4"/>
      <c r="EG382" s="4"/>
      <c r="EH382" s="4"/>
      <c r="EI382" s="4"/>
      <c r="EJ382" s="4"/>
      <c r="EK382" s="4"/>
      <c r="EL382" s="4"/>
      <c r="EM382" s="693"/>
      <c r="EN382" s="723"/>
      <c r="EO382" s="4"/>
      <c r="EP382" s="4"/>
      <c r="EQ382" s="4"/>
      <c r="ER382" s="4"/>
      <c r="ES382" s="4"/>
      <c r="ET382" s="4">
        <v>104</v>
      </c>
      <c r="EU382" s="4"/>
      <c r="EV382" s="4"/>
      <c r="EW382" s="4"/>
      <c r="EX382" s="4"/>
      <c r="EY382" s="654"/>
      <c r="EZ382" s="655"/>
      <c r="FA382" s="4"/>
      <c r="FB382" s="4"/>
      <c r="FC382" s="4"/>
      <c r="FD382" s="4"/>
      <c r="FE382" s="4"/>
      <c r="FF382" s="4"/>
      <c r="FG382" s="4"/>
      <c r="FH382" s="4"/>
      <c r="FI382" s="4"/>
      <c r="FJ382" s="4"/>
      <c r="FK382" s="654"/>
      <c r="FL382" s="655"/>
      <c r="FM382" s="4"/>
      <c r="FN382" s="4"/>
      <c r="FO382" s="4"/>
      <c r="FP382" s="4"/>
      <c r="FQ382" s="4"/>
      <c r="FR382" s="4"/>
      <c r="FS382" s="4"/>
      <c r="FT382" s="4"/>
      <c r="FU382" s="4"/>
      <c r="FV382" s="4"/>
      <c r="FW382" s="654"/>
      <c r="FX382" s="655"/>
      <c r="FY382" s="4"/>
      <c r="FZ382" s="4"/>
      <c r="GA382" s="4"/>
      <c r="GB382" s="4"/>
      <c r="GC382" s="4"/>
      <c r="GD382" s="4"/>
      <c r="GE382" s="4"/>
      <c r="GF382" s="4"/>
      <c r="GG382" s="4"/>
      <c r="GH382" s="4"/>
      <c r="GI382" s="654"/>
      <c r="GJ382" s="655"/>
      <c r="GK382" s="4"/>
      <c r="GL382" s="4"/>
      <c r="GM382" s="4"/>
      <c r="GN382" s="4"/>
      <c r="GO382" s="4"/>
      <c r="GP382" s="4"/>
      <c r="GQ382" s="4"/>
      <c r="GR382" s="4"/>
      <c r="GS382" s="4"/>
      <c r="GT382" s="4"/>
      <c r="GU382" s="722"/>
      <c r="GV382" s="715"/>
    </row>
    <row r="383" spans="1:204" x14ac:dyDescent="0.25">
      <c r="A383" t="s">
        <v>1599</v>
      </c>
      <c r="B383" s="2" t="s">
        <v>358</v>
      </c>
      <c r="C383" s="619">
        <v>44663</v>
      </c>
      <c r="D383" s="2" t="s">
        <v>1594</v>
      </c>
      <c r="E383" t="s">
        <v>59</v>
      </c>
      <c r="F383" s="2" t="s">
        <v>43</v>
      </c>
      <c r="G383" t="s">
        <v>40</v>
      </c>
      <c r="H383" s="690" t="s">
        <v>85</v>
      </c>
      <c r="I383" s="691" t="s">
        <v>43</v>
      </c>
      <c r="J383" s="721">
        <v>3780401000108</v>
      </c>
      <c r="K383" s="691" t="s">
        <v>405</v>
      </c>
      <c r="L383" s="721">
        <v>58177643000195</v>
      </c>
      <c r="M383" s="718" t="s">
        <v>3</v>
      </c>
      <c r="N383" s="717" t="s">
        <v>44</v>
      </c>
      <c r="O383" s="719">
        <v>44805</v>
      </c>
      <c r="P383" s="720">
        <v>44834</v>
      </c>
      <c r="Q383" s="718">
        <v>136</v>
      </c>
      <c r="R383" s="717">
        <v>10</v>
      </c>
      <c r="S383" s="691" t="s">
        <v>54</v>
      </c>
      <c r="T383" t="s">
        <v>358</v>
      </c>
      <c r="U383" s="673" t="s">
        <v>358</v>
      </c>
      <c r="V383" s="690" t="s">
        <v>358</v>
      </c>
      <c r="W383" s="657" t="s">
        <v>214</v>
      </c>
      <c r="X383" s="723"/>
      <c r="Y383" s="4"/>
      <c r="Z383" s="4"/>
      <c r="AA383" s="4"/>
      <c r="AB383" s="4"/>
      <c r="AC383" s="4"/>
      <c r="AD383" s="4"/>
      <c r="AE383" s="4"/>
      <c r="AF383" s="4">
        <v>10</v>
      </c>
      <c r="AG383" s="4"/>
      <c r="AH383" s="4"/>
      <c r="AI383" s="654"/>
      <c r="AJ383" s="655"/>
      <c r="AK383" s="4"/>
      <c r="AL383" s="4"/>
      <c r="AM383" s="4"/>
      <c r="AN383" s="4"/>
      <c r="AO383" s="4"/>
      <c r="AP383" s="4"/>
      <c r="AQ383" s="4"/>
      <c r="AR383" s="4"/>
      <c r="AS383" s="4"/>
      <c r="AT383" s="4"/>
      <c r="AU383" s="654"/>
      <c r="AV383" s="655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654"/>
      <c r="BH383" s="655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654"/>
      <c r="BT383" s="655"/>
      <c r="BU383" s="4"/>
      <c r="BV383" s="4"/>
      <c r="BW383" s="4"/>
      <c r="BX383" s="4"/>
      <c r="BY383" s="4"/>
      <c r="BZ383" s="4"/>
      <c r="CA383" s="4"/>
      <c r="CB383" s="4"/>
      <c r="CC383" s="4"/>
      <c r="CD383" s="4"/>
      <c r="CE383" s="693"/>
      <c r="CF383" s="723"/>
      <c r="CG383" s="4"/>
      <c r="CH383" s="4"/>
      <c r="CI383" s="4"/>
      <c r="CJ383" s="4"/>
      <c r="CK383" s="4"/>
      <c r="CL383" s="4"/>
      <c r="CM383" s="4"/>
      <c r="CN383" s="4">
        <v>136</v>
      </c>
      <c r="CO383" s="4"/>
      <c r="CP383" s="4"/>
      <c r="CQ383" s="654"/>
      <c r="CR383" s="655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654"/>
      <c r="DD383" s="655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654"/>
      <c r="DP383" s="655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654"/>
      <c r="EB383" s="655"/>
      <c r="EC383" s="4"/>
      <c r="ED383" s="4"/>
      <c r="EE383" s="4"/>
      <c r="EF383" s="4"/>
      <c r="EG383" s="4"/>
      <c r="EH383" s="4"/>
      <c r="EI383" s="4"/>
      <c r="EJ383" s="4"/>
      <c r="EK383" s="4"/>
      <c r="EL383" s="4"/>
      <c r="EM383" s="693"/>
      <c r="EN383" s="723"/>
      <c r="EO383" s="4"/>
      <c r="EP383" s="4"/>
      <c r="EQ383" s="4"/>
      <c r="ER383" s="4"/>
      <c r="ES383" s="4"/>
      <c r="ET383" s="4"/>
      <c r="EU383" s="4"/>
      <c r="EV383" s="4">
        <v>136</v>
      </c>
      <c r="EW383" s="4"/>
      <c r="EX383" s="4"/>
      <c r="EY383" s="654"/>
      <c r="EZ383" s="655"/>
      <c r="FA383" s="4"/>
      <c r="FB383" s="4"/>
      <c r="FC383" s="4"/>
      <c r="FD383" s="4"/>
      <c r="FE383" s="4"/>
      <c r="FF383" s="4"/>
      <c r="FG383" s="4"/>
      <c r="FH383" s="4"/>
      <c r="FI383" s="4"/>
      <c r="FJ383" s="4"/>
      <c r="FK383" s="654"/>
      <c r="FL383" s="655"/>
      <c r="FM383" s="4"/>
      <c r="FN383" s="4"/>
      <c r="FO383" s="4"/>
      <c r="FP383" s="4"/>
      <c r="FQ383" s="4"/>
      <c r="FR383" s="4"/>
      <c r="FS383" s="4"/>
      <c r="FT383" s="4"/>
      <c r="FU383" s="4"/>
      <c r="FV383" s="4"/>
      <c r="FW383" s="654"/>
      <c r="FX383" s="655"/>
      <c r="FY383" s="4"/>
      <c r="FZ383" s="4"/>
      <c r="GA383" s="4"/>
      <c r="GB383" s="4"/>
      <c r="GC383" s="4"/>
      <c r="GD383" s="4"/>
      <c r="GE383" s="4"/>
      <c r="GF383" s="4"/>
      <c r="GG383" s="4"/>
      <c r="GH383" s="4"/>
      <c r="GI383" s="654"/>
      <c r="GJ383" s="655"/>
      <c r="GK383" s="4"/>
      <c r="GL383" s="4"/>
      <c r="GM383" s="4"/>
      <c r="GN383" s="4"/>
      <c r="GO383" s="4"/>
      <c r="GP383" s="4"/>
      <c r="GQ383" s="4"/>
      <c r="GR383" s="4"/>
      <c r="GS383" s="4"/>
      <c r="GT383" s="4"/>
      <c r="GU383" s="722"/>
      <c r="GV383" s="715"/>
    </row>
    <row r="384" spans="1:204" x14ac:dyDescent="0.25">
      <c r="A384" t="s">
        <v>1600</v>
      </c>
      <c r="B384" s="2" t="s">
        <v>358</v>
      </c>
      <c r="C384" s="619">
        <v>44663</v>
      </c>
      <c r="D384" s="2" t="s">
        <v>1595</v>
      </c>
      <c r="E384" t="s">
        <v>59</v>
      </c>
      <c r="F384" s="2" t="s">
        <v>43</v>
      </c>
      <c r="G384" t="s">
        <v>40</v>
      </c>
      <c r="H384" s="690" t="s">
        <v>85</v>
      </c>
      <c r="I384" s="691" t="s">
        <v>43</v>
      </c>
      <c r="J384" s="721">
        <v>3780401000108</v>
      </c>
      <c r="K384" s="691" t="s">
        <v>585</v>
      </c>
      <c r="L384" s="721">
        <v>33933760000100</v>
      </c>
      <c r="M384" s="718" t="s">
        <v>3</v>
      </c>
      <c r="N384" s="717" t="s">
        <v>44</v>
      </c>
      <c r="O384" s="719">
        <v>44743</v>
      </c>
      <c r="P384" s="720">
        <v>44773</v>
      </c>
      <c r="Q384" s="718">
        <v>105</v>
      </c>
      <c r="R384" s="717">
        <v>5</v>
      </c>
      <c r="S384" s="691" t="s">
        <v>54</v>
      </c>
      <c r="T384" t="s">
        <v>358</v>
      </c>
      <c r="U384" s="673" t="s">
        <v>358</v>
      </c>
      <c r="V384" s="690" t="s">
        <v>358</v>
      </c>
      <c r="W384" s="657" t="s">
        <v>214</v>
      </c>
      <c r="X384" s="723"/>
      <c r="Y384" s="4"/>
      <c r="Z384" s="4"/>
      <c r="AA384" s="4"/>
      <c r="AB384" s="4"/>
      <c r="AC384" s="4"/>
      <c r="AD384" s="4">
        <v>5</v>
      </c>
      <c r="AE384" s="4"/>
      <c r="AF384" s="4"/>
      <c r="AG384" s="4"/>
      <c r="AH384" s="4"/>
      <c r="AI384" s="654"/>
      <c r="AJ384" s="655"/>
      <c r="AK384" s="4"/>
      <c r="AL384" s="4"/>
      <c r="AM384" s="4"/>
      <c r="AN384" s="4"/>
      <c r="AO384" s="4"/>
      <c r="AP384" s="4"/>
      <c r="AQ384" s="4"/>
      <c r="AR384" s="4"/>
      <c r="AS384" s="4"/>
      <c r="AT384" s="4"/>
      <c r="AU384" s="654"/>
      <c r="AV384" s="655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654"/>
      <c r="BH384" s="655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654"/>
      <c r="BT384" s="655"/>
      <c r="BU384" s="4"/>
      <c r="BV384" s="4"/>
      <c r="BW384" s="4"/>
      <c r="BX384" s="4"/>
      <c r="BY384" s="4"/>
      <c r="BZ384" s="4"/>
      <c r="CA384" s="4"/>
      <c r="CB384" s="4"/>
      <c r="CC384" s="4"/>
      <c r="CD384" s="4"/>
      <c r="CE384" s="693"/>
      <c r="CF384" s="723"/>
      <c r="CG384" s="4"/>
      <c r="CH384" s="4"/>
      <c r="CI384" s="4"/>
      <c r="CJ384" s="4"/>
      <c r="CK384" s="4"/>
      <c r="CL384" s="4">
        <v>105</v>
      </c>
      <c r="CM384" s="4"/>
      <c r="CN384" s="4"/>
      <c r="CO384" s="4"/>
      <c r="CP384" s="4"/>
      <c r="CQ384" s="654"/>
      <c r="CR384" s="655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654"/>
      <c r="DD384" s="655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654"/>
      <c r="DP384" s="655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654"/>
      <c r="EB384" s="655"/>
      <c r="EC384" s="4"/>
      <c r="ED384" s="4"/>
      <c r="EE384" s="4"/>
      <c r="EF384" s="4"/>
      <c r="EG384" s="4"/>
      <c r="EH384" s="4"/>
      <c r="EI384" s="4"/>
      <c r="EJ384" s="4"/>
      <c r="EK384" s="4"/>
      <c r="EL384" s="4"/>
      <c r="EM384" s="693"/>
      <c r="EN384" s="723"/>
      <c r="EO384" s="4"/>
      <c r="EP384" s="4"/>
      <c r="EQ384" s="4"/>
      <c r="ER384" s="4"/>
      <c r="ES384" s="4"/>
      <c r="ET384" s="4">
        <v>105</v>
      </c>
      <c r="EU384" s="4"/>
      <c r="EV384" s="4"/>
      <c r="EW384" s="4"/>
      <c r="EX384" s="4"/>
      <c r="EY384" s="654"/>
      <c r="EZ384" s="655"/>
      <c r="FA384" s="4"/>
      <c r="FB384" s="4"/>
      <c r="FC384" s="4"/>
      <c r="FD384" s="4"/>
      <c r="FE384" s="4"/>
      <c r="FF384" s="4"/>
      <c r="FG384" s="4"/>
      <c r="FH384" s="4"/>
      <c r="FI384" s="4"/>
      <c r="FJ384" s="4"/>
      <c r="FK384" s="654"/>
      <c r="FL384" s="655"/>
      <c r="FM384" s="4"/>
      <c r="FN384" s="4"/>
      <c r="FO384" s="4"/>
      <c r="FP384" s="4"/>
      <c r="FQ384" s="4"/>
      <c r="FR384" s="4"/>
      <c r="FS384" s="4"/>
      <c r="FT384" s="4"/>
      <c r="FU384" s="4"/>
      <c r="FV384" s="4"/>
      <c r="FW384" s="654"/>
      <c r="FX384" s="655"/>
      <c r="FY384" s="4"/>
      <c r="FZ384" s="4"/>
      <c r="GA384" s="4"/>
      <c r="GB384" s="4"/>
      <c r="GC384" s="4"/>
      <c r="GD384" s="4"/>
      <c r="GE384" s="4"/>
      <c r="GF384" s="4"/>
      <c r="GG384" s="4"/>
      <c r="GH384" s="4"/>
      <c r="GI384" s="654"/>
      <c r="GJ384" s="655"/>
      <c r="GK384" s="4"/>
      <c r="GL384" s="4"/>
      <c r="GM384" s="4"/>
      <c r="GN384" s="4"/>
      <c r="GO384" s="4"/>
      <c r="GP384" s="4"/>
      <c r="GQ384" s="4"/>
      <c r="GR384" s="4"/>
      <c r="GS384" s="4"/>
      <c r="GT384" s="4"/>
      <c r="GU384" s="722"/>
      <c r="GV384" s="715"/>
    </row>
    <row r="385" spans="1:204" x14ac:dyDescent="0.25">
      <c r="A385" t="s">
        <v>1601</v>
      </c>
      <c r="B385" s="2" t="s">
        <v>358</v>
      </c>
      <c r="C385" s="619">
        <v>44663</v>
      </c>
      <c r="D385" s="2" t="s">
        <v>1596</v>
      </c>
      <c r="E385" t="s">
        <v>58</v>
      </c>
      <c r="F385" s="2" t="s">
        <v>43</v>
      </c>
      <c r="G385" t="s">
        <v>40</v>
      </c>
      <c r="H385" s="690" t="s">
        <v>84</v>
      </c>
      <c r="I385" s="691" t="s">
        <v>620</v>
      </c>
      <c r="J385" s="721">
        <v>4149295000113</v>
      </c>
      <c r="K385" s="691" t="s">
        <v>43</v>
      </c>
      <c r="L385" s="721">
        <v>3780401000108</v>
      </c>
      <c r="M385" s="718" t="s">
        <v>3</v>
      </c>
      <c r="N385" s="717" t="s">
        <v>44</v>
      </c>
      <c r="O385" s="719">
        <v>44743</v>
      </c>
      <c r="P385" s="720">
        <v>44773</v>
      </c>
      <c r="Q385" s="718">
        <v>104</v>
      </c>
      <c r="R385" s="717">
        <v>5</v>
      </c>
      <c r="S385" s="691" t="s">
        <v>54</v>
      </c>
      <c r="T385" t="s">
        <v>358</v>
      </c>
      <c r="U385" s="673" t="s">
        <v>358</v>
      </c>
      <c r="V385" s="690" t="s">
        <v>358</v>
      </c>
      <c r="W385" s="657" t="s">
        <v>214</v>
      </c>
      <c r="X385" s="723"/>
      <c r="Y385" s="4"/>
      <c r="Z385" s="4"/>
      <c r="AA385" s="4"/>
      <c r="AB385" s="4"/>
      <c r="AC385" s="4"/>
      <c r="AD385" s="4">
        <v>5</v>
      </c>
      <c r="AE385" s="4"/>
      <c r="AF385" s="4"/>
      <c r="AG385" s="4"/>
      <c r="AH385" s="4"/>
      <c r="AI385" s="654"/>
      <c r="AJ385" s="655"/>
      <c r="AK385" s="4"/>
      <c r="AL385" s="4"/>
      <c r="AM385" s="4"/>
      <c r="AN385" s="4"/>
      <c r="AO385" s="4"/>
      <c r="AP385" s="4"/>
      <c r="AQ385" s="4"/>
      <c r="AR385" s="4"/>
      <c r="AS385" s="4"/>
      <c r="AT385" s="4"/>
      <c r="AU385" s="654"/>
      <c r="AV385" s="655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654"/>
      <c r="BH385" s="655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654"/>
      <c r="BT385" s="655"/>
      <c r="BU385" s="4"/>
      <c r="BV385" s="4"/>
      <c r="BW385" s="4"/>
      <c r="BX385" s="4"/>
      <c r="BY385" s="4"/>
      <c r="BZ385" s="4"/>
      <c r="CA385" s="4"/>
      <c r="CB385" s="4"/>
      <c r="CC385" s="4"/>
      <c r="CD385" s="4"/>
      <c r="CE385" s="693"/>
      <c r="CF385" s="723"/>
      <c r="CG385" s="4"/>
      <c r="CH385" s="4"/>
      <c r="CI385" s="4"/>
      <c r="CJ385" s="4"/>
      <c r="CK385" s="4"/>
      <c r="CL385" s="4">
        <v>104</v>
      </c>
      <c r="CM385" s="4"/>
      <c r="CN385" s="4"/>
      <c r="CO385" s="4"/>
      <c r="CP385" s="4"/>
      <c r="CQ385" s="654"/>
      <c r="CR385" s="655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654"/>
      <c r="DD385" s="655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654"/>
      <c r="DP385" s="655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654"/>
      <c r="EB385" s="655"/>
      <c r="EC385" s="4"/>
      <c r="ED385" s="4"/>
      <c r="EE385" s="4"/>
      <c r="EF385" s="4"/>
      <c r="EG385" s="4"/>
      <c r="EH385" s="4"/>
      <c r="EI385" s="4"/>
      <c r="EJ385" s="4"/>
      <c r="EK385" s="4"/>
      <c r="EL385" s="4"/>
      <c r="EM385" s="693"/>
      <c r="EN385" s="723"/>
      <c r="EO385" s="4"/>
      <c r="EP385" s="4"/>
      <c r="EQ385" s="4"/>
      <c r="ER385" s="4"/>
      <c r="ES385" s="4"/>
      <c r="ET385" s="4">
        <v>104</v>
      </c>
      <c r="EU385" s="4"/>
      <c r="EV385" s="4"/>
      <c r="EW385" s="4"/>
      <c r="EX385" s="4"/>
      <c r="EY385" s="654"/>
      <c r="EZ385" s="655"/>
      <c r="FA385" s="4"/>
      <c r="FB385" s="4"/>
      <c r="FC385" s="4"/>
      <c r="FD385" s="4"/>
      <c r="FE385" s="4"/>
      <c r="FF385" s="4"/>
      <c r="FG385" s="4"/>
      <c r="FH385" s="4"/>
      <c r="FI385" s="4"/>
      <c r="FJ385" s="4"/>
      <c r="FK385" s="654"/>
      <c r="FL385" s="655"/>
      <c r="FM385" s="4"/>
      <c r="FN385" s="4"/>
      <c r="FO385" s="4"/>
      <c r="FP385" s="4"/>
      <c r="FQ385" s="4"/>
      <c r="FR385" s="4"/>
      <c r="FS385" s="4"/>
      <c r="FT385" s="4"/>
      <c r="FU385" s="4"/>
      <c r="FV385" s="4"/>
      <c r="FW385" s="654"/>
      <c r="FX385" s="655"/>
      <c r="FY385" s="4"/>
      <c r="FZ385" s="4"/>
      <c r="GA385" s="4"/>
      <c r="GB385" s="4"/>
      <c r="GC385" s="4"/>
      <c r="GD385" s="4"/>
      <c r="GE385" s="4"/>
      <c r="GF385" s="4"/>
      <c r="GG385" s="4"/>
      <c r="GH385" s="4"/>
      <c r="GI385" s="654"/>
      <c r="GJ385" s="655"/>
      <c r="GK385" s="4"/>
      <c r="GL385" s="4"/>
      <c r="GM385" s="4"/>
      <c r="GN385" s="4"/>
      <c r="GO385" s="4"/>
      <c r="GP385" s="4"/>
      <c r="GQ385" s="4"/>
      <c r="GR385" s="4"/>
      <c r="GS385" s="4"/>
      <c r="GT385" s="4"/>
      <c r="GU385" s="722"/>
      <c r="GV385" s="715"/>
    </row>
    <row r="386" spans="1:204" x14ac:dyDescent="0.25">
      <c r="A386" t="s">
        <v>1602</v>
      </c>
      <c r="B386" s="2" t="s">
        <v>358</v>
      </c>
      <c r="C386" s="619">
        <v>44663</v>
      </c>
      <c r="D386" s="2" t="s">
        <v>1597</v>
      </c>
      <c r="E386" t="s">
        <v>58</v>
      </c>
      <c r="F386" s="2" t="s">
        <v>43</v>
      </c>
      <c r="G386" t="s">
        <v>40</v>
      </c>
      <c r="H386" s="690" t="s">
        <v>84</v>
      </c>
      <c r="I386" s="691" t="s">
        <v>349</v>
      </c>
      <c r="J386" s="721">
        <v>4973790000142</v>
      </c>
      <c r="K386" s="691" t="s">
        <v>43</v>
      </c>
      <c r="L386" s="721">
        <v>3780401000108</v>
      </c>
      <c r="M386" s="718" t="s">
        <v>3</v>
      </c>
      <c r="N386" s="717" t="s">
        <v>44</v>
      </c>
      <c r="O386" s="719">
        <v>44743</v>
      </c>
      <c r="P386" s="720">
        <v>44773</v>
      </c>
      <c r="Q386" s="718">
        <v>104</v>
      </c>
      <c r="R386" s="717">
        <v>10</v>
      </c>
      <c r="S386" s="691" t="s">
        <v>54</v>
      </c>
      <c r="T386" t="s">
        <v>358</v>
      </c>
      <c r="U386" s="673" t="s">
        <v>358</v>
      </c>
      <c r="V386" s="690" t="s">
        <v>358</v>
      </c>
      <c r="W386" s="657" t="s">
        <v>214</v>
      </c>
      <c r="X386" s="723"/>
      <c r="Y386" s="4"/>
      <c r="Z386" s="4"/>
      <c r="AA386" s="4"/>
      <c r="AB386" s="4"/>
      <c r="AC386" s="4"/>
      <c r="AD386" s="4">
        <v>10</v>
      </c>
      <c r="AE386" s="4"/>
      <c r="AF386" s="4"/>
      <c r="AG386" s="4"/>
      <c r="AH386" s="4"/>
      <c r="AI386" s="654"/>
      <c r="AJ386" s="655"/>
      <c r="AK386" s="4"/>
      <c r="AL386" s="4"/>
      <c r="AM386" s="4"/>
      <c r="AN386" s="4"/>
      <c r="AO386" s="4"/>
      <c r="AP386" s="4"/>
      <c r="AQ386" s="4"/>
      <c r="AR386" s="4"/>
      <c r="AS386" s="4"/>
      <c r="AT386" s="4"/>
      <c r="AU386" s="654"/>
      <c r="AV386" s="655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654"/>
      <c r="BH386" s="655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654"/>
      <c r="BT386" s="655"/>
      <c r="BU386" s="4"/>
      <c r="BV386" s="4"/>
      <c r="BW386" s="4"/>
      <c r="BX386" s="4"/>
      <c r="BY386" s="4"/>
      <c r="BZ386" s="4"/>
      <c r="CA386" s="4"/>
      <c r="CB386" s="4"/>
      <c r="CC386" s="4"/>
      <c r="CD386" s="4"/>
      <c r="CE386" s="693"/>
      <c r="CF386" s="723"/>
      <c r="CG386" s="4"/>
      <c r="CH386" s="4"/>
      <c r="CI386" s="4"/>
      <c r="CJ386" s="4"/>
      <c r="CK386" s="4"/>
      <c r="CL386" s="4">
        <v>104</v>
      </c>
      <c r="CM386" s="4"/>
      <c r="CN386" s="4"/>
      <c r="CO386" s="4"/>
      <c r="CP386" s="4"/>
      <c r="CQ386" s="654"/>
      <c r="CR386" s="655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654"/>
      <c r="DD386" s="655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654"/>
      <c r="DP386" s="655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654"/>
      <c r="EB386" s="655"/>
      <c r="EC386" s="4"/>
      <c r="ED386" s="4"/>
      <c r="EE386" s="4"/>
      <c r="EF386" s="4"/>
      <c r="EG386" s="4"/>
      <c r="EH386" s="4"/>
      <c r="EI386" s="4"/>
      <c r="EJ386" s="4"/>
      <c r="EK386" s="4"/>
      <c r="EL386" s="4"/>
      <c r="EM386" s="693"/>
      <c r="EN386" s="723"/>
      <c r="EO386" s="4"/>
      <c r="EP386" s="4"/>
      <c r="EQ386" s="4"/>
      <c r="ER386" s="4"/>
      <c r="ES386" s="4"/>
      <c r="ET386" s="4">
        <v>104</v>
      </c>
      <c r="EU386" s="4"/>
      <c r="EV386" s="4"/>
      <c r="EW386" s="4"/>
      <c r="EX386" s="4"/>
      <c r="EY386" s="654"/>
      <c r="EZ386" s="655"/>
      <c r="FA386" s="4"/>
      <c r="FB386" s="4"/>
      <c r="FC386" s="4"/>
      <c r="FD386" s="4"/>
      <c r="FE386" s="4"/>
      <c r="FF386" s="4"/>
      <c r="FG386" s="4"/>
      <c r="FH386" s="4"/>
      <c r="FI386" s="4"/>
      <c r="FJ386" s="4"/>
      <c r="FK386" s="654"/>
      <c r="FL386" s="655"/>
      <c r="FM386" s="4"/>
      <c r="FN386" s="4"/>
      <c r="FO386" s="4"/>
      <c r="FP386" s="4"/>
      <c r="FQ386" s="4"/>
      <c r="FR386" s="4"/>
      <c r="FS386" s="4"/>
      <c r="FT386" s="4"/>
      <c r="FU386" s="4"/>
      <c r="FV386" s="4"/>
      <c r="FW386" s="654"/>
      <c r="FX386" s="655"/>
      <c r="FY386" s="4"/>
      <c r="FZ386" s="4"/>
      <c r="GA386" s="4"/>
      <c r="GB386" s="4"/>
      <c r="GC386" s="4"/>
      <c r="GD386" s="4"/>
      <c r="GE386" s="4"/>
      <c r="GF386" s="4"/>
      <c r="GG386" s="4"/>
      <c r="GH386" s="4"/>
      <c r="GI386" s="654"/>
      <c r="GJ386" s="655"/>
      <c r="GK386" s="4"/>
      <c r="GL386" s="4"/>
      <c r="GM386" s="4"/>
      <c r="GN386" s="4"/>
      <c r="GO386" s="4"/>
      <c r="GP386" s="4"/>
      <c r="GQ386" s="4"/>
      <c r="GR386" s="4"/>
      <c r="GS386" s="4"/>
      <c r="GT386" s="4"/>
      <c r="GU386" s="722"/>
      <c r="GV386" s="715"/>
    </row>
    <row r="387" spans="1:204" x14ac:dyDescent="0.25">
      <c r="A387" t="s">
        <v>1603</v>
      </c>
      <c r="B387" s="2" t="s">
        <v>358</v>
      </c>
      <c r="C387" s="619">
        <v>44663</v>
      </c>
      <c r="D387" s="2" t="s">
        <v>1598</v>
      </c>
      <c r="E387" t="s">
        <v>58</v>
      </c>
      <c r="F387" s="2" t="s">
        <v>43</v>
      </c>
      <c r="G387" t="s">
        <v>40</v>
      </c>
      <c r="H387" s="690" t="s">
        <v>84</v>
      </c>
      <c r="I387" s="691" t="s">
        <v>348</v>
      </c>
      <c r="J387" s="721">
        <v>13777004000122</v>
      </c>
      <c r="K387" s="691" t="s">
        <v>43</v>
      </c>
      <c r="L387" s="721">
        <v>3780401000108</v>
      </c>
      <c r="M387" s="718" t="s">
        <v>3</v>
      </c>
      <c r="N387" s="717" t="s">
        <v>44</v>
      </c>
      <c r="O387" s="719">
        <v>44743</v>
      </c>
      <c r="P387" s="720">
        <v>44773</v>
      </c>
      <c r="Q387" s="718">
        <v>104</v>
      </c>
      <c r="R387" s="717">
        <v>2</v>
      </c>
      <c r="S387" s="691" t="s">
        <v>54</v>
      </c>
      <c r="T387" t="s">
        <v>358</v>
      </c>
      <c r="U387" s="673" t="s">
        <v>358</v>
      </c>
      <c r="V387" s="690" t="s">
        <v>358</v>
      </c>
      <c r="W387" s="657" t="s">
        <v>214</v>
      </c>
      <c r="X387" s="723"/>
      <c r="Y387" s="4"/>
      <c r="Z387" s="4"/>
      <c r="AA387" s="4"/>
      <c r="AB387" s="4"/>
      <c r="AC387" s="4"/>
      <c r="AD387" s="4">
        <v>2</v>
      </c>
      <c r="AE387" s="4"/>
      <c r="AF387" s="4"/>
      <c r="AG387" s="4"/>
      <c r="AH387" s="4"/>
      <c r="AI387" s="654"/>
      <c r="AJ387" s="655"/>
      <c r="AK387" s="4"/>
      <c r="AL387" s="4"/>
      <c r="AM387" s="4"/>
      <c r="AN387" s="4"/>
      <c r="AO387" s="4"/>
      <c r="AP387" s="4"/>
      <c r="AQ387" s="4"/>
      <c r="AR387" s="4"/>
      <c r="AS387" s="4"/>
      <c r="AT387" s="4"/>
      <c r="AU387" s="654"/>
      <c r="AV387" s="655"/>
      <c r="AW387" s="4"/>
      <c r="AX387" s="4"/>
      <c r="AY387" s="4"/>
      <c r="AZ387" s="4"/>
      <c r="BA387" s="4"/>
      <c r="BB387" s="4"/>
      <c r="BC387" s="4"/>
      <c r="BD387" s="4"/>
      <c r="BE387" s="4"/>
      <c r="BF387" s="4"/>
      <c r="BG387" s="654"/>
      <c r="BH387" s="655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654"/>
      <c r="BT387" s="655"/>
      <c r="BU387" s="4"/>
      <c r="BV387" s="4"/>
      <c r="BW387" s="4"/>
      <c r="BX387" s="4"/>
      <c r="BY387" s="4"/>
      <c r="BZ387" s="4"/>
      <c r="CA387" s="4"/>
      <c r="CB387" s="4"/>
      <c r="CC387" s="4"/>
      <c r="CD387" s="4"/>
      <c r="CE387" s="693"/>
      <c r="CF387" s="723"/>
      <c r="CG387" s="4"/>
      <c r="CH387" s="4"/>
      <c r="CI387" s="4"/>
      <c r="CJ387" s="4"/>
      <c r="CK387" s="4"/>
      <c r="CL387" s="4">
        <v>104</v>
      </c>
      <c r="CM387" s="4"/>
      <c r="CN387" s="4"/>
      <c r="CO387" s="4"/>
      <c r="CP387" s="4"/>
      <c r="CQ387" s="654"/>
      <c r="CR387" s="655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654"/>
      <c r="DD387" s="655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654"/>
      <c r="DP387" s="655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654"/>
      <c r="EB387" s="655"/>
      <c r="EC387" s="4"/>
      <c r="ED387" s="4"/>
      <c r="EE387" s="4"/>
      <c r="EF387" s="4"/>
      <c r="EG387" s="4"/>
      <c r="EH387" s="4"/>
      <c r="EI387" s="4"/>
      <c r="EJ387" s="4"/>
      <c r="EK387" s="4"/>
      <c r="EL387" s="4"/>
      <c r="EM387" s="693"/>
      <c r="EN387" s="723"/>
      <c r="EO387" s="4"/>
      <c r="EP387" s="4"/>
      <c r="EQ387" s="4"/>
      <c r="ER387" s="4"/>
      <c r="ES387" s="4"/>
      <c r="ET387" s="4">
        <v>104</v>
      </c>
      <c r="EU387" s="4"/>
      <c r="EV387" s="4"/>
      <c r="EW387" s="4"/>
      <c r="EX387" s="4"/>
      <c r="EY387" s="654"/>
      <c r="EZ387" s="655"/>
      <c r="FA387" s="4"/>
      <c r="FB387" s="4"/>
      <c r="FC387" s="4"/>
      <c r="FD387" s="4"/>
      <c r="FE387" s="4"/>
      <c r="FF387" s="4"/>
      <c r="FG387" s="4"/>
      <c r="FH387" s="4"/>
      <c r="FI387" s="4"/>
      <c r="FJ387" s="4"/>
      <c r="FK387" s="654"/>
      <c r="FL387" s="655"/>
      <c r="FM387" s="4"/>
      <c r="FN387" s="4"/>
      <c r="FO387" s="4"/>
      <c r="FP387" s="4"/>
      <c r="FQ387" s="4"/>
      <c r="FR387" s="4"/>
      <c r="FS387" s="4"/>
      <c r="FT387" s="4"/>
      <c r="FU387" s="4"/>
      <c r="FV387" s="4"/>
      <c r="FW387" s="654"/>
      <c r="FX387" s="655"/>
      <c r="FY387" s="4"/>
      <c r="FZ387" s="4"/>
      <c r="GA387" s="4"/>
      <c r="GB387" s="4"/>
      <c r="GC387" s="4"/>
      <c r="GD387" s="4"/>
      <c r="GE387" s="4"/>
      <c r="GF387" s="4"/>
      <c r="GG387" s="4"/>
      <c r="GH387" s="4"/>
      <c r="GI387" s="654"/>
      <c r="GJ387" s="655"/>
      <c r="GK387" s="4"/>
      <c r="GL387" s="4"/>
      <c r="GM387" s="4"/>
      <c r="GN387" s="4"/>
      <c r="GO387" s="4"/>
      <c r="GP387" s="4"/>
      <c r="GQ387" s="4"/>
      <c r="GR387" s="4"/>
      <c r="GS387" s="4"/>
      <c r="GT387" s="4"/>
      <c r="GU387" s="722"/>
      <c r="GV387" s="715"/>
    </row>
    <row r="388" spans="1:204" x14ac:dyDescent="0.25">
      <c r="A388" t="s">
        <v>1605</v>
      </c>
      <c r="B388" s="2" t="s">
        <v>358</v>
      </c>
      <c r="C388" s="619">
        <v>44664</v>
      </c>
      <c r="D388" s="2" t="s">
        <v>1604</v>
      </c>
      <c r="E388" t="s">
        <v>59</v>
      </c>
      <c r="F388" s="2" t="s">
        <v>43</v>
      </c>
      <c r="G388" t="s">
        <v>40</v>
      </c>
      <c r="H388" s="690" t="s">
        <v>85</v>
      </c>
      <c r="I388" s="691" t="s">
        <v>43</v>
      </c>
      <c r="J388" s="721">
        <v>3780401000108</v>
      </c>
      <c r="K388" s="691" t="s">
        <v>404</v>
      </c>
      <c r="L388" s="721">
        <v>18384740000134</v>
      </c>
      <c r="M388" s="718" t="s">
        <v>3</v>
      </c>
      <c r="N388" s="717" t="s">
        <v>44</v>
      </c>
      <c r="O388" s="719">
        <v>44805</v>
      </c>
      <c r="P388" s="720">
        <v>44834</v>
      </c>
      <c r="Q388" s="718">
        <v>140</v>
      </c>
      <c r="R388" s="717">
        <v>2</v>
      </c>
      <c r="S388" s="691" t="s">
        <v>54</v>
      </c>
      <c r="T388" t="s">
        <v>358</v>
      </c>
      <c r="U388" s="673" t="s">
        <v>358</v>
      </c>
      <c r="V388" s="690" t="s">
        <v>358</v>
      </c>
      <c r="W388" s="657" t="s">
        <v>214</v>
      </c>
      <c r="X388" s="723"/>
      <c r="Y388" s="4"/>
      <c r="Z388" s="4"/>
      <c r="AA388" s="4"/>
      <c r="AB388" s="4"/>
      <c r="AC388" s="4"/>
      <c r="AD388" s="4"/>
      <c r="AE388" s="4"/>
      <c r="AF388" s="4">
        <v>2</v>
      </c>
      <c r="AG388" s="4"/>
      <c r="AH388" s="4"/>
      <c r="AI388" s="654"/>
      <c r="AJ388" s="655"/>
      <c r="AK388" s="4"/>
      <c r="AL388" s="4"/>
      <c r="AM388" s="4"/>
      <c r="AN388" s="4"/>
      <c r="AO388" s="4"/>
      <c r="AP388" s="4"/>
      <c r="AQ388" s="4"/>
      <c r="AR388" s="4"/>
      <c r="AS388" s="4"/>
      <c r="AT388" s="4"/>
      <c r="AU388" s="654"/>
      <c r="AV388" s="655"/>
      <c r="AW388" s="4"/>
      <c r="AX388" s="4"/>
      <c r="AY388" s="4"/>
      <c r="AZ388" s="4"/>
      <c r="BA388" s="4"/>
      <c r="BB388" s="4"/>
      <c r="BC388" s="4"/>
      <c r="BD388" s="4"/>
      <c r="BE388" s="4"/>
      <c r="BF388" s="4"/>
      <c r="BG388" s="654"/>
      <c r="BH388" s="655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654"/>
      <c r="BT388" s="655"/>
      <c r="BU388" s="4"/>
      <c r="BV388" s="4"/>
      <c r="BW388" s="4"/>
      <c r="BX388" s="4"/>
      <c r="BY388" s="4"/>
      <c r="BZ388" s="4"/>
      <c r="CA388" s="4"/>
      <c r="CB388" s="4"/>
      <c r="CC388" s="4"/>
      <c r="CD388" s="4"/>
      <c r="CE388" s="693"/>
      <c r="CF388" s="723"/>
      <c r="CG388" s="4"/>
      <c r="CH388" s="4"/>
      <c r="CI388" s="4"/>
      <c r="CJ388" s="4"/>
      <c r="CK388" s="4"/>
      <c r="CL388" s="4"/>
      <c r="CM388" s="4"/>
      <c r="CN388" s="4">
        <v>140</v>
      </c>
      <c r="CO388" s="4"/>
      <c r="CP388" s="4"/>
      <c r="CQ388" s="654"/>
      <c r="CR388" s="655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654"/>
      <c r="DD388" s="655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654"/>
      <c r="DP388" s="655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654"/>
      <c r="EB388" s="655"/>
      <c r="EC388" s="4"/>
      <c r="ED388" s="4"/>
      <c r="EE388" s="4"/>
      <c r="EF388" s="4"/>
      <c r="EG388" s="4"/>
      <c r="EH388" s="4"/>
      <c r="EI388" s="4"/>
      <c r="EJ388" s="4"/>
      <c r="EK388" s="4"/>
      <c r="EL388" s="4"/>
      <c r="EM388" s="693"/>
      <c r="EN388" s="723"/>
      <c r="EO388" s="4"/>
      <c r="EP388" s="4"/>
      <c r="EQ388" s="4"/>
      <c r="ER388" s="4"/>
      <c r="ES388" s="4"/>
      <c r="ET388" s="4"/>
      <c r="EU388" s="4"/>
      <c r="EV388" s="4">
        <v>140</v>
      </c>
      <c r="EW388" s="4"/>
      <c r="EX388" s="4"/>
      <c r="EY388" s="654"/>
      <c r="EZ388" s="655"/>
      <c r="FA388" s="4"/>
      <c r="FB388" s="4"/>
      <c r="FC388" s="4"/>
      <c r="FD388" s="4"/>
      <c r="FE388" s="4"/>
      <c r="FF388" s="4"/>
      <c r="FG388" s="4"/>
      <c r="FH388" s="4"/>
      <c r="FI388" s="4"/>
      <c r="FJ388" s="4"/>
      <c r="FK388" s="654"/>
      <c r="FL388" s="655"/>
      <c r="FM388" s="4"/>
      <c r="FN388" s="4"/>
      <c r="FO388" s="4"/>
      <c r="FP388" s="4"/>
      <c r="FQ388" s="4"/>
      <c r="FR388" s="4"/>
      <c r="FS388" s="4"/>
      <c r="FT388" s="4"/>
      <c r="FU388" s="4"/>
      <c r="FV388" s="4"/>
      <c r="FW388" s="654"/>
      <c r="FX388" s="655"/>
      <c r="FY388" s="4"/>
      <c r="FZ388" s="4"/>
      <c r="GA388" s="4"/>
      <c r="GB388" s="4"/>
      <c r="GC388" s="4"/>
      <c r="GD388" s="4"/>
      <c r="GE388" s="4"/>
      <c r="GF388" s="4"/>
      <c r="GG388" s="4"/>
      <c r="GH388" s="4"/>
      <c r="GI388" s="654"/>
      <c r="GJ388" s="655"/>
      <c r="GK388" s="4"/>
      <c r="GL388" s="4"/>
      <c r="GM388" s="4"/>
      <c r="GN388" s="4"/>
      <c r="GO388" s="4"/>
      <c r="GP388" s="4"/>
      <c r="GQ388" s="4"/>
      <c r="GR388" s="4"/>
      <c r="GS388" s="4"/>
      <c r="GT388" s="4"/>
      <c r="GU388" s="722"/>
      <c r="GV388" s="715"/>
    </row>
    <row r="389" spans="1:204" x14ac:dyDescent="0.25">
      <c r="A389" t="s">
        <v>1612</v>
      </c>
      <c r="B389" s="2" t="s">
        <v>358</v>
      </c>
      <c r="C389" s="619">
        <v>44670</v>
      </c>
      <c r="D389" s="2" t="s">
        <v>1606</v>
      </c>
      <c r="E389" t="s">
        <v>59</v>
      </c>
      <c r="F389" s="2" t="s">
        <v>43</v>
      </c>
      <c r="G389" t="s">
        <v>40</v>
      </c>
      <c r="H389" s="690" t="s">
        <v>85</v>
      </c>
      <c r="I389" s="691" t="s">
        <v>43</v>
      </c>
      <c r="J389" s="721">
        <v>3780401000108</v>
      </c>
      <c r="K389" s="691" t="s">
        <v>502</v>
      </c>
      <c r="L389" s="721">
        <v>4270778000171</v>
      </c>
      <c r="M389" s="718" t="s">
        <v>3</v>
      </c>
      <c r="N389" s="717" t="s">
        <v>44</v>
      </c>
      <c r="O389" s="719">
        <v>44713</v>
      </c>
      <c r="P389" s="720">
        <v>44742</v>
      </c>
      <c r="Q389" s="718">
        <v>75</v>
      </c>
      <c r="R389" s="717">
        <v>2</v>
      </c>
      <c r="S389" s="691" t="s">
        <v>54</v>
      </c>
      <c r="T389" t="s">
        <v>358</v>
      </c>
      <c r="U389" s="673" t="s">
        <v>358</v>
      </c>
      <c r="V389" s="690" t="s">
        <v>358</v>
      </c>
      <c r="W389" s="657" t="s">
        <v>214</v>
      </c>
      <c r="X389" s="723"/>
      <c r="Y389" s="4"/>
      <c r="Z389" s="4"/>
      <c r="AA389" s="4"/>
      <c r="AB389" s="4"/>
      <c r="AC389" s="4">
        <v>2</v>
      </c>
      <c r="AD389" s="4"/>
      <c r="AE389" s="4"/>
      <c r="AF389" s="4"/>
      <c r="AG389" s="4"/>
      <c r="AH389" s="4"/>
      <c r="AI389" s="654"/>
      <c r="AJ389" s="655"/>
      <c r="AK389" s="4"/>
      <c r="AL389" s="4"/>
      <c r="AM389" s="4"/>
      <c r="AN389" s="4"/>
      <c r="AO389" s="4"/>
      <c r="AP389" s="4"/>
      <c r="AQ389" s="4"/>
      <c r="AR389" s="4"/>
      <c r="AS389" s="4"/>
      <c r="AT389" s="4"/>
      <c r="AU389" s="654"/>
      <c r="AV389" s="655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654"/>
      <c r="BH389" s="655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654"/>
      <c r="BT389" s="655"/>
      <c r="BU389" s="4"/>
      <c r="BV389" s="4"/>
      <c r="BW389" s="4"/>
      <c r="BX389" s="4"/>
      <c r="BY389" s="4"/>
      <c r="BZ389" s="4"/>
      <c r="CA389" s="4"/>
      <c r="CB389" s="4"/>
      <c r="CC389" s="4"/>
      <c r="CD389" s="4"/>
      <c r="CE389" s="693"/>
      <c r="CF389" s="723"/>
      <c r="CG389" s="4"/>
      <c r="CH389" s="4"/>
      <c r="CI389" s="4"/>
      <c r="CJ389" s="4"/>
      <c r="CK389" s="4">
        <v>75</v>
      </c>
      <c r="CL389" s="4"/>
      <c r="CM389" s="4"/>
      <c r="CN389" s="4"/>
      <c r="CO389" s="4"/>
      <c r="CP389" s="4"/>
      <c r="CQ389" s="654"/>
      <c r="CR389" s="655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654"/>
      <c r="DD389" s="655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654"/>
      <c r="DP389" s="655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654"/>
      <c r="EB389" s="655"/>
      <c r="EC389" s="4"/>
      <c r="ED389" s="4"/>
      <c r="EE389" s="4"/>
      <c r="EF389" s="4"/>
      <c r="EG389" s="4"/>
      <c r="EH389" s="4"/>
      <c r="EI389" s="4"/>
      <c r="EJ389" s="4"/>
      <c r="EK389" s="4"/>
      <c r="EL389" s="4"/>
      <c r="EM389" s="693"/>
      <c r="EN389" s="723"/>
      <c r="EO389" s="4"/>
      <c r="EP389" s="4"/>
      <c r="EQ389" s="4"/>
      <c r="ER389" s="4"/>
      <c r="ES389" s="4">
        <v>75</v>
      </c>
      <c r="ET389" s="4"/>
      <c r="EU389" s="4"/>
      <c r="EV389" s="4"/>
      <c r="EW389" s="4"/>
      <c r="EX389" s="4"/>
      <c r="EY389" s="654"/>
      <c r="EZ389" s="655"/>
      <c r="FA389" s="4"/>
      <c r="FB389" s="4"/>
      <c r="FC389" s="4"/>
      <c r="FD389" s="4"/>
      <c r="FE389" s="4"/>
      <c r="FF389" s="4"/>
      <c r="FG389" s="4"/>
      <c r="FH389" s="4"/>
      <c r="FI389" s="4"/>
      <c r="FJ389" s="4"/>
      <c r="FK389" s="654"/>
      <c r="FL389" s="655"/>
      <c r="FM389" s="4"/>
      <c r="FN389" s="4"/>
      <c r="FO389" s="4"/>
      <c r="FP389" s="4"/>
      <c r="FQ389" s="4"/>
      <c r="FR389" s="4"/>
      <c r="FS389" s="4"/>
      <c r="FT389" s="4"/>
      <c r="FU389" s="4"/>
      <c r="FV389" s="4"/>
      <c r="FW389" s="654"/>
      <c r="FX389" s="655"/>
      <c r="FY389" s="4"/>
      <c r="FZ389" s="4"/>
      <c r="GA389" s="4"/>
      <c r="GB389" s="4"/>
      <c r="GC389" s="4"/>
      <c r="GD389" s="4"/>
      <c r="GE389" s="4"/>
      <c r="GF389" s="4"/>
      <c r="GG389" s="4"/>
      <c r="GH389" s="4"/>
      <c r="GI389" s="654"/>
      <c r="GJ389" s="655"/>
      <c r="GK389" s="4"/>
      <c r="GL389" s="4"/>
      <c r="GM389" s="4"/>
      <c r="GN389" s="4"/>
      <c r="GO389" s="4"/>
      <c r="GP389" s="4"/>
      <c r="GQ389" s="4"/>
      <c r="GR389" s="4"/>
      <c r="GS389" s="4"/>
      <c r="GT389" s="4"/>
      <c r="GU389" s="722"/>
      <c r="GV389" s="715"/>
    </row>
    <row r="390" spans="1:204" x14ac:dyDescent="0.25">
      <c r="A390" t="s">
        <v>1613</v>
      </c>
      <c r="B390" s="2" t="s">
        <v>358</v>
      </c>
      <c r="C390" s="619">
        <v>44670</v>
      </c>
      <c r="D390" s="2" t="s">
        <v>1607</v>
      </c>
      <c r="E390" t="s">
        <v>59</v>
      </c>
      <c r="F390" s="2" t="s">
        <v>43</v>
      </c>
      <c r="G390" t="s">
        <v>40</v>
      </c>
      <c r="H390" s="690" t="s">
        <v>85</v>
      </c>
      <c r="I390" s="691" t="s">
        <v>43</v>
      </c>
      <c r="J390" s="721">
        <v>3780401000108</v>
      </c>
      <c r="K390" s="691" t="s">
        <v>531</v>
      </c>
      <c r="L390" s="721">
        <v>31102147000116</v>
      </c>
      <c r="M390" s="718" t="s">
        <v>3</v>
      </c>
      <c r="N390" s="717" t="s">
        <v>44</v>
      </c>
      <c r="O390" s="719">
        <v>44713</v>
      </c>
      <c r="P390" s="720">
        <v>44742</v>
      </c>
      <c r="Q390" s="718">
        <v>75</v>
      </c>
      <c r="R390" s="717">
        <v>4</v>
      </c>
      <c r="S390" s="691" t="s">
        <v>54</v>
      </c>
      <c r="T390" t="s">
        <v>358</v>
      </c>
      <c r="U390" s="673" t="s">
        <v>358</v>
      </c>
      <c r="V390" s="690" t="s">
        <v>358</v>
      </c>
      <c r="W390" s="657" t="s">
        <v>214</v>
      </c>
      <c r="X390" s="723"/>
      <c r="Y390" s="4"/>
      <c r="Z390" s="4"/>
      <c r="AA390" s="4"/>
      <c r="AB390" s="4"/>
      <c r="AC390" s="4">
        <v>4</v>
      </c>
      <c r="AD390" s="4"/>
      <c r="AE390" s="4"/>
      <c r="AF390" s="4"/>
      <c r="AG390" s="4"/>
      <c r="AH390" s="4"/>
      <c r="AI390" s="654"/>
      <c r="AJ390" s="655"/>
      <c r="AK390" s="4"/>
      <c r="AL390" s="4"/>
      <c r="AM390" s="4"/>
      <c r="AN390" s="4"/>
      <c r="AO390" s="4"/>
      <c r="AP390" s="4"/>
      <c r="AQ390" s="4"/>
      <c r="AR390" s="4"/>
      <c r="AS390" s="4"/>
      <c r="AT390" s="4"/>
      <c r="AU390" s="654"/>
      <c r="AV390" s="655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654"/>
      <c r="BH390" s="655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654"/>
      <c r="BT390" s="655"/>
      <c r="BU390" s="4"/>
      <c r="BV390" s="4"/>
      <c r="BW390" s="4"/>
      <c r="BX390" s="4"/>
      <c r="BY390" s="4"/>
      <c r="BZ390" s="4"/>
      <c r="CA390" s="4"/>
      <c r="CB390" s="4"/>
      <c r="CC390" s="4"/>
      <c r="CD390" s="4"/>
      <c r="CE390" s="693"/>
      <c r="CF390" s="723"/>
      <c r="CG390" s="4"/>
      <c r="CH390" s="4"/>
      <c r="CI390" s="4"/>
      <c r="CJ390" s="4"/>
      <c r="CK390" s="4">
        <v>75</v>
      </c>
      <c r="CL390" s="4"/>
      <c r="CM390" s="4"/>
      <c r="CN390" s="4"/>
      <c r="CO390" s="4"/>
      <c r="CP390" s="4"/>
      <c r="CQ390" s="654"/>
      <c r="CR390" s="655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654"/>
      <c r="DD390" s="655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654"/>
      <c r="DP390" s="655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654"/>
      <c r="EB390" s="655"/>
      <c r="EC390" s="4"/>
      <c r="ED390" s="4"/>
      <c r="EE390" s="4"/>
      <c r="EF390" s="4"/>
      <c r="EG390" s="4"/>
      <c r="EH390" s="4"/>
      <c r="EI390" s="4"/>
      <c r="EJ390" s="4"/>
      <c r="EK390" s="4"/>
      <c r="EL390" s="4"/>
      <c r="EM390" s="693"/>
      <c r="EN390" s="723"/>
      <c r="EO390" s="4"/>
      <c r="EP390" s="4"/>
      <c r="EQ390" s="4"/>
      <c r="ER390" s="4"/>
      <c r="ES390" s="4">
        <v>75</v>
      </c>
      <c r="ET390" s="4"/>
      <c r="EU390" s="4"/>
      <c r="EV390" s="4"/>
      <c r="EW390" s="4"/>
      <c r="EX390" s="4"/>
      <c r="EY390" s="654"/>
      <c r="EZ390" s="655"/>
      <c r="FA390" s="4"/>
      <c r="FB390" s="4"/>
      <c r="FC390" s="4"/>
      <c r="FD390" s="4"/>
      <c r="FE390" s="4"/>
      <c r="FF390" s="4"/>
      <c r="FG390" s="4"/>
      <c r="FH390" s="4"/>
      <c r="FI390" s="4"/>
      <c r="FJ390" s="4"/>
      <c r="FK390" s="654"/>
      <c r="FL390" s="655"/>
      <c r="FM390" s="4"/>
      <c r="FN390" s="4"/>
      <c r="FO390" s="4"/>
      <c r="FP390" s="4"/>
      <c r="FQ390" s="4"/>
      <c r="FR390" s="4"/>
      <c r="FS390" s="4"/>
      <c r="FT390" s="4"/>
      <c r="FU390" s="4"/>
      <c r="FV390" s="4"/>
      <c r="FW390" s="654"/>
      <c r="FX390" s="655"/>
      <c r="FY390" s="4"/>
      <c r="FZ390" s="4"/>
      <c r="GA390" s="4"/>
      <c r="GB390" s="4"/>
      <c r="GC390" s="4"/>
      <c r="GD390" s="4"/>
      <c r="GE390" s="4"/>
      <c r="GF390" s="4"/>
      <c r="GG390" s="4"/>
      <c r="GH390" s="4"/>
      <c r="GI390" s="654"/>
      <c r="GJ390" s="655"/>
      <c r="GK390" s="4"/>
      <c r="GL390" s="4"/>
      <c r="GM390" s="4"/>
      <c r="GN390" s="4"/>
      <c r="GO390" s="4"/>
      <c r="GP390" s="4"/>
      <c r="GQ390" s="4"/>
      <c r="GR390" s="4"/>
      <c r="GS390" s="4"/>
      <c r="GT390" s="4"/>
      <c r="GU390" s="722"/>
      <c r="GV390" s="715"/>
    </row>
    <row r="391" spans="1:204" x14ac:dyDescent="0.25">
      <c r="A391" t="s">
        <v>1614</v>
      </c>
      <c r="B391" s="2" t="s">
        <v>358</v>
      </c>
      <c r="C391" s="619">
        <v>44670</v>
      </c>
      <c r="D391" s="2" t="s">
        <v>1608</v>
      </c>
      <c r="E391" t="s">
        <v>59</v>
      </c>
      <c r="F391" s="2" t="s">
        <v>43</v>
      </c>
      <c r="G391" t="s">
        <v>40</v>
      </c>
      <c r="H391" s="690" t="s">
        <v>85</v>
      </c>
      <c r="I391" s="691" t="s">
        <v>43</v>
      </c>
      <c r="J391" s="721">
        <v>3780401000108</v>
      </c>
      <c r="K391" s="691" t="s">
        <v>585</v>
      </c>
      <c r="L391" s="721">
        <v>33933760000100</v>
      </c>
      <c r="M391" s="718" t="s">
        <v>3</v>
      </c>
      <c r="N391" s="717" t="s">
        <v>44</v>
      </c>
      <c r="O391" s="719">
        <v>44805</v>
      </c>
      <c r="P391" s="720">
        <v>44834</v>
      </c>
      <c r="Q391" s="718">
        <v>125</v>
      </c>
      <c r="R391" s="717">
        <v>5</v>
      </c>
      <c r="S391" s="691" t="s">
        <v>54</v>
      </c>
      <c r="T391" t="s">
        <v>358</v>
      </c>
      <c r="U391" s="673" t="s">
        <v>358</v>
      </c>
      <c r="V391" s="690" t="s">
        <v>358</v>
      </c>
      <c r="W391" s="657" t="s">
        <v>214</v>
      </c>
      <c r="X391" s="723"/>
      <c r="Y391" s="4"/>
      <c r="Z391" s="4"/>
      <c r="AA391" s="4"/>
      <c r="AB391" s="4"/>
      <c r="AC391" s="4"/>
      <c r="AD391" s="4"/>
      <c r="AE391" s="4"/>
      <c r="AF391" s="4">
        <v>5</v>
      </c>
      <c r="AG391" s="4"/>
      <c r="AH391" s="4"/>
      <c r="AI391" s="654"/>
      <c r="AJ391" s="655"/>
      <c r="AK391" s="4"/>
      <c r="AL391" s="4"/>
      <c r="AM391" s="4"/>
      <c r="AN391" s="4"/>
      <c r="AO391" s="4"/>
      <c r="AP391" s="4"/>
      <c r="AQ391" s="4"/>
      <c r="AR391" s="4"/>
      <c r="AS391" s="4"/>
      <c r="AT391" s="4"/>
      <c r="AU391" s="654"/>
      <c r="AV391" s="655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654"/>
      <c r="BH391" s="655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654"/>
      <c r="BT391" s="655"/>
      <c r="BU391" s="4"/>
      <c r="BV391" s="4"/>
      <c r="BW391" s="4"/>
      <c r="BX391" s="4"/>
      <c r="BY391" s="4"/>
      <c r="BZ391" s="4"/>
      <c r="CA391" s="4"/>
      <c r="CB391" s="4"/>
      <c r="CC391" s="4"/>
      <c r="CD391" s="4"/>
      <c r="CE391" s="693"/>
      <c r="CF391" s="723"/>
      <c r="CG391" s="4"/>
      <c r="CH391" s="4"/>
      <c r="CI391" s="4"/>
      <c r="CJ391" s="4"/>
      <c r="CK391" s="4"/>
      <c r="CL391" s="4"/>
      <c r="CM391" s="4"/>
      <c r="CN391" s="4">
        <v>125</v>
      </c>
      <c r="CO391" s="4"/>
      <c r="CP391" s="4"/>
      <c r="CQ391" s="654"/>
      <c r="CR391" s="655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654"/>
      <c r="DD391" s="655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654"/>
      <c r="DP391" s="655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654"/>
      <c r="EB391" s="655"/>
      <c r="EC391" s="4"/>
      <c r="ED391" s="4"/>
      <c r="EE391" s="4"/>
      <c r="EF391" s="4"/>
      <c r="EG391" s="4"/>
      <c r="EH391" s="4"/>
      <c r="EI391" s="4"/>
      <c r="EJ391" s="4"/>
      <c r="EK391" s="4"/>
      <c r="EL391" s="4"/>
      <c r="EM391" s="693"/>
      <c r="EN391" s="723"/>
      <c r="EO391" s="4"/>
      <c r="EP391" s="4"/>
      <c r="EQ391" s="4"/>
      <c r="ER391" s="4"/>
      <c r="ES391" s="4"/>
      <c r="ET391" s="4"/>
      <c r="EU391" s="4"/>
      <c r="EV391" s="4">
        <v>125</v>
      </c>
      <c r="EW391" s="4"/>
      <c r="EX391" s="4"/>
      <c r="EY391" s="654"/>
      <c r="EZ391" s="655"/>
      <c r="FA391" s="4"/>
      <c r="FB391" s="4"/>
      <c r="FC391" s="4"/>
      <c r="FD391" s="4"/>
      <c r="FE391" s="4"/>
      <c r="FF391" s="4"/>
      <c r="FG391" s="4"/>
      <c r="FH391" s="4"/>
      <c r="FI391" s="4"/>
      <c r="FJ391" s="4"/>
      <c r="FK391" s="654"/>
      <c r="FL391" s="655"/>
      <c r="FM391" s="4"/>
      <c r="FN391" s="4"/>
      <c r="FO391" s="4"/>
      <c r="FP391" s="4"/>
      <c r="FQ391" s="4"/>
      <c r="FR391" s="4"/>
      <c r="FS391" s="4"/>
      <c r="FT391" s="4"/>
      <c r="FU391" s="4"/>
      <c r="FV391" s="4"/>
      <c r="FW391" s="654"/>
      <c r="FX391" s="655"/>
      <c r="FY391" s="4"/>
      <c r="FZ391" s="4"/>
      <c r="GA391" s="4"/>
      <c r="GB391" s="4"/>
      <c r="GC391" s="4"/>
      <c r="GD391" s="4"/>
      <c r="GE391" s="4"/>
      <c r="GF391" s="4"/>
      <c r="GG391" s="4"/>
      <c r="GH391" s="4"/>
      <c r="GI391" s="654"/>
      <c r="GJ391" s="655"/>
      <c r="GK391" s="4"/>
      <c r="GL391" s="4"/>
      <c r="GM391" s="4"/>
      <c r="GN391" s="4"/>
      <c r="GO391" s="4"/>
      <c r="GP391" s="4"/>
      <c r="GQ391" s="4"/>
      <c r="GR391" s="4"/>
      <c r="GS391" s="4"/>
      <c r="GT391" s="4"/>
      <c r="GU391" s="722"/>
      <c r="GV391" s="715"/>
    </row>
    <row r="392" spans="1:204" x14ac:dyDescent="0.25">
      <c r="A392" t="s">
        <v>1615</v>
      </c>
      <c r="B392" s="2" t="s">
        <v>358</v>
      </c>
      <c r="C392" s="619">
        <v>44670</v>
      </c>
      <c r="D392" s="2" t="s">
        <v>1609</v>
      </c>
      <c r="E392" t="s">
        <v>59</v>
      </c>
      <c r="F392" s="2" t="s">
        <v>43</v>
      </c>
      <c r="G392" t="s">
        <v>40</v>
      </c>
      <c r="H392" s="690" t="s">
        <v>85</v>
      </c>
      <c r="I392" s="691" t="s">
        <v>43</v>
      </c>
      <c r="J392" s="721">
        <v>3780401000108</v>
      </c>
      <c r="K392" s="691" t="s">
        <v>531</v>
      </c>
      <c r="L392" s="721">
        <v>31102147000116</v>
      </c>
      <c r="M392" s="718" t="s">
        <v>3</v>
      </c>
      <c r="N392" s="717" t="s">
        <v>44</v>
      </c>
      <c r="O392" s="719">
        <v>44713</v>
      </c>
      <c r="P392" s="720">
        <v>44742</v>
      </c>
      <c r="Q392" s="718">
        <v>75</v>
      </c>
      <c r="R392" s="717">
        <v>2</v>
      </c>
      <c r="S392" s="691" t="s">
        <v>54</v>
      </c>
      <c r="T392" t="s">
        <v>358</v>
      </c>
      <c r="U392" s="673" t="s">
        <v>358</v>
      </c>
      <c r="V392" s="690" t="s">
        <v>358</v>
      </c>
      <c r="W392" s="657" t="s">
        <v>214</v>
      </c>
      <c r="X392" s="723"/>
      <c r="Y392" s="4"/>
      <c r="Z392" s="4"/>
      <c r="AA392" s="4"/>
      <c r="AB392" s="4"/>
      <c r="AC392" s="4">
        <v>2</v>
      </c>
      <c r="AD392" s="4"/>
      <c r="AE392" s="4"/>
      <c r="AF392" s="4"/>
      <c r="AG392" s="4"/>
      <c r="AH392" s="4"/>
      <c r="AI392" s="654"/>
      <c r="AJ392" s="655"/>
      <c r="AK392" s="4"/>
      <c r="AL392" s="4"/>
      <c r="AM392" s="4"/>
      <c r="AN392" s="4"/>
      <c r="AO392" s="4"/>
      <c r="AP392" s="4"/>
      <c r="AQ392" s="4"/>
      <c r="AR392" s="4"/>
      <c r="AS392" s="4"/>
      <c r="AT392" s="4"/>
      <c r="AU392" s="654"/>
      <c r="AV392" s="655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654"/>
      <c r="BH392" s="655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654"/>
      <c r="BT392" s="655"/>
      <c r="BU392" s="4"/>
      <c r="BV392" s="4"/>
      <c r="BW392" s="4"/>
      <c r="BX392" s="4"/>
      <c r="BY392" s="4"/>
      <c r="BZ392" s="4"/>
      <c r="CA392" s="4"/>
      <c r="CB392" s="4"/>
      <c r="CC392" s="4"/>
      <c r="CD392" s="4"/>
      <c r="CE392" s="693"/>
      <c r="CF392" s="723"/>
      <c r="CG392" s="4"/>
      <c r="CH392" s="4"/>
      <c r="CI392" s="4"/>
      <c r="CJ392" s="4"/>
      <c r="CK392" s="4">
        <v>75</v>
      </c>
      <c r="CL392" s="4"/>
      <c r="CM392" s="4"/>
      <c r="CN392" s="4"/>
      <c r="CO392" s="4"/>
      <c r="CP392" s="4"/>
      <c r="CQ392" s="654"/>
      <c r="CR392" s="655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654"/>
      <c r="DD392" s="655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654"/>
      <c r="DP392" s="655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654"/>
      <c r="EB392" s="655"/>
      <c r="EC392" s="4"/>
      <c r="ED392" s="4"/>
      <c r="EE392" s="4"/>
      <c r="EF392" s="4"/>
      <c r="EG392" s="4"/>
      <c r="EH392" s="4"/>
      <c r="EI392" s="4"/>
      <c r="EJ392" s="4"/>
      <c r="EK392" s="4"/>
      <c r="EL392" s="4"/>
      <c r="EM392" s="693"/>
      <c r="EN392" s="723"/>
      <c r="EO392" s="4"/>
      <c r="EP392" s="4"/>
      <c r="EQ392" s="4"/>
      <c r="ER392" s="4"/>
      <c r="ES392" s="4">
        <v>75</v>
      </c>
      <c r="ET392" s="4"/>
      <c r="EU392" s="4"/>
      <c r="EV392" s="4"/>
      <c r="EW392" s="4"/>
      <c r="EX392" s="4"/>
      <c r="EY392" s="654"/>
      <c r="EZ392" s="655"/>
      <c r="FA392" s="4"/>
      <c r="FB392" s="4"/>
      <c r="FC392" s="4"/>
      <c r="FD392" s="4"/>
      <c r="FE392" s="4"/>
      <c r="FF392" s="4"/>
      <c r="FG392" s="4"/>
      <c r="FH392" s="4"/>
      <c r="FI392" s="4"/>
      <c r="FJ392" s="4"/>
      <c r="FK392" s="654"/>
      <c r="FL392" s="655"/>
      <c r="FM392" s="4"/>
      <c r="FN392" s="4"/>
      <c r="FO392" s="4"/>
      <c r="FP392" s="4"/>
      <c r="FQ392" s="4"/>
      <c r="FR392" s="4"/>
      <c r="FS392" s="4"/>
      <c r="FT392" s="4"/>
      <c r="FU392" s="4"/>
      <c r="FV392" s="4"/>
      <c r="FW392" s="654"/>
      <c r="FX392" s="655"/>
      <c r="FY392" s="4"/>
      <c r="FZ392" s="4"/>
      <c r="GA392" s="4"/>
      <c r="GB392" s="4"/>
      <c r="GC392" s="4"/>
      <c r="GD392" s="4"/>
      <c r="GE392" s="4"/>
      <c r="GF392" s="4"/>
      <c r="GG392" s="4"/>
      <c r="GH392" s="4"/>
      <c r="GI392" s="654"/>
      <c r="GJ392" s="655"/>
      <c r="GK392" s="4"/>
      <c r="GL392" s="4"/>
      <c r="GM392" s="4"/>
      <c r="GN392" s="4"/>
      <c r="GO392" s="4"/>
      <c r="GP392" s="4"/>
      <c r="GQ392" s="4"/>
      <c r="GR392" s="4"/>
      <c r="GS392" s="4"/>
      <c r="GT392" s="4"/>
      <c r="GU392" s="722"/>
      <c r="GV392" s="715"/>
    </row>
    <row r="393" spans="1:204" x14ac:dyDescent="0.25">
      <c r="A393" t="s">
        <v>1616</v>
      </c>
      <c r="B393" s="2" t="s">
        <v>358</v>
      </c>
      <c r="C393" s="619">
        <v>44670</v>
      </c>
      <c r="D393" s="2" t="s">
        <v>1610</v>
      </c>
      <c r="E393" t="s">
        <v>59</v>
      </c>
      <c r="F393" s="2" t="s">
        <v>43</v>
      </c>
      <c r="G393" t="s">
        <v>40</v>
      </c>
      <c r="H393" s="690" t="s">
        <v>85</v>
      </c>
      <c r="I393" s="691" t="s">
        <v>43</v>
      </c>
      <c r="J393" s="721">
        <v>3780401000108</v>
      </c>
      <c r="K393" s="691" t="s">
        <v>349</v>
      </c>
      <c r="L393" s="721">
        <v>4973790000142</v>
      </c>
      <c r="M393" s="718" t="s">
        <v>3</v>
      </c>
      <c r="N393" s="717" t="s">
        <v>44</v>
      </c>
      <c r="O393" s="719">
        <v>44713</v>
      </c>
      <c r="P393" s="720">
        <v>44742</v>
      </c>
      <c r="Q393" s="718">
        <v>75</v>
      </c>
      <c r="R393" s="717">
        <v>10</v>
      </c>
      <c r="S393" s="691" t="s">
        <v>54</v>
      </c>
      <c r="T393" t="s">
        <v>358</v>
      </c>
      <c r="U393" s="673" t="s">
        <v>358</v>
      </c>
      <c r="V393" s="690" t="s">
        <v>358</v>
      </c>
      <c r="W393" s="657" t="s">
        <v>214</v>
      </c>
      <c r="X393" s="723"/>
      <c r="Y393" s="4"/>
      <c r="Z393" s="4"/>
      <c r="AA393" s="4"/>
      <c r="AB393" s="4"/>
      <c r="AC393" s="4">
        <v>10</v>
      </c>
      <c r="AD393" s="4"/>
      <c r="AE393" s="4"/>
      <c r="AF393" s="4"/>
      <c r="AG393" s="4"/>
      <c r="AH393" s="4"/>
      <c r="AI393" s="654"/>
      <c r="AJ393" s="655"/>
      <c r="AK393" s="4"/>
      <c r="AL393" s="4"/>
      <c r="AM393" s="4"/>
      <c r="AN393" s="4"/>
      <c r="AO393" s="4"/>
      <c r="AP393" s="4"/>
      <c r="AQ393" s="4"/>
      <c r="AR393" s="4"/>
      <c r="AS393" s="4"/>
      <c r="AT393" s="4"/>
      <c r="AU393" s="654"/>
      <c r="AV393" s="655"/>
      <c r="AW393" s="4"/>
      <c r="AX393" s="4"/>
      <c r="AY393" s="4"/>
      <c r="AZ393" s="4"/>
      <c r="BA393" s="4"/>
      <c r="BB393" s="4"/>
      <c r="BC393" s="4"/>
      <c r="BD393" s="4"/>
      <c r="BE393" s="4"/>
      <c r="BF393" s="4"/>
      <c r="BG393" s="654"/>
      <c r="BH393" s="655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654"/>
      <c r="BT393" s="655"/>
      <c r="BU393" s="4"/>
      <c r="BV393" s="4"/>
      <c r="BW393" s="4"/>
      <c r="BX393" s="4"/>
      <c r="BY393" s="4"/>
      <c r="BZ393" s="4"/>
      <c r="CA393" s="4"/>
      <c r="CB393" s="4"/>
      <c r="CC393" s="4"/>
      <c r="CD393" s="4"/>
      <c r="CE393" s="693"/>
      <c r="CF393" s="723"/>
      <c r="CG393" s="4"/>
      <c r="CH393" s="4"/>
      <c r="CI393" s="4"/>
      <c r="CJ393" s="4"/>
      <c r="CK393" s="4">
        <v>75</v>
      </c>
      <c r="CL393" s="4"/>
      <c r="CM393" s="4"/>
      <c r="CN393" s="4"/>
      <c r="CO393" s="4"/>
      <c r="CP393" s="4"/>
      <c r="CQ393" s="654"/>
      <c r="CR393" s="655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654"/>
      <c r="DD393" s="655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654"/>
      <c r="DP393" s="655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654"/>
      <c r="EB393" s="655"/>
      <c r="EC393" s="4"/>
      <c r="ED393" s="4"/>
      <c r="EE393" s="4"/>
      <c r="EF393" s="4"/>
      <c r="EG393" s="4"/>
      <c r="EH393" s="4"/>
      <c r="EI393" s="4"/>
      <c r="EJ393" s="4"/>
      <c r="EK393" s="4"/>
      <c r="EL393" s="4"/>
      <c r="EM393" s="693"/>
      <c r="EN393" s="723"/>
      <c r="EO393" s="4"/>
      <c r="EP393" s="4"/>
      <c r="EQ393" s="4"/>
      <c r="ER393" s="4"/>
      <c r="ES393" s="4">
        <v>75</v>
      </c>
      <c r="ET393" s="4"/>
      <c r="EU393" s="4"/>
      <c r="EV393" s="4"/>
      <c r="EW393" s="4"/>
      <c r="EX393" s="4"/>
      <c r="EY393" s="654"/>
      <c r="EZ393" s="655"/>
      <c r="FA393" s="4"/>
      <c r="FB393" s="4"/>
      <c r="FC393" s="4"/>
      <c r="FD393" s="4"/>
      <c r="FE393" s="4"/>
      <c r="FF393" s="4"/>
      <c r="FG393" s="4"/>
      <c r="FH393" s="4"/>
      <c r="FI393" s="4"/>
      <c r="FJ393" s="4"/>
      <c r="FK393" s="654"/>
      <c r="FL393" s="655"/>
      <c r="FM393" s="4"/>
      <c r="FN393" s="4"/>
      <c r="FO393" s="4"/>
      <c r="FP393" s="4"/>
      <c r="FQ393" s="4"/>
      <c r="FR393" s="4"/>
      <c r="FS393" s="4"/>
      <c r="FT393" s="4"/>
      <c r="FU393" s="4"/>
      <c r="FV393" s="4"/>
      <c r="FW393" s="654"/>
      <c r="FX393" s="655"/>
      <c r="FY393" s="4"/>
      <c r="FZ393" s="4"/>
      <c r="GA393" s="4"/>
      <c r="GB393" s="4"/>
      <c r="GC393" s="4"/>
      <c r="GD393" s="4"/>
      <c r="GE393" s="4"/>
      <c r="GF393" s="4"/>
      <c r="GG393" s="4"/>
      <c r="GH393" s="4"/>
      <c r="GI393" s="654"/>
      <c r="GJ393" s="655"/>
      <c r="GK393" s="4"/>
      <c r="GL393" s="4"/>
      <c r="GM393" s="4"/>
      <c r="GN393" s="4"/>
      <c r="GO393" s="4"/>
      <c r="GP393" s="4"/>
      <c r="GQ393" s="4"/>
      <c r="GR393" s="4"/>
      <c r="GS393" s="4"/>
      <c r="GT393" s="4"/>
      <c r="GU393" s="722"/>
      <c r="GV393" s="715"/>
    </row>
    <row r="394" spans="1:204" x14ac:dyDescent="0.25">
      <c r="A394" t="s">
        <v>1617</v>
      </c>
      <c r="B394" s="2" t="s">
        <v>358</v>
      </c>
      <c r="C394" s="619">
        <v>44670</v>
      </c>
      <c r="D394" s="2" t="s">
        <v>1611</v>
      </c>
      <c r="E394" t="s">
        <v>59</v>
      </c>
      <c r="F394" s="2" t="s">
        <v>43</v>
      </c>
      <c r="G394" t="s">
        <v>40</v>
      </c>
      <c r="H394" s="690" t="s">
        <v>85</v>
      </c>
      <c r="I394" s="691" t="s">
        <v>43</v>
      </c>
      <c r="J394" s="721">
        <v>3780401000108</v>
      </c>
      <c r="K394" s="691" t="s">
        <v>411</v>
      </c>
      <c r="L394" s="721">
        <v>31864869000108</v>
      </c>
      <c r="M394" s="718" t="s">
        <v>3</v>
      </c>
      <c r="N394" s="717" t="s">
        <v>44</v>
      </c>
      <c r="O394" s="719">
        <v>44713</v>
      </c>
      <c r="P394" s="720">
        <v>44742</v>
      </c>
      <c r="Q394" s="718">
        <v>75</v>
      </c>
      <c r="R394" s="717">
        <v>2</v>
      </c>
      <c r="S394" s="691" t="s">
        <v>54</v>
      </c>
      <c r="T394" t="s">
        <v>358</v>
      </c>
      <c r="U394" s="673" t="s">
        <v>358</v>
      </c>
      <c r="V394" s="690" t="s">
        <v>358</v>
      </c>
      <c r="W394" s="657" t="s">
        <v>214</v>
      </c>
      <c r="X394" s="723"/>
      <c r="Y394" s="4"/>
      <c r="Z394" s="4"/>
      <c r="AA394" s="4"/>
      <c r="AB394" s="4"/>
      <c r="AC394" s="4">
        <v>2</v>
      </c>
      <c r="AD394" s="4"/>
      <c r="AE394" s="4"/>
      <c r="AF394" s="4"/>
      <c r="AG394" s="4"/>
      <c r="AH394" s="4"/>
      <c r="AI394" s="654"/>
      <c r="AJ394" s="655"/>
      <c r="AK394" s="4"/>
      <c r="AL394" s="4"/>
      <c r="AM394" s="4"/>
      <c r="AN394" s="4"/>
      <c r="AO394" s="4"/>
      <c r="AP394" s="4"/>
      <c r="AQ394" s="4"/>
      <c r="AR394" s="4"/>
      <c r="AS394" s="4"/>
      <c r="AT394" s="4"/>
      <c r="AU394" s="654"/>
      <c r="AV394" s="655"/>
      <c r="AW394" s="4"/>
      <c r="AX394" s="4"/>
      <c r="AY394" s="4"/>
      <c r="AZ394" s="4"/>
      <c r="BA394" s="4"/>
      <c r="BB394" s="4"/>
      <c r="BC394" s="4"/>
      <c r="BD394" s="4"/>
      <c r="BE394" s="4"/>
      <c r="BF394" s="4"/>
      <c r="BG394" s="654"/>
      <c r="BH394" s="655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654"/>
      <c r="BT394" s="655"/>
      <c r="BU394" s="4"/>
      <c r="BV394" s="4"/>
      <c r="BW394" s="4"/>
      <c r="BX394" s="4"/>
      <c r="BY394" s="4"/>
      <c r="BZ394" s="4"/>
      <c r="CA394" s="4"/>
      <c r="CB394" s="4"/>
      <c r="CC394" s="4"/>
      <c r="CD394" s="4"/>
      <c r="CE394" s="693"/>
      <c r="CF394" s="723"/>
      <c r="CG394" s="4"/>
      <c r="CH394" s="4"/>
      <c r="CI394" s="4"/>
      <c r="CJ394" s="4"/>
      <c r="CK394" s="4">
        <v>75</v>
      </c>
      <c r="CL394" s="4"/>
      <c r="CM394" s="4"/>
      <c r="CN394" s="4"/>
      <c r="CO394" s="4"/>
      <c r="CP394" s="4"/>
      <c r="CQ394" s="654"/>
      <c r="CR394" s="655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654"/>
      <c r="DD394" s="655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654"/>
      <c r="DP394" s="655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654"/>
      <c r="EB394" s="655"/>
      <c r="EC394" s="4"/>
      <c r="ED394" s="4"/>
      <c r="EE394" s="4"/>
      <c r="EF394" s="4"/>
      <c r="EG394" s="4"/>
      <c r="EH394" s="4"/>
      <c r="EI394" s="4"/>
      <c r="EJ394" s="4"/>
      <c r="EK394" s="4"/>
      <c r="EL394" s="4"/>
      <c r="EM394" s="693"/>
      <c r="EN394" s="723"/>
      <c r="EO394" s="4"/>
      <c r="EP394" s="4"/>
      <c r="EQ394" s="4"/>
      <c r="ER394" s="4"/>
      <c r="ES394" s="4">
        <v>75</v>
      </c>
      <c r="ET394" s="4"/>
      <c r="EU394" s="4"/>
      <c r="EV394" s="4"/>
      <c r="EW394" s="4"/>
      <c r="EX394" s="4"/>
      <c r="EY394" s="654"/>
      <c r="EZ394" s="655"/>
      <c r="FA394" s="4"/>
      <c r="FB394" s="4"/>
      <c r="FC394" s="4"/>
      <c r="FD394" s="4"/>
      <c r="FE394" s="4"/>
      <c r="FF394" s="4"/>
      <c r="FG394" s="4"/>
      <c r="FH394" s="4"/>
      <c r="FI394" s="4"/>
      <c r="FJ394" s="4"/>
      <c r="FK394" s="654"/>
      <c r="FL394" s="655"/>
      <c r="FM394" s="4"/>
      <c r="FN394" s="4"/>
      <c r="FO394" s="4"/>
      <c r="FP394" s="4"/>
      <c r="FQ394" s="4"/>
      <c r="FR394" s="4"/>
      <c r="FS394" s="4"/>
      <c r="FT394" s="4"/>
      <c r="FU394" s="4"/>
      <c r="FV394" s="4"/>
      <c r="FW394" s="654"/>
      <c r="FX394" s="655"/>
      <c r="FY394" s="4"/>
      <c r="FZ394" s="4"/>
      <c r="GA394" s="4"/>
      <c r="GB394" s="4"/>
      <c r="GC394" s="4"/>
      <c r="GD394" s="4"/>
      <c r="GE394" s="4"/>
      <c r="GF394" s="4"/>
      <c r="GG394" s="4"/>
      <c r="GH394" s="4"/>
      <c r="GI394" s="654"/>
      <c r="GJ394" s="655"/>
      <c r="GK394" s="4"/>
      <c r="GL394" s="4"/>
      <c r="GM394" s="4"/>
      <c r="GN394" s="4"/>
      <c r="GO394" s="4"/>
      <c r="GP394" s="4"/>
      <c r="GQ394" s="4"/>
      <c r="GR394" s="4"/>
      <c r="GS394" s="4"/>
      <c r="GT394" s="4"/>
      <c r="GU394" s="722"/>
      <c r="GV394" s="715"/>
    </row>
    <row r="395" spans="1:204" x14ac:dyDescent="0.25">
      <c r="A395" t="s">
        <v>1622</v>
      </c>
      <c r="B395" s="2" t="s">
        <v>1621</v>
      </c>
      <c r="C395" s="619">
        <v>44678</v>
      </c>
      <c r="D395" s="2" t="s">
        <v>1618</v>
      </c>
      <c r="E395" t="s">
        <v>59</v>
      </c>
      <c r="F395" s="2" t="s">
        <v>43</v>
      </c>
      <c r="G395" t="s">
        <v>40</v>
      </c>
      <c r="H395" s="690" t="s">
        <v>85</v>
      </c>
      <c r="I395" s="691" t="s">
        <v>43</v>
      </c>
      <c r="J395" s="721">
        <v>3780401000108</v>
      </c>
      <c r="K395" s="691" t="s">
        <v>1620</v>
      </c>
      <c r="L395" s="721">
        <v>29000095000125</v>
      </c>
      <c r="M395" s="718" t="s">
        <v>5</v>
      </c>
      <c r="N395" s="717" t="s">
        <v>44</v>
      </c>
      <c r="O395" s="719">
        <v>44652</v>
      </c>
      <c r="P395" s="720">
        <v>44681</v>
      </c>
      <c r="Q395" s="718">
        <v>40</v>
      </c>
      <c r="R395" s="717">
        <v>10</v>
      </c>
      <c r="S395" s="691" t="s">
        <v>92</v>
      </c>
      <c r="T395" t="s">
        <v>358</v>
      </c>
      <c r="U395" s="673" t="s">
        <v>358</v>
      </c>
      <c r="V395" s="690" t="s">
        <v>358</v>
      </c>
      <c r="W395" s="657" t="s">
        <v>324</v>
      </c>
      <c r="X395" s="723"/>
      <c r="Y395" s="4"/>
      <c r="Z395" s="4"/>
      <c r="AA395" s="4">
        <v>10</v>
      </c>
      <c r="AB395" s="4"/>
      <c r="AC395" s="4"/>
      <c r="AD395" s="4"/>
      <c r="AE395" s="4"/>
      <c r="AF395" s="4"/>
      <c r="AG395" s="4"/>
      <c r="AH395" s="4"/>
      <c r="AI395" s="654"/>
      <c r="AJ395" s="655"/>
      <c r="AK395" s="4"/>
      <c r="AL395" s="4"/>
      <c r="AM395" s="4"/>
      <c r="AN395" s="4"/>
      <c r="AO395" s="4"/>
      <c r="AP395" s="4"/>
      <c r="AQ395" s="4"/>
      <c r="AR395" s="4"/>
      <c r="AS395" s="4"/>
      <c r="AT395" s="4"/>
      <c r="AU395" s="654"/>
      <c r="AV395" s="655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654"/>
      <c r="BH395" s="655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654"/>
      <c r="BT395" s="655"/>
      <c r="BU395" s="4"/>
      <c r="BV395" s="4"/>
      <c r="BW395" s="4"/>
      <c r="BX395" s="4"/>
      <c r="BY395" s="4"/>
      <c r="BZ395" s="4"/>
      <c r="CA395" s="4"/>
      <c r="CB395" s="4"/>
      <c r="CC395" s="4"/>
      <c r="CD395" s="4"/>
      <c r="CE395" s="693"/>
      <c r="CF395" s="723"/>
      <c r="CG395" s="4"/>
      <c r="CH395" s="4"/>
      <c r="CI395" s="4">
        <v>40</v>
      </c>
      <c r="CJ395" s="4"/>
      <c r="CK395" s="4"/>
      <c r="CL395" s="4"/>
      <c r="CM395" s="4"/>
      <c r="CN395" s="4"/>
      <c r="CO395" s="4"/>
      <c r="CP395" s="4"/>
      <c r="CQ395" s="654"/>
      <c r="CR395" s="655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654"/>
      <c r="DD395" s="655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654"/>
      <c r="DP395" s="655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654"/>
      <c r="EB395" s="655"/>
      <c r="EC395" s="4"/>
      <c r="ED395" s="4"/>
      <c r="EE395" s="4"/>
      <c r="EF395" s="4"/>
      <c r="EG395" s="4"/>
      <c r="EH395" s="4"/>
      <c r="EI395" s="4"/>
      <c r="EJ395" s="4"/>
      <c r="EK395" s="4"/>
      <c r="EL395" s="4"/>
      <c r="EM395" s="693"/>
      <c r="EN395" s="723"/>
      <c r="EO395" s="4"/>
      <c r="EP395" s="4"/>
      <c r="EQ395" s="4">
        <v>95.7</v>
      </c>
      <c r="ER395" s="4"/>
      <c r="ES395" s="4"/>
      <c r="ET395" s="4"/>
      <c r="EU395" s="4"/>
      <c r="EV395" s="4"/>
      <c r="EW395" s="4"/>
      <c r="EX395" s="4"/>
      <c r="EY395" s="654"/>
      <c r="EZ395" s="655"/>
      <c r="FA395" s="4"/>
      <c r="FB395" s="4"/>
      <c r="FC395" s="4"/>
      <c r="FD395" s="4"/>
      <c r="FE395" s="4"/>
      <c r="FF395" s="4"/>
      <c r="FG395" s="4"/>
      <c r="FH395" s="4"/>
      <c r="FI395" s="4"/>
      <c r="FJ395" s="4"/>
      <c r="FK395" s="654"/>
      <c r="FL395" s="655"/>
      <c r="FM395" s="4"/>
      <c r="FN395" s="4"/>
      <c r="FO395" s="4"/>
      <c r="FP395" s="4"/>
      <c r="FQ395" s="4"/>
      <c r="FR395" s="4"/>
      <c r="FS395" s="4"/>
      <c r="FT395" s="4"/>
      <c r="FU395" s="4"/>
      <c r="FV395" s="4"/>
      <c r="FW395" s="654"/>
      <c r="FX395" s="655"/>
      <c r="FY395" s="4"/>
      <c r="FZ395" s="4"/>
      <c r="GA395" s="4"/>
      <c r="GB395" s="4"/>
      <c r="GC395" s="4"/>
      <c r="GD395" s="4"/>
      <c r="GE395" s="4"/>
      <c r="GF395" s="4"/>
      <c r="GG395" s="4"/>
      <c r="GH395" s="4"/>
      <c r="GI395" s="654"/>
      <c r="GJ395" s="655"/>
      <c r="GK395" s="4"/>
      <c r="GL395" s="4"/>
      <c r="GM395" s="4"/>
      <c r="GN395" s="4"/>
      <c r="GO395" s="4"/>
      <c r="GP395" s="4"/>
      <c r="GQ395" s="4"/>
      <c r="GR395" s="4"/>
      <c r="GS395" s="4"/>
      <c r="GT395" s="4"/>
      <c r="GU395" s="722"/>
      <c r="GV395" s="715"/>
    </row>
    <row r="396" spans="1:204" x14ac:dyDescent="0.25">
      <c r="A396" t="s">
        <v>1624</v>
      </c>
      <c r="B396" s="2" t="s">
        <v>1623</v>
      </c>
      <c r="C396" s="619">
        <v>44678</v>
      </c>
      <c r="D396" s="2" t="s">
        <v>1619</v>
      </c>
      <c r="E396" t="s">
        <v>59</v>
      </c>
      <c r="F396" s="2" t="s">
        <v>43</v>
      </c>
      <c r="G396" t="s">
        <v>40</v>
      </c>
      <c r="H396" s="690" t="s">
        <v>85</v>
      </c>
      <c r="I396" s="691" t="s">
        <v>43</v>
      </c>
      <c r="J396" s="721">
        <v>3780401000108</v>
      </c>
      <c r="K396" s="691" t="s">
        <v>1167</v>
      </c>
      <c r="L396" s="721">
        <v>15087610000141</v>
      </c>
      <c r="M396" s="718" t="s">
        <v>5</v>
      </c>
      <c r="N396" s="717" t="s">
        <v>44</v>
      </c>
      <c r="O396" s="719">
        <v>44652</v>
      </c>
      <c r="P396" s="720">
        <v>44681</v>
      </c>
      <c r="Q396" s="718">
        <v>40</v>
      </c>
      <c r="R396" s="717">
        <v>5</v>
      </c>
      <c r="S396" s="691" t="s">
        <v>92</v>
      </c>
      <c r="T396" t="s">
        <v>358</v>
      </c>
      <c r="U396" s="673" t="s">
        <v>358</v>
      </c>
      <c r="V396" s="690" t="s">
        <v>358</v>
      </c>
      <c r="W396" s="657" t="s">
        <v>324</v>
      </c>
      <c r="X396" s="723"/>
      <c r="Y396" s="4"/>
      <c r="Z396" s="4"/>
      <c r="AA396" s="4">
        <v>5</v>
      </c>
      <c r="AB396" s="4"/>
      <c r="AC396" s="4"/>
      <c r="AD396" s="4"/>
      <c r="AE396" s="4"/>
      <c r="AF396" s="4"/>
      <c r="AG396" s="4"/>
      <c r="AH396" s="4"/>
      <c r="AI396" s="654"/>
      <c r="AJ396" s="655"/>
      <c r="AK396" s="4"/>
      <c r="AL396" s="4"/>
      <c r="AM396" s="4"/>
      <c r="AN396" s="4"/>
      <c r="AO396" s="4"/>
      <c r="AP396" s="4"/>
      <c r="AQ396" s="4"/>
      <c r="AR396" s="4"/>
      <c r="AS396" s="4"/>
      <c r="AT396" s="4"/>
      <c r="AU396" s="654"/>
      <c r="AV396" s="655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654"/>
      <c r="BH396" s="655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654"/>
      <c r="BT396" s="655"/>
      <c r="BU396" s="4"/>
      <c r="BV396" s="4"/>
      <c r="BW396" s="4"/>
      <c r="BX396" s="4"/>
      <c r="BY396" s="4"/>
      <c r="BZ396" s="4"/>
      <c r="CA396" s="4"/>
      <c r="CB396" s="4"/>
      <c r="CC396" s="4"/>
      <c r="CD396" s="4"/>
      <c r="CE396" s="693"/>
      <c r="CF396" s="723"/>
      <c r="CG396" s="4"/>
      <c r="CH396" s="4"/>
      <c r="CI396" s="4">
        <v>40</v>
      </c>
      <c r="CJ396" s="4"/>
      <c r="CK396" s="4"/>
      <c r="CL396" s="4"/>
      <c r="CM396" s="4"/>
      <c r="CN396" s="4"/>
      <c r="CO396" s="4"/>
      <c r="CP396" s="4"/>
      <c r="CQ396" s="654"/>
      <c r="CR396" s="655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654"/>
      <c r="DD396" s="655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654"/>
      <c r="DP396" s="655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654"/>
      <c r="EB396" s="655"/>
      <c r="EC396" s="4"/>
      <c r="ED396" s="4"/>
      <c r="EE396" s="4"/>
      <c r="EF396" s="4"/>
      <c r="EG396" s="4"/>
      <c r="EH396" s="4"/>
      <c r="EI396" s="4"/>
      <c r="EJ396" s="4"/>
      <c r="EK396" s="4"/>
      <c r="EL396" s="4"/>
      <c r="EM396" s="693"/>
      <c r="EN396" s="723"/>
      <c r="EO396" s="4"/>
      <c r="EP396" s="4"/>
      <c r="EQ396" s="4">
        <v>95.7</v>
      </c>
      <c r="ER396" s="4"/>
      <c r="ES396" s="4"/>
      <c r="ET396" s="4"/>
      <c r="EU396" s="4"/>
      <c r="EV396" s="4"/>
      <c r="EW396" s="4"/>
      <c r="EX396" s="4"/>
      <c r="EY396" s="654"/>
      <c r="EZ396" s="655"/>
      <c r="FA396" s="4"/>
      <c r="FB396" s="4"/>
      <c r="FC396" s="4"/>
      <c r="FD396" s="4"/>
      <c r="FE396" s="4"/>
      <c r="FF396" s="4"/>
      <c r="FG396" s="4"/>
      <c r="FH396" s="4"/>
      <c r="FI396" s="4"/>
      <c r="FJ396" s="4"/>
      <c r="FK396" s="654"/>
      <c r="FL396" s="655"/>
      <c r="FM396" s="4"/>
      <c r="FN396" s="4"/>
      <c r="FO396" s="4"/>
      <c r="FP396" s="4"/>
      <c r="FQ396" s="4"/>
      <c r="FR396" s="4"/>
      <c r="FS396" s="4"/>
      <c r="FT396" s="4"/>
      <c r="FU396" s="4"/>
      <c r="FV396" s="4"/>
      <c r="FW396" s="654"/>
      <c r="FX396" s="655"/>
      <c r="FY396" s="4"/>
      <c r="FZ396" s="4"/>
      <c r="GA396" s="4"/>
      <c r="GB396" s="4"/>
      <c r="GC396" s="4"/>
      <c r="GD396" s="4"/>
      <c r="GE396" s="4"/>
      <c r="GF396" s="4"/>
      <c r="GG396" s="4"/>
      <c r="GH396" s="4"/>
      <c r="GI396" s="654"/>
      <c r="GJ396" s="655"/>
      <c r="GK396" s="4"/>
      <c r="GL396" s="4"/>
      <c r="GM396" s="4"/>
      <c r="GN396" s="4"/>
      <c r="GO396" s="4"/>
      <c r="GP396" s="4"/>
      <c r="GQ396" s="4"/>
      <c r="GR396" s="4"/>
      <c r="GS396" s="4"/>
      <c r="GT396" s="4"/>
      <c r="GU396" s="722"/>
      <c r="GV396" s="715"/>
    </row>
    <row r="397" spans="1:204" x14ac:dyDescent="0.25">
      <c r="A397" t="s">
        <v>1628</v>
      </c>
      <c r="B397" s="2" t="s">
        <v>358</v>
      </c>
      <c r="C397" s="619">
        <v>44679</v>
      </c>
      <c r="D397" s="2" t="s">
        <v>1625</v>
      </c>
      <c r="E397" t="s">
        <v>58</v>
      </c>
      <c r="F397" s="2" t="s">
        <v>43</v>
      </c>
      <c r="G397" t="s">
        <v>40</v>
      </c>
      <c r="H397" s="690" t="s">
        <v>84</v>
      </c>
      <c r="I397" s="691" t="s">
        <v>1167</v>
      </c>
      <c r="J397" s="721">
        <v>15087610000141</v>
      </c>
      <c r="K397" s="691" t="s">
        <v>43</v>
      </c>
      <c r="L397" s="721">
        <v>3780401000108</v>
      </c>
      <c r="M397" s="718" t="s">
        <v>3</v>
      </c>
      <c r="N397" s="717" t="s">
        <v>44</v>
      </c>
      <c r="O397" s="719">
        <v>44713</v>
      </c>
      <c r="P397" s="720">
        <v>44742</v>
      </c>
      <c r="Q397" s="718">
        <v>77</v>
      </c>
      <c r="R397" s="717">
        <v>2</v>
      </c>
      <c r="S397" s="691" t="s">
        <v>54</v>
      </c>
      <c r="T397" t="s">
        <v>358</v>
      </c>
      <c r="U397" s="673" t="s">
        <v>358</v>
      </c>
      <c r="V397" s="690" t="s">
        <v>358</v>
      </c>
      <c r="W397" s="657" t="s">
        <v>214</v>
      </c>
      <c r="X397" s="723"/>
      <c r="Y397" s="4"/>
      <c r="Z397" s="4"/>
      <c r="AA397" s="4"/>
      <c r="AB397" s="4"/>
      <c r="AC397" s="4">
        <v>2</v>
      </c>
      <c r="AD397" s="4"/>
      <c r="AE397" s="4"/>
      <c r="AF397" s="4"/>
      <c r="AG397" s="4"/>
      <c r="AH397" s="4"/>
      <c r="AI397" s="654"/>
      <c r="AJ397" s="655"/>
      <c r="AK397" s="4"/>
      <c r="AL397" s="4"/>
      <c r="AM397" s="4"/>
      <c r="AN397" s="4"/>
      <c r="AO397" s="4"/>
      <c r="AP397" s="4"/>
      <c r="AQ397" s="4"/>
      <c r="AR397" s="4"/>
      <c r="AS397" s="4"/>
      <c r="AT397" s="4"/>
      <c r="AU397" s="654"/>
      <c r="AV397" s="655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654"/>
      <c r="BH397" s="655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654"/>
      <c r="BT397" s="655"/>
      <c r="BU397" s="4"/>
      <c r="BV397" s="4"/>
      <c r="BW397" s="4"/>
      <c r="BX397" s="4"/>
      <c r="BY397" s="4"/>
      <c r="BZ397" s="4"/>
      <c r="CA397" s="4"/>
      <c r="CB397" s="4"/>
      <c r="CC397" s="4"/>
      <c r="CD397" s="4"/>
      <c r="CE397" s="693"/>
      <c r="CF397" s="723"/>
      <c r="CG397" s="4"/>
      <c r="CH397" s="4"/>
      <c r="CI397" s="4"/>
      <c r="CJ397" s="4"/>
      <c r="CK397" s="4">
        <v>77</v>
      </c>
      <c r="CL397" s="4"/>
      <c r="CM397" s="4"/>
      <c r="CN397" s="4"/>
      <c r="CO397" s="4"/>
      <c r="CP397" s="4"/>
      <c r="CQ397" s="654"/>
      <c r="CR397" s="655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654"/>
      <c r="DD397" s="655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654"/>
      <c r="DP397" s="655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654"/>
      <c r="EB397" s="655"/>
      <c r="EC397" s="4"/>
      <c r="ED397" s="4"/>
      <c r="EE397" s="4"/>
      <c r="EF397" s="4"/>
      <c r="EG397" s="4"/>
      <c r="EH397" s="4"/>
      <c r="EI397" s="4"/>
      <c r="EJ397" s="4"/>
      <c r="EK397" s="4"/>
      <c r="EL397" s="4"/>
      <c r="EM397" s="693"/>
      <c r="EN397" s="723"/>
      <c r="EO397" s="4"/>
      <c r="EP397" s="4"/>
      <c r="EQ397" s="4"/>
      <c r="ER397" s="4"/>
      <c r="ES397" s="4">
        <v>77</v>
      </c>
      <c r="ET397" s="4"/>
      <c r="EU397" s="4"/>
      <c r="EV397" s="4"/>
      <c r="EW397" s="4"/>
      <c r="EX397" s="4"/>
      <c r="EY397" s="654"/>
      <c r="EZ397" s="655"/>
      <c r="FA397" s="4"/>
      <c r="FB397" s="4"/>
      <c r="FC397" s="4"/>
      <c r="FD397" s="4"/>
      <c r="FE397" s="4"/>
      <c r="FF397" s="4"/>
      <c r="FG397" s="4"/>
      <c r="FH397" s="4"/>
      <c r="FI397" s="4"/>
      <c r="FJ397" s="4"/>
      <c r="FK397" s="654"/>
      <c r="FL397" s="655"/>
      <c r="FM397" s="4"/>
      <c r="FN397" s="4"/>
      <c r="FO397" s="4"/>
      <c r="FP397" s="4"/>
      <c r="FQ397" s="4"/>
      <c r="FR397" s="4"/>
      <c r="FS397" s="4"/>
      <c r="FT397" s="4"/>
      <c r="FU397" s="4"/>
      <c r="FV397" s="4"/>
      <c r="FW397" s="654"/>
      <c r="FX397" s="655"/>
      <c r="FY397" s="4"/>
      <c r="FZ397" s="4"/>
      <c r="GA397" s="4"/>
      <c r="GB397" s="4"/>
      <c r="GC397" s="4"/>
      <c r="GD397" s="4"/>
      <c r="GE397" s="4"/>
      <c r="GF397" s="4"/>
      <c r="GG397" s="4"/>
      <c r="GH397" s="4"/>
      <c r="GI397" s="654"/>
      <c r="GJ397" s="655"/>
      <c r="GK397" s="4"/>
      <c r="GL397" s="4"/>
      <c r="GM397" s="4"/>
      <c r="GN397" s="4"/>
      <c r="GO397" s="4"/>
      <c r="GP397" s="4"/>
      <c r="GQ397" s="4"/>
      <c r="GR397" s="4"/>
      <c r="GS397" s="4"/>
      <c r="GT397" s="4"/>
      <c r="GU397" s="722"/>
      <c r="GV397" s="715"/>
    </row>
    <row r="398" spans="1:204" x14ac:dyDescent="0.25">
      <c r="A398" t="s">
        <v>1629</v>
      </c>
      <c r="B398" s="2" t="s">
        <v>358</v>
      </c>
      <c r="C398" s="619">
        <v>44679</v>
      </c>
      <c r="D398" s="2" t="s">
        <v>1626</v>
      </c>
      <c r="E398" t="s">
        <v>58</v>
      </c>
      <c r="F398" s="2" t="s">
        <v>43</v>
      </c>
      <c r="G398" t="s">
        <v>40</v>
      </c>
      <c r="H398" s="690" t="s">
        <v>84</v>
      </c>
      <c r="I398" s="691" t="s">
        <v>508</v>
      </c>
      <c r="J398" s="721">
        <v>8773135000100</v>
      </c>
      <c r="K398" s="691" t="s">
        <v>43</v>
      </c>
      <c r="L398" s="721">
        <v>3780401000108</v>
      </c>
      <c r="M398" s="718" t="s">
        <v>3</v>
      </c>
      <c r="N398" s="717" t="s">
        <v>44</v>
      </c>
      <c r="O398" s="719">
        <v>44713</v>
      </c>
      <c r="P398" s="720">
        <v>44742</v>
      </c>
      <c r="Q398" s="718">
        <v>77</v>
      </c>
      <c r="R398" s="717">
        <v>3</v>
      </c>
      <c r="S398" s="691" t="s">
        <v>54</v>
      </c>
      <c r="T398" t="s">
        <v>358</v>
      </c>
      <c r="U398" s="673" t="s">
        <v>358</v>
      </c>
      <c r="V398" s="690" t="s">
        <v>358</v>
      </c>
      <c r="W398" s="657" t="s">
        <v>214</v>
      </c>
      <c r="X398" s="723"/>
      <c r="Y398" s="4"/>
      <c r="Z398" s="4"/>
      <c r="AA398" s="4"/>
      <c r="AB398" s="4"/>
      <c r="AC398" s="4">
        <v>3</v>
      </c>
      <c r="AD398" s="4"/>
      <c r="AE398" s="4"/>
      <c r="AF398" s="4"/>
      <c r="AG398" s="4"/>
      <c r="AH398" s="4"/>
      <c r="AI398" s="654"/>
      <c r="AJ398" s="655"/>
      <c r="AK398" s="4"/>
      <c r="AL398" s="4"/>
      <c r="AM398" s="4"/>
      <c r="AN398" s="4"/>
      <c r="AO398" s="4"/>
      <c r="AP398" s="4"/>
      <c r="AQ398" s="4"/>
      <c r="AR398" s="4"/>
      <c r="AS398" s="4"/>
      <c r="AT398" s="4"/>
      <c r="AU398" s="654"/>
      <c r="AV398" s="655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654"/>
      <c r="BH398" s="655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654"/>
      <c r="BT398" s="655"/>
      <c r="BU398" s="4"/>
      <c r="BV398" s="4"/>
      <c r="BW398" s="4"/>
      <c r="BX398" s="4"/>
      <c r="BY398" s="4"/>
      <c r="BZ398" s="4"/>
      <c r="CA398" s="4"/>
      <c r="CB398" s="4"/>
      <c r="CC398" s="4"/>
      <c r="CD398" s="4"/>
      <c r="CE398" s="693"/>
      <c r="CF398" s="723"/>
      <c r="CG398" s="4"/>
      <c r="CH398" s="4"/>
      <c r="CI398" s="4"/>
      <c r="CJ398" s="4"/>
      <c r="CK398" s="4">
        <v>77</v>
      </c>
      <c r="CL398" s="4"/>
      <c r="CM398" s="4"/>
      <c r="CN398" s="4"/>
      <c r="CO398" s="4"/>
      <c r="CP398" s="4"/>
      <c r="CQ398" s="654"/>
      <c r="CR398" s="655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654"/>
      <c r="DD398" s="655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654"/>
      <c r="DP398" s="655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654"/>
      <c r="EB398" s="655"/>
      <c r="EC398" s="4"/>
      <c r="ED398" s="4"/>
      <c r="EE398" s="4"/>
      <c r="EF398" s="4"/>
      <c r="EG398" s="4"/>
      <c r="EH398" s="4"/>
      <c r="EI398" s="4"/>
      <c r="EJ398" s="4"/>
      <c r="EK398" s="4"/>
      <c r="EL398" s="4"/>
      <c r="EM398" s="693"/>
      <c r="EN398" s="723"/>
      <c r="EO398" s="4"/>
      <c r="EP398" s="4"/>
      <c r="EQ398" s="4"/>
      <c r="ER398" s="4"/>
      <c r="ES398" s="4">
        <v>77</v>
      </c>
      <c r="ET398" s="4"/>
      <c r="EU398" s="4"/>
      <c r="EV398" s="4"/>
      <c r="EW398" s="4"/>
      <c r="EX398" s="4"/>
      <c r="EY398" s="654"/>
      <c r="EZ398" s="655"/>
      <c r="FA398" s="4"/>
      <c r="FB398" s="4"/>
      <c r="FC398" s="4"/>
      <c r="FD398" s="4"/>
      <c r="FE398" s="4"/>
      <c r="FF398" s="4"/>
      <c r="FG398" s="4"/>
      <c r="FH398" s="4"/>
      <c r="FI398" s="4"/>
      <c r="FJ398" s="4"/>
      <c r="FK398" s="654"/>
      <c r="FL398" s="655"/>
      <c r="FM398" s="4"/>
      <c r="FN398" s="4"/>
      <c r="FO398" s="4"/>
      <c r="FP398" s="4"/>
      <c r="FQ398" s="4"/>
      <c r="FR398" s="4"/>
      <c r="FS398" s="4"/>
      <c r="FT398" s="4"/>
      <c r="FU398" s="4"/>
      <c r="FV398" s="4"/>
      <c r="FW398" s="654"/>
      <c r="FX398" s="655"/>
      <c r="FY398" s="4"/>
      <c r="FZ398" s="4"/>
      <c r="GA398" s="4"/>
      <c r="GB398" s="4"/>
      <c r="GC398" s="4"/>
      <c r="GD398" s="4"/>
      <c r="GE398" s="4"/>
      <c r="GF398" s="4"/>
      <c r="GG398" s="4"/>
      <c r="GH398" s="4"/>
      <c r="GI398" s="654"/>
      <c r="GJ398" s="655"/>
      <c r="GK398" s="4"/>
      <c r="GL398" s="4"/>
      <c r="GM398" s="4"/>
      <c r="GN398" s="4"/>
      <c r="GO398" s="4"/>
      <c r="GP398" s="4"/>
      <c r="GQ398" s="4"/>
      <c r="GR398" s="4"/>
      <c r="GS398" s="4"/>
      <c r="GT398" s="4"/>
      <c r="GU398" s="722"/>
      <c r="GV398" s="715"/>
    </row>
    <row r="399" spans="1:204" x14ac:dyDescent="0.25">
      <c r="A399" t="s">
        <v>1631</v>
      </c>
      <c r="B399" s="2" t="s">
        <v>1630</v>
      </c>
      <c r="C399" s="619">
        <v>44679</v>
      </c>
      <c r="D399" s="2" t="s">
        <v>1627</v>
      </c>
      <c r="E399" t="s">
        <v>59</v>
      </c>
      <c r="F399" s="2" t="s">
        <v>43</v>
      </c>
      <c r="G399" t="s">
        <v>40</v>
      </c>
      <c r="H399" s="690" t="s">
        <v>85</v>
      </c>
      <c r="I399" s="691" t="s">
        <v>43</v>
      </c>
      <c r="J399" s="721">
        <v>3780401000108</v>
      </c>
      <c r="K399" s="691" t="s">
        <v>639</v>
      </c>
      <c r="L399" s="721">
        <v>11820864000176</v>
      </c>
      <c r="M399" s="718" t="s">
        <v>5</v>
      </c>
      <c r="N399" s="717" t="s">
        <v>44</v>
      </c>
      <c r="O399" s="719">
        <v>44652</v>
      </c>
      <c r="P399" s="720">
        <v>44681</v>
      </c>
      <c r="Q399" s="718">
        <v>40</v>
      </c>
      <c r="R399" s="717">
        <v>2.5</v>
      </c>
      <c r="S399" s="691" t="s">
        <v>92</v>
      </c>
      <c r="T399" t="s">
        <v>358</v>
      </c>
      <c r="U399" s="673" t="s">
        <v>358</v>
      </c>
      <c r="V399" s="690" t="s">
        <v>358</v>
      </c>
      <c r="W399" s="657" t="s">
        <v>324</v>
      </c>
      <c r="X399" s="723"/>
      <c r="Y399" s="4"/>
      <c r="Z399" s="4"/>
      <c r="AA399" s="4">
        <v>2.5</v>
      </c>
      <c r="AB399" s="4"/>
      <c r="AC399" s="4"/>
      <c r="AD399" s="4"/>
      <c r="AE399" s="4"/>
      <c r="AF399" s="4"/>
      <c r="AG399" s="4"/>
      <c r="AH399" s="4"/>
      <c r="AI399" s="654"/>
      <c r="AJ399" s="655"/>
      <c r="AK399" s="4"/>
      <c r="AL399" s="4"/>
      <c r="AM399" s="4"/>
      <c r="AN399" s="4"/>
      <c r="AO399" s="4"/>
      <c r="AP399" s="4"/>
      <c r="AQ399" s="4"/>
      <c r="AR399" s="4"/>
      <c r="AS399" s="4"/>
      <c r="AT399" s="4"/>
      <c r="AU399" s="654"/>
      <c r="AV399" s="655"/>
      <c r="AW399" s="4"/>
      <c r="AX399" s="4"/>
      <c r="AY399" s="4"/>
      <c r="AZ399" s="4"/>
      <c r="BA399" s="4"/>
      <c r="BB399" s="4"/>
      <c r="BC399" s="4"/>
      <c r="BD399" s="4"/>
      <c r="BE399" s="4"/>
      <c r="BF399" s="4"/>
      <c r="BG399" s="654"/>
      <c r="BH399" s="655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654"/>
      <c r="BT399" s="655"/>
      <c r="BU399" s="4"/>
      <c r="BV399" s="4"/>
      <c r="BW399" s="4"/>
      <c r="BX399" s="4"/>
      <c r="BY399" s="4"/>
      <c r="BZ399" s="4"/>
      <c r="CA399" s="4"/>
      <c r="CB399" s="4"/>
      <c r="CC399" s="4"/>
      <c r="CD399" s="4"/>
      <c r="CE399" s="693"/>
      <c r="CF399" s="723"/>
      <c r="CG399" s="4"/>
      <c r="CH399" s="4"/>
      <c r="CI399" s="4">
        <v>40</v>
      </c>
      <c r="CJ399" s="4"/>
      <c r="CK399" s="4"/>
      <c r="CL399" s="4"/>
      <c r="CM399" s="4"/>
      <c r="CN399" s="4"/>
      <c r="CO399" s="4"/>
      <c r="CP399" s="4"/>
      <c r="CQ399" s="654"/>
      <c r="CR399" s="655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654"/>
      <c r="DD399" s="655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654"/>
      <c r="DP399" s="655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654"/>
      <c r="EB399" s="655"/>
      <c r="EC399" s="4"/>
      <c r="ED399" s="4"/>
      <c r="EE399" s="4"/>
      <c r="EF399" s="4"/>
      <c r="EG399" s="4"/>
      <c r="EH399" s="4"/>
      <c r="EI399" s="4"/>
      <c r="EJ399" s="4"/>
      <c r="EK399" s="4"/>
      <c r="EL399" s="4"/>
      <c r="EM399" s="693"/>
      <c r="EN399" s="723"/>
      <c r="EO399" s="4"/>
      <c r="EP399" s="4"/>
      <c r="EQ399" s="4">
        <v>95.7</v>
      </c>
      <c r="ER399" s="4"/>
      <c r="ES399" s="4"/>
      <c r="ET399" s="4"/>
      <c r="EU399" s="4"/>
      <c r="EV399" s="4"/>
      <c r="EW399" s="4"/>
      <c r="EX399" s="4"/>
      <c r="EY399" s="654"/>
      <c r="EZ399" s="655"/>
      <c r="FA399" s="4"/>
      <c r="FB399" s="4"/>
      <c r="FC399" s="4"/>
      <c r="FD399" s="4"/>
      <c r="FE399" s="4"/>
      <c r="FF399" s="4"/>
      <c r="FG399" s="4"/>
      <c r="FH399" s="4"/>
      <c r="FI399" s="4"/>
      <c r="FJ399" s="4"/>
      <c r="FK399" s="654"/>
      <c r="FL399" s="655"/>
      <c r="FM399" s="4"/>
      <c r="FN399" s="4"/>
      <c r="FO399" s="4"/>
      <c r="FP399" s="4"/>
      <c r="FQ399" s="4"/>
      <c r="FR399" s="4"/>
      <c r="FS399" s="4"/>
      <c r="FT399" s="4"/>
      <c r="FU399" s="4"/>
      <c r="FV399" s="4"/>
      <c r="FW399" s="654"/>
      <c r="FX399" s="655"/>
      <c r="FY399" s="4"/>
      <c r="FZ399" s="4"/>
      <c r="GA399" s="4"/>
      <c r="GB399" s="4"/>
      <c r="GC399" s="4"/>
      <c r="GD399" s="4"/>
      <c r="GE399" s="4"/>
      <c r="GF399" s="4"/>
      <c r="GG399" s="4"/>
      <c r="GH399" s="4"/>
      <c r="GI399" s="654"/>
      <c r="GJ399" s="655"/>
      <c r="GK399" s="4"/>
      <c r="GL399" s="4"/>
      <c r="GM399" s="4"/>
      <c r="GN399" s="4"/>
      <c r="GO399" s="4"/>
      <c r="GP399" s="4"/>
      <c r="GQ399" s="4"/>
      <c r="GR399" s="4"/>
      <c r="GS399" s="4"/>
      <c r="GT399" s="4"/>
      <c r="GU399" s="722"/>
      <c r="GV399" s="715"/>
    </row>
    <row r="400" spans="1:204" x14ac:dyDescent="0.25">
      <c r="A400" t="s">
        <v>1633</v>
      </c>
      <c r="B400" s="2" t="s">
        <v>358</v>
      </c>
      <c r="C400" s="619">
        <v>44680</v>
      </c>
      <c r="D400" s="2" t="s">
        <v>1632</v>
      </c>
      <c r="E400" t="s">
        <v>58</v>
      </c>
      <c r="F400" s="2" t="s">
        <v>43</v>
      </c>
      <c r="G400" t="s">
        <v>40</v>
      </c>
      <c r="H400" s="690" t="s">
        <v>84</v>
      </c>
      <c r="I400" s="691" t="s">
        <v>1103</v>
      </c>
      <c r="J400" s="721" t="s">
        <v>1649</v>
      </c>
      <c r="K400" s="691" t="s">
        <v>43</v>
      </c>
      <c r="L400" s="721"/>
      <c r="M400" s="718" t="s">
        <v>3</v>
      </c>
      <c r="N400" s="717" t="s">
        <v>44</v>
      </c>
      <c r="O400" s="719">
        <v>44682</v>
      </c>
      <c r="P400" s="720">
        <v>44711</v>
      </c>
      <c r="Q400" s="718">
        <v>59</v>
      </c>
      <c r="R400" s="717">
        <v>3</v>
      </c>
      <c r="S400" s="691" t="s">
        <v>54</v>
      </c>
      <c r="T400" t="s">
        <v>358</v>
      </c>
      <c r="U400" s="673" t="s">
        <v>358</v>
      </c>
      <c r="V400" s="690" t="s">
        <v>358</v>
      </c>
      <c r="W400" s="657" t="s">
        <v>214</v>
      </c>
      <c r="X400" s="723"/>
      <c r="Y400" s="4"/>
      <c r="Z400" s="4"/>
      <c r="AA400" s="4"/>
      <c r="AB400" s="4">
        <v>3</v>
      </c>
      <c r="AC400" s="4"/>
      <c r="AD400" s="4"/>
      <c r="AE400" s="4"/>
      <c r="AF400" s="4"/>
      <c r="AG400" s="4"/>
      <c r="AH400" s="4"/>
      <c r="AI400" s="654"/>
      <c r="AJ400" s="655"/>
      <c r="AK400" s="4"/>
      <c r="AL400" s="4"/>
      <c r="AM400" s="4"/>
      <c r="AN400" s="4"/>
      <c r="AO400" s="4"/>
      <c r="AP400" s="4"/>
      <c r="AQ400" s="4"/>
      <c r="AR400" s="4"/>
      <c r="AS400" s="4"/>
      <c r="AT400" s="4"/>
      <c r="AU400" s="654"/>
      <c r="AV400" s="655"/>
      <c r="AW400" s="4"/>
      <c r="AX400" s="4"/>
      <c r="AY400" s="4"/>
      <c r="AZ400" s="4"/>
      <c r="BA400" s="4"/>
      <c r="BB400" s="4"/>
      <c r="BC400" s="4"/>
      <c r="BD400" s="4"/>
      <c r="BE400" s="4"/>
      <c r="BF400" s="4"/>
      <c r="BG400" s="654"/>
      <c r="BH400" s="655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654"/>
      <c r="BT400" s="655"/>
      <c r="BU400" s="4"/>
      <c r="BV400" s="4"/>
      <c r="BW400" s="4"/>
      <c r="BX400" s="4"/>
      <c r="BY400" s="4"/>
      <c r="BZ400" s="4"/>
      <c r="CA400" s="4"/>
      <c r="CB400" s="4"/>
      <c r="CC400" s="4"/>
      <c r="CD400" s="4"/>
      <c r="CE400" s="693"/>
      <c r="CF400" s="723"/>
      <c r="CG400" s="4"/>
      <c r="CH400" s="4"/>
      <c r="CI400" s="4"/>
      <c r="CJ400" s="4">
        <v>59</v>
      </c>
      <c r="CK400" s="4"/>
      <c r="CL400" s="4"/>
      <c r="CM400" s="4"/>
      <c r="CN400" s="4"/>
      <c r="CO400" s="4"/>
      <c r="CP400" s="4"/>
      <c r="CQ400" s="654"/>
      <c r="CR400" s="655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654"/>
      <c r="DD400" s="655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654"/>
      <c r="DP400" s="655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654"/>
      <c r="EB400" s="655"/>
      <c r="EC400" s="4"/>
      <c r="ED400" s="4"/>
      <c r="EE400" s="4"/>
      <c r="EF400" s="4"/>
      <c r="EG400" s="4"/>
      <c r="EH400" s="4"/>
      <c r="EI400" s="4"/>
      <c r="EJ400" s="4"/>
      <c r="EK400" s="4"/>
      <c r="EL400" s="4"/>
      <c r="EM400" s="693"/>
      <c r="EN400" s="723"/>
      <c r="EO400" s="4"/>
      <c r="EP400" s="4"/>
      <c r="EQ400" s="4"/>
      <c r="ER400" s="4">
        <v>59</v>
      </c>
      <c r="ES400" s="4"/>
      <c r="ET400" s="4"/>
      <c r="EU400" s="4"/>
      <c r="EV400" s="4"/>
      <c r="EW400" s="4"/>
      <c r="EX400" s="4"/>
      <c r="EY400" s="654"/>
      <c r="EZ400" s="655"/>
      <c r="FA400" s="4"/>
      <c r="FB400" s="4"/>
      <c r="FC400" s="4"/>
      <c r="FD400" s="4"/>
      <c r="FE400" s="4"/>
      <c r="FF400" s="4"/>
      <c r="FG400" s="4"/>
      <c r="FH400" s="4"/>
      <c r="FI400" s="4"/>
      <c r="FJ400" s="4"/>
      <c r="FK400" s="654"/>
      <c r="FL400" s="655"/>
      <c r="FM400" s="4"/>
      <c r="FN400" s="4"/>
      <c r="FO400" s="4"/>
      <c r="FP400" s="4"/>
      <c r="FQ400" s="4"/>
      <c r="FR400" s="4"/>
      <c r="FS400" s="4"/>
      <c r="FT400" s="4"/>
      <c r="FU400" s="4"/>
      <c r="FV400" s="4"/>
      <c r="FW400" s="654"/>
      <c r="FX400" s="655"/>
      <c r="FY400" s="4"/>
      <c r="FZ400" s="4"/>
      <c r="GA400" s="4"/>
      <c r="GB400" s="4"/>
      <c r="GC400" s="4"/>
      <c r="GD400" s="4"/>
      <c r="GE400" s="4"/>
      <c r="GF400" s="4"/>
      <c r="GG400" s="4"/>
      <c r="GH400" s="4"/>
      <c r="GI400" s="654"/>
      <c r="GJ400" s="655"/>
      <c r="GK400" s="4"/>
      <c r="GL400" s="4"/>
      <c r="GM400" s="4"/>
      <c r="GN400" s="4"/>
      <c r="GO400" s="4"/>
      <c r="GP400" s="4"/>
      <c r="GQ400" s="4"/>
      <c r="GR400" s="4"/>
      <c r="GS400" s="4"/>
      <c r="GT400" s="4"/>
      <c r="GU400" s="722"/>
      <c r="GV400" s="715"/>
    </row>
    <row r="401" spans="1:204" x14ac:dyDescent="0.25">
      <c r="A401" t="s">
        <v>1639</v>
      </c>
      <c r="B401" s="2" t="s">
        <v>358</v>
      </c>
      <c r="C401" s="619">
        <v>44683</v>
      </c>
      <c r="D401" s="2" t="s">
        <v>1634</v>
      </c>
      <c r="E401" t="s">
        <v>58</v>
      </c>
      <c r="F401" s="2" t="s">
        <v>43</v>
      </c>
      <c r="G401" t="s">
        <v>40</v>
      </c>
      <c r="H401" s="690" t="s">
        <v>84</v>
      </c>
      <c r="I401" s="691" t="s">
        <v>409</v>
      </c>
      <c r="J401" s="721">
        <v>12809025000110</v>
      </c>
      <c r="K401" s="691" t="s">
        <v>43</v>
      </c>
      <c r="L401" s="721">
        <v>3780401000108</v>
      </c>
      <c r="M401" s="718" t="s">
        <v>3</v>
      </c>
      <c r="N401" s="717" t="s">
        <v>44</v>
      </c>
      <c r="O401" s="719">
        <v>44713</v>
      </c>
      <c r="P401" s="720">
        <v>44742</v>
      </c>
      <c r="Q401" s="718">
        <v>80</v>
      </c>
      <c r="R401" s="717">
        <v>5</v>
      </c>
      <c r="S401" s="691" t="s">
        <v>54</v>
      </c>
      <c r="T401" t="s">
        <v>358</v>
      </c>
      <c r="U401" s="673" t="s">
        <v>358</v>
      </c>
      <c r="V401" s="690" t="s">
        <v>358</v>
      </c>
      <c r="W401" s="657" t="s">
        <v>214</v>
      </c>
      <c r="X401" s="723"/>
      <c r="Y401" s="4"/>
      <c r="Z401" s="4"/>
      <c r="AA401" s="4"/>
      <c r="AB401" s="4"/>
      <c r="AC401" s="4">
        <v>5</v>
      </c>
      <c r="AD401" s="4"/>
      <c r="AE401" s="4"/>
      <c r="AF401" s="4"/>
      <c r="AG401" s="4"/>
      <c r="AH401" s="4"/>
      <c r="AI401" s="654"/>
      <c r="AJ401" s="655"/>
      <c r="AK401" s="4"/>
      <c r="AL401" s="4"/>
      <c r="AM401" s="4"/>
      <c r="AN401" s="4"/>
      <c r="AO401" s="4"/>
      <c r="AP401" s="4"/>
      <c r="AQ401" s="4"/>
      <c r="AR401" s="4"/>
      <c r="AS401" s="4"/>
      <c r="AT401" s="4"/>
      <c r="AU401" s="654"/>
      <c r="AV401" s="655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654"/>
      <c r="BH401" s="655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654"/>
      <c r="BT401" s="655"/>
      <c r="BU401" s="4"/>
      <c r="BV401" s="4"/>
      <c r="BW401" s="4"/>
      <c r="BX401" s="4"/>
      <c r="BY401" s="4"/>
      <c r="BZ401" s="4"/>
      <c r="CA401" s="4"/>
      <c r="CB401" s="4"/>
      <c r="CC401" s="4"/>
      <c r="CD401" s="4"/>
      <c r="CE401" s="693"/>
      <c r="CF401" s="723"/>
      <c r="CG401" s="4"/>
      <c r="CH401" s="4"/>
      <c r="CI401" s="4"/>
      <c r="CJ401" s="4"/>
      <c r="CK401" s="4">
        <v>80</v>
      </c>
      <c r="CL401" s="4"/>
      <c r="CM401" s="4"/>
      <c r="CN401" s="4"/>
      <c r="CO401" s="4"/>
      <c r="CP401" s="4"/>
      <c r="CQ401" s="654"/>
      <c r="CR401" s="655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654"/>
      <c r="DD401" s="655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654"/>
      <c r="DP401" s="655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654"/>
      <c r="EB401" s="655"/>
      <c r="EC401" s="4"/>
      <c r="ED401" s="4"/>
      <c r="EE401" s="4"/>
      <c r="EF401" s="4"/>
      <c r="EG401" s="4"/>
      <c r="EH401" s="4"/>
      <c r="EI401" s="4"/>
      <c r="EJ401" s="4"/>
      <c r="EK401" s="4"/>
      <c r="EL401" s="4"/>
      <c r="EM401" s="693"/>
      <c r="EN401" s="723"/>
      <c r="EO401" s="4"/>
      <c r="EP401" s="4"/>
      <c r="EQ401" s="4"/>
      <c r="ER401" s="4"/>
      <c r="ES401" s="4">
        <v>80</v>
      </c>
      <c r="ET401" s="4"/>
      <c r="EU401" s="4"/>
      <c r="EV401" s="4"/>
      <c r="EW401" s="4"/>
      <c r="EX401" s="4"/>
      <c r="EY401" s="654"/>
      <c r="EZ401" s="655"/>
      <c r="FA401" s="4"/>
      <c r="FB401" s="4"/>
      <c r="FC401" s="4"/>
      <c r="FD401" s="4"/>
      <c r="FE401" s="4"/>
      <c r="FF401" s="4"/>
      <c r="FG401" s="4"/>
      <c r="FH401" s="4"/>
      <c r="FI401" s="4"/>
      <c r="FJ401" s="4"/>
      <c r="FK401" s="654"/>
      <c r="FL401" s="655"/>
      <c r="FM401" s="4"/>
      <c r="FN401" s="4"/>
      <c r="FO401" s="4"/>
      <c r="FP401" s="4"/>
      <c r="FQ401" s="4"/>
      <c r="FR401" s="4"/>
      <c r="FS401" s="4"/>
      <c r="FT401" s="4"/>
      <c r="FU401" s="4"/>
      <c r="FV401" s="4"/>
      <c r="FW401" s="654"/>
      <c r="FX401" s="655"/>
      <c r="FY401" s="4"/>
      <c r="FZ401" s="4"/>
      <c r="GA401" s="4"/>
      <c r="GB401" s="4"/>
      <c r="GC401" s="4"/>
      <c r="GD401" s="4"/>
      <c r="GE401" s="4"/>
      <c r="GF401" s="4"/>
      <c r="GG401" s="4"/>
      <c r="GH401" s="4"/>
      <c r="GI401" s="654"/>
      <c r="GJ401" s="655"/>
      <c r="GK401" s="4"/>
      <c r="GL401" s="4"/>
      <c r="GM401" s="4"/>
      <c r="GN401" s="4"/>
      <c r="GO401" s="4"/>
      <c r="GP401" s="4"/>
      <c r="GQ401" s="4"/>
      <c r="GR401" s="4"/>
      <c r="GS401" s="4"/>
      <c r="GT401" s="4"/>
      <c r="GU401" s="722"/>
      <c r="GV401" s="715"/>
    </row>
    <row r="402" spans="1:204" x14ac:dyDescent="0.25">
      <c r="A402" t="s">
        <v>1640</v>
      </c>
      <c r="B402" s="2" t="s">
        <v>358</v>
      </c>
      <c r="C402" s="619">
        <v>44683</v>
      </c>
      <c r="D402" s="2" t="s">
        <v>1635</v>
      </c>
      <c r="E402" t="s">
        <v>58</v>
      </c>
      <c r="F402" s="2" t="s">
        <v>43</v>
      </c>
      <c r="G402" t="s">
        <v>40</v>
      </c>
      <c r="H402" s="690" t="s">
        <v>84</v>
      </c>
      <c r="I402" s="691" t="s">
        <v>411</v>
      </c>
      <c r="J402" s="721">
        <v>31864869000108</v>
      </c>
      <c r="K402" s="691" t="s">
        <v>43</v>
      </c>
      <c r="L402" s="721">
        <v>3780401000108</v>
      </c>
      <c r="M402" s="718" t="s">
        <v>3</v>
      </c>
      <c r="N402" s="717" t="s">
        <v>44</v>
      </c>
      <c r="O402" s="719">
        <v>44682</v>
      </c>
      <c r="P402" s="720">
        <v>44712</v>
      </c>
      <c r="Q402" s="718">
        <v>59.5</v>
      </c>
      <c r="R402" s="717">
        <v>5</v>
      </c>
      <c r="S402" s="691" t="s">
        <v>54</v>
      </c>
      <c r="T402" t="s">
        <v>358</v>
      </c>
      <c r="U402" s="673" t="s">
        <v>358</v>
      </c>
      <c r="V402" s="690" t="s">
        <v>358</v>
      </c>
      <c r="W402" s="657" t="s">
        <v>214</v>
      </c>
      <c r="X402" s="723"/>
      <c r="Y402" s="4"/>
      <c r="Z402" s="4"/>
      <c r="AA402" s="4"/>
      <c r="AB402" s="4">
        <v>5</v>
      </c>
      <c r="AC402" s="4"/>
      <c r="AD402" s="4"/>
      <c r="AE402" s="4"/>
      <c r="AF402" s="4"/>
      <c r="AG402" s="4"/>
      <c r="AH402" s="4"/>
      <c r="AI402" s="654"/>
      <c r="AJ402" s="655"/>
      <c r="AK402" s="4"/>
      <c r="AL402" s="4"/>
      <c r="AM402" s="4"/>
      <c r="AN402" s="4"/>
      <c r="AO402" s="4"/>
      <c r="AP402" s="4"/>
      <c r="AQ402" s="4"/>
      <c r="AR402" s="4"/>
      <c r="AS402" s="4"/>
      <c r="AT402" s="4"/>
      <c r="AU402" s="654"/>
      <c r="AV402" s="655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654"/>
      <c r="BH402" s="655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654"/>
      <c r="BT402" s="655"/>
      <c r="BU402" s="4"/>
      <c r="BV402" s="4"/>
      <c r="BW402" s="4"/>
      <c r="BX402" s="4"/>
      <c r="BY402" s="4"/>
      <c r="BZ402" s="4"/>
      <c r="CA402" s="4"/>
      <c r="CB402" s="4"/>
      <c r="CC402" s="4"/>
      <c r="CD402" s="4"/>
      <c r="CE402" s="693"/>
      <c r="CF402" s="723"/>
      <c r="CG402" s="4"/>
      <c r="CH402" s="4"/>
      <c r="CI402" s="4"/>
      <c r="CJ402" s="4">
        <v>59.5</v>
      </c>
      <c r="CK402" s="4"/>
      <c r="CL402" s="4"/>
      <c r="CM402" s="4"/>
      <c r="CN402" s="4"/>
      <c r="CO402" s="4"/>
      <c r="CP402" s="4"/>
      <c r="CQ402" s="654"/>
      <c r="CR402" s="655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654"/>
      <c r="DD402" s="655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654"/>
      <c r="DP402" s="655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654"/>
      <c r="EB402" s="655"/>
      <c r="EC402" s="4"/>
      <c r="ED402" s="4"/>
      <c r="EE402" s="4"/>
      <c r="EF402" s="4"/>
      <c r="EG402" s="4"/>
      <c r="EH402" s="4"/>
      <c r="EI402" s="4"/>
      <c r="EJ402" s="4"/>
      <c r="EK402" s="4"/>
      <c r="EL402" s="4"/>
      <c r="EM402" s="693"/>
      <c r="EN402" s="723"/>
      <c r="EO402" s="4"/>
      <c r="EP402" s="4"/>
      <c r="EQ402" s="4"/>
      <c r="ER402" s="4">
        <v>59.5</v>
      </c>
      <c r="ES402" s="4"/>
      <c r="ET402" s="4"/>
      <c r="EU402" s="4"/>
      <c r="EV402" s="4"/>
      <c r="EW402" s="4"/>
      <c r="EX402" s="4"/>
      <c r="EY402" s="654"/>
      <c r="EZ402" s="655"/>
      <c r="FA402" s="4"/>
      <c r="FB402" s="4"/>
      <c r="FC402" s="4"/>
      <c r="FD402" s="4"/>
      <c r="FE402" s="4"/>
      <c r="FF402" s="4"/>
      <c r="FG402" s="4"/>
      <c r="FH402" s="4"/>
      <c r="FI402" s="4"/>
      <c r="FJ402" s="4"/>
      <c r="FK402" s="654"/>
      <c r="FL402" s="655"/>
      <c r="FM402" s="4"/>
      <c r="FN402" s="4"/>
      <c r="FO402" s="4"/>
      <c r="FP402" s="4"/>
      <c r="FQ402" s="4"/>
      <c r="FR402" s="4"/>
      <c r="FS402" s="4"/>
      <c r="FT402" s="4"/>
      <c r="FU402" s="4"/>
      <c r="FV402" s="4"/>
      <c r="FW402" s="654"/>
      <c r="FX402" s="655"/>
      <c r="FY402" s="4"/>
      <c r="FZ402" s="4"/>
      <c r="GA402" s="4"/>
      <c r="GB402" s="4"/>
      <c r="GC402" s="4"/>
      <c r="GD402" s="4"/>
      <c r="GE402" s="4"/>
      <c r="GF402" s="4"/>
      <c r="GG402" s="4"/>
      <c r="GH402" s="4"/>
      <c r="GI402" s="654"/>
      <c r="GJ402" s="655"/>
      <c r="GK402" s="4"/>
      <c r="GL402" s="4"/>
      <c r="GM402" s="4"/>
      <c r="GN402" s="4"/>
      <c r="GO402" s="4"/>
      <c r="GP402" s="4"/>
      <c r="GQ402" s="4"/>
      <c r="GR402" s="4"/>
      <c r="GS402" s="4"/>
      <c r="GT402" s="4"/>
      <c r="GU402" s="722"/>
      <c r="GV402" s="715"/>
    </row>
    <row r="403" spans="1:204" x14ac:dyDescent="0.25">
      <c r="A403" t="s">
        <v>1642</v>
      </c>
      <c r="B403" s="2" t="s">
        <v>1641</v>
      </c>
      <c r="C403" s="619">
        <v>44683</v>
      </c>
      <c r="D403" s="2" t="s">
        <v>1636</v>
      </c>
      <c r="E403" t="s">
        <v>59</v>
      </c>
      <c r="F403" s="2" t="s">
        <v>43</v>
      </c>
      <c r="G403" t="s">
        <v>40</v>
      </c>
      <c r="H403" s="690" t="s">
        <v>85</v>
      </c>
      <c r="I403" s="691" t="s">
        <v>43</v>
      </c>
      <c r="J403" s="721">
        <v>3780401000108</v>
      </c>
      <c r="K403" s="691" t="s">
        <v>502</v>
      </c>
      <c r="L403" s="721">
        <v>4270778000171</v>
      </c>
      <c r="M403" s="718" t="s">
        <v>6</v>
      </c>
      <c r="N403" s="717" t="s">
        <v>44</v>
      </c>
      <c r="O403" s="719">
        <v>44652</v>
      </c>
      <c r="P403" s="720">
        <v>44681</v>
      </c>
      <c r="Q403" s="718">
        <v>195</v>
      </c>
      <c r="R403" s="717">
        <v>4</v>
      </c>
      <c r="S403" s="691" t="s">
        <v>92</v>
      </c>
      <c r="T403" t="s">
        <v>358</v>
      </c>
      <c r="U403" s="673" t="s">
        <v>358</v>
      </c>
      <c r="V403" s="690" t="s">
        <v>358</v>
      </c>
      <c r="W403" s="657" t="s">
        <v>324</v>
      </c>
      <c r="X403" s="723"/>
      <c r="Y403" s="4"/>
      <c r="Z403" s="4"/>
      <c r="AA403" s="4">
        <v>4</v>
      </c>
      <c r="AB403" s="4"/>
      <c r="AC403" s="4"/>
      <c r="AD403" s="4"/>
      <c r="AE403" s="4"/>
      <c r="AF403" s="4"/>
      <c r="AG403" s="4"/>
      <c r="AH403" s="4"/>
      <c r="AI403" s="654"/>
      <c r="AJ403" s="655"/>
      <c r="AK403" s="4"/>
      <c r="AL403" s="4"/>
      <c r="AM403" s="4"/>
      <c r="AN403" s="4"/>
      <c r="AO403" s="4"/>
      <c r="AP403" s="4"/>
      <c r="AQ403" s="4"/>
      <c r="AR403" s="4"/>
      <c r="AS403" s="4"/>
      <c r="AT403" s="4"/>
      <c r="AU403" s="654"/>
      <c r="AV403" s="655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654"/>
      <c r="BH403" s="655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654"/>
      <c r="BT403" s="655"/>
      <c r="BU403" s="4"/>
      <c r="BV403" s="4"/>
      <c r="BW403" s="4"/>
      <c r="BX403" s="4"/>
      <c r="BY403" s="4"/>
      <c r="BZ403" s="4"/>
      <c r="CA403" s="4"/>
      <c r="CB403" s="4"/>
      <c r="CC403" s="4"/>
      <c r="CD403" s="4"/>
      <c r="CE403" s="693"/>
      <c r="CF403" s="723"/>
      <c r="CG403" s="4"/>
      <c r="CH403" s="4"/>
      <c r="CI403" s="4">
        <v>195</v>
      </c>
      <c r="CJ403" s="4"/>
      <c r="CK403" s="4"/>
      <c r="CL403" s="4"/>
      <c r="CM403" s="4"/>
      <c r="CN403" s="4"/>
      <c r="CO403" s="4"/>
      <c r="CP403" s="4"/>
      <c r="CQ403" s="654"/>
      <c r="CR403" s="655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654"/>
      <c r="DD403" s="655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654"/>
      <c r="DP403" s="655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654"/>
      <c r="EB403" s="655"/>
      <c r="EC403" s="4"/>
      <c r="ED403" s="4"/>
      <c r="EE403" s="4"/>
      <c r="EF403" s="4"/>
      <c r="EG403" s="4"/>
      <c r="EH403" s="4"/>
      <c r="EI403" s="4"/>
      <c r="EJ403" s="4"/>
      <c r="EK403" s="4"/>
      <c r="EL403" s="4"/>
      <c r="EM403" s="693"/>
      <c r="EN403" s="723"/>
      <c r="EO403" s="4"/>
      <c r="EP403" s="4"/>
      <c r="EQ403" s="4">
        <v>250.7</v>
      </c>
      <c r="ER403" s="4"/>
      <c r="ES403" s="4"/>
      <c r="ET403" s="4"/>
      <c r="EU403" s="4"/>
      <c r="EV403" s="4"/>
      <c r="EW403" s="4"/>
      <c r="EX403" s="4"/>
      <c r="EY403" s="654"/>
      <c r="EZ403" s="655"/>
      <c r="FA403" s="4"/>
      <c r="FB403" s="4"/>
      <c r="FC403" s="4"/>
      <c r="FD403" s="4"/>
      <c r="FE403" s="4"/>
      <c r="FF403" s="4"/>
      <c r="FG403" s="4"/>
      <c r="FH403" s="4"/>
      <c r="FI403" s="4"/>
      <c r="FJ403" s="4"/>
      <c r="FK403" s="654"/>
      <c r="FL403" s="655"/>
      <c r="FM403" s="4"/>
      <c r="FN403" s="4"/>
      <c r="FO403" s="4"/>
      <c r="FP403" s="4"/>
      <c r="FQ403" s="4"/>
      <c r="FR403" s="4"/>
      <c r="FS403" s="4"/>
      <c r="FT403" s="4"/>
      <c r="FU403" s="4"/>
      <c r="FV403" s="4"/>
      <c r="FW403" s="654"/>
      <c r="FX403" s="655"/>
      <c r="FY403" s="4"/>
      <c r="FZ403" s="4"/>
      <c r="GA403" s="4"/>
      <c r="GB403" s="4"/>
      <c r="GC403" s="4"/>
      <c r="GD403" s="4"/>
      <c r="GE403" s="4"/>
      <c r="GF403" s="4"/>
      <c r="GG403" s="4"/>
      <c r="GH403" s="4"/>
      <c r="GI403" s="654"/>
      <c r="GJ403" s="655"/>
      <c r="GK403" s="4"/>
      <c r="GL403" s="4"/>
      <c r="GM403" s="4"/>
      <c r="GN403" s="4"/>
      <c r="GO403" s="4"/>
      <c r="GP403" s="4"/>
      <c r="GQ403" s="4"/>
      <c r="GR403" s="4"/>
      <c r="GS403" s="4"/>
      <c r="GT403" s="4"/>
      <c r="GU403" s="722"/>
      <c r="GV403" s="715"/>
    </row>
    <row r="404" spans="1:204" x14ac:dyDescent="0.25">
      <c r="A404" t="s">
        <v>1643</v>
      </c>
      <c r="B404" s="2" t="s">
        <v>358</v>
      </c>
      <c r="C404" s="619">
        <v>44683</v>
      </c>
      <c r="D404" s="2" t="s">
        <v>1637</v>
      </c>
      <c r="E404" t="s">
        <v>58</v>
      </c>
      <c r="F404" s="2" t="s">
        <v>43</v>
      </c>
      <c r="G404" t="s">
        <v>40</v>
      </c>
      <c r="H404" s="690" t="s">
        <v>84</v>
      </c>
      <c r="I404" s="691" t="s">
        <v>474</v>
      </c>
      <c r="J404" s="721">
        <v>30483222000173</v>
      </c>
      <c r="K404" s="691" t="s">
        <v>43</v>
      </c>
      <c r="L404" s="721">
        <v>3780401000108</v>
      </c>
      <c r="M404" s="718" t="s">
        <v>3</v>
      </c>
      <c r="N404" s="717" t="s">
        <v>44</v>
      </c>
      <c r="O404" s="719">
        <v>44682</v>
      </c>
      <c r="P404" s="720">
        <v>44712</v>
      </c>
      <c r="Q404" s="718">
        <v>59.5</v>
      </c>
      <c r="R404" s="717">
        <v>15</v>
      </c>
      <c r="S404" s="691" t="s">
        <v>54</v>
      </c>
      <c r="T404" t="s">
        <v>358</v>
      </c>
      <c r="U404" s="673" t="s">
        <v>358</v>
      </c>
      <c r="V404" s="690" t="s">
        <v>358</v>
      </c>
      <c r="W404" s="657" t="s">
        <v>214</v>
      </c>
      <c r="X404" s="723"/>
      <c r="Y404" s="4"/>
      <c r="Z404" s="4"/>
      <c r="AA404" s="4"/>
      <c r="AB404" s="4">
        <v>15</v>
      </c>
      <c r="AC404" s="4"/>
      <c r="AD404" s="4"/>
      <c r="AE404" s="4"/>
      <c r="AF404" s="4"/>
      <c r="AG404" s="4"/>
      <c r="AH404" s="4"/>
      <c r="AI404" s="654"/>
      <c r="AJ404" s="655"/>
      <c r="AK404" s="4"/>
      <c r="AL404" s="4"/>
      <c r="AM404" s="4"/>
      <c r="AN404" s="4"/>
      <c r="AO404" s="4"/>
      <c r="AP404" s="4"/>
      <c r="AQ404" s="4"/>
      <c r="AR404" s="4"/>
      <c r="AS404" s="4"/>
      <c r="AT404" s="4"/>
      <c r="AU404" s="654"/>
      <c r="AV404" s="655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654"/>
      <c r="BH404" s="655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654"/>
      <c r="BT404" s="655"/>
      <c r="BU404" s="4"/>
      <c r="BV404" s="4"/>
      <c r="BW404" s="4"/>
      <c r="BX404" s="4"/>
      <c r="BY404" s="4"/>
      <c r="BZ404" s="4"/>
      <c r="CA404" s="4"/>
      <c r="CB404" s="4"/>
      <c r="CC404" s="4"/>
      <c r="CD404" s="4"/>
      <c r="CE404" s="693"/>
      <c r="CF404" s="723"/>
      <c r="CG404" s="4"/>
      <c r="CH404" s="4"/>
      <c r="CI404" s="4"/>
      <c r="CJ404" s="4">
        <v>59.5</v>
      </c>
      <c r="CK404" s="4"/>
      <c r="CL404" s="4"/>
      <c r="CM404" s="4"/>
      <c r="CN404" s="4"/>
      <c r="CO404" s="4"/>
      <c r="CP404" s="4"/>
      <c r="CQ404" s="654"/>
      <c r="CR404" s="655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654"/>
      <c r="DD404" s="655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654"/>
      <c r="DP404" s="655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654"/>
      <c r="EB404" s="655"/>
      <c r="EC404" s="4"/>
      <c r="ED404" s="4"/>
      <c r="EE404" s="4"/>
      <c r="EF404" s="4"/>
      <c r="EG404" s="4"/>
      <c r="EH404" s="4"/>
      <c r="EI404" s="4"/>
      <c r="EJ404" s="4"/>
      <c r="EK404" s="4"/>
      <c r="EL404" s="4"/>
      <c r="EM404" s="693"/>
      <c r="EN404" s="723"/>
      <c r="EO404" s="4"/>
      <c r="EP404" s="4"/>
      <c r="EQ404" s="4"/>
      <c r="ER404" s="4">
        <v>59.5</v>
      </c>
      <c r="ES404" s="4"/>
      <c r="ET404" s="4"/>
      <c r="EU404" s="4"/>
      <c r="EV404" s="4"/>
      <c r="EW404" s="4"/>
      <c r="EX404" s="4"/>
      <c r="EY404" s="654"/>
      <c r="EZ404" s="655"/>
      <c r="FA404" s="4"/>
      <c r="FB404" s="4"/>
      <c r="FC404" s="4"/>
      <c r="FD404" s="4"/>
      <c r="FE404" s="4"/>
      <c r="FF404" s="4"/>
      <c r="FG404" s="4"/>
      <c r="FH404" s="4"/>
      <c r="FI404" s="4"/>
      <c r="FJ404" s="4"/>
      <c r="FK404" s="654"/>
      <c r="FL404" s="655"/>
      <c r="FM404" s="4"/>
      <c r="FN404" s="4"/>
      <c r="FO404" s="4"/>
      <c r="FP404" s="4"/>
      <c r="FQ404" s="4"/>
      <c r="FR404" s="4"/>
      <c r="FS404" s="4"/>
      <c r="FT404" s="4"/>
      <c r="FU404" s="4"/>
      <c r="FV404" s="4"/>
      <c r="FW404" s="654"/>
      <c r="FX404" s="655"/>
      <c r="FY404" s="4"/>
      <c r="FZ404" s="4"/>
      <c r="GA404" s="4"/>
      <c r="GB404" s="4"/>
      <c r="GC404" s="4"/>
      <c r="GD404" s="4"/>
      <c r="GE404" s="4"/>
      <c r="GF404" s="4"/>
      <c r="GG404" s="4"/>
      <c r="GH404" s="4"/>
      <c r="GI404" s="654"/>
      <c r="GJ404" s="655"/>
      <c r="GK404" s="4"/>
      <c r="GL404" s="4"/>
      <c r="GM404" s="4"/>
      <c r="GN404" s="4"/>
      <c r="GO404" s="4"/>
      <c r="GP404" s="4"/>
      <c r="GQ404" s="4"/>
      <c r="GR404" s="4"/>
      <c r="GS404" s="4"/>
      <c r="GT404" s="4"/>
      <c r="GU404" s="722"/>
      <c r="GV404" s="715"/>
    </row>
    <row r="405" spans="1:204" x14ac:dyDescent="0.25">
      <c r="A405" t="s">
        <v>1644</v>
      </c>
      <c r="B405" s="2" t="s">
        <v>358</v>
      </c>
      <c r="C405" s="619">
        <v>44683</v>
      </c>
      <c r="D405" s="2" t="s">
        <v>1638</v>
      </c>
      <c r="E405" t="s">
        <v>58</v>
      </c>
      <c r="F405" s="2" t="s">
        <v>43</v>
      </c>
      <c r="G405" t="s">
        <v>40</v>
      </c>
      <c r="H405" s="690" t="s">
        <v>84</v>
      </c>
      <c r="I405" s="691" t="s">
        <v>476</v>
      </c>
      <c r="J405" s="721">
        <v>17077752000153</v>
      </c>
      <c r="K405" s="691" t="s">
        <v>43</v>
      </c>
      <c r="L405" s="721">
        <v>3780401000108</v>
      </c>
      <c r="M405" s="718" t="s">
        <v>3</v>
      </c>
      <c r="N405" s="717" t="s">
        <v>44</v>
      </c>
      <c r="O405" s="719">
        <v>44682</v>
      </c>
      <c r="P405" s="720">
        <v>44712</v>
      </c>
      <c r="Q405" s="718">
        <v>59</v>
      </c>
      <c r="R405" s="717">
        <v>5</v>
      </c>
      <c r="S405" s="691" t="s">
        <v>54</v>
      </c>
      <c r="T405" t="s">
        <v>358</v>
      </c>
      <c r="U405" s="673" t="s">
        <v>358</v>
      </c>
      <c r="V405" s="690" t="s">
        <v>358</v>
      </c>
      <c r="W405" s="657" t="s">
        <v>214</v>
      </c>
      <c r="X405" s="723"/>
      <c r="Y405" s="4"/>
      <c r="Z405" s="4"/>
      <c r="AA405" s="4"/>
      <c r="AB405" s="4">
        <v>5</v>
      </c>
      <c r="AC405" s="4"/>
      <c r="AD405" s="4"/>
      <c r="AE405" s="4"/>
      <c r="AF405" s="4"/>
      <c r="AG405" s="4"/>
      <c r="AH405" s="4"/>
      <c r="AI405" s="654"/>
      <c r="AJ405" s="655"/>
      <c r="AK405" s="4"/>
      <c r="AL405" s="4"/>
      <c r="AM405" s="4"/>
      <c r="AN405" s="4"/>
      <c r="AO405" s="4"/>
      <c r="AP405" s="4"/>
      <c r="AQ405" s="4"/>
      <c r="AR405" s="4"/>
      <c r="AS405" s="4"/>
      <c r="AT405" s="4"/>
      <c r="AU405" s="654"/>
      <c r="AV405" s="655"/>
      <c r="AW405" s="4"/>
      <c r="AX405" s="4"/>
      <c r="AY405" s="4"/>
      <c r="AZ405" s="4"/>
      <c r="BA405" s="4"/>
      <c r="BB405" s="4"/>
      <c r="BC405" s="4"/>
      <c r="BD405" s="4"/>
      <c r="BE405" s="4"/>
      <c r="BF405" s="4"/>
      <c r="BG405" s="654"/>
      <c r="BH405" s="655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654"/>
      <c r="BT405" s="655"/>
      <c r="BU405" s="4"/>
      <c r="BV405" s="4"/>
      <c r="BW405" s="4"/>
      <c r="BX405" s="4"/>
      <c r="BY405" s="4"/>
      <c r="BZ405" s="4"/>
      <c r="CA405" s="4"/>
      <c r="CB405" s="4"/>
      <c r="CC405" s="4"/>
      <c r="CD405" s="4"/>
      <c r="CE405" s="693"/>
      <c r="CF405" s="723"/>
      <c r="CG405" s="4"/>
      <c r="CH405" s="4"/>
      <c r="CI405" s="4"/>
      <c r="CJ405" s="4">
        <v>59</v>
      </c>
      <c r="CK405" s="4"/>
      <c r="CL405" s="4"/>
      <c r="CM405" s="4"/>
      <c r="CN405" s="4"/>
      <c r="CO405" s="4"/>
      <c r="CP405" s="4"/>
      <c r="CQ405" s="654"/>
      <c r="CR405" s="655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654"/>
      <c r="DD405" s="655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654"/>
      <c r="DP405" s="655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654"/>
      <c r="EB405" s="655"/>
      <c r="EC405" s="4"/>
      <c r="ED405" s="4"/>
      <c r="EE405" s="4"/>
      <c r="EF405" s="4"/>
      <c r="EG405" s="4"/>
      <c r="EH405" s="4"/>
      <c r="EI405" s="4"/>
      <c r="EJ405" s="4"/>
      <c r="EK405" s="4"/>
      <c r="EL405" s="4"/>
      <c r="EM405" s="693"/>
      <c r="EN405" s="723"/>
      <c r="EO405" s="4"/>
      <c r="EP405" s="4"/>
      <c r="EQ405" s="4"/>
      <c r="ER405" s="4">
        <v>59</v>
      </c>
      <c r="ES405" s="4"/>
      <c r="ET405" s="4"/>
      <c r="EU405" s="4"/>
      <c r="EV405" s="4"/>
      <c r="EW405" s="4"/>
      <c r="EX405" s="4"/>
      <c r="EY405" s="654"/>
      <c r="EZ405" s="655"/>
      <c r="FA405" s="4"/>
      <c r="FB405" s="4"/>
      <c r="FC405" s="4"/>
      <c r="FD405" s="4"/>
      <c r="FE405" s="4"/>
      <c r="FF405" s="4"/>
      <c r="FG405" s="4"/>
      <c r="FH405" s="4"/>
      <c r="FI405" s="4"/>
      <c r="FJ405" s="4"/>
      <c r="FK405" s="654"/>
      <c r="FL405" s="655"/>
      <c r="FM405" s="4"/>
      <c r="FN405" s="4"/>
      <c r="FO405" s="4"/>
      <c r="FP405" s="4"/>
      <c r="FQ405" s="4"/>
      <c r="FR405" s="4"/>
      <c r="FS405" s="4"/>
      <c r="FT405" s="4"/>
      <c r="FU405" s="4"/>
      <c r="FV405" s="4"/>
      <c r="FW405" s="654"/>
      <c r="FX405" s="655"/>
      <c r="FY405" s="4"/>
      <c r="FZ405" s="4"/>
      <c r="GA405" s="4"/>
      <c r="GB405" s="4"/>
      <c r="GC405" s="4"/>
      <c r="GD405" s="4"/>
      <c r="GE405" s="4"/>
      <c r="GF405" s="4"/>
      <c r="GG405" s="4"/>
      <c r="GH405" s="4"/>
      <c r="GI405" s="654"/>
      <c r="GJ405" s="655"/>
      <c r="GK405" s="4"/>
      <c r="GL405" s="4"/>
      <c r="GM405" s="4"/>
      <c r="GN405" s="4"/>
      <c r="GO405" s="4"/>
      <c r="GP405" s="4"/>
      <c r="GQ405" s="4"/>
      <c r="GR405" s="4"/>
      <c r="GS405" s="4"/>
      <c r="GT405" s="4"/>
      <c r="GU405" s="722"/>
      <c r="GV405" s="715"/>
    </row>
    <row r="406" spans="1:204" x14ac:dyDescent="0.25">
      <c r="A406" t="s">
        <v>1650</v>
      </c>
      <c r="B406" s="2" t="s">
        <v>358</v>
      </c>
      <c r="C406" s="619">
        <v>44686</v>
      </c>
      <c r="D406" s="2" t="s">
        <v>1645</v>
      </c>
      <c r="E406" t="s">
        <v>58</v>
      </c>
      <c r="F406" s="2" t="s">
        <v>43</v>
      </c>
      <c r="G406" t="s">
        <v>40</v>
      </c>
      <c r="H406" s="690" t="s">
        <v>84</v>
      </c>
      <c r="I406" s="691" t="s">
        <v>620</v>
      </c>
      <c r="J406" s="721">
        <v>4149295000113</v>
      </c>
      <c r="K406" s="691" t="s">
        <v>43</v>
      </c>
      <c r="L406" s="721">
        <v>3780401000108</v>
      </c>
      <c r="M406" s="718" t="s">
        <v>3</v>
      </c>
      <c r="N406" s="717" t="s">
        <v>44</v>
      </c>
      <c r="O406" s="719">
        <v>44743</v>
      </c>
      <c r="P406" s="720">
        <v>44773</v>
      </c>
      <c r="Q406" s="718">
        <v>109</v>
      </c>
      <c r="R406" s="717">
        <v>10</v>
      </c>
      <c r="S406" s="691" t="s">
        <v>54</v>
      </c>
      <c r="T406" t="s">
        <v>358</v>
      </c>
      <c r="U406" s="673" t="s">
        <v>358</v>
      </c>
      <c r="V406" s="690" t="s">
        <v>358</v>
      </c>
      <c r="W406" s="657" t="s">
        <v>214</v>
      </c>
      <c r="X406" s="723"/>
      <c r="Y406" s="4"/>
      <c r="Z406" s="4"/>
      <c r="AA406" s="4"/>
      <c r="AB406" s="4"/>
      <c r="AC406" s="4"/>
      <c r="AD406" s="4">
        <v>10</v>
      </c>
      <c r="AE406" s="4"/>
      <c r="AF406" s="4"/>
      <c r="AG406" s="4"/>
      <c r="AH406" s="4"/>
      <c r="AI406" s="654"/>
      <c r="AJ406" s="655"/>
      <c r="AK406" s="4"/>
      <c r="AL406" s="4"/>
      <c r="AM406" s="4"/>
      <c r="AN406" s="4"/>
      <c r="AO406" s="4"/>
      <c r="AP406" s="4"/>
      <c r="AQ406" s="4"/>
      <c r="AR406" s="4"/>
      <c r="AS406" s="4"/>
      <c r="AT406" s="4"/>
      <c r="AU406" s="654"/>
      <c r="AV406" s="655"/>
      <c r="AW406" s="4"/>
      <c r="AX406" s="4"/>
      <c r="AY406" s="4"/>
      <c r="AZ406" s="4"/>
      <c r="BA406" s="4"/>
      <c r="BB406" s="4"/>
      <c r="BC406" s="4"/>
      <c r="BD406" s="4"/>
      <c r="BE406" s="4"/>
      <c r="BF406" s="4"/>
      <c r="BG406" s="654"/>
      <c r="BH406" s="655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654"/>
      <c r="BT406" s="655"/>
      <c r="BU406" s="4"/>
      <c r="BV406" s="4"/>
      <c r="BW406" s="4"/>
      <c r="BX406" s="4"/>
      <c r="BY406" s="4"/>
      <c r="BZ406" s="4"/>
      <c r="CA406" s="4"/>
      <c r="CB406" s="4"/>
      <c r="CC406" s="4"/>
      <c r="CD406" s="4"/>
      <c r="CE406" s="693"/>
      <c r="CF406" s="723"/>
      <c r="CG406" s="4"/>
      <c r="CH406" s="4"/>
      <c r="CI406" s="4"/>
      <c r="CJ406" s="4"/>
      <c r="CK406" s="4"/>
      <c r="CL406" s="4">
        <v>109</v>
      </c>
      <c r="CM406" s="4"/>
      <c r="CN406" s="4"/>
      <c r="CO406" s="4"/>
      <c r="CP406" s="4"/>
      <c r="CQ406" s="654"/>
      <c r="CR406" s="655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654"/>
      <c r="DD406" s="655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654"/>
      <c r="DP406" s="655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654"/>
      <c r="EB406" s="655"/>
      <c r="EC406" s="4"/>
      <c r="ED406" s="4"/>
      <c r="EE406" s="4"/>
      <c r="EF406" s="4"/>
      <c r="EG406" s="4"/>
      <c r="EH406" s="4"/>
      <c r="EI406" s="4"/>
      <c r="EJ406" s="4"/>
      <c r="EK406" s="4"/>
      <c r="EL406" s="4"/>
      <c r="EM406" s="693"/>
      <c r="EN406" s="723"/>
      <c r="EO406" s="4"/>
      <c r="EP406" s="4"/>
      <c r="EQ406" s="4"/>
      <c r="ER406" s="4"/>
      <c r="ES406" s="4"/>
      <c r="ET406" s="4">
        <v>109</v>
      </c>
      <c r="EU406" s="4"/>
      <c r="EV406" s="4"/>
      <c r="EW406" s="4"/>
      <c r="EX406" s="4"/>
      <c r="EY406" s="654"/>
      <c r="EZ406" s="655"/>
      <c r="FA406" s="4"/>
      <c r="FB406" s="4"/>
      <c r="FC406" s="4"/>
      <c r="FD406" s="4"/>
      <c r="FE406" s="4"/>
      <c r="FF406" s="4"/>
      <c r="FG406" s="4"/>
      <c r="FH406" s="4"/>
      <c r="FI406" s="4"/>
      <c r="FJ406" s="4"/>
      <c r="FK406" s="654"/>
      <c r="FL406" s="655"/>
      <c r="FM406" s="4"/>
      <c r="FN406" s="4"/>
      <c r="FO406" s="4"/>
      <c r="FP406" s="4"/>
      <c r="FQ406" s="4"/>
      <c r="FR406" s="4"/>
      <c r="FS406" s="4"/>
      <c r="FT406" s="4"/>
      <c r="FU406" s="4"/>
      <c r="FV406" s="4"/>
      <c r="FW406" s="654"/>
      <c r="FX406" s="655"/>
      <c r="FY406" s="4"/>
      <c r="FZ406" s="4"/>
      <c r="GA406" s="4"/>
      <c r="GB406" s="4"/>
      <c r="GC406" s="4"/>
      <c r="GD406" s="4"/>
      <c r="GE406" s="4"/>
      <c r="GF406" s="4"/>
      <c r="GG406" s="4"/>
      <c r="GH406" s="4"/>
      <c r="GI406" s="654"/>
      <c r="GJ406" s="655"/>
      <c r="GK406" s="4"/>
      <c r="GL406" s="4"/>
      <c r="GM406" s="4"/>
      <c r="GN406" s="4"/>
      <c r="GO406" s="4"/>
      <c r="GP406" s="4"/>
      <c r="GQ406" s="4"/>
      <c r="GR406" s="4"/>
      <c r="GS406" s="4"/>
      <c r="GT406" s="4"/>
      <c r="GU406" s="722"/>
      <c r="GV406" s="715"/>
    </row>
    <row r="407" spans="1:204" x14ac:dyDescent="0.25">
      <c r="A407" t="s">
        <v>1651</v>
      </c>
      <c r="B407" s="2" t="s">
        <v>358</v>
      </c>
      <c r="C407" s="619">
        <v>44686</v>
      </c>
      <c r="D407" s="2" t="s">
        <v>1646</v>
      </c>
      <c r="E407" t="s">
        <v>58</v>
      </c>
      <c r="F407" s="2" t="s">
        <v>43</v>
      </c>
      <c r="G407" t="s">
        <v>40</v>
      </c>
      <c r="H407" s="690" t="s">
        <v>84</v>
      </c>
      <c r="I407" s="691" t="s">
        <v>464</v>
      </c>
      <c r="J407" s="721">
        <v>11599292000147</v>
      </c>
      <c r="K407" s="691" t="s">
        <v>43</v>
      </c>
      <c r="L407" s="721">
        <v>3780401000108</v>
      </c>
      <c r="M407" s="718" t="s">
        <v>3</v>
      </c>
      <c r="N407" s="717" t="s">
        <v>44</v>
      </c>
      <c r="O407" s="719">
        <v>44743</v>
      </c>
      <c r="P407" s="720">
        <v>44773</v>
      </c>
      <c r="Q407" s="718">
        <v>109</v>
      </c>
      <c r="R407" s="717">
        <v>2</v>
      </c>
      <c r="S407" s="691" t="s">
        <v>54</v>
      </c>
      <c r="T407" t="s">
        <v>358</v>
      </c>
      <c r="U407" s="673" t="s">
        <v>358</v>
      </c>
      <c r="V407" s="690" t="s">
        <v>358</v>
      </c>
      <c r="W407" s="657" t="s">
        <v>214</v>
      </c>
      <c r="X407" s="723"/>
      <c r="Y407" s="4"/>
      <c r="Z407" s="4"/>
      <c r="AA407" s="4"/>
      <c r="AB407" s="4"/>
      <c r="AC407" s="4"/>
      <c r="AD407" s="4">
        <v>2</v>
      </c>
      <c r="AE407" s="4"/>
      <c r="AF407" s="4"/>
      <c r="AG407" s="4"/>
      <c r="AH407" s="4"/>
      <c r="AI407" s="654"/>
      <c r="AJ407" s="655"/>
      <c r="AK407" s="4"/>
      <c r="AL407" s="4"/>
      <c r="AM407" s="4"/>
      <c r="AN407" s="4"/>
      <c r="AO407" s="4"/>
      <c r="AP407" s="4"/>
      <c r="AQ407" s="4"/>
      <c r="AR407" s="4"/>
      <c r="AS407" s="4"/>
      <c r="AT407" s="4"/>
      <c r="AU407" s="654"/>
      <c r="AV407" s="655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654"/>
      <c r="BH407" s="655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654"/>
      <c r="BT407" s="655"/>
      <c r="BU407" s="4"/>
      <c r="BV407" s="4"/>
      <c r="BW407" s="4"/>
      <c r="BX407" s="4"/>
      <c r="BY407" s="4"/>
      <c r="BZ407" s="4"/>
      <c r="CA407" s="4"/>
      <c r="CB407" s="4"/>
      <c r="CC407" s="4"/>
      <c r="CD407" s="4"/>
      <c r="CE407" s="693"/>
      <c r="CF407" s="723"/>
      <c r="CG407" s="4"/>
      <c r="CH407" s="4"/>
      <c r="CI407" s="4"/>
      <c r="CJ407" s="4"/>
      <c r="CK407" s="4"/>
      <c r="CL407" s="4">
        <v>109</v>
      </c>
      <c r="CM407" s="4"/>
      <c r="CN407" s="4"/>
      <c r="CO407" s="4"/>
      <c r="CP407" s="4"/>
      <c r="CQ407" s="654"/>
      <c r="CR407" s="655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654"/>
      <c r="DD407" s="655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654"/>
      <c r="DP407" s="655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654"/>
      <c r="EB407" s="655"/>
      <c r="EC407" s="4"/>
      <c r="ED407" s="4"/>
      <c r="EE407" s="4"/>
      <c r="EF407" s="4"/>
      <c r="EG407" s="4"/>
      <c r="EH407" s="4"/>
      <c r="EI407" s="4"/>
      <c r="EJ407" s="4"/>
      <c r="EK407" s="4"/>
      <c r="EL407" s="4"/>
      <c r="EM407" s="693"/>
      <c r="EN407" s="723"/>
      <c r="EO407" s="4"/>
      <c r="EP407" s="4"/>
      <c r="EQ407" s="4"/>
      <c r="ER407" s="4"/>
      <c r="ES407" s="4"/>
      <c r="ET407" s="4">
        <v>109</v>
      </c>
      <c r="EU407" s="4"/>
      <c r="EV407" s="4"/>
      <c r="EW407" s="4"/>
      <c r="EX407" s="4"/>
      <c r="EY407" s="654"/>
      <c r="EZ407" s="655"/>
      <c r="FA407" s="4"/>
      <c r="FB407" s="4"/>
      <c r="FC407" s="4"/>
      <c r="FD407" s="4"/>
      <c r="FE407" s="4"/>
      <c r="FF407" s="4"/>
      <c r="FG407" s="4"/>
      <c r="FH407" s="4"/>
      <c r="FI407" s="4"/>
      <c r="FJ407" s="4"/>
      <c r="FK407" s="654"/>
      <c r="FL407" s="655"/>
      <c r="FM407" s="4"/>
      <c r="FN407" s="4"/>
      <c r="FO407" s="4"/>
      <c r="FP407" s="4"/>
      <c r="FQ407" s="4"/>
      <c r="FR407" s="4"/>
      <c r="FS407" s="4"/>
      <c r="FT407" s="4"/>
      <c r="FU407" s="4"/>
      <c r="FV407" s="4"/>
      <c r="FW407" s="654"/>
      <c r="FX407" s="655"/>
      <c r="FY407" s="4"/>
      <c r="FZ407" s="4"/>
      <c r="GA407" s="4"/>
      <c r="GB407" s="4"/>
      <c r="GC407" s="4"/>
      <c r="GD407" s="4"/>
      <c r="GE407" s="4"/>
      <c r="GF407" s="4"/>
      <c r="GG407" s="4"/>
      <c r="GH407" s="4"/>
      <c r="GI407" s="654"/>
      <c r="GJ407" s="655"/>
      <c r="GK407" s="4"/>
      <c r="GL407" s="4"/>
      <c r="GM407" s="4"/>
      <c r="GN407" s="4"/>
      <c r="GO407" s="4"/>
      <c r="GP407" s="4"/>
      <c r="GQ407" s="4"/>
      <c r="GR407" s="4"/>
      <c r="GS407" s="4"/>
      <c r="GT407" s="4"/>
      <c r="GU407" s="722"/>
      <c r="GV407" s="715"/>
    </row>
    <row r="408" spans="1:204" x14ac:dyDescent="0.25">
      <c r="A408" t="s">
        <v>1652</v>
      </c>
      <c r="B408" s="2" t="s">
        <v>358</v>
      </c>
      <c r="C408" s="619">
        <v>44686</v>
      </c>
      <c r="D408" s="2" t="s">
        <v>1647</v>
      </c>
      <c r="E408" t="s">
        <v>58</v>
      </c>
      <c r="F408" s="2" t="s">
        <v>43</v>
      </c>
      <c r="G408" t="s">
        <v>40</v>
      </c>
      <c r="H408" s="690" t="s">
        <v>84</v>
      </c>
      <c r="I408" s="691" t="s">
        <v>476</v>
      </c>
      <c r="J408" s="721">
        <v>17077752000153</v>
      </c>
      <c r="K408" s="691" t="s">
        <v>43</v>
      </c>
      <c r="L408" s="721">
        <v>3780401000108</v>
      </c>
      <c r="M408" s="718" t="s">
        <v>3</v>
      </c>
      <c r="N408" s="717" t="s">
        <v>44</v>
      </c>
      <c r="O408" s="719">
        <v>44713</v>
      </c>
      <c r="P408" s="720">
        <v>44742</v>
      </c>
      <c r="Q408" s="718">
        <v>81</v>
      </c>
      <c r="R408" s="717">
        <v>5</v>
      </c>
      <c r="S408" s="691" t="s">
        <v>54</v>
      </c>
      <c r="T408" t="s">
        <v>358</v>
      </c>
      <c r="U408" s="673" t="s">
        <v>358</v>
      </c>
      <c r="V408" s="690" t="s">
        <v>358</v>
      </c>
      <c r="W408" s="657" t="s">
        <v>214</v>
      </c>
      <c r="X408" s="723"/>
      <c r="Y408" s="4"/>
      <c r="Z408" s="4"/>
      <c r="AA408" s="4"/>
      <c r="AB408" s="4"/>
      <c r="AC408" s="4">
        <v>5</v>
      </c>
      <c r="AD408" s="4"/>
      <c r="AE408" s="4"/>
      <c r="AF408" s="4"/>
      <c r="AG408" s="4"/>
      <c r="AH408" s="4"/>
      <c r="AI408" s="654"/>
      <c r="AJ408" s="655"/>
      <c r="AK408" s="4"/>
      <c r="AL408" s="4"/>
      <c r="AM408" s="4"/>
      <c r="AN408" s="4"/>
      <c r="AO408" s="4"/>
      <c r="AP408" s="4"/>
      <c r="AQ408" s="4"/>
      <c r="AR408" s="4"/>
      <c r="AS408" s="4"/>
      <c r="AT408" s="4"/>
      <c r="AU408" s="654"/>
      <c r="AV408" s="655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654"/>
      <c r="BH408" s="655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654"/>
      <c r="BT408" s="655"/>
      <c r="BU408" s="4"/>
      <c r="BV408" s="4"/>
      <c r="BW408" s="4"/>
      <c r="BX408" s="4"/>
      <c r="BY408" s="4"/>
      <c r="BZ408" s="4"/>
      <c r="CA408" s="4"/>
      <c r="CB408" s="4"/>
      <c r="CC408" s="4"/>
      <c r="CD408" s="4"/>
      <c r="CE408" s="693"/>
      <c r="CF408" s="723"/>
      <c r="CG408" s="4"/>
      <c r="CH408" s="4"/>
      <c r="CI408" s="4"/>
      <c r="CJ408" s="4"/>
      <c r="CK408" s="4">
        <v>81</v>
      </c>
      <c r="CL408" s="4"/>
      <c r="CM408" s="4"/>
      <c r="CN408" s="4"/>
      <c r="CO408" s="4"/>
      <c r="CP408" s="4"/>
      <c r="CQ408" s="654"/>
      <c r="CR408" s="655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654"/>
      <c r="DD408" s="655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654"/>
      <c r="DP408" s="655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654"/>
      <c r="EB408" s="655"/>
      <c r="EC408" s="4"/>
      <c r="ED408" s="4"/>
      <c r="EE408" s="4"/>
      <c r="EF408" s="4"/>
      <c r="EG408" s="4"/>
      <c r="EH408" s="4"/>
      <c r="EI408" s="4"/>
      <c r="EJ408" s="4"/>
      <c r="EK408" s="4"/>
      <c r="EL408" s="4"/>
      <c r="EM408" s="693"/>
      <c r="EN408" s="723"/>
      <c r="EO408" s="4"/>
      <c r="EP408" s="4"/>
      <c r="EQ408" s="4"/>
      <c r="ER408" s="4"/>
      <c r="ES408" s="4">
        <v>81</v>
      </c>
      <c r="ET408" s="4"/>
      <c r="EU408" s="4"/>
      <c r="EV408" s="4"/>
      <c r="EW408" s="4"/>
      <c r="EX408" s="4"/>
      <c r="EY408" s="654"/>
      <c r="EZ408" s="655"/>
      <c r="FA408" s="4"/>
      <c r="FB408" s="4"/>
      <c r="FC408" s="4"/>
      <c r="FD408" s="4"/>
      <c r="FE408" s="4"/>
      <c r="FF408" s="4"/>
      <c r="FG408" s="4"/>
      <c r="FH408" s="4"/>
      <c r="FI408" s="4"/>
      <c r="FJ408" s="4"/>
      <c r="FK408" s="654"/>
      <c r="FL408" s="655"/>
      <c r="FM408" s="4"/>
      <c r="FN408" s="4"/>
      <c r="FO408" s="4"/>
      <c r="FP408" s="4"/>
      <c r="FQ408" s="4"/>
      <c r="FR408" s="4"/>
      <c r="FS408" s="4"/>
      <c r="FT408" s="4"/>
      <c r="FU408" s="4"/>
      <c r="FV408" s="4"/>
      <c r="FW408" s="654"/>
      <c r="FX408" s="655"/>
      <c r="FY408" s="4"/>
      <c r="FZ408" s="4"/>
      <c r="GA408" s="4"/>
      <c r="GB408" s="4"/>
      <c r="GC408" s="4"/>
      <c r="GD408" s="4"/>
      <c r="GE408" s="4"/>
      <c r="GF408" s="4"/>
      <c r="GG408" s="4"/>
      <c r="GH408" s="4"/>
      <c r="GI408" s="654"/>
      <c r="GJ408" s="655"/>
      <c r="GK408" s="4"/>
      <c r="GL408" s="4"/>
      <c r="GM408" s="4"/>
      <c r="GN408" s="4"/>
      <c r="GO408" s="4"/>
      <c r="GP408" s="4"/>
      <c r="GQ408" s="4"/>
      <c r="GR408" s="4"/>
      <c r="GS408" s="4"/>
      <c r="GT408" s="4"/>
      <c r="GU408" s="722"/>
      <c r="GV408" s="715"/>
    </row>
    <row r="409" spans="1:204" x14ac:dyDescent="0.25">
      <c r="A409" t="s">
        <v>1653</v>
      </c>
      <c r="B409" s="2" t="s">
        <v>358</v>
      </c>
      <c r="C409" s="619">
        <v>44686</v>
      </c>
      <c r="D409" s="2" t="s">
        <v>1648</v>
      </c>
      <c r="E409" t="s">
        <v>58</v>
      </c>
      <c r="F409" s="2" t="s">
        <v>43</v>
      </c>
      <c r="G409" t="s">
        <v>40</v>
      </c>
      <c r="H409" s="690" t="s">
        <v>84</v>
      </c>
      <c r="I409" s="691" t="s">
        <v>1000</v>
      </c>
      <c r="J409" s="721">
        <v>30983948000175</v>
      </c>
      <c r="K409" s="691" t="s">
        <v>43</v>
      </c>
      <c r="L409" s="721">
        <v>3780401000108</v>
      </c>
      <c r="M409" s="718" t="s">
        <v>3</v>
      </c>
      <c r="N409" s="717" t="s">
        <v>44</v>
      </c>
      <c r="O409" s="719">
        <v>44713</v>
      </c>
      <c r="P409" s="720">
        <v>44742</v>
      </c>
      <c r="Q409" s="718">
        <v>81</v>
      </c>
      <c r="R409" s="717">
        <v>5</v>
      </c>
      <c r="S409" s="691" t="s">
        <v>54</v>
      </c>
      <c r="T409" t="s">
        <v>358</v>
      </c>
      <c r="U409" s="673" t="s">
        <v>358</v>
      </c>
      <c r="V409" s="690" t="s">
        <v>358</v>
      </c>
      <c r="W409" s="657" t="s">
        <v>214</v>
      </c>
      <c r="X409" s="723"/>
      <c r="Y409" s="4"/>
      <c r="Z409" s="4"/>
      <c r="AA409" s="4"/>
      <c r="AB409" s="4"/>
      <c r="AC409" s="4">
        <v>5</v>
      </c>
      <c r="AD409" s="4"/>
      <c r="AE409" s="4"/>
      <c r="AF409" s="4"/>
      <c r="AG409" s="4"/>
      <c r="AH409" s="4"/>
      <c r="AI409" s="654"/>
      <c r="AJ409" s="655"/>
      <c r="AK409" s="4"/>
      <c r="AL409" s="4"/>
      <c r="AM409" s="4"/>
      <c r="AN409" s="4"/>
      <c r="AO409" s="4"/>
      <c r="AP409" s="4"/>
      <c r="AQ409" s="4"/>
      <c r="AR409" s="4"/>
      <c r="AS409" s="4"/>
      <c r="AT409" s="4"/>
      <c r="AU409" s="654"/>
      <c r="AV409" s="655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654"/>
      <c r="BH409" s="655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654"/>
      <c r="BT409" s="655"/>
      <c r="BU409" s="4"/>
      <c r="BV409" s="4"/>
      <c r="BW409" s="4"/>
      <c r="BX409" s="4"/>
      <c r="BY409" s="4"/>
      <c r="BZ409" s="4"/>
      <c r="CA409" s="4"/>
      <c r="CB409" s="4"/>
      <c r="CC409" s="4"/>
      <c r="CD409" s="4"/>
      <c r="CE409" s="693"/>
      <c r="CF409" s="723"/>
      <c r="CG409" s="4"/>
      <c r="CH409" s="4"/>
      <c r="CI409" s="4"/>
      <c r="CJ409" s="4"/>
      <c r="CK409" s="4">
        <v>81</v>
      </c>
      <c r="CL409" s="4"/>
      <c r="CM409" s="4"/>
      <c r="CN409" s="4"/>
      <c r="CO409" s="4"/>
      <c r="CP409" s="4"/>
      <c r="CQ409" s="654"/>
      <c r="CR409" s="655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654"/>
      <c r="DD409" s="655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654"/>
      <c r="DP409" s="655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654"/>
      <c r="EB409" s="655"/>
      <c r="EC409" s="4"/>
      <c r="ED409" s="4"/>
      <c r="EE409" s="4"/>
      <c r="EF409" s="4"/>
      <c r="EG409" s="4"/>
      <c r="EH409" s="4"/>
      <c r="EI409" s="4"/>
      <c r="EJ409" s="4"/>
      <c r="EK409" s="4"/>
      <c r="EL409" s="4"/>
      <c r="EM409" s="693"/>
      <c r="EN409" s="723"/>
      <c r="EO409" s="4"/>
      <c r="EP409" s="4"/>
      <c r="EQ409" s="4"/>
      <c r="ER409" s="4"/>
      <c r="ES409" s="4">
        <v>81</v>
      </c>
      <c r="ET409" s="4"/>
      <c r="EU409" s="4"/>
      <c r="EV409" s="4"/>
      <c r="EW409" s="4"/>
      <c r="EX409" s="4"/>
      <c r="EY409" s="654"/>
      <c r="EZ409" s="655"/>
      <c r="FA409" s="4"/>
      <c r="FB409" s="4"/>
      <c r="FC409" s="4"/>
      <c r="FD409" s="4"/>
      <c r="FE409" s="4"/>
      <c r="FF409" s="4"/>
      <c r="FG409" s="4"/>
      <c r="FH409" s="4"/>
      <c r="FI409" s="4"/>
      <c r="FJ409" s="4"/>
      <c r="FK409" s="654"/>
      <c r="FL409" s="655"/>
      <c r="FM409" s="4"/>
      <c r="FN409" s="4"/>
      <c r="FO409" s="4"/>
      <c r="FP409" s="4"/>
      <c r="FQ409" s="4"/>
      <c r="FR409" s="4"/>
      <c r="FS409" s="4"/>
      <c r="FT409" s="4"/>
      <c r="FU409" s="4"/>
      <c r="FV409" s="4"/>
      <c r="FW409" s="654"/>
      <c r="FX409" s="655"/>
      <c r="FY409" s="4"/>
      <c r="FZ409" s="4"/>
      <c r="GA409" s="4"/>
      <c r="GB409" s="4"/>
      <c r="GC409" s="4"/>
      <c r="GD409" s="4"/>
      <c r="GE409" s="4"/>
      <c r="GF409" s="4"/>
      <c r="GG409" s="4"/>
      <c r="GH409" s="4"/>
      <c r="GI409" s="654"/>
      <c r="GJ409" s="655"/>
      <c r="GK409" s="4"/>
      <c r="GL409" s="4"/>
      <c r="GM409" s="4"/>
      <c r="GN409" s="4"/>
      <c r="GO409" s="4"/>
      <c r="GP409" s="4"/>
      <c r="GQ409" s="4"/>
      <c r="GR409" s="4"/>
      <c r="GS409" s="4"/>
      <c r="GT409" s="4"/>
      <c r="GU409" s="722"/>
      <c r="GV409" s="715"/>
    </row>
    <row r="410" spans="1:204" x14ac:dyDescent="0.25">
      <c r="A410" t="s">
        <v>1656</v>
      </c>
      <c r="B410" s="2" t="s">
        <v>358</v>
      </c>
      <c r="C410" s="619">
        <v>44687</v>
      </c>
      <c r="D410" s="2" t="s">
        <v>1655</v>
      </c>
      <c r="E410" t="s">
        <v>58</v>
      </c>
      <c r="F410" s="2" t="s">
        <v>43</v>
      </c>
      <c r="G410" t="s">
        <v>40</v>
      </c>
      <c r="H410" s="690" t="s">
        <v>84</v>
      </c>
      <c r="I410" s="691" t="s">
        <v>902</v>
      </c>
      <c r="J410" s="721">
        <v>34475373000130</v>
      </c>
      <c r="K410" s="691" t="s">
        <v>43</v>
      </c>
      <c r="L410" s="721">
        <v>3780401000108</v>
      </c>
      <c r="M410" s="718" t="s">
        <v>3</v>
      </c>
      <c r="N410" s="717" t="s">
        <v>44</v>
      </c>
      <c r="O410" s="719">
        <v>44774</v>
      </c>
      <c r="P410" s="720">
        <v>44804</v>
      </c>
      <c r="Q410" s="718">
        <v>124</v>
      </c>
      <c r="R410" s="717">
        <v>2</v>
      </c>
      <c r="S410" s="691" t="s">
        <v>54</v>
      </c>
      <c r="T410" t="s">
        <v>358</v>
      </c>
      <c r="U410" s="673" t="s">
        <v>358</v>
      </c>
      <c r="V410" s="690" t="s">
        <v>358</v>
      </c>
      <c r="W410" s="657" t="s">
        <v>214</v>
      </c>
      <c r="X410" s="723"/>
      <c r="Y410" s="4"/>
      <c r="Z410" s="4"/>
      <c r="AA410" s="4"/>
      <c r="AB410" s="4"/>
      <c r="AC410" s="4"/>
      <c r="AD410" s="4"/>
      <c r="AE410" s="4">
        <v>2</v>
      </c>
      <c r="AF410" s="4"/>
      <c r="AG410" s="4"/>
      <c r="AH410" s="4"/>
      <c r="AI410" s="654"/>
      <c r="AJ410" s="655"/>
      <c r="AK410" s="4"/>
      <c r="AL410" s="4"/>
      <c r="AM410" s="4"/>
      <c r="AN410" s="4"/>
      <c r="AO410" s="4"/>
      <c r="AP410" s="4"/>
      <c r="AQ410" s="4"/>
      <c r="AR410" s="4"/>
      <c r="AS410" s="4"/>
      <c r="AT410" s="4"/>
      <c r="AU410" s="654"/>
      <c r="AV410" s="655"/>
      <c r="AW410" s="4"/>
      <c r="AX410" s="4"/>
      <c r="AY410" s="4"/>
      <c r="AZ410" s="4"/>
      <c r="BA410" s="4"/>
      <c r="BB410" s="4"/>
      <c r="BC410" s="4"/>
      <c r="BD410" s="4"/>
      <c r="BE410" s="4"/>
      <c r="BF410" s="4"/>
      <c r="BG410" s="654"/>
      <c r="BH410" s="655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654"/>
      <c r="BT410" s="655"/>
      <c r="BU410" s="4"/>
      <c r="BV410" s="4"/>
      <c r="BW410" s="4"/>
      <c r="BX410" s="4"/>
      <c r="BY410" s="4"/>
      <c r="BZ410" s="4"/>
      <c r="CA410" s="4"/>
      <c r="CB410" s="4"/>
      <c r="CC410" s="4"/>
      <c r="CD410" s="4"/>
      <c r="CE410" s="693"/>
      <c r="CF410" s="723"/>
      <c r="CG410" s="4"/>
      <c r="CH410" s="4"/>
      <c r="CI410" s="4"/>
      <c r="CJ410" s="4"/>
      <c r="CK410" s="4"/>
      <c r="CL410" s="4"/>
      <c r="CM410" s="4">
        <v>124</v>
      </c>
      <c r="CN410" s="4"/>
      <c r="CO410" s="4"/>
      <c r="CP410" s="4"/>
      <c r="CQ410" s="654"/>
      <c r="CR410" s="655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654"/>
      <c r="DD410" s="655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654"/>
      <c r="DP410" s="655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654"/>
      <c r="EB410" s="655"/>
      <c r="EC410" s="4"/>
      <c r="ED410" s="4"/>
      <c r="EE410" s="4"/>
      <c r="EF410" s="4"/>
      <c r="EG410" s="4"/>
      <c r="EH410" s="4"/>
      <c r="EI410" s="4"/>
      <c r="EJ410" s="4"/>
      <c r="EK410" s="4"/>
      <c r="EL410" s="4"/>
      <c r="EM410" s="693"/>
      <c r="EN410" s="723"/>
      <c r="EO410" s="4"/>
      <c r="EP410" s="4"/>
      <c r="EQ410" s="4"/>
      <c r="ER410" s="4"/>
      <c r="ES410" s="4"/>
      <c r="ET410" s="4"/>
      <c r="EU410" s="4">
        <v>124</v>
      </c>
      <c r="EV410" s="4"/>
      <c r="EW410" s="4"/>
      <c r="EX410" s="4"/>
      <c r="EY410" s="654"/>
      <c r="EZ410" s="655"/>
      <c r="FA410" s="4"/>
      <c r="FB410" s="4"/>
      <c r="FC410" s="4"/>
      <c r="FD410" s="4"/>
      <c r="FE410" s="4"/>
      <c r="FF410" s="4"/>
      <c r="FG410" s="4"/>
      <c r="FH410" s="4"/>
      <c r="FI410" s="4"/>
      <c r="FJ410" s="4"/>
      <c r="FK410" s="654"/>
      <c r="FL410" s="655"/>
      <c r="FM410" s="4"/>
      <c r="FN410" s="4"/>
      <c r="FO410" s="4"/>
      <c r="FP410" s="4"/>
      <c r="FQ410" s="4"/>
      <c r="FR410" s="4"/>
      <c r="FS410" s="4"/>
      <c r="FT410" s="4"/>
      <c r="FU410" s="4"/>
      <c r="FV410" s="4"/>
      <c r="FW410" s="654"/>
      <c r="FX410" s="655"/>
      <c r="FY410" s="4"/>
      <c r="FZ410" s="4"/>
      <c r="GA410" s="4"/>
      <c r="GB410" s="4"/>
      <c r="GC410" s="4"/>
      <c r="GD410" s="4"/>
      <c r="GE410" s="4"/>
      <c r="GF410" s="4"/>
      <c r="GG410" s="4"/>
      <c r="GH410" s="4"/>
      <c r="GI410" s="654"/>
      <c r="GJ410" s="655"/>
      <c r="GK410" s="4"/>
      <c r="GL410" s="4"/>
      <c r="GM410" s="4"/>
      <c r="GN410" s="4"/>
      <c r="GO410" s="4"/>
      <c r="GP410" s="4"/>
      <c r="GQ410" s="4"/>
      <c r="GR410" s="4"/>
      <c r="GS410" s="4"/>
      <c r="GT410" s="4"/>
      <c r="GU410" s="722"/>
      <c r="GV410" s="715"/>
    </row>
    <row r="411" spans="1:204" x14ac:dyDescent="0.25">
      <c r="A411" t="s">
        <v>1658</v>
      </c>
      <c r="B411" s="2" t="s">
        <v>358</v>
      </c>
      <c r="C411" s="619">
        <v>44691</v>
      </c>
      <c r="D411" s="2" t="s">
        <v>1657</v>
      </c>
      <c r="E411" t="s">
        <v>58</v>
      </c>
      <c r="F411" s="2" t="s">
        <v>43</v>
      </c>
      <c r="G411" t="s">
        <v>40</v>
      </c>
      <c r="H411" s="690" t="s">
        <v>84</v>
      </c>
      <c r="I411" s="691" t="s">
        <v>348</v>
      </c>
      <c r="J411" s="721">
        <v>13777004000122</v>
      </c>
      <c r="K411" s="691" t="s">
        <v>43</v>
      </c>
      <c r="L411" s="721">
        <v>3780401000108</v>
      </c>
      <c r="M411" s="718" t="s">
        <v>3</v>
      </c>
      <c r="N411" s="717" t="s">
        <v>44</v>
      </c>
      <c r="O411" s="719">
        <v>44774</v>
      </c>
      <c r="P411" s="720">
        <v>44804</v>
      </c>
      <c r="Q411" s="718">
        <v>130</v>
      </c>
      <c r="R411" s="717">
        <v>5</v>
      </c>
      <c r="S411" s="691" t="s">
        <v>54</v>
      </c>
      <c r="T411" t="s">
        <v>358</v>
      </c>
      <c r="U411" s="673" t="s">
        <v>358</v>
      </c>
      <c r="V411" s="690" t="s">
        <v>358</v>
      </c>
      <c r="W411" s="657" t="s">
        <v>214</v>
      </c>
      <c r="X411" s="723"/>
      <c r="Y411" s="4"/>
      <c r="Z411" s="4"/>
      <c r="AA411" s="4"/>
      <c r="AB411" s="4"/>
      <c r="AC411" s="4"/>
      <c r="AD411" s="4"/>
      <c r="AE411" s="4">
        <v>5</v>
      </c>
      <c r="AF411" s="4"/>
      <c r="AG411" s="4"/>
      <c r="AH411" s="4"/>
      <c r="AI411" s="654"/>
      <c r="AJ411" s="655"/>
      <c r="AK411" s="4"/>
      <c r="AL411" s="4"/>
      <c r="AM411" s="4"/>
      <c r="AN411" s="4"/>
      <c r="AO411" s="4"/>
      <c r="AP411" s="4"/>
      <c r="AQ411" s="4"/>
      <c r="AR411" s="4"/>
      <c r="AS411" s="4"/>
      <c r="AT411" s="4"/>
      <c r="AU411" s="654"/>
      <c r="AV411" s="655"/>
      <c r="AW411" s="4"/>
      <c r="AX411" s="4"/>
      <c r="AY411" s="4"/>
      <c r="AZ411" s="4"/>
      <c r="BA411" s="4"/>
      <c r="BB411" s="4"/>
      <c r="BC411" s="4"/>
      <c r="BD411" s="4"/>
      <c r="BE411" s="4"/>
      <c r="BF411" s="4"/>
      <c r="BG411" s="654"/>
      <c r="BH411" s="655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654"/>
      <c r="BT411" s="655"/>
      <c r="BU411" s="4"/>
      <c r="BV411" s="4"/>
      <c r="BW411" s="4"/>
      <c r="BX411" s="4"/>
      <c r="BY411" s="4"/>
      <c r="BZ411" s="4"/>
      <c r="CA411" s="4"/>
      <c r="CB411" s="4"/>
      <c r="CC411" s="4"/>
      <c r="CD411" s="4"/>
      <c r="CE411" s="693"/>
      <c r="CF411" s="723"/>
      <c r="CG411" s="4"/>
      <c r="CH411" s="4"/>
      <c r="CI411" s="4"/>
      <c r="CJ411" s="4"/>
      <c r="CK411" s="4"/>
      <c r="CL411" s="4"/>
      <c r="CM411" s="4">
        <v>130</v>
      </c>
      <c r="CN411" s="4"/>
      <c r="CO411" s="4"/>
      <c r="CP411" s="4"/>
      <c r="CQ411" s="654"/>
      <c r="CR411" s="655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654"/>
      <c r="DD411" s="655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654"/>
      <c r="DP411" s="655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654"/>
      <c r="EB411" s="655"/>
      <c r="EC411" s="4"/>
      <c r="ED411" s="4"/>
      <c r="EE411" s="4"/>
      <c r="EF411" s="4"/>
      <c r="EG411" s="4"/>
      <c r="EH411" s="4"/>
      <c r="EI411" s="4"/>
      <c r="EJ411" s="4"/>
      <c r="EK411" s="4"/>
      <c r="EL411" s="4"/>
      <c r="EM411" s="693"/>
      <c r="EN411" s="723"/>
      <c r="EO411" s="4"/>
      <c r="EP411" s="4"/>
      <c r="EQ411" s="4"/>
      <c r="ER411" s="4"/>
      <c r="ES411" s="4"/>
      <c r="ET411" s="4"/>
      <c r="EU411" s="4">
        <v>130</v>
      </c>
      <c r="EV411" s="4"/>
      <c r="EW411" s="4"/>
      <c r="EX411" s="4"/>
      <c r="EY411" s="654"/>
      <c r="EZ411" s="655"/>
      <c r="FA411" s="4"/>
      <c r="FB411" s="4"/>
      <c r="FC411" s="4"/>
      <c r="FD411" s="4"/>
      <c r="FE411" s="4"/>
      <c r="FF411" s="4"/>
      <c r="FG411" s="4"/>
      <c r="FH411" s="4"/>
      <c r="FI411" s="4"/>
      <c r="FJ411" s="4"/>
      <c r="FK411" s="654"/>
      <c r="FL411" s="655"/>
      <c r="FM411" s="4"/>
      <c r="FN411" s="4"/>
      <c r="FO411" s="4"/>
      <c r="FP411" s="4"/>
      <c r="FQ411" s="4"/>
      <c r="FR411" s="4"/>
      <c r="FS411" s="4"/>
      <c r="FT411" s="4"/>
      <c r="FU411" s="4"/>
      <c r="FV411" s="4"/>
      <c r="FW411" s="654"/>
      <c r="FX411" s="655"/>
      <c r="FY411" s="4"/>
      <c r="FZ411" s="4"/>
      <c r="GA411" s="4"/>
      <c r="GB411" s="4"/>
      <c r="GC411" s="4"/>
      <c r="GD411" s="4"/>
      <c r="GE411" s="4"/>
      <c r="GF411" s="4"/>
      <c r="GG411" s="4"/>
      <c r="GH411" s="4"/>
      <c r="GI411" s="654"/>
      <c r="GJ411" s="655"/>
      <c r="GK411" s="4"/>
      <c r="GL411" s="4"/>
      <c r="GM411" s="4"/>
      <c r="GN411" s="4"/>
      <c r="GO411" s="4"/>
      <c r="GP411" s="4"/>
      <c r="GQ411" s="4"/>
      <c r="GR411" s="4"/>
      <c r="GS411" s="4"/>
      <c r="GT411" s="4"/>
      <c r="GU411" s="722"/>
      <c r="GV411" s="715"/>
    </row>
    <row r="412" spans="1:204" x14ac:dyDescent="0.25">
      <c r="A412" t="s">
        <v>1667</v>
      </c>
      <c r="B412" s="2" t="s">
        <v>358</v>
      </c>
      <c r="C412" s="619">
        <v>44693</v>
      </c>
      <c r="D412" s="2" t="s">
        <v>1659</v>
      </c>
      <c r="E412" t="s">
        <v>58</v>
      </c>
      <c r="F412" s="2" t="s">
        <v>43</v>
      </c>
      <c r="G412" t="s">
        <v>40</v>
      </c>
      <c r="H412" s="690" t="s">
        <v>81</v>
      </c>
      <c r="I412" s="691" t="s">
        <v>1167</v>
      </c>
      <c r="J412" s="721">
        <v>15087610000141</v>
      </c>
      <c r="K412" s="691" t="s">
        <v>43</v>
      </c>
      <c r="L412" s="721">
        <v>3780401000108</v>
      </c>
      <c r="M412" s="718" t="s">
        <v>3</v>
      </c>
      <c r="N412" s="717" t="s">
        <v>44</v>
      </c>
      <c r="O412" s="719">
        <v>44682</v>
      </c>
      <c r="P412" s="720">
        <v>44926</v>
      </c>
      <c r="Q412" s="718">
        <v>0</v>
      </c>
      <c r="R412" s="717">
        <v>5.84</v>
      </c>
      <c r="S412" s="691" t="s">
        <v>92</v>
      </c>
      <c r="T412" t="s">
        <v>358</v>
      </c>
      <c r="U412" s="673" t="s">
        <v>358</v>
      </c>
      <c r="V412" s="690" t="s">
        <v>358</v>
      </c>
      <c r="W412" s="657" t="s">
        <v>214</v>
      </c>
      <c r="X412" s="723"/>
      <c r="Y412" s="4"/>
      <c r="Z412" s="4"/>
      <c r="AA412" s="4"/>
      <c r="AB412" s="4">
        <v>5.84</v>
      </c>
      <c r="AC412" s="4">
        <v>5.84</v>
      </c>
      <c r="AD412" s="4">
        <v>5.84</v>
      </c>
      <c r="AE412" s="4">
        <v>5.84</v>
      </c>
      <c r="AF412" s="4">
        <v>5.84</v>
      </c>
      <c r="AG412" s="4">
        <v>5.84</v>
      </c>
      <c r="AH412" s="4">
        <v>5.84</v>
      </c>
      <c r="AI412" s="654">
        <v>5.84</v>
      </c>
      <c r="AJ412" s="655"/>
      <c r="AK412" s="4"/>
      <c r="AL412" s="4"/>
      <c r="AM412" s="4"/>
      <c r="AN412" s="4"/>
      <c r="AO412" s="4"/>
      <c r="AP412" s="4"/>
      <c r="AQ412" s="4"/>
      <c r="AR412" s="4"/>
      <c r="AS412" s="4"/>
      <c r="AT412" s="4"/>
      <c r="AU412" s="654"/>
      <c r="AV412" s="655"/>
      <c r="AW412" s="4"/>
      <c r="AX412" s="4"/>
      <c r="AY412" s="4"/>
      <c r="AZ412" s="4"/>
      <c r="BA412" s="4"/>
      <c r="BB412" s="4"/>
      <c r="BC412" s="4"/>
      <c r="BD412" s="4"/>
      <c r="BE412" s="4"/>
      <c r="BF412" s="4"/>
      <c r="BG412" s="654"/>
      <c r="BH412" s="655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654"/>
      <c r="BT412" s="655"/>
      <c r="BU412" s="4"/>
      <c r="BV412" s="4"/>
      <c r="BW412" s="4"/>
      <c r="BX412" s="4"/>
      <c r="BY412" s="4"/>
      <c r="BZ412" s="4"/>
      <c r="CA412" s="4"/>
      <c r="CB412" s="4"/>
      <c r="CC412" s="4"/>
      <c r="CD412" s="4"/>
      <c r="CE412" s="693"/>
      <c r="CF412" s="723"/>
      <c r="CG412" s="4"/>
      <c r="CH412" s="4"/>
      <c r="CI412" s="4"/>
      <c r="CJ412" s="4">
        <v>0</v>
      </c>
      <c r="CK412" s="4">
        <v>0</v>
      </c>
      <c r="CL412" s="4">
        <v>0</v>
      </c>
      <c r="CM412" s="4">
        <v>0</v>
      </c>
      <c r="CN412" s="4">
        <v>0</v>
      </c>
      <c r="CO412" s="4">
        <v>0</v>
      </c>
      <c r="CP412" s="4">
        <v>0</v>
      </c>
      <c r="CQ412" s="654">
        <v>0</v>
      </c>
      <c r="CR412" s="655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654"/>
      <c r="DD412" s="655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654"/>
      <c r="DP412" s="655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654"/>
      <c r="EB412" s="655"/>
      <c r="EC412" s="4"/>
      <c r="ED412" s="4"/>
      <c r="EE412" s="4"/>
      <c r="EF412" s="4"/>
      <c r="EG412" s="4"/>
      <c r="EH412" s="4"/>
      <c r="EI412" s="4"/>
      <c r="EJ412" s="4"/>
      <c r="EK412" s="4"/>
      <c r="EL412" s="4"/>
      <c r="EM412" s="693"/>
      <c r="EN412" s="723"/>
      <c r="EO412" s="4"/>
      <c r="EP412" s="4"/>
      <c r="EQ412" s="4"/>
      <c r="ER412" s="4">
        <v>55.7</v>
      </c>
      <c r="ES412" s="4">
        <v>55.71</v>
      </c>
      <c r="ET412" s="4">
        <v>66.319999999999993</v>
      </c>
      <c r="EU412" s="4">
        <v>76.900000000000006</v>
      </c>
      <c r="EV412" s="4">
        <v>56.08</v>
      </c>
      <c r="EW412" s="4">
        <v>55.7</v>
      </c>
      <c r="EX412" s="4">
        <v>55.7</v>
      </c>
      <c r="EY412" s="654">
        <v>55.7</v>
      </c>
      <c r="EZ412" s="655"/>
      <c r="FA412" s="4"/>
      <c r="FB412" s="4"/>
      <c r="FC412" s="4"/>
      <c r="FD412" s="4"/>
      <c r="FE412" s="4"/>
      <c r="FF412" s="4"/>
      <c r="FG412" s="4"/>
      <c r="FH412" s="4"/>
      <c r="FI412" s="4"/>
      <c r="FJ412" s="4"/>
      <c r="FK412" s="654"/>
      <c r="FL412" s="655"/>
      <c r="FM412" s="4"/>
      <c r="FN412" s="4"/>
      <c r="FO412" s="4"/>
      <c r="FP412" s="4"/>
      <c r="FQ412" s="4"/>
      <c r="FR412" s="4"/>
      <c r="FS412" s="4"/>
      <c r="FT412" s="4"/>
      <c r="FU412" s="4"/>
      <c r="FV412" s="4"/>
      <c r="FW412" s="654"/>
      <c r="FX412" s="655"/>
      <c r="FY412" s="4"/>
      <c r="FZ412" s="4"/>
      <c r="GA412" s="4"/>
      <c r="GB412" s="4"/>
      <c r="GC412" s="4"/>
      <c r="GD412" s="4"/>
      <c r="GE412" s="4"/>
      <c r="GF412" s="4"/>
      <c r="GG412" s="4"/>
      <c r="GH412" s="4"/>
      <c r="GI412" s="654"/>
      <c r="GJ412" s="655"/>
      <c r="GK412" s="4"/>
      <c r="GL412" s="4"/>
      <c r="GM412" s="4"/>
      <c r="GN412" s="4"/>
      <c r="GO412" s="4"/>
      <c r="GP412" s="4"/>
      <c r="GQ412" s="4"/>
      <c r="GR412" s="4"/>
      <c r="GS412" s="4"/>
      <c r="GT412" s="4"/>
      <c r="GU412" s="722"/>
      <c r="GV412" s="715"/>
    </row>
    <row r="413" spans="1:204" x14ac:dyDescent="0.25">
      <c r="A413" t="s">
        <v>1668</v>
      </c>
      <c r="B413" s="2" t="s">
        <v>358</v>
      </c>
      <c r="C413" s="619">
        <v>44693</v>
      </c>
      <c r="D413" s="2" t="s">
        <v>1660</v>
      </c>
      <c r="E413" t="s">
        <v>59</v>
      </c>
      <c r="F413" s="2" t="s">
        <v>43</v>
      </c>
      <c r="G413" t="s">
        <v>40</v>
      </c>
      <c r="H413" s="690" t="s">
        <v>81</v>
      </c>
      <c r="I413" s="691" t="s">
        <v>43</v>
      </c>
      <c r="J413" s="721">
        <v>3780401000108</v>
      </c>
      <c r="K413" s="691" t="s">
        <v>1167</v>
      </c>
      <c r="L413" s="721">
        <v>15087610000141</v>
      </c>
      <c r="M413" s="718" t="s">
        <v>6</v>
      </c>
      <c r="N413" s="717" t="s">
        <v>44</v>
      </c>
      <c r="O413" s="719">
        <v>44682</v>
      </c>
      <c r="P413" s="720">
        <v>44926</v>
      </c>
      <c r="Q413" s="718">
        <v>185</v>
      </c>
      <c r="R413" s="717">
        <v>5.84</v>
      </c>
      <c r="S413" s="691" t="s">
        <v>92</v>
      </c>
      <c r="T413" t="s">
        <v>358</v>
      </c>
      <c r="U413" s="673" t="s">
        <v>358</v>
      </c>
      <c r="V413" s="690" t="s">
        <v>358</v>
      </c>
      <c r="W413" s="657" t="s">
        <v>214</v>
      </c>
      <c r="X413" s="723"/>
      <c r="Y413" s="4"/>
      <c r="Z413" s="4"/>
      <c r="AA413" s="4"/>
      <c r="AB413" s="4">
        <v>5.84</v>
      </c>
      <c r="AC413" s="4">
        <v>5.84</v>
      </c>
      <c r="AD413" s="4">
        <v>5.84</v>
      </c>
      <c r="AE413" s="4">
        <v>5.84</v>
      </c>
      <c r="AF413" s="4">
        <v>5.84</v>
      </c>
      <c r="AG413" s="4">
        <v>5.84</v>
      </c>
      <c r="AH413" s="4">
        <v>5.84</v>
      </c>
      <c r="AI413" s="654">
        <v>5.84</v>
      </c>
      <c r="AJ413" s="655"/>
      <c r="AK413" s="4"/>
      <c r="AL413" s="4"/>
      <c r="AM413" s="4"/>
      <c r="AN413" s="4"/>
      <c r="AO413" s="4"/>
      <c r="AP413" s="4"/>
      <c r="AQ413" s="4"/>
      <c r="AR413" s="4"/>
      <c r="AS413" s="4"/>
      <c r="AT413" s="4"/>
      <c r="AU413" s="654"/>
      <c r="AV413" s="655"/>
      <c r="AW413" s="4"/>
      <c r="AX413" s="4"/>
      <c r="AY413" s="4"/>
      <c r="AZ413" s="4"/>
      <c r="BA413" s="4"/>
      <c r="BB413" s="4"/>
      <c r="BC413" s="4"/>
      <c r="BD413" s="4"/>
      <c r="BE413" s="4"/>
      <c r="BF413" s="4"/>
      <c r="BG413" s="654"/>
      <c r="BH413" s="655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654"/>
      <c r="BT413" s="655"/>
      <c r="BU413" s="4"/>
      <c r="BV413" s="4"/>
      <c r="BW413" s="4"/>
      <c r="BX413" s="4"/>
      <c r="BY413" s="4"/>
      <c r="BZ413" s="4"/>
      <c r="CA413" s="4"/>
      <c r="CB413" s="4"/>
      <c r="CC413" s="4"/>
      <c r="CD413" s="4"/>
      <c r="CE413" s="693"/>
      <c r="CF413" s="723"/>
      <c r="CG413" s="4"/>
      <c r="CH413" s="4"/>
      <c r="CI413" s="4"/>
      <c r="CJ413" s="4">
        <v>185</v>
      </c>
      <c r="CK413" s="4">
        <v>185</v>
      </c>
      <c r="CL413" s="4">
        <v>185</v>
      </c>
      <c r="CM413" s="4">
        <v>185</v>
      </c>
      <c r="CN413" s="4">
        <v>185</v>
      </c>
      <c r="CO413" s="4">
        <v>185</v>
      </c>
      <c r="CP413" s="4">
        <v>185</v>
      </c>
      <c r="CQ413" s="654">
        <v>185</v>
      </c>
      <c r="CR413" s="655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654"/>
      <c r="DD413" s="655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654"/>
      <c r="DP413" s="655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654"/>
      <c r="EB413" s="655"/>
      <c r="EC413" s="4"/>
      <c r="ED413" s="4"/>
      <c r="EE413" s="4"/>
      <c r="EF413" s="4"/>
      <c r="EG413" s="4"/>
      <c r="EH413" s="4"/>
      <c r="EI413" s="4"/>
      <c r="EJ413" s="4"/>
      <c r="EK413" s="4"/>
      <c r="EL413" s="4"/>
      <c r="EM413" s="693"/>
      <c r="EN413" s="723"/>
      <c r="EO413" s="4"/>
      <c r="EP413" s="4"/>
      <c r="EQ413" s="4"/>
      <c r="ER413" s="4">
        <v>240.7</v>
      </c>
      <c r="ES413" s="4">
        <v>240.71</v>
      </c>
      <c r="ET413" s="4">
        <v>251.32</v>
      </c>
      <c r="EU413" s="4">
        <v>261.89999999999998</v>
      </c>
      <c r="EV413" s="4">
        <v>241.07999999999998</v>
      </c>
      <c r="EW413" s="4">
        <v>240.7</v>
      </c>
      <c r="EX413" s="4">
        <v>240.7</v>
      </c>
      <c r="EY413" s="654">
        <v>240.7</v>
      </c>
      <c r="EZ413" s="655"/>
      <c r="FA413" s="4"/>
      <c r="FB413" s="4"/>
      <c r="FC413" s="4"/>
      <c r="FD413" s="4"/>
      <c r="FE413" s="4"/>
      <c r="FF413" s="4"/>
      <c r="FG413" s="4"/>
      <c r="FH413" s="4"/>
      <c r="FI413" s="4"/>
      <c r="FJ413" s="4"/>
      <c r="FK413" s="654"/>
      <c r="FL413" s="655"/>
      <c r="FM413" s="4"/>
      <c r="FN413" s="4"/>
      <c r="FO413" s="4"/>
      <c r="FP413" s="4"/>
      <c r="FQ413" s="4"/>
      <c r="FR413" s="4"/>
      <c r="FS413" s="4"/>
      <c r="FT413" s="4"/>
      <c r="FU413" s="4"/>
      <c r="FV413" s="4"/>
      <c r="FW413" s="654"/>
      <c r="FX413" s="655"/>
      <c r="FY413" s="4"/>
      <c r="FZ413" s="4"/>
      <c r="GA413" s="4"/>
      <c r="GB413" s="4"/>
      <c r="GC413" s="4"/>
      <c r="GD413" s="4"/>
      <c r="GE413" s="4"/>
      <c r="GF413" s="4"/>
      <c r="GG413" s="4"/>
      <c r="GH413" s="4"/>
      <c r="GI413" s="654"/>
      <c r="GJ413" s="655"/>
      <c r="GK413" s="4"/>
      <c r="GL413" s="4"/>
      <c r="GM413" s="4"/>
      <c r="GN413" s="4"/>
      <c r="GO413" s="4"/>
      <c r="GP413" s="4"/>
      <c r="GQ413" s="4"/>
      <c r="GR413" s="4"/>
      <c r="GS413" s="4"/>
      <c r="GT413" s="4"/>
      <c r="GU413" s="722"/>
      <c r="GV413" s="715"/>
    </row>
    <row r="414" spans="1:204" x14ac:dyDescent="0.25">
      <c r="A414" t="s">
        <v>1669</v>
      </c>
      <c r="B414" s="2" t="s">
        <v>358</v>
      </c>
      <c r="C414" s="619">
        <v>44693</v>
      </c>
      <c r="D414" s="2" t="s">
        <v>1661</v>
      </c>
      <c r="E414" t="s">
        <v>58</v>
      </c>
      <c r="F414" s="2" t="s">
        <v>43</v>
      </c>
      <c r="G414" t="s">
        <v>40</v>
      </c>
      <c r="H414" s="690" t="s">
        <v>84</v>
      </c>
      <c r="I414" s="691" t="s">
        <v>875</v>
      </c>
      <c r="J414" s="721">
        <v>17112981000161</v>
      </c>
      <c r="K414" s="691" t="s">
        <v>43</v>
      </c>
      <c r="L414" s="721">
        <v>3780401000108</v>
      </c>
      <c r="M414" s="718" t="s">
        <v>3</v>
      </c>
      <c r="N414" s="717" t="s">
        <v>44</v>
      </c>
      <c r="O414" s="719">
        <v>44774</v>
      </c>
      <c r="P414" s="720">
        <v>44804</v>
      </c>
      <c r="Q414" s="718">
        <v>131.5</v>
      </c>
      <c r="R414" s="717">
        <v>2</v>
      </c>
      <c r="S414" s="691" t="s">
        <v>54</v>
      </c>
      <c r="T414" t="s">
        <v>358</v>
      </c>
      <c r="U414" s="673" t="s">
        <v>358</v>
      </c>
      <c r="V414" s="690" t="s">
        <v>358</v>
      </c>
      <c r="W414" s="657" t="s">
        <v>214</v>
      </c>
      <c r="X414" s="723"/>
      <c r="Y414" s="4"/>
      <c r="Z414" s="4"/>
      <c r="AA414" s="4"/>
      <c r="AB414" s="4"/>
      <c r="AC414" s="4"/>
      <c r="AD414" s="4"/>
      <c r="AE414" s="4">
        <v>2</v>
      </c>
      <c r="AF414" s="4"/>
      <c r="AG414" s="4"/>
      <c r="AH414" s="4"/>
      <c r="AI414" s="654"/>
      <c r="AJ414" s="655"/>
      <c r="AK414" s="4"/>
      <c r="AL414" s="4"/>
      <c r="AM414" s="4"/>
      <c r="AN414" s="4"/>
      <c r="AO414" s="4"/>
      <c r="AP414" s="4"/>
      <c r="AQ414" s="4"/>
      <c r="AR414" s="4"/>
      <c r="AS414" s="4"/>
      <c r="AT414" s="4"/>
      <c r="AU414" s="654"/>
      <c r="AV414" s="655"/>
      <c r="AW414" s="4"/>
      <c r="AX414" s="4"/>
      <c r="AY414" s="4"/>
      <c r="AZ414" s="4"/>
      <c r="BA414" s="4"/>
      <c r="BB414" s="4"/>
      <c r="BC414" s="4"/>
      <c r="BD414" s="4"/>
      <c r="BE414" s="4"/>
      <c r="BF414" s="4"/>
      <c r="BG414" s="654"/>
      <c r="BH414" s="655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654"/>
      <c r="BT414" s="655"/>
      <c r="BU414" s="4"/>
      <c r="BV414" s="4"/>
      <c r="BW414" s="4"/>
      <c r="BX414" s="4"/>
      <c r="BY414" s="4"/>
      <c r="BZ414" s="4"/>
      <c r="CA414" s="4"/>
      <c r="CB414" s="4"/>
      <c r="CC414" s="4"/>
      <c r="CD414" s="4"/>
      <c r="CE414" s="693"/>
      <c r="CF414" s="723"/>
      <c r="CG414" s="4"/>
      <c r="CH414" s="4"/>
      <c r="CI414" s="4"/>
      <c r="CJ414" s="4"/>
      <c r="CK414" s="4"/>
      <c r="CL414" s="4"/>
      <c r="CM414" s="4">
        <v>131.5</v>
      </c>
      <c r="CN414" s="4"/>
      <c r="CO414" s="4"/>
      <c r="CP414" s="4"/>
      <c r="CQ414" s="654"/>
      <c r="CR414" s="655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654"/>
      <c r="DD414" s="655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654"/>
      <c r="DP414" s="655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654"/>
      <c r="EB414" s="655"/>
      <c r="EC414" s="4"/>
      <c r="ED414" s="4"/>
      <c r="EE414" s="4"/>
      <c r="EF414" s="4"/>
      <c r="EG414" s="4"/>
      <c r="EH414" s="4"/>
      <c r="EI414" s="4"/>
      <c r="EJ414" s="4"/>
      <c r="EK414" s="4"/>
      <c r="EL414" s="4"/>
      <c r="EM414" s="693"/>
      <c r="EN414" s="723"/>
      <c r="EO414" s="4"/>
      <c r="EP414" s="4"/>
      <c r="EQ414" s="4"/>
      <c r="ER414" s="4"/>
      <c r="ES414" s="4"/>
      <c r="ET414" s="4"/>
      <c r="EU414" s="4">
        <v>131.5</v>
      </c>
      <c r="EV414" s="4"/>
      <c r="EW414" s="4"/>
      <c r="EX414" s="4"/>
      <c r="EY414" s="654"/>
      <c r="EZ414" s="655"/>
      <c r="FA414" s="4"/>
      <c r="FB414" s="4"/>
      <c r="FC414" s="4"/>
      <c r="FD414" s="4"/>
      <c r="FE414" s="4"/>
      <c r="FF414" s="4"/>
      <c r="FG414" s="4"/>
      <c r="FH414" s="4"/>
      <c r="FI414" s="4"/>
      <c r="FJ414" s="4"/>
      <c r="FK414" s="654"/>
      <c r="FL414" s="655"/>
      <c r="FM414" s="4"/>
      <c r="FN414" s="4"/>
      <c r="FO414" s="4"/>
      <c r="FP414" s="4"/>
      <c r="FQ414" s="4"/>
      <c r="FR414" s="4"/>
      <c r="FS414" s="4"/>
      <c r="FT414" s="4"/>
      <c r="FU414" s="4"/>
      <c r="FV414" s="4"/>
      <c r="FW414" s="654"/>
      <c r="FX414" s="655"/>
      <c r="FY414" s="4"/>
      <c r="FZ414" s="4"/>
      <c r="GA414" s="4"/>
      <c r="GB414" s="4"/>
      <c r="GC414" s="4"/>
      <c r="GD414" s="4"/>
      <c r="GE414" s="4"/>
      <c r="GF414" s="4"/>
      <c r="GG414" s="4"/>
      <c r="GH414" s="4"/>
      <c r="GI414" s="654"/>
      <c r="GJ414" s="655"/>
      <c r="GK414" s="4"/>
      <c r="GL414" s="4"/>
      <c r="GM414" s="4"/>
      <c r="GN414" s="4"/>
      <c r="GO414" s="4"/>
      <c r="GP414" s="4"/>
      <c r="GQ414" s="4"/>
      <c r="GR414" s="4"/>
      <c r="GS414" s="4"/>
      <c r="GT414" s="4"/>
      <c r="GU414" s="722"/>
      <c r="GV414" s="715"/>
    </row>
    <row r="415" spans="1:204" x14ac:dyDescent="0.25">
      <c r="A415" t="s">
        <v>1670</v>
      </c>
      <c r="B415" s="2" t="s">
        <v>358</v>
      </c>
      <c r="C415" s="619">
        <v>44693</v>
      </c>
      <c r="D415" s="2" t="s">
        <v>1662</v>
      </c>
      <c r="E415" t="s">
        <v>58</v>
      </c>
      <c r="F415" s="2" t="s">
        <v>43</v>
      </c>
      <c r="G415" t="s">
        <v>40</v>
      </c>
      <c r="H415" s="690" t="s">
        <v>84</v>
      </c>
      <c r="I415" s="691" t="s">
        <v>945</v>
      </c>
      <c r="J415" s="721">
        <v>12630054000110</v>
      </c>
      <c r="K415" s="691" t="s">
        <v>43</v>
      </c>
      <c r="L415" s="721">
        <v>3780401000108</v>
      </c>
      <c r="M415" s="718" t="s">
        <v>3</v>
      </c>
      <c r="N415" s="717" t="s">
        <v>44</v>
      </c>
      <c r="O415" s="719">
        <v>44774</v>
      </c>
      <c r="P415" s="720">
        <v>44804</v>
      </c>
      <c r="Q415" s="718">
        <v>133</v>
      </c>
      <c r="R415" s="717">
        <v>0.4</v>
      </c>
      <c r="S415" s="691" t="s">
        <v>54</v>
      </c>
      <c r="T415" t="s">
        <v>358</v>
      </c>
      <c r="U415" s="673" t="s">
        <v>358</v>
      </c>
      <c r="V415" s="690" t="s">
        <v>358</v>
      </c>
      <c r="W415" s="657" t="s">
        <v>214</v>
      </c>
      <c r="X415" s="723"/>
      <c r="Y415" s="4"/>
      <c r="Z415" s="4"/>
      <c r="AA415" s="4"/>
      <c r="AB415" s="4"/>
      <c r="AC415" s="4"/>
      <c r="AD415" s="4"/>
      <c r="AE415" s="4">
        <v>0.4</v>
      </c>
      <c r="AF415" s="4"/>
      <c r="AG415" s="4"/>
      <c r="AH415" s="4"/>
      <c r="AI415" s="654"/>
      <c r="AJ415" s="655"/>
      <c r="AK415" s="4"/>
      <c r="AL415" s="4"/>
      <c r="AM415" s="4"/>
      <c r="AN415" s="4"/>
      <c r="AO415" s="4"/>
      <c r="AP415" s="4"/>
      <c r="AQ415" s="4"/>
      <c r="AR415" s="4"/>
      <c r="AS415" s="4"/>
      <c r="AT415" s="4"/>
      <c r="AU415" s="654"/>
      <c r="AV415" s="655"/>
      <c r="AW415" s="4"/>
      <c r="AX415" s="4"/>
      <c r="AY415" s="4"/>
      <c r="AZ415" s="4"/>
      <c r="BA415" s="4"/>
      <c r="BB415" s="4"/>
      <c r="BC415" s="4"/>
      <c r="BD415" s="4"/>
      <c r="BE415" s="4"/>
      <c r="BF415" s="4"/>
      <c r="BG415" s="654"/>
      <c r="BH415" s="655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654"/>
      <c r="BT415" s="655"/>
      <c r="BU415" s="4"/>
      <c r="BV415" s="4"/>
      <c r="BW415" s="4"/>
      <c r="BX415" s="4"/>
      <c r="BY415" s="4"/>
      <c r="BZ415" s="4"/>
      <c r="CA415" s="4"/>
      <c r="CB415" s="4"/>
      <c r="CC415" s="4"/>
      <c r="CD415" s="4"/>
      <c r="CE415" s="693"/>
      <c r="CF415" s="723"/>
      <c r="CG415" s="4"/>
      <c r="CH415" s="4"/>
      <c r="CI415" s="4"/>
      <c r="CJ415" s="4"/>
      <c r="CK415" s="4"/>
      <c r="CL415" s="4"/>
      <c r="CM415" s="4">
        <v>133</v>
      </c>
      <c r="CN415" s="4"/>
      <c r="CO415" s="4"/>
      <c r="CP415" s="4"/>
      <c r="CQ415" s="654"/>
      <c r="CR415" s="655"/>
      <c r="CS415" s="4"/>
      <c r="CT415" s="4"/>
      <c r="CU415" s="4"/>
      <c r="CV415" s="4"/>
      <c r="CW415" s="4"/>
      <c r="CX415" s="4"/>
      <c r="CY415" s="4"/>
      <c r="CZ415" s="4"/>
      <c r="DA415" s="4"/>
      <c r="DB415" s="4"/>
      <c r="DC415" s="654"/>
      <c r="DD415" s="655"/>
      <c r="DE415" s="4"/>
      <c r="DF415" s="4"/>
      <c r="DG415" s="4"/>
      <c r="DH415" s="4"/>
      <c r="DI415" s="4"/>
      <c r="DJ415" s="4"/>
      <c r="DK415" s="4"/>
      <c r="DL415" s="4"/>
      <c r="DM415" s="4"/>
      <c r="DN415" s="4"/>
      <c r="DO415" s="654"/>
      <c r="DP415" s="655"/>
      <c r="DQ415" s="4"/>
      <c r="DR415" s="4"/>
      <c r="DS415" s="4"/>
      <c r="DT415" s="4"/>
      <c r="DU415" s="4"/>
      <c r="DV415" s="4"/>
      <c r="DW415" s="4"/>
      <c r="DX415" s="4"/>
      <c r="DY415" s="4"/>
      <c r="DZ415" s="4"/>
      <c r="EA415" s="654"/>
      <c r="EB415" s="655"/>
      <c r="EC415" s="4"/>
      <c r="ED415" s="4"/>
      <c r="EE415" s="4"/>
      <c r="EF415" s="4"/>
      <c r="EG415" s="4"/>
      <c r="EH415" s="4"/>
      <c r="EI415" s="4"/>
      <c r="EJ415" s="4"/>
      <c r="EK415" s="4"/>
      <c r="EL415" s="4"/>
      <c r="EM415" s="693"/>
      <c r="EN415" s="723"/>
      <c r="EO415" s="4"/>
      <c r="EP415" s="4"/>
      <c r="EQ415" s="4"/>
      <c r="ER415" s="4"/>
      <c r="ES415" s="4"/>
      <c r="ET415" s="4"/>
      <c r="EU415" s="4">
        <v>133</v>
      </c>
      <c r="EV415" s="4"/>
      <c r="EW415" s="4"/>
      <c r="EX415" s="4"/>
      <c r="EY415" s="654"/>
      <c r="EZ415" s="655"/>
      <c r="FA415" s="4"/>
      <c r="FB415" s="4"/>
      <c r="FC415" s="4"/>
      <c r="FD415" s="4"/>
      <c r="FE415" s="4"/>
      <c r="FF415" s="4"/>
      <c r="FG415" s="4"/>
      <c r="FH415" s="4"/>
      <c r="FI415" s="4"/>
      <c r="FJ415" s="4"/>
      <c r="FK415" s="654"/>
      <c r="FL415" s="655"/>
      <c r="FM415" s="4"/>
      <c r="FN415" s="4"/>
      <c r="FO415" s="4"/>
      <c r="FP415" s="4"/>
      <c r="FQ415" s="4"/>
      <c r="FR415" s="4"/>
      <c r="FS415" s="4"/>
      <c r="FT415" s="4"/>
      <c r="FU415" s="4"/>
      <c r="FV415" s="4"/>
      <c r="FW415" s="654"/>
      <c r="FX415" s="655"/>
      <c r="FY415" s="4"/>
      <c r="FZ415" s="4"/>
      <c r="GA415" s="4"/>
      <c r="GB415" s="4"/>
      <c r="GC415" s="4"/>
      <c r="GD415" s="4"/>
      <c r="GE415" s="4"/>
      <c r="GF415" s="4"/>
      <c r="GG415" s="4"/>
      <c r="GH415" s="4"/>
      <c r="GI415" s="654"/>
      <c r="GJ415" s="655"/>
      <c r="GK415" s="4"/>
      <c r="GL415" s="4"/>
      <c r="GM415" s="4"/>
      <c r="GN415" s="4"/>
      <c r="GO415" s="4"/>
      <c r="GP415" s="4"/>
      <c r="GQ415" s="4"/>
      <c r="GR415" s="4"/>
      <c r="GS415" s="4"/>
      <c r="GT415" s="4"/>
      <c r="GU415" s="722"/>
      <c r="GV415" s="715"/>
    </row>
    <row r="416" spans="1:204" x14ac:dyDescent="0.25">
      <c r="A416" t="s">
        <v>1671</v>
      </c>
      <c r="B416" s="2" t="s">
        <v>358</v>
      </c>
      <c r="C416" s="619">
        <v>44693</v>
      </c>
      <c r="D416" s="2" t="s">
        <v>1663</v>
      </c>
      <c r="E416" t="s">
        <v>58</v>
      </c>
      <c r="F416" s="2" t="s">
        <v>43</v>
      </c>
      <c r="G416" t="s">
        <v>40</v>
      </c>
      <c r="H416" s="690" t="s">
        <v>84</v>
      </c>
      <c r="I416" s="691" t="s">
        <v>945</v>
      </c>
      <c r="J416" s="721">
        <v>12630054000110</v>
      </c>
      <c r="K416" s="691" t="s">
        <v>43</v>
      </c>
      <c r="L416" s="721">
        <v>3780401000108</v>
      </c>
      <c r="M416" s="718" t="s">
        <v>3</v>
      </c>
      <c r="N416" s="717" t="s">
        <v>44</v>
      </c>
      <c r="O416" s="719">
        <v>44774</v>
      </c>
      <c r="P416" s="720">
        <v>44804</v>
      </c>
      <c r="Q416" s="718">
        <v>133</v>
      </c>
      <c r="R416" s="717">
        <v>0.1</v>
      </c>
      <c r="S416" s="691" t="s">
        <v>54</v>
      </c>
      <c r="T416" t="s">
        <v>358</v>
      </c>
      <c r="U416" s="673" t="s">
        <v>358</v>
      </c>
      <c r="V416" s="690" t="s">
        <v>358</v>
      </c>
      <c r="W416" s="657" t="s">
        <v>214</v>
      </c>
      <c r="X416" s="723"/>
      <c r="Y416" s="4"/>
      <c r="Z416" s="4"/>
      <c r="AA416" s="4"/>
      <c r="AB416" s="4"/>
      <c r="AC416" s="4"/>
      <c r="AD416" s="4"/>
      <c r="AE416" s="4">
        <v>0.1</v>
      </c>
      <c r="AF416" s="4"/>
      <c r="AG416" s="4"/>
      <c r="AH416" s="4"/>
      <c r="AI416" s="654"/>
      <c r="AJ416" s="655"/>
      <c r="AK416" s="4"/>
      <c r="AL416" s="4"/>
      <c r="AM416" s="4"/>
      <c r="AN416" s="4"/>
      <c r="AO416" s="4"/>
      <c r="AP416" s="4"/>
      <c r="AQ416" s="4"/>
      <c r="AR416" s="4"/>
      <c r="AS416" s="4"/>
      <c r="AT416" s="4"/>
      <c r="AU416" s="654"/>
      <c r="AV416" s="655"/>
      <c r="AW416" s="4"/>
      <c r="AX416" s="4"/>
      <c r="AY416" s="4"/>
      <c r="AZ416" s="4"/>
      <c r="BA416" s="4"/>
      <c r="BB416" s="4"/>
      <c r="BC416" s="4"/>
      <c r="BD416" s="4"/>
      <c r="BE416" s="4"/>
      <c r="BF416" s="4"/>
      <c r="BG416" s="654"/>
      <c r="BH416" s="655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654"/>
      <c r="BT416" s="655"/>
      <c r="BU416" s="4"/>
      <c r="BV416" s="4"/>
      <c r="BW416" s="4"/>
      <c r="BX416" s="4"/>
      <c r="BY416" s="4"/>
      <c r="BZ416" s="4"/>
      <c r="CA416" s="4"/>
      <c r="CB416" s="4"/>
      <c r="CC416" s="4"/>
      <c r="CD416" s="4"/>
      <c r="CE416" s="693"/>
      <c r="CF416" s="723"/>
      <c r="CG416" s="4"/>
      <c r="CH416" s="4"/>
      <c r="CI416" s="4"/>
      <c r="CJ416" s="4"/>
      <c r="CK416" s="4"/>
      <c r="CL416" s="4"/>
      <c r="CM416" s="4">
        <v>133</v>
      </c>
      <c r="CN416" s="4"/>
      <c r="CO416" s="4"/>
      <c r="CP416" s="4"/>
      <c r="CQ416" s="654"/>
      <c r="CR416" s="655"/>
      <c r="CS416" s="4"/>
      <c r="CT416" s="4"/>
      <c r="CU416" s="4"/>
      <c r="CV416" s="4"/>
      <c r="CW416" s="4"/>
      <c r="CX416" s="4"/>
      <c r="CY416" s="4"/>
      <c r="CZ416" s="4"/>
      <c r="DA416" s="4"/>
      <c r="DB416" s="4"/>
      <c r="DC416" s="654"/>
      <c r="DD416" s="655"/>
      <c r="DE416" s="4"/>
      <c r="DF416" s="4"/>
      <c r="DG416" s="4"/>
      <c r="DH416" s="4"/>
      <c r="DI416" s="4"/>
      <c r="DJ416" s="4"/>
      <c r="DK416" s="4"/>
      <c r="DL416" s="4"/>
      <c r="DM416" s="4"/>
      <c r="DN416" s="4"/>
      <c r="DO416" s="654"/>
      <c r="DP416" s="655"/>
      <c r="DQ416" s="4"/>
      <c r="DR416" s="4"/>
      <c r="DS416" s="4"/>
      <c r="DT416" s="4"/>
      <c r="DU416" s="4"/>
      <c r="DV416" s="4"/>
      <c r="DW416" s="4"/>
      <c r="DX416" s="4"/>
      <c r="DY416" s="4"/>
      <c r="DZ416" s="4"/>
      <c r="EA416" s="654"/>
      <c r="EB416" s="655"/>
      <c r="EC416" s="4"/>
      <c r="ED416" s="4"/>
      <c r="EE416" s="4"/>
      <c r="EF416" s="4"/>
      <c r="EG416" s="4"/>
      <c r="EH416" s="4"/>
      <c r="EI416" s="4"/>
      <c r="EJ416" s="4"/>
      <c r="EK416" s="4"/>
      <c r="EL416" s="4"/>
      <c r="EM416" s="693"/>
      <c r="EN416" s="723"/>
      <c r="EO416" s="4"/>
      <c r="EP416" s="4"/>
      <c r="EQ416" s="4"/>
      <c r="ER416" s="4"/>
      <c r="ES416" s="4"/>
      <c r="ET416" s="4"/>
      <c r="EU416" s="4">
        <v>133</v>
      </c>
      <c r="EV416" s="4"/>
      <c r="EW416" s="4"/>
      <c r="EX416" s="4"/>
      <c r="EY416" s="654"/>
      <c r="EZ416" s="655"/>
      <c r="FA416" s="4"/>
      <c r="FB416" s="4"/>
      <c r="FC416" s="4"/>
      <c r="FD416" s="4"/>
      <c r="FE416" s="4"/>
      <c r="FF416" s="4"/>
      <c r="FG416" s="4"/>
      <c r="FH416" s="4"/>
      <c r="FI416" s="4"/>
      <c r="FJ416" s="4"/>
      <c r="FK416" s="654"/>
      <c r="FL416" s="655"/>
      <c r="FM416" s="4"/>
      <c r="FN416" s="4"/>
      <c r="FO416" s="4"/>
      <c r="FP416" s="4"/>
      <c r="FQ416" s="4"/>
      <c r="FR416" s="4"/>
      <c r="FS416" s="4"/>
      <c r="FT416" s="4"/>
      <c r="FU416" s="4"/>
      <c r="FV416" s="4"/>
      <c r="FW416" s="654"/>
      <c r="FX416" s="655"/>
      <c r="FY416" s="4"/>
      <c r="FZ416" s="4"/>
      <c r="GA416" s="4"/>
      <c r="GB416" s="4"/>
      <c r="GC416" s="4"/>
      <c r="GD416" s="4"/>
      <c r="GE416" s="4"/>
      <c r="GF416" s="4"/>
      <c r="GG416" s="4"/>
      <c r="GH416" s="4"/>
      <c r="GI416" s="654"/>
      <c r="GJ416" s="655"/>
      <c r="GK416" s="4"/>
      <c r="GL416" s="4"/>
      <c r="GM416" s="4"/>
      <c r="GN416" s="4"/>
      <c r="GO416" s="4"/>
      <c r="GP416" s="4"/>
      <c r="GQ416" s="4"/>
      <c r="GR416" s="4"/>
      <c r="GS416" s="4"/>
      <c r="GT416" s="4"/>
      <c r="GU416" s="722"/>
      <c r="GV416" s="715"/>
    </row>
    <row r="417" spans="1:204" x14ac:dyDescent="0.25">
      <c r="A417" t="s">
        <v>1672</v>
      </c>
      <c r="B417" s="2" t="s">
        <v>358</v>
      </c>
      <c r="C417" s="619">
        <v>44693</v>
      </c>
      <c r="D417" s="2" t="s">
        <v>1664</v>
      </c>
      <c r="E417" t="s">
        <v>58</v>
      </c>
      <c r="F417" s="2" t="s">
        <v>43</v>
      </c>
      <c r="G417" t="s">
        <v>40</v>
      </c>
      <c r="H417" s="690" t="s">
        <v>84</v>
      </c>
      <c r="I417" s="691" t="s">
        <v>945</v>
      </c>
      <c r="J417" s="721">
        <v>12630054000110</v>
      </c>
      <c r="K417" s="691" t="s">
        <v>43</v>
      </c>
      <c r="L417" s="721">
        <v>3780401000108</v>
      </c>
      <c r="M417" s="718" t="s">
        <v>3</v>
      </c>
      <c r="N417" s="717" t="s">
        <v>44</v>
      </c>
      <c r="O417" s="719">
        <v>44774</v>
      </c>
      <c r="P417" s="720">
        <v>44804</v>
      </c>
      <c r="Q417" s="718">
        <v>135</v>
      </c>
      <c r="R417" s="717">
        <v>0.5</v>
      </c>
      <c r="S417" s="691" t="s">
        <v>54</v>
      </c>
      <c r="T417" t="s">
        <v>358</v>
      </c>
      <c r="U417" s="673" t="s">
        <v>358</v>
      </c>
      <c r="V417" s="690" t="s">
        <v>358</v>
      </c>
      <c r="W417" s="657" t="s">
        <v>214</v>
      </c>
      <c r="X417" s="723"/>
      <c r="Y417" s="4"/>
      <c r="Z417" s="4"/>
      <c r="AA417" s="4"/>
      <c r="AB417" s="4"/>
      <c r="AC417" s="4"/>
      <c r="AD417" s="4"/>
      <c r="AE417" s="4">
        <v>0.5</v>
      </c>
      <c r="AF417" s="4"/>
      <c r="AG417" s="4"/>
      <c r="AH417" s="4"/>
      <c r="AI417" s="654"/>
      <c r="AJ417" s="655"/>
      <c r="AK417" s="4"/>
      <c r="AL417" s="4"/>
      <c r="AM417" s="4"/>
      <c r="AN417" s="4"/>
      <c r="AO417" s="4"/>
      <c r="AP417" s="4"/>
      <c r="AQ417" s="4"/>
      <c r="AR417" s="4"/>
      <c r="AS417" s="4"/>
      <c r="AT417" s="4"/>
      <c r="AU417" s="654"/>
      <c r="AV417" s="655"/>
      <c r="AW417" s="4"/>
      <c r="AX417" s="4"/>
      <c r="AY417" s="4"/>
      <c r="AZ417" s="4"/>
      <c r="BA417" s="4"/>
      <c r="BB417" s="4"/>
      <c r="BC417" s="4"/>
      <c r="BD417" s="4"/>
      <c r="BE417" s="4"/>
      <c r="BF417" s="4"/>
      <c r="BG417" s="654"/>
      <c r="BH417" s="655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654"/>
      <c r="BT417" s="655"/>
      <c r="BU417" s="4"/>
      <c r="BV417" s="4"/>
      <c r="BW417" s="4"/>
      <c r="BX417" s="4"/>
      <c r="BY417" s="4"/>
      <c r="BZ417" s="4"/>
      <c r="CA417" s="4"/>
      <c r="CB417" s="4"/>
      <c r="CC417" s="4"/>
      <c r="CD417" s="4"/>
      <c r="CE417" s="693"/>
      <c r="CF417" s="723"/>
      <c r="CG417" s="4"/>
      <c r="CH417" s="4"/>
      <c r="CI417" s="4"/>
      <c r="CJ417" s="4"/>
      <c r="CK417" s="4"/>
      <c r="CL417" s="4"/>
      <c r="CM417" s="4">
        <v>135</v>
      </c>
      <c r="CN417" s="4"/>
      <c r="CO417" s="4"/>
      <c r="CP417" s="4"/>
      <c r="CQ417" s="654"/>
      <c r="CR417" s="655"/>
      <c r="CS417" s="4"/>
      <c r="CT417" s="4"/>
      <c r="CU417" s="4"/>
      <c r="CV417" s="4"/>
      <c r="CW417" s="4"/>
      <c r="CX417" s="4"/>
      <c r="CY417" s="4"/>
      <c r="CZ417" s="4"/>
      <c r="DA417" s="4"/>
      <c r="DB417" s="4"/>
      <c r="DC417" s="654"/>
      <c r="DD417" s="655"/>
      <c r="DE417" s="4"/>
      <c r="DF417" s="4"/>
      <c r="DG417" s="4"/>
      <c r="DH417" s="4"/>
      <c r="DI417" s="4"/>
      <c r="DJ417" s="4"/>
      <c r="DK417" s="4"/>
      <c r="DL417" s="4"/>
      <c r="DM417" s="4"/>
      <c r="DN417" s="4"/>
      <c r="DO417" s="654"/>
      <c r="DP417" s="655"/>
      <c r="DQ417" s="4"/>
      <c r="DR417" s="4"/>
      <c r="DS417" s="4"/>
      <c r="DT417" s="4"/>
      <c r="DU417" s="4"/>
      <c r="DV417" s="4"/>
      <c r="DW417" s="4"/>
      <c r="DX417" s="4"/>
      <c r="DY417" s="4"/>
      <c r="DZ417" s="4"/>
      <c r="EA417" s="654"/>
      <c r="EB417" s="655"/>
      <c r="EC417" s="4"/>
      <c r="ED417" s="4"/>
      <c r="EE417" s="4"/>
      <c r="EF417" s="4"/>
      <c r="EG417" s="4"/>
      <c r="EH417" s="4"/>
      <c r="EI417" s="4"/>
      <c r="EJ417" s="4"/>
      <c r="EK417" s="4"/>
      <c r="EL417" s="4"/>
      <c r="EM417" s="693"/>
      <c r="EN417" s="723"/>
      <c r="EO417" s="4"/>
      <c r="EP417" s="4"/>
      <c r="EQ417" s="4"/>
      <c r="ER417" s="4"/>
      <c r="ES417" s="4"/>
      <c r="ET417" s="4"/>
      <c r="EU417" s="4">
        <v>135</v>
      </c>
      <c r="EV417" s="4"/>
      <c r="EW417" s="4"/>
      <c r="EX417" s="4"/>
      <c r="EY417" s="654"/>
      <c r="EZ417" s="655"/>
      <c r="FA417" s="4"/>
      <c r="FB417" s="4"/>
      <c r="FC417" s="4"/>
      <c r="FD417" s="4"/>
      <c r="FE417" s="4"/>
      <c r="FF417" s="4"/>
      <c r="FG417" s="4"/>
      <c r="FH417" s="4"/>
      <c r="FI417" s="4"/>
      <c r="FJ417" s="4"/>
      <c r="FK417" s="654"/>
      <c r="FL417" s="655"/>
      <c r="FM417" s="4"/>
      <c r="FN417" s="4"/>
      <c r="FO417" s="4"/>
      <c r="FP417" s="4"/>
      <c r="FQ417" s="4"/>
      <c r="FR417" s="4"/>
      <c r="FS417" s="4"/>
      <c r="FT417" s="4"/>
      <c r="FU417" s="4"/>
      <c r="FV417" s="4"/>
      <c r="FW417" s="654"/>
      <c r="FX417" s="655"/>
      <c r="FY417" s="4"/>
      <c r="FZ417" s="4"/>
      <c r="GA417" s="4"/>
      <c r="GB417" s="4"/>
      <c r="GC417" s="4"/>
      <c r="GD417" s="4"/>
      <c r="GE417" s="4"/>
      <c r="GF417" s="4"/>
      <c r="GG417" s="4"/>
      <c r="GH417" s="4"/>
      <c r="GI417" s="654"/>
      <c r="GJ417" s="655"/>
      <c r="GK417" s="4"/>
      <c r="GL417" s="4"/>
      <c r="GM417" s="4"/>
      <c r="GN417" s="4"/>
      <c r="GO417" s="4"/>
      <c r="GP417" s="4"/>
      <c r="GQ417" s="4"/>
      <c r="GR417" s="4"/>
      <c r="GS417" s="4"/>
      <c r="GT417" s="4"/>
      <c r="GU417" s="722"/>
      <c r="GV417" s="715"/>
    </row>
    <row r="418" spans="1:204" x14ac:dyDescent="0.25">
      <c r="A418" t="s">
        <v>1673</v>
      </c>
      <c r="B418" s="2" t="s">
        <v>358</v>
      </c>
      <c r="C418" s="619">
        <v>44693</v>
      </c>
      <c r="D418" s="2" t="s">
        <v>1665</v>
      </c>
      <c r="E418" t="s">
        <v>58</v>
      </c>
      <c r="F418" s="2" t="s">
        <v>43</v>
      </c>
      <c r="G418" t="s">
        <v>40</v>
      </c>
      <c r="H418" s="690" t="s">
        <v>84</v>
      </c>
      <c r="I418" s="691" t="s">
        <v>945</v>
      </c>
      <c r="J418" s="721">
        <v>12630054000110</v>
      </c>
      <c r="K418" s="691" t="s">
        <v>43</v>
      </c>
      <c r="L418" s="721">
        <v>3780401000108</v>
      </c>
      <c r="M418" s="718" t="s">
        <v>3</v>
      </c>
      <c r="N418" s="717" t="s">
        <v>44</v>
      </c>
      <c r="O418" s="719">
        <v>44774</v>
      </c>
      <c r="P418" s="720">
        <v>44804</v>
      </c>
      <c r="Q418" s="718">
        <v>135</v>
      </c>
      <c r="R418" s="717">
        <v>0.5</v>
      </c>
      <c r="S418" s="691" t="s">
        <v>54</v>
      </c>
      <c r="T418" t="s">
        <v>358</v>
      </c>
      <c r="U418" s="673" t="s">
        <v>358</v>
      </c>
      <c r="V418" s="690" t="s">
        <v>358</v>
      </c>
      <c r="W418" s="657" t="s">
        <v>214</v>
      </c>
      <c r="X418" s="723"/>
      <c r="Y418" s="4"/>
      <c r="Z418" s="4"/>
      <c r="AA418" s="4"/>
      <c r="AB418" s="4"/>
      <c r="AC418" s="4"/>
      <c r="AD418" s="4"/>
      <c r="AE418" s="4">
        <v>0.5</v>
      </c>
      <c r="AF418" s="4"/>
      <c r="AG418" s="4"/>
      <c r="AH418" s="4"/>
      <c r="AI418" s="654"/>
      <c r="AJ418" s="655"/>
      <c r="AK418" s="4"/>
      <c r="AL418" s="4"/>
      <c r="AM418" s="4"/>
      <c r="AN418" s="4"/>
      <c r="AO418" s="4"/>
      <c r="AP418" s="4"/>
      <c r="AQ418" s="4"/>
      <c r="AR418" s="4"/>
      <c r="AS418" s="4"/>
      <c r="AT418" s="4"/>
      <c r="AU418" s="654"/>
      <c r="AV418" s="655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654"/>
      <c r="BH418" s="655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654"/>
      <c r="BT418" s="655"/>
      <c r="BU418" s="4"/>
      <c r="BV418" s="4"/>
      <c r="BW418" s="4"/>
      <c r="BX418" s="4"/>
      <c r="BY418" s="4"/>
      <c r="BZ418" s="4"/>
      <c r="CA418" s="4"/>
      <c r="CB418" s="4"/>
      <c r="CC418" s="4"/>
      <c r="CD418" s="4"/>
      <c r="CE418" s="693"/>
      <c r="CF418" s="723"/>
      <c r="CG418" s="4"/>
      <c r="CH418" s="4"/>
      <c r="CI418" s="4"/>
      <c r="CJ418" s="4"/>
      <c r="CK418" s="4"/>
      <c r="CL418" s="4"/>
      <c r="CM418" s="4">
        <v>135</v>
      </c>
      <c r="CN418" s="4"/>
      <c r="CO418" s="4"/>
      <c r="CP418" s="4"/>
      <c r="CQ418" s="654"/>
      <c r="CR418" s="655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654"/>
      <c r="DD418" s="655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654"/>
      <c r="DP418" s="655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654"/>
      <c r="EB418" s="655"/>
      <c r="EC418" s="4"/>
      <c r="ED418" s="4"/>
      <c r="EE418" s="4"/>
      <c r="EF418" s="4"/>
      <c r="EG418" s="4"/>
      <c r="EH418" s="4"/>
      <c r="EI418" s="4"/>
      <c r="EJ418" s="4"/>
      <c r="EK418" s="4"/>
      <c r="EL418" s="4"/>
      <c r="EM418" s="693"/>
      <c r="EN418" s="723"/>
      <c r="EO418" s="4"/>
      <c r="EP418" s="4"/>
      <c r="EQ418" s="4"/>
      <c r="ER418" s="4"/>
      <c r="ES418" s="4"/>
      <c r="ET418" s="4"/>
      <c r="EU418" s="4">
        <v>135</v>
      </c>
      <c r="EV418" s="4"/>
      <c r="EW418" s="4"/>
      <c r="EX418" s="4"/>
      <c r="EY418" s="654"/>
      <c r="EZ418" s="655"/>
      <c r="FA418" s="4"/>
      <c r="FB418" s="4"/>
      <c r="FC418" s="4"/>
      <c r="FD418" s="4"/>
      <c r="FE418" s="4"/>
      <c r="FF418" s="4"/>
      <c r="FG418" s="4"/>
      <c r="FH418" s="4"/>
      <c r="FI418" s="4"/>
      <c r="FJ418" s="4"/>
      <c r="FK418" s="654"/>
      <c r="FL418" s="655"/>
      <c r="FM418" s="4"/>
      <c r="FN418" s="4"/>
      <c r="FO418" s="4"/>
      <c r="FP418" s="4"/>
      <c r="FQ418" s="4"/>
      <c r="FR418" s="4"/>
      <c r="FS418" s="4"/>
      <c r="FT418" s="4"/>
      <c r="FU418" s="4"/>
      <c r="FV418" s="4"/>
      <c r="FW418" s="654"/>
      <c r="FX418" s="655"/>
      <c r="FY418" s="4"/>
      <c r="FZ418" s="4"/>
      <c r="GA418" s="4"/>
      <c r="GB418" s="4"/>
      <c r="GC418" s="4"/>
      <c r="GD418" s="4"/>
      <c r="GE418" s="4"/>
      <c r="GF418" s="4"/>
      <c r="GG418" s="4"/>
      <c r="GH418" s="4"/>
      <c r="GI418" s="654"/>
      <c r="GJ418" s="655"/>
      <c r="GK418" s="4"/>
      <c r="GL418" s="4"/>
      <c r="GM418" s="4"/>
      <c r="GN418" s="4"/>
      <c r="GO418" s="4"/>
      <c r="GP418" s="4"/>
      <c r="GQ418" s="4"/>
      <c r="GR418" s="4"/>
      <c r="GS418" s="4"/>
      <c r="GT418" s="4"/>
      <c r="GU418" s="722"/>
      <c r="GV418" s="715"/>
    </row>
    <row r="419" spans="1:204" x14ac:dyDescent="0.25">
      <c r="A419" t="s">
        <v>1674</v>
      </c>
      <c r="B419" s="2" t="s">
        <v>358</v>
      </c>
      <c r="C419" s="619">
        <v>44693</v>
      </c>
      <c r="D419" s="2" t="s">
        <v>1666</v>
      </c>
      <c r="E419" t="s">
        <v>58</v>
      </c>
      <c r="F419" s="2" t="s">
        <v>43</v>
      </c>
      <c r="G419" t="s">
        <v>40</v>
      </c>
      <c r="H419" s="690" t="s">
        <v>84</v>
      </c>
      <c r="I419" s="691" t="s">
        <v>349</v>
      </c>
      <c r="J419" s="721">
        <v>4973790000142</v>
      </c>
      <c r="K419" s="691" t="s">
        <v>43</v>
      </c>
      <c r="L419" s="721">
        <v>3780401000108</v>
      </c>
      <c r="M419" s="718" t="s">
        <v>3</v>
      </c>
      <c r="N419" s="717" t="s">
        <v>44</v>
      </c>
      <c r="O419" s="719">
        <v>44774</v>
      </c>
      <c r="P419" s="720">
        <v>44804</v>
      </c>
      <c r="Q419" s="718">
        <v>137</v>
      </c>
      <c r="R419" s="717">
        <v>5</v>
      </c>
      <c r="S419" s="691" t="s">
        <v>54</v>
      </c>
      <c r="T419" t="s">
        <v>358</v>
      </c>
      <c r="U419" s="673" t="s">
        <v>358</v>
      </c>
      <c r="V419" s="690" t="s">
        <v>358</v>
      </c>
      <c r="W419" s="657" t="s">
        <v>214</v>
      </c>
      <c r="X419" s="723"/>
      <c r="Y419" s="4"/>
      <c r="Z419" s="4"/>
      <c r="AA419" s="4"/>
      <c r="AB419" s="4"/>
      <c r="AC419" s="4"/>
      <c r="AD419" s="4"/>
      <c r="AE419" s="4">
        <v>5</v>
      </c>
      <c r="AF419" s="4"/>
      <c r="AG419" s="4"/>
      <c r="AH419" s="4"/>
      <c r="AI419" s="654"/>
      <c r="AJ419" s="655"/>
      <c r="AK419" s="4"/>
      <c r="AL419" s="4"/>
      <c r="AM419" s="4"/>
      <c r="AN419" s="4"/>
      <c r="AO419" s="4"/>
      <c r="AP419" s="4"/>
      <c r="AQ419" s="4"/>
      <c r="AR419" s="4"/>
      <c r="AS419" s="4"/>
      <c r="AT419" s="4"/>
      <c r="AU419" s="654"/>
      <c r="AV419" s="655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654"/>
      <c r="BH419" s="655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654"/>
      <c r="BT419" s="655"/>
      <c r="BU419" s="4"/>
      <c r="BV419" s="4"/>
      <c r="BW419" s="4"/>
      <c r="BX419" s="4"/>
      <c r="BY419" s="4"/>
      <c r="BZ419" s="4"/>
      <c r="CA419" s="4"/>
      <c r="CB419" s="4"/>
      <c r="CC419" s="4"/>
      <c r="CD419" s="4"/>
      <c r="CE419" s="693"/>
      <c r="CF419" s="723"/>
      <c r="CG419" s="4"/>
      <c r="CH419" s="4"/>
      <c r="CI419" s="4"/>
      <c r="CJ419" s="4"/>
      <c r="CK419" s="4"/>
      <c r="CL419" s="4"/>
      <c r="CM419" s="4">
        <v>137</v>
      </c>
      <c r="CN419" s="4"/>
      <c r="CO419" s="4"/>
      <c r="CP419" s="4"/>
      <c r="CQ419" s="654"/>
      <c r="CR419" s="655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654"/>
      <c r="DD419" s="655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654"/>
      <c r="DP419" s="655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654"/>
      <c r="EB419" s="655"/>
      <c r="EC419" s="4"/>
      <c r="ED419" s="4"/>
      <c r="EE419" s="4"/>
      <c r="EF419" s="4"/>
      <c r="EG419" s="4"/>
      <c r="EH419" s="4"/>
      <c r="EI419" s="4"/>
      <c r="EJ419" s="4"/>
      <c r="EK419" s="4"/>
      <c r="EL419" s="4"/>
      <c r="EM419" s="693"/>
      <c r="EN419" s="723"/>
      <c r="EO419" s="4"/>
      <c r="EP419" s="4"/>
      <c r="EQ419" s="4"/>
      <c r="ER419" s="4"/>
      <c r="ES419" s="4"/>
      <c r="ET419" s="4"/>
      <c r="EU419" s="4">
        <v>137</v>
      </c>
      <c r="EV419" s="4"/>
      <c r="EW419" s="4"/>
      <c r="EX419" s="4"/>
      <c r="EY419" s="654"/>
      <c r="EZ419" s="655"/>
      <c r="FA419" s="4"/>
      <c r="FB419" s="4"/>
      <c r="FC419" s="4"/>
      <c r="FD419" s="4"/>
      <c r="FE419" s="4"/>
      <c r="FF419" s="4"/>
      <c r="FG419" s="4"/>
      <c r="FH419" s="4"/>
      <c r="FI419" s="4"/>
      <c r="FJ419" s="4"/>
      <c r="FK419" s="654"/>
      <c r="FL419" s="655"/>
      <c r="FM419" s="4"/>
      <c r="FN419" s="4"/>
      <c r="FO419" s="4"/>
      <c r="FP419" s="4"/>
      <c r="FQ419" s="4"/>
      <c r="FR419" s="4"/>
      <c r="FS419" s="4"/>
      <c r="FT419" s="4"/>
      <c r="FU419" s="4"/>
      <c r="FV419" s="4"/>
      <c r="FW419" s="654"/>
      <c r="FX419" s="655"/>
      <c r="FY419" s="4"/>
      <c r="FZ419" s="4"/>
      <c r="GA419" s="4"/>
      <c r="GB419" s="4"/>
      <c r="GC419" s="4"/>
      <c r="GD419" s="4"/>
      <c r="GE419" s="4"/>
      <c r="GF419" s="4"/>
      <c r="GG419" s="4"/>
      <c r="GH419" s="4"/>
      <c r="GI419" s="654"/>
      <c r="GJ419" s="655"/>
      <c r="GK419" s="4"/>
      <c r="GL419" s="4"/>
      <c r="GM419" s="4"/>
      <c r="GN419" s="4"/>
      <c r="GO419" s="4"/>
      <c r="GP419" s="4"/>
      <c r="GQ419" s="4"/>
      <c r="GR419" s="4"/>
      <c r="GS419" s="4"/>
      <c r="GT419" s="4"/>
      <c r="GU419" s="722"/>
      <c r="GV419" s="715"/>
    </row>
    <row r="420" spans="1:204" x14ac:dyDescent="0.25">
      <c r="A420" t="s">
        <v>1682</v>
      </c>
      <c r="B420" s="2" t="s">
        <v>358</v>
      </c>
      <c r="C420" s="619">
        <v>44699</v>
      </c>
      <c r="D420" s="2" t="s">
        <v>1675</v>
      </c>
      <c r="E420" t="s">
        <v>59</v>
      </c>
      <c r="F420" s="2" t="s">
        <v>43</v>
      </c>
      <c r="G420" t="s">
        <v>40</v>
      </c>
      <c r="H420" s="690" t="s">
        <v>85</v>
      </c>
      <c r="I420" s="691" t="s">
        <v>43</v>
      </c>
      <c r="J420" s="721">
        <v>3780401000108</v>
      </c>
      <c r="K420" s="691" t="s">
        <v>510</v>
      </c>
      <c r="L420" s="721" t="s">
        <v>1679</v>
      </c>
      <c r="M420" s="718" t="s">
        <v>3</v>
      </c>
      <c r="N420" s="717" t="s">
        <v>44</v>
      </c>
      <c r="O420" s="719">
        <v>44743</v>
      </c>
      <c r="P420" s="720">
        <v>44773</v>
      </c>
      <c r="Q420" s="718">
        <v>115</v>
      </c>
      <c r="R420" s="717">
        <v>3</v>
      </c>
      <c r="S420" s="691" t="s">
        <v>54</v>
      </c>
      <c r="T420" t="s">
        <v>358</v>
      </c>
      <c r="U420" s="673" t="s">
        <v>358</v>
      </c>
      <c r="V420" s="690" t="s">
        <v>358</v>
      </c>
      <c r="W420" s="657" t="s">
        <v>214</v>
      </c>
      <c r="X420" s="723"/>
      <c r="Y420" s="4"/>
      <c r="Z420" s="4"/>
      <c r="AA420" s="4"/>
      <c r="AB420" s="4"/>
      <c r="AC420" s="4"/>
      <c r="AD420" s="4">
        <v>3</v>
      </c>
      <c r="AE420" s="4"/>
      <c r="AF420" s="4"/>
      <c r="AG420" s="4"/>
      <c r="AH420" s="4"/>
      <c r="AI420" s="654"/>
      <c r="AJ420" s="655"/>
      <c r="AK420" s="4"/>
      <c r="AL420" s="4"/>
      <c r="AM420" s="4"/>
      <c r="AN420" s="4"/>
      <c r="AO420" s="4"/>
      <c r="AP420" s="4"/>
      <c r="AQ420" s="4"/>
      <c r="AR420" s="4"/>
      <c r="AS420" s="4"/>
      <c r="AT420" s="4"/>
      <c r="AU420" s="654"/>
      <c r="AV420" s="655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654"/>
      <c r="BH420" s="655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654"/>
      <c r="BT420" s="655"/>
      <c r="BU420" s="4"/>
      <c r="BV420" s="4"/>
      <c r="BW420" s="4"/>
      <c r="BX420" s="4"/>
      <c r="BY420" s="4"/>
      <c r="BZ420" s="4"/>
      <c r="CA420" s="4"/>
      <c r="CB420" s="4"/>
      <c r="CC420" s="4"/>
      <c r="CD420" s="4"/>
      <c r="CE420" s="693"/>
      <c r="CF420" s="723"/>
      <c r="CG420" s="4"/>
      <c r="CH420" s="4"/>
      <c r="CI420" s="4"/>
      <c r="CJ420" s="4"/>
      <c r="CK420" s="4"/>
      <c r="CL420" s="4">
        <v>115</v>
      </c>
      <c r="CM420" s="4"/>
      <c r="CN420" s="4"/>
      <c r="CO420" s="4"/>
      <c r="CP420" s="4"/>
      <c r="CQ420" s="654"/>
      <c r="CR420" s="655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654"/>
      <c r="DD420" s="655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654"/>
      <c r="DP420" s="655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654"/>
      <c r="EB420" s="655"/>
      <c r="EC420" s="4"/>
      <c r="ED420" s="4"/>
      <c r="EE420" s="4"/>
      <c r="EF420" s="4"/>
      <c r="EG420" s="4"/>
      <c r="EH420" s="4"/>
      <c r="EI420" s="4"/>
      <c r="EJ420" s="4"/>
      <c r="EK420" s="4"/>
      <c r="EL420" s="4"/>
      <c r="EM420" s="693"/>
      <c r="EN420" s="723"/>
      <c r="EO420" s="4"/>
      <c r="EP420" s="4"/>
      <c r="EQ420" s="4"/>
      <c r="ER420" s="4"/>
      <c r="ES420" s="4"/>
      <c r="ET420" s="4">
        <v>115</v>
      </c>
      <c r="EU420" s="4"/>
      <c r="EV420" s="4"/>
      <c r="EW420" s="4"/>
      <c r="EX420" s="4"/>
      <c r="EY420" s="654"/>
      <c r="EZ420" s="655"/>
      <c r="FA420" s="4"/>
      <c r="FB420" s="4"/>
      <c r="FC420" s="4"/>
      <c r="FD420" s="4"/>
      <c r="FE420" s="4"/>
      <c r="FF420" s="4"/>
      <c r="FG420" s="4"/>
      <c r="FH420" s="4"/>
      <c r="FI420" s="4"/>
      <c r="FJ420" s="4"/>
      <c r="FK420" s="654"/>
      <c r="FL420" s="655"/>
      <c r="FM420" s="4"/>
      <c r="FN420" s="4"/>
      <c r="FO420" s="4"/>
      <c r="FP420" s="4"/>
      <c r="FQ420" s="4"/>
      <c r="FR420" s="4"/>
      <c r="FS420" s="4"/>
      <c r="FT420" s="4"/>
      <c r="FU420" s="4"/>
      <c r="FV420" s="4"/>
      <c r="FW420" s="654"/>
      <c r="FX420" s="655"/>
      <c r="FY420" s="4"/>
      <c r="FZ420" s="4"/>
      <c r="GA420" s="4"/>
      <c r="GB420" s="4"/>
      <c r="GC420" s="4"/>
      <c r="GD420" s="4"/>
      <c r="GE420" s="4"/>
      <c r="GF420" s="4"/>
      <c r="GG420" s="4"/>
      <c r="GH420" s="4"/>
      <c r="GI420" s="654"/>
      <c r="GJ420" s="655"/>
      <c r="GK420" s="4"/>
      <c r="GL420" s="4"/>
      <c r="GM420" s="4"/>
      <c r="GN420" s="4"/>
      <c r="GO420" s="4"/>
      <c r="GP420" s="4"/>
      <c r="GQ420" s="4"/>
      <c r="GR420" s="4"/>
      <c r="GS420" s="4"/>
      <c r="GT420" s="4"/>
      <c r="GU420" s="722"/>
      <c r="GV420" s="715"/>
    </row>
    <row r="421" spans="1:204" x14ac:dyDescent="0.25">
      <c r="A421" t="s">
        <v>1683</v>
      </c>
      <c r="B421" s="2" t="s">
        <v>358</v>
      </c>
      <c r="C421" s="619">
        <v>44699</v>
      </c>
      <c r="D421" s="2" t="s">
        <v>1676</v>
      </c>
      <c r="E421" t="s">
        <v>59</v>
      </c>
      <c r="F421" s="2" t="s">
        <v>43</v>
      </c>
      <c r="G421" t="s">
        <v>40</v>
      </c>
      <c r="H421" s="690" t="s">
        <v>85</v>
      </c>
      <c r="I421" s="691" t="s">
        <v>43</v>
      </c>
      <c r="J421" s="721">
        <v>3780401000108</v>
      </c>
      <c r="K421" s="691" t="s">
        <v>510</v>
      </c>
      <c r="L421" s="721" t="s">
        <v>1679</v>
      </c>
      <c r="M421" s="718" t="s">
        <v>3</v>
      </c>
      <c r="N421" s="717" t="s">
        <v>44</v>
      </c>
      <c r="O421" s="719">
        <v>44743</v>
      </c>
      <c r="P421" s="720">
        <v>44773</v>
      </c>
      <c r="Q421" s="718">
        <v>115</v>
      </c>
      <c r="R421" s="717">
        <v>2</v>
      </c>
      <c r="S421" s="691" t="s">
        <v>54</v>
      </c>
      <c r="T421" t="s">
        <v>358</v>
      </c>
      <c r="U421" s="673" t="s">
        <v>358</v>
      </c>
      <c r="V421" s="690" t="s">
        <v>358</v>
      </c>
      <c r="W421" s="657" t="s">
        <v>214</v>
      </c>
      <c r="X421" s="723"/>
      <c r="Y421" s="4"/>
      <c r="Z421" s="4"/>
      <c r="AA421" s="4"/>
      <c r="AB421" s="4"/>
      <c r="AC421" s="4"/>
      <c r="AD421" s="4">
        <v>2</v>
      </c>
      <c r="AE421" s="4"/>
      <c r="AF421" s="4"/>
      <c r="AG421" s="4"/>
      <c r="AH421" s="4"/>
      <c r="AI421" s="654"/>
      <c r="AJ421" s="655"/>
      <c r="AK421" s="4"/>
      <c r="AL421" s="4"/>
      <c r="AM421" s="4"/>
      <c r="AN421" s="4"/>
      <c r="AO421" s="4"/>
      <c r="AP421" s="4"/>
      <c r="AQ421" s="4"/>
      <c r="AR421" s="4"/>
      <c r="AS421" s="4"/>
      <c r="AT421" s="4"/>
      <c r="AU421" s="654"/>
      <c r="AV421" s="655"/>
      <c r="AW421" s="4"/>
      <c r="AX421" s="4"/>
      <c r="AY421" s="4"/>
      <c r="AZ421" s="4"/>
      <c r="BA421" s="4"/>
      <c r="BB421" s="4"/>
      <c r="BC421" s="4"/>
      <c r="BD421" s="4"/>
      <c r="BE421" s="4"/>
      <c r="BF421" s="4"/>
      <c r="BG421" s="654"/>
      <c r="BH421" s="655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654"/>
      <c r="BT421" s="655"/>
      <c r="BU421" s="4"/>
      <c r="BV421" s="4"/>
      <c r="BW421" s="4"/>
      <c r="BX421" s="4"/>
      <c r="BY421" s="4"/>
      <c r="BZ421" s="4"/>
      <c r="CA421" s="4"/>
      <c r="CB421" s="4"/>
      <c r="CC421" s="4"/>
      <c r="CD421" s="4"/>
      <c r="CE421" s="693"/>
      <c r="CF421" s="723"/>
      <c r="CG421" s="4"/>
      <c r="CH421" s="4"/>
      <c r="CI421" s="4"/>
      <c r="CJ421" s="4"/>
      <c r="CK421" s="4"/>
      <c r="CL421" s="4">
        <v>115</v>
      </c>
      <c r="CM421" s="4"/>
      <c r="CN421" s="4"/>
      <c r="CO421" s="4"/>
      <c r="CP421" s="4"/>
      <c r="CQ421" s="654"/>
      <c r="CR421" s="655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654"/>
      <c r="DD421" s="655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654"/>
      <c r="DP421" s="655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654"/>
      <c r="EB421" s="655"/>
      <c r="EC421" s="4"/>
      <c r="ED421" s="4"/>
      <c r="EE421" s="4"/>
      <c r="EF421" s="4"/>
      <c r="EG421" s="4"/>
      <c r="EH421" s="4"/>
      <c r="EI421" s="4"/>
      <c r="EJ421" s="4"/>
      <c r="EK421" s="4"/>
      <c r="EL421" s="4"/>
      <c r="EM421" s="693"/>
      <c r="EN421" s="723"/>
      <c r="EO421" s="4"/>
      <c r="EP421" s="4"/>
      <c r="EQ421" s="4"/>
      <c r="ER421" s="4"/>
      <c r="ES421" s="4"/>
      <c r="ET421" s="4">
        <v>115</v>
      </c>
      <c r="EU421" s="4"/>
      <c r="EV421" s="4"/>
      <c r="EW421" s="4"/>
      <c r="EX421" s="4"/>
      <c r="EY421" s="654"/>
      <c r="EZ421" s="655"/>
      <c r="FA421" s="4"/>
      <c r="FB421" s="4"/>
      <c r="FC421" s="4"/>
      <c r="FD421" s="4"/>
      <c r="FE421" s="4"/>
      <c r="FF421" s="4"/>
      <c r="FG421" s="4"/>
      <c r="FH421" s="4"/>
      <c r="FI421" s="4"/>
      <c r="FJ421" s="4"/>
      <c r="FK421" s="654"/>
      <c r="FL421" s="655"/>
      <c r="FM421" s="4"/>
      <c r="FN421" s="4"/>
      <c r="FO421" s="4"/>
      <c r="FP421" s="4"/>
      <c r="FQ421" s="4"/>
      <c r="FR421" s="4"/>
      <c r="FS421" s="4"/>
      <c r="FT421" s="4"/>
      <c r="FU421" s="4"/>
      <c r="FV421" s="4"/>
      <c r="FW421" s="654"/>
      <c r="FX421" s="655"/>
      <c r="FY421" s="4"/>
      <c r="FZ421" s="4"/>
      <c r="GA421" s="4"/>
      <c r="GB421" s="4"/>
      <c r="GC421" s="4"/>
      <c r="GD421" s="4"/>
      <c r="GE421" s="4"/>
      <c r="GF421" s="4"/>
      <c r="GG421" s="4"/>
      <c r="GH421" s="4"/>
      <c r="GI421" s="654"/>
      <c r="GJ421" s="655"/>
      <c r="GK421" s="4"/>
      <c r="GL421" s="4"/>
      <c r="GM421" s="4"/>
      <c r="GN421" s="4"/>
      <c r="GO421" s="4"/>
      <c r="GP421" s="4"/>
      <c r="GQ421" s="4"/>
      <c r="GR421" s="4"/>
      <c r="GS421" s="4"/>
      <c r="GT421" s="4"/>
      <c r="GU421" s="722"/>
      <c r="GV421" s="715"/>
    </row>
    <row r="422" spans="1:204" x14ac:dyDescent="0.25">
      <c r="A422" t="s">
        <v>1684</v>
      </c>
      <c r="B422" s="2" t="s">
        <v>358</v>
      </c>
      <c r="C422" s="619">
        <v>44699</v>
      </c>
      <c r="D422" s="2" t="s">
        <v>1677</v>
      </c>
      <c r="E422" t="s">
        <v>58</v>
      </c>
      <c r="F422" s="2" t="s">
        <v>43</v>
      </c>
      <c r="G422" t="s">
        <v>40</v>
      </c>
      <c r="H422" s="690" t="s">
        <v>84</v>
      </c>
      <c r="I422" s="691" t="s">
        <v>902</v>
      </c>
      <c r="J422" s="721" t="s">
        <v>1680</v>
      </c>
      <c r="K422" s="691" t="s">
        <v>43</v>
      </c>
      <c r="L422" s="721">
        <v>3780401000108</v>
      </c>
      <c r="M422" s="718" t="s">
        <v>3</v>
      </c>
      <c r="N422" s="717" t="s">
        <v>44</v>
      </c>
      <c r="O422" s="719">
        <v>44805</v>
      </c>
      <c r="P422" s="720">
        <v>44834</v>
      </c>
      <c r="Q422" s="718">
        <v>134</v>
      </c>
      <c r="R422" s="717">
        <v>1.5</v>
      </c>
      <c r="S422" s="691" t="s">
        <v>54</v>
      </c>
      <c r="T422" t="s">
        <v>358</v>
      </c>
      <c r="U422" s="673" t="s">
        <v>358</v>
      </c>
      <c r="V422" s="690" t="s">
        <v>358</v>
      </c>
      <c r="W422" s="657" t="s">
        <v>214</v>
      </c>
      <c r="X422" s="723"/>
      <c r="Y422" s="4"/>
      <c r="Z422" s="4"/>
      <c r="AA422" s="4"/>
      <c r="AB422" s="4"/>
      <c r="AC422" s="4"/>
      <c r="AD422" s="4"/>
      <c r="AE422" s="4"/>
      <c r="AF422" s="4">
        <v>1.5</v>
      </c>
      <c r="AG422" s="4"/>
      <c r="AH422" s="4"/>
      <c r="AI422" s="654"/>
      <c r="AJ422" s="655"/>
      <c r="AK422" s="4"/>
      <c r="AL422" s="4"/>
      <c r="AM422" s="4"/>
      <c r="AN422" s="4"/>
      <c r="AO422" s="4"/>
      <c r="AP422" s="4"/>
      <c r="AQ422" s="4"/>
      <c r="AR422" s="4"/>
      <c r="AS422" s="4"/>
      <c r="AT422" s="4"/>
      <c r="AU422" s="654"/>
      <c r="AV422" s="655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654"/>
      <c r="BH422" s="655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654"/>
      <c r="BT422" s="655"/>
      <c r="BU422" s="4"/>
      <c r="BV422" s="4"/>
      <c r="BW422" s="4"/>
      <c r="BX422" s="4"/>
      <c r="BY422" s="4"/>
      <c r="BZ422" s="4"/>
      <c r="CA422" s="4"/>
      <c r="CB422" s="4"/>
      <c r="CC422" s="4"/>
      <c r="CD422" s="4"/>
      <c r="CE422" s="693"/>
      <c r="CF422" s="723"/>
      <c r="CG422" s="4"/>
      <c r="CH422" s="4"/>
      <c r="CI422" s="4"/>
      <c r="CJ422" s="4"/>
      <c r="CK422" s="4"/>
      <c r="CL422" s="4"/>
      <c r="CM422" s="4"/>
      <c r="CN422" s="4">
        <v>134</v>
      </c>
      <c r="CO422" s="4"/>
      <c r="CP422" s="4"/>
      <c r="CQ422" s="654"/>
      <c r="CR422" s="655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654"/>
      <c r="DD422" s="655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654"/>
      <c r="DP422" s="655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654"/>
      <c r="EB422" s="655"/>
      <c r="EC422" s="4"/>
      <c r="ED422" s="4"/>
      <c r="EE422" s="4"/>
      <c r="EF422" s="4"/>
      <c r="EG422" s="4"/>
      <c r="EH422" s="4"/>
      <c r="EI422" s="4"/>
      <c r="EJ422" s="4"/>
      <c r="EK422" s="4"/>
      <c r="EL422" s="4"/>
      <c r="EM422" s="693"/>
      <c r="EN422" s="723"/>
      <c r="EO422" s="4"/>
      <c r="EP422" s="4"/>
      <c r="EQ422" s="4"/>
      <c r="ER422" s="4"/>
      <c r="ES422" s="4"/>
      <c r="ET422" s="4"/>
      <c r="EU422" s="4"/>
      <c r="EV422" s="4">
        <v>134</v>
      </c>
      <c r="EW422" s="4"/>
      <c r="EX422" s="4"/>
      <c r="EY422" s="654"/>
      <c r="EZ422" s="655"/>
      <c r="FA422" s="4"/>
      <c r="FB422" s="4"/>
      <c r="FC422" s="4"/>
      <c r="FD422" s="4"/>
      <c r="FE422" s="4"/>
      <c r="FF422" s="4"/>
      <c r="FG422" s="4"/>
      <c r="FH422" s="4"/>
      <c r="FI422" s="4"/>
      <c r="FJ422" s="4"/>
      <c r="FK422" s="654"/>
      <c r="FL422" s="655"/>
      <c r="FM422" s="4"/>
      <c r="FN422" s="4"/>
      <c r="FO422" s="4"/>
      <c r="FP422" s="4"/>
      <c r="FQ422" s="4"/>
      <c r="FR422" s="4"/>
      <c r="FS422" s="4"/>
      <c r="FT422" s="4"/>
      <c r="FU422" s="4"/>
      <c r="FV422" s="4"/>
      <c r="FW422" s="654"/>
      <c r="FX422" s="655"/>
      <c r="FY422" s="4"/>
      <c r="FZ422" s="4"/>
      <c r="GA422" s="4"/>
      <c r="GB422" s="4"/>
      <c r="GC422" s="4"/>
      <c r="GD422" s="4"/>
      <c r="GE422" s="4"/>
      <c r="GF422" s="4"/>
      <c r="GG422" s="4"/>
      <c r="GH422" s="4"/>
      <c r="GI422" s="654"/>
      <c r="GJ422" s="655"/>
      <c r="GK422" s="4"/>
      <c r="GL422" s="4"/>
      <c r="GM422" s="4"/>
      <c r="GN422" s="4"/>
      <c r="GO422" s="4"/>
      <c r="GP422" s="4"/>
      <c r="GQ422" s="4"/>
      <c r="GR422" s="4"/>
      <c r="GS422" s="4"/>
      <c r="GT422" s="4"/>
      <c r="GU422" s="722"/>
      <c r="GV422" s="715"/>
    </row>
    <row r="423" spans="1:204" x14ac:dyDescent="0.25">
      <c r="A423" t="s">
        <v>1685</v>
      </c>
      <c r="B423" s="2" t="s">
        <v>358</v>
      </c>
      <c r="C423" s="619">
        <v>44699</v>
      </c>
      <c r="D423" s="2" t="s">
        <v>1678</v>
      </c>
      <c r="E423" t="s">
        <v>58</v>
      </c>
      <c r="F423" s="2" t="s">
        <v>43</v>
      </c>
      <c r="G423" t="s">
        <v>40</v>
      </c>
      <c r="H423" s="690" t="s">
        <v>84</v>
      </c>
      <c r="I423" s="691" t="s">
        <v>945</v>
      </c>
      <c r="J423" s="721" t="s">
        <v>1681</v>
      </c>
      <c r="K423" s="691" t="s">
        <v>43</v>
      </c>
      <c r="L423" s="721">
        <v>3780401000108</v>
      </c>
      <c r="M423" s="718" t="s">
        <v>3</v>
      </c>
      <c r="N423" s="717" t="s">
        <v>44</v>
      </c>
      <c r="O423" s="719">
        <v>44805</v>
      </c>
      <c r="P423" s="720">
        <v>44834</v>
      </c>
      <c r="Q423" s="718">
        <v>134</v>
      </c>
      <c r="R423" s="717">
        <v>0.5</v>
      </c>
      <c r="S423" s="691" t="s">
        <v>54</v>
      </c>
      <c r="T423" t="s">
        <v>358</v>
      </c>
      <c r="U423" s="673" t="s">
        <v>358</v>
      </c>
      <c r="V423" s="690" t="s">
        <v>358</v>
      </c>
      <c r="W423" s="657" t="s">
        <v>214</v>
      </c>
      <c r="X423" s="723"/>
      <c r="Y423" s="4"/>
      <c r="Z423" s="4"/>
      <c r="AA423" s="4"/>
      <c r="AB423" s="4"/>
      <c r="AC423" s="4"/>
      <c r="AD423" s="4"/>
      <c r="AE423" s="4"/>
      <c r="AF423" s="4">
        <v>0.5</v>
      </c>
      <c r="AG423" s="4"/>
      <c r="AH423" s="4"/>
      <c r="AI423" s="654"/>
      <c r="AJ423" s="655"/>
      <c r="AK423" s="4"/>
      <c r="AL423" s="4"/>
      <c r="AM423" s="4"/>
      <c r="AN423" s="4"/>
      <c r="AO423" s="4"/>
      <c r="AP423" s="4"/>
      <c r="AQ423" s="4"/>
      <c r="AR423" s="4"/>
      <c r="AS423" s="4"/>
      <c r="AT423" s="4"/>
      <c r="AU423" s="654"/>
      <c r="AV423" s="655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654"/>
      <c r="BH423" s="655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654"/>
      <c r="BT423" s="655"/>
      <c r="BU423" s="4"/>
      <c r="BV423" s="4"/>
      <c r="BW423" s="4"/>
      <c r="BX423" s="4"/>
      <c r="BY423" s="4"/>
      <c r="BZ423" s="4"/>
      <c r="CA423" s="4"/>
      <c r="CB423" s="4"/>
      <c r="CC423" s="4"/>
      <c r="CD423" s="4"/>
      <c r="CE423" s="693"/>
      <c r="CF423" s="723"/>
      <c r="CG423" s="4"/>
      <c r="CH423" s="4"/>
      <c r="CI423" s="4"/>
      <c r="CJ423" s="4"/>
      <c r="CK423" s="4"/>
      <c r="CL423" s="4"/>
      <c r="CM423" s="4"/>
      <c r="CN423" s="4">
        <v>134</v>
      </c>
      <c r="CO423" s="4"/>
      <c r="CP423" s="4"/>
      <c r="CQ423" s="654"/>
      <c r="CR423" s="655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654"/>
      <c r="DD423" s="655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654"/>
      <c r="DP423" s="655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654"/>
      <c r="EB423" s="655"/>
      <c r="EC423" s="4"/>
      <c r="ED423" s="4"/>
      <c r="EE423" s="4"/>
      <c r="EF423" s="4"/>
      <c r="EG423" s="4"/>
      <c r="EH423" s="4"/>
      <c r="EI423" s="4"/>
      <c r="EJ423" s="4"/>
      <c r="EK423" s="4"/>
      <c r="EL423" s="4"/>
      <c r="EM423" s="693"/>
      <c r="EN423" s="723"/>
      <c r="EO423" s="4"/>
      <c r="EP423" s="4"/>
      <c r="EQ423" s="4"/>
      <c r="ER423" s="4"/>
      <c r="ES423" s="4"/>
      <c r="ET423" s="4"/>
      <c r="EU423" s="4"/>
      <c r="EV423" s="4">
        <v>134</v>
      </c>
      <c r="EW423" s="4"/>
      <c r="EX423" s="4"/>
      <c r="EY423" s="654"/>
      <c r="EZ423" s="655"/>
      <c r="FA423" s="4"/>
      <c r="FB423" s="4"/>
      <c r="FC423" s="4"/>
      <c r="FD423" s="4"/>
      <c r="FE423" s="4"/>
      <c r="FF423" s="4"/>
      <c r="FG423" s="4"/>
      <c r="FH423" s="4"/>
      <c r="FI423" s="4"/>
      <c r="FJ423" s="4"/>
      <c r="FK423" s="654"/>
      <c r="FL423" s="655"/>
      <c r="FM423" s="4"/>
      <c r="FN423" s="4"/>
      <c r="FO423" s="4"/>
      <c r="FP423" s="4"/>
      <c r="FQ423" s="4"/>
      <c r="FR423" s="4"/>
      <c r="FS423" s="4"/>
      <c r="FT423" s="4"/>
      <c r="FU423" s="4"/>
      <c r="FV423" s="4"/>
      <c r="FW423" s="654"/>
      <c r="FX423" s="655"/>
      <c r="FY423" s="4"/>
      <c r="FZ423" s="4"/>
      <c r="GA423" s="4"/>
      <c r="GB423" s="4"/>
      <c r="GC423" s="4"/>
      <c r="GD423" s="4"/>
      <c r="GE423" s="4"/>
      <c r="GF423" s="4"/>
      <c r="GG423" s="4"/>
      <c r="GH423" s="4"/>
      <c r="GI423" s="654"/>
      <c r="GJ423" s="655"/>
      <c r="GK423" s="4"/>
      <c r="GL423" s="4"/>
      <c r="GM423" s="4"/>
      <c r="GN423" s="4"/>
      <c r="GO423" s="4"/>
      <c r="GP423" s="4"/>
      <c r="GQ423" s="4"/>
      <c r="GR423" s="4"/>
      <c r="GS423" s="4"/>
      <c r="GT423" s="4"/>
      <c r="GU423" s="722"/>
      <c r="GV423" s="715"/>
    </row>
    <row r="424" spans="1:204" x14ac:dyDescent="0.25">
      <c r="A424" t="s">
        <v>1691</v>
      </c>
      <c r="B424" s="2" t="s">
        <v>358</v>
      </c>
      <c r="C424" s="619">
        <v>44700</v>
      </c>
      <c r="D424" s="2" t="s">
        <v>1686</v>
      </c>
      <c r="E424" t="s">
        <v>58</v>
      </c>
      <c r="F424" s="2" t="s">
        <v>43</v>
      </c>
      <c r="G424" t="s">
        <v>40</v>
      </c>
      <c r="H424" s="690" t="s">
        <v>84</v>
      </c>
      <c r="I424" s="691" t="s">
        <v>945</v>
      </c>
      <c r="J424" s="721">
        <v>12630054000110</v>
      </c>
      <c r="K424" s="691" t="s">
        <v>43</v>
      </c>
      <c r="L424" s="721">
        <v>3780401000108</v>
      </c>
      <c r="M424" s="718" t="s">
        <v>3</v>
      </c>
      <c r="N424" s="717" t="s">
        <v>44</v>
      </c>
      <c r="O424" s="719">
        <v>44805</v>
      </c>
      <c r="P424" s="720">
        <v>44834</v>
      </c>
      <c r="Q424" s="718">
        <v>133</v>
      </c>
      <c r="R424" s="717">
        <v>1</v>
      </c>
      <c r="S424" s="691" t="s">
        <v>54</v>
      </c>
      <c r="T424" t="s">
        <v>358</v>
      </c>
      <c r="U424" s="673" t="s">
        <v>358</v>
      </c>
      <c r="V424" s="690" t="s">
        <v>358</v>
      </c>
      <c r="W424" s="657" t="s">
        <v>214</v>
      </c>
      <c r="X424" s="723"/>
      <c r="Y424" s="4"/>
      <c r="Z424" s="4"/>
      <c r="AA424" s="4"/>
      <c r="AB424" s="4"/>
      <c r="AC424" s="4"/>
      <c r="AD424" s="4"/>
      <c r="AE424" s="4"/>
      <c r="AF424" s="4">
        <v>1</v>
      </c>
      <c r="AG424" s="4"/>
      <c r="AH424" s="4"/>
      <c r="AI424" s="654"/>
      <c r="AJ424" s="655"/>
      <c r="AK424" s="4"/>
      <c r="AL424" s="4"/>
      <c r="AM424" s="4"/>
      <c r="AN424" s="4"/>
      <c r="AO424" s="4"/>
      <c r="AP424" s="4"/>
      <c r="AQ424" s="4"/>
      <c r="AR424" s="4"/>
      <c r="AS424" s="4"/>
      <c r="AT424" s="4"/>
      <c r="AU424" s="654"/>
      <c r="AV424" s="655"/>
      <c r="AW424" s="4"/>
      <c r="AX424" s="4"/>
      <c r="AY424" s="4"/>
      <c r="AZ424" s="4"/>
      <c r="BA424" s="4"/>
      <c r="BB424" s="4"/>
      <c r="BC424" s="4"/>
      <c r="BD424" s="4"/>
      <c r="BE424" s="4"/>
      <c r="BF424" s="4"/>
      <c r="BG424" s="654"/>
      <c r="BH424" s="655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654"/>
      <c r="BT424" s="655"/>
      <c r="BU424" s="4"/>
      <c r="BV424" s="4"/>
      <c r="BW424" s="4"/>
      <c r="BX424" s="4"/>
      <c r="BY424" s="4"/>
      <c r="BZ424" s="4"/>
      <c r="CA424" s="4"/>
      <c r="CB424" s="4"/>
      <c r="CC424" s="4"/>
      <c r="CD424" s="4"/>
      <c r="CE424" s="693"/>
      <c r="CF424" s="723"/>
      <c r="CG424" s="4"/>
      <c r="CH424" s="4"/>
      <c r="CI424" s="4"/>
      <c r="CJ424" s="4"/>
      <c r="CK424" s="4"/>
      <c r="CL424" s="4"/>
      <c r="CM424" s="4"/>
      <c r="CN424" s="4">
        <v>133</v>
      </c>
      <c r="CO424" s="4"/>
      <c r="CP424" s="4"/>
      <c r="CQ424" s="654"/>
      <c r="CR424" s="655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654"/>
      <c r="DD424" s="655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654"/>
      <c r="DP424" s="655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654"/>
      <c r="EB424" s="655"/>
      <c r="EC424" s="4"/>
      <c r="ED424" s="4"/>
      <c r="EE424" s="4"/>
      <c r="EF424" s="4"/>
      <c r="EG424" s="4"/>
      <c r="EH424" s="4"/>
      <c r="EI424" s="4"/>
      <c r="EJ424" s="4"/>
      <c r="EK424" s="4"/>
      <c r="EL424" s="4"/>
      <c r="EM424" s="693"/>
      <c r="EN424" s="723"/>
      <c r="EO424" s="4"/>
      <c r="EP424" s="4"/>
      <c r="EQ424" s="4"/>
      <c r="ER424" s="4"/>
      <c r="ES424" s="4"/>
      <c r="ET424" s="4"/>
      <c r="EU424" s="4"/>
      <c r="EV424" s="4">
        <v>133</v>
      </c>
      <c r="EW424" s="4"/>
      <c r="EX424" s="4"/>
      <c r="EY424" s="654"/>
      <c r="EZ424" s="655"/>
      <c r="FA424" s="4"/>
      <c r="FB424" s="4"/>
      <c r="FC424" s="4"/>
      <c r="FD424" s="4"/>
      <c r="FE424" s="4"/>
      <c r="FF424" s="4"/>
      <c r="FG424" s="4"/>
      <c r="FH424" s="4"/>
      <c r="FI424" s="4"/>
      <c r="FJ424" s="4"/>
      <c r="FK424" s="654"/>
      <c r="FL424" s="655"/>
      <c r="FM424" s="4"/>
      <c r="FN424" s="4"/>
      <c r="FO424" s="4"/>
      <c r="FP424" s="4"/>
      <c r="FQ424" s="4"/>
      <c r="FR424" s="4"/>
      <c r="FS424" s="4"/>
      <c r="FT424" s="4"/>
      <c r="FU424" s="4"/>
      <c r="FV424" s="4"/>
      <c r="FW424" s="654"/>
      <c r="FX424" s="655"/>
      <c r="FY424" s="4"/>
      <c r="FZ424" s="4"/>
      <c r="GA424" s="4"/>
      <c r="GB424" s="4"/>
      <c r="GC424" s="4"/>
      <c r="GD424" s="4"/>
      <c r="GE424" s="4"/>
      <c r="GF424" s="4"/>
      <c r="GG424" s="4"/>
      <c r="GH424" s="4"/>
      <c r="GI424" s="654"/>
      <c r="GJ424" s="655"/>
      <c r="GK424" s="4"/>
      <c r="GL424" s="4"/>
      <c r="GM424" s="4"/>
      <c r="GN424" s="4"/>
      <c r="GO424" s="4"/>
      <c r="GP424" s="4"/>
      <c r="GQ424" s="4"/>
      <c r="GR424" s="4"/>
      <c r="GS424" s="4"/>
      <c r="GT424" s="4"/>
      <c r="GU424" s="722"/>
      <c r="GV424" s="715"/>
    </row>
    <row r="425" spans="1:204" x14ac:dyDescent="0.25">
      <c r="A425" t="s">
        <v>1692</v>
      </c>
      <c r="B425" s="2" t="s">
        <v>358</v>
      </c>
      <c r="C425" s="619">
        <v>44700</v>
      </c>
      <c r="D425" s="2" t="s">
        <v>1687</v>
      </c>
      <c r="E425" t="s">
        <v>58</v>
      </c>
      <c r="F425" s="2" t="s">
        <v>43</v>
      </c>
      <c r="G425" t="s">
        <v>40</v>
      </c>
      <c r="H425" s="690" t="s">
        <v>84</v>
      </c>
      <c r="I425" s="691" t="s">
        <v>474</v>
      </c>
      <c r="J425" s="721">
        <v>30483222000173</v>
      </c>
      <c r="K425" s="691" t="s">
        <v>43</v>
      </c>
      <c r="L425" s="721">
        <v>3780401000108</v>
      </c>
      <c r="M425" s="718" t="s">
        <v>3</v>
      </c>
      <c r="N425" s="717" t="s">
        <v>44</v>
      </c>
      <c r="O425" s="719">
        <v>44682</v>
      </c>
      <c r="P425" s="720">
        <v>44712</v>
      </c>
      <c r="Q425" s="718">
        <v>59</v>
      </c>
      <c r="R425" s="717">
        <v>4</v>
      </c>
      <c r="S425" s="691" t="s">
        <v>54</v>
      </c>
      <c r="T425" t="s">
        <v>358</v>
      </c>
      <c r="U425" s="673" t="s">
        <v>358</v>
      </c>
      <c r="V425" s="690" t="s">
        <v>358</v>
      </c>
      <c r="W425" s="657" t="s">
        <v>214</v>
      </c>
      <c r="X425" s="723"/>
      <c r="Y425" s="4"/>
      <c r="Z425" s="4"/>
      <c r="AA425" s="4"/>
      <c r="AB425" s="4">
        <v>4</v>
      </c>
      <c r="AC425" s="4"/>
      <c r="AD425" s="4"/>
      <c r="AE425" s="4"/>
      <c r="AF425" s="4"/>
      <c r="AG425" s="4"/>
      <c r="AH425" s="4"/>
      <c r="AI425" s="654"/>
      <c r="AJ425" s="655"/>
      <c r="AK425" s="4"/>
      <c r="AL425" s="4"/>
      <c r="AM425" s="4"/>
      <c r="AN425" s="4"/>
      <c r="AO425" s="4"/>
      <c r="AP425" s="4"/>
      <c r="AQ425" s="4"/>
      <c r="AR425" s="4"/>
      <c r="AS425" s="4"/>
      <c r="AT425" s="4"/>
      <c r="AU425" s="654"/>
      <c r="AV425" s="655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654"/>
      <c r="BH425" s="655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654"/>
      <c r="BT425" s="655"/>
      <c r="BU425" s="4"/>
      <c r="BV425" s="4"/>
      <c r="BW425" s="4"/>
      <c r="BX425" s="4"/>
      <c r="BY425" s="4"/>
      <c r="BZ425" s="4"/>
      <c r="CA425" s="4"/>
      <c r="CB425" s="4"/>
      <c r="CC425" s="4"/>
      <c r="CD425" s="4"/>
      <c r="CE425" s="693"/>
      <c r="CF425" s="723"/>
      <c r="CG425" s="4"/>
      <c r="CH425" s="4"/>
      <c r="CI425" s="4"/>
      <c r="CJ425" s="4">
        <v>59</v>
      </c>
      <c r="CK425" s="4"/>
      <c r="CL425" s="4"/>
      <c r="CM425" s="4"/>
      <c r="CN425" s="4"/>
      <c r="CO425" s="4"/>
      <c r="CP425" s="4"/>
      <c r="CQ425" s="654"/>
      <c r="CR425" s="655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654"/>
      <c r="DD425" s="655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654"/>
      <c r="DP425" s="655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654"/>
      <c r="EB425" s="655"/>
      <c r="EC425" s="4"/>
      <c r="ED425" s="4"/>
      <c r="EE425" s="4"/>
      <c r="EF425" s="4"/>
      <c r="EG425" s="4"/>
      <c r="EH425" s="4"/>
      <c r="EI425" s="4"/>
      <c r="EJ425" s="4"/>
      <c r="EK425" s="4"/>
      <c r="EL425" s="4"/>
      <c r="EM425" s="693"/>
      <c r="EN425" s="723"/>
      <c r="EO425" s="4"/>
      <c r="EP425" s="4"/>
      <c r="EQ425" s="4"/>
      <c r="ER425" s="4">
        <v>59</v>
      </c>
      <c r="ES425" s="4"/>
      <c r="ET425" s="4"/>
      <c r="EU425" s="4"/>
      <c r="EV425" s="4"/>
      <c r="EW425" s="4"/>
      <c r="EX425" s="4"/>
      <c r="EY425" s="654"/>
      <c r="EZ425" s="655"/>
      <c r="FA425" s="4"/>
      <c r="FB425" s="4"/>
      <c r="FC425" s="4"/>
      <c r="FD425" s="4"/>
      <c r="FE425" s="4"/>
      <c r="FF425" s="4"/>
      <c r="FG425" s="4"/>
      <c r="FH425" s="4"/>
      <c r="FI425" s="4"/>
      <c r="FJ425" s="4"/>
      <c r="FK425" s="654"/>
      <c r="FL425" s="655"/>
      <c r="FM425" s="4"/>
      <c r="FN425" s="4"/>
      <c r="FO425" s="4"/>
      <c r="FP425" s="4"/>
      <c r="FQ425" s="4"/>
      <c r="FR425" s="4"/>
      <c r="FS425" s="4"/>
      <c r="FT425" s="4"/>
      <c r="FU425" s="4"/>
      <c r="FV425" s="4"/>
      <c r="FW425" s="654"/>
      <c r="FX425" s="655"/>
      <c r="FY425" s="4"/>
      <c r="FZ425" s="4"/>
      <c r="GA425" s="4"/>
      <c r="GB425" s="4"/>
      <c r="GC425" s="4"/>
      <c r="GD425" s="4"/>
      <c r="GE425" s="4"/>
      <c r="GF425" s="4"/>
      <c r="GG425" s="4"/>
      <c r="GH425" s="4"/>
      <c r="GI425" s="654"/>
      <c r="GJ425" s="655"/>
      <c r="GK425" s="4"/>
      <c r="GL425" s="4"/>
      <c r="GM425" s="4"/>
      <c r="GN425" s="4"/>
      <c r="GO425" s="4"/>
      <c r="GP425" s="4"/>
      <c r="GQ425" s="4"/>
      <c r="GR425" s="4"/>
      <c r="GS425" s="4"/>
      <c r="GT425" s="4"/>
      <c r="GU425" s="722"/>
      <c r="GV425" s="715"/>
    </row>
    <row r="426" spans="1:204" x14ac:dyDescent="0.25">
      <c r="A426" t="s">
        <v>1693</v>
      </c>
      <c r="B426" s="2" t="s">
        <v>358</v>
      </c>
      <c r="C426" s="619">
        <v>44700</v>
      </c>
      <c r="D426" s="2" t="s">
        <v>1688</v>
      </c>
      <c r="E426" t="s">
        <v>58</v>
      </c>
      <c r="F426" s="2" t="s">
        <v>43</v>
      </c>
      <c r="G426" t="s">
        <v>40</v>
      </c>
      <c r="H426" s="690" t="s">
        <v>84</v>
      </c>
      <c r="I426" s="691" t="s">
        <v>474</v>
      </c>
      <c r="J426" s="721">
        <v>30483222000173</v>
      </c>
      <c r="K426" s="691" t="s">
        <v>43</v>
      </c>
      <c r="L426" s="721">
        <v>3780401000108</v>
      </c>
      <c r="M426" s="718" t="s">
        <v>3</v>
      </c>
      <c r="N426" s="717" t="s">
        <v>44</v>
      </c>
      <c r="O426" s="719">
        <v>44682</v>
      </c>
      <c r="P426" s="720">
        <v>44712</v>
      </c>
      <c r="Q426" s="718">
        <v>59</v>
      </c>
      <c r="R426" s="717">
        <v>1</v>
      </c>
      <c r="S426" s="691" t="s">
        <v>54</v>
      </c>
      <c r="T426" t="s">
        <v>358</v>
      </c>
      <c r="U426" s="673" t="s">
        <v>358</v>
      </c>
      <c r="V426" s="690" t="s">
        <v>358</v>
      </c>
      <c r="W426" s="657" t="s">
        <v>214</v>
      </c>
      <c r="X426" s="723"/>
      <c r="Y426" s="4"/>
      <c r="Z426" s="4"/>
      <c r="AA426" s="4"/>
      <c r="AB426" s="4">
        <v>1</v>
      </c>
      <c r="AC426" s="4"/>
      <c r="AD426" s="4"/>
      <c r="AE426" s="4"/>
      <c r="AF426" s="4"/>
      <c r="AG426" s="4"/>
      <c r="AH426" s="4"/>
      <c r="AI426" s="654"/>
      <c r="AJ426" s="655"/>
      <c r="AK426" s="4"/>
      <c r="AL426" s="4"/>
      <c r="AM426" s="4"/>
      <c r="AN426" s="4"/>
      <c r="AO426" s="4"/>
      <c r="AP426" s="4"/>
      <c r="AQ426" s="4"/>
      <c r="AR426" s="4"/>
      <c r="AS426" s="4"/>
      <c r="AT426" s="4"/>
      <c r="AU426" s="654"/>
      <c r="AV426" s="655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654"/>
      <c r="BH426" s="655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654"/>
      <c r="BT426" s="655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693"/>
      <c r="CF426" s="723"/>
      <c r="CG426" s="4"/>
      <c r="CH426" s="4"/>
      <c r="CI426" s="4"/>
      <c r="CJ426" s="4">
        <v>59</v>
      </c>
      <c r="CK426" s="4"/>
      <c r="CL426" s="4"/>
      <c r="CM426" s="4"/>
      <c r="CN426" s="4"/>
      <c r="CO426" s="4"/>
      <c r="CP426" s="4"/>
      <c r="CQ426" s="654"/>
      <c r="CR426" s="655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654"/>
      <c r="DD426" s="655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654"/>
      <c r="DP426" s="655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654"/>
      <c r="EB426" s="655"/>
      <c r="EC426" s="4"/>
      <c r="ED426" s="4"/>
      <c r="EE426" s="4"/>
      <c r="EF426" s="4"/>
      <c r="EG426" s="4"/>
      <c r="EH426" s="4"/>
      <c r="EI426" s="4"/>
      <c r="EJ426" s="4"/>
      <c r="EK426" s="4"/>
      <c r="EL426" s="4"/>
      <c r="EM426" s="693"/>
      <c r="EN426" s="723"/>
      <c r="EO426" s="4"/>
      <c r="EP426" s="4"/>
      <c r="EQ426" s="4"/>
      <c r="ER426" s="4">
        <v>59</v>
      </c>
      <c r="ES426" s="4"/>
      <c r="ET426" s="4"/>
      <c r="EU426" s="4"/>
      <c r="EV426" s="4"/>
      <c r="EW426" s="4"/>
      <c r="EX426" s="4"/>
      <c r="EY426" s="654"/>
      <c r="EZ426" s="655"/>
      <c r="FA426" s="4"/>
      <c r="FB426" s="4"/>
      <c r="FC426" s="4"/>
      <c r="FD426" s="4"/>
      <c r="FE426" s="4"/>
      <c r="FF426" s="4"/>
      <c r="FG426" s="4"/>
      <c r="FH426" s="4"/>
      <c r="FI426" s="4"/>
      <c r="FJ426" s="4"/>
      <c r="FK426" s="654"/>
      <c r="FL426" s="655"/>
      <c r="FM426" s="4"/>
      <c r="FN426" s="4"/>
      <c r="FO426" s="4"/>
      <c r="FP426" s="4"/>
      <c r="FQ426" s="4"/>
      <c r="FR426" s="4"/>
      <c r="FS426" s="4"/>
      <c r="FT426" s="4"/>
      <c r="FU426" s="4"/>
      <c r="FV426" s="4"/>
      <c r="FW426" s="654"/>
      <c r="FX426" s="655"/>
      <c r="FY426" s="4"/>
      <c r="FZ426" s="4"/>
      <c r="GA426" s="4"/>
      <c r="GB426" s="4"/>
      <c r="GC426" s="4"/>
      <c r="GD426" s="4"/>
      <c r="GE426" s="4"/>
      <c r="GF426" s="4"/>
      <c r="GG426" s="4"/>
      <c r="GH426" s="4"/>
      <c r="GI426" s="654"/>
      <c r="GJ426" s="655"/>
      <c r="GK426" s="4"/>
      <c r="GL426" s="4"/>
      <c r="GM426" s="4"/>
      <c r="GN426" s="4"/>
      <c r="GO426" s="4"/>
      <c r="GP426" s="4"/>
      <c r="GQ426" s="4"/>
      <c r="GR426" s="4"/>
      <c r="GS426" s="4"/>
      <c r="GT426" s="4"/>
      <c r="GU426" s="722"/>
      <c r="GV426" s="715"/>
    </row>
    <row r="427" spans="1:204" x14ac:dyDescent="0.25">
      <c r="A427" t="s">
        <v>1705</v>
      </c>
      <c r="B427" s="2" t="s">
        <v>1704</v>
      </c>
      <c r="C427" s="619">
        <v>44701</v>
      </c>
      <c r="D427" s="2" t="s">
        <v>1694</v>
      </c>
      <c r="E427" t="s">
        <v>58</v>
      </c>
      <c r="F427" s="2" t="s">
        <v>43</v>
      </c>
      <c r="G427" t="s">
        <v>40</v>
      </c>
      <c r="H427" s="690" t="s">
        <v>84</v>
      </c>
      <c r="I427" s="691" t="s">
        <v>477</v>
      </c>
      <c r="J427" s="721">
        <v>11322550000224</v>
      </c>
      <c r="K427" s="691" t="s">
        <v>43</v>
      </c>
      <c r="L427" s="721">
        <v>3780401000108</v>
      </c>
      <c r="M427" s="718" t="s">
        <v>3</v>
      </c>
      <c r="N427" s="717" t="s">
        <v>44</v>
      </c>
      <c r="O427" s="719">
        <v>44713</v>
      </c>
      <c r="P427" s="720">
        <v>44742</v>
      </c>
      <c r="Q427" s="718">
        <v>80</v>
      </c>
      <c r="R427" s="717">
        <v>4.0999999999999996</v>
      </c>
      <c r="S427" s="691" t="s">
        <v>54</v>
      </c>
      <c r="T427" t="s">
        <v>358</v>
      </c>
      <c r="U427" s="673" t="s">
        <v>358</v>
      </c>
      <c r="V427" s="690" t="s">
        <v>358</v>
      </c>
      <c r="W427" s="657" t="s">
        <v>329</v>
      </c>
      <c r="X427" s="723"/>
      <c r="Y427" s="4"/>
      <c r="Z427" s="4"/>
      <c r="AA427" s="4"/>
      <c r="AB427" s="4"/>
      <c r="AC427" s="4">
        <v>4.0999999999999996</v>
      </c>
      <c r="AD427" s="4"/>
      <c r="AE427" s="4"/>
      <c r="AF427" s="4"/>
      <c r="AG427" s="4"/>
      <c r="AH427" s="4"/>
      <c r="AI427" s="654"/>
      <c r="AJ427" s="655"/>
      <c r="AK427" s="4"/>
      <c r="AL427" s="4"/>
      <c r="AM427" s="4"/>
      <c r="AN427" s="4"/>
      <c r="AO427" s="4"/>
      <c r="AP427" s="4"/>
      <c r="AQ427" s="4"/>
      <c r="AR427" s="4"/>
      <c r="AS427" s="4"/>
      <c r="AT427" s="4"/>
      <c r="AU427" s="654"/>
      <c r="AV427" s="655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654"/>
      <c r="BH427" s="655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654"/>
      <c r="BT427" s="655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693"/>
      <c r="CF427" s="723"/>
      <c r="CG427" s="4"/>
      <c r="CH427" s="4"/>
      <c r="CI427" s="4"/>
      <c r="CJ427" s="4"/>
      <c r="CK427" s="4">
        <v>80</v>
      </c>
      <c r="CL427" s="4"/>
      <c r="CM427" s="4"/>
      <c r="CN427" s="4"/>
      <c r="CO427" s="4"/>
      <c r="CP427" s="4"/>
      <c r="CQ427" s="654"/>
      <c r="CR427" s="655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654"/>
      <c r="DD427" s="655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654"/>
      <c r="DP427" s="655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654"/>
      <c r="EB427" s="655"/>
      <c r="EC427" s="4"/>
      <c r="ED427" s="4"/>
      <c r="EE427" s="4"/>
      <c r="EF427" s="4"/>
      <c r="EG427" s="4"/>
      <c r="EH427" s="4"/>
      <c r="EI427" s="4"/>
      <c r="EJ427" s="4"/>
      <c r="EK427" s="4"/>
      <c r="EL427" s="4"/>
      <c r="EM427" s="693"/>
      <c r="EN427" s="723"/>
      <c r="EO427" s="4"/>
      <c r="EP427" s="4"/>
      <c r="EQ427" s="4"/>
      <c r="ER427" s="4"/>
      <c r="ES427" s="4">
        <v>80</v>
      </c>
      <c r="ET427" s="4"/>
      <c r="EU427" s="4"/>
      <c r="EV427" s="4"/>
      <c r="EW427" s="4"/>
      <c r="EX427" s="4"/>
      <c r="EY427" s="654"/>
      <c r="EZ427" s="655"/>
      <c r="FA427" s="4"/>
      <c r="FB427" s="4"/>
      <c r="FC427" s="4"/>
      <c r="FD427" s="4"/>
      <c r="FE427" s="4"/>
      <c r="FF427" s="4"/>
      <c r="FG427" s="4"/>
      <c r="FH427" s="4"/>
      <c r="FI427" s="4"/>
      <c r="FJ427" s="4"/>
      <c r="FK427" s="654"/>
      <c r="FL427" s="655"/>
      <c r="FM427" s="4"/>
      <c r="FN427" s="4"/>
      <c r="FO427" s="4"/>
      <c r="FP427" s="4"/>
      <c r="FQ427" s="4"/>
      <c r="FR427" s="4"/>
      <c r="FS427" s="4"/>
      <c r="FT427" s="4"/>
      <c r="FU427" s="4"/>
      <c r="FV427" s="4"/>
      <c r="FW427" s="654"/>
      <c r="FX427" s="655"/>
      <c r="FY427" s="4"/>
      <c r="FZ427" s="4"/>
      <c r="GA427" s="4"/>
      <c r="GB427" s="4"/>
      <c r="GC427" s="4"/>
      <c r="GD427" s="4"/>
      <c r="GE427" s="4"/>
      <c r="GF427" s="4"/>
      <c r="GG427" s="4"/>
      <c r="GH427" s="4"/>
      <c r="GI427" s="654"/>
      <c r="GJ427" s="655"/>
      <c r="GK427" s="4"/>
      <c r="GL427" s="4"/>
      <c r="GM427" s="4"/>
      <c r="GN427" s="4"/>
      <c r="GO427" s="4"/>
      <c r="GP427" s="4"/>
      <c r="GQ427" s="4"/>
      <c r="GR427" s="4"/>
      <c r="GS427" s="4"/>
      <c r="GT427" s="4"/>
      <c r="GU427" s="722"/>
      <c r="GV427" s="715"/>
    </row>
    <row r="428" spans="1:204" x14ac:dyDescent="0.25">
      <c r="A428" t="s">
        <v>1707</v>
      </c>
      <c r="B428" s="2" t="s">
        <v>1706</v>
      </c>
      <c r="C428" s="619">
        <v>44701</v>
      </c>
      <c r="D428" s="2" t="s">
        <v>1695</v>
      </c>
      <c r="E428" t="s">
        <v>59</v>
      </c>
      <c r="F428" s="2" t="s">
        <v>43</v>
      </c>
      <c r="G428" t="s">
        <v>40</v>
      </c>
      <c r="H428" s="690" t="s">
        <v>85</v>
      </c>
      <c r="I428" s="691" t="s">
        <v>43</v>
      </c>
      <c r="J428" s="721">
        <v>3780401000108</v>
      </c>
      <c r="K428" s="691" t="s">
        <v>504</v>
      </c>
      <c r="L428" s="721">
        <v>4100556000100</v>
      </c>
      <c r="M428" s="718" t="s">
        <v>3</v>
      </c>
      <c r="N428" s="717" t="s">
        <v>44</v>
      </c>
      <c r="O428" s="719">
        <v>44713</v>
      </c>
      <c r="P428" s="720">
        <v>44742</v>
      </c>
      <c r="Q428" s="718">
        <v>80</v>
      </c>
      <c r="R428" s="717">
        <v>3.9</v>
      </c>
      <c r="S428" s="691" t="s">
        <v>54</v>
      </c>
      <c r="T428" t="s">
        <v>358</v>
      </c>
      <c r="U428" s="673" t="s">
        <v>358</v>
      </c>
      <c r="V428" s="690" t="s">
        <v>358</v>
      </c>
      <c r="W428" s="657" t="s">
        <v>329</v>
      </c>
      <c r="X428" s="723"/>
      <c r="Y428" s="4"/>
      <c r="Z428" s="4"/>
      <c r="AA428" s="4"/>
      <c r="AB428" s="4"/>
      <c r="AC428" s="4">
        <v>3.9</v>
      </c>
      <c r="AD428" s="4"/>
      <c r="AE428" s="4"/>
      <c r="AF428" s="4"/>
      <c r="AG428" s="4"/>
      <c r="AH428" s="4"/>
      <c r="AI428" s="654"/>
      <c r="AJ428" s="655"/>
      <c r="AK428" s="4"/>
      <c r="AL428" s="4"/>
      <c r="AM428" s="4"/>
      <c r="AN428" s="4"/>
      <c r="AO428" s="4"/>
      <c r="AP428" s="4"/>
      <c r="AQ428" s="4"/>
      <c r="AR428" s="4"/>
      <c r="AS428" s="4"/>
      <c r="AT428" s="4"/>
      <c r="AU428" s="654"/>
      <c r="AV428" s="655"/>
      <c r="AW428" s="4"/>
      <c r="AX428" s="4"/>
      <c r="AY428" s="4"/>
      <c r="AZ428" s="4"/>
      <c r="BA428" s="4"/>
      <c r="BB428" s="4"/>
      <c r="BC428" s="4"/>
      <c r="BD428" s="4"/>
      <c r="BE428" s="4"/>
      <c r="BF428" s="4"/>
      <c r="BG428" s="654"/>
      <c r="BH428" s="655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654"/>
      <c r="BT428" s="655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693"/>
      <c r="CF428" s="723"/>
      <c r="CG428" s="4"/>
      <c r="CH428" s="4"/>
      <c r="CI428" s="4"/>
      <c r="CJ428" s="4"/>
      <c r="CK428" s="4">
        <v>80</v>
      </c>
      <c r="CL428" s="4"/>
      <c r="CM428" s="4"/>
      <c r="CN428" s="4"/>
      <c r="CO428" s="4"/>
      <c r="CP428" s="4"/>
      <c r="CQ428" s="654"/>
      <c r="CR428" s="655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654"/>
      <c r="DD428" s="655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654"/>
      <c r="DP428" s="655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654"/>
      <c r="EB428" s="655"/>
      <c r="EC428" s="4"/>
      <c r="ED428" s="4"/>
      <c r="EE428" s="4"/>
      <c r="EF428" s="4"/>
      <c r="EG428" s="4"/>
      <c r="EH428" s="4"/>
      <c r="EI428" s="4"/>
      <c r="EJ428" s="4"/>
      <c r="EK428" s="4"/>
      <c r="EL428" s="4"/>
      <c r="EM428" s="693"/>
      <c r="EN428" s="723"/>
      <c r="EO428" s="4"/>
      <c r="EP428" s="4"/>
      <c r="EQ428" s="4"/>
      <c r="ER428" s="4"/>
      <c r="ES428" s="4">
        <v>80</v>
      </c>
      <c r="ET428" s="4"/>
      <c r="EU428" s="4"/>
      <c r="EV428" s="4"/>
      <c r="EW428" s="4"/>
      <c r="EX428" s="4"/>
      <c r="EY428" s="654"/>
      <c r="EZ428" s="655"/>
      <c r="FA428" s="4"/>
      <c r="FB428" s="4"/>
      <c r="FC428" s="4"/>
      <c r="FD428" s="4"/>
      <c r="FE428" s="4"/>
      <c r="FF428" s="4"/>
      <c r="FG428" s="4"/>
      <c r="FH428" s="4"/>
      <c r="FI428" s="4"/>
      <c r="FJ428" s="4"/>
      <c r="FK428" s="654"/>
      <c r="FL428" s="655"/>
      <c r="FM428" s="4"/>
      <c r="FN428" s="4"/>
      <c r="FO428" s="4"/>
      <c r="FP428" s="4"/>
      <c r="FQ428" s="4"/>
      <c r="FR428" s="4"/>
      <c r="FS428" s="4"/>
      <c r="FT428" s="4"/>
      <c r="FU428" s="4"/>
      <c r="FV428" s="4"/>
      <c r="FW428" s="654"/>
      <c r="FX428" s="655"/>
      <c r="FY428" s="4"/>
      <c r="FZ428" s="4"/>
      <c r="GA428" s="4"/>
      <c r="GB428" s="4"/>
      <c r="GC428" s="4"/>
      <c r="GD428" s="4"/>
      <c r="GE428" s="4"/>
      <c r="GF428" s="4"/>
      <c r="GG428" s="4"/>
      <c r="GH428" s="4"/>
      <c r="GI428" s="654"/>
      <c r="GJ428" s="655"/>
      <c r="GK428" s="4"/>
      <c r="GL428" s="4"/>
      <c r="GM428" s="4"/>
      <c r="GN428" s="4"/>
      <c r="GO428" s="4"/>
      <c r="GP428" s="4"/>
      <c r="GQ428" s="4"/>
      <c r="GR428" s="4"/>
      <c r="GS428" s="4"/>
      <c r="GT428" s="4"/>
      <c r="GU428" s="722"/>
      <c r="GV428" s="715"/>
    </row>
    <row r="429" spans="1:204" x14ac:dyDescent="0.25">
      <c r="A429" t="s">
        <v>1709</v>
      </c>
      <c r="B429" s="2" t="s">
        <v>1708</v>
      </c>
      <c r="C429" s="619">
        <v>44701</v>
      </c>
      <c r="D429" s="2" t="s">
        <v>1696</v>
      </c>
      <c r="E429" t="s">
        <v>58</v>
      </c>
      <c r="F429" s="2" t="s">
        <v>43</v>
      </c>
      <c r="G429" t="s">
        <v>40</v>
      </c>
      <c r="H429" s="690" t="s">
        <v>84</v>
      </c>
      <c r="I429" s="691" t="s">
        <v>504</v>
      </c>
      <c r="J429" s="721">
        <v>4100556000100</v>
      </c>
      <c r="K429" s="691" t="s">
        <v>43</v>
      </c>
      <c r="L429" s="721">
        <v>3780401000108</v>
      </c>
      <c r="M429" s="718" t="s">
        <v>3</v>
      </c>
      <c r="N429" s="717" t="s">
        <v>44</v>
      </c>
      <c r="O429" s="719">
        <v>44896</v>
      </c>
      <c r="P429" s="720">
        <v>44926</v>
      </c>
      <c r="Q429" s="718">
        <v>145</v>
      </c>
      <c r="R429" s="717">
        <v>3.9</v>
      </c>
      <c r="S429" s="691" t="s">
        <v>54</v>
      </c>
      <c r="T429" t="s">
        <v>358</v>
      </c>
      <c r="U429" s="673" t="s">
        <v>358</v>
      </c>
      <c r="V429" s="690" t="s">
        <v>358</v>
      </c>
      <c r="W429" s="657" t="s">
        <v>329</v>
      </c>
      <c r="X429" s="723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654">
        <v>3.9</v>
      </c>
      <c r="AJ429" s="655"/>
      <c r="AK429" s="4"/>
      <c r="AL429" s="4"/>
      <c r="AM429" s="4"/>
      <c r="AN429" s="4"/>
      <c r="AO429" s="4"/>
      <c r="AP429" s="4"/>
      <c r="AQ429" s="4"/>
      <c r="AR429" s="4"/>
      <c r="AS429" s="4"/>
      <c r="AT429" s="4"/>
      <c r="AU429" s="654"/>
      <c r="AV429" s="655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654"/>
      <c r="BH429" s="655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654"/>
      <c r="BT429" s="655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693"/>
      <c r="CF429" s="723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654">
        <v>145</v>
      </c>
      <c r="CR429" s="655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654"/>
      <c r="DD429" s="655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654"/>
      <c r="DP429" s="655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654"/>
      <c r="EB429" s="655"/>
      <c r="EC429" s="4"/>
      <c r="ED429" s="4"/>
      <c r="EE429" s="4"/>
      <c r="EF429" s="4"/>
      <c r="EG429" s="4"/>
      <c r="EH429" s="4"/>
      <c r="EI429" s="4"/>
      <c r="EJ429" s="4"/>
      <c r="EK429" s="4"/>
      <c r="EL429" s="4"/>
      <c r="EM429" s="693"/>
      <c r="EN429" s="723"/>
      <c r="EO429" s="4"/>
      <c r="EP429" s="4"/>
      <c r="EQ429" s="4"/>
      <c r="ER429" s="4"/>
      <c r="ES429" s="4"/>
      <c r="ET429" s="4"/>
      <c r="EU429" s="4"/>
      <c r="EV429" s="4"/>
      <c r="EW429" s="4"/>
      <c r="EX429" s="4"/>
      <c r="EY429" s="654">
        <v>145</v>
      </c>
      <c r="EZ429" s="655"/>
      <c r="FA429" s="4"/>
      <c r="FB429" s="4"/>
      <c r="FC429" s="4"/>
      <c r="FD429" s="4"/>
      <c r="FE429" s="4"/>
      <c r="FF429" s="4"/>
      <c r="FG429" s="4"/>
      <c r="FH429" s="4"/>
      <c r="FI429" s="4"/>
      <c r="FJ429" s="4"/>
      <c r="FK429" s="654"/>
      <c r="FL429" s="655"/>
      <c r="FM429" s="4"/>
      <c r="FN429" s="4"/>
      <c r="FO429" s="4"/>
      <c r="FP429" s="4"/>
      <c r="FQ429" s="4"/>
      <c r="FR429" s="4"/>
      <c r="FS429" s="4"/>
      <c r="FT429" s="4"/>
      <c r="FU429" s="4"/>
      <c r="FV429" s="4"/>
      <c r="FW429" s="654"/>
      <c r="FX429" s="655"/>
      <c r="FY429" s="4"/>
      <c r="FZ429" s="4"/>
      <c r="GA429" s="4"/>
      <c r="GB429" s="4"/>
      <c r="GC429" s="4"/>
      <c r="GD429" s="4"/>
      <c r="GE429" s="4"/>
      <c r="GF429" s="4"/>
      <c r="GG429" s="4"/>
      <c r="GH429" s="4"/>
      <c r="GI429" s="654"/>
      <c r="GJ429" s="655"/>
      <c r="GK429" s="4"/>
      <c r="GL429" s="4"/>
      <c r="GM429" s="4"/>
      <c r="GN429" s="4"/>
      <c r="GO429" s="4"/>
      <c r="GP429" s="4"/>
      <c r="GQ429" s="4"/>
      <c r="GR429" s="4"/>
      <c r="GS429" s="4"/>
      <c r="GT429" s="4"/>
      <c r="GU429" s="722"/>
      <c r="GV429" s="715"/>
    </row>
    <row r="430" spans="1:204" x14ac:dyDescent="0.25">
      <c r="A430" t="s">
        <v>1711</v>
      </c>
      <c r="B430" s="2" t="s">
        <v>1710</v>
      </c>
      <c r="C430" s="619">
        <v>44701</v>
      </c>
      <c r="D430" s="2" t="s">
        <v>1697</v>
      </c>
      <c r="E430" t="s">
        <v>58</v>
      </c>
      <c r="F430" s="2" t="s">
        <v>43</v>
      </c>
      <c r="G430" t="s">
        <v>40</v>
      </c>
      <c r="H430" s="690" t="s">
        <v>84</v>
      </c>
      <c r="I430" s="691" t="s">
        <v>477</v>
      </c>
      <c r="J430" s="721">
        <v>11322550000224</v>
      </c>
      <c r="K430" s="691" t="s">
        <v>43</v>
      </c>
      <c r="L430" s="721">
        <v>3780401000108</v>
      </c>
      <c r="M430" s="718" t="s">
        <v>3</v>
      </c>
      <c r="N430" s="717" t="s">
        <v>44</v>
      </c>
      <c r="O430" s="719">
        <v>44713</v>
      </c>
      <c r="P430" s="720">
        <v>44742</v>
      </c>
      <c r="Q430" s="718">
        <v>80</v>
      </c>
      <c r="R430" s="717">
        <v>6.1</v>
      </c>
      <c r="S430" s="691" t="s">
        <v>54</v>
      </c>
      <c r="T430" t="s">
        <v>358</v>
      </c>
      <c r="U430" s="673" t="s">
        <v>358</v>
      </c>
      <c r="V430" s="690" t="s">
        <v>358</v>
      </c>
      <c r="W430" s="657" t="s">
        <v>329</v>
      </c>
      <c r="X430" s="723"/>
      <c r="Y430" s="4"/>
      <c r="Z430" s="4"/>
      <c r="AA430" s="4"/>
      <c r="AB430" s="4"/>
      <c r="AC430" s="4">
        <v>6.1</v>
      </c>
      <c r="AD430" s="4"/>
      <c r="AE430" s="4"/>
      <c r="AF430" s="4"/>
      <c r="AG430" s="4"/>
      <c r="AH430" s="4"/>
      <c r="AI430" s="654"/>
      <c r="AJ430" s="655"/>
      <c r="AK430" s="4"/>
      <c r="AL430" s="4"/>
      <c r="AM430" s="4"/>
      <c r="AN430" s="4"/>
      <c r="AO430" s="4"/>
      <c r="AP430" s="4"/>
      <c r="AQ430" s="4"/>
      <c r="AR430" s="4"/>
      <c r="AS430" s="4"/>
      <c r="AT430" s="4"/>
      <c r="AU430" s="654"/>
      <c r="AV430" s="655"/>
      <c r="AW430" s="4"/>
      <c r="AX430" s="4"/>
      <c r="AY430" s="4"/>
      <c r="AZ430" s="4"/>
      <c r="BA430" s="4"/>
      <c r="BB430" s="4"/>
      <c r="BC430" s="4"/>
      <c r="BD430" s="4"/>
      <c r="BE430" s="4"/>
      <c r="BF430" s="4"/>
      <c r="BG430" s="654"/>
      <c r="BH430" s="655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654"/>
      <c r="BT430" s="655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693"/>
      <c r="CF430" s="723"/>
      <c r="CG430" s="4"/>
      <c r="CH430" s="4"/>
      <c r="CI430" s="4"/>
      <c r="CJ430" s="4"/>
      <c r="CK430" s="4">
        <v>80</v>
      </c>
      <c r="CL430" s="4"/>
      <c r="CM430" s="4"/>
      <c r="CN430" s="4"/>
      <c r="CO430" s="4"/>
      <c r="CP430" s="4"/>
      <c r="CQ430" s="654"/>
      <c r="CR430" s="655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654"/>
      <c r="DD430" s="655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654"/>
      <c r="DP430" s="655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654"/>
      <c r="EB430" s="655"/>
      <c r="EC430" s="4"/>
      <c r="ED430" s="4"/>
      <c r="EE430" s="4"/>
      <c r="EF430" s="4"/>
      <c r="EG430" s="4"/>
      <c r="EH430" s="4"/>
      <c r="EI430" s="4"/>
      <c r="EJ430" s="4"/>
      <c r="EK430" s="4"/>
      <c r="EL430" s="4"/>
      <c r="EM430" s="693"/>
      <c r="EN430" s="723"/>
      <c r="EO430" s="4"/>
      <c r="EP430" s="4"/>
      <c r="EQ430" s="4"/>
      <c r="ER430" s="4"/>
      <c r="ES430" s="4">
        <v>80</v>
      </c>
      <c r="ET430" s="4"/>
      <c r="EU430" s="4"/>
      <c r="EV430" s="4"/>
      <c r="EW430" s="4"/>
      <c r="EX430" s="4"/>
      <c r="EY430" s="654"/>
      <c r="EZ430" s="655"/>
      <c r="FA430" s="4"/>
      <c r="FB430" s="4"/>
      <c r="FC430" s="4"/>
      <c r="FD430" s="4"/>
      <c r="FE430" s="4"/>
      <c r="FF430" s="4"/>
      <c r="FG430" s="4"/>
      <c r="FH430" s="4"/>
      <c r="FI430" s="4"/>
      <c r="FJ430" s="4"/>
      <c r="FK430" s="654"/>
      <c r="FL430" s="655"/>
      <c r="FM430" s="4"/>
      <c r="FN430" s="4"/>
      <c r="FO430" s="4"/>
      <c r="FP430" s="4"/>
      <c r="FQ430" s="4"/>
      <c r="FR430" s="4"/>
      <c r="FS430" s="4"/>
      <c r="FT430" s="4"/>
      <c r="FU430" s="4"/>
      <c r="FV430" s="4"/>
      <c r="FW430" s="654"/>
      <c r="FX430" s="655"/>
      <c r="FY430" s="4"/>
      <c r="FZ430" s="4"/>
      <c r="GA430" s="4"/>
      <c r="GB430" s="4"/>
      <c r="GC430" s="4"/>
      <c r="GD430" s="4"/>
      <c r="GE430" s="4"/>
      <c r="GF430" s="4"/>
      <c r="GG430" s="4"/>
      <c r="GH430" s="4"/>
      <c r="GI430" s="654"/>
      <c r="GJ430" s="655"/>
      <c r="GK430" s="4"/>
      <c r="GL430" s="4"/>
      <c r="GM430" s="4"/>
      <c r="GN430" s="4"/>
      <c r="GO430" s="4"/>
      <c r="GP430" s="4"/>
      <c r="GQ430" s="4"/>
      <c r="GR430" s="4"/>
      <c r="GS430" s="4"/>
      <c r="GT430" s="4"/>
      <c r="GU430" s="722"/>
      <c r="GV430" s="715"/>
    </row>
    <row r="431" spans="1:204" x14ac:dyDescent="0.25">
      <c r="A431" t="s">
        <v>1712</v>
      </c>
      <c r="B431" s="2" t="s">
        <v>358</v>
      </c>
      <c r="C431" s="619">
        <v>44701</v>
      </c>
      <c r="D431" s="2" t="s">
        <v>1698</v>
      </c>
      <c r="E431" t="s">
        <v>58</v>
      </c>
      <c r="F431" s="2" t="s">
        <v>43</v>
      </c>
      <c r="G431" t="s">
        <v>40</v>
      </c>
      <c r="H431" s="690" t="s">
        <v>84</v>
      </c>
      <c r="I431" s="691" t="s">
        <v>475</v>
      </c>
      <c r="J431" s="721">
        <v>27796415000170</v>
      </c>
      <c r="K431" s="691" t="s">
        <v>43</v>
      </c>
      <c r="L431" s="721">
        <v>3780401000108</v>
      </c>
      <c r="M431" s="718" t="s">
        <v>3</v>
      </c>
      <c r="N431" s="717" t="s">
        <v>44</v>
      </c>
      <c r="O431" s="719">
        <v>44805</v>
      </c>
      <c r="P431" s="720">
        <v>44834</v>
      </c>
      <c r="Q431" s="718">
        <v>135</v>
      </c>
      <c r="R431" s="717">
        <v>7</v>
      </c>
      <c r="S431" s="691" t="s">
        <v>54</v>
      </c>
      <c r="T431" t="s">
        <v>358</v>
      </c>
      <c r="U431" s="673" t="s">
        <v>358</v>
      </c>
      <c r="V431" s="690" t="s">
        <v>358</v>
      </c>
      <c r="W431" s="657" t="s">
        <v>214</v>
      </c>
      <c r="X431" s="723"/>
      <c r="Y431" s="4"/>
      <c r="Z431" s="4"/>
      <c r="AA431" s="4"/>
      <c r="AB431" s="4"/>
      <c r="AC431" s="4"/>
      <c r="AD431" s="4"/>
      <c r="AE431" s="4"/>
      <c r="AF431" s="4">
        <v>7</v>
      </c>
      <c r="AG431" s="4"/>
      <c r="AH431" s="4"/>
      <c r="AI431" s="654"/>
      <c r="AJ431" s="655"/>
      <c r="AK431" s="4"/>
      <c r="AL431" s="4"/>
      <c r="AM431" s="4"/>
      <c r="AN431" s="4"/>
      <c r="AO431" s="4"/>
      <c r="AP431" s="4"/>
      <c r="AQ431" s="4"/>
      <c r="AR431" s="4"/>
      <c r="AS431" s="4"/>
      <c r="AT431" s="4"/>
      <c r="AU431" s="654"/>
      <c r="AV431" s="655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654"/>
      <c r="BH431" s="655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654"/>
      <c r="BT431" s="655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693"/>
      <c r="CF431" s="723"/>
      <c r="CG431" s="4"/>
      <c r="CH431" s="4"/>
      <c r="CI431" s="4"/>
      <c r="CJ431" s="4"/>
      <c r="CK431" s="4"/>
      <c r="CL431" s="4"/>
      <c r="CM431" s="4"/>
      <c r="CN431" s="4">
        <v>135</v>
      </c>
      <c r="CO431" s="4"/>
      <c r="CP431" s="4"/>
      <c r="CQ431" s="654"/>
      <c r="CR431" s="655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654"/>
      <c r="DD431" s="655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654"/>
      <c r="DP431" s="655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654"/>
      <c r="EB431" s="655"/>
      <c r="EC431" s="4"/>
      <c r="ED431" s="4"/>
      <c r="EE431" s="4"/>
      <c r="EF431" s="4"/>
      <c r="EG431" s="4"/>
      <c r="EH431" s="4"/>
      <c r="EI431" s="4"/>
      <c r="EJ431" s="4"/>
      <c r="EK431" s="4"/>
      <c r="EL431" s="4"/>
      <c r="EM431" s="693"/>
      <c r="EN431" s="723"/>
      <c r="EO431" s="4"/>
      <c r="EP431" s="4"/>
      <c r="EQ431" s="4"/>
      <c r="ER431" s="4"/>
      <c r="ES431" s="4"/>
      <c r="ET431" s="4"/>
      <c r="EU431" s="4"/>
      <c r="EV431" s="4">
        <v>135</v>
      </c>
      <c r="EW431" s="4"/>
      <c r="EX431" s="4"/>
      <c r="EY431" s="654"/>
      <c r="EZ431" s="655"/>
      <c r="FA431" s="4"/>
      <c r="FB431" s="4"/>
      <c r="FC431" s="4"/>
      <c r="FD431" s="4"/>
      <c r="FE431" s="4"/>
      <c r="FF431" s="4"/>
      <c r="FG431" s="4"/>
      <c r="FH431" s="4"/>
      <c r="FI431" s="4"/>
      <c r="FJ431" s="4"/>
      <c r="FK431" s="654"/>
      <c r="FL431" s="655"/>
      <c r="FM431" s="4"/>
      <c r="FN431" s="4"/>
      <c r="FO431" s="4"/>
      <c r="FP431" s="4"/>
      <c r="FQ431" s="4"/>
      <c r="FR431" s="4"/>
      <c r="FS431" s="4"/>
      <c r="FT431" s="4"/>
      <c r="FU431" s="4"/>
      <c r="FV431" s="4"/>
      <c r="FW431" s="654"/>
      <c r="FX431" s="655"/>
      <c r="FY431" s="4"/>
      <c r="FZ431" s="4"/>
      <c r="GA431" s="4"/>
      <c r="GB431" s="4"/>
      <c r="GC431" s="4"/>
      <c r="GD431" s="4"/>
      <c r="GE431" s="4"/>
      <c r="GF431" s="4"/>
      <c r="GG431" s="4"/>
      <c r="GH431" s="4"/>
      <c r="GI431" s="654"/>
      <c r="GJ431" s="655"/>
      <c r="GK431" s="4"/>
      <c r="GL431" s="4"/>
      <c r="GM431" s="4"/>
      <c r="GN431" s="4"/>
      <c r="GO431" s="4"/>
      <c r="GP431" s="4"/>
      <c r="GQ431" s="4"/>
      <c r="GR431" s="4"/>
      <c r="GS431" s="4"/>
      <c r="GT431" s="4"/>
      <c r="GU431" s="722"/>
      <c r="GV431" s="715"/>
    </row>
    <row r="432" spans="1:204" x14ac:dyDescent="0.25">
      <c r="A432" t="s">
        <v>1714</v>
      </c>
      <c r="B432" s="2" t="s">
        <v>1713</v>
      </c>
      <c r="C432" s="619">
        <v>44701</v>
      </c>
      <c r="D432" s="2" t="s">
        <v>1699</v>
      </c>
      <c r="E432" t="s">
        <v>58</v>
      </c>
      <c r="F432" s="2" t="s">
        <v>43</v>
      </c>
      <c r="G432" t="s">
        <v>40</v>
      </c>
      <c r="H432" s="690" t="s">
        <v>84</v>
      </c>
      <c r="I432" s="691" t="s">
        <v>475</v>
      </c>
      <c r="J432" s="721">
        <v>27796415000170</v>
      </c>
      <c r="K432" s="691" t="s">
        <v>43</v>
      </c>
      <c r="L432" s="721">
        <v>3780401000108</v>
      </c>
      <c r="M432" s="718" t="s">
        <v>3</v>
      </c>
      <c r="N432" s="717" t="s">
        <v>44</v>
      </c>
      <c r="O432" s="719">
        <v>44805</v>
      </c>
      <c r="P432" s="720">
        <v>44834</v>
      </c>
      <c r="Q432" s="718">
        <v>135</v>
      </c>
      <c r="R432" s="717">
        <v>8.3000000000000007</v>
      </c>
      <c r="S432" s="691" t="s">
        <v>54</v>
      </c>
      <c r="T432" t="s">
        <v>358</v>
      </c>
      <c r="U432" s="673" t="s">
        <v>358</v>
      </c>
      <c r="V432" s="690" t="s">
        <v>358</v>
      </c>
      <c r="W432" s="657" t="s">
        <v>329</v>
      </c>
      <c r="X432" s="723"/>
      <c r="Y432" s="4"/>
      <c r="Z432" s="4"/>
      <c r="AA432" s="4"/>
      <c r="AB432" s="4"/>
      <c r="AC432" s="4"/>
      <c r="AD432" s="4"/>
      <c r="AE432" s="4"/>
      <c r="AF432" s="4">
        <v>8.3000000000000007</v>
      </c>
      <c r="AG432" s="4"/>
      <c r="AH432" s="4"/>
      <c r="AI432" s="654"/>
      <c r="AJ432" s="655"/>
      <c r="AK432" s="4"/>
      <c r="AL432" s="4"/>
      <c r="AM432" s="4"/>
      <c r="AN432" s="4"/>
      <c r="AO432" s="4"/>
      <c r="AP432" s="4"/>
      <c r="AQ432" s="4"/>
      <c r="AR432" s="4"/>
      <c r="AS432" s="4"/>
      <c r="AT432" s="4"/>
      <c r="AU432" s="654"/>
      <c r="AV432" s="655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654"/>
      <c r="BH432" s="655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654"/>
      <c r="BT432" s="655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693"/>
      <c r="CF432" s="723"/>
      <c r="CG432" s="4"/>
      <c r="CH432" s="4"/>
      <c r="CI432" s="4"/>
      <c r="CJ432" s="4"/>
      <c r="CK432" s="4"/>
      <c r="CL432" s="4"/>
      <c r="CM432" s="4"/>
      <c r="CN432" s="4">
        <v>135</v>
      </c>
      <c r="CO432" s="4"/>
      <c r="CP432" s="4"/>
      <c r="CQ432" s="654"/>
      <c r="CR432" s="655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654"/>
      <c r="DD432" s="655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654"/>
      <c r="DP432" s="655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654"/>
      <c r="EB432" s="655"/>
      <c r="EC432" s="4"/>
      <c r="ED432" s="4"/>
      <c r="EE432" s="4"/>
      <c r="EF432" s="4"/>
      <c r="EG432" s="4"/>
      <c r="EH432" s="4"/>
      <c r="EI432" s="4"/>
      <c r="EJ432" s="4"/>
      <c r="EK432" s="4"/>
      <c r="EL432" s="4"/>
      <c r="EM432" s="693"/>
      <c r="EN432" s="723"/>
      <c r="EO432" s="4"/>
      <c r="EP432" s="4"/>
      <c r="EQ432" s="4"/>
      <c r="ER432" s="4"/>
      <c r="ES432" s="4"/>
      <c r="ET432" s="4"/>
      <c r="EU432" s="4"/>
      <c r="EV432" s="4">
        <v>135</v>
      </c>
      <c r="EW432" s="4"/>
      <c r="EX432" s="4"/>
      <c r="EY432" s="654"/>
      <c r="EZ432" s="655"/>
      <c r="FA432" s="4"/>
      <c r="FB432" s="4"/>
      <c r="FC432" s="4"/>
      <c r="FD432" s="4"/>
      <c r="FE432" s="4"/>
      <c r="FF432" s="4"/>
      <c r="FG432" s="4"/>
      <c r="FH432" s="4"/>
      <c r="FI432" s="4"/>
      <c r="FJ432" s="4"/>
      <c r="FK432" s="654"/>
      <c r="FL432" s="655"/>
      <c r="FM432" s="4"/>
      <c r="FN432" s="4"/>
      <c r="FO432" s="4"/>
      <c r="FP432" s="4"/>
      <c r="FQ432" s="4"/>
      <c r="FR432" s="4"/>
      <c r="FS432" s="4"/>
      <c r="FT432" s="4"/>
      <c r="FU432" s="4"/>
      <c r="FV432" s="4"/>
      <c r="FW432" s="654"/>
      <c r="FX432" s="655"/>
      <c r="FY432" s="4"/>
      <c r="FZ432" s="4"/>
      <c r="GA432" s="4"/>
      <c r="GB432" s="4"/>
      <c r="GC432" s="4"/>
      <c r="GD432" s="4"/>
      <c r="GE432" s="4"/>
      <c r="GF432" s="4"/>
      <c r="GG432" s="4"/>
      <c r="GH432" s="4"/>
      <c r="GI432" s="654"/>
      <c r="GJ432" s="655"/>
      <c r="GK432" s="4"/>
      <c r="GL432" s="4"/>
      <c r="GM432" s="4"/>
      <c r="GN432" s="4"/>
      <c r="GO432" s="4"/>
      <c r="GP432" s="4"/>
      <c r="GQ432" s="4"/>
      <c r="GR432" s="4"/>
      <c r="GS432" s="4"/>
      <c r="GT432" s="4"/>
      <c r="GU432" s="722"/>
      <c r="GV432" s="715"/>
    </row>
    <row r="433" spans="1:204" x14ac:dyDescent="0.25">
      <c r="A433" t="s">
        <v>1716</v>
      </c>
      <c r="B433" s="2" t="s">
        <v>1715</v>
      </c>
      <c r="C433" s="619">
        <v>44701</v>
      </c>
      <c r="D433" s="2" t="s">
        <v>1700</v>
      </c>
      <c r="E433" t="s">
        <v>58</v>
      </c>
      <c r="F433" s="2" t="s">
        <v>43</v>
      </c>
      <c r="G433" t="s">
        <v>40</v>
      </c>
      <c r="H433" s="690" t="s">
        <v>84</v>
      </c>
      <c r="I433" s="691" t="s">
        <v>475</v>
      </c>
      <c r="J433" s="721">
        <v>27796415000170</v>
      </c>
      <c r="K433" s="691" t="s">
        <v>43</v>
      </c>
      <c r="L433" s="721">
        <v>3780401000108</v>
      </c>
      <c r="M433" s="718" t="s">
        <v>3</v>
      </c>
      <c r="N433" s="717" t="s">
        <v>44</v>
      </c>
      <c r="O433" s="719">
        <v>44774</v>
      </c>
      <c r="P433" s="720">
        <v>44804</v>
      </c>
      <c r="Q433" s="718">
        <v>129</v>
      </c>
      <c r="R433" s="717">
        <v>11</v>
      </c>
      <c r="S433" s="691" t="s">
        <v>54</v>
      </c>
      <c r="T433" t="s">
        <v>358</v>
      </c>
      <c r="U433" s="673" t="s">
        <v>358</v>
      </c>
      <c r="V433" s="690" t="s">
        <v>358</v>
      </c>
      <c r="W433" s="657" t="s">
        <v>329</v>
      </c>
      <c r="X433" s="723"/>
      <c r="Y433" s="4"/>
      <c r="Z433" s="4"/>
      <c r="AA433" s="4"/>
      <c r="AB433" s="4"/>
      <c r="AC433" s="4"/>
      <c r="AD433" s="4"/>
      <c r="AE433" s="4">
        <v>11</v>
      </c>
      <c r="AF433" s="4"/>
      <c r="AG433" s="4"/>
      <c r="AH433" s="4"/>
      <c r="AI433" s="654"/>
      <c r="AJ433" s="655"/>
      <c r="AK433" s="4"/>
      <c r="AL433" s="4"/>
      <c r="AM433" s="4"/>
      <c r="AN433" s="4"/>
      <c r="AO433" s="4"/>
      <c r="AP433" s="4"/>
      <c r="AQ433" s="4"/>
      <c r="AR433" s="4"/>
      <c r="AS433" s="4"/>
      <c r="AT433" s="4"/>
      <c r="AU433" s="654"/>
      <c r="AV433" s="655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654"/>
      <c r="BH433" s="655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654"/>
      <c r="BT433" s="655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693"/>
      <c r="CF433" s="723"/>
      <c r="CG433" s="4"/>
      <c r="CH433" s="4"/>
      <c r="CI433" s="4"/>
      <c r="CJ433" s="4"/>
      <c r="CK433" s="4"/>
      <c r="CL433" s="4"/>
      <c r="CM433" s="4">
        <v>129</v>
      </c>
      <c r="CN433" s="4"/>
      <c r="CO433" s="4"/>
      <c r="CP433" s="4"/>
      <c r="CQ433" s="654"/>
      <c r="CR433" s="655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654"/>
      <c r="DD433" s="655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654"/>
      <c r="DP433" s="655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654"/>
      <c r="EB433" s="655"/>
      <c r="EC433" s="4"/>
      <c r="ED433" s="4"/>
      <c r="EE433" s="4"/>
      <c r="EF433" s="4"/>
      <c r="EG433" s="4"/>
      <c r="EH433" s="4"/>
      <c r="EI433" s="4"/>
      <c r="EJ433" s="4"/>
      <c r="EK433" s="4"/>
      <c r="EL433" s="4"/>
      <c r="EM433" s="693"/>
      <c r="EN433" s="723"/>
      <c r="EO433" s="4"/>
      <c r="EP433" s="4"/>
      <c r="EQ433" s="4"/>
      <c r="ER433" s="4"/>
      <c r="ES433" s="4"/>
      <c r="ET433" s="4"/>
      <c r="EU433" s="4">
        <v>129</v>
      </c>
      <c r="EV433" s="4"/>
      <c r="EW433" s="4"/>
      <c r="EX433" s="4"/>
      <c r="EY433" s="654"/>
      <c r="EZ433" s="655"/>
      <c r="FA433" s="4"/>
      <c r="FB433" s="4"/>
      <c r="FC433" s="4"/>
      <c r="FD433" s="4"/>
      <c r="FE433" s="4"/>
      <c r="FF433" s="4"/>
      <c r="FG433" s="4"/>
      <c r="FH433" s="4"/>
      <c r="FI433" s="4"/>
      <c r="FJ433" s="4"/>
      <c r="FK433" s="654"/>
      <c r="FL433" s="655"/>
      <c r="FM433" s="4"/>
      <c r="FN433" s="4"/>
      <c r="FO433" s="4"/>
      <c r="FP433" s="4"/>
      <c r="FQ433" s="4"/>
      <c r="FR433" s="4"/>
      <c r="FS433" s="4"/>
      <c r="FT433" s="4"/>
      <c r="FU433" s="4"/>
      <c r="FV433" s="4"/>
      <c r="FW433" s="654"/>
      <c r="FX433" s="655"/>
      <c r="FY433" s="4"/>
      <c r="FZ433" s="4"/>
      <c r="GA433" s="4"/>
      <c r="GB433" s="4"/>
      <c r="GC433" s="4"/>
      <c r="GD433" s="4"/>
      <c r="GE433" s="4"/>
      <c r="GF433" s="4"/>
      <c r="GG433" s="4"/>
      <c r="GH433" s="4"/>
      <c r="GI433" s="654"/>
      <c r="GJ433" s="655"/>
      <c r="GK433" s="4"/>
      <c r="GL433" s="4"/>
      <c r="GM433" s="4"/>
      <c r="GN433" s="4"/>
      <c r="GO433" s="4"/>
      <c r="GP433" s="4"/>
      <c r="GQ433" s="4"/>
      <c r="GR433" s="4"/>
      <c r="GS433" s="4"/>
      <c r="GT433" s="4"/>
      <c r="GU433" s="722"/>
      <c r="GV433" s="715"/>
    </row>
    <row r="434" spans="1:204" x14ac:dyDescent="0.25">
      <c r="A434" t="s">
        <v>1718</v>
      </c>
      <c r="B434" s="2" t="s">
        <v>1717</v>
      </c>
      <c r="C434" s="619">
        <v>44701</v>
      </c>
      <c r="D434" s="2" t="s">
        <v>1701</v>
      </c>
      <c r="E434" t="s">
        <v>58</v>
      </c>
      <c r="F434" s="2" t="s">
        <v>43</v>
      </c>
      <c r="G434" t="s">
        <v>40</v>
      </c>
      <c r="H434" s="690" t="s">
        <v>84</v>
      </c>
      <c r="I434" s="691" t="s">
        <v>405</v>
      </c>
      <c r="J434" s="721">
        <v>58177643000195</v>
      </c>
      <c r="K434" s="691" t="s">
        <v>43</v>
      </c>
      <c r="L434" s="721">
        <v>3780401000108</v>
      </c>
      <c r="M434" s="718" t="s">
        <v>3</v>
      </c>
      <c r="N434" s="717" t="s">
        <v>44</v>
      </c>
      <c r="O434" s="719">
        <v>44743</v>
      </c>
      <c r="P434" s="720">
        <v>44773</v>
      </c>
      <c r="Q434" s="718">
        <v>115</v>
      </c>
      <c r="R434" s="717">
        <v>10.3</v>
      </c>
      <c r="S434" s="691" t="s">
        <v>54</v>
      </c>
      <c r="T434" t="s">
        <v>358</v>
      </c>
      <c r="U434" s="673" t="s">
        <v>358</v>
      </c>
      <c r="V434" s="690" t="s">
        <v>358</v>
      </c>
      <c r="W434" s="657" t="s">
        <v>329</v>
      </c>
      <c r="X434" s="723"/>
      <c r="Y434" s="4"/>
      <c r="Z434" s="4"/>
      <c r="AA434" s="4"/>
      <c r="AB434" s="4"/>
      <c r="AC434" s="4"/>
      <c r="AD434" s="4">
        <v>10.3</v>
      </c>
      <c r="AE434" s="4"/>
      <c r="AF434" s="4"/>
      <c r="AG434" s="4"/>
      <c r="AH434" s="4"/>
      <c r="AI434" s="654"/>
      <c r="AJ434" s="655"/>
      <c r="AK434" s="4"/>
      <c r="AL434" s="4"/>
      <c r="AM434" s="4"/>
      <c r="AN434" s="4"/>
      <c r="AO434" s="4"/>
      <c r="AP434" s="4"/>
      <c r="AQ434" s="4"/>
      <c r="AR434" s="4"/>
      <c r="AS434" s="4"/>
      <c r="AT434" s="4"/>
      <c r="AU434" s="654"/>
      <c r="AV434" s="655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654"/>
      <c r="BH434" s="655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654"/>
      <c r="BT434" s="655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693"/>
      <c r="CF434" s="723"/>
      <c r="CG434" s="4"/>
      <c r="CH434" s="4"/>
      <c r="CI434" s="4"/>
      <c r="CJ434" s="4"/>
      <c r="CK434" s="4"/>
      <c r="CL434" s="4">
        <v>115</v>
      </c>
      <c r="CM434" s="4"/>
      <c r="CN434" s="4"/>
      <c r="CO434" s="4"/>
      <c r="CP434" s="4"/>
      <c r="CQ434" s="654"/>
      <c r="CR434" s="655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654"/>
      <c r="DD434" s="655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654"/>
      <c r="DP434" s="655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654"/>
      <c r="EB434" s="655"/>
      <c r="EC434" s="4"/>
      <c r="ED434" s="4"/>
      <c r="EE434" s="4"/>
      <c r="EF434" s="4"/>
      <c r="EG434" s="4"/>
      <c r="EH434" s="4"/>
      <c r="EI434" s="4"/>
      <c r="EJ434" s="4"/>
      <c r="EK434" s="4"/>
      <c r="EL434" s="4"/>
      <c r="EM434" s="693"/>
      <c r="EN434" s="723"/>
      <c r="EO434" s="4"/>
      <c r="EP434" s="4"/>
      <c r="EQ434" s="4"/>
      <c r="ER434" s="4"/>
      <c r="ES434" s="4"/>
      <c r="ET434" s="4">
        <v>115</v>
      </c>
      <c r="EU434" s="4"/>
      <c r="EV434" s="4"/>
      <c r="EW434" s="4"/>
      <c r="EX434" s="4"/>
      <c r="EY434" s="654"/>
      <c r="EZ434" s="655"/>
      <c r="FA434" s="4"/>
      <c r="FB434" s="4"/>
      <c r="FC434" s="4"/>
      <c r="FD434" s="4"/>
      <c r="FE434" s="4"/>
      <c r="FF434" s="4"/>
      <c r="FG434" s="4"/>
      <c r="FH434" s="4"/>
      <c r="FI434" s="4"/>
      <c r="FJ434" s="4"/>
      <c r="FK434" s="654"/>
      <c r="FL434" s="655"/>
      <c r="FM434" s="4"/>
      <c r="FN434" s="4"/>
      <c r="FO434" s="4"/>
      <c r="FP434" s="4"/>
      <c r="FQ434" s="4"/>
      <c r="FR434" s="4"/>
      <c r="FS434" s="4"/>
      <c r="FT434" s="4"/>
      <c r="FU434" s="4"/>
      <c r="FV434" s="4"/>
      <c r="FW434" s="654"/>
      <c r="FX434" s="655"/>
      <c r="FY434" s="4"/>
      <c r="FZ434" s="4"/>
      <c r="GA434" s="4"/>
      <c r="GB434" s="4"/>
      <c r="GC434" s="4"/>
      <c r="GD434" s="4"/>
      <c r="GE434" s="4"/>
      <c r="GF434" s="4"/>
      <c r="GG434" s="4"/>
      <c r="GH434" s="4"/>
      <c r="GI434" s="654"/>
      <c r="GJ434" s="655"/>
      <c r="GK434" s="4"/>
      <c r="GL434" s="4"/>
      <c r="GM434" s="4"/>
      <c r="GN434" s="4"/>
      <c r="GO434" s="4"/>
      <c r="GP434" s="4"/>
      <c r="GQ434" s="4"/>
      <c r="GR434" s="4"/>
      <c r="GS434" s="4"/>
      <c r="GT434" s="4"/>
      <c r="GU434" s="722"/>
      <c r="GV434" s="715"/>
    </row>
    <row r="435" spans="1:204" x14ac:dyDescent="0.25">
      <c r="A435" t="s">
        <v>1720</v>
      </c>
      <c r="B435" s="2" t="s">
        <v>1719</v>
      </c>
      <c r="C435" s="619">
        <v>44701</v>
      </c>
      <c r="D435" s="2" t="s">
        <v>1702</v>
      </c>
      <c r="E435" t="s">
        <v>58</v>
      </c>
      <c r="F435" s="2" t="s">
        <v>43</v>
      </c>
      <c r="G435" t="s">
        <v>40</v>
      </c>
      <c r="H435" s="690" t="s">
        <v>84</v>
      </c>
      <c r="I435" s="691" t="s">
        <v>349</v>
      </c>
      <c r="J435" s="721">
        <v>4973790000142</v>
      </c>
      <c r="K435" s="691" t="s">
        <v>43</v>
      </c>
      <c r="L435" s="721">
        <v>3780401000108</v>
      </c>
      <c r="M435" s="718" t="s">
        <v>3</v>
      </c>
      <c r="N435" s="717" t="s">
        <v>44</v>
      </c>
      <c r="O435" s="719">
        <v>44835</v>
      </c>
      <c r="P435" s="720">
        <v>44865</v>
      </c>
      <c r="Q435" s="718">
        <v>160</v>
      </c>
      <c r="R435" s="717">
        <v>1</v>
      </c>
      <c r="S435" s="691" t="s">
        <v>54</v>
      </c>
      <c r="T435" t="s">
        <v>358</v>
      </c>
      <c r="U435" s="673" t="s">
        <v>358</v>
      </c>
      <c r="V435" s="690" t="s">
        <v>358</v>
      </c>
      <c r="W435" s="657" t="s">
        <v>329</v>
      </c>
      <c r="X435" s="723"/>
      <c r="Y435" s="4"/>
      <c r="Z435" s="4"/>
      <c r="AA435" s="4"/>
      <c r="AB435" s="4"/>
      <c r="AC435" s="4"/>
      <c r="AD435" s="4"/>
      <c r="AE435" s="4"/>
      <c r="AF435" s="4"/>
      <c r="AG435" s="4">
        <v>1</v>
      </c>
      <c r="AH435" s="4"/>
      <c r="AI435" s="654"/>
      <c r="AJ435" s="655"/>
      <c r="AK435" s="4"/>
      <c r="AL435" s="4"/>
      <c r="AM435" s="4"/>
      <c r="AN435" s="4"/>
      <c r="AO435" s="4"/>
      <c r="AP435" s="4"/>
      <c r="AQ435" s="4"/>
      <c r="AR435" s="4"/>
      <c r="AS435" s="4"/>
      <c r="AT435" s="4"/>
      <c r="AU435" s="654"/>
      <c r="AV435" s="655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654"/>
      <c r="BH435" s="655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654"/>
      <c r="BT435" s="655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693"/>
      <c r="CF435" s="723"/>
      <c r="CG435" s="4"/>
      <c r="CH435" s="4"/>
      <c r="CI435" s="4"/>
      <c r="CJ435" s="4"/>
      <c r="CK435" s="4"/>
      <c r="CL435" s="4"/>
      <c r="CM435" s="4"/>
      <c r="CN435" s="4"/>
      <c r="CO435" s="4">
        <v>160</v>
      </c>
      <c r="CP435" s="4"/>
      <c r="CQ435" s="654"/>
      <c r="CR435" s="655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654"/>
      <c r="DD435" s="655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654"/>
      <c r="DP435" s="655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654"/>
      <c r="EB435" s="655"/>
      <c r="EC435" s="4"/>
      <c r="ED435" s="4"/>
      <c r="EE435" s="4"/>
      <c r="EF435" s="4"/>
      <c r="EG435" s="4"/>
      <c r="EH435" s="4"/>
      <c r="EI435" s="4"/>
      <c r="EJ435" s="4"/>
      <c r="EK435" s="4"/>
      <c r="EL435" s="4"/>
      <c r="EM435" s="693"/>
      <c r="EN435" s="723"/>
      <c r="EO435" s="4"/>
      <c r="EP435" s="4"/>
      <c r="EQ435" s="4"/>
      <c r="ER435" s="4"/>
      <c r="ES435" s="4"/>
      <c r="ET435" s="4"/>
      <c r="EU435" s="4"/>
      <c r="EV435" s="4"/>
      <c r="EW435" s="4">
        <v>160</v>
      </c>
      <c r="EX435" s="4"/>
      <c r="EY435" s="654"/>
      <c r="EZ435" s="655"/>
      <c r="FA435" s="4"/>
      <c r="FB435" s="4"/>
      <c r="FC435" s="4"/>
      <c r="FD435" s="4"/>
      <c r="FE435" s="4"/>
      <c r="FF435" s="4"/>
      <c r="FG435" s="4"/>
      <c r="FH435" s="4"/>
      <c r="FI435" s="4"/>
      <c r="FJ435" s="4"/>
      <c r="FK435" s="654"/>
      <c r="FL435" s="655"/>
      <c r="FM435" s="4"/>
      <c r="FN435" s="4"/>
      <c r="FO435" s="4"/>
      <c r="FP435" s="4"/>
      <c r="FQ435" s="4"/>
      <c r="FR435" s="4"/>
      <c r="FS435" s="4"/>
      <c r="FT435" s="4"/>
      <c r="FU435" s="4"/>
      <c r="FV435" s="4"/>
      <c r="FW435" s="654"/>
      <c r="FX435" s="655"/>
      <c r="FY435" s="4"/>
      <c r="FZ435" s="4"/>
      <c r="GA435" s="4"/>
      <c r="GB435" s="4"/>
      <c r="GC435" s="4"/>
      <c r="GD435" s="4"/>
      <c r="GE435" s="4"/>
      <c r="GF435" s="4"/>
      <c r="GG435" s="4"/>
      <c r="GH435" s="4"/>
      <c r="GI435" s="654"/>
      <c r="GJ435" s="655"/>
      <c r="GK435" s="4"/>
      <c r="GL435" s="4"/>
      <c r="GM435" s="4"/>
      <c r="GN435" s="4"/>
      <c r="GO435" s="4"/>
      <c r="GP435" s="4"/>
      <c r="GQ435" s="4"/>
      <c r="GR435" s="4"/>
      <c r="GS435" s="4"/>
      <c r="GT435" s="4"/>
      <c r="GU435" s="722"/>
      <c r="GV435" s="715"/>
    </row>
    <row r="436" spans="1:204" x14ac:dyDescent="0.25">
      <c r="A436" t="s">
        <v>1721</v>
      </c>
      <c r="B436" s="2" t="s">
        <v>358</v>
      </c>
      <c r="C436" s="619">
        <v>44701</v>
      </c>
      <c r="D436" s="2" t="s">
        <v>1703</v>
      </c>
      <c r="E436" t="s">
        <v>58</v>
      </c>
      <c r="F436" s="2" t="s">
        <v>43</v>
      </c>
      <c r="G436" t="s">
        <v>40</v>
      </c>
      <c r="H436" s="690" t="s">
        <v>84</v>
      </c>
      <c r="I436" s="691" t="s">
        <v>945</v>
      </c>
      <c r="J436" s="721">
        <v>12630054000110</v>
      </c>
      <c r="K436" s="691" t="s">
        <v>43</v>
      </c>
      <c r="L436" s="721">
        <v>3780401000108</v>
      </c>
      <c r="M436" s="718" t="s">
        <v>3</v>
      </c>
      <c r="N436" s="717" t="s">
        <v>44</v>
      </c>
      <c r="O436" s="719">
        <v>44805</v>
      </c>
      <c r="P436" s="720">
        <v>44834</v>
      </c>
      <c r="Q436" s="718">
        <v>130</v>
      </c>
      <c r="R436" s="717">
        <v>0.1</v>
      </c>
      <c r="S436" s="691" t="s">
        <v>54</v>
      </c>
      <c r="T436" t="s">
        <v>358</v>
      </c>
      <c r="U436" s="673" t="s">
        <v>358</v>
      </c>
      <c r="V436" s="690" t="s">
        <v>358</v>
      </c>
      <c r="W436" s="657" t="s">
        <v>214</v>
      </c>
      <c r="X436" s="723"/>
      <c r="Y436" s="4"/>
      <c r="Z436" s="4"/>
      <c r="AA436" s="4"/>
      <c r="AB436" s="4"/>
      <c r="AC436" s="4"/>
      <c r="AD436" s="4"/>
      <c r="AE436" s="4"/>
      <c r="AF436" s="4">
        <v>0.1</v>
      </c>
      <c r="AG436" s="4"/>
      <c r="AH436" s="4"/>
      <c r="AI436" s="654"/>
      <c r="AJ436" s="655"/>
      <c r="AK436" s="4"/>
      <c r="AL436" s="4"/>
      <c r="AM436" s="4"/>
      <c r="AN436" s="4"/>
      <c r="AO436" s="4"/>
      <c r="AP436" s="4"/>
      <c r="AQ436" s="4"/>
      <c r="AR436" s="4"/>
      <c r="AS436" s="4"/>
      <c r="AT436" s="4"/>
      <c r="AU436" s="654"/>
      <c r="AV436" s="655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654"/>
      <c r="BH436" s="655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654"/>
      <c r="BT436" s="655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693"/>
      <c r="CF436" s="723"/>
      <c r="CG436" s="4"/>
      <c r="CH436" s="4"/>
      <c r="CI436" s="4"/>
      <c r="CJ436" s="4"/>
      <c r="CK436" s="4"/>
      <c r="CL436" s="4"/>
      <c r="CM436" s="4"/>
      <c r="CN436" s="4">
        <v>130</v>
      </c>
      <c r="CO436" s="4"/>
      <c r="CP436" s="4"/>
      <c r="CQ436" s="654"/>
      <c r="CR436" s="655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654"/>
      <c r="DD436" s="655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654"/>
      <c r="DP436" s="655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654"/>
      <c r="EB436" s="655"/>
      <c r="EC436" s="4"/>
      <c r="ED436" s="4"/>
      <c r="EE436" s="4"/>
      <c r="EF436" s="4"/>
      <c r="EG436" s="4"/>
      <c r="EH436" s="4"/>
      <c r="EI436" s="4"/>
      <c r="EJ436" s="4"/>
      <c r="EK436" s="4"/>
      <c r="EL436" s="4"/>
      <c r="EM436" s="693"/>
      <c r="EN436" s="723"/>
      <c r="EO436" s="4"/>
      <c r="EP436" s="4"/>
      <c r="EQ436" s="4"/>
      <c r="ER436" s="4"/>
      <c r="ES436" s="4"/>
      <c r="ET436" s="4"/>
      <c r="EU436" s="4"/>
      <c r="EV436" s="4">
        <v>130</v>
      </c>
      <c r="EW436" s="4"/>
      <c r="EX436" s="4"/>
      <c r="EY436" s="654"/>
      <c r="EZ436" s="655"/>
      <c r="FA436" s="4"/>
      <c r="FB436" s="4"/>
      <c r="FC436" s="4"/>
      <c r="FD436" s="4"/>
      <c r="FE436" s="4"/>
      <c r="FF436" s="4"/>
      <c r="FG436" s="4"/>
      <c r="FH436" s="4"/>
      <c r="FI436" s="4"/>
      <c r="FJ436" s="4"/>
      <c r="FK436" s="654"/>
      <c r="FL436" s="655"/>
      <c r="FM436" s="4"/>
      <c r="FN436" s="4"/>
      <c r="FO436" s="4"/>
      <c r="FP436" s="4"/>
      <c r="FQ436" s="4"/>
      <c r="FR436" s="4"/>
      <c r="FS436" s="4"/>
      <c r="FT436" s="4"/>
      <c r="FU436" s="4"/>
      <c r="FV436" s="4"/>
      <c r="FW436" s="654"/>
      <c r="FX436" s="655"/>
      <c r="FY436" s="4"/>
      <c r="FZ436" s="4"/>
      <c r="GA436" s="4"/>
      <c r="GB436" s="4"/>
      <c r="GC436" s="4"/>
      <c r="GD436" s="4"/>
      <c r="GE436" s="4"/>
      <c r="GF436" s="4"/>
      <c r="GG436" s="4"/>
      <c r="GH436" s="4"/>
      <c r="GI436" s="654"/>
      <c r="GJ436" s="655"/>
      <c r="GK436" s="4"/>
      <c r="GL436" s="4"/>
      <c r="GM436" s="4"/>
      <c r="GN436" s="4"/>
      <c r="GO436" s="4"/>
      <c r="GP436" s="4"/>
      <c r="GQ436" s="4"/>
      <c r="GR436" s="4"/>
      <c r="GS436" s="4"/>
      <c r="GT436" s="4"/>
      <c r="GU436" s="722"/>
      <c r="GV436" s="715"/>
    </row>
    <row r="437" spans="1:204" x14ac:dyDescent="0.25">
      <c r="A437" t="s">
        <v>1725</v>
      </c>
      <c r="B437" s="2" t="s">
        <v>1724</v>
      </c>
      <c r="C437" s="619">
        <v>44704</v>
      </c>
      <c r="D437" s="2" t="s">
        <v>1722</v>
      </c>
      <c r="E437" t="s">
        <v>58</v>
      </c>
      <c r="F437" s="2" t="s">
        <v>43</v>
      </c>
      <c r="G437" t="s">
        <v>40</v>
      </c>
      <c r="H437" s="690" t="s">
        <v>84</v>
      </c>
      <c r="I437" s="691" t="s">
        <v>585</v>
      </c>
      <c r="J437" s="721">
        <v>33933760000100</v>
      </c>
      <c r="K437" s="691" t="s">
        <v>43</v>
      </c>
      <c r="L437" s="721">
        <v>3780401000108</v>
      </c>
      <c r="M437" s="718" t="s">
        <v>3</v>
      </c>
      <c r="N437" s="717" t="s">
        <v>44</v>
      </c>
      <c r="O437" s="719">
        <v>44835</v>
      </c>
      <c r="P437" s="720">
        <v>44865</v>
      </c>
      <c r="Q437" s="718">
        <v>157</v>
      </c>
      <c r="R437" s="717">
        <v>13.6</v>
      </c>
      <c r="S437" s="691" t="s">
        <v>54</v>
      </c>
      <c r="T437" t="s">
        <v>358</v>
      </c>
      <c r="U437" s="673" t="s">
        <v>358</v>
      </c>
      <c r="V437" s="690" t="s">
        <v>358</v>
      </c>
      <c r="W437" s="657" t="s">
        <v>329</v>
      </c>
      <c r="X437" s="723"/>
      <c r="Y437" s="4"/>
      <c r="Z437" s="4"/>
      <c r="AA437" s="4"/>
      <c r="AB437" s="4"/>
      <c r="AC437" s="4"/>
      <c r="AD437" s="4"/>
      <c r="AE437" s="4"/>
      <c r="AF437" s="4"/>
      <c r="AG437" s="4">
        <v>13.6</v>
      </c>
      <c r="AH437" s="4"/>
      <c r="AI437" s="654"/>
      <c r="AJ437" s="655"/>
      <c r="AK437" s="4"/>
      <c r="AL437" s="4"/>
      <c r="AM437" s="4"/>
      <c r="AN437" s="4"/>
      <c r="AO437" s="4"/>
      <c r="AP437" s="4"/>
      <c r="AQ437" s="4"/>
      <c r="AR437" s="4"/>
      <c r="AS437" s="4"/>
      <c r="AT437" s="4"/>
      <c r="AU437" s="654"/>
      <c r="AV437" s="655"/>
      <c r="AW437" s="4"/>
      <c r="AX437" s="4"/>
      <c r="AY437" s="4"/>
      <c r="AZ437" s="4"/>
      <c r="BA437" s="4"/>
      <c r="BB437" s="4"/>
      <c r="BC437" s="4"/>
      <c r="BD437" s="4"/>
      <c r="BE437" s="4"/>
      <c r="BF437" s="4"/>
      <c r="BG437" s="654"/>
      <c r="BH437" s="655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654"/>
      <c r="BT437" s="655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693"/>
      <c r="CF437" s="723"/>
      <c r="CG437" s="4"/>
      <c r="CH437" s="4"/>
      <c r="CI437" s="4"/>
      <c r="CJ437" s="4"/>
      <c r="CK437" s="4"/>
      <c r="CL437" s="4"/>
      <c r="CM437" s="4"/>
      <c r="CN437" s="4"/>
      <c r="CO437" s="4">
        <v>157</v>
      </c>
      <c r="CP437" s="4"/>
      <c r="CQ437" s="654"/>
      <c r="CR437" s="655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654"/>
      <c r="DD437" s="655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654"/>
      <c r="DP437" s="655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654"/>
      <c r="EB437" s="655"/>
      <c r="EC437" s="4"/>
      <c r="ED437" s="4"/>
      <c r="EE437" s="4"/>
      <c r="EF437" s="4"/>
      <c r="EG437" s="4"/>
      <c r="EH437" s="4"/>
      <c r="EI437" s="4"/>
      <c r="EJ437" s="4"/>
      <c r="EK437" s="4"/>
      <c r="EL437" s="4"/>
      <c r="EM437" s="693"/>
      <c r="EN437" s="723"/>
      <c r="EO437" s="4"/>
      <c r="EP437" s="4"/>
      <c r="EQ437" s="4"/>
      <c r="ER437" s="4"/>
      <c r="ES437" s="4"/>
      <c r="ET437" s="4"/>
      <c r="EU437" s="4"/>
      <c r="EV437" s="4"/>
      <c r="EW437" s="4">
        <v>157</v>
      </c>
      <c r="EX437" s="4"/>
      <c r="EY437" s="654"/>
      <c r="EZ437" s="655"/>
      <c r="FA437" s="4"/>
      <c r="FB437" s="4"/>
      <c r="FC437" s="4"/>
      <c r="FD437" s="4"/>
      <c r="FE437" s="4"/>
      <c r="FF437" s="4"/>
      <c r="FG437" s="4"/>
      <c r="FH437" s="4"/>
      <c r="FI437" s="4"/>
      <c r="FJ437" s="4"/>
      <c r="FK437" s="654"/>
      <c r="FL437" s="655"/>
      <c r="FM437" s="4"/>
      <c r="FN437" s="4"/>
      <c r="FO437" s="4"/>
      <c r="FP437" s="4"/>
      <c r="FQ437" s="4"/>
      <c r="FR437" s="4"/>
      <c r="FS437" s="4"/>
      <c r="FT437" s="4"/>
      <c r="FU437" s="4"/>
      <c r="FV437" s="4"/>
      <c r="FW437" s="654"/>
      <c r="FX437" s="655"/>
      <c r="FY437" s="4"/>
      <c r="FZ437" s="4"/>
      <c r="GA437" s="4"/>
      <c r="GB437" s="4"/>
      <c r="GC437" s="4"/>
      <c r="GD437" s="4"/>
      <c r="GE437" s="4"/>
      <c r="GF437" s="4"/>
      <c r="GG437" s="4"/>
      <c r="GH437" s="4"/>
      <c r="GI437" s="654"/>
      <c r="GJ437" s="655"/>
      <c r="GK437" s="4"/>
      <c r="GL437" s="4"/>
      <c r="GM437" s="4"/>
      <c r="GN437" s="4"/>
      <c r="GO437" s="4"/>
      <c r="GP437" s="4"/>
      <c r="GQ437" s="4"/>
      <c r="GR437" s="4"/>
      <c r="GS437" s="4"/>
      <c r="GT437" s="4"/>
      <c r="GU437" s="722"/>
      <c r="GV437" s="715"/>
    </row>
    <row r="438" spans="1:204" x14ac:dyDescent="0.25">
      <c r="A438" t="s">
        <v>1727</v>
      </c>
      <c r="B438" s="2" t="s">
        <v>1726</v>
      </c>
      <c r="C438" s="619">
        <v>44704</v>
      </c>
      <c r="D438" s="2" t="s">
        <v>1723</v>
      </c>
      <c r="E438" t="s">
        <v>58</v>
      </c>
      <c r="F438" s="2" t="s">
        <v>43</v>
      </c>
      <c r="G438" t="s">
        <v>40</v>
      </c>
      <c r="H438" s="690" t="s">
        <v>84</v>
      </c>
      <c r="I438" s="691" t="s">
        <v>902</v>
      </c>
      <c r="J438" s="721">
        <v>34475373000130</v>
      </c>
      <c r="K438" s="691" t="s">
        <v>43</v>
      </c>
      <c r="L438" s="721">
        <v>3780401000108</v>
      </c>
      <c r="M438" s="718" t="s">
        <v>3</v>
      </c>
      <c r="N438" s="717" t="s">
        <v>44</v>
      </c>
      <c r="O438" s="719">
        <v>44835</v>
      </c>
      <c r="P438" s="720">
        <v>44865</v>
      </c>
      <c r="Q438" s="718">
        <v>151</v>
      </c>
      <c r="R438" s="717">
        <v>3</v>
      </c>
      <c r="S438" s="691" t="s">
        <v>54</v>
      </c>
      <c r="T438" t="s">
        <v>358</v>
      </c>
      <c r="U438" s="673" t="s">
        <v>358</v>
      </c>
      <c r="V438" s="690" t="s">
        <v>358</v>
      </c>
      <c r="W438" s="657" t="s">
        <v>329</v>
      </c>
      <c r="X438" s="723"/>
      <c r="Y438" s="4"/>
      <c r="Z438" s="4"/>
      <c r="AA438" s="4"/>
      <c r="AB438" s="4"/>
      <c r="AC438" s="4"/>
      <c r="AD438" s="4"/>
      <c r="AE438" s="4"/>
      <c r="AF438" s="4"/>
      <c r="AG438" s="4">
        <v>3</v>
      </c>
      <c r="AH438" s="4"/>
      <c r="AI438" s="654"/>
      <c r="AJ438" s="655"/>
      <c r="AK438" s="4"/>
      <c r="AL438" s="4"/>
      <c r="AM438" s="4"/>
      <c r="AN438" s="4"/>
      <c r="AO438" s="4"/>
      <c r="AP438" s="4"/>
      <c r="AQ438" s="4"/>
      <c r="AR438" s="4"/>
      <c r="AS438" s="4"/>
      <c r="AT438" s="4"/>
      <c r="AU438" s="654"/>
      <c r="AV438" s="655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654"/>
      <c r="BH438" s="655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654"/>
      <c r="BT438" s="655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693"/>
      <c r="CF438" s="723"/>
      <c r="CG438" s="4"/>
      <c r="CH438" s="4"/>
      <c r="CI438" s="4"/>
      <c r="CJ438" s="4"/>
      <c r="CK438" s="4"/>
      <c r="CL438" s="4"/>
      <c r="CM438" s="4"/>
      <c r="CN438" s="4"/>
      <c r="CO438" s="4">
        <v>151</v>
      </c>
      <c r="CP438" s="4"/>
      <c r="CQ438" s="654"/>
      <c r="CR438" s="655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654"/>
      <c r="DD438" s="655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654"/>
      <c r="DP438" s="655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654"/>
      <c r="EB438" s="655"/>
      <c r="EC438" s="4"/>
      <c r="ED438" s="4"/>
      <c r="EE438" s="4"/>
      <c r="EF438" s="4"/>
      <c r="EG438" s="4"/>
      <c r="EH438" s="4"/>
      <c r="EI438" s="4"/>
      <c r="EJ438" s="4"/>
      <c r="EK438" s="4"/>
      <c r="EL438" s="4"/>
      <c r="EM438" s="693"/>
      <c r="EN438" s="723"/>
      <c r="EO438" s="4"/>
      <c r="EP438" s="4"/>
      <c r="EQ438" s="4"/>
      <c r="ER438" s="4"/>
      <c r="ES438" s="4"/>
      <c r="ET438" s="4"/>
      <c r="EU438" s="4"/>
      <c r="EV438" s="4"/>
      <c r="EW438" s="4">
        <v>151</v>
      </c>
      <c r="EX438" s="4"/>
      <c r="EY438" s="654"/>
      <c r="EZ438" s="655"/>
      <c r="FA438" s="4"/>
      <c r="FB438" s="4"/>
      <c r="FC438" s="4"/>
      <c r="FD438" s="4"/>
      <c r="FE438" s="4"/>
      <c r="FF438" s="4"/>
      <c r="FG438" s="4"/>
      <c r="FH438" s="4"/>
      <c r="FI438" s="4"/>
      <c r="FJ438" s="4"/>
      <c r="FK438" s="654"/>
      <c r="FL438" s="655"/>
      <c r="FM438" s="4"/>
      <c r="FN438" s="4"/>
      <c r="FO438" s="4"/>
      <c r="FP438" s="4"/>
      <c r="FQ438" s="4"/>
      <c r="FR438" s="4"/>
      <c r="FS438" s="4"/>
      <c r="FT438" s="4"/>
      <c r="FU438" s="4"/>
      <c r="FV438" s="4"/>
      <c r="FW438" s="654"/>
      <c r="FX438" s="655"/>
      <c r="FY438" s="4"/>
      <c r="FZ438" s="4"/>
      <c r="GA438" s="4"/>
      <c r="GB438" s="4"/>
      <c r="GC438" s="4"/>
      <c r="GD438" s="4"/>
      <c r="GE438" s="4"/>
      <c r="GF438" s="4"/>
      <c r="GG438" s="4"/>
      <c r="GH438" s="4"/>
      <c r="GI438" s="654"/>
      <c r="GJ438" s="655"/>
      <c r="GK438" s="4"/>
      <c r="GL438" s="4"/>
      <c r="GM438" s="4"/>
      <c r="GN438" s="4"/>
      <c r="GO438" s="4"/>
      <c r="GP438" s="4"/>
      <c r="GQ438" s="4"/>
      <c r="GR438" s="4"/>
      <c r="GS438" s="4"/>
      <c r="GT438" s="4"/>
      <c r="GU438" s="722"/>
      <c r="GV438" s="715"/>
    </row>
    <row r="439" spans="1:204" x14ac:dyDescent="0.25">
      <c r="A439" t="s">
        <v>1734</v>
      </c>
      <c r="B439" s="2" t="s">
        <v>358</v>
      </c>
      <c r="C439" s="619">
        <v>44705</v>
      </c>
      <c r="D439" s="2" t="s">
        <v>1728</v>
      </c>
      <c r="E439" t="s">
        <v>58</v>
      </c>
      <c r="F439" s="2" t="s">
        <v>43</v>
      </c>
      <c r="G439" t="s">
        <v>40</v>
      </c>
      <c r="H439" s="690" t="s">
        <v>84</v>
      </c>
      <c r="I439" s="691" t="s">
        <v>902</v>
      </c>
      <c r="J439" s="721">
        <v>34475373000130</v>
      </c>
      <c r="K439" s="691" t="s">
        <v>43</v>
      </c>
      <c r="L439" s="721">
        <v>3780401000108</v>
      </c>
      <c r="M439" s="718" t="s">
        <v>3</v>
      </c>
      <c r="N439" s="717" t="s">
        <v>44</v>
      </c>
      <c r="O439" s="719">
        <v>44805</v>
      </c>
      <c r="P439" s="720">
        <v>44834</v>
      </c>
      <c r="Q439" s="718">
        <v>123</v>
      </c>
      <c r="R439" s="717">
        <v>4</v>
      </c>
      <c r="S439" s="691" t="s">
        <v>54</v>
      </c>
      <c r="T439" t="s">
        <v>358</v>
      </c>
      <c r="U439" s="673" t="s">
        <v>358</v>
      </c>
      <c r="V439" s="690" t="s">
        <v>358</v>
      </c>
      <c r="W439" s="657" t="s">
        <v>214</v>
      </c>
      <c r="X439" s="723"/>
      <c r="Y439" s="4"/>
      <c r="Z439" s="4"/>
      <c r="AA439" s="4"/>
      <c r="AB439" s="4"/>
      <c r="AC439" s="4"/>
      <c r="AD439" s="4"/>
      <c r="AE439" s="4"/>
      <c r="AF439" s="4">
        <v>4</v>
      </c>
      <c r="AG439" s="4"/>
      <c r="AH439" s="4"/>
      <c r="AI439" s="654"/>
      <c r="AJ439" s="655"/>
      <c r="AK439" s="4"/>
      <c r="AL439" s="4"/>
      <c r="AM439" s="4"/>
      <c r="AN439" s="4"/>
      <c r="AO439" s="4"/>
      <c r="AP439" s="4"/>
      <c r="AQ439" s="4"/>
      <c r="AR439" s="4"/>
      <c r="AS439" s="4"/>
      <c r="AT439" s="4"/>
      <c r="AU439" s="654"/>
      <c r="AV439" s="655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654"/>
      <c r="BH439" s="655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654"/>
      <c r="BT439" s="655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693"/>
      <c r="CF439" s="723"/>
      <c r="CG439" s="4"/>
      <c r="CH439" s="4"/>
      <c r="CI439" s="4"/>
      <c r="CJ439" s="4"/>
      <c r="CK439" s="4"/>
      <c r="CL439" s="4"/>
      <c r="CM439" s="4"/>
      <c r="CN439" s="4">
        <v>123</v>
      </c>
      <c r="CO439" s="4"/>
      <c r="CP439" s="4"/>
      <c r="CQ439" s="654"/>
      <c r="CR439" s="655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654"/>
      <c r="DD439" s="655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654"/>
      <c r="DP439" s="655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654"/>
      <c r="EB439" s="655"/>
      <c r="EC439" s="4"/>
      <c r="ED439" s="4"/>
      <c r="EE439" s="4"/>
      <c r="EF439" s="4"/>
      <c r="EG439" s="4"/>
      <c r="EH439" s="4"/>
      <c r="EI439" s="4"/>
      <c r="EJ439" s="4"/>
      <c r="EK439" s="4"/>
      <c r="EL439" s="4"/>
      <c r="EM439" s="693"/>
      <c r="EN439" s="723"/>
      <c r="EO439" s="4"/>
      <c r="EP439" s="4"/>
      <c r="EQ439" s="4"/>
      <c r="ER439" s="4"/>
      <c r="ES439" s="4"/>
      <c r="ET439" s="4"/>
      <c r="EU439" s="4"/>
      <c r="EV439" s="4">
        <v>123</v>
      </c>
      <c r="EW439" s="4"/>
      <c r="EX439" s="4"/>
      <c r="EY439" s="654"/>
      <c r="EZ439" s="655"/>
      <c r="FA439" s="4"/>
      <c r="FB439" s="4"/>
      <c r="FC439" s="4"/>
      <c r="FD439" s="4"/>
      <c r="FE439" s="4"/>
      <c r="FF439" s="4"/>
      <c r="FG439" s="4"/>
      <c r="FH439" s="4"/>
      <c r="FI439" s="4"/>
      <c r="FJ439" s="4"/>
      <c r="FK439" s="654"/>
      <c r="FL439" s="655"/>
      <c r="FM439" s="4"/>
      <c r="FN439" s="4"/>
      <c r="FO439" s="4"/>
      <c r="FP439" s="4"/>
      <c r="FQ439" s="4"/>
      <c r="FR439" s="4"/>
      <c r="FS439" s="4"/>
      <c r="FT439" s="4"/>
      <c r="FU439" s="4"/>
      <c r="FV439" s="4"/>
      <c r="FW439" s="654"/>
      <c r="FX439" s="655"/>
      <c r="FY439" s="4"/>
      <c r="FZ439" s="4"/>
      <c r="GA439" s="4"/>
      <c r="GB439" s="4"/>
      <c r="GC439" s="4"/>
      <c r="GD439" s="4"/>
      <c r="GE439" s="4"/>
      <c r="GF439" s="4"/>
      <c r="GG439" s="4"/>
      <c r="GH439" s="4"/>
      <c r="GI439" s="654"/>
      <c r="GJ439" s="655"/>
      <c r="GK439" s="4"/>
      <c r="GL439" s="4"/>
      <c r="GM439" s="4"/>
      <c r="GN439" s="4"/>
      <c r="GO439" s="4"/>
      <c r="GP439" s="4"/>
      <c r="GQ439" s="4"/>
      <c r="GR439" s="4"/>
      <c r="GS439" s="4"/>
      <c r="GT439" s="4"/>
      <c r="GU439" s="722"/>
      <c r="GV439" s="715"/>
    </row>
    <row r="440" spans="1:204" x14ac:dyDescent="0.25">
      <c r="A440" t="s">
        <v>1735</v>
      </c>
      <c r="B440" s="2" t="s">
        <v>358</v>
      </c>
      <c r="C440" s="619">
        <v>44705</v>
      </c>
      <c r="D440" s="2" t="s">
        <v>1729</v>
      </c>
      <c r="E440" t="s">
        <v>58</v>
      </c>
      <c r="F440" s="2" t="s">
        <v>43</v>
      </c>
      <c r="G440" t="s">
        <v>40</v>
      </c>
      <c r="H440" s="690" t="s">
        <v>84</v>
      </c>
      <c r="I440" s="691" t="s">
        <v>902</v>
      </c>
      <c r="J440" s="721">
        <v>34475373000130</v>
      </c>
      <c r="K440" s="691" t="s">
        <v>43</v>
      </c>
      <c r="L440" s="721">
        <v>3780401000108</v>
      </c>
      <c r="M440" s="718" t="s">
        <v>3</v>
      </c>
      <c r="N440" s="717" t="s">
        <v>44</v>
      </c>
      <c r="O440" s="719">
        <v>44805</v>
      </c>
      <c r="P440" s="720">
        <v>44834</v>
      </c>
      <c r="Q440" s="718">
        <v>123.5</v>
      </c>
      <c r="R440" s="717">
        <v>3</v>
      </c>
      <c r="S440" s="691" t="s">
        <v>54</v>
      </c>
      <c r="T440" t="s">
        <v>358</v>
      </c>
      <c r="U440" s="673" t="s">
        <v>358</v>
      </c>
      <c r="V440" s="690" t="s">
        <v>358</v>
      </c>
      <c r="W440" s="657" t="s">
        <v>214</v>
      </c>
      <c r="X440" s="723"/>
      <c r="Y440" s="4"/>
      <c r="Z440" s="4"/>
      <c r="AA440" s="4"/>
      <c r="AB440" s="4"/>
      <c r="AC440" s="4"/>
      <c r="AD440" s="4"/>
      <c r="AE440" s="4"/>
      <c r="AF440" s="4">
        <v>3</v>
      </c>
      <c r="AG440" s="4"/>
      <c r="AH440" s="4"/>
      <c r="AI440" s="654"/>
      <c r="AJ440" s="655"/>
      <c r="AK440" s="4"/>
      <c r="AL440" s="4"/>
      <c r="AM440" s="4"/>
      <c r="AN440" s="4"/>
      <c r="AO440" s="4"/>
      <c r="AP440" s="4"/>
      <c r="AQ440" s="4"/>
      <c r="AR440" s="4"/>
      <c r="AS440" s="4"/>
      <c r="AT440" s="4"/>
      <c r="AU440" s="654"/>
      <c r="AV440" s="655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654"/>
      <c r="BH440" s="655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654"/>
      <c r="BT440" s="655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693"/>
      <c r="CF440" s="723"/>
      <c r="CG440" s="4"/>
      <c r="CH440" s="4"/>
      <c r="CI440" s="4"/>
      <c r="CJ440" s="4"/>
      <c r="CK440" s="4"/>
      <c r="CL440" s="4"/>
      <c r="CM440" s="4"/>
      <c r="CN440" s="4">
        <v>123.5</v>
      </c>
      <c r="CO440" s="4"/>
      <c r="CP440" s="4"/>
      <c r="CQ440" s="654"/>
      <c r="CR440" s="655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654"/>
      <c r="DD440" s="655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654"/>
      <c r="DP440" s="655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654"/>
      <c r="EB440" s="655"/>
      <c r="EC440" s="4"/>
      <c r="ED440" s="4"/>
      <c r="EE440" s="4"/>
      <c r="EF440" s="4"/>
      <c r="EG440" s="4"/>
      <c r="EH440" s="4"/>
      <c r="EI440" s="4"/>
      <c r="EJ440" s="4"/>
      <c r="EK440" s="4"/>
      <c r="EL440" s="4"/>
      <c r="EM440" s="693"/>
      <c r="EN440" s="723"/>
      <c r="EO440" s="4"/>
      <c r="EP440" s="4"/>
      <c r="EQ440" s="4"/>
      <c r="ER440" s="4"/>
      <c r="ES440" s="4"/>
      <c r="ET440" s="4"/>
      <c r="EU440" s="4"/>
      <c r="EV440" s="4">
        <v>123.5</v>
      </c>
      <c r="EW440" s="4"/>
      <c r="EX440" s="4"/>
      <c r="EY440" s="654"/>
      <c r="EZ440" s="655"/>
      <c r="FA440" s="4"/>
      <c r="FB440" s="4"/>
      <c r="FC440" s="4"/>
      <c r="FD440" s="4"/>
      <c r="FE440" s="4"/>
      <c r="FF440" s="4"/>
      <c r="FG440" s="4"/>
      <c r="FH440" s="4"/>
      <c r="FI440" s="4"/>
      <c r="FJ440" s="4"/>
      <c r="FK440" s="654"/>
      <c r="FL440" s="655"/>
      <c r="FM440" s="4"/>
      <c r="FN440" s="4"/>
      <c r="FO440" s="4"/>
      <c r="FP440" s="4"/>
      <c r="FQ440" s="4"/>
      <c r="FR440" s="4"/>
      <c r="FS440" s="4"/>
      <c r="FT440" s="4"/>
      <c r="FU440" s="4"/>
      <c r="FV440" s="4"/>
      <c r="FW440" s="654"/>
      <c r="FX440" s="655"/>
      <c r="FY440" s="4"/>
      <c r="FZ440" s="4"/>
      <c r="GA440" s="4"/>
      <c r="GB440" s="4"/>
      <c r="GC440" s="4"/>
      <c r="GD440" s="4"/>
      <c r="GE440" s="4"/>
      <c r="GF440" s="4"/>
      <c r="GG440" s="4"/>
      <c r="GH440" s="4"/>
      <c r="GI440" s="654"/>
      <c r="GJ440" s="655"/>
      <c r="GK440" s="4"/>
      <c r="GL440" s="4"/>
      <c r="GM440" s="4"/>
      <c r="GN440" s="4"/>
      <c r="GO440" s="4"/>
      <c r="GP440" s="4"/>
      <c r="GQ440" s="4"/>
      <c r="GR440" s="4"/>
      <c r="GS440" s="4"/>
      <c r="GT440" s="4"/>
      <c r="GU440" s="722"/>
      <c r="GV440" s="715"/>
    </row>
    <row r="441" spans="1:204" x14ac:dyDescent="0.25">
      <c r="A441" t="s">
        <v>1736</v>
      </c>
      <c r="B441" s="2" t="s">
        <v>358</v>
      </c>
      <c r="C441" s="619">
        <v>44705</v>
      </c>
      <c r="D441" s="2" t="s">
        <v>1730</v>
      </c>
      <c r="E441" t="s">
        <v>58</v>
      </c>
      <c r="F441" s="2" t="s">
        <v>43</v>
      </c>
      <c r="G441" t="s">
        <v>40</v>
      </c>
      <c r="H441" s="690" t="s">
        <v>84</v>
      </c>
      <c r="I441" s="691" t="s">
        <v>477</v>
      </c>
      <c r="J441" s="721">
        <v>11322550000224</v>
      </c>
      <c r="K441" s="691" t="s">
        <v>43</v>
      </c>
      <c r="L441" s="721">
        <v>3780401000108</v>
      </c>
      <c r="M441" s="718" t="s">
        <v>3</v>
      </c>
      <c r="N441" s="717" t="s">
        <v>44</v>
      </c>
      <c r="O441" s="719">
        <v>44805</v>
      </c>
      <c r="P441" s="720">
        <v>44834</v>
      </c>
      <c r="Q441" s="718">
        <v>124</v>
      </c>
      <c r="R441" s="717">
        <v>3</v>
      </c>
      <c r="S441" s="691" t="s">
        <v>54</v>
      </c>
      <c r="T441" t="s">
        <v>358</v>
      </c>
      <c r="U441" s="673" t="s">
        <v>358</v>
      </c>
      <c r="V441" s="690" t="s">
        <v>358</v>
      </c>
      <c r="W441" s="657" t="s">
        <v>214</v>
      </c>
      <c r="X441" s="723"/>
      <c r="Y441" s="4"/>
      <c r="Z441" s="4"/>
      <c r="AA441" s="4"/>
      <c r="AB441" s="4"/>
      <c r="AC441" s="4"/>
      <c r="AD441" s="4"/>
      <c r="AE441" s="4"/>
      <c r="AF441" s="4">
        <v>3</v>
      </c>
      <c r="AG441" s="4"/>
      <c r="AH441" s="4"/>
      <c r="AI441" s="654"/>
      <c r="AJ441" s="655"/>
      <c r="AK441" s="4"/>
      <c r="AL441" s="4"/>
      <c r="AM441" s="4"/>
      <c r="AN441" s="4"/>
      <c r="AO441" s="4"/>
      <c r="AP441" s="4"/>
      <c r="AQ441" s="4"/>
      <c r="AR441" s="4"/>
      <c r="AS441" s="4"/>
      <c r="AT441" s="4"/>
      <c r="AU441" s="654"/>
      <c r="AV441" s="655"/>
      <c r="AW441" s="4"/>
      <c r="AX441" s="4"/>
      <c r="AY441" s="4"/>
      <c r="AZ441" s="4"/>
      <c r="BA441" s="4"/>
      <c r="BB441" s="4"/>
      <c r="BC441" s="4"/>
      <c r="BD441" s="4"/>
      <c r="BE441" s="4"/>
      <c r="BF441" s="4"/>
      <c r="BG441" s="654"/>
      <c r="BH441" s="655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654"/>
      <c r="BT441" s="655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693"/>
      <c r="CF441" s="723"/>
      <c r="CG441" s="4"/>
      <c r="CH441" s="4"/>
      <c r="CI441" s="4"/>
      <c r="CJ441" s="4"/>
      <c r="CK441" s="4"/>
      <c r="CL441" s="4"/>
      <c r="CM441" s="4"/>
      <c r="CN441" s="4">
        <v>124</v>
      </c>
      <c r="CO441" s="4"/>
      <c r="CP441" s="4"/>
      <c r="CQ441" s="654"/>
      <c r="CR441" s="655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654"/>
      <c r="DD441" s="655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654"/>
      <c r="DP441" s="655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654"/>
      <c r="EB441" s="655"/>
      <c r="EC441" s="4"/>
      <c r="ED441" s="4"/>
      <c r="EE441" s="4"/>
      <c r="EF441" s="4"/>
      <c r="EG441" s="4"/>
      <c r="EH441" s="4"/>
      <c r="EI441" s="4"/>
      <c r="EJ441" s="4"/>
      <c r="EK441" s="4"/>
      <c r="EL441" s="4"/>
      <c r="EM441" s="693"/>
      <c r="EN441" s="723"/>
      <c r="EO441" s="4"/>
      <c r="EP441" s="4"/>
      <c r="EQ441" s="4"/>
      <c r="ER441" s="4"/>
      <c r="ES441" s="4"/>
      <c r="ET441" s="4"/>
      <c r="EU441" s="4"/>
      <c r="EV441" s="4">
        <v>124</v>
      </c>
      <c r="EW441" s="4"/>
      <c r="EX441" s="4"/>
      <c r="EY441" s="654"/>
      <c r="EZ441" s="655"/>
      <c r="FA441" s="4"/>
      <c r="FB441" s="4"/>
      <c r="FC441" s="4"/>
      <c r="FD441" s="4"/>
      <c r="FE441" s="4"/>
      <c r="FF441" s="4"/>
      <c r="FG441" s="4"/>
      <c r="FH441" s="4"/>
      <c r="FI441" s="4"/>
      <c r="FJ441" s="4"/>
      <c r="FK441" s="654"/>
      <c r="FL441" s="655"/>
      <c r="FM441" s="4"/>
      <c r="FN441" s="4"/>
      <c r="FO441" s="4"/>
      <c r="FP441" s="4"/>
      <c r="FQ441" s="4"/>
      <c r="FR441" s="4"/>
      <c r="FS441" s="4"/>
      <c r="FT441" s="4"/>
      <c r="FU441" s="4"/>
      <c r="FV441" s="4"/>
      <c r="FW441" s="654"/>
      <c r="FX441" s="655"/>
      <c r="FY441" s="4"/>
      <c r="FZ441" s="4"/>
      <c r="GA441" s="4"/>
      <c r="GB441" s="4"/>
      <c r="GC441" s="4"/>
      <c r="GD441" s="4"/>
      <c r="GE441" s="4"/>
      <c r="GF441" s="4"/>
      <c r="GG441" s="4"/>
      <c r="GH441" s="4"/>
      <c r="GI441" s="654"/>
      <c r="GJ441" s="655"/>
      <c r="GK441" s="4"/>
      <c r="GL441" s="4"/>
      <c r="GM441" s="4"/>
      <c r="GN441" s="4"/>
      <c r="GO441" s="4"/>
      <c r="GP441" s="4"/>
      <c r="GQ441" s="4"/>
      <c r="GR441" s="4"/>
      <c r="GS441" s="4"/>
      <c r="GT441" s="4"/>
      <c r="GU441" s="722"/>
      <c r="GV441" s="715"/>
    </row>
    <row r="442" spans="1:204" x14ac:dyDescent="0.25">
      <c r="A442" t="s">
        <v>1737</v>
      </c>
      <c r="B442" s="2" t="s">
        <v>358</v>
      </c>
      <c r="C442" s="619">
        <v>44705</v>
      </c>
      <c r="D442" s="2" t="s">
        <v>1731</v>
      </c>
      <c r="E442" t="s">
        <v>58</v>
      </c>
      <c r="F442" s="2" t="s">
        <v>43</v>
      </c>
      <c r="G442" t="s">
        <v>40</v>
      </c>
      <c r="H442" s="690" t="s">
        <v>84</v>
      </c>
      <c r="I442" s="691" t="s">
        <v>467</v>
      </c>
      <c r="J442" s="721">
        <v>25099255000184</v>
      </c>
      <c r="K442" s="691" t="s">
        <v>43</v>
      </c>
      <c r="L442" s="721">
        <v>3780401000108</v>
      </c>
      <c r="M442" s="718" t="s">
        <v>3</v>
      </c>
      <c r="N442" s="717" t="s">
        <v>44</v>
      </c>
      <c r="O442" s="719">
        <v>44774</v>
      </c>
      <c r="P442" s="720">
        <v>44804</v>
      </c>
      <c r="Q442" s="718">
        <v>115</v>
      </c>
      <c r="R442" s="717">
        <v>1</v>
      </c>
      <c r="S442" s="691" t="s">
        <v>54</v>
      </c>
      <c r="T442" t="s">
        <v>358</v>
      </c>
      <c r="U442" s="673" t="s">
        <v>358</v>
      </c>
      <c r="V442" s="690" t="s">
        <v>358</v>
      </c>
      <c r="W442" s="657" t="s">
        <v>214</v>
      </c>
      <c r="X442" s="723"/>
      <c r="Y442" s="4"/>
      <c r="Z442" s="4"/>
      <c r="AA442" s="4"/>
      <c r="AB442" s="4"/>
      <c r="AC442" s="4"/>
      <c r="AD442" s="4"/>
      <c r="AE442" s="4">
        <v>1</v>
      </c>
      <c r="AF442" s="4"/>
      <c r="AG442" s="4"/>
      <c r="AH442" s="4"/>
      <c r="AI442" s="654"/>
      <c r="AJ442" s="655"/>
      <c r="AK442" s="4"/>
      <c r="AL442" s="4"/>
      <c r="AM442" s="4"/>
      <c r="AN442" s="4"/>
      <c r="AO442" s="4"/>
      <c r="AP442" s="4"/>
      <c r="AQ442" s="4"/>
      <c r="AR442" s="4"/>
      <c r="AS442" s="4"/>
      <c r="AT442" s="4"/>
      <c r="AU442" s="654"/>
      <c r="AV442" s="655"/>
      <c r="AW442" s="4"/>
      <c r="AX442" s="4"/>
      <c r="AY442" s="4"/>
      <c r="AZ442" s="4"/>
      <c r="BA442" s="4"/>
      <c r="BB442" s="4"/>
      <c r="BC442" s="4"/>
      <c r="BD442" s="4"/>
      <c r="BE442" s="4"/>
      <c r="BF442" s="4"/>
      <c r="BG442" s="654"/>
      <c r="BH442" s="655"/>
      <c r="BI442" s="4"/>
      <c r="BJ442" s="4"/>
      <c r="BK442" s="4"/>
      <c r="BL442" s="4"/>
      <c r="BM442" s="4"/>
      <c r="BN442" s="4"/>
      <c r="BO442" s="4"/>
      <c r="BP442" s="4"/>
      <c r="BQ442" s="4"/>
      <c r="BR442" s="4"/>
      <c r="BS442" s="654"/>
      <c r="BT442" s="655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693"/>
      <c r="CF442" s="723"/>
      <c r="CG442" s="4"/>
      <c r="CH442" s="4"/>
      <c r="CI442" s="4"/>
      <c r="CJ442" s="4"/>
      <c r="CK442" s="4"/>
      <c r="CL442" s="4"/>
      <c r="CM442" s="4">
        <v>115</v>
      </c>
      <c r="CN442" s="4"/>
      <c r="CO442" s="4"/>
      <c r="CP442" s="4"/>
      <c r="CQ442" s="654"/>
      <c r="CR442" s="655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654"/>
      <c r="DD442" s="655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654"/>
      <c r="DP442" s="655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654"/>
      <c r="EB442" s="655"/>
      <c r="EC442" s="4"/>
      <c r="ED442" s="4"/>
      <c r="EE442" s="4"/>
      <c r="EF442" s="4"/>
      <c r="EG442" s="4"/>
      <c r="EH442" s="4"/>
      <c r="EI442" s="4"/>
      <c r="EJ442" s="4"/>
      <c r="EK442" s="4"/>
      <c r="EL442" s="4"/>
      <c r="EM442" s="693"/>
      <c r="EN442" s="723"/>
      <c r="EO442" s="4"/>
      <c r="EP442" s="4"/>
      <c r="EQ442" s="4"/>
      <c r="ER442" s="4"/>
      <c r="ES442" s="4"/>
      <c r="ET442" s="4"/>
      <c r="EU442" s="4">
        <v>115</v>
      </c>
      <c r="EV442" s="4"/>
      <c r="EW442" s="4"/>
      <c r="EX442" s="4"/>
      <c r="EY442" s="654"/>
      <c r="EZ442" s="655"/>
      <c r="FA442" s="4"/>
      <c r="FB442" s="4"/>
      <c r="FC442" s="4"/>
      <c r="FD442" s="4"/>
      <c r="FE442" s="4"/>
      <c r="FF442" s="4"/>
      <c r="FG442" s="4"/>
      <c r="FH442" s="4"/>
      <c r="FI442" s="4"/>
      <c r="FJ442" s="4"/>
      <c r="FK442" s="654"/>
      <c r="FL442" s="655"/>
      <c r="FM442" s="4"/>
      <c r="FN442" s="4"/>
      <c r="FO442" s="4"/>
      <c r="FP442" s="4"/>
      <c r="FQ442" s="4"/>
      <c r="FR442" s="4"/>
      <c r="FS442" s="4"/>
      <c r="FT442" s="4"/>
      <c r="FU442" s="4"/>
      <c r="FV442" s="4"/>
      <c r="FW442" s="654"/>
      <c r="FX442" s="655"/>
      <c r="FY442" s="4"/>
      <c r="FZ442" s="4"/>
      <c r="GA442" s="4"/>
      <c r="GB442" s="4"/>
      <c r="GC442" s="4"/>
      <c r="GD442" s="4"/>
      <c r="GE442" s="4"/>
      <c r="GF442" s="4"/>
      <c r="GG442" s="4"/>
      <c r="GH442" s="4"/>
      <c r="GI442" s="654"/>
      <c r="GJ442" s="655"/>
      <c r="GK442" s="4"/>
      <c r="GL442" s="4"/>
      <c r="GM442" s="4"/>
      <c r="GN442" s="4"/>
      <c r="GO442" s="4"/>
      <c r="GP442" s="4"/>
      <c r="GQ442" s="4"/>
      <c r="GR442" s="4"/>
      <c r="GS442" s="4"/>
      <c r="GT442" s="4"/>
      <c r="GU442" s="722"/>
      <c r="GV442" s="715"/>
    </row>
    <row r="443" spans="1:204" x14ac:dyDescent="0.25">
      <c r="A443" t="s">
        <v>1738</v>
      </c>
      <c r="B443" s="2" t="s">
        <v>358</v>
      </c>
      <c r="C443" s="619">
        <v>44705</v>
      </c>
      <c r="D443" s="2" t="s">
        <v>1732</v>
      </c>
      <c r="E443" t="s">
        <v>58</v>
      </c>
      <c r="F443" s="2" t="s">
        <v>43</v>
      </c>
      <c r="G443" t="s">
        <v>40</v>
      </c>
      <c r="H443" s="690" t="s">
        <v>84</v>
      </c>
      <c r="I443" s="691" t="s">
        <v>349</v>
      </c>
      <c r="J443" s="721">
        <v>4973790000142</v>
      </c>
      <c r="K443" s="691" t="s">
        <v>43</v>
      </c>
      <c r="L443" s="721">
        <v>3780401000108</v>
      </c>
      <c r="M443" s="718" t="s">
        <v>3</v>
      </c>
      <c r="N443" s="717" t="s">
        <v>44</v>
      </c>
      <c r="O443" s="719">
        <v>44805</v>
      </c>
      <c r="P443" s="720">
        <v>44834</v>
      </c>
      <c r="Q443" s="718">
        <v>124</v>
      </c>
      <c r="R443" s="717">
        <v>2</v>
      </c>
      <c r="S443" s="691" t="s">
        <v>54</v>
      </c>
      <c r="T443" t="s">
        <v>358</v>
      </c>
      <c r="U443" s="673" t="s">
        <v>358</v>
      </c>
      <c r="V443" s="690" t="s">
        <v>358</v>
      </c>
      <c r="W443" s="657" t="s">
        <v>214</v>
      </c>
      <c r="X443" s="723"/>
      <c r="Y443" s="4"/>
      <c r="Z443" s="4"/>
      <c r="AA443" s="4"/>
      <c r="AB443" s="4"/>
      <c r="AC443" s="4"/>
      <c r="AD443" s="4"/>
      <c r="AE443" s="4"/>
      <c r="AF443" s="4">
        <v>2</v>
      </c>
      <c r="AG443" s="4"/>
      <c r="AH443" s="4"/>
      <c r="AI443" s="654"/>
      <c r="AJ443" s="655"/>
      <c r="AK443" s="4"/>
      <c r="AL443" s="4"/>
      <c r="AM443" s="4"/>
      <c r="AN443" s="4"/>
      <c r="AO443" s="4"/>
      <c r="AP443" s="4"/>
      <c r="AQ443" s="4"/>
      <c r="AR443" s="4"/>
      <c r="AS443" s="4"/>
      <c r="AT443" s="4"/>
      <c r="AU443" s="654"/>
      <c r="AV443" s="655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654"/>
      <c r="BH443" s="655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654"/>
      <c r="BT443" s="655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693"/>
      <c r="CF443" s="723"/>
      <c r="CG443" s="4"/>
      <c r="CH443" s="4"/>
      <c r="CI443" s="4"/>
      <c r="CJ443" s="4"/>
      <c r="CK443" s="4"/>
      <c r="CL443" s="4"/>
      <c r="CM443" s="4"/>
      <c r="CN443" s="4">
        <v>124</v>
      </c>
      <c r="CO443" s="4"/>
      <c r="CP443" s="4"/>
      <c r="CQ443" s="654"/>
      <c r="CR443" s="655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654"/>
      <c r="DD443" s="655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654"/>
      <c r="DP443" s="655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654"/>
      <c r="EB443" s="655"/>
      <c r="EC443" s="4"/>
      <c r="ED443" s="4"/>
      <c r="EE443" s="4"/>
      <c r="EF443" s="4"/>
      <c r="EG443" s="4"/>
      <c r="EH443" s="4"/>
      <c r="EI443" s="4"/>
      <c r="EJ443" s="4"/>
      <c r="EK443" s="4"/>
      <c r="EL443" s="4"/>
      <c r="EM443" s="693"/>
      <c r="EN443" s="723"/>
      <c r="EO443" s="4"/>
      <c r="EP443" s="4"/>
      <c r="EQ443" s="4"/>
      <c r="ER443" s="4"/>
      <c r="ES443" s="4"/>
      <c r="ET443" s="4"/>
      <c r="EU443" s="4"/>
      <c r="EV443" s="4">
        <v>124</v>
      </c>
      <c r="EW443" s="4"/>
      <c r="EX443" s="4"/>
      <c r="EY443" s="654"/>
      <c r="EZ443" s="655"/>
      <c r="FA443" s="4"/>
      <c r="FB443" s="4"/>
      <c r="FC443" s="4"/>
      <c r="FD443" s="4"/>
      <c r="FE443" s="4"/>
      <c r="FF443" s="4"/>
      <c r="FG443" s="4"/>
      <c r="FH443" s="4"/>
      <c r="FI443" s="4"/>
      <c r="FJ443" s="4"/>
      <c r="FK443" s="654"/>
      <c r="FL443" s="655"/>
      <c r="FM443" s="4"/>
      <c r="FN443" s="4"/>
      <c r="FO443" s="4"/>
      <c r="FP443" s="4"/>
      <c r="FQ443" s="4"/>
      <c r="FR443" s="4"/>
      <c r="FS443" s="4"/>
      <c r="FT443" s="4"/>
      <c r="FU443" s="4"/>
      <c r="FV443" s="4"/>
      <c r="FW443" s="654"/>
      <c r="FX443" s="655"/>
      <c r="FY443" s="4"/>
      <c r="FZ443" s="4"/>
      <c r="GA443" s="4"/>
      <c r="GB443" s="4"/>
      <c r="GC443" s="4"/>
      <c r="GD443" s="4"/>
      <c r="GE443" s="4"/>
      <c r="GF443" s="4"/>
      <c r="GG443" s="4"/>
      <c r="GH443" s="4"/>
      <c r="GI443" s="654"/>
      <c r="GJ443" s="655"/>
      <c r="GK443" s="4"/>
      <c r="GL443" s="4"/>
      <c r="GM443" s="4"/>
      <c r="GN443" s="4"/>
      <c r="GO443" s="4"/>
      <c r="GP443" s="4"/>
      <c r="GQ443" s="4"/>
      <c r="GR443" s="4"/>
      <c r="GS443" s="4"/>
      <c r="GT443" s="4"/>
      <c r="GU443" s="722"/>
      <c r="GV443" s="715"/>
    </row>
    <row r="444" spans="1:204" x14ac:dyDescent="0.25">
      <c r="A444" t="s">
        <v>1739</v>
      </c>
      <c r="B444" s="2" t="s">
        <v>358</v>
      </c>
      <c r="C444" s="619">
        <v>44705</v>
      </c>
      <c r="D444" s="2" t="s">
        <v>1733</v>
      </c>
      <c r="E444" t="s">
        <v>58</v>
      </c>
      <c r="F444" s="2" t="s">
        <v>43</v>
      </c>
      <c r="G444" t="s">
        <v>40</v>
      </c>
      <c r="H444" s="690" t="s">
        <v>84</v>
      </c>
      <c r="I444" s="691" t="s">
        <v>902</v>
      </c>
      <c r="J444" s="721">
        <v>34475373000130</v>
      </c>
      <c r="K444" s="691" t="s">
        <v>43</v>
      </c>
      <c r="L444" s="721">
        <v>3780401000108</v>
      </c>
      <c r="M444" s="718" t="s">
        <v>3</v>
      </c>
      <c r="N444" s="717" t="s">
        <v>44</v>
      </c>
      <c r="O444" s="719">
        <v>44805</v>
      </c>
      <c r="P444" s="720">
        <v>44834</v>
      </c>
      <c r="Q444" s="718">
        <v>124</v>
      </c>
      <c r="R444" s="717">
        <v>1</v>
      </c>
      <c r="S444" s="691" t="s">
        <v>54</v>
      </c>
      <c r="T444" t="s">
        <v>358</v>
      </c>
      <c r="U444" s="673" t="s">
        <v>358</v>
      </c>
      <c r="V444" s="690" t="s">
        <v>358</v>
      </c>
      <c r="W444" s="657" t="s">
        <v>214</v>
      </c>
      <c r="X444" s="723"/>
      <c r="Y444" s="4"/>
      <c r="Z444" s="4"/>
      <c r="AA444" s="4"/>
      <c r="AB444" s="4"/>
      <c r="AC444" s="4"/>
      <c r="AD444" s="4"/>
      <c r="AE444" s="4"/>
      <c r="AF444" s="4">
        <v>1</v>
      </c>
      <c r="AG444" s="4"/>
      <c r="AH444" s="4"/>
      <c r="AI444" s="654"/>
      <c r="AJ444" s="655"/>
      <c r="AK444" s="4"/>
      <c r="AL444" s="4"/>
      <c r="AM444" s="4"/>
      <c r="AN444" s="4"/>
      <c r="AO444" s="4"/>
      <c r="AP444" s="4"/>
      <c r="AQ444" s="4"/>
      <c r="AR444" s="4"/>
      <c r="AS444" s="4"/>
      <c r="AT444" s="4"/>
      <c r="AU444" s="654"/>
      <c r="AV444" s="655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654"/>
      <c r="BH444" s="655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654"/>
      <c r="BT444" s="655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693"/>
      <c r="CF444" s="723"/>
      <c r="CG444" s="4"/>
      <c r="CH444" s="4"/>
      <c r="CI444" s="4"/>
      <c r="CJ444" s="4"/>
      <c r="CK444" s="4"/>
      <c r="CL444" s="4"/>
      <c r="CM444" s="4"/>
      <c r="CN444" s="4">
        <v>124</v>
      </c>
      <c r="CO444" s="4"/>
      <c r="CP444" s="4"/>
      <c r="CQ444" s="654"/>
      <c r="CR444" s="655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654"/>
      <c r="DD444" s="655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654"/>
      <c r="DP444" s="655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654"/>
      <c r="EB444" s="655"/>
      <c r="EC444" s="4"/>
      <c r="ED444" s="4"/>
      <c r="EE444" s="4"/>
      <c r="EF444" s="4"/>
      <c r="EG444" s="4"/>
      <c r="EH444" s="4"/>
      <c r="EI444" s="4"/>
      <c r="EJ444" s="4"/>
      <c r="EK444" s="4"/>
      <c r="EL444" s="4"/>
      <c r="EM444" s="693"/>
      <c r="EN444" s="723"/>
      <c r="EO444" s="4"/>
      <c r="EP444" s="4"/>
      <c r="EQ444" s="4"/>
      <c r="ER444" s="4"/>
      <c r="ES444" s="4"/>
      <c r="ET444" s="4"/>
      <c r="EU444" s="4"/>
      <c r="EV444" s="4">
        <v>124</v>
      </c>
      <c r="EW444" s="4"/>
      <c r="EX444" s="4"/>
      <c r="EY444" s="654"/>
      <c r="EZ444" s="655"/>
      <c r="FA444" s="4"/>
      <c r="FB444" s="4"/>
      <c r="FC444" s="4"/>
      <c r="FD444" s="4"/>
      <c r="FE444" s="4"/>
      <c r="FF444" s="4"/>
      <c r="FG444" s="4"/>
      <c r="FH444" s="4"/>
      <c r="FI444" s="4"/>
      <c r="FJ444" s="4"/>
      <c r="FK444" s="654"/>
      <c r="FL444" s="655"/>
      <c r="FM444" s="4"/>
      <c r="FN444" s="4"/>
      <c r="FO444" s="4"/>
      <c r="FP444" s="4"/>
      <c r="FQ444" s="4"/>
      <c r="FR444" s="4"/>
      <c r="FS444" s="4"/>
      <c r="FT444" s="4"/>
      <c r="FU444" s="4"/>
      <c r="FV444" s="4"/>
      <c r="FW444" s="654"/>
      <c r="FX444" s="655"/>
      <c r="FY444" s="4"/>
      <c r="FZ444" s="4"/>
      <c r="GA444" s="4"/>
      <c r="GB444" s="4"/>
      <c r="GC444" s="4"/>
      <c r="GD444" s="4"/>
      <c r="GE444" s="4"/>
      <c r="GF444" s="4"/>
      <c r="GG444" s="4"/>
      <c r="GH444" s="4"/>
      <c r="GI444" s="654"/>
      <c r="GJ444" s="655"/>
      <c r="GK444" s="4"/>
      <c r="GL444" s="4"/>
      <c r="GM444" s="4"/>
      <c r="GN444" s="4"/>
      <c r="GO444" s="4"/>
      <c r="GP444" s="4"/>
      <c r="GQ444" s="4"/>
      <c r="GR444" s="4"/>
      <c r="GS444" s="4"/>
      <c r="GT444" s="4"/>
      <c r="GU444" s="722"/>
      <c r="GV444" s="715"/>
    </row>
    <row r="445" spans="1:204" x14ac:dyDescent="0.25">
      <c r="A445" t="s">
        <v>1749</v>
      </c>
      <c r="B445" s="2" t="s">
        <v>358</v>
      </c>
      <c r="C445" s="619">
        <v>44706</v>
      </c>
      <c r="D445" s="2" t="s">
        <v>1740</v>
      </c>
      <c r="E445" t="s">
        <v>58</v>
      </c>
      <c r="F445" s="2" t="s">
        <v>43</v>
      </c>
      <c r="G445" t="s">
        <v>40</v>
      </c>
      <c r="H445" s="690" t="s">
        <v>84</v>
      </c>
      <c r="I445" s="691" t="s">
        <v>404</v>
      </c>
      <c r="J445" s="721">
        <v>18384740000134</v>
      </c>
      <c r="K445" s="691" t="s">
        <v>43</v>
      </c>
      <c r="L445" s="721">
        <v>3780401000108</v>
      </c>
      <c r="M445" s="718" t="s">
        <v>3</v>
      </c>
      <c r="N445" s="717" t="s">
        <v>44</v>
      </c>
      <c r="O445" s="719">
        <v>44896</v>
      </c>
      <c r="P445" s="720">
        <v>44926</v>
      </c>
      <c r="Q445" s="718">
        <v>132</v>
      </c>
      <c r="R445" s="717">
        <v>1.5</v>
      </c>
      <c r="S445" s="691" t="s">
        <v>54</v>
      </c>
      <c r="T445" t="s">
        <v>358</v>
      </c>
      <c r="U445" s="673" t="s">
        <v>358</v>
      </c>
      <c r="V445" s="690" t="s">
        <v>358</v>
      </c>
      <c r="W445" s="657" t="s">
        <v>214</v>
      </c>
      <c r="X445" s="723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654">
        <v>1.5</v>
      </c>
      <c r="AJ445" s="655"/>
      <c r="AK445" s="4"/>
      <c r="AL445" s="4"/>
      <c r="AM445" s="4"/>
      <c r="AN445" s="4"/>
      <c r="AO445" s="4"/>
      <c r="AP445" s="4"/>
      <c r="AQ445" s="4"/>
      <c r="AR445" s="4"/>
      <c r="AS445" s="4"/>
      <c r="AT445" s="4"/>
      <c r="AU445" s="654"/>
      <c r="AV445" s="655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654"/>
      <c r="BH445" s="655"/>
      <c r="BI445" s="4"/>
      <c r="BJ445" s="4"/>
      <c r="BK445" s="4"/>
      <c r="BL445" s="4"/>
      <c r="BM445" s="4"/>
      <c r="BN445" s="4"/>
      <c r="BO445" s="4"/>
      <c r="BP445" s="4"/>
      <c r="BQ445" s="4"/>
      <c r="BR445" s="4"/>
      <c r="BS445" s="654"/>
      <c r="BT445" s="655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693"/>
      <c r="CF445" s="723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654">
        <v>132</v>
      </c>
      <c r="CR445" s="655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654"/>
      <c r="DD445" s="655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654"/>
      <c r="DP445" s="655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654"/>
      <c r="EB445" s="655"/>
      <c r="EC445" s="4"/>
      <c r="ED445" s="4"/>
      <c r="EE445" s="4"/>
      <c r="EF445" s="4"/>
      <c r="EG445" s="4"/>
      <c r="EH445" s="4"/>
      <c r="EI445" s="4"/>
      <c r="EJ445" s="4"/>
      <c r="EK445" s="4"/>
      <c r="EL445" s="4"/>
      <c r="EM445" s="693"/>
      <c r="EN445" s="723"/>
      <c r="EO445" s="4"/>
      <c r="EP445" s="4"/>
      <c r="EQ445" s="4"/>
      <c r="ER445" s="4"/>
      <c r="ES445" s="4"/>
      <c r="ET445" s="4"/>
      <c r="EU445" s="4"/>
      <c r="EV445" s="4"/>
      <c r="EW445" s="4"/>
      <c r="EX445" s="4"/>
      <c r="EY445" s="654">
        <v>132</v>
      </c>
      <c r="EZ445" s="655"/>
      <c r="FA445" s="4"/>
      <c r="FB445" s="4"/>
      <c r="FC445" s="4"/>
      <c r="FD445" s="4"/>
      <c r="FE445" s="4"/>
      <c r="FF445" s="4"/>
      <c r="FG445" s="4"/>
      <c r="FH445" s="4"/>
      <c r="FI445" s="4"/>
      <c r="FJ445" s="4"/>
      <c r="FK445" s="654"/>
      <c r="FL445" s="655"/>
      <c r="FM445" s="4"/>
      <c r="FN445" s="4"/>
      <c r="FO445" s="4"/>
      <c r="FP445" s="4"/>
      <c r="FQ445" s="4"/>
      <c r="FR445" s="4"/>
      <c r="FS445" s="4"/>
      <c r="FT445" s="4"/>
      <c r="FU445" s="4"/>
      <c r="FV445" s="4"/>
      <c r="FW445" s="654"/>
      <c r="FX445" s="655"/>
      <c r="FY445" s="4"/>
      <c r="FZ445" s="4"/>
      <c r="GA445" s="4"/>
      <c r="GB445" s="4"/>
      <c r="GC445" s="4"/>
      <c r="GD445" s="4"/>
      <c r="GE445" s="4"/>
      <c r="GF445" s="4"/>
      <c r="GG445" s="4"/>
      <c r="GH445" s="4"/>
      <c r="GI445" s="654"/>
      <c r="GJ445" s="655"/>
      <c r="GK445" s="4"/>
      <c r="GL445" s="4"/>
      <c r="GM445" s="4"/>
      <c r="GN445" s="4"/>
      <c r="GO445" s="4"/>
      <c r="GP445" s="4"/>
      <c r="GQ445" s="4"/>
      <c r="GR445" s="4"/>
      <c r="GS445" s="4"/>
      <c r="GT445" s="4"/>
      <c r="GU445" s="722"/>
      <c r="GV445" s="715"/>
    </row>
    <row r="446" spans="1:204" x14ac:dyDescent="0.25">
      <c r="A446" t="s">
        <v>1750</v>
      </c>
      <c r="B446" s="2" t="s">
        <v>358</v>
      </c>
      <c r="C446" s="619">
        <v>44706</v>
      </c>
      <c r="D446" s="2" t="s">
        <v>1741</v>
      </c>
      <c r="E446" t="s">
        <v>58</v>
      </c>
      <c r="F446" s="2" t="s">
        <v>43</v>
      </c>
      <c r="G446" t="s">
        <v>40</v>
      </c>
      <c r="H446" s="690" t="s">
        <v>84</v>
      </c>
      <c r="I446" s="691" t="s">
        <v>404</v>
      </c>
      <c r="J446" s="721">
        <v>18384740000134</v>
      </c>
      <c r="K446" s="691" t="s">
        <v>43</v>
      </c>
      <c r="L446" s="721">
        <v>3780401000108</v>
      </c>
      <c r="M446" s="718" t="s">
        <v>3</v>
      </c>
      <c r="N446" s="717" t="s">
        <v>44</v>
      </c>
      <c r="O446" s="719">
        <v>44835</v>
      </c>
      <c r="P446" s="720">
        <v>44926</v>
      </c>
      <c r="Q446" s="718">
        <v>138</v>
      </c>
      <c r="R446" s="717">
        <v>2</v>
      </c>
      <c r="S446" s="691" t="s">
        <v>54</v>
      </c>
      <c r="T446" t="s">
        <v>358</v>
      </c>
      <c r="U446" s="673" t="s">
        <v>358</v>
      </c>
      <c r="V446" s="690" t="s">
        <v>358</v>
      </c>
      <c r="W446" s="657" t="s">
        <v>214</v>
      </c>
      <c r="X446" s="723"/>
      <c r="Y446" s="4"/>
      <c r="Z446" s="4"/>
      <c r="AA446" s="4"/>
      <c r="AB446" s="4"/>
      <c r="AC446" s="4"/>
      <c r="AD446" s="4"/>
      <c r="AE446" s="4"/>
      <c r="AF446" s="4"/>
      <c r="AG446" s="4">
        <v>2</v>
      </c>
      <c r="AH446" s="4">
        <v>2</v>
      </c>
      <c r="AI446" s="654">
        <v>2</v>
      </c>
      <c r="AJ446" s="655"/>
      <c r="AK446" s="4"/>
      <c r="AL446" s="4"/>
      <c r="AM446" s="4"/>
      <c r="AN446" s="4"/>
      <c r="AO446" s="4"/>
      <c r="AP446" s="4"/>
      <c r="AQ446" s="4"/>
      <c r="AR446" s="4"/>
      <c r="AS446" s="4"/>
      <c r="AT446" s="4"/>
      <c r="AU446" s="654"/>
      <c r="AV446" s="655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654"/>
      <c r="BH446" s="655"/>
      <c r="BI446" s="4"/>
      <c r="BJ446" s="4"/>
      <c r="BK446" s="4"/>
      <c r="BL446" s="4"/>
      <c r="BM446" s="4"/>
      <c r="BN446" s="4"/>
      <c r="BO446" s="4"/>
      <c r="BP446" s="4"/>
      <c r="BQ446" s="4"/>
      <c r="BR446" s="4"/>
      <c r="BS446" s="654"/>
      <c r="BT446" s="655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693"/>
      <c r="CF446" s="723"/>
      <c r="CG446" s="4"/>
      <c r="CH446" s="4"/>
      <c r="CI446" s="4"/>
      <c r="CJ446" s="4"/>
      <c r="CK446" s="4"/>
      <c r="CL446" s="4"/>
      <c r="CM446" s="4"/>
      <c r="CN446" s="4"/>
      <c r="CO446" s="4">
        <v>138</v>
      </c>
      <c r="CP446" s="4">
        <v>138</v>
      </c>
      <c r="CQ446" s="654">
        <v>138</v>
      </c>
      <c r="CR446" s="655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654"/>
      <c r="DD446" s="655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654"/>
      <c r="DP446" s="655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654"/>
      <c r="EB446" s="655"/>
      <c r="EC446" s="4"/>
      <c r="ED446" s="4"/>
      <c r="EE446" s="4"/>
      <c r="EF446" s="4"/>
      <c r="EG446" s="4"/>
      <c r="EH446" s="4"/>
      <c r="EI446" s="4"/>
      <c r="EJ446" s="4"/>
      <c r="EK446" s="4"/>
      <c r="EL446" s="4"/>
      <c r="EM446" s="693"/>
      <c r="EN446" s="723"/>
      <c r="EO446" s="4"/>
      <c r="EP446" s="4"/>
      <c r="EQ446" s="4"/>
      <c r="ER446" s="4"/>
      <c r="ES446" s="4"/>
      <c r="ET446" s="4"/>
      <c r="EU446" s="4"/>
      <c r="EV446" s="4"/>
      <c r="EW446" s="4">
        <v>138</v>
      </c>
      <c r="EX446" s="4">
        <v>138</v>
      </c>
      <c r="EY446" s="654">
        <v>138</v>
      </c>
      <c r="EZ446" s="655"/>
      <c r="FA446" s="4"/>
      <c r="FB446" s="4"/>
      <c r="FC446" s="4"/>
      <c r="FD446" s="4"/>
      <c r="FE446" s="4"/>
      <c r="FF446" s="4"/>
      <c r="FG446" s="4"/>
      <c r="FH446" s="4"/>
      <c r="FI446" s="4"/>
      <c r="FJ446" s="4"/>
      <c r="FK446" s="654"/>
      <c r="FL446" s="655"/>
      <c r="FM446" s="4"/>
      <c r="FN446" s="4"/>
      <c r="FO446" s="4"/>
      <c r="FP446" s="4"/>
      <c r="FQ446" s="4"/>
      <c r="FR446" s="4"/>
      <c r="FS446" s="4"/>
      <c r="FT446" s="4"/>
      <c r="FU446" s="4"/>
      <c r="FV446" s="4"/>
      <c r="FW446" s="654"/>
      <c r="FX446" s="655"/>
      <c r="FY446" s="4"/>
      <c r="FZ446" s="4"/>
      <c r="GA446" s="4"/>
      <c r="GB446" s="4"/>
      <c r="GC446" s="4"/>
      <c r="GD446" s="4"/>
      <c r="GE446" s="4"/>
      <c r="GF446" s="4"/>
      <c r="GG446" s="4"/>
      <c r="GH446" s="4"/>
      <c r="GI446" s="654"/>
      <c r="GJ446" s="655"/>
      <c r="GK446" s="4"/>
      <c r="GL446" s="4"/>
      <c r="GM446" s="4"/>
      <c r="GN446" s="4"/>
      <c r="GO446" s="4"/>
      <c r="GP446" s="4"/>
      <c r="GQ446" s="4"/>
      <c r="GR446" s="4"/>
      <c r="GS446" s="4"/>
      <c r="GT446" s="4"/>
      <c r="GU446" s="722"/>
      <c r="GV446" s="715"/>
    </row>
    <row r="447" spans="1:204" x14ac:dyDescent="0.25">
      <c r="A447" t="s">
        <v>1751</v>
      </c>
      <c r="B447" s="2" t="s">
        <v>358</v>
      </c>
      <c r="C447" s="619">
        <v>44706</v>
      </c>
      <c r="D447" s="2" t="s">
        <v>1742</v>
      </c>
      <c r="E447" t="s">
        <v>58</v>
      </c>
      <c r="F447" s="2" t="s">
        <v>43</v>
      </c>
      <c r="G447" t="s">
        <v>40</v>
      </c>
      <c r="H447" s="690" t="s">
        <v>84</v>
      </c>
      <c r="I447" s="691" t="s">
        <v>404</v>
      </c>
      <c r="J447" s="721">
        <v>18384740000134</v>
      </c>
      <c r="K447" s="691" t="s">
        <v>43</v>
      </c>
      <c r="L447" s="721">
        <v>3780401000108</v>
      </c>
      <c r="M447" s="718" t="s">
        <v>3</v>
      </c>
      <c r="N447" s="717" t="s">
        <v>44</v>
      </c>
      <c r="O447" s="719">
        <v>44835</v>
      </c>
      <c r="P447" s="720">
        <v>44926</v>
      </c>
      <c r="Q447" s="718">
        <v>138.5</v>
      </c>
      <c r="R447" s="717">
        <v>3</v>
      </c>
      <c r="S447" s="691" t="s">
        <v>54</v>
      </c>
      <c r="T447" t="s">
        <v>358</v>
      </c>
      <c r="U447" s="673" t="s">
        <v>358</v>
      </c>
      <c r="V447" s="690" t="s">
        <v>358</v>
      </c>
      <c r="W447" s="657" t="s">
        <v>214</v>
      </c>
      <c r="X447" s="723"/>
      <c r="Y447" s="4"/>
      <c r="Z447" s="4"/>
      <c r="AA447" s="4"/>
      <c r="AB447" s="4"/>
      <c r="AC447" s="4"/>
      <c r="AD447" s="4"/>
      <c r="AE447" s="4"/>
      <c r="AF447" s="4"/>
      <c r="AG447" s="4">
        <v>3</v>
      </c>
      <c r="AH447" s="4">
        <v>3</v>
      </c>
      <c r="AI447" s="654">
        <v>3</v>
      </c>
      <c r="AJ447" s="655"/>
      <c r="AK447" s="4"/>
      <c r="AL447" s="4"/>
      <c r="AM447" s="4"/>
      <c r="AN447" s="4"/>
      <c r="AO447" s="4"/>
      <c r="AP447" s="4"/>
      <c r="AQ447" s="4"/>
      <c r="AR447" s="4"/>
      <c r="AS447" s="4"/>
      <c r="AT447" s="4"/>
      <c r="AU447" s="654"/>
      <c r="AV447" s="655"/>
      <c r="AW447" s="4"/>
      <c r="AX447" s="4"/>
      <c r="AY447" s="4"/>
      <c r="AZ447" s="4"/>
      <c r="BA447" s="4"/>
      <c r="BB447" s="4"/>
      <c r="BC447" s="4"/>
      <c r="BD447" s="4"/>
      <c r="BE447" s="4"/>
      <c r="BF447" s="4"/>
      <c r="BG447" s="654"/>
      <c r="BH447" s="655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654"/>
      <c r="BT447" s="655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693"/>
      <c r="CF447" s="723"/>
      <c r="CG447" s="4"/>
      <c r="CH447" s="4"/>
      <c r="CI447" s="4"/>
      <c r="CJ447" s="4"/>
      <c r="CK447" s="4"/>
      <c r="CL447" s="4"/>
      <c r="CM447" s="4"/>
      <c r="CN447" s="4"/>
      <c r="CO447" s="4">
        <v>138.5</v>
      </c>
      <c r="CP447" s="4">
        <v>138.5</v>
      </c>
      <c r="CQ447" s="654">
        <v>138.5</v>
      </c>
      <c r="CR447" s="655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654"/>
      <c r="DD447" s="655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654"/>
      <c r="DP447" s="655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654"/>
      <c r="EB447" s="655"/>
      <c r="EC447" s="4"/>
      <c r="ED447" s="4"/>
      <c r="EE447" s="4"/>
      <c r="EF447" s="4"/>
      <c r="EG447" s="4"/>
      <c r="EH447" s="4"/>
      <c r="EI447" s="4"/>
      <c r="EJ447" s="4"/>
      <c r="EK447" s="4"/>
      <c r="EL447" s="4"/>
      <c r="EM447" s="693"/>
      <c r="EN447" s="723"/>
      <c r="EO447" s="4"/>
      <c r="EP447" s="4"/>
      <c r="EQ447" s="4"/>
      <c r="ER447" s="4"/>
      <c r="ES447" s="4"/>
      <c r="ET447" s="4"/>
      <c r="EU447" s="4"/>
      <c r="EV447" s="4"/>
      <c r="EW447" s="4">
        <v>138.5</v>
      </c>
      <c r="EX447" s="4">
        <v>138.5</v>
      </c>
      <c r="EY447" s="654">
        <v>138.5</v>
      </c>
      <c r="EZ447" s="655"/>
      <c r="FA447" s="4"/>
      <c r="FB447" s="4"/>
      <c r="FC447" s="4"/>
      <c r="FD447" s="4"/>
      <c r="FE447" s="4"/>
      <c r="FF447" s="4"/>
      <c r="FG447" s="4"/>
      <c r="FH447" s="4"/>
      <c r="FI447" s="4"/>
      <c r="FJ447" s="4"/>
      <c r="FK447" s="654"/>
      <c r="FL447" s="655"/>
      <c r="FM447" s="4"/>
      <c r="FN447" s="4"/>
      <c r="FO447" s="4"/>
      <c r="FP447" s="4"/>
      <c r="FQ447" s="4"/>
      <c r="FR447" s="4"/>
      <c r="FS447" s="4"/>
      <c r="FT447" s="4"/>
      <c r="FU447" s="4"/>
      <c r="FV447" s="4"/>
      <c r="FW447" s="654"/>
      <c r="FX447" s="655"/>
      <c r="FY447" s="4"/>
      <c r="FZ447" s="4"/>
      <c r="GA447" s="4"/>
      <c r="GB447" s="4"/>
      <c r="GC447" s="4"/>
      <c r="GD447" s="4"/>
      <c r="GE447" s="4"/>
      <c r="GF447" s="4"/>
      <c r="GG447" s="4"/>
      <c r="GH447" s="4"/>
      <c r="GI447" s="654"/>
      <c r="GJ447" s="655"/>
      <c r="GK447" s="4"/>
      <c r="GL447" s="4"/>
      <c r="GM447" s="4"/>
      <c r="GN447" s="4"/>
      <c r="GO447" s="4"/>
      <c r="GP447" s="4"/>
      <c r="GQ447" s="4"/>
      <c r="GR447" s="4"/>
      <c r="GS447" s="4"/>
      <c r="GT447" s="4"/>
      <c r="GU447" s="722"/>
      <c r="GV447" s="715"/>
    </row>
    <row r="448" spans="1:204" x14ac:dyDescent="0.25">
      <c r="A448" t="s">
        <v>1752</v>
      </c>
      <c r="B448" s="2" t="s">
        <v>358</v>
      </c>
      <c r="C448" s="619">
        <v>44706</v>
      </c>
      <c r="D448" s="2" t="s">
        <v>1743</v>
      </c>
      <c r="E448" t="s">
        <v>58</v>
      </c>
      <c r="F448" s="2" t="s">
        <v>43</v>
      </c>
      <c r="G448" t="s">
        <v>40</v>
      </c>
      <c r="H448" s="690" t="s">
        <v>84</v>
      </c>
      <c r="I448" s="691" t="s">
        <v>404</v>
      </c>
      <c r="J448" s="721">
        <v>18384740000134</v>
      </c>
      <c r="K448" s="691" t="s">
        <v>43</v>
      </c>
      <c r="L448" s="721">
        <v>3780401000108</v>
      </c>
      <c r="M448" s="718" t="s">
        <v>3</v>
      </c>
      <c r="N448" s="717" t="s">
        <v>44</v>
      </c>
      <c r="O448" s="719">
        <v>44835</v>
      </c>
      <c r="P448" s="720">
        <v>44926</v>
      </c>
      <c r="Q448" s="718">
        <v>138.5</v>
      </c>
      <c r="R448" s="717">
        <v>2</v>
      </c>
      <c r="S448" s="691" t="s">
        <v>54</v>
      </c>
      <c r="T448" t="s">
        <v>358</v>
      </c>
      <c r="U448" s="673" t="s">
        <v>358</v>
      </c>
      <c r="V448" s="690" t="s">
        <v>358</v>
      </c>
      <c r="W448" s="657" t="s">
        <v>214</v>
      </c>
      <c r="X448" s="723"/>
      <c r="Y448" s="4"/>
      <c r="Z448" s="4"/>
      <c r="AA448" s="4"/>
      <c r="AB448" s="4"/>
      <c r="AC448" s="4"/>
      <c r="AD448" s="4"/>
      <c r="AE448" s="4"/>
      <c r="AF448" s="4"/>
      <c r="AG448" s="4">
        <v>2</v>
      </c>
      <c r="AH448" s="4">
        <v>2</v>
      </c>
      <c r="AI448" s="654">
        <v>2</v>
      </c>
      <c r="AJ448" s="655"/>
      <c r="AK448" s="4"/>
      <c r="AL448" s="4"/>
      <c r="AM448" s="4"/>
      <c r="AN448" s="4"/>
      <c r="AO448" s="4"/>
      <c r="AP448" s="4"/>
      <c r="AQ448" s="4"/>
      <c r="AR448" s="4"/>
      <c r="AS448" s="4"/>
      <c r="AT448" s="4"/>
      <c r="AU448" s="654"/>
      <c r="AV448" s="655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654"/>
      <c r="BH448" s="655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654"/>
      <c r="BT448" s="655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693"/>
      <c r="CF448" s="723"/>
      <c r="CG448" s="4"/>
      <c r="CH448" s="4"/>
      <c r="CI448" s="4"/>
      <c r="CJ448" s="4"/>
      <c r="CK448" s="4"/>
      <c r="CL448" s="4"/>
      <c r="CM448" s="4"/>
      <c r="CN448" s="4"/>
      <c r="CO448" s="4">
        <v>138.5</v>
      </c>
      <c r="CP448" s="4">
        <v>138.5</v>
      </c>
      <c r="CQ448" s="654">
        <v>138.5</v>
      </c>
      <c r="CR448" s="655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654"/>
      <c r="DD448" s="655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654"/>
      <c r="DP448" s="655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654"/>
      <c r="EB448" s="655"/>
      <c r="EC448" s="4"/>
      <c r="ED448" s="4"/>
      <c r="EE448" s="4"/>
      <c r="EF448" s="4"/>
      <c r="EG448" s="4"/>
      <c r="EH448" s="4"/>
      <c r="EI448" s="4"/>
      <c r="EJ448" s="4"/>
      <c r="EK448" s="4"/>
      <c r="EL448" s="4"/>
      <c r="EM448" s="693"/>
      <c r="EN448" s="723"/>
      <c r="EO448" s="4"/>
      <c r="EP448" s="4"/>
      <c r="EQ448" s="4"/>
      <c r="ER448" s="4"/>
      <c r="ES448" s="4"/>
      <c r="ET448" s="4"/>
      <c r="EU448" s="4"/>
      <c r="EV448" s="4"/>
      <c r="EW448" s="4">
        <v>138.5</v>
      </c>
      <c r="EX448" s="4">
        <v>138.5</v>
      </c>
      <c r="EY448" s="654">
        <v>138.5</v>
      </c>
      <c r="EZ448" s="655"/>
      <c r="FA448" s="4"/>
      <c r="FB448" s="4"/>
      <c r="FC448" s="4"/>
      <c r="FD448" s="4"/>
      <c r="FE448" s="4"/>
      <c r="FF448" s="4"/>
      <c r="FG448" s="4"/>
      <c r="FH448" s="4"/>
      <c r="FI448" s="4"/>
      <c r="FJ448" s="4"/>
      <c r="FK448" s="654"/>
      <c r="FL448" s="655"/>
      <c r="FM448" s="4"/>
      <c r="FN448" s="4"/>
      <c r="FO448" s="4"/>
      <c r="FP448" s="4"/>
      <c r="FQ448" s="4"/>
      <c r="FR448" s="4"/>
      <c r="FS448" s="4"/>
      <c r="FT448" s="4"/>
      <c r="FU448" s="4"/>
      <c r="FV448" s="4"/>
      <c r="FW448" s="654"/>
      <c r="FX448" s="655"/>
      <c r="FY448" s="4"/>
      <c r="FZ448" s="4"/>
      <c r="GA448" s="4"/>
      <c r="GB448" s="4"/>
      <c r="GC448" s="4"/>
      <c r="GD448" s="4"/>
      <c r="GE448" s="4"/>
      <c r="GF448" s="4"/>
      <c r="GG448" s="4"/>
      <c r="GH448" s="4"/>
      <c r="GI448" s="654"/>
      <c r="GJ448" s="655"/>
      <c r="GK448" s="4"/>
      <c r="GL448" s="4"/>
      <c r="GM448" s="4"/>
      <c r="GN448" s="4"/>
      <c r="GO448" s="4"/>
      <c r="GP448" s="4"/>
      <c r="GQ448" s="4"/>
      <c r="GR448" s="4"/>
      <c r="GS448" s="4"/>
      <c r="GT448" s="4"/>
      <c r="GU448" s="722"/>
      <c r="GV448" s="715"/>
    </row>
    <row r="449" spans="1:204" x14ac:dyDescent="0.25">
      <c r="A449" t="s">
        <v>1753</v>
      </c>
      <c r="B449" s="2" t="s">
        <v>358</v>
      </c>
      <c r="C449" s="619">
        <v>44706</v>
      </c>
      <c r="D449" s="2" t="s">
        <v>1744</v>
      </c>
      <c r="E449" t="s">
        <v>58</v>
      </c>
      <c r="F449" s="2" t="s">
        <v>43</v>
      </c>
      <c r="G449" t="s">
        <v>40</v>
      </c>
      <c r="H449" s="690" t="s">
        <v>84</v>
      </c>
      <c r="I449" s="691" t="s">
        <v>1748</v>
      </c>
      <c r="J449" s="721">
        <v>12300288000107</v>
      </c>
      <c r="K449" s="691" t="s">
        <v>43</v>
      </c>
      <c r="L449" s="721">
        <v>3780401000108</v>
      </c>
      <c r="M449" s="718" t="s">
        <v>3</v>
      </c>
      <c r="N449" s="717" t="s">
        <v>44</v>
      </c>
      <c r="O449" s="719">
        <v>44896</v>
      </c>
      <c r="P449" s="720">
        <v>44926</v>
      </c>
      <c r="Q449" s="718">
        <v>133</v>
      </c>
      <c r="R449" s="717">
        <v>2</v>
      </c>
      <c r="S449" s="691" t="s">
        <v>54</v>
      </c>
      <c r="T449" t="s">
        <v>358</v>
      </c>
      <c r="U449" s="673" t="s">
        <v>358</v>
      </c>
      <c r="V449" s="690" t="s">
        <v>358</v>
      </c>
      <c r="W449" s="657" t="s">
        <v>214</v>
      </c>
      <c r="X449" s="723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654">
        <v>2</v>
      </c>
      <c r="AJ449" s="655"/>
      <c r="AK449" s="4"/>
      <c r="AL449" s="4"/>
      <c r="AM449" s="4"/>
      <c r="AN449" s="4"/>
      <c r="AO449" s="4"/>
      <c r="AP449" s="4"/>
      <c r="AQ449" s="4"/>
      <c r="AR449" s="4"/>
      <c r="AS449" s="4"/>
      <c r="AT449" s="4"/>
      <c r="AU449" s="654"/>
      <c r="AV449" s="655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654"/>
      <c r="BH449" s="655"/>
      <c r="BI449" s="4"/>
      <c r="BJ449" s="4"/>
      <c r="BK449" s="4"/>
      <c r="BL449" s="4"/>
      <c r="BM449" s="4"/>
      <c r="BN449" s="4"/>
      <c r="BO449" s="4"/>
      <c r="BP449" s="4"/>
      <c r="BQ449" s="4"/>
      <c r="BR449" s="4"/>
      <c r="BS449" s="654"/>
      <c r="BT449" s="655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693"/>
      <c r="CF449" s="723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654">
        <v>133</v>
      </c>
      <c r="CR449" s="655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654"/>
      <c r="DD449" s="655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654"/>
      <c r="DP449" s="655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654"/>
      <c r="EB449" s="655"/>
      <c r="EC449" s="4"/>
      <c r="ED449" s="4"/>
      <c r="EE449" s="4"/>
      <c r="EF449" s="4"/>
      <c r="EG449" s="4"/>
      <c r="EH449" s="4"/>
      <c r="EI449" s="4"/>
      <c r="EJ449" s="4"/>
      <c r="EK449" s="4"/>
      <c r="EL449" s="4"/>
      <c r="EM449" s="693"/>
      <c r="EN449" s="723"/>
      <c r="EO449" s="4"/>
      <c r="EP449" s="4"/>
      <c r="EQ449" s="4"/>
      <c r="ER449" s="4"/>
      <c r="ES449" s="4"/>
      <c r="ET449" s="4"/>
      <c r="EU449" s="4"/>
      <c r="EV449" s="4"/>
      <c r="EW449" s="4"/>
      <c r="EX449" s="4"/>
      <c r="EY449" s="654">
        <v>133</v>
      </c>
      <c r="EZ449" s="655"/>
      <c r="FA449" s="4"/>
      <c r="FB449" s="4"/>
      <c r="FC449" s="4"/>
      <c r="FD449" s="4"/>
      <c r="FE449" s="4"/>
      <c r="FF449" s="4"/>
      <c r="FG449" s="4"/>
      <c r="FH449" s="4"/>
      <c r="FI449" s="4"/>
      <c r="FJ449" s="4"/>
      <c r="FK449" s="654"/>
      <c r="FL449" s="655"/>
      <c r="FM449" s="4"/>
      <c r="FN449" s="4"/>
      <c r="FO449" s="4"/>
      <c r="FP449" s="4"/>
      <c r="FQ449" s="4"/>
      <c r="FR449" s="4"/>
      <c r="FS449" s="4"/>
      <c r="FT449" s="4"/>
      <c r="FU449" s="4"/>
      <c r="FV449" s="4"/>
      <c r="FW449" s="654"/>
      <c r="FX449" s="655"/>
      <c r="FY449" s="4"/>
      <c r="FZ449" s="4"/>
      <c r="GA449" s="4"/>
      <c r="GB449" s="4"/>
      <c r="GC449" s="4"/>
      <c r="GD449" s="4"/>
      <c r="GE449" s="4"/>
      <c r="GF449" s="4"/>
      <c r="GG449" s="4"/>
      <c r="GH449" s="4"/>
      <c r="GI449" s="654"/>
      <c r="GJ449" s="655"/>
      <c r="GK449" s="4"/>
      <c r="GL449" s="4"/>
      <c r="GM449" s="4"/>
      <c r="GN449" s="4"/>
      <c r="GO449" s="4"/>
      <c r="GP449" s="4"/>
      <c r="GQ449" s="4"/>
      <c r="GR449" s="4"/>
      <c r="GS449" s="4"/>
      <c r="GT449" s="4"/>
      <c r="GU449" s="722"/>
      <c r="GV449" s="715"/>
    </row>
    <row r="450" spans="1:204" x14ac:dyDescent="0.25">
      <c r="A450" t="s">
        <v>1755</v>
      </c>
      <c r="B450" s="2" t="s">
        <v>1754</v>
      </c>
      <c r="C450" s="619">
        <v>44706</v>
      </c>
      <c r="D450" s="2" t="s">
        <v>1745</v>
      </c>
      <c r="E450" t="s">
        <v>58</v>
      </c>
      <c r="F450" s="2" t="s">
        <v>43</v>
      </c>
      <c r="G450" t="s">
        <v>40</v>
      </c>
      <c r="H450" s="690" t="s">
        <v>84</v>
      </c>
      <c r="I450" s="691" t="s">
        <v>902</v>
      </c>
      <c r="J450" s="721">
        <v>34475373000130</v>
      </c>
      <c r="K450" s="691" t="s">
        <v>43</v>
      </c>
      <c r="L450" s="721">
        <v>3780401000108</v>
      </c>
      <c r="M450" s="718" t="s">
        <v>3</v>
      </c>
      <c r="N450" s="717" t="s">
        <v>44</v>
      </c>
      <c r="O450" s="719">
        <v>44866</v>
      </c>
      <c r="P450" s="720">
        <v>44895</v>
      </c>
      <c r="Q450" s="718">
        <v>139</v>
      </c>
      <c r="R450" s="717">
        <v>0.5</v>
      </c>
      <c r="S450" s="691" t="s">
        <v>54</v>
      </c>
      <c r="T450" t="s">
        <v>358</v>
      </c>
      <c r="U450" s="673" t="s">
        <v>358</v>
      </c>
      <c r="V450" s="690" t="s">
        <v>358</v>
      </c>
      <c r="W450" s="657" t="s">
        <v>329</v>
      </c>
      <c r="X450" s="723"/>
      <c r="Y450" s="4"/>
      <c r="Z450" s="4"/>
      <c r="AA450" s="4"/>
      <c r="AB450" s="4"/>
      <c r="AC450" s="4"/>
      <c r="AD450" s="4"/>
      <c r="AE450" s="4"/>
      <c r="AF450" s="4"/>
      <c r="AG450" s="4"/>
      <c r="AH450" s="4">
        <v>0.5</v>
      </c>
      <c r="AI450" s="654"/>
      <c r="AJ450" s="655"/>
      <c r="AK450" s="4"/>
      <c r="AL450" s="4"/>
      <c r="AM450" s="4"/>
      <c r="AN450" s="4"/>
      <c r="AO450" s="4"/>
      <c r="AP450" s="4"/>
      <c r="AQ450" s="4"/>
      <c r="AR450" s="4"/>
      <c r="AS450" s="4"/>
      <c r="AT450" s="4"/>
      <c r="AU450" s="654"/>
      <c r="AV450" s="655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654"/>
      <c r="BH450" s="655"/>
      <c r="BI450" s="4"/>
      <c r="BJ450" s="4"/>
      <c r="BK450" s="4"/>
      <c r="BL450" s="4"/>
      <c r="BM450" s="4"/>
      <c r="BN450" s="4"/>
      <c r="BO450" s="4"/>
      <c r="BP450" s="4"/>
      <c r="BQ450" s="4"/>
      <c r="BR450" s="4"/>
      <c r="BS450" s="654"/>
      <c r="BT450" s="655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693"/>
      <c r="CF450" s="723"/>
      <c r="CG450" s="4"/>
      <c r="CH450" s="4"/>
      <c r="CI450" s="4"/>
      <c r="CJ450" s="4"/>
      <c r="CK450" s="4"/>
      <c r="CL450" s="4"/>
      <c r="CM450" s="4"/>
      <c r="CN450" s="4"/>
      <c r="CO450" s="4"/>
      <c r="CP450" s="4">
        <v>139</v>
      </c>
      <c r="CQ450" s="654"/>
      <c r="CR450" s="655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654"/>
      <c r="DD450" s="655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654"/>
      <c r="DP450" s="655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654"/>
      <c r="EB450" s="655"/>
      <c r="EC450" s="4"/>
      <c r="ED450" s="4"/>
      <c r="EE450" s="4"/>
      <c r="EF450" s="4"/>
      <c r="EG450" s="4"/>
      <c r="EH450" s="4"/>
      <c r="EI450" s="4"/>
      <c r="EJ450" s="4"/>
      <c r="EK450" s="4"/>
      <c r="EL450" s="4"/>
      <c r="EM450" s="693"/>
      <c r="EN450" s="723"/>
      <c r="EO450" s="4"/>
      <c r="EP450" s="4"/>
      <c r="EQ450" s="4"/>
      <c r="ER450" s="4"/>
      <c r="ES450" s="4"/>
      <c r="ET450" s="4"/>
      <c r="EU450" s="4"/>
      <c r="EV450" s="4"/>
      <c r="EW450" s="4"/>
      <c r="EX450" s="4">
        <v>139</v>
      </c>
      <c r="EY450" s="654"/>
      <c r="EZ450" s="655"/>
      <c r="FA450" s="4"/>
      <c r="FB450" s="4"/>
      <c r="FC450" s="4"/>
      <c r="FD450" s="4"/>
      <c r="FE450" s="4"/>
      <c r="FF450" s="4"/>
      <c r="FG450" s="4"/>
      <c r="FH450" s="4"/>
      <c r="FI450" s="4"/>
      <c r="FJ450" s="4"/>
      <c r="FK450" s="654"/>
      <c r="FL450" s="655"/>
      <c r="FM450" s="4"/>
      <c r="FN450" s="4"/>
      <c r="FO450" s="4"/>
      <c r="FP450" s="4"/>
      <c r="FQ450" s="4"/>
      <c r="FR450" s="4"/>
      <c r="FS450" s="4"/>
      <c r="FT450" s="4"/>
      <c r="FU450" s="4"/>
      <c r="FV450" s="4"/>
      <c r="FW450" s="654"/>
      <c r="FX450" s="655"/>
      <c r="FY450" s="4"/>
      <c r="FZ450" s="4"/>
      <c r="GA450" s="4"/>
      <c r="GB450" s="4"/>
      <c r="GC450" s="4"/>
      <c r="GD450" s="4"/>
      <c r="GE450" s="4"/>
      <c r="GF450" s="4"/>
      <c r="GG450" s="4"/>
      <c r="GH450" s="4"/>
      <c r="GI450" s="654"/>
      <c r="GJ450" s="655"/>
      <c r="GK450" s="4"/>
      <c r="GL450" s="4"/>
      <c r="GM450" s="4"/>
      <c r="GN450" s="4"/>
      <c r="GO450" s="4"/>
      <c r="GP450" s="4"/>
      <c r="GQ450" s="4"/>
      <c r="GR450" s="4"/>
      <c r="GS450" s="4"/>
      <c r="GT450" s="4"/>
      <c r="GU450" s="722"/>
      <c r="GV450" s="715"/>
    </row>
    <row r="451" spans="1:204" x14ac:dyDescent="0.25">
      <c r="A451" t="s">
        <v>1756</v>
      </c>
      <c r="B451" s="2" t="s">
        <v>358</v>
      </c>
      <c r="C451" s="619">
        <v>44706</v>
      </c>
      <c r="D451" s="2" t="s">
        <v>1746</v>
      </c>
      <c r="E451" t="s">
        <v>58</v>
      </c>
      <c r="F451" s="2" t="s">
        <v>43</v>
      </c>
      <c r="G451" t="s">
        <v>40</v>
      </c>
      <c r="H451" s="690" t="s">
        <v>84</v>
      </c>
      <c r="I451" s="691" t="s">
        <v>349</v>
      </c>
      <c r="J451" s="721">
        <v>4973790000142</v>
      </c>
      <c r="K451" s="691" t="s">
        <v>43</v>
      </c>
      <c r="L451" s="721">
        <v>3780401000108</v>
      </c>
      <c r="M451" s="718" t="s">
        <v>3</v>
      </c>
      <c r="N451" s="717" t="s">
        <v>44</v>
      </c>
      <c r="O451" s="719">
        <v>44896</v>
      </c>
      <c r="P451" s="720">
        <v>44926</v>
      </c>
      <c r="Q451" s="718">
        <v>133</v>
      </c>
      <c r="R451" s="717">
        <v>2</v>
      </c>
      <c r="S451" s="691" t="s">
        <v>54</v>
      </c>
      <c r="T451" t="s">
        <v>358</v>
      </c>
      <c r="U451" s="673" t="s">
        <v>358</v>
      </c>
      <c r="V451" s="690" t="s">
        <v>358</v>
      </c>
      <c r="W451" s="657" t="s">
        <v>214</v>
      </c>
      <c r="X451" s="723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654">
        <v>2</v>
      </c>
      <c r="AJ451" s="655"/>
      <c r="AK451" s="4"/>
      <c r="AL451" s="4"/>
      <c r="AM451" s="4"/>
      <c r="AN451" s="4"/>
      <c r="AO451" s="4"/>
      <c r="AP451" s="4"/>
      <c r="AQ451" s="4"/>
      <c r="AR451" s="4"/>
      <c r="AS451" s="4"/>
      <c r="AT451" s="4"/>
      <c r="AU451" s="654"/>
      <c r="AV451" s="655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654"/>
      <c r="BH451" s="655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654"/>
      <c r="BT451" s="655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693"/>
      <c r="CF451" s="723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654">
        <v>133</v>
      </c>
      <c r="CR451" s="655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654"/>
      <c r="DD451" s="655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654"/>
      <c r="DP451" s="655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654"/>
      <c r="EB451" s="655"/>
      <c r="EC451" s="4"/>
      <c r="ED451" s="4"/>
      <c r="EE451" s="4"/>
      <c r="EF451" s="4"/>
      <c r="EG451" s="4"/>
      <c r="EH451" s="4"/>
      <c r="EI451" s="4"/>
      <c r="EJ451" s="4"/>
      <c r="EK451" s="4"/>
      <c r="EL451" s="4"/>
      <c r="EM451" s="693"/>
      <c r="EN451" s="723"/>
      <c r="EO451" s="4"/>
      <c r="EP451" s="4"/>
      <c r="EQ451" s="4"/>
      <c r="ER451" s="4"/>
      <c r="ES451" s="4"/>
      <c r="ET451" s="4"/>
      <c r="EU451" s="4"/>
      <c r="EV451" s="4"/>
      <c r="EW451" s="4"/>
      <c r="EX451" s="4"/>
      <c r="EY451" s="654">
        <v>133</v>
      </c>
      <c r="EZ451" s="655"/>
      <c r="FA451" s="4"/>
      <c r="FB451" s="4"/>
      <c r="FC451" s="4"/>
      <c r="FD451" s="4"/>
      <c r="FE451" s="4"/>
      <c r="FF451" s="4"/>
      <c r="FG451" s="4"/>
      <c r="FH451" s="4"/>
      <c r="FI451" s="4"/>
      <c r="FJ451" s="4"/>
      <c r="FK451" s="654"/>
      <c r="FL451" s="655"/>
      <c r="FM451" s="4"/>
      <c r="FN451" s="4"/>
      <c r="FO451" s="4"/>
      <c r="FP451" s="4"/>
      <c r="FQ451" s="4"/>
      <c r="FR451" s="4"/>
      <c r="FS451" s="4"/>
      <c r="FT451" s="4"/>
      <c r="FU451" s="4"/>
      <c r="FV451" s="4"/>
      <c r="FW451" s="654"/>
      <c r="FX451" s="655"/>
      <c r="FY451" s="4"/>
      <c r="FZ451" s="4"/>
      <c r="GA451" s="4"/>
      <c r="GB451" s="4"/>
      <c r="GC451" s="4"/>
      <c r="GD451" s="4"/>
      <c r="GE451" s="4"/>
      <c r="GF451" s="4"/>
      <c r="GG451" s="4"/>
      <c r="GH451" s="4"/>
      <c r="GI451" s="654"/>
      <c r="GJ451" s="655"/>
      <c r="GK451" s="4"/>
      <c r="GL451" s="4"/>
      <c r="GM451" s="4"/>
      <c r="GN451" s="4"/>
      <c r="GO451" s="4"/>
      <c r="GP451" s="4"/>
      <c r="GQ451" s="4"/>
      <c r="GR451" s="4"/>
      <c r="GS451" s="4"/>
      <c r="GT451" s="4"/>
      <c r="GU451" s="722"/>
      <c r="GV451" s="715"/>
    </row>
    <row r="452" spans="1:204" x14ac:dyDescent="0.25">
      <c r="A452" t="s">
        <v>1757</v>
      </c>
      <c r="B452" s="2" t="s">
        <v>358</v>
      </c>
      <c r="C452" s="619">
        <v>44706</v>
      </c>
      <c r="D452" s="2" t="s">
        <v>1747</v>
      </c>
      <c r="E452" t="s">
        <v>58</v>
      </c>
      <c r="F452" s="2" t="s">
        <v>43</v>
      </c>
      <c r="G452" t="s">
        <v>40</v>
      </c>
      <c r="H452" s="690" t="s">
        <v>84</v>
      </c>
      <c r="I452" s="691" t="s">
        <v>348</v>
      </c>
      <c r="J452" s="721">
        <v>13777004000122</v>
      </c>
      <c r="K452" s="691" t="s">
        <v>43</v>
      </c>
      <c r="L452" s="721">
        <v>3780401000108</v>
      </c>
      <c r="M452" s="718" t="s">
        <v>3</v>
      </c>
      <c r="N452" s="717" t="s">
        <v>44</v>
      </c>
      <c r="O452" s="719">
        <v>44805</v>
      </c>
      <c r="P452" s="720">
        <v>44834</v>
      </c>
      <c r="Q452" s="718">
        <v>120</v>
      </c>
      <c r="R452" s="717">
        <v>1</v>
      </c>
      <c r="S452" s="691" t="s">
        <v>54</v>
      </c>
      <c r="T452" t="s">
        <v>358</v>
      </c>
      <c r="U452" s="673" t="s">
        <v>358</v>
      </c>
      <c r="V452" s="690" t="s">
        <v>358</v>
      </c>
      <c r="W452" s="657" t="s">
        <v>214</v>
      </c>
      <c r="X452" s="723"/>
      <c r="Y452" s="4"/>
      <c r="Z452" s="4"/>
      <c r="AA452" s="4"/>
      <c r="AB452" s="4"/>
      <c r="AC452" s="4"/>
      <c r="AD452" s="4"/>
      <c r="AE452" s="4"/>
      <c r="AF452" s="4">
        <v>1</v>
      </c>
      <c r="AG452" s="4"/>
      <c r="AH452" s="4"/>
      <c r="AI452" s="654"/>
      <c r="AJ452" s="655"/>
      <c r="AK452" s="4"/>
      <c r="AL452" s="4"/>
      <c r="AM452" s="4"/>
      <c r="AN452" s="4"/>
      <c r="AO452" s="4"/>
      <c r="AP452" s="4"/>
      <c r="AQ452" s="4"/>
      <c r="AR452" s="4"/>
      <c r="AS452" s="4"/>
      <c r="AT452" s="4"/>
      <c r="AU452" s="654"/>
      <c r="AV452" s="655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654"/>
      <c r="BH452" s="655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654"/>
      <c r="BT452" s="655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693"/>
      <c r="CF452" s="723"/>
      <c r="CG452" s="4"/>
      <c r="CH452" s="4"/>
      <c r="CI452" s="4"/>
      <c r="CJ452" s="4"/>
      <c r="CK452" s="4"/>
      <c r="CL452" s="4"/>
      <c r="CM452" s="4"/>
      <c r="CN452" s="4">
        <v>120</v>
      </c>
      <c r="CO452" s="4"/>
      <c r="CP452" s="4"/>
      <c r="CQ452" s="654"/>
      <c r="CR452" s="655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654"/>
      <c r="DD452" s="655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654"/>
      <c r="DP452" s="655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654"/>
      <c r="EB452" s="655"/>
      <c r="EC452" s="4"/>
      <c r="ED452" s="4"/>
      <c r="EE452" s="4"/>
      <c r="EF452" s="4"/>
      <c r="EG452" s="4"/>
      <c r="EH452" s="4"/>
      <c r="EI452" s="4"/>
      <c r="EJ452" s="4"/>
      <c r="EK452" s="4"/>
      <c r="EL452" s="4"/>
      <c r="EM452" s="693"/>
      <c r="EN452" s="723"/>
      <c r="EO452" s="4"/>
      <c r="EP452" s="4"/>
      <c r="EQ452" s="4"/>
      <c r="ER452" s="4"/>
      <c r="ES452" s="4"/>
      <c r="ET452" s="4"/>
      <c r="EU452" s="4"/>
      <c r="EV452" s="4">
        <v>120</v>
      </c>
      <c r="EW452" s="4"/>
      <c r="EX452" s="4"/>
      <c r="EY452" s="654"/>
      <c r="EZ452" s="655"/>
      <c r="FA452" s="4"/>
      <c r="FB452" s="4"/>
      <c r="FC452" s="4"/>
      <c r="FD452" s="4"/>
      <c r="FE452" s="4"/>
      <c r="FF452" s="4"/>
      <c r="FG452" s="4"/>
      <c r="FH452" s="4"/>
      <c r="FI452" s="4"/>
      <c r="FJ452" s="4"/>
      <c r="FK452" s="654"/>
      <c r="FL452" s="655"/>
      <c r="FM452" s="4"/>
      <c r="FN452" s="4"/>
      <c r="FO452" s="4"/>
      <c r="FP452" s="4"/>
      <c r="FQ452" s="4"/>
      <c r="FR452" s="4"/>
      <c r="FS452" s="4"/>
      <c r="FT452" s="4"/>
      <c r="FU452" s="4"/>
      <c r="FV452" s="4"/>
      <c r="FW452" s="654"/>
      <c r="FX452" s="655"/>
      <c r="FY452" s="4"/>
      <c r="FZ452" s="4"/>
      <c r="GA452" s="4"/>
      <c r="GB452" s="4"/>
      <c r="GC452" s="4"/>
      <c r="GD452" s="4"/>
      <c r="GE452" s="4"/>
      <c r="GF452" s="4"/>
      <c r="GG452" s="4"/>
      <c r="GH452" s="4"/>
      <c r="GI452" s="654"/>
      <c r="GJ452" s="655"/>
      <c r="GK452" s="4"/>
      <c r="GL452" s="4"/>
      <c r="GM452" s="4"/>
      <c r="GN452" s="4"/>
      <c r="GO452" s="4"/>
      <c r="GP452" s="4"/>
      <c r="GQ452" s="4"/>
      <c r="GR452" s="4"/>
      <c r="GS452" s="4"/>
      <c r="GT452" s="4"/>
      <c r="GU452" s="722"/>
      <c r="GV452" s="715"/>
    </row>
    <row r="453" spans="1:204" x14ac:dyDescent="0.25">
      <c r="A453" t="s">
        <v>1759</v>
      </c>
      <c r="B453" s="2" t="s">
        <v>358</v>
      </c>
      <c r="C453" s="619">
        <v>44708</v>
      </c>
      <c r="D453" s="2" t="s">
        <v>1758</v>
      </c>
      <c r="E453" t="s">
        <v>58</v>
      </c>
      <c r="F453" s="2" t="s">
        <v>43</v>
      </c>
      <c r="G453" t="s">
        <v>40</v>
      </c>
      <c r="H453" s="690" t="s">
        <v>84</v>
      </c>
      <c r="I453" s="691" t="s">
        <v>472</v>
      </c>
      <c r="J453" s="721">
        <v>4802543000183</v>
      </c>
      <c r="K453" s="691" t="s">
        <v>43</v>
      </c>
      <c r="L453" s="721">
        <v>3780401000108</v>
      </c>
      <c r="M453" s="718" t="s">
        <v>3</v>
      </c>
      <c r="N453" s="717" t="s">
        <v>44</v>
      </c>
      <c r="O453" s="719">
        <v>44835</v>
      </c>
      <c r="P453" s="720">
        <v>44865</v>
      </c>
      <c r="Q453" s="718">
        <v>137</v>
      </c>
      <c r="R453" s="717">
        <v>2</v>
      </c>
      <c r="S453" s="691" t="s">
        <v>54</v>
      </c>
      <c r="T453" t="s">
        <v>358</v>
      </c>
      <c r="U453" s="673" t="s">
        <v>358</v>
      </c>
      <c r="V453" s="690" t="s">
        <v>358</v>
      </c>
      <c r="W453" s="657" t="s">
        <v>214</v>
      </c>
      <c r="X453" s="723"/>
      <c r="Y453" s="4"/>
      <c r="Z453" s="4"/>
      <c r="AA453" s="4"/>
      <c r="AB453" s="4"/>
      <c r="AC453" s="4"/>
      <c r="AD453" s="4"/>
      <c r="AE453" s="4"/>
      <c r="AF453" s="4"/>
      <c r="AG453" s="4">
        <v>2</v>
      </c>
      <c r="AH453" s="4"/>
      <c r="AI453" s="654"/>
      <c r="AJ453" s="655"/>
      <c r="AK453" s="4"/>
      <c r="AL453" s="4"/>
      <c r="AM453" s="4"/>
      <c r="AN453" s="4"/>
      <c r="AO453" s="4"/>
      <c r="AP453" s="4"/>
      <c r="AQ453" s="4"/>
      <c r="AR453" s="4"/>
      <c r="AS453" s="4"/>
      <c r="AT453" s="4"/>
      <c r="AU453" s="654"/>
      <c r="AV453" s="655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654"/>
      <c r="BH453" s="655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654"/>
      <c r="BT453" s="655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693"/>
      <c r="CF453" s="723"/>
      <c r="CG453" s="4"/>
      <c r="CH453" s="4"/>
      <c r="CI453" s="4"/>
      <c r="CJ453" s="4"/>
      <c r="CK453" s="4"/>
      <c r="CL453" s="4"/>
      <c r="CM453" s="4"/>
      <c r="CN453" s="4"/>
      <c r="CO453" s="4">
        <v>137</v>
      </c>
      <c r="CP453" s="4"/>
      <c r="CQ453" s="654"/>
      <c r="CR453" s="655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654"/>
      <c r="DD453" s="655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654"/>
      <c r="DP453" s="655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654"/>
      <c r="EB453" s="655"/>
      <c r="EC453" s="4"/>
      <c r="ED453" s="4"/>
      <c r="EE453" s="4"/>
      <c r="EF453" s="4"/>
      <c r="EG453" s="4"/>
      <c r="EH453" s="4"/>
      <c r="EI453" s="4"/>
      <c r="EJ453" s="4"/>
      <c r="EK453" s="4"/>
      <c r="EL453" s="4"/>
      <c r="EM453" s="693"/>
      <c r="EN453" s="723"/>
      <c r="EO453" s="4"/>
      <c r="EP453" s="4"/>
      <c r="EQ453" s="4"/>
      <c r="ER453" s="4"/>
      <c r="ES453" s="4"/>
      <c r="ET453" s="4"/>
      <c r="EU453" s="4"/>
      <c r="EV453" s="4"/>
      <c r="EW453" s="4">
        <v>137</v>
      </c>
      <c r="EX453" s="4"/>
      <c r="EY453" s="654"/>
      <c r="EZ453" s="655"/>
      <c r="FA453" s="4"/>
      <c r="FB453" s="4"/>
      <c r="FC453" s="4"/>
      <c r="FD453" s="4"/>
      <c r="FE453" s="4"/>
      <c r="FF453" s="4"/>
      <c r="FG453" s="4"/>
      <c r="FH453" s="4"/>
      <c r="FI453" s="4"/>
      <c r="FJ453" s="4"/>
      <c r="FK453" s="654"/>
      <c r="FL453" s="655"/>
      <c r="FM453" s="4"/>
      <c r="FN453" s="4"/>
      <c r="FO453" s="4"/>
      <c r="FP453" s="4"/>
      <c r="FQ453" s="4"/>
      <c r="FR453" s="4"/>
      <c r="FS453" s="4"/>
      <c r="FT453" s="4"/>
      <c r="FU453" s="4"/>
      <c r="FV453" s="4"/>
      <c r="FW453" s="654"/>
      <c r="FX453" s="655"/>
      <c r="FY453" s="4"/>
      <c r="FZ453" s="4"/>
      <c r="GA453" s="4"/>
      <c r="GB453" s="4"/>
      <c r="GC453" s="4"/>
      <c r="GD453" s="4"/>
      <c r="GE453" s="4"/>
      <c r="GF453" s="4"/>
      <c r="GG453" s="4"/>
      <c r="GH453" s="4"/>
      <c r="GI453" s="654"/>
      <c r="GJ453" s="655"/>
      <c r="GK453" s="4"/>
      <c r="GL453" s="4"/>
      <c r="GM453" s="4"/>
      <c r="GN453" s="4"/>
      <c r="GO453" s="4"/>
      <c r="GP453" s="4"/>
      <c r="GQ453" s="4"/>
      <c r="GR453" s="4"/>
      <c r="GS453" s="4"/>
      <c r="GT453" s="4"/>
      <c r="GU453" s="722"/>
      <c r="GV453" s="715"/>
    </row>
    <row r="454" spans="1:204" x14ac:dyDescent="0.25">
      <c r="A454" t="s">
        <v>1762</v>
      </c>
      <c r="B454" s="2" t="s">
        <v>358</v>
      </c>
      <c r="C454" s="619">
        <v>44711</v>
      </c>
      <c r="D454" s="2" t="s">
        <v>1760</v>
      </c>
      <c r="E454" t="s">
        <v>59</v>
      </c>
      <c r="F454" s="2" t="s">
        <v>43</v>
      </c>
      <c r="G454" t="s">
        <v>40</v>
      </c>
      <c r="H454" s="690" t="s">
        <v>85</v>
      </c>
      <c r="I454" s="691" t="s">
        <v>43</v>
      </c>
      <c r="J454" s="721">
        <v>3780401000108</v>
      </c>
      <c r="K454" s="691" t="s">
        <v>585</v>
      </c>
      <c r="L454" s="721">
        <v>33933760000100</v>
      </c>
      <c r="M454" s="718" t="s">
        <v>3</v>
      </c>
      <c r="N454" s="717" t="s">
        <v>44</v>
      </c>
      <c r="O454" s="719">
        <v>44743</v>
      </c>
      <c r="P454" s="720">
        <v>44773</v>
      </c>
      <c r="Q454" s="718">
        <v>86</v>
      </c>
      <c r="R454" s="717">
        <v>8</v>
      </c>
      <c r="S454" s="691" t="s">
        <v>54</v>
      </c>
      <c r="T454" t="s">
        <v>358</v>
      </c>
      <c r="U454" s="673" t="s">
        <v>358</v>
      </c>
      <c r="V454" s="690" t="s">
        <v>358</v>
      </c>
      <c r="W454" s="657" t="s">
        <v>214</v>
      </c>
      <c r="X454" s="723"/>
      <c r="Y454" s="4"/>
      <c r="Z454" s="4"/>
      <c r="AA454" s="4"/>
      <c r="AB454" s="4"/>
      <c r="AC454" s="4"/>
      <c r="AD454" s="4">
        <v>8</v>
      </c>
      <c r="AE454" s="4"/>
      <c r="AF454" s="4"/>
      <c r="AG454" s="4"/>
      <c r="AH454" s="4"/>
      <c r="AI454" s="654"/>
      <c r="AJ454" s="655"/>
      <c r="AK454" s="4"/>
      <c r="AL454" s="4"/>
      <c r="AM454" s="4"/>
      <c r="AN454" s="4"/>
      <c r="AO454" s="4"/>
      <c r="AP454" s="4"/>
      <c r="AQ454" s="4"/>
      <c r="AR454" s="4"/>
      <c r="AS454" s="4"/>
      <c r="AT454" s="4"/>
      <c r="AU454" s="654"/>
      <c r="AV454" s="655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654"/>
      <c r="BH454" s="655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654"/>
      <c r="BT454" s="655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693"/>
      <c r="CF454" s="723"/>
      <c r="CG454" s="4"/>
      <c r="CH454" s="4"/>
      <c r="CI454" s="4"/>
      <c r="CJ454" s="4"/>
      <c r="CK454" s="4"/>
      <c r="CL454" s="4">
        <v>86</v>
      </c>
      <c r="CM454" s="4"/>
      <c r="CN454" s="4"/>
      <c r="CO454" s="4"/>
      <c r="CP454" s="4"/>
      <c r="CQ454" s="654"/>
      <c r="CR454" s="655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654"/>
      <c r="DD454" s="655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654"/>
      <c r="DP454" s="655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654"/>
      <c r="EB454" s="655"/>
      <c r="EC454" s="4"/>
      <c r="ED454" s="4"/>
      <c r="EE454" s="4"/>
      <c r="EF454" s="4"/>
      <c r="EG454" s="4"/>
      <c r="EH454" s="4"/>
      <c r="EI454" s="4"/>
      <c r="EJ454" s="4"/>
      <c r="EK454" s="4"/>
      <c r="EL454" s="4"/>
      <c r="EM454" s="693"/>
      <c r="EN454" s="723"/>
      <c r="EO454" s="4"/>
      <c r="EP454" s="4"/>
      <c r="EQ454" s="4"/>
      <c r="ER454" s="4"/>
      <c r="ES454" s="4"/>
      <c r="ET454" s="4">
        <v>86</v>
      </c>
      <c r="EU454" s="4"/>
      <c r="EV454" s="4"/>
      <c r="EW454" s="4"/>
      <c r="EX454" s="4"/>
      <c r="EY454" s="654"/>
      <c r="EZ454" s="655"/>
      <c r="FA454" s="4"/>
      <c r="FB454" s="4"/>
      <c r="FC454" s="4"/>
      <c r="FD454" s="4"/>
      <c r="FE454" s="4"/>
      <c r="FF454" s="4"/>
      <c r="FG454" s="4"/>
      <c r="FH454" s="4"/>
      <c r="FI454" s="4"/>
      <c r="FJ454" s="4"/>
      <c r="FK454" s="654"/>
      <c r="FL454" s="655"/>
      <c r="FM454" s="4"/>
      <c r="FN454" s="4"/>
      <c r="FO454" s="4"/>
      <c r="FP454" s="4"/>
      <c r="FQ454" s="4"/>
      <c r="FR454" s="4"/>
      <c r="FS454" s="4"/>
      <c r="FT454" s="4"/>
      <c r="FU454" s="4"/>
      <c r="FV454" s="4"/>
      <c r="FW454" s="654"/>
      <c r="FX454" s="655"/>
      <c r="FY454" s="4"/>
      <c r="FZ454" s="4"/>
      <c r="GA454" s="4"/>
      <c r="GB454" s="4"/>
      <c r="GC454" s="4"/>
      <c r="GD454" s="4"/>
      <c r="GE454" s="4"/>
      <c r="GF454" s="4"/>
      <c r="GG454" s="4"/>
      <c r="GH454" s="4"/>
      <c r="GI454" s="654"/>
      <c r="GJ454" s="655"/>
      <c r="GK454" s="4"/>
      <c r="GL454" s="4"/>
      <c r="GM454" s="4"/>
      <c r="GN454" s="4"/>
      <c r="GO454" s="4"/>
      <c r="GP454" s="4"/>
      <c r="GQ454" s="4"/>
      <c r="GR454" s="4"/>
      <c r="GS454" s="4"/>
      <c r="GT454" s="4"/>
      <c r="GU454" s="722"/>
      <c r="GV454" s="715"/>
    </row>
    <row r="455" spans="1:204" x14ac:dyDescent="0.25">
      <c r="A455" t="s">
        <v>1763</v>
      </c>
      <c r="B455" s="2" t="s">
        <v>358</v>
      </c>
      <c r="C455" s="619">
        <v>44711</v>
      </c>
      <c r="D455" s="2" t="s">
        <v>1761</v>
      </c>
      <c r="E455" t="s">
        <v>59</v>
      </c>
      <c r="F455" s="2" t="s">
        <v>43</v>
      </c>
      <c r="G455" t="s">
        <v>40</v>
      </c>
      <c r="H455" s="690" t="s">
        <v>85</v>
      </c>
      <c r="I455" s="691" t="s">
        <v>43</v>
      </c>
      <c r="J455" s="721">
        <v>3780401000108</v>
      </c>
      <c r="K455" s="691" t="s">
        <v>1167</v>
      </c>
      <c r="L455" s="721">
        <v>15087610000141</v>
      </c>
      <c r="M455" s="718" t="s">
        <v>3</v>
      </c>
      <c r="N455" s="717" t="s">
        <v>44</v>
      </c>
      <c r="O455" s="719">
        <v>44743</v>
      </c>
      <c r="P455" s="720">
        <v>44773</v>
      </c>
      <c r="Q455" s="718">
        <v>86</v>
      </c>
      <c r="R455" s="717">
        <v>1.5</v>
      </c>
      <c r="S455" s="691" t="s">
        <v>54</v>
      </c>
      <c r="T455" t="s">
        <v>358</v>
      </c>
      <c r="U455" s="673" t="s">
        <v>358</v>
      </c>
      <c r="V455" s="690" t="s">
        <v>358</v>
      </c>
      <c r="W455" s="657" t="s">
        <v>214</v>
      </c>
      <c r="X455" s="723"/>
      <c r="Y455" s="4"/>
      <c r="Z455" s="4"/>
      <c r="AA455" s="4"/>
      <c r="AB455" s="4"/>
      <c r="AC455" s="4"/>
      <c r="AD455" s="4">
        <v>1.5</v>
      </c>
      <c r="AE455" s="4"/>
      <c r="AF455" s="4"/>
      <c r="AG455" s="4"/>
      <c r="AH455" s="4"/>
      <c r="AI455" s="654"/>
      <c r="AJ455" s="655"/>
      <c r="AK455" s="4"/>
      <c r="AL455" s="4"/>
      <c r="AM455" s="4"/>
      <c r="AN455" s="4"/>
      <c r="AO455" s="4"/>
      <c r="AP455" s="4"/>
      <c r="AQ455" s="4"/>
      <c r="AR455" s="4"/>
      <c r="AS455" s="4"/>
      <c r="AT455" s="4"/>
      <c r="AU455" s="654"/>
      <c r="AV455" s="655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654"/>
      <c r="BH455" s="655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654"/>
      <c r="BT455" s="655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693"/>
      <c r="CF455" s="723"/>
      <c r="CG455" s="4"/>
      <c r="CH455" s="4"/>
      <c r="CI455" s="4"/>
      <c r="CJ455" s="4"/>
      <c r="CK455" s="4"/>
      <c r="CL455" s="4">
        <v>86</v>
      </c>
      <c r="CM455" s="4"/>
      <c r="CN455" s="4"/>
      <c r="CO455" s="4"/>
      <c r="CP455" s="4"/>
      <c r="CQ455" s="654"/>
      <c r="CR455" s="655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654"/>
      <c r="DD455" s="655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654"/>
      <c r="DP455" s="655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654"/>
      <c r="EB455" s="655"/>
      <c r="EC455" s="4"/>
      <c r="ED455" s="4"/>
      <c r="EE455" s="4"/>
      <c r="EF455" s="4"/>
      <c r="EG455" s="4"/>
      <c r="EH455" s="4"/>
      <c r="EI455" s="4"/>
      <c r="EJ455" s="4"/>
      <c r="EK455" s="4"/>
      <c r="EL455" s="4"/>
      <c r="EM455" s="693"/>
      <c r="EN455" s="723"/>
      <c r="EO455" s="4"/>
      <c r="EP455" s="4"/>
      <c r="EQ455" s="4"/>
      <c r="ER455" s="4"/>
      <c r="ES455" s="4"/>
      <c r="ET455" s="4">
        <v>86</v>
      </c>
      <c r="EU455" s="4"/>
      <c r="EV455" s="4"/>
      <c r="EW455" s="4"/>
      <c r="EX455" s="4"/>
      <c r="EY455" s="654"/>
      <c r="EZ455" s="655"/>
      <c r="FA455" s="4"/>
      <c r="FB455" s="4"/>
      <c r="FC455" s="4"/>
      <c r="FD455" s="4"/>
      <c r="FE455" s="4"/>
      <c r="FF455" s="4"/>
      <c r="FG455" s="4"/>
      <c r="FH455" s="4"/>
      <c r="FI455" s="4"/>
      <c r="FJ455" s="4"/>
      <c r="FK455" s="654"/>
      <c r="FL455" s="655"/>
      <c r="FM455" s="4"/>
      <c r="FN455" s="4"/>
      <c r="FO455" s="4"/>
      <c r="FP455" s="4"/>
      <c r="FQ455" s="4"/>
      <c r="FR455" s="4"/>
      <c r="FS455" s="4"/>
      <c r="FT455" s="4"/>
      <c r="FU455" s="4"/>
      <c r="FV455" s="4"/>
      <c r="FW455" s="654"/>
      <c r="FX455" s="655"/>
      <c r="FY455" s="4"/>
      <c r="FZ455" s="4"/>
      <c r="GA455" s="4"/>
      <c r="GB455" s="4"/>
      <c r="GC455" s="4"/>
      <c r="GD455" s="4"/>
      <c r="GE455" s="4"/>
      <c r="GF455" s="4"/>
      <c r="GG455" s="4"/>
      <c r="GH455" s="4"/>
      <c r="GI455" s="654"/>
      <c r="GJ455" s="655"/>
      <c r="GK455" s="4"/>
      <c r="GL455" s="4"/>
      <c r="GM455" s="4"/>
      <c r="GN455" s="4"/>
      <c r="GO455" s="4"/>
      <c r="GP455" s="4"/>
      <c r="GQ455" s="4"/>
      <c r="GR455" s="4"/>
      <c r="GS455" s="4"/>
      <c r="GT455" s="4"/>
      <c r="GU455" s="722"/>
      <c r="GV455" s="715"/>
    </row>
    <row r="456" spans="1:204" x14ac:dyDescent="0.25">
      <c r="A456" t="s">
        <v>1767</v>
      </c>
      <c r="B456" s="2" t="s">
        <v>358</v>
      </c>
      <c r="C456" s="619">
        <v>44712</v>
      </c>
      <c r="D456" s="2" t="s">
        <v>1764</v>
      </c>
      <c r="E456" t="s">
        <v>58</v>
      </c>
      <c r="F456" s="2" t="s">
        <v>43</v>
      </c>
      <c r="G456" t="s">
        <v>40</v>
      </c>
      <c r="H456" s="690" t="s">
        <v>84</v>
      </c>
      <c r="I456" s="691" t="s">
        <v>405</v>
      </c>
      <c r="J456" s="721">
        <v>58177643000195</v>
      </c>
      <c r="K456" s="691" t="s">
        <v>43</v>
      </c>
      <c r="L456" s="721">
        <v>3780401000108</v>
      </c>
      <c r="M456" s="718" t="s">
        <v>3</v>
      </c>
      <c r="N456" s="717" t="s">
        <v>44</v>
      </c>
      <c r="O456" s="719">
        <v>44805</v>
      </c>
      <c r="P456" s="720">
        <v>44834</v>
      </c>
      <c r="Q456" s="718">
        <v>116</v>
      </c>
      <c r="R456" s="717">
        <v>5</v>
      </c>
      <c r="S456" s="691" t="s">
        <v>54</v>
      </c>
      <c r="T456" t="s">
        <v>358</v>
      </c>
      <c r="U456" s="673" t="s">
        <v>358</v>
      </c>
      <c r="V456" s="690" t="s">
        <v>358</v>
      </c>
      <c r="W456" s="657" t="s">
        <v>214</v>
      </c>
      <c r="X456" s="723"/>
      <c r="Y456" s="4"/>
      <c r="Z456" s="4"/>
      <c r="AA456" s="4"/>
      <c r="AB456" s="4"/>
      <c r="AC456" s="4"/>
      <c r="AD456" s="4"/>
      <c r="AE456" s="4"/>
      <c r="AF456" s="4">
        <v>5</v>
      </c>
      <c r="AG456" s="4"/>
      <c r="AH456" s="4"/>
      <c r="AI456" s="654"/>
      <c r="AJ456" s="655"/>
      <c r="AK456" s="4"/>
      <c r="AL456" s="4"/>
      <c r="AM456" s="4"/>
      <c r="AN456" s="4"/>
      <c r="AO456" s="4"/>
      <c r="AP456" s="4"/>
      <c r="AQ456" s="4"/>
      <c r="AR456" s="4"/>
      <c r="AS456" s="4"/>
      <c r="AT456" s="4"/>
      <c r="AU456" s="654"/>
      <c r="AV456" s="655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654"/>
      <c r="BH456" s="655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654"/>
      <c r="BT456" s="655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693"/>
      <c r="CF456" s="723"/>
      <c r="CG456" s="4"/>
      <c r="CH456" s="4"/>
      <c r="CI456" s="4"/>
      <c r="CJ456" s="4"/>
      <c r="CK456" s="4"/>
      <c r="CL456" s="4"/>
      <c r="CM456" s="4"/>
      <c r="CN456" s="4">
        <v>116</v>
      </c>
      <c r="CO456" s="4"/>
      <c r="CP456" s="4"/>
      <c r="CQ456" s="654"/>
      <c r="CR456" s="655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654"/>
      <c r="DD456" s="655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654"/>
      <c r="DP456" s="655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654"/>
      <c r="EB456" s="655"/>
      <c r="EC456" s="4"/>
      <c r="ED456" s="4"/>
      <c r="EE456" s="4"/>
      <c r="EF456" s="4"/>
      <c r="EG456" s="4"/>
      <c r="EH456" s="4"/>
      <c r="EI456" s="4"/>
      <c r="EJ456" s="4"/>
      <c r="EK456" s="4"/>
      <c r="EL456" s="4"/>
      <c r="EM456" s="693"/>
      <c r="EN456" s="723"/>
      <c r="EO456" s="4"/>
      <c r="EP456" s="4"/>
      <c r="EQ456" s="4"/>
      <c r="ER456" s="4"/>
      <c r="ES456" s="4"/>
      <c r="ET456" s="4"/>
      <c r="EU456" s="4"/>
      <c r="EV456" s="4">
        <v>116</v>
      </c>
      <c r="EW456" s="4"/>
      <c r="EX456" s="4"/>
      <c r="EY456" s="654"/>
      <c r="EZ456" s="655"/>
      <c r="FA456" s="4"/>
      <c r="FB456" s="4"/>
      <c r="FC456" s="4"/>
      <c r="FD456" s="4"/>
      <c r="FE456" s="4"/>
      <c r="FF456" s="4"/>
      <c r="FG456" s="4"/>
      <c r="FH456" s="4"/>
      <c r="FI456" s="4"/>
      <c r="FJ456" s="4"/>
      <c r="FK456" s="654"/>
      <c r="FL456" s="655"/>
      <c r="FM456" s="4"/>
      <c r="FN456" s="4"/>
      <c r="FO456" s="4"/>
      <c r="FP456" s="4"/>
      <c r="FQ456" s="4"/>
      <c r="FR456" s="4"/>
      <c r="FS456" s="4"/>
      <c r="FT456" s="4"/>
      <c r="FU456" s="4"/>
      <c r="FV456" s="4"/>
      <c r="FW456" s="654"/>
      <c r="FX456" s="655"/>
      <c r="FY456" s="4"/>
      <c r="FZ456" s="4"/>
      <c r="GA456" s="4"/>
      <c r="GB456" s="4"/>
      <c r="GC456" s="4"/>
      <c r="GD456" s="4"/>
      <c r="GE456" s="4"/>
      <c r="GF456" s="4"/>
      <c r="GG456" s="4"/>
      <c r="GH456" s="4"/>
      <c r="GI456" s="654"/>
      <c r="GJ456" s="655"/>
      <c r="GK456" s="4"/>
      <c r="GL456" s="4"/>
      <c r="GM456" s="4"/>
      <c r="GN456" s="4"/>
      <c r="GO456" s="4"/>
      <c r="GP456" s="4"/>
      <c r="GQ456" s="4"/>
      <c r="GR456" s="4"/>
      <c r="GS456" s="4"/>
      <c r="GT456" s="4"/>
      <c r="GU456" s="722"/>
      <c r="GV456" s="715"/>
    </row>
    <row r="457" spans="1:204" x14ac:dyDescent="0.25">
      <c r="A457" t="s">
        <v>1768</v>
      </c>
      <c r="B457" s="2" t="s">
        <v>358</v>
      </c>
      <c r="C457" s="619">
        <v>44712</v>
      </c>
      <c r="D457" s="2" t="s">
        <v>1765</v>
      </c>
      <c r="E457" t="s">
        <v>59</v>
      </c>
      <c r="F457" s="2" t="s">
        <v>43</v>
      </c>
      <c r="G457" t="s">
        <v>40</v>
      </c>
      <c r="H457" s="690" t="s">
        <v>81</v>
      </c>
      <c r="I457" s="691" t="s">
        <v>43</v>
      </c>
      <c r="J457" s="721">
        <v>3780401000108</v>
      </c>
      <c r="K457" s="691" t="s">
        <v>346</v>
      </c>
      <c r="L457" s="721" t="e">
        <v>#VALUE!</v>
      </c>
      <c r="M457" s="718" t="s">
        <v>3</v>
      </c>
      <c r="N457" s="717" t="s">
        <v>44</v>
      </c>
      <c r="O457" s="719">
        <v>44682</v>
      </c>
      <c r="P457" s="720">
        <v>44926</v>
      </c>
      <c r="Q457" s="718">
        <v>0</v>
      </c>
      <c r="R457" s="717">
        <v>5.84</v>
      </c>
      <c r="S457" s="691" t="s">
        <v>92</v>
      </c>
      <c r="T457" t="s">
        <v>358</v>
      </c>
      <c r="U457" s="673" t="s">
        <v>358</v>
      </c>
      <c r="V457" s="690" t="s">
        <v>358</v>
      </c>
      <c r="W457" s="657" t="s">
        <v>214</v>
      </c>
      <c r="X457" s="723"/>
      <c r="Y457" s="4"/>
      <c r="Z457" s="4"/>
      <c r="AA457" s="4"/>
      <c r="AB457" s="4">
        <v>5.84</v>
      </c>
      <c r="AC457" s="4">
        <v>5.84</v>
      </c>
      <c r="AD457" s="4">
        <v>5.84</v>
      </c>
      <c r="AE457" s="4">
        <v>5.84</v>
      </c>
      <c r="AF457" s="4">
        <v>5.84</v>
      </c>
      <c r="AG457" s="4">
        <v>5.84</v>
      </c>
      <c r="AH457" s="4">
        <v>5.84</v>
      </c>
      <c r="AI457" s="654">
        <v>5.84</v>
      </c>
      <c r="AJ457" s="655"/>
      <c r="AK457" s="4"/>
      <c r="AL457" s="4"/>
      <c r="AM457" s="4"/>
      <c r="AN457" s="4"/>
      <c r="AO457" s="4"/>
      <c r="AP457" s="4"/>
      <c r="AQ457" s="4"/>
      <c r="AR457" s="4"/>
      <c r="AS457" s="4"/>
      <c r="AT457" s="4"/>
      <c r="AU457" s="654"/>
      <c r="AV457" s="655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654"/>
      <c r="BH457" s="655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654"/>
      <c r="BT457" s="655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693"/>
      <c r="CF457" s="723"/>
      <c r="CG457" s="4"/>
      <c r="CH457" s="4"/>
      <c r="CI457" s="4"/>
      <c r="CJ457" s="4">
        <v>0</v>
      </c>
      <c r="CK457" s="4">
        <v>0</v>
      </c>
      <c r="CL457" s="4">
        <v>0</v>
      </c>
      <c r="CM457" s="4">
        <v>0</v>
      </c>
      <c r="CN457" s="4">
        <v>0</v>
      </c>
      <c r="CO457" s="4">
        <v>0</v>
      </c>
      <c r="CP457" s="4">
        <v>0</v>
      </c>
      <c r="CQ457" s="654">
        <v>0</v>
      </c>
      <c r="CR457" s="655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654"/>
      <c r="DD457" s="655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654"/>
      <c r="DP457" s="655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654"/>
      <c r="EB457" s="655"/>
      <c r="EC457" s="4"/>
      <c r="ED457" s="4"/>
      <c r="EE457" s="4"/>
      <c r="EF457" s="4"/>
      <c r="EG457" s="4"/>
      <c r="EH457" s="4"/>
      <c r="EI457" s="4"/>
      <c r="EJ457" s="4"/>
      <c r="EK457" s="4"/>
      <c r="EL457" s="4"/>
      <c r="EM457" s="693"/>
      <c r="EN457" s="723"/>
      <c r="EO457" s="4"/>
      <c r="EP457" s="4"/>
      <c r="EQ457" s="4"/>
      <c r="ER457" s="4">
        <v>55.7</v>
      </c>
      <c r="ES457" s="4">
        <v>55.71</v>
      </c>
      <c r="ET457" s="4">
        <v>66.319999999999993</v>
      </c>
      <c r="EU457" s="4">
        <v>76.900000000000006</v>
      </c>
      <c r="EV457" s="4">
        <v>56.08</v>
      </c>
      <c r="EW457" s="4">
        <v>55.7</v>
      </c>
      <c r="EX457" s="4">
        <v>55.7</v>
      </c>
      <c r="EY457" s="654">
        <v>55.7</v>
      </c>
      <c r="EZ457" s="655"/>
      <c r="FA457" s="4"/>
      <c r="FB457" s="4"/>
      <c r="FC457" s="4"/>
      <c r="FD457" s="4"/>
      <c r="FE457" s="4"/>
      <c r="FF457" s="4"/>
      <c r="FG457" s="4"/>
      <c r="FH457" s="4"/>
      <c r="FI457" s="4"/>
      <c r="FJ457" s="4"/>
      <c r="FK457" s="654"/>
      <c r="FL457" s="655"/>
      <c r="FM457" s="4"/>
      <c r="FN457" s="4"/>
      <c r="FO457" s="4"/>
      <c r="FP457" s="4"/>
      <c r="FQ457" s="4"/>
      <c r="FR457" s="4"/>
      <c r="FS457" s="4"/>
      <c r="FT457" s="4"/>
      <c r="FU457" s="4"/>
      <c r="FV457" s="4"/>
      <c r="FW457" s="654"/>
      <c r="FX457" s="655"/>
      <c r="FY457" s="4"/>
      <c r="FZ457" s="4"/>
      <c r="GA457" s="4"/>
      <c r="GB457" s="4"/>
      <c r="GC457" s="4"/>
      <c r="GD457" s="4"/>
      <c r="GE457" s="4"/>
      <c r="GF457" s="4"/>
      <c r="GG457" s="4"/>
      <c r="GH457" s="4"/>
      <c r="GI457" s="654"/>
      <c r="GJ457" s="655"/>
      <c r="GK457" s="4"/>
      <c r="GL457" s="4"/>
      <c r="GM457" s="4"/>
      <c r="GN457" s="4"/>
      <c r="GO457" s="4"/>
      <c r="GP457" s="4"/>
      <c r="GQ457" s="4"/>
      <c r="GR457" s="4"/>
      <c r="GS457" s="4"/>
      <c r="GT457" s="4"/>
      <c r="GU457" s="722"/>
      <c r="GV457" s="715"/>
    </row>
    <row r="458" spans="1:204" x14ac:dyDescent="0.25">
      <c r="A458" t="s">
        <v>1769</v>
      </c>
      <c r="B458" s="2" t="s">
        <v>358</v>
      </c>
      <c r="C458" s="619">
        <v>44712</v>
      </c>
      <c r="D458" s="2" t="s">
        <v>1766</v>
      </c>
      <c r="E458" t="s">
        <v>58</v>
      </c>
      <c r="F458" s="2" t="s">
        <v>43</v>
      </c>
      <c r="G458" t="s">
        <v>40</v>
      </c>
      <c r="H458" s="690" t="s">
        <v>81</v>
      </c>
      <c r="I458" s="691" t="s">
        <v>346</v>
      </c>
      <c r="J458" s="721" t="e">
        <v>#VALUE!</v>
      </c>
      <c r="K458" s="691" t="s">
        <v>43</v>
      </c>
      <c r="L458" s="721">
        <v>3780401000108</v>
      </c>
      <c r="M458" s="718" t="s">
        <v>6</v>
      </c>
      <c r="N458" s="717" t="s">
        <v>44</v>
      </c>
      <c r="O458" s="719">
        <v>44682</v>
      </c>
      <c r="P458" s="720">
        <v>44926</v>
      </c>
      <c r="Q458" s="718">
        <v>185</v>
      </c>
      <c r="R458" s="717">
        <v>5.84</v>
      </c>
      <c r="S458" s="691" t="s">
        <v>92</v>
      </c>
      <c r="T458" t="s">
        <v>358</v>
      </c>
      <c r="U458" s="673" t="s">
        <v>358</v>
      </c>
      <c r="V458" s="690" t="s">
        <v>358</v>
      </c>
      <c r="W458" s="657" t="s">
        <v>214</v>
      </c>
      <c r="X458" s="723"/>
      <c r="Y458" s="4"/>
      <c r="Z458" s="4"/>
      <c r="AA458" s="4"/>
      <c r="AB458" s="4">
        <v>5.84</v>
      </c>
      <c r="AC458" s="4">
        <v>5.84</v>
      </c>
      <c r="AD458" s="4">
        <v>5.84</v>
      </c>
      <c r="AE458" s="4">
        <v>5.84</v>
      </c>
      <c r="AF458" s="4">
        <v>5.84</v>
      </c>
      <c r="AG458" s="4">
        <v>5.84</v>
      </c>
      <c r="AH458" s="4">
        <v>5.84</v>
      </c>
      <c r="AI458" s="654">
        <v>5.84</v>
      </c>
      <c r="AJ458" s="655"/>
      <c r="AK458" s="4"/>
      <c r="AL458" s="4"/>
      <c r="AM458" s="4"/>
      <c r="AN458" s="4"/>
      <c r="AO458" s="4"/>
      <c r="AP458" s="4"/>
      <c r="AQ458" s="4"/>
      <c r="AR458" s="4"/>
      <c r="AS458" s="4"/>
      <c r="AT458" s="4"/>
      <c r="AU458" s="654"/>
      <c r="AV458" s="655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654"/>
      <c r="BH458" s="655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654"/>
      <c r="BT458" s="655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693"/>
      <c r="CF458" s="723"/>
      <c r="CG458" s="4"/>
      <c r="CH458" s="4"/>
      <c r="CI458" s="4"/>
      <c r="CJ458" s="4">
        <v>185</v>
      </c>
      <c r="CK458" s="4">
        <v>185</v>
      </c>
      <c r="CL458" s="4">
        <v>185</v>
      </c>
      <c r="CM458" s="4">
        <v>185</v>
      </c>
      <c r="CN458" s="4">
        <v>185</v>
      </c>
      <c r="CO458" s="4">
        <v>185</v>
      </c>
      <c r="CP458" s="4">
        <v>185</v>
      </c>
      <c r="CQ458" s="654">
        <v>185</v>
      </c>
      <c r="CR458" s="655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654"/>
      <c r="DD458" s="655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654"/>
      <c r="DP458" s="655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654"/>
      <c r="EB458" s="655"/>
      <c r="EC458" s="4"/>
      <c r="ED458" s="4"/>
      <c r="EE458" s="4"/>
      <c r="EF458" s="4"/>
      <c r="EG458" s="4"/>
      <c r="EH458" s="4"/>
      <c r="EI458" s="4"/>
      <c r="EJ458" s="4"/>
      <c r="EK458" s="4"/>
      <c r="EL458" s="4"/>
      <c r="EM458" s="693"/>
      <c r="EN458" s="723"/>
      <c r="EO458" s="4"/>
      <c r="EP458" s="4"/>
      <c r="EQ458" s="4"/>
      <c r="ER458" s="4">
        <v>240.7</v>
      </c>
      <c r="ES458" s="4">
        <v>240.71</v>
      </c>
      <c r="ET458" s="4">
        <v>251.32</v>
      </c>
      <c r="EU458" s="4">
        <v>261.89999999999998</v>
      </c>
      <c r="EV458" s="4">
        <v>241.07999999999998</v>
      </c>
      <c r="EW458" s="4">
        <v>240.7</v>
      </c>
      <c r="EX458" s="4">
        <v>240.7</v>
      </c>
      <c r="EY458" s="654">
        <v>240.7</v>
      </c>
      <c r="EZ458" s="655"/>
      <c r="FA458" s="4"/>
      <c r="FB458" s="4"/>
      <c r="FC458" s="4"/>
      <c r="FD458" s="4"/>
      <c r="FE458" s="4"/>
      <c r="FF458" s="4"/>
      <c r="FG458" s="4"/>
      <c r="FH458" s="4"/>
      <c r="FI458" s="4"/>
      <c r="FJ458" s="4"/>
      <c r="FK458" s="654"/>
      <c r="FL458" s="655"/>
      <c r="FM458" s="4"/>
      <c r="FN458" s="4"/>
      <c r="FO458" s="4"/>
      <c r="FP458" s="4"/>
      <c r="FQ458" s="4"/>
      <c r="FR458" s="4"/>
      <c r="FS458" s="4"/>
      <c r="FT458" s="4"/>
      <c r="FU458" s="4"/>
      <c r="FV458" s="4"/>
      <c r="FW458" s="654"/>
      <c r="FX458" s="655"/>
      <c r="FY458" s="4"/>
      <c r="FZ458" s="4"/>
      <c r="GA458" s="4"/>
      <c r="GB458" s="4"/>
      <c r="GC458" s="4"/>
      <c r="GD458" s="4"/>
      <c r="GE458" s="4"/>
      <c r="GF458" s="4"/>
      <c r="GG458" s="4"/>
      <c r="GH458" s="4"/>
      <c r="GI458" s="654"/>
      <c r="GJ458" s="655"/>
      <c r="GK458" s="4"/>
      <c r="GL458" s="4"/>
      <c r="GM458" s="4"/>
      <c r="GN458" s="4"/>
      <c r="GO458" s="4"/>
      <c r="GP458" s="4"/>
      <c r="GQ458" s="4"/>
      <c r="GR458" s="4"/>
      <c r="GS458" s="4"/>
      <c r="GT458" s="4"/>
      <c r="GU458" s="722"/>
      <c r="GV458" s="715"/>
    </row>
    <row r="459" spans="1:204" x14ac:dyDescent="0.25">
      <c r="A459" t="s">
        <v>1781</v>
      </c>
      <c r="B459" s="2" t="s">
        <v>1780</v>
      </c>
      <c r="C459" s="619">
        <v>44713</v>
      </c>
      <c r="D459" s="2" t="s">
        <v>1770</v>
      </c>
      <c r="E459" t="s">
        <v>59</v>
      </c>
      <c r="F459" s="2" t="s">
        <v>43</v>
      </c>
      <c r="G459" t="s">
        <v>40</v>
      </c>
      <c r="H459" s="690" t="s">
        <v>85</v>
      </c>
      <c r="I459" s="691" t="s">
        <v>43</v>
      </c>
      <c r="J459" s="721">
        <v>3780401000108</v>
      </c>
      <c r="K459" s="691" t="s">
        <v>967</v>
      </c>
      <c r="L459" s="721">
        <v>3984862000194</v>
      </c>
      <c r="M459" s="718" t="s">
        <v>6</v>
      </c>
      <c r="N459" s="717" t="s">
        <v>44</v>
      </c>
      <c r="O459" s="719">
        <v>44682</v>
      </c>
      <c r="P459" s="720">
        <v>44712</v>
      </c>
      <c r="Q459" s="718">
        <v>190</v>
      </c>
      <c r="R459" s="717">
        <v>3</v>
      </c>
      <c r="S459" s="691" t="s">
        <v>92</v>
      </c>
      <c r="T459" t="s">
        <v>358</v>
      </c>
      <c r="U459" s="673" t="s">
        <v>358</v>
      </c>
      <c r="V459" s="690" t="s">
        <v>358</v>
      </c>
      <c r="W459" s="657" t="s">
        <v>324</v>
      </c>
      <c r="X459" s="723"/>
      <c r="Y459" s="4"/>
      <c r="Z459" s="4"/>
      <c r="AA459" s="4"/>
      <c r="AB459" s="4">
        <v>3</v>
      </c>
      <c r="AC459" s="4"/>
      <c r="AD459" s="4"/>
      <c r="AE459" s="4"/>
      <c r="AF459" s="4"/>
      <c r="AG459" s="4"/>
      <c r="AH459" s="4"/>
      <c r="AI459" s="654"/>
      <c r="AJ459" s="655"/>
      <c r="AK459" s="4"/>
      <c r="AL459" s="4"/>
      <c r="AM459" s="4"/>
      <c r="AN459" s="4"/>
      <c r="AO459" s="4"/>
      <c r="AP459" s="4"/>
      <c r="AQ459" s="4"/>
      <c r="AR459" s="4"/>
      <c r="AS459" s="4"/>
      <c r="AT459" s="4"/>
      <c r="AU459" s="654"/>
      <c r="AV459" s="655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654"/>
      <c r="BH459" s="655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654"/>
      <c r="BT459" s="655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693"/>
      <c r="CF459" s="723"/>
      <c r="CG459" s="4"/>
      <c r="CH459" s="4"/>
      <c r="CI459" s="4"/>
      <c r="CJ459" s="4">
        <v>190</v>
      </c>
      <c r="CK459" s="4"/>
      <c r="CL459" s="4"/>
      <c r="CM459" s="4"/>
      <c r="CN459" s="4"/>
      <c r="CO459" s="4"/>
      <c r="CP459" s="4"/>
      <c r="CQ459" s="654"/>
      <c r="CR459" s="655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654"/>
      <c r="DD459" s="655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654"/>
      <c r="DP459" s="655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654"/>
      <c r="EB459" s="655"/>
      <c r="EC459" s="4"/>
      <c r="ED459" s="4"/>
      <c r="EE459" s="4"/>
      <c r="EF459" s="4"/>
      <c r="EG459" s="4"/>
      <c r="EH459" s="4"/>
      <c r="EI459" s="4"/>
      <c r="EJ459" s="4"/>
      <c r="EK459" s="4"/>
      <c r="EL459" s="4"/>
      <c r="EM459" s="693"/>
      <c r="EN459" s="723"/>
      <c r="EO459" s="4"/>
      <c r="EP459" s="4"/>
      <c r="EQ459" s="4"/>
      <c r="ER459" s="4">
        <v>245.7</v>
      </c>
      <c r="ES459" s="4"/>
      <c r="ET459" s="4"/>
      <c r="EU459" s="4"/>
      <c r="EV459" s="4"/>
      <c r="EW459" s="4"/>
      <c r="EX459" s="4"/>
      <c r="EY459" s="654"/>
      <c r="EZ459" s="655"/>
      <c r="FA459" s="4"/>
      <c r="FB459" s="4"/>
      <c r="FC459" s="4"/>
      <c r="FD459" s="4"/>
      <c r="FE459" s="4"/>
      <c r="FF459" s="4"/>
      <c r="FG459" s="4"/>
      <c r="FH459" s="4"/>
      <c r="FI459" s="4"/>
      <c r="FJ459" s="4"/>
      <c r="FK459" s="654"/>
      <c r="FL459" s="655"/>
      <c r="FM459" s="4"/>
      <c r="FN459" s="4"/>
      <c r="FO459" s="4"/>
      <c r="FP459" s="4"/>
      <c r="FQ459" s="4"/>
      <c r="FR459" s="4"/>
      <c r="FS459" s="4"/>
      <c r="FT459" s="4"/>
      <c r="FU459" s="4"/>
      <c r="FV459" s="4"/>
      <c r="FW459" s="654"/>
      <c r="FX459" s="655"/>
      <c r="FY459" s="4"/>
      <c r="FZ459" s="4"/>
      <c r="GA459" s="4"/>
      <c r="GB459" s="4"/>
      <c r="GC459" s="4"/>
      <c r="GD459" s="4"/>
      <c r="GE459" s="4"/>
      <c r="GF459" s="4"/>
      <c r="GG459" s="4"/>
      <c r="GH459" s="4"/>
      <c r="GI459" s="654"/>
      <c r="GJ459" s="655"/>
      <c r="GK459" s="4"/>
      <c r="GL459" s="4"/>
      <c r="GM459" s="4"/>
      <c r="GN459" s="4"/>
      <c r="GO459" s="4"/>
      <c r="GP459" s="4"/>
      <c r="GQ459" s="4"/>
      <c r="GR459" s="4"/>
      <c r="GS459" s="4"/>
      <c r="GT459" s="4"/>
      <c r="GU459" s="722"/>
      <c r="GV459" s="715"/>
    </row>
    <row r="460" spans="1:204" x14ac:dyDescent="0.25">
      <c r="A460" t="s">
        <v>1782</v>
      </c>
      <c r="B460" s="2" t="s">
        <v>358</v>
      </c>
      <c r="C460" s="619">
        <v>44713</v>
      </c>
      <c r="D460" s="2" t="s">
        <v>1771</v>
      </c>
      <c r="E460" t="s">
        <v>58</v>
      </c>
      <c r="F460" s="2" t="s">
        <v>43</v>
      </c>
      <c r="G460" t="s">
        <v>40</v>
      </c>
      <c r="H460" s="690" t="s">
        <v>84</v>
      </c>
      <c r="I460" s="691" t="s">
        <v>1779</v>
      </c>
      <c r="J460" s="721">
        <v>31627849000113</v>
      </c>
      <c r="K460" s="691" t="s">
        <v>43</v>
      </c>
      <c r="L460" s="721">
        <v>3780401000108</v>
      </c>
      <c r="M460" s="718" t="s">
        <v>3</v>
      </c>
      <c r="N460" s="717" t="s">
        <v>44</v>
      </c>
      <c r="O460" s="719">
        <v>44805</v>
      </c>
      <c r="P460" s="720">
        <v>44834</v>
      </c>
      <c r="Q460" s="718">
        <v>115</v>
      </c>
      <c r="R460" s="717">
        <v>1</v>
      </c>
      <c r="S460" s="691" t="s">
        <v>54</v>
      </c>
      <c r="T460" t="s">
        <v>358</v>
      </c>
      <c r="U460" s="673" t="s">
        <v>358</v>
      </c>
      <c r="V460" s="690" t="s">
        <v>358</v>
      </c>
      <c r="W460" s="657" t="s">
        <v>214</v>
      </c>
      <c r="X460" s="723"/>
      <c r="Y460" s="4"/>
      <c r="Z460" s="4"/>
      <c r="AA460" s="4"/>
      <c r="AB460" s="4"/>
      <c r="AC460" s="4"/>
      <c r="AD460" s="4"/>
      <c r="AE460" s="4"/>
      <c r="AF460" s="4">
        <v>1</v>
      </c>
      <c r="AG460" s="4"/>
      <c r="AH460" s="4"/>
      <c r="AI460" s="654"/>
      <c r="AJ460" s="655"/>
      <c r="AK460" s="4"/>
      <c r="AL460" s="4"/>
      <c r="AM460" s="4"/>
      <c r="AN460" s="4"/>
      <c r="AO460" s="4"/>
      <c r="AP460" s="4"/>
      <c r="AQ460" s="4"/>
      <c r="AR460" s="4"/>
      <c r="AS460" s="4"/>
      <c r="AT460" s="4"/>
      <c r="AU460" s="654"/>
      <c r="AV460" s="655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654"/>
      <c r="BH460" s="655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654"/>
      <c r="BT460" s="655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693"/>
      <c r="CF460" s="723"/>
      <c r="CG460" s="4"/>
      <c r="CH460" s="4"/>
      <c r="CI460" s="4"/>
      <c r="CJ460" s="4"/>
      <c r="CK460" s="4"/>
      <c r="CL460" s="4"/>
      <c r="CM460" s="4"/>
      <c r="CN460" s="4">
        <v>115</v>
      </c>
      <c r="CO460" s="4"/>
      <c r="CP460" s="4"/>
      <c r="CQ460" s="654"/>
      <c r="CR460" s="655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654"/>
      <c r="DD460" s="655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654"/>
      <c r="DP460" s="655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654"/>
      <c r="EB460" s="655"/>
      <c r="EC460" s="4"/>
      <c r="ED460" s="4"/>
      <c r="EE460" s="4"/>
      <c r="EF460" s="4"/>
      <c r="EG460" s="4"/>
      <c r="EH460" s="4"/>
      <c r="EI460" s="4"/>
      <c r="EJ460" s="4"/>
      <c r="EK460" s="4"/>
      <c r="EL460" s="4"/>
      <c r="EM460" s="693"/>
      <c r="EN460" s="723"/>
      <c r="EO460" s="4"/>
      <c r="EP460" s="4"/>
      <c r="EQ460" s="4"/>
      <c r="ER460" s="4"/>
      <c r="ES460" s="4"/>
      <c r="ET460" s="4"/>
      <c r="EU460" s="4"/>
      <c r="EV460" s="4">
        <v>115</v>
      </c>
      <c r="EW460" s="4"/>
      <c r="EX460" s="4"/>
      <c r="EY460" s="654"/>
      <c r="EZ460" s="655"/>
      <c r="FA460" s="4"/>
      <c r="FB460" s="4"/>
      <c r="FC460" s="4"/>
      <c r="FD460" s="4"/>
      <c r="FE460" s="4"/>
      <c r="FF460" s="4"/>
      <c r="FG460" s="4"/>
      <c r="FH460" s="4"/>
      <c r="FI460" s="4"/>
      <c r="FJ460" s="4"/>
      <c r="FK460" s="654"/>
      <c r="FL460" s="655"/>
      <c r="FM460" s="4"/>
      <c r="FN460" s="4"/>
      <c r="FO460" s="4"/>
      <c r="FP460" s="4"/>
      <c r="FQ460" s="4"/>
      <c r="FR460" s="4"/>
      <c r="FS460" s="4"/>
      <c r="FT460" s="4"/>
      <c r="FU460" s="4"/>
      <c r="FV460" s="4"/>
      <c r="FW460" s="654"/>
      <c r="FX460" s="655"/>
      <c r="FY460" s="4"/>
      <c r="FZ460" s="4"/>
      <c r="GA460" s="4"/>
      <c r="GB460" s="4"/>
      <c r="GC460" s="4"/>
      <c r="GD460" s="4"/>
      <c r="GE460" s="4"/>
      <c r="GF460" s="4"/>
      <c r="GG460" s="4"/>
      <c r="GH460" s="4"/>
      <c r="GI460" s="654"/>
      <c r="GJ460" s="655"/>
      <c r="GK460" s="4"/>
      <c r="GL460" s="4"/>
      <c r="GM460" s="4"/>
      <c r="GN460" s="4"/>
      <c r="GO460" s="4"/>
      <c r="GP460" s="4"/>
      <c r="GQ460" s="4"/>
      <c r="GR460" s="4"/>
      <c r="GS460" s="4"/>
      <c r="GT460" s="4"/>
      <c r="GU460" s="722"/>
      <c r="GV460" s="715"/>
    </row>
    <row r="461" spans="1:204" x14ac:dyDescent="0.25">
      <c r="A461" t="s">
        <v>1783</v>
      </c>
      <c r="B461" s="2" t="s">
        <v>358</v>
      </c>
      <c r="C461" s="619">
        <v>44713</v>
      </c>
      <c r="D461" s="2" t="s">
        <v>1772</v>
      </c>
      <c r="E461" t="s">
        <v>58</v>
      </c>
      <c r="F461" s="2" t="s">
        <v>43</v>
      </c>
      <c r="G461" t="s">
        <v>40</v>
      </c>
      <c r="H461" s="690" t="s">
        <v>84</v>
      </c>
      <c r="I461" s="691" t="s">
        <v>531</v>
      </c>
      <c r="J461" s="721">
        <v>31102147000116</v>
      </c>
      <c r="K461" s="691" t="s">
        <v>43</v>
      </c>
      <c r="L461" s="721">
        <v>3780401000108</v>
      </c>
      <c r="M461" s="718" t="s">
        <v>3</v>
      </c>
      <c r="N461" s="717" t="s">
        <v>44</v>
      </c>
      <c r="O461" s="719">
        <v>44805</v>
      </c>
      <c r="P461" s="720">
        <v>44834</v>
      </c>
      <c r="Q461" s="718">
        <v>116</v>
      </c>
      <c r="R461" s="717">
        <v>1.4</v>
      </c>
      <c r="S461" s="691" t="s">
        <v>54</v>
      </c>
      <c r="T461" t="s">
        <v>358</v>
      </c>
      <c r="U461" s="673" t="s">
        <v>358</v>
      </c>
      <c r="V461" s="690" t="s">
        <v>358</v>
      </c>
      <c r="W461" s="657" t="s">
        <v>214</v>
      </c>
      <c r="X461" s="723"/>
      <c r="Y461" s="4"/>
      <c r="Z461" s="4"/>
      <c r="AA461" s="4"/>
      <c r="AB461" s="4"/>
      <c r="AC461" s="4"/>
      <c r="AD461" s="4"/>
      <c r="AE461" s="4"/>
      <c r="AF461" s="4">
        <v>1.4</v>
      </c>
      <c r="AG461" s="4"/>
      <c r="AH461" s="4"/>
      <c r="AI461" s="654"/>
      <c r="AJ461" s="655"/>
      <c r="AK461" s="4"/>
      <c r="AL461" s="4"/>
      <c r="AM461" s="4"/>
      <c r="AN461" s="4"/>
      <c r="AO461" s="4"/>
      <c r="AP461" s="4"/>
      <c r="AQ461" s="4"/>
      <c r="AR461" s="4"/>
      <c r="AS461" s="4"/>
      <c r="AT461" s="4"/>
      <c r="AU461" s="654"/>
      <c r="AV461" s="655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654"/>
      <c r="BH461" s="655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654"/>
      <c r="BT461" s="655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693"/>
      <c r="CF461" s="723"/>
      <c r="CG461" s="4"/>
      <c r="CH461" s="4"/>
      <c r="CI461" s="4"/>
      <c r="CJ461" s="4"/>
      <c r="CK461" s="4"/>
      <c r="CL461" s="4"/>
      <c r="CM461" s="4"/>
      <c r="CN461" s="4">
        <v>116</v>
      </c>
      <c r="CO461" s="4"/>
      <c r="CP461" s="4"/>
      <c r="CQ461" s="654"/>
      <c r="CR461" s="655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654"/>
      <c r="DD461" s="655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654"/>
      <c r="DP461" s="655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654"/>
      <c r="EB461" s="655"/>
      <c r="EC461" s="4"/>
      <c r="ED461" s="4"/>
      <c r="EE461" s="4"/>
      <c r="EF461" s="4"/>
      <c r="EG461" s="4"/>
      <c r="EH461" s="4"/>
      <c r="EI461" s="4"/>
      <c r="EJ461" s="4"/>
      <c r="EK461" s="4"/>
      <c r="EL461" s="4"/>
      <c r="EM461" s="693"/>
      <c r="EN461" s="723"/>
      <c r="EO461" s="4"/>
      <c r="EP461" s="4"/>
      <c r="EQ461" s="4"/>
      <c r="ER461" s="4"/>
      <c r="ES461" s="4"/>
      <c r="ET461" s="4"/>
      <c r="EU461" s="4"/>
      <c r="EV461" s="4">
        <v>116</v>
      </c>
      <c r="EW461" s="4"/>
      <c r="EX461" s="4"/>
      <c r="EY461" s="654"/>
      <c r="EZ461" s="655"/>
      <c r="FA461" s="4"/>
      <c r="FB461" s="4"/>
      <c r="FC461" s="4"/>
      <c r="FD461" s="4"/>
      <c r="FE461" s="4"/>
      <c r="FF461" s="4"/>
      <c r="FG461" s="4"/>
      <c r="FH461" s="4"/>
      <c r="FI461" s="4"/>
      <c r="FJ461" s="4"/>
      <c r="FK461" s="654"/>
      <c r="FL461" s="655"/>
      <c r="FM461" s="4"/>
      <c r="FN461" s="4"/>
      <c r="FO461" s="4"/>
      <c r="FP461" s="4"/>
      <c r="FQ461" s="4"/>
      <c r="FR461" s="4"/>
      <c r="FS461" s="4"/>
      <c r="FT461" s="4"/>
      <c r="FU461" s="4"/>
      <c r="FV461" s="4"/>
      <c r="FW461" s="654"/>
      <c r="FX461" s="655"/>
      <c r="FY461" s="4"/>
      <c r="FZ461" s="4"/>
      <c r="GA461" s="4"/>
      <c r="GB461" s="4"/>
      <c r="GC461" s="4"/>
      <c r="GD461" s="4"/>
      <c r="GE461" s="4"/>
      <c r="GF461" s="4"/>
      <c r="GG461" s="4"/>
      <c r="GH461" s="4"/>
      <c r="GI461" s="654"/>
      <c r="GJ461" s="655"/>
      <c r="GK461" s="4"/>
      <c r="GL461" s="4"/>
      <c r="GM461" s="4"/>
      <c r="GN461" s="4"/>
      <c r="GO461" s="4"/>
      <c r="GP461" s="4"/>
      <c r="GQ461" s="4"/>
      <c r="GR461" s="4"/>
      <c r="GS461" s="4"/>
      <c r="GT461" s="4"/>
      <c r="GU461" s="722"/>
      <c r="GV461" s="715"/>
    </row>
    <row r="462" spans="1:204" x14ac:dyDescent="0.25">
      <c r="A462" t="s">
        <v>1784</v>
      </c>
      <c r="B462" s="2" t="s">
        <v>358</v>
      </c>
      <c r="C462" s="619">
        <v>44713</v>
      </c>
      <c r="D462" s="2" t="s">
        <v>1773</v>
      </c>
      <c r="E462" t="s">
        <v>58</v>
      </c>
      <c r="F462" s="2" t="s">
        <v>43</v>
      </c>
      <c r="G462" t="s">
        <v>40</v>
      </c>
      <c r="H462" s="690" t="s">
        <v>84</v>
      </c>
      <c r="I462" s="691" t="s">
        <v>531</v>
      </c>
      <c r="J462" s="721">
        <v>31102147000116</v>
      </c>
      <c r="K462" s="691" t="s">
        <v>43</v>
      </c>
      <c r="L462" s="721">
        <v>3780401000108</v>
      </c>
      <c r="M462" s="718" t="s">
        <v>3</v>
      </c>
      <c r="N462" s="717" t="s">
        <v>44</v>
      </c>
      <c r="O462" s="719">
        <v>44805</v>
      </c>
      <c r="P462" s="720">
        <v>44834</v>
      </c>
      <c r="Q462" s="718">
        <v>116</v>
      </c>
      <c r="R462" s="717">
        <v>2</v>
      </c>
      <c r="S462" s="691" t="s">
        <v>54</v>
      </c>
      <c r="T462" t="s">
        <v>358</v>
      </c>
      <c r="U462" s="673" t="s">
        <v>358</v>
      </c>
      <c r="V462" s="690" t="s">
        <v>358</v>
      </c>
      <c r="W462" s="657" t="s">
        <v>214</v>
      </c>
      <c r="X462" s="723"/>
      <c r="Y462" s="4"/>
      <c r="Z462" s="4"/>
      <c r="AA462" s="4"/>
      <c r="AB462" s="4"/>
      <c r="AC462" s="4"/>
      <c r="AD462" s="4"/>
      <c r="AE462" s="4"/>
      <c r="AF462" s="4">
        <v>2</v>
      </c>
      <c r="AG462" s="4"/>
      <c r="AH462" s="4"/>
      <c r="AI462" s="654"/>
      <c r="AJ462" s="655"/>
      <c r="AK462" s="4"/>
      <c r="AL462" s="4"/>
      <c r="AM462" s="4"/>
      <c r="AN462" s="4"/>
      <c r="AO462" s="4"/>
      <c r="AP462" s="4"/>
      <c r="AQ462" s="4"/>
      <c r="AR462" s="4"/>
      <c r="AS462" s="4"/>
      <c r="AT462" s="4"/>
      <c r="AU462" s="654"/>
      <c r="AV462" s="655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654"/>
      <c r="BH462" s="655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654"/>
      <c r="BT462" s="655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693"/>
      <c r="CF462" s="723"/>
      <c r="CG462" s="4"/>
      <c r="CH462" s="4"/>
      <c r="CI462" s="4"/>
      <c r="CJ462" s="4"/>
      <c r="CK462" s="4"/>
      <c r="CL462" s="4"/>
      <c r="CM462" s="4"/>
      <c r="CN462" s="4">
        <v>116</v>
      </c>
      <c r="CO462" s="4"/>
      <c r="CP462" s="4"/>
      <c r="CQ462" s="654"/>
      <c r="CR462" s="655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654"/>
      <c r="DD462" s="655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654"/>
      <c r="DP462" s="655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654"/>
      <c r="EB462" s="655"/>
      <c r="EC462" s="4"/>
      <c r="ED462" s="4"/>
      <c r="EE462" s="4"/>
      <c r="EF462" s="4"/>
      <c r="EG462" s="4"/>
      <c r="EH462" s="4"/>
      <c r="EI462" s="4"/>
      <c r="EJ462" s="4"/>
      <c r="EK462" s="4"/>
      <c r="EL462" s="4"/>
      <c r="EM462" s="693"/>
      <c r="EN462" s="723"/>
      <c r="EO462" s="4"/>
      <c r="EP462" s="4"/>
      <c r="EQ462" s="4"/>
      <c r="ER462" s="4"/>
      <c r="ES462" s="4"/>
      <c r="ET462" s="4"/>
      <c r="EU462" s="4"/>
      <c r="EV462" s="4">
        <v>116</v>
      </c>
      <c r="EW462" s="4"/>
      <c r="EX462" s="4"/>
      <c r="EY462" s="654"/>
      <c r="EZ462" s="655"/>
      <c r="FA462" s="4"/>
      <c r="FB462" s="4"/>
      <c r="FC462" s="4"/>
      <c r="FD462" s="4"/>
      <c r="FE462" s="4"/>
      <c r="FF462" s="4"/>
      <c r="FG462" s="4"/>
      <c r="FH462" s="4"/>
      <c r="FI462" s="4"/>
      <c r="FJ462" s="4"/>
      <c r="FK462" s="654"/>
      <c r="FL462" s="655"/>
      <c r="FM462" s="4"/>
      <c r="FN462" s="4"/>
      <c r="FO462" s="4"/>
      <c r="FP462" s="4"/>
      <c r="FQ462" s="4"/>
      <c r="FR462" s="4"/>
      <c r="FS462" s="4"/>
      <c r="FT462" s="4"/>
      <c r="FU462" s="4"/>
      <c r="FV462" s="4"/>
      <c r="FW462" s="654"/>
      <c r="FX462" s="655"/>
      <c r="FY462" s="4"/>
      <c r="FZ462" s="4"/>
      <c r="GA462" s="4"/>
      <c r="GB462" s="4"/>
      <c r="GC462" s="4"/>
      <c r="GD462" s="4"/>
      <c r="GE462" s="4"/>
      <c r="GF462" s="4"/>
      <c r="GG462" s="4"/>
      <c r="GH462" s="4"/>
      <c r="GI462" s="654"/>
      <c r="GJ462" s="655"/>
      <c r="GK462" s="4"/>
      <c r="GL462" s="4"/>
      <c r="GM462" s="4"/>
      <c r="GN462" s="4"/>
      <c r="GO462" s="4"/>
      <c r="GP462" s="4"/>
      <c r="GQ462" s="4"/>
      <c r="GR462" s="4"/>
      <c r="GS462" s="4"/>
      <c r="GT462" s="4"/>
      <c r="GU462" s="722"/>
      <c r="GV462" s="715"/>
    </row>
    <row r="463" spans="1:204" x14ac:dyDescent="0.25">
      <c r="A463" t="s">
        <v>1785</v>
      </c>
      <c r="B463" s="2" t="s">
        <v>358</v>
      </c>
      <c r="C463" s="619">
        <v>44713</v>
      </c>
      <c r="D463" s="2" t="s">
        <v>1774</v>
      </c>
      <c r="E463" t="s">
        <v>58</v>
      </c>
      <c r="F463" s="2" t="s">
        <v>43</v>
      </c>
      <c r="G463" t="s">
        <v>40</v>
      </c>
      <c r="H463" s="690" t="s">
        <v>84</v>
      </c>
      <c r="I463" s="691" t="s">
        <v>501</v>
      </c>
      <c r="J463" s="721">
        <v>15732189000184</v>
      </c>
      <c r="K463" s="691" t="s">
        <v>43</v>
      </c>
      <c r="L463" s="721">
        <v>3780401000108</v>
      </c>
      <c r="M463" s="718" t="s">
        <v>3</v>
      </c>
      <c r="N463" s="717" t="s">
        <v>44</v>
      </c>
      <c r="O463" s="719">
        <v>44743</v>
      </c>
      <c r="P463" s="720">
        <v>44773</v>
      </c>
      <c r="Q463" s="718">
        <v>82</v>
      </c>
      <c r="R463" s="717">
        <v>3</v>
      </c>
      <c r="S463" s="691" t="s">
        <v>54</v>
      </c>
      <c r="T463" t="s">
        <v>358</v>
      </c>
      <c r="U463" s="673" t="s">
        <v>358</v>
      </c>
      <c r="V463" s="690" t="s">
        <v>358</v>
      </c>
      <c r="W463" s="657" t="s">
        <v>214</v>
      </c>
      <c r="X463" s="723"/>
      <c r="Y463" s="4"/>
      <c r="Z463" s="4"/>
      <c r="AA463" s="4"/>
      <c r="AB463" s="4"/>
      <c r="AC463" s="4"/>
      <c r="AD463" s="4">
        <v>3</v>
      </c>
      <c r="AE463" s="4"/>
      <c r="AF463" s="4"/>
      <c r="AG463" s="4"/>
      <c r="AH463" s="4"/>
      <c r="AI463" s="654"/>
      <c r="AJ463" s="655"/>
      <c r="AK463" s="4"/>
      <c r="AL463" s="4"/>
      <c r="AM463" s="4"/>
      <c r="AN463" s="4"/>
      <c r="AO463" s="4"/>
      <c r="AP463" s="4"/>
      <c r="AQ463" s="4"/>
      <c r="AR463" s="4"/>
      <c r="AS463" s="4"/>
      <c r="AT463" s="4"/>
      <c r="AU463" s="654"/>
      <c r="AV463" s="655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654"/>
      <c r="BH463" s="655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654"/>
      <c r="BT463" s="655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693"/>
      <c r="CF463" s="723"/>
      <c r="CG463" s="4"/>
      <c r="CH463" s="4"/>
      <c r="CI463" s="4"/>
      <c r="CJ463" s="4"/>
      <c r="CK463" s="4"/>
      <c r="CL463" s="4">
        <v>82</v>
      </c>
      <c r="CM463" s="4"/>
      <c r="CN463" s="4"/>
      <c r="CO463" s="4"/>
      <c r="CP463" s="4"/>
      <c r="CQ463" s="654"/>
      <c r="CR463" s="655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654"/>
      <c r="DD463" s="655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654"/>
      <c r="DP463" s="655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654"/>
      <c r="EB463" s="655"/>
      <c r="EC463" s="4"/>
      <c r="ED463" s="4"/>
      <c r="EE463" s="4"/>
      <c r="EF463" s="4"/>
      <c r="EG463" s="4"/>
      <c r="EH463" s="4"/>
      <c r="EI463" s="4"/>
      <c r="EJ463" s="4"/>
      <c r="EK463" s="4"/>
      <c r="EL463" s="4"/>
      <c r="EM463" s="693"/>
      <c r="EN463" s="723"/>
      <c r="EO463" s="4"/>
      <c r="EP463" s="4"/>
      <c r="EQ463" s="4"/>
      <c r="ER463" s="4"/>
      <c r="ES463" s="4"/>
      <c r="ET463" s="4">
        <v>82</v>
      </c>
      <c r="EU463" s="4"/>
      <c r="EV463" s="4"/>
      <c r="EW463" s="4"/>
      <c r="EX463" s="4"/>
      <c r="EY463" s="654"/>
      <c r="EZ463" s="655"/>
      <c r="FA463" s="4"/>
      <c r="FB463" s="4"/>
      <c r="FC463" s="4"/>
      <c r="FD463" s="4"/>
      <c r="FE463" s="4"/>
      <c r="FF463" s="4"/>
      <c r="FG463" s="4"/>
      <c r="FH463" s="4"/>
      <c r="FI463" s="4"/>
      <c r="FJ463" s="4"/>
      <c r="FK463" s="654"/>
      <c r="FL463" s="655"/>
      <c r="FM463" s="4"/>
      <c r="FN463" s="4"/>
      <c r="FO463" s="4"/>
      <c r="FP463" s="4"/>
      <c r="FQ463" s="4"/>
      <c r="FR463" s="4"/>
      <c r="FS463" s="4"/>
      <c r="FT463" s="4"/>
      <c r="FU463" s="4"/>
      <c r="FV463" s="4"/>
      <c r="FW463" s="654"/>
      <c r="FX463" s="655"/>
      <c r="FY463" s="4"/>
      <c r="FZ463" s="4"/>
      <c r="GA463" s="4"/>
      <c r="GB463" s="4"/>
      <c r="GC463" s="4"/>
      <c r="GD463" s="4"/>
      <c r="GE463" s="4"/>
      <c r="GF463" s="4"/>
      <c r="GG463" s="4"/>
      <c r="GH463" s="4"/>
      <c r="GI463" s="654"/>
      <c r="GJ463" s="655"/>
      <c r="GK463" s="4"/>
      <c r="GL463" s="4"/>
      <c r="GM463" s="4"/>
      <c r="GN463" s="4"/>
      <c r="GO463" s="4"/>
      <c r="GP463" s="4"/>
      <c r="GQ463" s="4"/>
      <c r="GR463" s="4"/>
      <c r="GS463" s="4"/>
      <c r="GT463" s="4"/>
      <c r="GU463" s="722"/>
      <c r="GV463" s="715"/>
    </row>
    <row r="464" spans="1:204" x14ac:dyDescent="0.25">
      <c r="A464" t="s">
        <v>1786</v>
      </c>
      <c r="B464" s="2" t="s">
        <v>358</v>
      </c>
      <c r="C464" s="619">
        <v>44713</v>
      </c>
      <c r="D464" s="2" t="s">
        <v>1775</v>
      </c>
      <c r="E464" t="s">
        <v>58</v>
      </c>
      <c r="F464" s="2" t="s">
        <v>43</v>
      </c>
      <c r="G464" t="s">
        <v>40</v>
      </c>
      <c r="H464" s="690" t="s">
        <v>84</v>
      </c>
      <c r="I464" s="691" t="s">
        <v>501</v>
      </c>
      <c r="J464" s="721">
        <v>15732189000184</v>
      </c>
      <c r="K464" s="691" t="s">
        <v>43</v>
      </c>
      <c r="L464" s="721">
        <v>3780401000108</v>
      </c>
      <c r="M464" s="718" t="s">
        <v>3</v>
      </c>
      <c r="N464" s="717" t="s">
        <v>44</v>
      </c>
      <c r="O464" s="719">
        <v>44743</v>
      </c>
      <c r="P464" s="720">
        <v>44773</v>
      </c>
      <c r="Q464" s="718">
        <v>82</v>
      </c>
      <c r="R464" s="717">
        <v>1</v>
      </c>
      <c r="S464" s="691" t="s">
        <v>54</v>
      </c>
      <c r="T464" t="s">
        <v>358</v>
      </c>
      <c r="U464" s="673" t="s">
        <v>358</v>
      </c>
      <c r="V464" s="690" t="s">
        <v>358</v>
      </c>
      <c r="W464" s="657" t="s">
        <v>214</v>
      </c>
      <c r="X464" s="723"/>
      <c r="Y464" s="4"/>
      <c r="Z464" s="4"/>
      <c r="AA464" s="4"/>
      <c r="AB464" s="4"/>
      <c r="AC464" s="4"/>
      <c r="AD464" s="4">
        <v>1</v>
      </c>
      <c r="AE464" s="4"/>
      <c r="AF464" s="4"/>
      <c r="AG464" s="4"/>
      <c r="AH464" s="4"/>
      <c r="AI464" s="654"/>
      <c r="AJ464" s="655"/>
      <c r="AK464" s="4"/>
      <c r="AL464" s="4"/>
      <c r="AM464" s="4"/>
      <c r="AN464" s="4"/>
      <c r="AO464" s="4"/>
      <c r="AP464" s="4"/>
      <c r="AQ464" s="4"/>
      <c r="AR464" s="4"/>
      <c r="AS464" s="4"/>
      <c r="AT464" s="4"/>
      <c r="AU464" s="654"/>
      <c r="AV464" s="655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654"/>
      <c r="BH464" s="655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654"/>
      <c r="BT464" s="655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693"/>
      <c r="CF464" s="723"/>
      <c r="CG464" s="4"/>
      <c r="CH464" s="4"/>
      <c r="CI464" s="4"/>
      <c r="CJ464" s="4"/>
      <c r="CK464" s="4"/>
      <c r="CL464" s="4">
        <v>82</v>
      </c>
      <c r="CM464" s="4"/>
      <c r="CN464" s="4"/>
      <c r="CO464" s="4"/>
      <c r="CP464" s="4"/>
      <c r="CQ464" s="654"/>
      <c r="CR464" s="655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654"/>
      <c r="DD464" s="655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654"/>
      <c r="DP464" s="655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654"/>
      <c r="EB464" s="655"/>
      <c r="EC464" s="4"/>
      <c r="ED464" s="4"/>
      <c r="EE464" s="4"/>
      <c r="EF464" s="4"/>
      <c r="EG464" s="4"/>
      <c r="EH464" s="4"/>
      <c r="EI464" s="4"/>
      <c r="EJ464" s="4"/>
      <c r="EK464" s="4"/>
      <c r="EL464" s="4"/>
      <c r="EM464" s="693"/>
      <c r="EN464" s="723"/>
      <c r="EO464" s="4"/>
      <c r="EP464" s="4"/>
      <c r="EQ464" s="4"/>
      <c r="ER464" s="4"/>
      <c r="ES464" s="4"/>
      <c r="ET464" s="4">
        <v>82</v>
      </c>
      <c r="EU464" s="4"/>
      <c r="EV464" s="4"/>
      <c r="EW464" s="4"/>
      <c r="EX464" s="4"/>
      <c r="EY464" s="654"/>
      <c r="EZ464" s="655"/>
      <c r="FA464" s="4"/>
      <c r="FB464" s="4"/>
      <c r="FC464" s="4"/>
      <c r="FD464" s="4"/>
      <c r="FE464" s="4"/>
      <c r="FF464" s="4"/>
      <c r="FG464" s="4"/>
      <c r="FH464" s="4"/>
      <c r="FI464" s="4"/>
      <c r="FJ464" s="4"/>
      <c r="FK464" s="654"/>
      <c r="FL464" s="655"/>
      <c r="FM464" s="4"/>
      <c r="FN464" s="4"/>
      <c r="FO464" s="4"/>
      <c r="FP464" s="4"/>
      <c r="FQ464" s="4"/>
      <c r="FR464" s="4"/>
      <c r="FS464" s="4"/>
      <c r="FT464" s="4"/>
      <c r="FU464" s="4"/>
      <c r="FV464" s="4"/>
      <c r="FW464" s="654"/>
      <c r="FX464" s="655"/>
      <c r="FY464" s="4"/>
      <c r="FZ464" s="4"/>
      <c r="GA464" s="4"/>
      <c r="GB464" s="4"/>
      <c r="GC464" s="4"/>
      <c r="GD464" s="4"/>
      <c r="GE464" s="4"/>
      <c r="GF464" s="4"/>
      <c r="GG464" s="4"/>
      <c r="GH464" s="4"/>
      <c r="GI464" s="654"/>
      <c r="GJ464" s="655"/>
      <c r="GK464" s="4"/>
      <c r="GL464" s="4"/>
      <c r="GM464" s="4"/>
      <c r="GN464" s="4"/>
      <c r="GO464" s="4"/>
      <c r="GP464" s="4"/>
      <c r="GQ464" s="4"/>
      <c r="GR464" s="4"/>
      <c r="GS464" s="4"/>
      <c r="GT464" s="4"/>
      <c r="GU464" s="722"/>
      <c r="GV464" s="715"/>
    </row>
    <row r="465" spans="1:204" x14ac:dyDescent="0.25">
      <c r="A465" t="s">
        <v>1788</v>
      </c>
      <c r="B465" s="2" t="s">
        <v>1787</v>
      </c>
      <c r="C465" s="619">
        <v>44713</v>
      </c>
      <c r="D465" s="2" t="s">
        <v>1776</v>
      </c>
      <c r="E465" t="s">
        <v>59</v>
      </c>
      <c r="F465" s="2" t="s">
        <v>43</v>
      </c>
      <c r="G465" t="s">
        <v>40</v>
      </c>
      <c r="H465" s="690" t="s">
        <v>85</v>
      </c>
      <c r="I465" s="691" t="s">
        <v>43</v>
      </c>
      <c r="J465" s="721">
        <v>3780401000108</v>
      </c>
      <c r="K465" s="691" t="s">
        <v>502</v>
      </c>
      <c r="L465" s="721">
        <v>4270778000171</v>
      </c>
      <c r="M465" s="718" t="s">
        <v>3</v>
      </c>
      <c r="N465" s="717" t="s">
        <v>44</v>
      </c>
      <c r="O465" s="719">
        <v>44927</v>
      </c>
      <c r="P465" s="720">
        <v>45016</v>
      </c>
      <c r="Q465" s="718">
        <v>185</v>
      </c>
      <c r="R465" s="717">
        <v>5</v>
      </c>
      <c r="S465" s="691" t="s">
        <v>54</v>
      </c>
      <c r="T465" t="s">
        <v>649</v>
      </c>
      <c r="U465" s="673">
        <v>44713</v>
      </c>
      <c r="V465" s="690">
        <v>1</v>
      </c>
      <c r="W465" s="657" t="s">
        <v>329</v>
      </c>
      <c r="X465" s="723"/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654"/>
      <c r="AJ465" s="655">
        <v>5</v>
      </c>
      <c r="AK465" s="4">
        <v>5</v>
      </c>
      <c r="AL465" s="4">
        <v>5</v>
      </c>
      <c r="AM465" s="4"/>
      <c r="AN465" s="4"/>
      <c r="AO465" s="4"/>
      <c r="AP465" s="4"/>
      <c r="AQ465" s="4"/>
      <c r="AR465" s="4"/>
      <c r="AS465" s="4"/>
      <c r="AT465" s="4"/>
      <c r="AU465" s="654"/>
      <c r="AV465" s="655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654"/>
      <c r="BH465" s="655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654"/>
      <c r="BT465" s="655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693"/>
      <c r="CF465" s="723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654"/>
      <c r="CR465" s="655">
        <v>186.50592573143422</v>
      </c>
      <c r="CS465" s="4">
        <v>186.50592573143422</v>
      </c>
      <c r="CT465" s="4">
        <v>186.50592573143422</v>
      </c>
      <c r="CU465" s="4"/>
      <c r="CV465" s="4"/>
      <c r="CW465" s="4"/>
      <c r="CX465" s="4"/>
      <c r="CY465" s="4"/>
      <c r="CZ465" s="4"/>
      <c r="DA465" s="4"/>
      <c r="DB465" s="4"/>
      <c r="DC465" s="654"/>
      <c r="DD465" s="655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654"/>
      <c r="DP465" s="655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654"/>
      <c r="EB465" s="655"/>
      <c r="EC465" s="4"/>
      <c r="ED465" s="4"/>
      <c r="EE465" s="4"/>
      <c r="EF465" s="4"/>
      <c r="EG465" s="4"/>
      <c r="EH465" s="4"/>
      <c r="EI465" s="4"/>
      <c r="EJ465" s="4"/>
      <c r="EK465" s="4"/>
      <c r="EL465" s="4"/>
      <c r="EM465" s="693"/>
      <c r="EN465" s="723"/>
      <c r="EO465" s="4"/>
      <c r="EP465" s="4"/>
      <c r="EQ465" s="4"/>
      <c r="ER465" s="4"/>
      <c r="ES465" s="4"/>
      <c r="ET465" s="4"/>
      <c r="EU465" s="4"/>
      <c r="EV465" s="4"/>
      <c r="EW465" s="4"/>
      <c r="EX465" s="4"/>
      <c r="EY465" s="654"/>
      <c r="EZ465" s="655">
        <v>186.50592573143422</v>
      </c>
      <c r="FA465" s="4">
        <v>186.50592573143422</v>
      </c>
      <c r="FB465" s="4">
        <v>186.50592573143422</v>
      </c>
      <c r="FC465" s="4"/>
      <c r="FD465" s="4"/>
      <c r="FE465" s="4"/>
      <c r="FF465" s="4"/>
      <c r="FG465" s="4"/>
      <c r="FH465" s="4"/>
      <c r="FI465" s="4"/>
      <c r="FJ465" s="4"/>
      <c r="FK465" s="654"/>
      <c r="FL465" s="655"/>
      <c r="FM465" s="4"/>
      <c r="FN465" s="4"/>
      <c r="FO465" s="4"/>
      <c r="FP465" s="4"/>
      <c r="FQ465" s="4"/>
      <c r="FR465" s="4"/>
      <c r="FS465" s="4"/>
      <c r="FT465" s="4"/>
      <c r="FU465" s="4"/>
      <c r="FV465" s="4"/>
      <c r="FW465" s="654"/>
      <c r="FX465" s="655"/>
      <c r="FY465" s="4"/>
      <c r="FZ465" s="4"/>
      <c r="GA465" s="4"/>
      <c r="GB465" s="4"/>
      <c r="GC465" s="4"/>
      <c r="GD465" s="4"/>
      <c r="GE465" s="4"/>
      <c r="GF465" s="4"/>
      <c r="GG465" s="4"/>
      <c r="GH465" s="4"/>
      <c r="GI465" s="654"/>
      <c r="GJ465" s="655"/>
      <c r="GK465" s="4"/>
      <c r="GL465" s="4"/>
      <c r="GM465" s="4"/>
      <c r="GN465" s="4"/>
      <c r="GO465" s="4"/>
      <c r="GP465" s="4"/>
      <c r="GQ465" s="4"/>
      <c r="GR465" s="4"/>
      <c r="GS465" s="4"/>
      <c r="GT465" s="4"/>
      <c r="GU465" s="722"/>
      <c r="GV465" s="715"/>
    </row>
    <row r="466" spans="1:204" x14ac:dyDescent="0.25">
      <c r="A466" t="s">
        <v>1789</v>
      </c>
      <c r="B466" s="2" t="s">
        <v>358</v>
      </c>
      <c r="C466" s="619">
        <v>44713</v>
      </c>
      <c r="D466" s="2" t="s">
        <v>1777</v>
      </c>
      <c r="E466" t="s">
        <v>58</v>
      </c>
      <c r="F466" s="2" t="s">
        <v>43</v>
      </c>
      <c r="G466" t="s">
        <v>40</v>
      </c>
      <c r="H466" s="690" t="s">
        <v>84</v>
      </c>
      <c r="I466" s="691" t="s">
        <v>1195</v>
      </c>
      <c r="J466" s="721">
        <v>9185485000100</v>
      </c>
      <c r="K466" s="691" t="s">
        <v>43</v>
      </c>
      <c r="L466" s="721">
        <v>3780401000108</v>
      </c>
      <c r="M466" s="718" t="s">
        <v>3</v>
      </c>
      <c r="N466" s="717" t="s">
        <v>44</v>
      </c>
      <c r="O466" s="719">
        <v>44835</v>
      </c>
      <c r="P466" s="720">
        <v>44926</v>
      </c>
      <c r="Q466" s="718">
        <v>135</v>
      </c>
      <c r="R466" s="717">
        <v>5</v>
      </c>
      <c r="S466" s="691" t="s">
        <v>54</v>
      </c>
      <c r="T466" t="s">
        <v>358</v>
      </c>
      <c r="U466" s="673" t="s">
        <v>358</v>
      </c>
      <c r="V466" s="690" t="s">
        <v>358</v>
      </c>
      <c r="W466" s="657" t="s">
        <v>214</v>
      </c>
      <c r="X466" s="723"/>
      <c r="Y466" s="4"/>
      <c r="Z466" s="4"/>
      <c r="AA466" s="4"/>
      <c r="AB466" s="4"/>
      <c r="AC466" s="4"/>
      <c r="AD466" s="4"/>
      <c r="AE466" s="4"/>
      <c r="AF466" s="4"/>
      <c r="AG466" s="4">
        <v>5</v>
      </c>
      <c r="AH466" s="4">
        <v>5</v>
      </c>
      <c r="AI466" s="654">
        <v>5</v>
      </c>
      <c r="AJ466" s="655"/>
      <c r="AK466" s="4"/>
      <c r="AL466" s="4"/>
      <c r="AM466" s="4"/>
      <c r="AN466" s="4"/>
      <c r="AO466" s="4"/>
      <c r="AP466" s="4"/>
      <c r="AQ466" s="4"/>
      <c r="AR466" s="4"/>
      <c r="AS466" s="4"/>
      <c r="AT466" s="4"/>
      <c r="AU466" s="654"/>
      <c r="AV466" s="655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654"/>
      <c r="BH466" s="655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654"/>
      <c r="BT466" s="655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693"/>
      <c r="CF466" s="723"/>
      <c r="CG466" s="4"/>
      <c r="CH466" s="4"/>
      <c r="CI466" s="4"/>
      <c r="CJ466" s="4"/>
      <c r="CK466" s="4"/>
      <c r="CL466" s="4"/>
      <c r="CM466" s="4"/>
      <c r="CN466" s="4"/>
      <c r="CO466" s="4">
        <v>135</v>
      </c>
      <c r="CP466" s="4">
        <v>135</v>
      </c>
      <c r="CQ466" s="654">
        <v>135</v>
      </c>
      <c r="CR466" s="655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654"/>
      <c r="DD466" s="655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654"/>
      <c r="DP466" s="655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654"/>
      <c r="EB466" s="655"/>
      <c r="EC466" s="4"/>
      <c r="ED466" s="4"/>
      <c r="EE466" s="4"/>
      <c r="EF466" s="4"/>
      <c r="EG466" s="4"/>
      <c r="EH466" s="4"/>
      <c r="EI466" s="4"/>
      <c r="EJ466" s="4"/>
      <c r="EK466" s="4"/>
      <c r="EL466" s="4"/>
      <c r="EM466" s="693"/>
      <c r="EN466" s="723"/>
      <c r="EO466" s="4"/>
      <c r="EP466" s="4"/>
      <c r="EQ466" s="4"/>
      <c r="ER466" s="4"/>
      <c r="ES466" s="4"/>
      <c r="ET466" s="4"/>
      <c r="EU466" s="4"/>
      <c r="EV466" s="4"/>
      <c r="EW466" s="4">
        <v>135</v>
      </c>
      <c r="EX466" s="4">
        <v>135</v>
      </c>
      <c r="EY466" s="654">
        <v>135</v>
      </c>
      <c r="EZ466" s="655"/>
      <c r="FA466" s="4"/>
      <c r="FB466" s="4"/>
      <c r="FC466" s="4"/>
      <c r="FD466" s="4"/>
      <c r="FE466" s="4"/>
      <c r="FF466" s="4"/>
      <c r="FG466" s="4"/>
      <c r="FH466" s="4"/>
      <c r="FI466" s="4"/>
      <c r="FJ466" s="4"/>
      <c r="FK466" s="654"/>
      <c r="FL466" s="655"/>
      <c r="FM466" s="4"/>
      <c r="FN466" s="4"/>
      <c r="FO466" s="4"/>
      <c r="FP466" s="4"/>
      <c r="FQ466" s="4"/>
      <c r="FR466" s="4"/>
      <c r="FS466" s="4"/>
      <c r="FT466" s="4"/>
      <c r="FU466" s="4"/>
      <c r="FV466" s="4"/>
      <c r="FW466" s="654"/>
      <c r="FX466" s="655"/>
      <c r="FY466" s="4"/>
      <c r="FZ466" s="4"/>
      <c r="GA466" s="4"/>
      <c r="GB466" s="4"/>
      <c r="GC466" s="4"/>
      <c r="GD466" s="4"/>
      <c r="GE466" s="4"/>
      <c r="GF466" s="4"/>
      <c r="GG466" s="4"/>
      <c r="GH466" s="4"/>
      <c r="GI466" s="654"/>
      <c r="GJ466" s="655"/>
      <c r="GK466" s="4"/>
      <c r="GL466" s="4"/>
      <c r="GM466" s="4"/>
      <c r="GN466" s="4"/>
      <c r="GO466" s="4"/>
      <c r="GP466" s="4"/>
      <c r="GQ466" s="4"/>
      <c r="GR466" s="4"/>
      <c r="GS466" s="4"/>
      <c r="GT466" s="4"/>
      <c r="GU466" s="722"/>
      <c r="GV466" s="715"/>
    </row>
    <row r="467" spans="1:204" x14ac:dyDescent="0.25">
      <c r="A467" t="s">
        <v>1791</v>
      </c>
      <c r="B467" s="2" t="s">
        <v>1790</v>
      </c>
      <c r="C467" s="619">
        <v>44713</v>
      </c>
      <c r="D467" s="2" t="s">
        <v>1778</v>
      </c>
      <c r="E467" t="s">
        <v>59</v>
      </c>
      <c r="F467" s="2" t="s">
        <v>43</v>
      </c>
      <c r="G467" t="s">
        <v>40</v>
      </c>
      <c r="H467" s="690" t="s">
        <v>85</v>
      </c>
      <c r="I467" s="691" t="s">
        <v>43</v>
      </c>
      <c r="J467" s="721">
        <v>3780401000108</v>
      </c>
      <c r="K467" s="691" t="s">
        <v>1195</v>
      </c>
      <c r="L467" s="721">
        <v>9185485000100</v>
      </c>
      <c r="M467" s="718" t="s">
        <v>3</v>
      </c>
      <c r="N467" s="717" t="s">
        <v>44</v>
      </c>
      <c r="O467" s="719">
        <v>44927</v>
      </c>
      <c r="P467" s="720">
        <v>45016</v>
      </c>
      <c r="Q467" s="718">
        <v>180</v>
      </c>
      <c r="R467" s="717">
        <v>5</v>
      </c>
      <c r="S467" s="691" t="s">
        <v>54</v>
      </c>
      <c r="T467" t="s">
        <v>649</v>
      </c>
      <c r="U467" s="673">
        <v>44713</v>
      </c>
      <c r="V467" s="690">
        <v>1</v>
      </c>
      <c r="W467" s="657" t="s">
        <v>329</v>
      </c>
      <c r="X467" s="723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654"/>
      <c r="AJ467" s="655">
        <v>5</v>
      </c>
      <c r="AK467" s="4">
        <v>5</v>
      </c>
      <c r="AL467" s="4">
        <v>5</v>
      </c>
      <c r="AM467" s="4"/>
      <c r="AN467" s="4"/>
      <c r="AO467" s="4"/>
      <c r="AP467" s="4"/>
      <c r="AQ467" s="4"/>
      <c r="AR467" s="4"/>
      <c r="AS467" s="4"/>
      <c r="AT467" s="4"/>
      <c r="AU467" s="654"/>
      <c r="AV467" s="655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654"/>
      <c r="BH467" s="655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654"/>
      <c r="BT467" s="655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693"/>
      <c r="CF467" s="723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654"/>
      <c r="CR467" s="655">
        <v>181.46522503599004</v>
      </c>
      <c r="CS467" s="4">
        <v>181.46522503599004</v>
      </c>
      <c r="CT467" s="4">
        <v>181.46522503599004</v>
      </c>
      <c r="CU467" s="4"/>
      <c r="CV467" s="4"/>
      <c r="CW467" s="4"/>
      <c r="CX467" s="4"/>
      <c r="CY467" s="4"/>
      <c r="CZ467" s="4"/>
      <c r="DA467" s="4"/>
      <c r="DB467" s="4"/>
      <c r="DC467" s="654"/>
      <c r="DD467" s="655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654"/>
      <c r="DP467" s="655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654"/>
      <c r="EB467" s="655"/>
      <c r="EC467" s="4"/>
      <c r="ED467" s="4"/>
      <c r="EE467" s="4"/>
      <c r="EF467" s="4"/>
      <c r="EG467" s="4"/>
      <c r="EH467" s="4"/>
      <c r="EI467" s="4"/>
      <c r="EJ467" s="4"/>
      <c r="EK467" s="4"/>
      <c r="EL467" s="4"/>
      <c r="EM467" s="693"/>
      <c r="EN467" s="723"/>
      <c r="EO467" s="4"/>
      <c r="EP467" s="4"/>
      <c r="EQ467" s="4"/>
      <c r="ER467" s="4"/>
      <c r="ES467" s="4"/>
      <c r="ET467" s="4"/>
      <c r="EU467" s="4"/>
      <c r="EV467" s="4"/>
      <c r="EW467" s="4"/>
      <c r="EX467" s="4"/>
      <c r="EY467" s="654"/>
      <c r="EZ467" s="655">
        <v>181.46522503599004</v>
      </c>
      <c r="FA467" s="4">
        <v>181.46522503599004</v>
      </c>
      <c r="FB467" s="4">
        <v>181.46522503599004</v>
      </c>
      <c r="FC467" s="4"/>
      <c r="FD467" s="4"/>
      <c r="FE467" s="4"/>
      <c r="FF467" s="4"/>
      <c r="FG467" s="4"/>
      <c r="FH467" s="4"/>
      <c r="FI467" s="4"/>
      <c r="FJ467" s="4"/>
      <c r="FK467" s="654"/>
      <c r="FL467" s="655"/>
      <c r="FM467" s="4"/>
      <c r="FN467" s="4"/>
      <c r="FO467" s="4"/>
      <c r="FP467" s="4"/>
      <c r="FQ467" s="4"/>
      <c r="FR467" s="4"/>
      <c r="FS467" s="4"/>
      <c r="FT467" s="4"/>
      <c r="FU467" s="4"/>
      <c r="FV467" s="4"/>
      <c r="FW467" s="654"/>
      <c r="FX467" s="655"/>
      <c r="FY467" s="4"/>
      <c r="FZ467" s="4"/>
      <c r="GA467" s="4"/>
      <c r="GB467" s="4"/>
      <c r="GC467" s="4"/>
      <c r="GD467" s="4"/>
      <c r="GE467" s="4"/>
      <c r="GF467" s="4"/>
      <c r="GG467" s="4"/>
      <c r="GH467" s="4"/>
      <c r="GI467" s="654"/>
      <c r="GJ467" s="655"/>
      <c r="GK467" s="4"/>
      <c r="GL467" s="4"/>
      <c r="GM467" s="4"/>
      <c r="GN467" s="4"/>
      <c r="GO467" s="4"/>
      <c r="GP467" s="4"/>
      <c r="GQ467" s="4"/>
      <c r="GR467" s="4"/>
      <c r="GS467" s="4"/>
      <c r="GT467" s="4"/>
      <c r="GU467" s="722"/>
      <c r="GV467" s="715"/>
    </row>
    <row r="468" spans="1:204" x14ac:dyDescent="0.25">
      <c r="A468" t="s">
        <v>1797</v>
      </c>
      <c r="B468" s="2" t="s">
        <v>1796</v>
      </c>
      <c r="C468" s="619">
        <v>44714</v>
      </c>
      <c r="D468" s="2" t="s">
        <v>1792</v>
      </c>
      <c r="E468" t="s">
        <v>59</v>
      </c>
      <c r="F468" s="2" t="s">
        <v>43</v>
      </c>
      <c r="G468" t="s">
        <v>40</v>
      </c>
      <c r="H468" s="690" t="s">
        <v>85</v>
      </c>
      <c r="I468" s="691" t="s">
        <v>43</v>
      </c>
      <c r="J468" s="721">
        <v>3780401000108</v>
      </c>
      <c r="K468" s="691" t="s">
        <v>944</v>
      </c>
      <c r="L468" s="721">
        <v>20557422000170</v>
      </c>
      <c r="M468" s="718" t="s">
        <v>3</v>
      </c>
      <c r="N468" s="717" t="s">
        <v>44</v>
      </c>
      <c r="O468" s="719">
        <v>44927</v>
      </c>
      <c r="P468" s="720">
        <v>45016</v>
      </c>
      <c r="Q468" s="718">
        <v>189</v>
      </c>
      <c r="R468" s="717">
        <v>5</v>
      </c>
      <c r="S468" s="691" t="s">
        <v>54</v>
      </c>
      <c r="T468" t="s">
        <v>649</v>
      </c>
      <c r="U468" s="673">
        <v>44714</v>
      </c>
      <c r="V468" s="690">
        <v>1</v>
      </c>
      <c r="W468" s="657" t="s">
        <v>329</v>
      </c>
      <c r="X468" s="723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654"/>
      <c r="AJ468" s="655">
        <v>5</v>
      </c>
      <c r="AK468" s="4">
        <v>5</v>
      </c>
      <c r="AL468" s="4">
        <v>5</v>
      </c>
      <c r="AM468" s="4"/>
      <c r="AN468" s="4"/>
      <c r="AO468" s="4"/>
      <c r="AP468" s="4"/>
      <c r="AQ468" s="4"/>
      <c r="AR468" s="4"/>
      <c r="AS468" s="4"/>
      <c r="AT468" s="4"/>
      <c r="AU468" s="654"/>
      <c r="AV468" s="655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654"/>
      <c r="BH468" s="655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654"/>
      <c r="BT468" s="655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693"/>
      <c r="CF468" s="723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654"/>
      <c r="CR468" s="655">
        <v>190.53848628778954</v>
      </c>
      <c r="CS468" s="4">
        <v>190.53848628778954</v>
      </c>
      <c r="CT468" s="4">
        <v>190.53848628778954</v>
      </c>
      <c r="CU468" s="4"/>
      <c r="CV468" s="4"/>
      <c r="CW468" s="4"/>
      <c r="CX468" s="4"/>
      <c r="CY468" s="4"/>
      <c r="CZ468" s="4"/>
      <c r="DA468" s="4"/>
      <c r="DB468" s="4"/>
      <c r="DC468" s="654"/>
      <c r="DD468" s="655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654"/>
      <c r="DP468" s="655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654"/>
      <c r="EB468" s="655"/>
      <c r="EC468" s="4"/>
      <c r="ED468" s="4"/>
      <c r="EE468" s="4"/>
      <c r="EF468" s="4"/>
      <c r="EG468" s="4"/>
      <c r="EH468" s="4"/>
      <c r="EI468" s="4"/>
      <c r="EJ468" s="4"/>
      <c r="EK468" s="4"/>
      <c r="EL468" s="4"/>
      <c r="EM468" s="693"/>
      <c r="EN468" s="723"/>
      <c r="EO468" s="4"/>
      <c r="EP468" s="4"/>
      <c r="EQ468" s="4"/>
      <c r="ER468" s="4"/>
      <c r="ES468" s="4"/>
      <c r="ET468" s="4"/>
      <c r="EU468" s="4"/>
      <c r="EV468" s="4"/>
      <c r="EW468" s="4"/>
      <c r="EX468" s="4"/>
      <c r="EY468" s="654"/>
      <c r="EZ468" s="655">
        <v>190.53848628778954</v>
      </c>
      <c r="FA468" s="4">
        <v>190.53848628778954</v>
      </c>
      <c r="FB468" s="4">
        <v>190.53848628778954</v>
      </c>
      <c r="FC468" s="4"/>
      <c r="FD468" s="4"/>
      <c r="FE468" s="4"/>
      <c r="FF468" s="4"/>
      <c r="FG468" s="4"/>
      <c r="FH468" s="4"/>
      <c r="FI468" s="4"/>
      <c r="FJ468" s="4"/>
      <c r="FK468" s="654"/>
      <c r="FL468" s="655"/>
      <c r="FM468" s="4"/>
      <c r="FN468" s="4"/>
      <c r="FO468" s="4"/>
      <c r="FP468" s="4"/>
      <c r="FQ468" s="4"/>
      <c r="FR468" s="4"/>
      <c r="FS468" s="4"/>
      <c r="FT468" s="4"/>
      <c r="FU468" s="4"/>
      <c r="FV468" s="4"/>
      <c r="FW468" s="654"/>
      <c r="FX468" s="655"/>
      <c r="FY468" s="4"/>
      <c r="FZ468" s="4"/>
      <c r="GA468" s="4"/>
      <c r="GB468" s="4"/>
      <c r="GC468" s="4"/>
      <c r="GD468" s="4"/>
      <c r="GE468" s="4"/>
      <c r="GF468" s="4"/>
      <c r="GG468" s="4"/>
      <c r="GH468" s="4"/>
      <c r="GI468" s="654"/>
      <c r="GJ468" s="655"/>
      <c r="GK468" s="4"/>
      <c r="GL468" s="4"/>
      <c r="GM468" s="4"/>
      <c r="GN468" s="4"/>
      <c r="GO468" s="4"/>
      <c r="GP468" s="4"/>
      <c r="GQ468" s="4"/>
      <c r="GR468" s="4"/>
      <c r="GS468" s="4"/>
      <c r="GT468" s="4"/>
      <c r="GU468" s="722"/>
      <c r="GV468" s="715"/>
    </row>
    <row r="469" spans="1:204" x14ac:dyDescent="0.25">
      <c r="A469" t="s">
        <v>1798</v>
      </c>
      <c r="B469" s="2" t="s">
        <v>358</v>
      </c>
      <c r="C469" s="619">
        <v>44714</v>
      </c>
      <c r="D469" s="2" t="s">
        <v>1793</v>
      </c>
      <c r="E469" t="s">
        <v>59</v>
      </c>
      <c r="F469" s="2" t="s">
        <v>43</v>
      </c>
      <c r="G469" t="s">
        <v>40</v>
      </c>
      <c r="H469" s="690" t="s">
        <v>85</v>
      </c>
      <c r="I469" s="691" t="s">
        <v>43</v>
      </c>
      <c r="J469" s="721">
        <v>3780401000108</v>
      </c>
      <c r="K469" s="691" t="s">
        <v>404</v>
      </c>
      <c r="L469" s="721">
        <v>18384740000134</v>
      </c>
      <c r="M469" s="718" t="s">
        <v>3</v>
      </c>
      <c r="N469" s="717" t="s">
        <v>44</v>
      </c>
      <c r="O469" s="719">
        <v>44835</v>
      </c>
      <c r="P469" s="720">
        <v>44926</v>
      </c>
      <c r="Q469" s="718">
        <v>145</v>
      </c>
      <c r="R469" s="717">
        <v>2</v>
      </c>
      <c r="S469" s="691" t="s">
        <v>54</v>
      </c>
      <c r="T469" t="s">
        <v>358</v>
      </c>
      <c r="U469" s="673" t="s">
        <v>358</v>
      </c>
      <c r="V469" s="690" t="s">
        <v>358</v>
      </c>
      <c r="W469" s="657" t="s">
        <v>214</v>
      </c>
      <c r="X469" s="723"/>
      <c r="Y469" s="4"/>
      <c r="Z469" s="4"/>
      <c r="AA469" s="4"/>
      <c r="AB469" s="4"/>
      <c r="AC469" s="4"/>
      <c r="AD469" s="4"/>
      <c r="AE469" s="4"/>
      <c r="AF469" s="4"/>
      <c r="AG469" s="4">
        <v>2</v>
      </c>
      <c r="AH469" s="4">
        <v>2</v>
      </c>
      <c r="AI469" s="654">
        <v>2</v>
      </c>
      <c r="AJ469" s="655"/>
      <c r="AK469" s="4"/>
      <c r="AL469" s="4"/>
      <c r="AM469" s="4"/>
      <c r="AN469" s="4"/>
      <c r="AO469" s="4"/>
      <c r="AP469" s="4"/>
      <c r="AQ469" s="4"/>
      <c r="AR469" s="4"/>
      <c r="AS469" s="4"/>
      <c r="AT469" s="4"/>
      <c r="AU469" s="654"/>
      <c r="AV469" s="655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654"/>
      <c r="BH469" s="655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654"/>
      <c r="BT469" s="655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693"/>
      <c r="CF469" s="723"/>
      <c r="CG469" s="4"/>
      <c r="CH469" s="4"/>
      <c r="CI469" s="4"/>
      <c r="CJ469" s="4"/>
      <c r="CK469" s="4"/>
      <c r="CL469" s="4"/>
      <c r="CM469" s="4"/>
      <c r="CN469" s="4"/>
      <c r="CO469" s="4">
        <v>145</v>
      </c>
      <c r="CP469" s="4">
        <v>145</v>
      </c>
      <c r="CQ469" s="654">
        <v>145</v>
      </c>
      <c r="CR469" s="655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654"/>
      <c r="DD469" s="655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654"/>
      <c r="DP469" s="655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654"/>
      <c r="EB469" s="655"/>
      <c r="EC469" s="4"/>
      <c r="ED469" s="4"/>
      <c r="EE469" s="4"/>
      <c r="EF469" s="4"/>
      <c r="EG469" s="4"/>
      <c r="EH469" s="4"/>
      <c r="EI469" s="4"/>
      <c r="EJ469" s="4"/>
      <c r="EK469" s="4"/>
      <c r="EL469" s="4"/>
      <c r="EM469" s="693"/>
      <c r="EN469" s="723"/>
      <c r="EO469" s="4"/>
      <c r="EP469" s="4"/>
      <c r="EQ469" s="4"/>
      <c r="ER469" s="4"/>
      <c r="ES469" s="4"/>
      <c r="ET469" s="4"/>
      <c r="EU469" s="4"/>
      <c r="EV469" s="4"/>
      <c r="EW469" s="4">
        <v>145</v>
      </c>
      <c r="EX469" s="4">
        <v>145</v>
      </c>
      <c r="EY469" s="654">
        <v>145</v>
      </c>
      <c r="EZ469" s="655"/>
      <c r="FA469" s="4"/>
      <c r="FB469" s="4"/>
      <c r="FC469" s="4"/>
      <c r="FD469" s="4"/>
      <c r="FE469" s="4"/>
      <c r="FF469" s="4"/>
      <c r="FG469" s="4"/>
      <c r="FH469" s="4"/>
      <c r="FI469" s="4"/>
      <c r="FJ469" s="4"/>
      <c r="FK469" s="654"/>
      <c r="FL469" s="655"/>
      <c r="FM469" s="4"/>
      <c r="FN469" s="4"/>
      <c r="FO469" s="4"/>
      <c r="FP469" s="4"/>
      <c r="FQ469" s="4"/>
      <c r="FR469" s="4"/>
      <c r="FS469" s="4"/>
      <c r="FT469" s="4"/>
      <c r="FU469" s="4"/>
      <c r="FV469" s="4"/>
      <c r="FW469" s="654"/>
      <c r="FX469" s="655"/>
      <c r="FY469" s="4"/>
      <c r="FZ469" s="4"/>
      <c r="GA469" s="4"/>
      <c r="GB469" s="4"/>
      <c r="GC469" s="4"/>
      <c r="GD469" s="4"/>
      <c r="GE469" s="4"/>
      <c r="GF469" s="4"/>
      <c r="GG469" s="4"/>
      <c r="GH469" s="4"/>
      <c r="GI469" s="654"/>
      <c r="GJ469" s="655"/>
      <c r="GK469" s="4"/>
      <c r="GL469" s="4"/>
      <c r="GM469" s="4"/>
      <c r="GN469" s="4"/>
      <c r="GO469" s="4"/>
      <c r="GP469" s="4"/>
      <c r="GQ469" s="4"/>
      <c r="GR469" s="4"/>
      <c r="GS469" s="4"/>
      <c r="GT469" s="4"/>
      <c r="GU469" s="722"/>
      <c r="GV469" s="715"/>
    </row>
    <row r="470" spans="1:204" x14ac:dyDescent="0.25">
      <c r="A470" t="s">
        <v>1799</v>
      </c>
      <c r="B470" s="2" t="s">
        <v>358</v>
      </c>
      <c r="C470" s="619">
        <v>44714</v>
      </c>
      <c r="D470" s="2" t="s">
        <v>1794</v>
      </c>
      <c r="E470" t="s">
        <v>59</v>
      </c>
      <c r="F470" s="2" t="s">
        <v>43</v>
      </c>
      <c r="G470" t="s">
        <v>40</v>
      </c>
      <c r="H470" s="690" t="s">
        <v>85</v>
      </c>
      <c r="I470" s="691" t="s">
        <v>43</v>
      </c>
      <c r="J470" s="721">
        <v>3780401000108</v>
      </c>
      <c r="K470" s="691" t="s">
        <v>1795</v>
      </c>
      <c r="L470" s="721">
        <v>4149295000113</v>
      </c>
      <c r="M470" s="718" t="s">
        <v>3</v>
      </c>
      <c r="N470" s="717" t="s">
        <v>44</v>
      </c>
      <c r="O470" s="719">
        <v>44835</v>
      </c>
      <c r="P470" s="720">
        <v>44865</v>
      </c>
      <c r="Q470" s="718">
        <v>145.5</v>
      </c>
      <c r="R470" s="717">
        <v>2</v>
      </c>
      <c r="S470" s="691" t="s">
        <v>54</v>
      </c>
      <c r="T470" t="s">
        <v>358</v>
      </c>
      <c r="U470" s="673" t="s">
        <v>358</v>
      </c>
      <c r="V470" s="690" t="s">
        <v>358</v>
      </c>
      <c r="W470" s="657" t="s">
        <v>214</v>
      </c>
      <c r="X470" s="723"/>
      <c r="Y470" s="4"/>
      <c r="Z470" s="4"/>
      <c r="AA470" s="4"/>
      <c r="AB470" s="4"/>
      <c r="AC470" s="4"/>
      <c r="AD470" s="4"/>
      <c r="AE470" s="4"/>
      <c r="AF470" s="4"/>
      <c r="AG470" s="4">
        <v>2</v>
      </c>
      <c r="AH470" s="4"/>
      <c r="AI470" s="654"/>
      <c r="AJ470" s="655"/>
      <c r="AK470" s="4"/>
      <c r="AL470" s="4"/>
      <c r="AM470" s="4"/>
      <c r="AN470" s="4"/>
      <c r="AO470" s="4"/>
      <c r="AP470" s="4"/>
      <c r="AQ470" s="4"/>
      <c r="AR470" s="4"/>
      <c r="AS470" s="4"/>
      <c r="AT470" s="4"/>
      <c r="AU470" s="654"/>
      <c r="AV470" s="655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654"/>
      <c r="BH470" s="655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654"/>
      <c r="BT470" s="655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693"/>
      <c r="CF470" s="723"/>
      <c r="CG470" s="4"/>
      <c r="CH470" s="4"/>
      <c r="CI470" s="4"/>
      <c r="CJ470" s="4"/>
      <c r="CK470" s="4"/>
      <c r="CL470" s="4"/>
      <c r="CM470" s="4"/>
      <c r="CN470" s="4"/>
      <c r="CO470" s="4">
        <v>145.5</v>
      </c>
      <c r="CP470" s="4"/>
      <c r="CQ470" s="654"/>
      <c r="CR470" s="655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654"/>
      <c r="DD470" s="655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654"/>
      <c r="DP470" s="655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654"/>
      <c r="EB470" s="655"/>
      <c r="EC470" s="4"/>
      <c r="ED470" s="4"/>
      <c r="EE470" s="4"/>
      <c r="EF470" s="4"/>
      <c r="EG470" s="4"/>
      <c r="EH470" s="4"/>
      <c r="EI470" s="4"/>
      <c r="EJ470" s="4"/>
      <c r="EK470" s="4"/>
      <c r="EL470" s="4"/>
      <c r="EM470" s="693"/>
      <c r="EN470" s="723"/>
      <c r="EO470" s="4"/>
      <c r="EP470" s="4"/>
      <c r="EQ470" s="4"/>
      <c r="ER470" s="4"/>
      <c r="ES470" s="4"/>
      <c r="ET470" s="4"/>
      <c r="EU470" s="4"/>
      <c r="EV470" s="4"/>
      <c r="EW470" s="4">
        <v>145.5</v>
      </c>
      <c r="EX470" s="4"/>
      <c r="EY470" s="654"/>
      <c r="EZ470" s="655"/>
      <c r="FA470" s="4"/>
      <c r="FB470" s="4"/>
      <c r="FC470" s="4"/>
      <c r="FD470" s="4"/>
      <c r="FE470" s="4"/>
      <c r="FF470" s="4"/>
      <c r="FG470" s="4"/>
      <c r="FH470" s="4"/>
      <c r="FI470" s="4"/>
      <c r="FJ470" s="4"/>
      <c r="FK470" s="654"/>
      <c r="FL470" s="655"/>
      <c r="FM470" s="4"/>
      <c r="FN470" s="4"/>
      <c r="FO470" s="4"/>
      <c r="FP470" s="4"/>
      <c r="FQ470" s="4"/>
      <c r="FR470" s="4"/>
      <c r="FS470" s="4"/>
      <c r="FT470" s="4"/>
      <c r="FU470" s="4"/>
      <c r="FV470" s="4"/>
      <c r="FW470" s="654"/>
      <c r="FX470" s="655"/>
      <c r="FY470" s="4"/>
      <c r="FZ470" s="4"/>
      <c r="GA470" s="4"/>
      <c r="GB470" s="4"/>
      <c r="GC470" s="4"/>
      <c r="GD470" s="4"/>
      <c r="GE470" s="4"/>
      <c r="GF470" s="4"/>
      <c r="GG470" s="4"/>
      <c r="GH470" s="4"/>
      <c r="GI470" s="654"/>
      <c r="GJ470" s="655"/>
      <c r="GK470" s="4"/>
      <c r="GL470" s="4"/>
      <c r="GM470" s="4"/>
      <c r="GN470" s="4"/>
      <c r="GO470" s="4"/>
      <c r="GP470" s="4"/>
      <c r="GQ470" s="4"/>
      <c r="GR470" s="4"/>
      <c r="GS470" s="4"/>
      <c r="GT470" s="4"/>
      <c r="GU470" s="722"/>
      <c r="GV470" s="715"/>
    </row>
    <row r="471" spans="1:204" x14ac:dyDescent="0.25">
      <c r="A471" t="s">
        <v>1805</v>
      </c>
      <c r="B471" s="2" t="s">
        <v>1804</v>
      </c>
      <c r="C471" s="619">
        <v>44715</v>
      </c>
      <c r="D471" s="2" t="s">
        <v>1800</v>
      </c>
      <c r="E471" t="s">
        <v>59</v>
      </c>
      <c r="F471" s="2" t="s">
        <v>43</v>
      </c>
      <c r="G471" t="s">
        <v>40</v>
      </c>
      <c r="H471" s="690" t="s">
        <v>85</v>
      </c>
      <c r="I471" s="691" t="s">
        <v>43</v>
      </c>
      <c r="J471" s="721">
        <v>3780401000108</v>
      </c>
      <c r="K471" s="691" t="s">
        <v>585</v>
      </c>
      <c r="L471" s="721">
        <v>33933760000100</v>
      </c>
      <c r="M471" s="718" t="s">
        <v>3</v>
      </c>
      <c r="N471" s="717" t="s">
        <v>44</v>
      </c>
      <c r="O471" s="719">
        <v>44927</v>
      </c>
      <c r="P471" s="720">
        <v>45016</v>
      </c>
      <c r="Q471" s="718">
        <v>192</v>
      </c>
      <c r="R471" s="717">
        <v>5</v>
      </c>
      <c r="S471" s="691" t="s">
        <v>54</v>
      </c>
      <c r="T471" t="s">
        <v>649</v>
      </c>
      <c r="U471" s="673">
        <v>44715</v>
      </c>
      <c r="V471" s="690">
        <v>1</v>
      </c>
      <c r="W471" s="657" t="s">
        <v>329</v>
      </c>
      <c r="X471" s="723"/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654"/>
      <c r="AJ471" s="655">
        <v>5</v>
      </c>
      <c r="AK471" s="4">
        <v>5</v>
      </c>
      <c r="AL471" s="4">
        <v>5</v>
      </c>
      <c r="AM471" s="4"/>
      <c r="AN471" s="4"/>
      <c r="AO471" s="4"/>
      <c r="AP471" s="4"/>
      <c r="AQ471" s="4"/>
      <c r="AR471" s="4"/>
      <c r="AS471" s="4"/>
      <c r="AT471" s="4"/>
      <c r="AU471" s="654"/>
      <c r="AV471" s="655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654"/>
      <c r="BH471" s="655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654"/>
      <c r="BT471" s="655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693"/>
      <c r="CF471" s="723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654"/>
      <c r="CR471" s="655">
        <v>193.56290670505604</v>
      </c>
      <c r="CS471" s="4">
        <v>193.56290670505604</v>
      </c>
      <c r="CT471" s="4">
        <v>193.56290670505604</v>
      </c>
      <c r="CU471" s="4"/>
      <c r="CV471" s="4"/>
      <c r="CW471" s="4"/>
      <c r="CX471" s="4"/>
      <c r="CY471" s="4"/>
      <c r="CZ471" s="4"/>
      <c r="DA471" s="4"/>
      <c r="DB471" s="4"/>
      <c r="DC471" s="654"/>
      <c r="DD471" s="655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654"/>
      <c r="DP471" s="655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654"/>
      <c r="EB471" s="655"/>
      <c r="EC471" s="4"/>
      <c r="ED471" s="4"/>
      <c r="EE471" s="4"/>
      <c r="EF471" s="4"/>
      <c r="EG471" s="4"/>
      <c r="EH471" s="4"/>
      <c r="EI471" s="4"/>
      <c r="EJ471" s="4"/>
      <c r="EK471" s="4"/>
      <c r="EL471" s="4"/>
      <c r="EM471" s="693"/>
      <c r="EN471" s="723"/>
      <c r="EO471" s="4"/>
      <c r="EP471" s="4"/>
      <c r="EQ471" s="4"/>
      <c r="ER471" s="4"/>
      <c r="ES471" s="4"/>
      <c r="ET471" s="4"/>
      <c r="EU471" s="4"/>
      <c r="EV471" s="4"/>
      <c r="EW471" s="4"/>
      <c r="EX471" s="4"/>
      <c r="EY471" s="654"/>
      <c r="EZ471" s="655">
        <v>193.56290670505604</v>
      </c>
      <c r="FA471" s="4">
        <v>193.56290670505604</v>
      </c>
      <c r="FB471" s="4">
        <v>193.56290670505604</v>
      </c>
      <c r="FC471" s="4"/>
      <c r="FD471" s="4"/>
      <c r="FE471" s="4"/>
      <c r="FF471" s="4"/>
      <c r="FG471" s="4"/>
      <c r="FH471" s="4"/>
      <c r="FI471" s="4"/>
      <c r="FJ471" s="4"/>
      <c r="FK471" s="654"/>
      <c r="FL471" s="655"/>
      <c r="FM471" s="4"/>
      <c r="FN471" s="4"/>
      <c r="FO471" s="4"/>
      <c r="FP471" s="4"/>
      <c r="FQ471" s="4"/>
      <c r="FR471" s="4"/>
      <c r="FS471" s="4"/>
      <c r="FT471" s="4"/>
      <c r="FU471" s="4"/>
      <c r="FV471" s="4"/>
      <c r="FW471" s="654"/>
      <c r="FX471" s="655"/>
      <c r="FY471" s="4"/>
      <c r="FZ471" s="4"/>
      <c r="GA471" s="4"/>
      <c r="GB471" s="4"/>
      <c r="GC471" s="4"/>
      <c r="GD471" s="4"/>
      <c r="GE471" s="4"/>
      <c r="GF471" s="4"/>
      <c r="GG471" s="4"/>
      <c r="GH471" s="4"/>
      <c r="GI471" s="654"/>
      <c r="GJ471" s="655"/>
      <c r="GK471" s="4"/>
      <c r="GL471" s="4"/>
      <c r="GM471" s="4"/>
      <c r="GN471" s="4"/>
      <c r="GO471" s="4"/>
      <c r="GP471" s="4"/>
      <c r="GQ471" s="4"/>
      <c r="GR471" s="4"/>
      <c r="GS471" s="4"/>
      <c r="GT471" s="4"/>
      <c r="GU471" s="722"/>
      <c r="GV471" s="715"/>
    </row>
    <row r="472" spans="1:204" x14ac:dyDescent="0.25">
      <c r="A472" t="s">
        <v>1807</v>
      </c>
      <c r="B472" s="2" t="s">
        <v>1806</v>
      </c>
      <c r="C472" s="619">
        <v>44715</v>
      </c>
      <c r="D472" s="2" t="s">
        <v>1801</v>
      </c>
      <c r="E472" t="s">
        <v>59</v>
      </c>
      <c r="F472" s="2" t="s">
        <v>43</v>
      </c>
      <c r="G472" t="s">
        <v>40</v>
      </c>
      <c r="H472" s="690" t="s">
        <v>85</v>
      </c>
      <c r="I472" s="691" t="s">
        <v>43</v>
      </c>
      <c r="J472" s="721">
        <v>3780401000108</v>
      </c>
      <c r="K472" s="691" t="s">
        <v>475</v>
      </c>
      <c r="L472" s="721">
        <v>27796415000170</v>
      </c>
      <c r="M472" s="718" t="s">
        <v>3</v>
      </c>
      <c r="N472" s="717" t="s">
        <v>44</v>
      </c>
      <c r="O472" s="719">
        <v>44927</v>
      </c>
      <c r="P472" s="720">
        <v>45016</v>
      </c>
      <c r="Q472" s="718">
        <v>190</v>
      </c>
      <c r="R472" s="717">
        <v>10</v>
      </c>
      <c r="S472" s="691" t="s">
        <v>54</v>
      </c>
      <c r="T472" t="s">
        <v>649</v>
      </c>
      <c r="U472" s="673">
        <v>44715</v>
      </c>
      <c r="V472" s="690">
        <v>1</v>
      </c>
      <c r="W472" s="657" t="s">
        <v>329</v>
      </c>
      <c r="X472" s="723"/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654"/>
      <c r="AJ472" s="655">
        <v>10</v>
      </c>
      <c r="AK472" s="4">
        <v>10</v>
      </c>
      <c r="AL472" s="4">
        <v>10</v>
      </c>
      <c r="AM472" s="4"/>
      <c r="AN472" s="4"/>
      <c r="AO472" s="4"/>
      <c r="AP472" s="4"/>
      <c r="AQ472" s="4"/>
      <c r="AR472" s="4"/>
      <c r="AS472" s="4"/>
      <c r="AT472" s="4"/>
      <c r="AU472" s="654"/>
      <c r="AV472" s="655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654"/>
      <c r="BH472" s="655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654"/>
      <c r="BT472" s="655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693"/>
      <c r="CF472" s="723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654"/>
      <c r="CR472" s="655">
        <v>191.54662642687839</v>
      </c>
      <c r="CS472" s="4">
        <v>191.54662642687839</v>
      </c>
      <c r="CT472" s="4">
        <v>191.54662642687839</v>
      </c>
      <c r="CU472" s="4"/>
      <c r="CV472" s="4"/>
      <c r="CW472" s="4"/>
      <c r="CX472" s="4"/>
      <c r="CY472" s="4"/>
      <c r="CZ472" s="4"/>
      <c r="DA472" s="4"/>
      <c r="DB472" s="4"/>
      <c r="DC472" s="654"/>
      <c r="DD472" s="655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654"/>
      <c r="DP472" s="655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654"/>
      <c r="EB472" s="655"/>
      <c r="EC472" s="4"/>
      <c r="ED472" s="4"/>
      <c r="EE472" s="4"/>
      <c r="EF472" s="4"/>
      <c r="EG472" s="4"/>
      <c r="EH472" s="4"/>
      <c r="EI472" s="4"/>
      <c r="EJ472" s="4"/>
      <c r="EK472" s="4"/>
      <c r="EL472" s="4"/>
      <c r="EM472" s="693"/>
      <c r="EN472" s="723"/>
      <c r="EO472" s="4"/>
      <c r="EP472" s="4"/>
      <c r="EQ472" s="4"/>
      <c r="ER472" s="4"/>
      <c r="ES472" s="4"/>
      <c r="ET472" s="4"/>
      <c r="EU472" s="4"/>
      <c r="EV472" s="4"/>
      <c r="EW472" s="4"/>
      <c r="EX472" s="4"/>
      <c r="EY472" s="654"/>
      <c r="EZ472" s="655">
        <v>191.54662642687839</v>
      </c>
      <c r="FA472" s="4">
        <v>191.54662642687839</v>
      </c>
      <c r="FB472" s="4">
        <v>191.54662642687839</v>
      </c>
      <c r="FC472" s="4"/>
      <c r="FD472" s="4"/>
      <c r="FE472" s="4"/>
      <c r="FF472" s="4"/>
      <c r="FG472" s="4"/>
      <c r="FH472" s="4"/>
      <c r="FI472" s="4"/>
      <c r="FJ472" s="4"/>
      <c r="FK472" s="654"/>
      <c r="FL472" s="655"/>
      <c r="FM472" s="4"/>
      <c r="FN472" s="4"/>
      <c r="FO472" s="4"/>
      <c r="FP472" s="4"/>
      <c r="FQ472" s="4"/>
      <c r="FR472" s="4"/>
      <c r="FS472" s="4"/>
      <c r="FT472" s="4"/>
      <c r="FU472" s="4"/>
      <c r="FV472" s="4"/>
      <c r="FW472" s="654"/>
      <c r="FX472" s="655"/>
      <c r="FY472" s="4"/>
      <c r="FZ472" s="4"/>
      <c r="GA472" s="4"/>
      <c r="GB472" s="4"/>
      <c r="GC472" s="4"/>
      <c r="GD472" s="4"/>
      <c r="GE472" s="4"/>
      <c r="GF472" s="4"/>
      <c r="GG472" s="4"/>
      <c r="GH472" s="4"/>
      <c r="GI472" s="654"/>
      <c r="GJ472" s="655"/>
      <c r="GK472" s="4"/>
      <c r="GL472" s="4"/>
      <c r="GM472" s="4"/>
      <c r="GN472" s="4"/>
      <c r="GO472" s="4"/>
      <c r="GP472" s="4"/>
      <c r="GQ472" s="4"/>
      <c r="GR472" s="4"/>
      <c r="GS472" s="4"/>
      <c r="GT472" s="4"/>
      <c r="GU472" s="722"/>
      <c r="GV472" s="715"/>
    </row>
    <row r="473" spans="1:204" x14ac:dyDescent="0.25">
      <c r="A473" t="s">
        <v>1809</v>
      </c>
      <c r="B473" s="2" t="s">
        <v>1808</v>
      </c>
      <c r="C473" s="619">
        <v>44715</v>
      </c>
      <c r="D473" s="2" t="s">
        <v>1802</v>
      </c>
      <c r="E473" t="s">
        <v>59</v>
      </c>
      <c r="F473" s="2" t="s">
        <v>43</v>
      </c>
      <c r="G473" t="s">
        <v>40</v>
      </c>
      <c r="H473" s="690" t="s">
        <v>85</v>
      </c>
      <c r="I473" s="691" t="s">
        <v>43</v>
      </c>
      <c r="J473" s="721">
        <v>3780401000108</v>
      </c>
      <c r="K473" s="691" t="s">
        <v>465</v>
      </c>
      <c r="L473" s="721">
        <v>11085823000183</v>
      </c>
      <c r="M473" s="718" t="s">
        <v>3</v>
      </c>
      <c r="N473" s="717" t="s">
        <v>44</v>
      </c>
      <c r="O473" s="719">
        <v>44927</v>
      </c>
      <c r="P473" s="720">
        <v>45016</v>
      </c>
      <c r="Q473" s="718">
        <v>190</v>
      </c>
      <c r="R473" s="717">
        <v>10</v>
      </c>
      <c r="S473" s="691" t="s">
        <v>54</v>
      </c>
      <c r="T473" t="s">
        <v>649</v>
      </c>
      <c r="U473" s="673">
        <v>44715</v>
      </c>
      <c r="V473" s="690">
        <v>1</v>
      </c>
      <c r="W473" s="657" t="s">
        <v>329</v>
      </c>
      <c r="X473" s="723"/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654"/>
      <c r="AJ473" s="655">
        <v>10</v>
      </c>
      <c r="AK473" s="4">
        <v>10</v>
      </c>
      <c r="AL473" s="4">
        <v>10</v>
      </c>
      <c r="AM473" s="4"/>
      <c r="AN473" s="4"/>
      <c r="AO473" s="4"/>
      <c r="AP473" s="4"/>
      <c r="AQ473" s="4"/>
      <c r="AR473" s="4"/>
      <c r="AS473" s="4"/>
      <c r="AT473" s="4"/>
      <c r="AU473" s="654"/>
      <c r="AV473" s="655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654"/>
      <c r="BH473" s="655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654"/>
      <c r="BT473" s="655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693"/>
      <c r="CF473" s="723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654"/>
      <c r="CR473" s="655">
        <v>191.54662642687839</v>
      </c>
      <c r="CS473" s="4">
        <v>191.54662642687839</v>
      </c>
      <c r="CT473" s="4">
        <v>191.54662642687839</v>
      </c>
      <c r="CU473" s="4"/>
      <c r="CV473" s="4"/>
      <c r="CW473" s="4"/>
      <c r="CX473" s="4"/>
      <c r="CY473" s="4"/>
      <c r="CZ473" s="4"/>
      <c r="DA473" s="4"/>
      <c r="DB473" s="4"/>
      <c r="DC473" s="654"/>
      <c r="DD473" s="655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654"/>
      <c r="DP473" s="655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654"/>
      <c r="EB473" s="655"/>
      <c r="EC473" s="4"/>
      <c r="ED473" s="4"/>
      <c r="EE473" s="4"/>
      <c r="EF473" s="4"/>
      <c r="EG473" s="4"/>
      <c r="EH473" s="4"/>
      <c r="EI473" s="4"/>
      <c r="EJ473" s="4"/>
      <c r="EK473" s="4"/>
      <c r="EL473" s="4"/>
      <c r="EM473" s="693"/>
      <c r="EN473" s="723"/>
      <c r="EO473" s="4"/>
      <c r="EP473" s="4"/>
      <c r="EQ473" s="4"/>
      <c r="ER473" s="4"/>
      <c r="ES473" s="4"/>
      <c r="ET473" s="4"/>
      <c r="EU473" s="4"/>
      <c r="EV473" s="4"/>
      <c r="EW473" s="4"/>
      <c r="EX473" s="4"/>
      <c r="EY473" s="654"/>
      <c r="EZ473" s="655">
        <v>191.54662642687839</v>
      </c>
      <c r="FA473" s="4">
        <v>191.54662642687839</v>
      </c>
      <c r="FB473" s="4">
        <v>191.54662642687839</v>
      </c>
      <c r="FC473" s="4"/>
      <c r="FD473" s="4"/>
      <c r="FE473" s="4"/>
      <c r="FF473" s="4"/>
      <c r="FG473" s="4"/>
      <c r="FH473" s="4"/>
      <c r="FI473" s="4"/>
      <c r="FJ473" s="4"/>
      <c r="FK473" s="654"/>
      <c r="FL473" s="655"/>
      <c r="FM473" s="4"/>
      <c r="FN473" s="4"/>
      <c r="FO473" s="4"/>
      <c r="FP473" s="4"/>
      <c r="FQ473" s="4"/>
      <c r="FR473" s="4"/>
      <c r="FS473" s="4"/>
      <c r="FT473" s="4"/>
      <c r="FU473" s="4"/>
      <c r="FV473" s="4"/>
      <c r="FW473" s="654"/>
      <c r="FX473" s="655"/>
      <c r="FY473" s="4"/>
      <c r="FZ473" s="4"/>
      <c r="GA473" s="4"/>
      <c r="GB473" s="4"/>
      <c r="GC473" s="4"/>
      <c r="GD473" s="4"/>
      <c r="GE473" s="4"/>
      <c r="GF473" s="4"/>
      <c r="GG473" s="4"/>
      <c r="GH473" s="4"/>
      <c r="GI473" s="654"/>
      <c r="GJ473" s="655"/>
      <c r="GK473" s="4"/>
      <c r="GL473" s="4"/>
      <c r="GM473" s="4"/>
      <c r="GN473" s="4"/>
      <c r="GO473" s="4"/>
      <c r="GP473" s="4"/>
      <c r="GQ473" s="4"/>
      <c r="GR473" s="4"/>
      <c r="GS473" s="4"/>
      <c r="GT473" s="4"/>
      <c r="GU473" s="722"/>
      <c r="GV473" s="715"/>
    </row>
    <row r="474" spans="1:204" x14ac:dyDescent="0.25">
      <c r="A474" t="s">
        <v>1810</v>
      </c>
      <c r="B474" s="2" t="s">
        <v>358</v>
      </c>
      <c r="C474" s="619">
        <v>44715</v>
      </c>
      <c r="D474" s="2" t="s">
        <v>1803</v>
      </c>
      <c r="E474" t="s">
        <v>58</v>
      </c>
      <c r="F474" s="2" t="s">
        <v>43</v>
      </c>
      <c r="G474" t="s">
        <v>40</v>
      </c>
      <c r="H474" s="690" t="s">
        <v>84</v>
      </c>
      <c r="I474" s="691" t="s">
        <v>346</v>
      </c>
      <c r="J474" s="721" t="e">
        <v>#VALUE!</v>
      </c>
      <c r="K474" s="691" t="s">
        <v>43</v>
      </c>
      <c r="L474" s="721">
        <v>3780401000108</v>
      </c>
      <c r="M474" s="718" t="s">
        <v>3</v>
      </c>
      <c r="N474" s="717" t="s">
        <v>44</v>
      </c>
      <c r="O474" s="719">
        <v>44927</v>
      </c>
      <c r="P474" s="720">
        <v>45016</v>
      </c>
      <c r="Q474" s="718">
        <v>190</v>
      </c>
      <c r="R474" s="717">
        <v>5</v>
      </c>
      <c r="S474" s="691" t="s">
        <v>54</v>
      </c>
      <c r="T474" t="s">
        <v>649</v>
      </c>
      <c r="U474" s="673">
        <v>44715</v>
      </c>
      <c r="V474" s="690">
        <v>1</v>
      </c>
      <c r="W474" s="657" t="s">
        <v>214</v>
      </c>
      <c r="X474" s="723"/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654"/>
      <c r="AJ474" s="655">
        <v>5</v>
      </c>
      <c r="AK474" s="4">
        <v>5</v>
      </c>
      <c r="AL474" s="4">
        <v>5</v>
      </c>
      <c r="AM474" s="4"/>
      <c r="AN474" s="4"/>
      <c r="AO474" s="4"/>
      <c r="AP474" s="4"/>
      <c r="AQ474" s="4"/>
      <c r="AR474" s="4"/>
      <c r="AS474" s="4"/>
      <c r="AT474" s="4"/>
      <c r="AU474" s="654"/>
      <c r="AV474" s="655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654"/>
      <c r="BH474" s="655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654"/>
      <c r="BT474" s="655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693"/>
      <c r="CF474" s="723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654"/>
      <c r="CR474" s="655">
        <v>191.54662642687839</v>
      </c>
      <c r="CS474" s="4">
        <v>191.54662642687839</v>
      </c>
      <c r="CT474" s="4">
        <v>191.54662642687839</v>
      </c>
      <c r="CU474" s="4"/>
      <c r="CV474" s="4"/>
      <c r="CW474" s="4"/>
      <c r="CX474" s="4"/>
      <c r="CY474" s="4"/>
      <c r="CZ474" s="4"/>
      <c r="DA474" s="4"/>
      <c r="DB474" s="4"/>
      <c r="DC474" s="654"/>
      <c r="DD474" s="655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654"/>
      <c r="DP474" s="655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654"/>
      <c r="EB474" s="655"/>
      <c r="EC474" s="4"/>
      <c r="ED474" s="4"/>
      <c r="EE474" s="4"/>
      <c r="EF474" s="4"/>
      <c r="EG474" s="4"/>
      <c r="EH474" s="4"/>
      <c r="EI474" s="4"/>
      <c r="EJ474" s="4"/>
      <c r="EK474" s="4"/>
      <c r="EL474" s="4"/>
      <c r="EM474" s="693"/>
      <c r="EN474" s="723"/>
      <c r="EO474" s="4"/>
      <c r="EP474" s="4"/>
      <c r="EQ474" s="4"/>
      <c r="ER474" s="4"/>
      <c r="ES474" s="4"/>
      <c r="ET474" s="4"/>
      <c r="EU474" s="4"/>
      <c r="EV474" s="4"/>
      <c r="EW474" s="4"/>
      <c r="EX474" s="4"/>
      <c r="EY474" s="654"/>
      <c r="EZ474" s="655">
        <v>191.54662642687839</v>
      </c>
      <c r="FA474" s="4">
        <v>191.54662642687839</v>
      </c>
      <c r="FB474" s="4">
        <v>191.54662642687839</v>
      </c>
      <c r="FC474" s="4"/>
      <c r="FD474" s="4"/>
      <c r="FE474" s="4"/>
      <c r="FF474" s="4"/>
      <c r="FG474" s="4"/>
      <c r="FH474" s="4"/>
      <c r="FI474" s="4"/>
      <c r="FJ474" s="4"/>
      <c r="FK474" s="654"/>
      <c r="FL474" s="655"/>
      <c r="FM474" s="4"/>
      <c r="FN474" s="4"/>
      <c r="FO474" s="4"/>
      <c r="FP474" s="4"/>
      <c r="FQ474" s="4"/>
      <c r="FR474" s="4"/>
      <c r="FS474" s="4"/>
      <c r="FT474" s="4"/>
      <c r="FU474" s="4"/>
      <c r="FV474" s="4"/>
      <c r="FW474" s="654"/>
      <c r="FX474" s="655"/>
      <c r="FY474" s="4"/>
      <c r="FZ474" s="4"/>
      <c r="GA474" s="4"/>
      <c r="GB474" s="4"/>
      <c r="GC474" s="4"/>
      <c r="GD474" s="4"/>
      <c r="GE474" s="4"/>
      <c r="GF474" s="4"/>
      <c r="GG474" s="4"/>
      <c r="GH474" s="4"/>
      <c r="GI474" s="654"/>
      <c r="GJ474" s="655"/>
      <c r="GK474" s="4"/>
      <c r="GL474" s="4"/>
      <c r="GM474" s="4"/>
      <c r="GN474" s="4"/>
      <c r="GO474" s="4"/>
      <c r="GP474" s="4"/>
      <c r="GQ474" s="4"/>
      <c r="GR474" s="4"/>
      <c r="GS474" s="4"/>
      <c r="GT474" s="4"/>
      <c r="GU474" s="722"/>
      <c r="GV474" s="715"/>
    </row>
    <row r="475" spans="1:204" x14ac:dyDescent="0.25">
      <c r="A475" t="s">
        <v>1816</v>
      </c>
      <c r="B475" s="2" t="s">
        <v>358</v>
      </c>
      <c r="C475" s="619">
        <v>44718</v>
      </c>
      <c r="D475" s="2" t="s">
        <v>1811</v>
      </c>
      <c r="E475" t="s">
        <v>58</v>
      </c>
      <c r="F475" s="2" t="s">
        <v>43</v>
      </c>
      <c r="G475" t="s">
        <v>40</v>
      </c>
      <c r="H475" s="690" t="s">
        <v>84</v>
      </c>
      <c r="I475" s="691" t="s">
        <v>590</v>
      </c>
      <c r="J475" s="721">
        <v>7358761005632</v>
      </c>
      <c r="K475" s="691" t="s">
        <v>43</v>
      </c>
      <c r="L475" s="721">
        <v>3780401000108</v>
      </c>
      <c r="M475" s="718" t="s">
        <v>3</v>
      </c>
      <c r="N475" s="717" t="s">
        <v>44</v>
      </c>
      <c r="O475" s="719">
        <v>44805</v>
      </c>
      <c r="P475" s="720">
        <v>44834</v>
      </c>
      <c r="Q475" s="718">
        <v>114</v>
      </c>
      <c r="R475" s="717">
        <v>10</v>
      </c>
      <c r="S475" s="691" t="s">
        <v>54</v>
      </c>
      <c r="T475" t="s">
        <v>358</v>
      </c>
      <c r="U475" s="673" t="s">
        <v>358</v>
      </c>
      <c r="V475" s="690" t="s">
        <v>358</v>
      </c>
      <c r="W475" s="657" t="s">
        <v>214</v>
      </c>
      <c r="X475" s="723"/>
      <c r="Y475" s="4"/>
      <c r="Z475" s="4"/>
      <c r="AA475" s="4"/>
      <c r="AB475" s="4"/>
      <c r="AC475" s="4"/>
      <c r="AD475" s="4"/>
      <c r="AE475" s="4"/>
      <c r="AF475" s="4">
        <v>10</v>
      </c>
      <c r="AG475" s="4"/>
      <c r="AH475" s="4"/>
      <c r="AI475" s="654"/>
      <c r="AJ475" s="655"/>
      <c r="AK475" s="4"/>
      <c r="AL475" s="4"/>
      <c r="AM475" s="4"/>
      <c r="AN475" s="4"/>
      <c r="AO475" s="4"/>
      <c r="AP475" s="4"/>
      <c r="AQ475" s="4"/>
      <c r="AR475" s="4"/>
      <c r="AS475" s="4"/>
      <c r="AT475" s="4"/>
      <c r="AU475" s="654"/>
      <c r="AV475" s="655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654"/>
      <c r="BH475" s="655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654"/>
      <c r="BT475" s="655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693"/>
      <c r="CF475" s="723"/>
      <c r="CG475" s="4"/>
      <c r="CH475" s="4"/>
      <c r="CI475" s="4"/>
      <c r="CJ475" s="4"/>
      <c r="CK475" s="4"/>
      <c r="CL475" s="4"/>
      <c r="CM475" s="4"/>
      <c r="CN475" s="4">
        <v>114</v>
      </c>
      <c r="CO475" s="4"/>
      <c r="CP475" s="4"/>
      <c r="CQ475" s="654"/>
      <c r="CR475" s="655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654"/>
      <c r="DD475" s="655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654"/>
      <c r="DP475" s="655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654"/>
      <c r="EB475" s="655"/>
      <c r="EC475" s="4"/>
      <c r="ED475" s="4"/>
      <c r="EE475" s="4"/>
      <c r="EF475" s="4"/>
      <c r="EG475" s="4"/>
      <c r="EH475" s="4"/>
      <c r="EI475" s="4"/>
      <c r="EJ475" s="4"/>
      <c r="EK475" s="4"/>
      <c r="EL475" s="4"/>
      <c r="EM475" s="693"/>
      <c r="EN475" s="723"/>
      <c r="EO475" s="4"/>
      <c r="EP475" s="4"/>
      <c r="EQ475" s="4"/>
      <c r="ER475" s="4"/>
      <c r="ES475" s="4"/>
      <c r="ET475" s="4"/>
      <c r="EU475" s="4"/>
      <c r="EV475" s="4">
        <v>114</v>
      </c>
      <c r="EW475" s="4"/>
      <c r="EX475" s="4"/>
      <c r="EY475" s="654"/>
      <c r="EZ475" s="655"/>
      <c r="FA475" s="4"/>
      <c r="FB475" s="4"/>
      <c r="FC475" s="4"/>
      <c r="FD475" s="4"/>
      <c r="FE475" s="4"/>
      <c r="FF475" s="4"/>
      <c r="FG475" s="4"/>
      <c r="FH475" s="4"/>
      <c r="FI475" s="4"/>
      <c r="FJ475" s="4"/>
      <c r="FK475" s="654"/>
      <c r="FL475" s="655"/>
      <c r="FM475" s="4"/>
      <c r="FN475" s="4"/>
      <c r="FO475" s="4"/>
      <c r="FP475" s="4"/>
      <c r="FQ475" s="4"/>
      <c r="FR475" s="4"/>
      <c r="FS475" s="4"/>
      <c r="FT475" s="4"/>
      <c r="FU475" s="4"/>
      <c r="FV475" s="4"/>
      <c r="FW475" s="654"/>
      <c r="FX475" s="655"/>
      <c r="FY475" s="4"/>
      <c r="FZ475" s="4"/>
      <c r="GA475" s="4"/>
      <c r="GB475" s="4"/>
      <c r="GC475" s="4"/>
      <c r="GD475" s="4"/>
      <c r="GE475" s="4"/>
      <c r="GF475" s="4"/>
      <c r="GG475" s="4"/>
      <c r="GH475" s="4"/>
      <c r="GI475" s="654"/>
      <c r="GJ475" s="655"/>
      <c r="GK475" s="4"/>
      <c r="GL475" s="4"/>
      <c r="GM475" s="4"/>
      <c r="GN475" s="4"/>
      <c r="GO475" s="4"/>
      <c r="GP475" s="4"/>
      <c r="GQ475" s="4"/>
      <c r="GR475" s="4"/>
      <c r="GS475" s="4"/>
      <c r="GT475" s="4"/>
      <c r="GU475" s="722"/>
      <c r="GV475" s="715"/>
    </row>
    <row r="476" spans="1:204" x14ac:dyDescent="0.25">
      <c r="A476" t="s">
        <v>1817</v>
      </c>
      <c r="B476" s="2" t="s">
        <v>358</v>
      </c>
      <c r="C476" s="619">
        <v>44718</v>
      </c>
      <c r="D476" s="2" t="s">
        <v>1812</v>
      </c>
      <c r="E476" t="s">
        <v>58</v>
      </c>
      <c r="F476" s="2" t="s">
        <v>43</v>
      </c>
      <c r="G476" t="s">
        <v>40</v>
      </c>
      <c r="H476" s="690" t="s">
        <v>84</v>
      </c>
      <c r="I476" s="691" t="s">
        <v>503</v>
      </c>
      <c r="J476" s="721">
        <v>17386017000121</v>
      </c>
      <c r="K476" s="691" t="s">
        <v>43</v>
      </c>
      <c r="L476" s="721">
        <v>3780401000108</v>
      </c>
      <c r="M476" s="718" t="s">
        <v>3</v>
      </c>
      <c r="N476" s="717" t="s">
        <v>44</v>
      </c>
      <c r="O476" s="719">
        <v>44835</v>
      </c>
      <c r="P476" s="720">
        <v>44926</v>
      </c>
      <c r="Q476" s="718">
        <v>132</v>
      </c>
      <c r="R476" s="717">
        <v>2</v>
      </c>
      <c r="S476" s="691" t="s">
        <v>54</v>
      </c>
      <c r="T476" t="s">
        <v>358</v>
      </c>
      <c r="U476" s="673" t="s">
        <v>358</v>
      </c>
      <c r="V476" s="690" t="s">
        <v>358</v>
      </c>
      <c r="W476" s="657" t="s">
        <v>214</v>
      </c>
      <c r="X476" s="723"/>
      <c r="Y476" s="4"/>
      <c r="Z476" s="4"/>
      <c r="AA476" s="4"/>
      <c r="AB476" s="4"/>
      <c r="AC476" s="4"/>
      <c r="AD476" s="4"/>
      <c r="AE476" s="4"/>
      <c r="AF476" s="4"/>
      <c r="AG476" s="4">
        <v>2</v>
      </c>
      <c r="AH476" s="4">
        <v>2</v>
      </c>
      <c r="AI476" s="654">
        <v>2</v>
      </c>
      <c r="AJ476" s="655"/>
      <c r="AK476" s="4"/>
      <c r="AL476" s="4"/>
      <c r="AM476" s="4"/>
      <c r="AN476" s="4"/>
      <c r="AO476" s="4"/>
      <c r="AP476" s="4"/>
      <c r="AQ476" s="4"/>
      <c r="AR476" s="4"/>
      <c r="AS476" s="4"/>
      <c r="AT476" s="4"/>
      <c r="AU476" s="654"/>
      <c r="AV476" s="655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654"/>
      <c r="BH476" s="655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654"/>
      <c r="BT476" s="655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693"/>
      <c r="CF476" s="723"/>
      <c r="CG476" s="4"/>
      <c r="CH476" s="4"/>
      <c r="CI476" s="4"/>
      <c r="CJ476" s="4"/>
      <c r="CK476" s="4"/>
      <c r="CL476" s="4"/>
      <c r="CM476" s="4"/>
      <c r="CN476" s="4"/>
      <c r="CO476" s="4">
        <v>132</v>
      </c>
      <c r="CP476" s="4">
        <v>132</v>
      </c>
      <c r="CQ476" s="654">
        <v>132</v>
      </c>
      <c r="CR476" s="655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654"/>
      <c r="DD476" s="655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654"/>
      <c r="DP476" s="655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654"/>
      <c r="EB476" s="655"/>
      <c r="EC476" s="4"/>
      <c r="ED476" s="4"/>
      <c r="EE476" s="4"/>
      <c r="EF476" s="4"/>
      <c r="EG476" s="4"/>
      <c r="EH476" s="4"/>
      <c r="EI476" s="4"/>
      <c r="EJ476" s="4"/>
      <c r="EK476" s="4"/>
      <c r="EL476" s="4"/>
      <c r="EM476" s="693"/>
      <c r="EN476" s="723"/>
      <c r="EO476" s="4"/>
      <c r="EP476" s="4"/>
      <c r="EQ476" s="4"/>
      <c r="ER476" s="4"/>
      <c r="ES476" s="4"/>
      <c r="ET476" s="4"/>
      <c r="EU476" s="4"/>
      <c r="EV476" s="4"/>
      <c r="EW476" s="4">
        <v>132</v>
      </c>
      <c r="EX476" s="4">
        <v>132</v>
      </c>
      <c r="EY476" s="654">
        <v>132</v>
      </c>
      <c r="EZ476" s="655"/>
      <c r="FA476" s="4"/>
      <c r="FB476" s="4"/>
      <c r="FC476" s="4"/>
      <c r="FD476" s="4"/>
      <c r="FE476" s="4"/>
      <c r="FF476" s="4"/>
      <c r="FG476" s="4"/>
      <c r="FH476" s="4"/>
      <c r="FI476" s="4"/>
      <c r="FJ476" s="4"/>
      <c r="FK476" s="654"/>
      <c r="FL476" s="655"/>
      <c r="FM476" s="4"/>
      <c r="FN476" s="4"/>
      <c r="FO476" s="4"/>
      <c r="FP476" s="4"/>
      <c r="FQ476" s="4"/>
      <c r="FR476" s="4"/>
      <c r="FS476" s="4"/>
      <c r="FT476" s="4"/>
      <c r="FU476" s="4"/>
      <c r="FV476" s="4"/>
      <c r="FW476" s="654"/>
      <c r="FX476" s="655"/>
      <c r="FY476" s="4"/>
      <c r="FZ476" s="4"/>
      <c r="GA476" s="4"/>
      <c r="GB476" s="4"/>
      <c r="GC476" s="4"/>
      <c r="GD476" s="4"/>
      <c r="GE476" s="4"/>
      <c r="GF476" s="4"/>
      <c r="GG476" s="4"/>
      <c r="GH476" s="4"/>
      <c r="GI476" s="654"/>
      <c r="GJ476" s="655"/>
      <c r="GK476" s="4"/>
      <c r="GL476" s="4"/>
      <c r="GM476" s="4"/>
      <c r="GN476" s="4"/>
      <c r="GO476" s="4"/>
      <c r="GP476" s="4"/>
      <c r="GQ476" s="4"/>
      <c r="GR476" s="4"/>
      <c r="GS476" s="4"/>
      <c r="GT476" s="4"/>
      <c r="GU476" s="722"/>
      <c r="GV476" s="715"/>
    </row>
    <row r="477" spans="1:204" x14ac:dyDescent="0.25">
      <c r="A477" t="s">
        <v>1818</v>
      </c>
      <c r="B477" s="2" t="s">
        <v>358</v>
      </c>
      <c r="C477" s="619">
        <v>44718</v>
      </c>
      <c r="D477" s="2" t="s">
        <v>1813</v>
      </c>
      <c r="E477" t="s">
        <v>58</v>
      </c>
      <c r="F477" s="2" t="s">
        <v>43</v>
      </c>
      <c r="G477" t="s">
        <v>40</v>
      </c>
      <c r="H477" s="690" t="s">
        <v>84</v>
      </c>
      <c r="I477" s="691" t="s">
        <v>585</v>
      </c>
      <c r="J477" s="721">
        <v>33933760000100</v>
      </c>
      <c r="K477" s="691" t="s">
        <v>43</v>
      </c>
      <c r="L477" s="721">
        <v>3780401000108</v>
      </c>
      <c r="M477" s="718" t="s">
        <v>3</v>
      </c>
      <c r="N477" s="717" t="s">
        <v>44</v>
      </c>
      <c r="O477" s="719">
        <v>44835</v>
      </c>
      <c r="P477" s="720">
        <v>44926</v>
      </c>
      <c r="Q477" s="718">
        <v>135</v>
      </c>
      <c r="R477" s="717">
        <v>3</v>
      </c>
      <c r="S477" s="691" t="s">
        <v>54</v>
      </c>
      <c r="T477" t="s">
        <v>358</v>
      </c>
      <c r="U477" s="673" t="s">
        <v>358</v>
      </c>
      <c r="V477" s="690" t="s">
        <v>358</v>
      </c>
      <c r="W477" s="657" t="s">
        <v>214</v>
      </c>
      <c r="X477" s="723"/>
      <c r="Y477" s="4"/>
      <c r="Z477" s="4"/>
      <c r="AA477" s="4"/>
      <c r="AB477" s="4"/>
      <c r="AC477" s="4"/>
      <c r="AD477" s="4"/>
      <c r="AE477" s="4"/>
      <c r="AF477" s="4"/>
      <c r="AG477" s="4">
        <v>3</v>
      </c>
      <c r="AH477" s="4">
        <v>3</v>
      </c>
      <c r="AI477" s="654">
        <v>3</v>
      </c>
      <c r="AJ477" s="655"/>
      <c r="AK477" s="4"/>
      <c r="AL477" s="4"/>
      <c r="AM477" s="4"/>
      <c r="AN477" s="4"/>
      <c r="AO477" s="4"/>
      <c r="AP477" s="4"/>
      <c r="AQ477" s="4"/>
      <c r="AR477" s="4"/>
      <c r="AS477" s="4"/>
      <c r="AT477" s="4"/>
      <c r="AU477" s="654"/>
      <c r="AV477" s="655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654"/>
      <c r="BH477" s="655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654"/>
      <c r="BT477" s="655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693"/>
      <c r="CF477" s="723"/>
      <c r="CG477" s="4"/>
      <c r="CH477" s="4"/>
      <c r="CI477" s="4"/>
      <c r="CJ477" s="4"/>
      <c r="CK477" s="4"/>
      <c r="CL477" s="4"/>
      <c r="CM477" s="4"/>
      <c r="CN477" s="4"/>
      <c r="CO477" s="4">
        <v>135</v>
      </c>
      <c r="CP477" s="4">
        <v>135</v>
      </c>
      <c r="CQ477" s="654">
        <v>135</v>
      </c>
      <c r="CR477" s="655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654"/>
      <c r="DD477" s="655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654"/>
      <c r="DP477" s="655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654"/>
      <c r="EB477" s="655"/>
      <c r="EC477" s="4"/>
      <c r="ED477" s="4"/>
      <c r="EE477" s="4"/>
      <c r="EF477" s="4"/>
      <c r="EG477" s="4"/>
      <c r="EH477" s="4"/>
      <c r="EI477" s="4"/>
      <c r="EJ477" s="4"/>
      <c r="EK477" s="4"/>
      <c r="EL477" s="4"/>
      <c r="EM477" s="693"/>
      <c r="EN477" s="723"/>
      <c r="EO477" s="4"/>
      <c r="EP477" s="4"/>
      <c r="EQ477" s="4"/>
      <c r="ER477" s="4"/>
      <c r="ES477" s="4"/>
      <c r="ET477" s="4"/>
      <c r="EU477" s="4"/>
      <c r="EV477" s="4"/>
      <c r="EW477" s="4">
        <v>135</v>
      </c>
      <c r="EX477" s="4">
        <v>135</v>
      </c>
      <c r="EY477" s="654">
        <v>135</v>
      </c>
      <c r="EZ477" s="655"/>
      <c r="FA477" s="4"/>
      <c r="FB477" s="4"/>
      <c r="FC477" s="4"/>
      <c r="FD477" s="4"/>
      <c r="FE477" s="4"/>
      <c r="FF477" s="4"/>
      <c r="FG477" s="4"/>
      <c r="FH477" s="4"/>
      <c r="FI477" s="4"/>
      <c r="FJ477" s="4"/>
      <c r="FK477" s="654"/>
      <c r="FL477" s="655"/>
      <c r="FM477" s="4"/>
      <c r="FN477" s="4"/>
      <c r="FO477" s="4"/>
      <c r="FP477" s="4"/>
      <c r="FQ477" s="4"/>
      <c r="FR477" s="4"/>
      <c r="FS477" s="4"/>
      <c r="FT477" s="4"/>
      <c r="FU477" s="4"/>
      <c r="FV477" s="4"/>
      <c r="FW477" s="654"/>
      <c r="FX477" s="655"/>
      <c r="FY477" s="4"/>
      <c r="FZ477" s="4"/>
      <c r="GA477" s="4"/>
      <c r="GB477" s="4"/>
      <c r="GC477" s="4"/>
      <c r="GD477" s="4"/>
      <c r="GE477" s="4"/>
      <c r="GF477" s="4"/>
      <c r="GG477" s="4"/>
      <c r="GH477" s="4"/>
      <c r="GI477" s="654"/>
      <c r="GJ477" s="655"/>
      <c r="GK477" s="4"/>
      <c r="GL477" s="4"/>
      <c r="GM477" s="4"/>
      <c r="GN477" s="4"/>
      <c r="GO477" s="4"/>
      <c r="GP477" s="4"/>
      <c r="GQ477" s="4"/>
      <c r="GR477" s="4"/>
      <c r="GS477" s="4"/>
      <c r="GT477" s="4"/>
      <c r="GU477" s="722"/>
      <c r="GV477" s="715"/>
    </row>
    <row r="478" spans="1:204" x14ac:dyDescent="0.25">
      <c r="A478" t="s">
        <v>1819</v>
      </c>
      <c r="B478" s="2" t="s">
        <v>358</v>
      </c>
      <c r="C478" s="619">
        <v>44718</v>
      </c>
      <c r="D478" s="2" t="s">
        <v>1814</v>
      </c>
      <c r="E478" t="s">
        <v>58</v>
      </c>
      <c r="F478" s="2" t="s">
        <v>43</v>
      </c>
      <c r="G478" t="s">
        <v>40</v>
      </c>
      <c r="H478" s="690" t="s">
        <v>84</v>
      </c>
      <c r="I478" s="691" t="s">
        <v>464</v>
      </c>
      <c r="J478" s="721">
        <v>11599292000147</v>
      </c>
      <c r="K478" s="691" t="s">
        <v>43</v>
      </c>
      <c r="L478" s="721">
        <v>3780401000108</v>
      </c>
      <c r="M478" s="718" t="s">
        <v>3</v>
      </c>
      <c r="N478" s="717" t="s">
        <v>44</v>
      </c>
      <c r="O478" s="719">
        <v>44805</v>
      </c>
      <c r="P478" s="720">
        <v>44834</v>
      </c>
      <c r="Q478" s="718">
        <v>113</v>
      </c>
      <c r="R478" s="717">
        <v>2</v>
      </c>
      <c r="S478" s="691" t="s">
        <v>54</v>
      </c>
      <c r="T478" t="s">
        <v>358</v>
      </c>
      <c r="U478" s="673" t="s">
        <v>358</v>
      </c>
      <c r="V478" s="690" t="s">
        <v>358</v>
      </c>
      <c r="W478" s="657" t="s">
        <v>214</v>
      </c>
      <c r="X478" s="723"/>
      <c r="Y478" s="4"/>
      <c r="Z478" s="4"/>
      <c r="AA478" s="4"/>
      <c r="AB478" s="4"/>
      <c r="AC478" s="4"/>
      <c r="AD478" s="4"/>
      <c r="AE478" s="4"/>
      <c r="AF478" s="4">
        <v>2</v>
      </c>
      <c r="AG478" s="4"/>
      <c r="AH478" s="4"/>
      <c r="AI478" s="654"/>
      <c r="AJ478" s="655"/>
      <c r="AK478" s="4"/>
      <c r="AL478" s="4"/>
      <c r="AM478" s="4"/>
      <c r="AN478" s="4"/>
      <c r="AO478" s="4"/>
      <c r="AP478" s="4"/>
      <c r="AQ478" s="4"/>
      <c r="AR478" s="4"/>
      <c r="AS478" s="4"/>
      <c r="AT478" s="4"/>
      <c r="AU478" s="654"/>
      <c r="AV478" s="655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654"/>
      <c r="BH478" s="655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654"/>
      <c r="BT478" s="655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693"/>
      <c r="CF478" s="723"/>
      <c r="CG478" s="4"/>
      <c r="CH478" s="4"/>
      <c r="CI478" s="4"/>
      <c r="CJ478" s="4"/>
      <c r="CK478" s="4"/>
      <c r="CL478" s="4"/>
      <c r="CM478" s="4"/>
      <c r="CN478" s="4">
        <v>113</v>
      </c>
      <c r="CO478" s="4"/>
      <c r="CP478" s="4"/>
      <c r="CQ478" s="654"/>
      <c r="CR478" s="655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654"/>
      <c r="DD478" s="655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654"/>
      <c r="DP478" s="655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654"/>
      <c r="EB478" s="655"/>
      <c r="EC478" s="4"/>
      <c r="ED478" s="4"/>
      <c r="EE478" s="4"/>
      <c r="EF478" s="4"/>
      <c r="EG478" s="4"/>
      <c r="EH478" s="4"/>
      <c r="EI478" s="4"/>
      <c r="EJ478" s="4"/>
      <c r="EK478" s="4"/>
      <c r="EL478" s="4"/>
      <c r="EM478" s="693"/>
      <c r="EN478" s="723"/>
      <c r="EO478" s="4"/>
      <c r="EP478" s="4"/>
      <c r="EQ478" s="4"/>
      <c r="ER478" s="4"/>
      <c r="ES478" s="4"/>
      <c r="ET478" s="4"/>
      <c r="EU478" s="4"/>
      <c r="EV478" s="4">
        <v>113</v>
      </c>
      <c r="EW478" s="4"/>
      <c r="EX478" s="4"/>
      <c r="EY478" s="654"/>
      <c r="EZ478" s="655"/>
      <c r="FA478" s="4"/>
      <c r="FB478" s="4"/>
      <c r="FC478" s="4"/>
      <c r="FD478" s="4"/>
      <c r="FE478" s="4"/>
      <c r="FF478" s="4"/>
      <c r="FG478" s="4"/>
      <c r="FH478" s="4"/>
      <c r="FI478" s="4"/>
      <c r="FJ478" s="4"/>
      <c r="FK478" s="654"/>
      <c r="FL478" s="655"/>
      <c r="FM478" s="4"/>
      <c r="FN478" s="4"/>
      <c r="FO478" s="4"/>
      <c r="FP478" s="4"/>
      <c r="FQ478" s="4"/>
      <c r="FR478" s="4"/>
      <c r="FS478" s="4"/>
      <c r="FT478" s="4"/>
      <c r="FU478" s="4"/>
      <c r="FV478" s="4"/>
      <c r="FW478" s="654"/>
      <c r="FX478" s="655"/>
      <c r="FY478" s="4"/>
      <c r="FZ478" s="4"/>
      <c r="GA478" s="4"/>
      <c r="GB478" s="4"/>
      <c r="GC478" s="4"/>
      <c r="GD478" s="4"/>
      <c r="GE478" s="4"/>
      <c r="GF478" s="4"/>
      <c r="GG478" s="4"/>
      <c r="GH478" s="4"/>
      <c r="GI478" s="654"/>
      <c r="GJ478" s="655"/>
      <c r="GK478" s="4"/>
      <c r="GL478" s="4"/>
      <c r="GM478" s="4"/>
      <c r="GN478" s="4"/>
      <c r="GO478" s="4"/>
      <c r="GP478" s="4"/>
      <c r="GQ478" s="4"/>
      <c r="GR478" s="4"/>
      <c r="GS478" s="4"/>
      <c r="GT478" s="4"/>
      <c r="GU478" s="722"/>
      <c r="GV478" s="715"/>
    </row>
    <row r="479" spans="1:204" x14ac:dyDescent="0.25">
      <c r="A479" t="s">
        <v>1820</v>
      </c>
      <c r="B479" s="2" t="s">
        <v>358</v>
      </c>
      <c r="C479" s="619">
        <v>44718</v>
      </c>
      <c r="D479" s="2" t="s">
        <v>1815</v>
      </c>
      <c r="E479" t="s">
        <v>58</v>
      </c>
      <c r="F479" s="2" t="s">
        <v>43</v>
      </c>
      <c r="G479" t="s">
        <v>40</v>
      </c>
      <c r="H479" s="690" t="s">
        <v>84</v>
      </c>
      <c r="I479" s="691" t="s">
        <v>585</v>
      </c>
      <c r="J479" s="721">
        <v>33933760000100</v>
      </c>
      <c r="K479" s="691" t="s">
        <v>43</v>
      </c>
      <c r="L479" s="721">
        <v>3780401000108</v>
      </c>
      <c r="M479" s="718" t="s">
        <v>3</v>
      </c>
      <c r="N479" s="717" t="s">
        <v>44</v>
      </c>
      <c r="O479" s="719">
        <v>44835</v>
      </c>
      <c r="P479" s="720">
        <v>44926</v>
      </c>
      <c r="Q479" s="718">
        <v>135</v>
      </c>
      <c r="R479" s="717">
        <v>2</v>
      </c>
      <c r="S479" s="691" t="s">
        <v>54</v>
      </c>
      <c r="T479" t="s">
        <v>358</v>
      </c>
      <c r="U479" s="673" t="s">
        <v>358</v>
      </c>
      <c r="V479" s="690" t="s">
        <v>358</v>
      </c>
      <c r="W479" s="657" t="s">
        <v>214</v>
      </c>
      <c r="X479" s="723"/>
      <c r="Y479" s="4"/>
      <c r="Z479" s="4"/>
      <c r="AA479" s="4"/>
      <c r="AB479" s="4"/>
      <c r="AC479" s="4"/>
      <c r="AD479" s="4"/>
      <c r="AE479" s="4"/>
      <c r="AF479" s="4"/>
      <c r="AG479" s="4">
        <v>2</v>
      </c>
      <c r="AH479" s="4">
        <v>2</v>
      </c>
      <c r="AI479" s="654">
        <v>2</v>
      </c>
      <c r="AJ479" s="655"/>
      <c r="AK479" s="4"/>
      <c r="AL479" s="4"/>
      <c r="AM479" s="4"/>
      <c r="AN479" s="4"/>
      <c r="AO479" s="4"/>
      <c r="AP479" s="4"/>
      <c r="AQ479" s="4"/>
      <c r="AR479" s="4"/>
      <c r="AS479" s="4"/>
      <c r="AT479" s="4"/>
      <c r="AU479" s="654"/>
      <c r="AV479" s="655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654"/>
      <c r="BH479" s="655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654"/>
      <c r="BT479" s="655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693"/>
      <c r="CF479" s="723"/>
      <c r="CG479" s="4"/>
      <c r="CH479" s="4"/>
      <c r="CI479" s="4"/>
      <c r="CJ479" s="4"/>
      <c r="CK479" s="4"/>
      <c r="CL479" s="4"/>
      <c r="CM479" s="4"/>
      <c r="CN479" s="4"/>
      <c r="CO479" s="4">
        <v>135</v>
      </c>
      <c r="CP479" s="4">
        <v>135</v>
      </c>
      <c r="CQ479" s="654">
        <v>135</v>
      </c>
      <c r="CR479" s="655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654"/>
      <c r="DD479" s="655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654"/>
      <c r="DP479" s="655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654"/>
      <c r="EB479" s="655"/>
      <c r="EC479" s="4"/>
      <c r="ED479" s="4"/>
      <c r="EE479" s="4"/>
      <c r="EF479" s="4"/>
      <c r="EG479" s="4"/>
      <c r="EH479" s="4"/>
      <c r="EI479" s="4"/>
      <c r="EJ479" s="4"/>
      <c r="EK479" s="4"/>
      <c r="EL479" s="4"/>
      <c r="EM479" s="693"/>
      <c r="EN479" s="723"/>
      <c r="EO479" s="4"/>
      <c r="EP479" s="4"/>
      <c r="EQ479" s="4"/>
      <c r="ER479" s="4"/>
      <c r="ES479" s="4"/>
      <c r="ET479" s="4"/>
      <c r="EU479" s="4"/>
      <c r="EV479" s="4"/>
      <c r="EW479" s="4">
        <v>135</v>
      </c>
      <c r="EX479" s="4">
        <v>135</v>
      </c>
      <c r="EY479" s="654">
        <v>135</v>
      </c>
      <c r="EZ479" s="655"/>
      <c r="FA479" s="4"/>
      <c r="FB479" s="4"/>
      <c r="FC479" s="4"/>
      <c r="FD479" s="4"/>
      <c r="FE479" s="4"/>
      <c r="FF479" s="4"/>
      <c r="FG479" s="4"/>
      <c r="FH479" s="4"/>
      <c r="FI479" s="4"/>
      <c r="FJ479" s="4"/>
      <c r="FK479" s="654"/>
      <c r="FL479" s="655"/>
      <c r="FM479" s="4"/>
      <c r="FN479" s="4"/>
      <c r="FO479" s="4"/>
      <c r="FP479" s="4"/>
      <c r="FQ479" s="4"/>
      <c r="FR479" s="4"/>
      <c r="FS479" s="4"/>
      <c r="FT479" s="4"/>
      <c r="FU479" s="4"/>
      <c r="FV479" s="4"/>
      <c r="FW479" s="654"/>
      <c r="FX479" s="655"/>
      <c r="FY479" s="4"/>
      <c r="FZ479" s="4"/>
      <c r="GA479" s="4"/>
      <c r="GB479" s="4"/>
      <c r="GC479" s="4"/>
      <c r="GD479" s="4"/>
      <c r="GE479" s="4"/>
      <c r="GF479" s="4"/>
      <c r="GG479" s="4"/>
      <c r="GH479" s="4"/>
      <c r="GI479" s="654"/>
      <c r="GJ479" s="655"/>
      <c r="GK479" s="4"/>
      <c r="GL479" s="4"/>
      <c r="GM479" s="4"/>
      <c r="GN479" s="4"/>
      <c r="GO479" s="4"/>
      <c r="GP479" s="4"/>
      <c r="GQ479" s="4"/>
      <c r="GR479" s="4"/>
      <c r="GS479" s="4"/>
      <c r="GT479" s="4"/>
      <c r="GU479" s="722"/>
      <c r="GV479" s="715"/>
    </row>
    <row r="480" spans="1:204" x14ac:dyDescent="0.25">
      <c r="A480" t="s">
        <v>1823</v>
      </c>
      <c r="B480" s="2" t="s">
        <v>358</v>
      </c>
      <c r="C480" s="619">
        <v>44719</v>
      </c>
      <c r="D480" s="2" t="s">
        <v>1822</v>
      </c>
      <c r="E480" t="s">
        <v>58</v>
      </c>
      <c r="F480" s="2" t="s">
        <v>43</v>
      </c>
      <c r="G480" t="s">
        <v>40</v>
      </c>
      <c r="H480" s="690" t="s">
        <v>84</v>
      </c>
      <c r="I480" s="691" t="s">
        <v>404</v>
      </c>
      <c r="J480" s="721">
        <v>18384740000134</v>
      </c>
      <c r="K480" s="691" t="s">
        <v>43</v>
      </c>
      <c r="L480" s="721">
        <v>3780401000108</v>
      </c>
      <c r="M480" s="718" t="s">
        <v>3</v>
      </c>
      <c r="N480" s="717" t="s">
        <v>44</v>
      </c>
      <c r="O480" s="719">
        <v>44805</v>
      </c>
      <c r="P480" s="720">
        <v>44834</v>
      </c>
      <c r="Q480" s="718">
        <v>109</v>
      </c>
      <c r="R480" s="717">
        <v>1</v>
      </c>
      <c r="S480" s="691" t="s">
        <v>54</v>
      </c>
      <c r="T480" t="s">
        <v>358</v>
      </c>
      <c r="U480" s="673" t="s">
        <v>358</v>
      </c>
      <c r="V480" s="690" t="s">
        <v>358</v>
      </c>
      <c r="W480" s="657" t="s">
        <v>214</v>
      </c>
      <c r="X480" s="723"/>
      <c r="Y480" s="4"/>
      <c r="Z480" s="4"/>
      <c r="AA480" s="4"/>
      <c r="AB480" s="4"/>
      <c r="AC480" s="4"/>
      <c r="AD480" s="4"/>
      <c r="AE480" s="4"/>
      <c r="AF480" s="4">
        <v>1</v>
      </c>
      <c r="AG480" s="4"/>
      <c r="AH480" s="4"/>
      <c r="AI480" s="654"/>
      <c r="AJ480" s="655"/>
      <c r="AK480" s="4"/>
      <c r="AL480" s="4"/>
      <c r="AM480" s="4"/>
      <c r="AN480" s="4"/>
      <c r="AO480" s="4"/>
      <c r="AP480" s="4"/>
      <c r="AQ480" s="4"/>
      <c r="AR480" s="4"/>
      <c r="AS480" s="4"/>
      <c r="AT480" s="4"/>
      <c r="AU480" s="654"/>
      <c r="AV480" s="655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654"/>
      <c r="BH480" s="655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654"/>
      <c r="BT480" s="655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693"/>
      <c r="CF480" s="723"/>
      <c r="CG480" s="4"/>
      <c r="CH480" s="4"/>
      <c r="CI480" s="4"/>
      <c r="CJ480" s="4"/>
      <c r="CK480" s="4"/>
      <c r="CL480" s="4"/>
      <c r="CM480" s="4"/>
      <c r="CN480" s="4">
        <v>109</v>
      </c>
      <c r="CO480" s="4"/>
      <c r="CP480" s="4"/>
      <c r="CQ480" s="654"/>
      <c r="CR480" s="655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654"/>
      <c r="DD480" s="655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654"/>
      <c r="DP480" s="655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654"/>
      <c r="EB480" s="655"/>
      <c r="EC480" s="4"/>
      <c r="ED480" s="4"/>
      <c r="EE480" s="4"/>
      <c r="EF480" s="4"/>
      <c r="EG480" s="4"/>
      <c r="EH480" s="4"/>
      <c r="EI480" s="4"/>
      <c r="EJ480" s="4"/>
      <c r="EK480" s="4"/>
      <c r="EL480" s="4"/>
      <c r="EM480" s="693"/>
      <c r="EN480" s="723"/>
      <c r="EO480" s="4"/>
      <c r="EP480" s="4"/>
      <c r="EQ480" s="4"/>
      <c r="ER480" s="4"/>
      <c r="ES480" s="4"/>
      <c r="ET480" s="4"/>
      <c r="EU480" s="4"/>
      <c r="EV480" s="4">
        <v>109</v>
      </c>
      <c r="EW480" s="4"/>
      <c r="EX480" s="4"/>
      <c r="EY480" s="654"/>
      <c r="EZ480" s="655"/>
      <c r="FA480" s="4"/>
      <c r="FB480" s="4"/>
      <c r="FC480" s="4"/>
      <c r="FD480" s="4"/>
      <c r="FE480" s="4"/>
      <c r="FF480" s="4"/>
      <c r="FG480" s="4"/>
      <c r="FH480" s="4"/>
      <c r="FI480" s="4"/>
      <c r="FJ480" s="4"/>
      <c r="FK480" s="654"/>
      <c r="FL480" s="655"/>
      <c r="FM480" s="4"/>
      <c r="FN480" s="4"/>
      <c r="FO480" s="4"/>
      <c r="FP480" s="4"/>
      <c r="FQ480" s="4"/>
      <c r="FR480" s="4"/>
      <c r="FS480" s="4"/>
      <c r="FT480" s="4"/>
      <c r="FU480" s="4"/>
      <c r="FV480" s="4"/>
      <c r="FW480" s="654"/>
      <c r="FX480" s="655"/>
      <c r="FY480" s="4"/>
      <c r="FZ480" s="4"/>
      <c r="GA480" s="4"/>
      <c r="GB480" s="4"/>
      <c r="GC480" s="4"/>
      <c r="GD480" s="4"/>
      <c r="GE480" s="4"/>
      <c r="GF480" s="4"/>
      <c r="GG480" s="4"/>
      <c r="GH480" s="4"/>
      <c r="GI480" s="654"/>
      <c r="GJ480" s="655"/>
      <c r="GK480" s="4"/>
      <c r="GL480" s="4"/>
      <c r="GM480" s="4"/>
      <c r="GN480" s="4"/>
      <c r="GO480" s="4"/>
      <c r="GP480" s="4"/>
      <c r="GQ480" s="4"/>
      <c r="GR480" s="4"/>
      <c r="GS480" s="4"/>
      <c r="GT480" s="4"/>
      <c r="GU480" s="722"/>
      <c r="GV480" s="715"/>
    </row>
    <row r="481" spans="1:204" x14ac:dyDescent="0.25">
      <c r="A481" t="s">
        <v>1827</v>
      </c>
      <c r="B481" s="2" t="s">
        <v>358</v>
      </c>
      <c r="C481" s="619">
        <v>44726</v>
      </c>
      <c r="D481" s="2" t="s">
        <v>1824</v>
      </c>
      <c r="E481" t="s">
        <v>59</v>
      </c>
      <c r="F481" s="2" t="s">
        <v>43</v>
      </c>
      <c r="G481" t="s">
        <v>40</v>
      </c>
      <c r="H481" s="690" t="s">
        <v>85</v>
      </c>
      <c r="I481" s="691" t="s">
        <v>43</v>
      </c>
      <c r="J481" s="721">
        <v>3780401000108</v>
      </c>
      <c r="K481" s="691" t="s">
        <v>2475</v>
      </c>
      <c r="L481" s="721">
        <v>10671322000116</v>
      </c>
      <c r="M481" s="718" t="s">
        <v>3</v>
      </c>
      <c r="N481" s="717" t="s">
        <v>44</v>
      </c>
      <c r="O481" s="719">
        <v>44835</v>
      </c>
      <c r="P481" s="720">
        <v>44865</v>
      </c>
      <c r="Q481" s="718">
        <v>117</v>
      </c>
      <c r="R481" s="717">
        <v>3</v>
      </c>
      <c r="S481" s="691" t="s">
        <v>54</v>
      </c>
      <c r="T481" t="s">
        <v>358</v>
      </c>
      <c r="U481" s="673" t="s">
        <v>358</v>
      </c>
      <c r="V481" s="690" t="s">
        <v>358</v>
      </c>
      <c r="W481" s="657" t="s">
        <v>214</v>
      </c>
      <c r="X481" s="723"/>
      <c r="Y481" s="4"/>
      <c r="Z481" s="4"/>
      <c r="AA481" s="4"/>
      <c r="AB481" s="4"/>
      <c r="AC481" s="4"/>
      <c r="AD481" s="4"/>
      <c r="AE481" s="4"/>
      <c r="AF481" s="4"/>
      <c r="AG481" s="4">
        <v>3</v>
      </c>
      <c r="AH481" s="4"/>
      <c r="AI481" s="654"/>
      <c r="AJ481" s="655"/>
      <c r="AK481" s="4"/>
      <c r="AL481" s="4"/>
      <c r="AM481" s="4"/>
      <c r="AN481" s="4"/>
      <c r="AO481" s="4"/>
      <c r="AP481" s="4"/>
      <c r="AQ481" s="4"/>
      <c r="AR481" s="4"/>
      <c r="AS481" s="4"/>
      <c r="AT481" s="4"/>
      <c r="AU481" s="654"/>
      <c r="AV481" s="655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654"/>
      <c r="BH481" s="655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654"/>
      <c r="BT481" s="655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693"/>
      <c r="CF481" s="723"/>
      <c r="CG481" s="4"/>
      <c r="CH481" s="4"/>
      <c r="CI481" s="4"/>
      <c r="CJ481" s="4"/>
      <c r="CK481" s="4"/>
      <c r="CL481" s="4"/>
      <c r="CM481" s="4"/>
      <c r="CN481" s="4"/>
      <c r="CO481" s="4">
        <v>117</v>
      </c>
      <c r="CP481" s="4"/>
      <c r="CQ481" s="654"/>
      <c r="CR481" s="655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654"/>
      <c r="DD481" s="655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654"/>
      <c r="DP481" s="655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654"/>
      <c r="EB481" s="655"/>
      <c r="EC481" s="4"/>
      <c r="ED481" s="4"/>
      <c r="EE481" s="4"/>
      <c r="EF481" s="4"/>
      <c r="EG481" s="4"/>
      <c r="EH481" s="4"/>
      <c r="EI481" s="4"/>
      <c r="EJ481" s="4"/>
      <c r="EK481" s="4"/>
      <c r="EL481" s="4"/>
      <c r="EM481" s="693"/>
      <c r="EN481" s="723"/>
      <c r="EO481" s="4"/>
      <c r="EP481" s="4"/>
      <c r="EQ481" s="4"/>
      <c r="ER481" s="4"/>
      <c r="ES481" s="4"/>
      <c r="ET481" s="4"/>
      <c r="EU481" s="4"/>
      <c r="EV481" s="4"/>
      <c r="EW481" s="4">
        <v>117</v>
      </c>
      <c r="EX481" s="4"/>
      <c r="EY481" s="654"/>
      <c r="EZ481" s="655"/>
      <c r="FA481" s="4"/>
      <c r="FB481" s="4"/>
      <c r="FC481" s="4"/>
      <c r="FD481" s="4"/>
      <c r="FE481" s="4"/>
      <c r="FF481" s="4"/>
      <c r="FG481" s="4"/>
      <c r="FH481" s="4"/>
      <c r="FI481" s="4"/>
      <c r="FJ481" s="4"/>
      <c r="FK481" s="654"/>
      <c r="FL481" s="655"/>
      <c r="FM481" s="4"/>
      <c r="FN481" s="4"/>
      <c r="FO481" s="4"/>
      <c r="FP481" s="4"/>
      <c r="FQ481" s="4"/>
      <c r="FR481" s="4"/>
      <c r="FS481" s="4"/>
      <c r="FT481" s="4"/>
      <c r="FU481" s="4"/>
      <c r="FV481" s="4"/>
      <c r="FW481" s="654"/>
      <c r="FX481" s="655"/>
      <c r="FY481" s="4"/>
      <c r="FZ481" s="4"/>
      <c r="GA481" s="4"/>
      <c r="GB481" s="4"/>
      <c r="GC481" s="4"/>
      <c r="GD481" s="4"/>
      <c r="GE481" s="4"/>
      <c r="GF481" s="4"/>
      <c r="GG481" s="4"/>
      <c r="GH481" s="4"/>
      <c r="GI481" s="654"/>
      <c r="GJ481" s="655"/>
      <c r="GK481" s="4"/>
      <c r="GL481" s="4"/>
      <c r="GM481" s="4"/>
      <c r="GN481" s="4"/>
      <c r="GO481" s="4"/>
      <c r="GP481" s="4"/>
      <c r="GQ481" s="4"/>
      <c r="GR481" s="4"/>
      <c r="GS481" s="4"/>
      <c r="GT481" s="4"/>
      <c r="GU481" s="722"/>
      <c r="GV481" s="715"/>
    </row>
    <row r="482" spans="1:204" x14ac:dyDescent="0.25">
      <c r="A482" t="s">
        <v>1828</v>
      </c>
      <c r="B482" s="2" t="s">
        <v>358</v>
      </c>
      <c r="C482" s="619">
        <v>44726</v>
      </c>
      <c r="D482" s="2" t="s">
        <v>1825</v>
      </c>
      <c r="E482" t="s">
        <v>59</v>
      </c>
      <c r="F482" s="2" t="s">
        <v>43</v>
      </c>
      <c r="G482" t="s">
        <v>40</v>
      </c>
      <c r="H482" s="690" t="s">
        <v>85</v>
      </c>
      <c r="I482" s="691" t="s">
        <v>43</v>
      </c>
      <c r="J482" s="721">
        <v>3780401000108</v>
      </c>
      <c r="K482" s="691" t="s">
        <v>474</v>
      </c>
      <c r="L482" s="721">
        <v>30483222000173</v>
      </c>
      <c r="M482" s="718" t="s">
        <v>3</v>
      </c>
      <c r="N482" s="717" t="s">
        <v>44</v>
      </c>
      <c r="O482" s="719">
        <v>44835</v>
      </c>
      <c r="P482" s="720">
        <v>44865</v>
      </c>
      <c r="Q482" s="718">
        <v>117</v>
      </c>
      <c r="R482" s="717">
        <v>10</v>
      </c>
      <c r="S482" s="691" t="s">
        <v>54</v>
      </c>
      <c r="T482" t="s">
        <v>358</v>
      </c>
      <c r="U482" s="673" t="s">
        <v>358</v>
      </c>
      <c r="V482" s="690" t="s">
        <v>358</v>
      </c>
      <c r="W482" s="657" t="s">
        <v>214</v>
      </c>
      <c r="X482" s="723"/>
      <c r="Y482" s="4"/>
      <c r="Z482" s="4"/>
      <c r="AA482" s="4"/>
      <c r="AB482" s="4"/>
      <c r="AC482" s="4"/>
      <c r="AD482" s="4"/>
      <c r="AE482" s="4"/>
      <c r="AF482" s="4"/>
      <c r="AG482" s="4">
        <v>10</v>
      </c>
      <c r="AH482" s="4"/>
      <c r="AI482" s="654"/>
      <c r="AJ482" s="655"/>
      <c r="AK482" s="4"/>
      <c r="AL482" s="4"/>
      <c r="AM482" s="4"/>
      <c r="AN482" s="4"/>
      <c r="AO482" s="4"/>
      <c r="AP482" s="4"/>
      <c r="AQ482" s="4"/>
      <c r="AR482" s="4"/>
      <c r="AS482" s="4"/>
      <c r="AT482" s="4"/>
      <c r="AU482" s="654"/>
      <c r="AV482" s="655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654"/>
      <c r="BH482" s="655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654"/>
      <c r="BT482" s="655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693"/>
      <c r="CF482" s="723"/>
      <c r="CG482" s="4"/>
      <c r="CH482" s="4"/>
      <c r="CI482" s="4"/>
      <c r="CJ482" s="4"/>
      <c r="CK482" s="4"/>
      <c r="CL482" s="4"/>
      <c r="CM482" s="4"/>
      <c r="CN482" s="4"/>
      <c r="CO482" s="4">
        <v>117</v>
      </c>
      <c r="CP482" s="4"/>
      <c r="CQ482" s="654"/>
      <c r="CR482" s="655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654"/>
      <c r="DD482" s="655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654"/>
      <c r="DP482" s="655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654"/>
      <c r="EB482" s="655"/>
      <c r="EC482" s="4"/>
      <c r="ED482" s="4"/>
      <c r="EE482" s="4"/>
      <c r="EF482" s="4"/>
      <c r="EG482" s="4"/>
      <c r="EH482" s="4"/>
      <c r="EI482" s="4"/>
      <c r="EJ482" s="4"/>
      <c r="EK482" s="4"/>
      <c r="EL482" s="4"/>
      <c r="EM482" s="693"/>
      <c r="EN482" s="723"/>
      <c r="EO482" s="4"/>
      <c r="EP482" s="4"/>
      <c r="EQ482" s="4"/>
      <c r="ER482" s="4"/>
      <c r="ES482" s="4"/>
      <c r="ET482" s="4"/>
      <c r="EU482" s="4"/>
      <c r="EV482" s="4"/>
      <c r="EW482" s="4">
        <v>117</v>
      </c>
      <c r="EX482" s="4"/>
      <c r="EY482" s="654"/>
      <c r="EZ482" s="655"/>
      <c r="FA482" s="4"/>
      <c r="FB482" s="4"/>
      <c r="FC482" s="4"/>
      <c r="FD482" s="4"/>
      <c r="FE482" s="4"/>
      <c r="FF482" s="4"/>
      <c r="FG482" s="4"/>
      <c r="FH482" s="4"/>
      <c r="FI482" s="4"/>
      <c r="FJ482" s="4"/>
      <c r="FK482" s="654"/>
      <c r="FL482" s="655"/>
      <c r="FM482" s="4"/>
      <c r="FN482" s="4"/>
      <c r="FO482" s="4"/>
      <c r="FP482" s="4"/>
      <c r="FQ482" s="4"/>
      <c r="FR482" s="4"/>
      <c r="FS482" s="4"/>
      <c r="FT482" s="4"/>
      <c r="FU482" s="4"/>
      <c r="FV482" s="4"/>
      <c r="FW482" s="654"/>
      <c r="FX482" s="655"/>
      <c r="FY482" s="4"/>
      <c r="FZ482" s="4"/>
      <c r="GA482" s="4"/>
      <c r="GB482" s="4"/>
      <c r="GC482" s="4"/>
      <c r="GD482" s="4"/>
      <c r="GE482" s="4"/>
      <c r="GF482" s="4"/>
      <c r="GG482" s="4"/>
      <c r="GH482" s="4"/>
      <c r="GI482" s="654"/>
      <c r="GJ482" s="655"/>
      <c r="GK482" s="4"/>
      <c r="GL482" s="4"/>
      <c r="GM482" s="4"/>
      <c r="GN482" s="4"/>
      <c r="GO482" s="4"/>
      <c r="GP482" s="4"/>
      <c r="GQ482" s="4"/>
      <c r="GR482" s="4"/>
      <c r="GS482" s="4"/>
      <c r="GT482" s="4"/>
      <c r="GU482" s="722"/>
      <c r="GV482" s="715"/>
    </row>
    <row r="483" spans="1:204" x14ac:dyDescent="0.25">
      <c r="A483" t="s">
        <v>1829</v>
      </c>
      <c r="B483" s="2" t="s">
        <v>358</v>
      </c>
      <c r="C483" s="619">
        <v>44726</v>
      </c>
      <c r="D483" s="2" t="s">
        <v>1826</v>
      </c>
      <c r="E483" t="s">
        <v>59</v>
      </c>
      <c r="F483" s="2" t="s">
        <v>43</v>
      </c>
      <c r="G483" t="s">
        <v>40</v>
      </c>
      <c r="H483" s="690" t="s">
        <v>85</v>
      </c>
      <c r="I483" s="691" t="s">
        <v>43</v>
      </c>
      <c r="J483" s="721">
        <v>3780401000108</v>
      </c>
      <c r="K483" s="691" t="s">
        <v>405</v>
      </c>
      <c r="L483" s="721">
        <v>58177643000195</v>
      </c>
      <c r="M483" s="718" t="s">
        <v>3</v>
      </c>
      <c r="N483" s="717" t="s">
        <v>44</v>
      </c>
      <c r="O483" s="719">
        <v>44835</v>
      </c>
      <c r="P483" s="720">
        <v>44865</v>
      </c>
      <c r="Q483" s="718">
        <v>117</v>
      </c>
      <c r="R483" s="717">
        <v>5</v>
      </c>
      <c r="S483" s="691" t="s">
        <v>54</v>
      </c>
      <c r="T483" t="s">
        <v>358</v>
      </c>
      <c r="U483" s="673" t="s">
        <v>358</v>
      </c>
      <c r="V483" s="690" t="s">
        <v>358</v>
      </c>
      <c r="W483" s="657" t="s">
        <v>214</v>
      </c>
      <c r="X483" s="723"/>
      <c r="Y483" s="4"/>
      <c r="Z483" s="4"/>
      <c r="AA483" s="4"/>
      <c r="AB483" s="4"/>
      <c r="AC483" s="4"/>
      <c r="AD483" s="4"/>
      <c r="AE483" s="4"/>
      <c r="AF483" s="4"/>
      <c r="AG483" s="4">
        <v>5</v>
      </c>
      <c r="AH483" s="4"/>
      <c r="AI483" s="654"/>
      <c r="AJ483" s="655"/>
      <c r="AK483" s="4"/>
      <c r="AL483" s="4"/>
      <c r="AM483" s="4"/>
      <c r="AN483" s="4"/>
      <c r="AO483" s="4"/>
      <c r="AP483" s="4"/>
      <c r="AQ483" s="4"/>
      <c r="AR483" s="4"/>
      <c r="AS483" s="4"/>
      <c r="AT483" s="4"/>
      <c r="AU483" s="654"/>
      <c r="AV483" s="655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654"/>
      <c r="BH483" s="655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654"/>
      <c r="BT483" s="655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693"/>
      <c r="CF483" s="723"/>
      <c r="CG483" s="4"/>
      <c r="CH483" s="4"/>
      <c r="CI483" s="4"/>
      <c r="CJ483" s="4"/>
      <c r="CK483" s="4"/>
      <c r="CL483" s="4"/>
      <c r="CM483" s="4"/>
      <c r="CN483" s="4"/>
      <c r="CO483" s="4">
        <v>117</v>
      </c>
      <c r="CP483" s="4"/>
      <c r="CQ483" s="654"/>
      <c r="CR483" s="655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654"/>
      <c r="DD483" s="655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654"/>
      <c r="DP483" s="655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654"/>
      <c r="EB483" s="655"/>
      <c r="EC483" s="4"/>
      <c r="ED483" s="4"/>
      <c r="EE483" s="4"/>
      <c r="EF483" s="4"/>
      <c r="EG483" s="4"/>
      <c r="EH483" s="4"/>
      <c r="EI483" s="4"/>
      <c r="EJ483" s="4"/>
      <c r="EK483" s="4"/>
      <c r="EL483" s="4"/>
      <c r="EM483" s="693"/>
      <c r="EN483" s="723"/>
      <c r="EO483" s="4"/>
      <c r="EP483" s="4"/>
      <c r="EQ483" s="4"/>
      <c r="ER483" s="4"/>
      <c r="ES483" s="4"/>
      <c r="ET483" s="4"/>
      <c r="EU483" s="4"/>
      <c r="EV483" s="4"/>
      <c r="EW483" s="4">
        <v>117</v>
      </c>
      <c r="EX483" s="4"/>
      <c r="EY483" s="654"/>
      <c r="EZ483" s="655"/>
      <c r="FA483" s="4"/>
      <c r="FB483" s="4"/>
      <c r="FC483" s="4"/>
      <c r="FD483" s="4"/>
      <c r="FE483" s="4"/>
      <c r="FF483" s="4"/>
      <c r="FG483" s="4"/>
      <c r="FH483" s="4"/>
      <c r="FI483" s="4"/>
      <c r="FJ483" s="4"/>
      <c r="FK483" s="654"/>
      <c r="FL483" s="655"/>
      <c r="FM483" s="4"/>
      <c r="FN483" s="4"/>
      <c r="FO483" s="4"/>
      <c r="FP483" s="4"/>
      <c r="FQ483" s="4"/>
      <c r="FR483" s="4"/>
      <c r="FS483" s="4"/>
      <c r="FT483" s="4"/>
      <c r="FU483" s="4"/>
      <c r="FV483" s="4"/>
      <c r="FW483" s="654"/>
      <c r="FX483" s="655"/>
      <c r="FY483" s="4"/>
      <c r="FZ483" s="4"/>
      <c r="GA483" s="4"/>
      <c r="GB483" s="4"/>
      <c r="GC483" s="4"/>
      <c r="GD483" s="4"/>
      <c r="GE483" s="4"/>
      <c r="GF483" s="4"/>
      <c r="GG483" s="4"/>
      <c r="GH483" s="4"/>
      <c r="GI483" s="654"/>
      <c r="GJ483" s="655"/>
      <c r="GK483" s="4"/>
      <c r="GL483" s="4"/>
      <c r="GM483" s="4"/>
      <c r="GN483" s="4"/>
      <c r="GO483" s="4"/>
      <c r="GP483" s="4"/>
      <c r="GQ483" s="4"/>
      <c r="GR483" s="4"/>
      <c r="GS483" s="4"/>
      <c r="GT483" s="4"/>
      <c r="GU483" s="722"/>
      <c r="GV483" s="715"/>
    </row>
    <row r="484" spans="1:204" x14ac:dyDescent="0.25">
      <c r="A484" t="s">
        <v>1831</v>
      </c>
      <c r="B484" s="2" t="s">
        <v>358</v>
      </c>
      <c r="C484" s="619">
        <v>44727</v>
      </c>
      <c r="D484" s="2" t="s">
        <v>1830</v>
      </c>
      <c r="E484" t="s">
        <v>59</v>
      </c>
      <c r="F484" s="2" t="s">
        <v>43</v>
      </c>
      <c r="G484" t="s">
        <v>40</v>
      </c>
      <c r="H484" s="690" t="s">
        <v>85</v>
      </c>
      <c r="I484" s="691" t="s">
        <v>43</v>
      </c>
      <c r="J484" s="721">
        <v>3780401000108</v>
      </c>
      <c r="K484" s="691" t="s">
        <v>478</v>
      </c>
      <c r="L484" s="721">
        <v>18483400000160</v>
      </c>
      <c r="M484" s="718" t="s">
        <v>3</v>
      </c>
      <c r="N484" s="717" t="s">
        <v>44</v>
      </c>
      <c r="O484" s="719">
        <v>44835</v>
      </c>
      <c r="P484" s="720">
        <v>44865</v>
      </c>
      <c r="Q484" s="718">
        <v>112</v>
      </c>
      <c r="R484" s="717">
        <v>5</v>
      </c>
      <c r="S484" s="691" t="s">
        <v>54</v>
      </c>
      <c r="T484" t="s">
        <v>358</v>
      </c>
      <c r="U484" s="673" t="s">
        <v>358</v>
      </c>
      <c r="V484" s="690" t="s">
        <v>358</v>
      </c>
      <c r="W484" s="657" t="s">
        <v>214</v>
      </c>
      <c r="X484" s="723"/>
      <c r="Y484" s="4"/>
      <c r="Z484" s="4"/>
      <c r="AA484" s="4"/>
      <c r="AB484" s="4"/>
      <c r="AC484" s="4"/>
      <c r="AD484" s="4"/>
      <c r="AE484" s="4"/>
      <c r="AF484" s="4"/>
      <c r="AG484" s="4">
        <v>5</v>
      </c>
      <c r="AH484" s="4"/>
      <c r="AI484" s="654"/>
      <c r="AJ484" s="655"/>
      <c r="AK484" s="4"/>
      <c r="AL484" s="4"/>
      <c r="AM484" s="4"/>
      <c r="AN484" s="4"/>
      <c r="AO484" s="4"/>
      <c r="AP484" s="4"/>
      <c r="AQ484" s="4"/>
      <c r="AR484" s="4"/>
      <c r="AS484" s="4"/>
      <c r="AT484" s="4"/>
      <c r="AU484" s="654"/>
      <c r="AV484" s="655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654"/>
      <c r="BH484" s="655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654"/>
      <c r="BT484" s="655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693"/>
      <c r="CF484" s="723"/>
      <c r="CG484" s="4"/>
      <c r="CH484" s="4"/>
      <c r="CI484" s="4"/>
      <c r="CJ484" s="4"/>
      <c r="CK484" s="4"/>
      <c r="CL484" s="4"/>
      <c r="CM484" s="4"/>
      <c r="CN484" s="4"/>
      <c r="CO484" s="4">
        <v>112</v>
      </c>
      <c r="CP484" s="4"/>
      <c r="CQ484" s="654"/>
      <c r="CR484" s="655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654"/>
      <c r="DD484" s="655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654"/>
      <c r="DP484" s="655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654"/>
      <c r="EB484" s="655"/>
      <c r="EC484" s="4"/>
      <c r="ED484" s="4"/>
      <c r="EE484" s="4"/>
      <c r="EF484" s="4"/>
      <c r="EG484" s="4"/>
      <c r="EH484" s="4"/>
      <c r="EI484" s="4"/>
      <c r="EJ484" s="4"/>
      <c r="EK484" s="4"/>
      <c r="EL484" s="4"/>
      <c r="EM484" s="693"/>
      <c r="EN484" s="723"/>
      <c r="EO484" s="4"/>
      <c r="EP484" s="4"/>
      <c r="EQ484" s="4"/>
      <c r="ER484" s="4"/>
      <c r="ES484" s="4"/>
      <c r="ET484" s="4"/>
      <c r="EU484" s="4"/>
      <c r="EV484" s="4"/>
      <c r="EW484" s="4">
        <v>112</v>
      </c>
      <c r="EX484" s="4"/>
      <c r="EY484" s="654"/>
      <c r="EZ484" s="655"/>
      <c r="FA484" s="4"/>
      <c r="FB484" s="4"/>
      <c r="FC484" s="4"/>
      <c r="FD484" s="4"/>
      <c r="FE484" s="4"/>
      <c r="FF484" s="4"/>
      <c r="FG484" s="4"/>
      <c r="FH484" s="4"/>
      <c r="FI484" s="4"/>
      <c r="FJ484" s="4"/>
      <c r="FK484" s="654"/>
      <c r="FL484" s="655"/>
      <c r="FM484" s="4"/>
      <c r="FN484" s="4"/>
      <c r="FO484" s="4"/>
      <c r="FP484" s="4"/>
      <c r="FQ484" s="4"/>
      <c r="FR484" s="4"/>
      <c r="FS484" s="4"/>
      <c r="FT484" s="4"/>
      <c r="FU484" s="4"/>
      <c r="FV484" s="4"/>
      <c r="FW484" s="654"/>
      <c r="FX484" s="655"/>
      <c r="FY484" s="4"/>
      <c r="FZ484" s="4"/>
      <c r="GA484" s="4"/>
      <c r="GB484" s="4"/>
      <c r="GC484" s="4"/>
      <c r="GD484" s="4"/>
      <c r="GE484" s="4"/>
      <c r="GF484" s="4"/>
      <c r="GG484" s="4"/>
      <c r="GH484" s="4"/>
      <c r="GI484" s="654"/>
      <c r="GJ484" s="655"/>
      <c r="GK484" s="4"/>
      <c r="GL484" s="4"/>
      <c r="GM484" s="4"/>
      <c r="GN484" s="4"/>
      <c r="GO484" s="4"/>
      <c r="GP484" s="4"/>
      <c r="GQ484" s="4"/>
      <c r="GR484" s="4"/>
      <c r="GS484" s="4"/>
      <c r="GT484" s="4"/>
      <c r="GU484" s="722"/>
      <c r="GV484" s="715"/>
    </row>
    <row r="485" spans="1:204" x14ac:dyDescent="0.25">
      <c r="A485" t="s">
        <v>1833</v>
      </c>
      <c r="B485" s="2" t="s">
        <v>358</v>
      </c>
      <c r="C485" s="619">
        <v>44732</v>
      </c>
      <c r="D485" s="2" t="s">
        <v>1832</v>
      </c>
      <c r="E485" t="s">
        <v>58</v>
      </c>
      <c r="F485" s="2" t="s">
        <v>43</v>
      </c>
      <c r="G485" t="s">
        <v>40</v>
      </c>
      <c r="H485" s="690" t="s">
        <v>84</v>
      </c>
      <c r="I485" s="691" t="s">
        <v>945</v>
      </c>
      <c r="J485" s="721">
        <v>12630054000110</v>
      </c>
      <c r="K485" s="691" t="s">
        <v>43</v>
      </c>
      <c r="L485" s="721">
        <v>3780401000108</v>
      </c>
      <c r="M485" s="718" t="s">
        <v>3</v>
      </c>
      <c r="N485" s="717" t="s">
        <v>44</v>
      </c>
      <c r="O485" s="719">
        <v>44835</v>
      </c>
      <c r="P485" s="720">
        <v>44865</v>
      </c>
      <c r="Q485" s="718">
        <v>110.5</v>
      </c>
      <c r="R485" s="717">
        <v>0.1</v>
      </c>
      <c r="S485" s="691" t="s">
        <v>54</v>
      </c>
      <c r="T485" t="s">
        <v>358</v>
      </c>
      <c r="U485" s="673" t="s">
        <v>358</v>
      </c>
      <c r="V485" s="690" t="s">
        <v>358</v>
      </c>
      <c r="W485" s="657" t="s">
        <v>214</v>
      </c>
      <c r="X485" s="723"/>
      <c r="Y485" s="4"/>
      <c r="Z485" s="4"/>
      <c r="AA485" s="4"/>
      <c r="AB485" s="4"/>
      <c r="AC485" s="4"/>
      <c r="AD485" s="4"/>
      <c r="AE485" s="4"/>
      <c r="AF485" s="4"/>
      <c r="AG485" s="4">
        <v>0.1</v>
      </c>
      <c r="AH485" s="4"/>
      <c r="AI485" s="654"/>
      <c r="AJ485" s="655"/>
      <c r="AK485" s="4"/>
      <c r="AL485" s="4"/>
      <c r="AM485" s="4"/>
      <c r="AN485" s="4"/>
      <c r="AO485" s="4"/>
      <c r="AP485" s="4"/>
      <c r="AQ485" s="4"/>
      <c r="AR485" s="4"/>
      <c r="AS485" s="4"/>
      <c r="AT485" s="4"/>
      <c r="AU485" s="654"/>
      <c r="AV485" s="655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654"/>
      <c r="BH485" s="655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654"/>
      <c r="BT485" s="655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693"/>
      <c r="CF485" s="723"/>
      <c r="CG485" s="4"/>
      <c r="CH485" s="4"/>
      <c r="CI485" s="4"/>
      <c r="CJ485" s="4"/>
      <c r="CK485" s="4"/>
      <c r="CL485" s="4"/>
      <c r="CM485" s="4"/>
      <c r="CN485" s="4"/>
      <c r="CO485" s="4">
        <v>110.5</v>
      </c>
      <c r="CP485" s="4"/>
      <c r="CQ485" s="654"/>
      <c r="CR485" s="655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654"/>
      <c r="DD485" s="655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654"/>
      <c r="DP485" s="655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654"/>
      <c r="EB485" s="655"/>
      <c r="EC485" s="4"/>
      <c r="ED485" s="4"/>
      <c r="EE485" s="4"/>
      <c r="EF485" s="4"/>
      <c r="EG485" s="4"/>
      <c r="EH485" s="4"/>
      <c r="EI485" s="4"/>
      <c r="EJ485" s="4"/>
      <c r="EK485" s="4"/>
      <c r="EL485" s="4"/>
      <c r="EM485" s="693"/>
      <c r="EN485" s="723"/>
      <c r="EO485" s="4"/>
      <c r="EP485" s="4"/>
      <c r="EQ485" s="4"/>
      <c r="ER485" s="4"/>
      <c r="ES485" s="4"/>
      <c r="ET485" s="4"/>
      <c r="EU485" s="4"/>
      <c r="EV485" s="4"/>
      <c r="EW485" s="4">
        <v>110.5</v>
      </c>
      <c r="EX485" s="4"/>
      <c r="EY485" s="654"/>
      <c r="EZ485" s="655"/>
      <c r="FA485" s="4"/>
      <c r="FB485" s="4"/>
      <c r="FC485" s="4"/>
      <c r="FD485" s="4"/>
      <c r="FE485" s="4"/>
      <c r="FF485" s="4"/>
      <c r="FG485" s="4"/>
      <c r="FH485" s="4"/>
      <c r="FI485" s="4"/>
      <c r="FJ485" s="4"/>
      <c r="FK485" s="654"/>
      <c r="FL485" s="655"/>
      <c r="FM485" s="4"/>
      <c r="FN485" s="4"/>
      <c r="FO485" s="4"/>
      <c r="FP485" s="4"/>
      <c r="FQ485" s="4"/>
      <c r="FR485" s="4"/>
      <c r="FS485" s="4"/>
      <c r="FT485" s="4"/>
      <c r="FU485" s="4"/>
      <c r="FV485" s="4"/>
      <c r="FW485" s="654"/>
      <c r="FX485" s="655"/>
      <c r="FY485" s="4"/>
      <c r="FZ485" s="4"/>
      <c r="GA485" s="4"/>
      <c r="GB485" s="4"/>
      <c r="GC485" s="4"/>
      <c r="GD485" s="4"/>
      <c r="GE485" s="4"/>
      <c r="GF485" s="4"/>
      <c r="GG485" s="4"/>
      <c r="GH485" s="4"/>
      <c r="GI485" s="654"/>
      <c r="GJ485" s="655"/>
      <c r="GK485" s="4"/>
      <c r="GL485" s="4"/>
      <c r="GM485" s="4"/>
      <c r="GN485" s="4"/>
      <c r="GO485" s="4"/>
      <c r="GP485" s="4"/>
      <c r="GQ485" s="4"/>
      <c r="GR485" s="4"/>
      <c r="GS485" s="4"/>
      <c r="GT485" s="4"/>
      <c r="GU485" s="722"/>
      <c r="GV485" s="715"/>
    </row>
    <row r="486" spans="1:204" x14ac:dyDescent="0.25">
      <c r="A486" t="s">
        <v>1835</v>
      </c>
      <c r="B486" s="2" t="s">
        <v>358</v>
      </c>
      <c r="C486" s="619">
        <v>44734</v>
      </c>
      <c r="D486" s="2" t="s">
        <v>1834</v>
      </c>
      <c r="E486" t="s">
        <v>59</v>
      </c>
      <c r="F486" s="2" t="s">
        <v>43</v>
      </c>
      <c r="G486" t="s">
        <v>40</v>
      </c>
      <c r="H486" s="690" t="s">
        <v>85</v>
      </c>
      <c r="I486" s="691" t="s">
        <v>43</v>
      </c>
      <c r="J486" s="721">
        <v>3780401000108</v>
      </c>
      <c r="K486" s="691" t="s">
        <v>1779</v>
      </c>
      <c r="L486" s="721">
        <v>31627849000113</v>
      </c>
      <c r="M486" s="718" t="s">
        <v>3</v>
      </c>
      <c r="N486" s="717" t="s">
        <v>44</v>
      </c>
      <c r="O486" s="719">
        <v>44805</v>
      </c>
      <c r="P486" s="720">
        <v>44834</v>
      </c>
      <c r="Q486" s="718">
        <v>83</v>
      </c>
      <c r="R486" s="717">
        <v>5</v>
      </c>
      <c r="S486" s="691" t="s">
        <v>54</v>
      </c>
      <c r="T486" t="s">
        <v>358</v>
      </c>
      <c r="U486" s="673" t="s">
        <v>358</v>
      </c>
      <c r="V486" s="690" t="s">
        <v>358</v>
      </c>
      <c r="W486" s="657" t="s">
        <v>214</v>
      </c>
      <c r="X486" s="723"/>
      <c r="Y486" s="4"/>
      <c r="Z486" s="4"/>
      <c r="AA486" s="4"/>
      <c r="AB486" s="4"/>
      <c r="AC486" s="4"/>
      <c r="AD486" s="4"/>
      <c r="AE486" s="4"/>
      <c r="AF486" s="4">
        <v>5</v>
      </c>
      <c r="AG486" s="4"/>
      <c r="AH486" s="4"/>
      <c r="AI486" s="654"/>
      <c r="AJ486" s="655"/>
      <c r="AK486" s="4"/>
      <c r="AL486" s="4"/>
      <c r="AM486" s="4"/>
      <c r="AN486" s="4"/>
      <c r="AO486" s="4"/>
      <c r="AP486" s="4"/>
      <c r="AQ486" s="4"/>
      <c r="AR486" s="4"/>
      <c r="AS486" s="4"/>
      <c r="AT486" s="4"/>
      <c r="AU486" s="654"/>
      <c r="AV486" s="655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654"/>
      <c r="BH486" s="655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654"/>
      <c r="BT486" s="655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693"/>
      <c r="CF486" s="723"/>
      <c r="CG486" s="4"/>
      <c r="CH486" s="4"/>
      <c r="CI486" s="4"/>
      <c r="CJ486" s="4"/>
      <c r="CK486" s="4"/>
      <c r="CL486" s="4"/>
      <c r="CM486" s="4"/>
      <c r="CN486" s="4">
        <v>83</v>
      </c>
      <c r="CO486" s="4"/>
      <c r="CP486" s="4"/>
      <c r="CQ486" s="654"/>
      <c r="CR486" s="655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654"/>
      <c r="DD486" s="655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654"/>
      <c r="DP486" s="655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654"/>
      <c r="EB486" s="655"/>
      <c r="EC486" s="4"/>
      <c r="ED486" s="4"/>
      <c r="EE486" s="4"/>
      <c r="EF486" s="4"/>
      <c r="EG486" s="4"/>
      <c r="EH486" s="4"/>
      <c r="EI486" s="4"/>
      <c r="EJ486" s="4"/>
      <c r="EK486" s="4"/>
      <c r="EL486" s="4"/>
      <c r="EM486" s="693"/>
      <c r="EN486" s="723"/>
      <c r="EO486" s="4"/>
      <c r="EP486" s="4"/>
      <c r="EQ486" s="4"/>
      <c r="ER486" s="4"/>
      <c r="ES486" s="4"/>
      <c r="ET486" s="4"/>
      <c r="EU486" s="4"/>
      <c r="EV486" s="4">
        <v>83</v>
      </c>
      <c r="EW486" s="4"/>
      <c r="EX486" s="4"/>
      <c r="EY486" s="654"/>
      <c r="EZ486" s="655"/>
      <c r="FA486" s="4"/>
      <c r="FB486" s="4"/>
      <c r="FC486" s="4"/>
      <c r="FD486" s="4"/>
      <c r="FE486" s="4"/>
      <c r="FF486" s="4"/>
      <c r="FG486" s="4"/>
      <c r="FH486" s="4"/>
      <c r="FI486" s="4"/>
      <c r="FJ486" s="4"/>
      <c r="FK486" s="654"/>
      <c r="FL486" s="655"/>
      <c r="FM486" s="4"/>
      <c r="FN486" s="4"/>
      <c r="FO486" s="4"/>
      <c r="FP486" s="4"/>
      <c r="FQ486" s="4"/>
      <c r="FR486" s="4"/>
      <c r="FS486" s="4"/>
      <c r="FT486" s="4"/>
      <c r="FU486" s="4"/>
      <c r="FV486" s="4"/>
      <c r="FW486" s="654"/>
      <c r="FX486" s="655"/>
      <c r="FY486" s="4"/>
      <c r="FZ486" s="4"/>
      <c r="GA486" s="4"/>
      <c r="GB486" s="4"/>
      <c r="GC486" s="4"/>
      <c r="GD486" s="4"/>
      <c r="GE486" s="4"/>
      <c r="GF486" s="4"/>
      <c r="GG486" s="4"/>
      <c r="GH486" s="4"/>
      <c r="GI486" s="654"/>
      <c r="GJ486" s="655"/>
      <c r="GK486" s="4"/>
      <c r="GL486" s="4"/>
      <c r="GM486" s="4"/>
      <c r="GN486" s="4"/>
      <c r="GO486" s="4"/>
      <c r="GP486" s="4"/>
      <c r="GQ486" s="4"/>
      <c r="GR486" s="4"/>
      <c r="GS486" s="4"/>
      <c r="GT486" s="4"/>
      <c r="GU486" s="722"/>
      <c r="GV486" s="715"/>
    </row>
    <row r="487" spans="1:204" x14ac:dyDescent="0.25">
      <c r="A487" t="s">
        <v>1840</v>
      </c>
      <c r="B487" s="2" t="s">
        <v>358</v>
      </c>
      <c r="C487" s="619">
        <v>44736</v>
      </c>
      <c r="D487" s="2" t="s">
        <v>1836</v>
      </c>
      <c r="E487" t="s">
        <v>58</v>
      </c>
      <c r="F487" s="2" t="s">
        <v>43</v>
      </c>
      <c r="G487" t="s">
        <v>40</v>
      </c>
      <c r="H487" s="690" t="s">
        <v>84</v>
      </c>
      <c r="I487" s="691" t="s">
        <v>1838</v>
      </c>
      <c r="J487" s="721">
        <v>17077752000153</v>
      </c>
      <c r="K487" s="691" t="s">
        <v>43</v>
      </c>
      <c r="L487" s="721">
        <v>3780401000108</v>
      </c>
      <c r="M487" s="718" t="s">
        <v>5</v>
      </c>
      <c r="N487" s="717" t="s">
        <v>44</v>
      </c>
      <c r="O487" s="719">
        <v>44713</v>
      </c>
      <c r="P487" s="720">
        <v>44742</v>
      </c>
      <c r="Q487" s="718">
        <v>30</v>
      </c>
      <c r="R487" s="717">
        <v>1</v>
      </c>
      <c r="S487" s="691" t="s">
        <v>92</v>
      </c>
      <c r="T487" t="s">
        <v>358</v>
      </c>
      <c r="U487" s="673" t="s">
        <v>358</v>
      </c>
      <c r="V487" s="690" t="s">
        <v>358</v>
      </c>
      <c r="W487" s="657" t="s">
        <v>214</v>
      </c>
      <c r="X487" s="723"/>
      <c r="Y487" s="4"/>
      <c r="Z487" s="4"/>
      <c r="AA487" s="4"/>
      <c r="AB487" s="4"/>
      <c r="AC487" s="4">
        <v>1</v>
      </c>
      <c r="AD487" s="4"/>
      <c r="AE487" s="4"/>
      <c r="AF487" s="4"/>
      <c r="AG487" s="4"/>
      <c r="AH487" s="4"/>
      <c r="AI487" s="654"/>
      <c r="AJ487" s="655"/>
      <c r="AK487" s="4"/>
      <c r="AL487" s="4"/>
      <c r="AM487" s="4"/>
      <c r="AN487" s="4"/>
      <c r="AO487" s="4"/>
      <c r="AP487" s="4"/>
      <c r="AQ487" s="4"/>
      <c r="AR487" s="4"/>
      <c r="AS487" s="4"/>
      <c r="AT487" s="4"/>
      <c r="AU487" s="654"/>
      <c r="AV487" s="655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654"/>
      <c r="BH487" s="655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654"/>
      <c r="BT487" s="655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693"/>
      <c r="CF487" s="723"/>
      <c r="CG487" s="4"/>
      <c r="CH487" s="4"/>
      <c r="CI487" s="4"/>
      <c r="CJ487" s="4"/>
      <c r="CK487" s="4">
        <v>30</v>
      </c>
      <c r="CL487" s="4"/>
      <c r="CM487" s="4"/>
      <c r="CN487" s="4"/>
      <c r="CO487" s="4"/>
      <c r="CP487" s="4"/>
      <c r="CQ487" s="654"/>
      <c r="CR487" s="655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654"/>
      <c r="DD487" s="655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654"/>
      <c r="DP487" s="655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654"/>
      <c r="EB487" s="655"/>
      <c r="EC487" s="4"/>
      <c r="ED487" s="4"/>
      <c r="EE487" s="4"/>
      <c r="EF487" s="4"/>
      <c r="EG487" s="4"/>
      <c r="EH487" s="4"/>
      <c r="EI487" s="4"/>
      <c r="EJ487" s="4"/>
      <c r="EK487" s="4"/>
      <c r="EL487" s="4"/>
      <c r="EM487" s="693"/>
      <c r="EN487" s="723"/>
      <c r="EO487" s="4"/>
      <c r="EP487" s="4"/>
      <c r="EQ487" s="4"/>
      <c r="ER487" s="4"/>
      <c r="ES487" s="4">
        <v>85.710000000000008</v>
      </c>
      <c r="ET487" s="4"/>
      <c r="EU487" s="4"/>
      <c r="EV487" s="4"/>
      <c r="EW487" s="4"/>
      <c r="EX487" s="4"/>
      <c r="EY487" s="654"/>
      <c r="EZ487" s="655"/>
      <c r="FA487" s="4"/>
      <c r="FB487" s="4"/>
      <c r="FC487" s="4"/>
      <c r="FD487" s="4"/>
      <c r="FE487" s="4"/>
      <c r="FF487" s="4"/>
      <c r="FG487" s="4"/>
      <c r="FH487" s="4"/>
      <c r="FI487" s="4"/>
      <c r="FJ487" s="4"/>
      <c r="FK487" s="654"/>
      <c r="FL487" s="655"/>
      <c r="FM487" s="4"/>
      <c r="FN487" s="4"/>
      <c r="FO487" s="4"/>
      <c r="FP487" s="4"/>
      <c r="FQ487" s="4"/>
      <c r="FR487" s="4"/>
      <c r="FS487" s="4"/>
      <c r="FT487" s="4"/>
      <c r="FU487" s="4"/>
      <c r="FV487" s="4"/>
      <c r="FW487" s="654"/>
      <c r="FX487" s="655"/>
      <c r="FY487" s="4"/>
      <c r="FZ487" s="4"/>
      <c r="GA487" s="4"/>
      <c r="GB487" s="4"/>
      <c r="GC487" s="4"/>
      <c r="GD487" s="4"/>
      <c r="GE487" s="4"/>
      <c r="GF487" s="4"/>
      <c r="GG487" s="4"/>
      <c r="GH487" s="4"/>
      <c r="GI487" s="654"/>
      <c r="GJ487" s="655"/>
      <c r="GK487" s="4"/>
      <c r="GL487" s="4"/>
      <c r="GM487" s="4"/>
      <c r="GN487" s="4"/>
      <c r="GO487" s="4"/>
      <c r="GP487" s="4"/>
      <c r="GQ487" s="4"/>
      <c r="GR487" s="4"/>
      <c r="GS487" s="4"/>
      <c r="GT487" s="4"/>
      <c r="GU487" s="722"/>
      <c r="GV487" s="715"/>
    </row>
    <row r="488" spans="1:204" x14ac:dyDescent="0.25">
      <c r="A488" t="s">
        <v>1841</v>
      </c>
      <c r="B488" s="2" t="s">
        <v>358</v>
      </c>
      <c r="C488" s="619">
        <v>44736</v>
      </c>
      <c r="D488" s="2" t="s">
        <v>1837</v>
      </c>
      <c r="E488" t="s">
        <v>58</v>
      </c>
      <c r="F488" s="2" t="s">
        <v>43</v>
      </c>
      <c r="G488" t="s">
        <v>40</v>
      </c>
      <c r="H488" s="690" t="s">
        <v>84</v>
      </c>
      <c r="I488" s="691" t="s">
        <v>1839</v>
      </c>
      <c r="J488" s="721">
        <v>40374404000160</v>
      </c>
      <c r="K488" s="691" t="s">
        <v>43</v>
      </c>
      <c r="L488" s="721">
        <v>3780401000108</v>
      </c>
      <c r="M488" s="718" t="s">
        <v>3</v>
      </c>
      <c r="N488" s="717" t="s">
        <v>44</v>
      </c>
      <c r="O488" s="719">
        <v>44896</v>
      </c>
      <c r="P488" s="720">
        <v>44926</v>
      </c>
      <c r="Q488" s="718">
        <v>103</v>
      </c>
      <c r="R488" s="717">
        <v>1</v>
      </c>
      <c r="S488" s="691" t="s">
        <v>54</v>
      </c>
      <c r="T488" t="s">
        <v>358</v>
      </c>
      <c r="U488" s="673" t="s">
        <v>358</v>
      </c>
      <c r="V488" s="690" t="s">
        <v>358</v>
      </c>
      <c r="W488" s="657" t="s">
        <v>214</v>
      </c>
      <c r="X488" s="723"/>
      <c r="Y488" s="4"/>
      <c r="Z488" s="4"/>
      <c r="AA488" s="4"/>
      <c r="AB488" s="4"/>
      <c r="AC488" s="4"/>
      <c r="AD488" s="4"/>
      <c r="AE488" s="4"/>
      <c r="AF488" s="4"/>
      <c r="AG488" s="4"/>
      <c r="AH488" s="4"/>
      <c r="AI488" s="654">
        <v>1</v>
      </c>
      <c r="AJ488" s="655"/>
      <c r="AK488" s="4"/>
      <c r="AL488" s="4"/>
      <c r="AM488" s="4"/>
      <c r="AN488" s="4"/>
      <c r="AO488" s="4"/>
      <c r="AP488" s="4"/>
      <c r="AQ488" s="4"/>
      <c r="AR488" s="4"/>
      <c r="AS488" s="4"/>
      <c r="AT488" s="4"/>
      <c r="AU488" s="654"/>
      <c r="AV488" s="655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654"/>
      <c r="BH488" s="655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654"/>
      <c r="BT488" s="655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693"/>
      <c r="CF488" s="723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654">
        <v>103</v>
      </c>
      <c r="CR488" s="655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654"/>
      <c r="DD488" s="655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654"/>
      <c r="DP488" s="655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654"/>
      <c r="EB488" s="655"/>
      <c r="EC488" s="4"/>
      <c r="ED488" s="4"/>
      <c r="EE488" s="4"/>
      <c r="EF488" s="4"/>
      <c r="EG488" s="4"/>
      <c r="EH488" s="4"/>
      <c r="EI488" s="4"/>
      <c r="EJ488" s="4"/>
      <c r="EK488" s="4"/>
      <c r="EL488" s="4"/>
      <c r="EM488" s="693"/>
      <c r="EN488" s="723"/>
      <c r="EO488" s="4"/>
      <c r="EP488" s="4"/>
      <c r="EQ488" s="4"/>
      <c r="ER488" s="4"/>
      <c r="ES488" s="4"/>
      <c r="ET488" s="4"/>
      <c r="EU488" s="4"/>
      <c r="EV488" s="4"/>
      <c r="EW488" s="4"/>
      <c r="EX488" s="4"/>
      <c r="EY488" s="654">
        <v>103</v>
      </c>
      <c r="EZ488" s="655"/>
      <c r="FA488" s="4"/>
      <c r="FB488" s="4"/>
      <c r="FC488" s="4"/>
      <c r="FD488" s="4"/>
      <c r="FE488" s="4"/>
      <c r="FF488" s="4"/>
      <c r="FG488" s="4"/>
      <c r="FH488" s="4"/>
      <c r="FI488" s="4"/>
      <c r="FJ488" s="4"/>
      <c r="FK488" s="654"/>
      <c r="FL488" s="655"/>
      <c r="FM488" s="4"/>
      <c r="FN488" s="4"/>
      <c r="FO488" s="4"/>
      <c r="FP488" s="4"/>
      <c r="FQ488" s="4"/>
      <c r="FR488" s="4"/>
      <c r="FS488" s="4"/>
      <c r="FT488" s="4"/>
      <c r="FU488" s="4"/>
      <c r="FV488" s="4"/>
      <c r="FW488" s="654"/>
      <c r="FX488" s="655"/>
      <c r="FY488" s="4"/>
      <c r="FZ488" s="4"/>
      <c r="GA488" s="4"/>
      <c r="GB488" s="4"/>
      <c r="GC488" s="4"/>
      <c r="GD488" s="4"/>
      <c r="GE488" s="4"/>
      <c r="GF488" s="4"/>
      <c r="GG488" s="4"/>
      <c r="GH488" s="4"/>
      <c r="GI488" s="654"/>
      <c r="GJ488" s="655"/>
      <c r="GK488" s="4"/>
      <c r="GL488" s="4"/>
      <c r="GM488" s="4"/>
      <c r="GN488" s="4"/>
      <c r="GO488" s="4"/>
      <c r="GP488" s="4"/>
      <c r="GQ488" s="4"/>
      <c r="GR488" s="4"/>
      <c r="GS488" s="4"/>
      <c r="GT488" s="4"/>
      <c r="GU488" s="722"/>
      <c r="GV488" s="715"/>
    </row>
    <row r="489" spans="1:204" x14ac:dyDescent="0.25">
      <c r="A489" t="s">
        <v>1844</v>
      </c>
      <c r="B489" s="2" t="s">
        <v>358</v>
      </c>
      <c r="C489" s="619">
        <v>44739</v>
      </c>
      <c r="D489" s="2" t="s">
        <v>1842</v>
      </c>
      <c r="E489" t="s">
        <v>58</v>
      </c>
      <c r="F489" s="2" t="s">
        <v>43</v>
      </c>
      <c r="G489" t="s">
        <v>40</v>
      </c>
      <c r="H489" s="690" t="s">
        <v>84</v>
      </c>
      <c r="I489" s="691" t="s">
        <v>405</v>
      </c>
      <c r="J489" s="721">
        <v>58177643000195</v>
      </c>
      <c r="K489" s="691" t="s">
        <v>43</v>
      </c>
      <c r="L489" s="721">
        <v>3780401000108</v>
      </c>
      <c r="M489" s="718" t="s">
        <v>3</v>
      </c>
      <c r="N489" s="717" t="s">
        <v>44</v>
      </c>
      <c r="O489" s="719">
        <v>44896</v>
      </c>
      <c r="P489" s="720">
        <v>44926</v>
      </c>
      <c r="Q489" s="718">
        <v>104</v>
      </c>
      <c r="R489" s="717">
        <v>5.5</v>
      </c>
      <c r="S489" s="691" t="s">
        <v>54</v>
      </c>
      <c r="T489" t="s">
        <v>358</v>
      </c>
      <c r="U489" s="673" t="s">
        <v>358</v>
      </c>
      <c r="V489" s="690" t="s">
        <v>358</v>
      </c>
      <c r="W489" s="657" t="s">
        <v>214</v>
      </c>
      <c r="X489" s="723"/>
      <c r="Y489" s="4"/>
      <c r="Z489" s="4"/>
      <c r="AA489" s="4"/>
      <c r="AB489" s="4"/>
      <c r="AC489" s="4"/>
      <c r="AD489" s="4"/>
      <c r="AE489" s="4"/>
      <c r="AF489" s="4"/>
      <c r="AG489" s="4"/>
      <c r="AH489" s="4"/>
      <c r="AI489" s="654">
        <v>5.5</v>
      </c>
      <c r="AJ489" s="655"/>
      <c r="AK489" s="4"/>
      <c r="AL489" s="4"/>
      <c r="AM489" s="4"/>
      <c r="AN489" s="4"/>
      <c r="AO489" s="4"/>
      <c r="AP489" s="4"/>
      <c r="AQ489" s="4"/>
      <c r="AR489" s="4"/>
      <c r="AS489" s="4"/>
      <c r="AT489" s="4"/>
      <c r="AU489" s="654"/>
      <c r="AV489" s="655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654"/>
      <c r="BH489" s="655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654"/>
      <c r="BT489" s="655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693"/>
      <c r="CF489" s="723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654">
        <v>104</v>
      </c>
      <c r="CR489" s="655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654"/>
      <c r="DD489" s="655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654"/>
      <c r="DP489" s="655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654"/>
      <c r="EB489" s="655"/>
      <c r="EC489" s="4"/>
      <c r="ED489" s="4"/>
      <c r="EE489" s="4"/>
      <c r="EF489" s="4"/>
      <c r="EG489" s="4"/>
      <c r="EH489" s="4"/>
      <c r="EI489" s="4"/>
      <c r="EJ489" s="4"/>
      <c r="EK489" s="4"/>
      <c r="EL489" s="4"/>
      <c r="EM489" s="693"/>
      <c r="EN489" s="723"/>
      <c r="EO489" s="4"/>
      <c r="EP489" s="4"/>
      <c r="EQ489" s="4"/>
      <c r="ER489" s="4"/>
      <c r="ES489" s="4"/>
      <c r="ET489" s="4"/>
      <c r="EU489" s="4"/>
      <c r="EV489" s="4"/>
      <c r="EW489" s="4"/>
      <c r="EX489" s="4"/>
      <c r="EY489" s="654">
        <v>104</v>
      </c>
      <c r="EZ489" s="655"/>
      <c r="FA489" s="4"/>
      <c r="FB489" s="4"/>
      <c r="FC489" s="4"/>
      <c r="FD489" s="4"/>
      <c r="FE489" s="4"/>
      <c r="FF489" s="4"/>
      <c r="FG489" s="4"/>
      <c r="FH489" s="4"/>
      <c r="FI489" s="4"/>
      <c r="FJ489" s="4"/>
      <c r="FK489" s="654"/>
      <c r="FL489" s="655"/>
      <c r="FM489" s="4"/>
      <c r="FN489" s="4"/>
      <c r="FO489" s="4"/>
      <c r="FP489" s="4"/>
      <c r="FQ489" s="4"/>
      <c r="FR489" s="4"/>
      <c r="FS489" s="4"/>
      <c r="FT489" s="4"/>
      <c r="FU489" s="4"/>
      <c r="FV489" s="4"/>
      <c r="FW489" s="654"/>
      <c r="FX489" s="655"/>
      <c r="FY489" s="4"/>
      <c r="FZ489" s="4"/>
      <c r="GA489" s="4"/>
      <c r="GB489" s="4"/>
      <c r="GC489" s="4"/>
      <c r="GD489" s="4"/>
      <c r="GE489" s="4"/>
      <c r="GF489" s="4"/>
      <c r="GG489" s="4"/>
      <c r="GH489" s="4"/>
      <c r="GI489" s="654"/>
      <c r="GJ489" s="655"/>
      <c r="GK489" s="4"/>
      <c r="GL489" s="4"/>
      <c r="GM489" s="4"/>
      <c r="GN489" s="4"/>
      <c r="GO489" s="4"/>
      <c r="GP489" s="4"/>
      <c r="GQ489" s="4"/>
      <c r="GR489" s="4"/>
      <c r="GS489" s="4"/>
      <c r="GT489" s="4"/>
      <c r="GU489" s="722"/>
      <c r="GV489" s="715"/>
    </row>
    <row r="490" spans="1:204" x14ac:dyDescent="0.25">
      <c r="A490" t="s">
        <v>1845</v>
      </c>
      <c r="B490" s="2" t="s">
        <v>358</v>
      </c>
      <c r="C490" s="619">
        <v>44739</v>
      </c>
      <c r="D490" s="2" t="s">
        <v>1843</v>
      </c>
      <c r="E490" t="s">
        <v>59</v>
      </c>
      <c r="F490" s="2" t="s">
        <v>43</v>
      </c>
      <c r="G490" t="s">
        <v>40</v>
      </c>
      <c r="H490" s="690" t="s">
        <v>85</v>
      </c>
      <c r="I490" s="691" t="s">
        <v>43</v>
      </c>
      <c r="J490" s="721">
        <v>3780401000108</v>
      </c>
      <c r="K490" s="691" t="s">
        <v>348</v>
      </c>
      <c r="L490" s="721">
        <v>13777004000122</v>
      </c>
      <c r="M490" s="718" t="s">
        <v>3</v>
      </c>
      <c r="N490" s="717" t="s">
        <v>44</v>
      </c>
      <c r="O490" s="719">
        <v>44866</v>
      </c>
      <c r="P490" s="720">
        <v>44895</v>
      </c>
      <c r="Q490" s="718">
        <v>109.5</v>
      </c>
      <c r="R490" s="717">
        <v>5</v>
      </c>
      <c r="S490" s="691" t="s">
        <v>54</v>
      </c>
      <c r="T490" t="s">
        <v>358</v>
      </c>
      <c r="U490" s="673" t="s">
        <v>358</v>
      </c>
      <c r="V490" s="690" t="s">
        <v>358</v>
      </c>
      <c r="W490" s="657" t="s">
        <v>214</v>
      </c>
      <c r="X490" s="723"/>
      <c r="Y490" s="4"/>
      <c r="Z490" s="4"/>
      <c r="AA490" s="4"/>
      <c r="AB490" s="4"/>
      <c r="AC490" s="4"/>
      <c r="AD490" s="4"/>
      <c r="AE490" s="4"/>
      <c r="AF490" s="4"/>
      <c r="AG490" s="4"/>
      <c r="AH490" s="4">
        <v>5</v>
      </c>
      <c r="AI490" s="654"/>
      <c r="AJ490" s="655"/>
      <c r="AK490" s="4"/>
      <c r="AL490" s="4"/>
      <c r="AM490" s="4"/>
      <c r="AN490" s="4"/>
      <c r="AO490" s="4"/>
      <c r="AP490" s="4"/>
      <c r="AQ490" s="4"/>
      <c r="AR490" s="4"/>
      <c r="AS490" s="4"/>
      <c r="AT490" s="4"/>
      <c r="AU490" s="654"/>
      <c r="AV490" s="655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654"/>
      <c r="BH490" s="655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654"/>
      <c r="BT490" s="655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693"/>
      <c r="CF490" s="723"/>
      <c r="CG490" s="4"/>
      <c r="CH490" s="4"/>
      <c r="CI490" s="4"/>
      <c r="CJ490" s="4"/>
      <c r="CK490" s="4"/>
      <c r="CL490" s="4"/>
      <c r="CM490" s="4"/>
      <c r="CN490" s="4"/>
      <c r="CO490" s="4"/>
      <c r="CP490" s="4">
        <v>109.5</v>
      </c>
      <c r="CQ490" s="654"/>
      <c r="CR490" s="655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654"/>
      <c r="DD490" s="655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654"/>
      <c r="DP490" s="655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654"/>
      <c r="EB490" s="655"/>
      <c r="EC490" s="4"/>
      <c r="ED490" s="4"/>
      <c r="EE490" s="4"/>
      <c r="EF490" s="4"/>
      <c r="EG490" s="4"/>
      <c r="EH490" s="4"/>
      <c r="EI490" s="4"/>
      <c r="EJ490" s="4"/>
      <c r="EK490" s="4"/>
      <c r="EL490" s="4"/>
      <c r="EM490" s="693"/>
      <c r="EN490" s="723"/>
      <c r="EO490" s="4"/>
      <c r="EP490" s="4"/>
      <c r="EQ490" s="4"/>
      <c r="ER490" s="4"/>
      <c r="ES490" s="4"/>
      <c r="ET490" s="4"/>
      <c r="EU490" s="4"/>
      <c r="EV490" s="4"/>
      <c r="EW490" s="4"/>
      <c r="EX490" s="4">
        <v>109.5</v>
      </c>
      <c r="EY490" s="654"/>
      <c r="EZ490" s="655"/>
      <c r="FA490" s="4"/>
      <c r="FB490" s="4"/>
      <c r="FC490" s="4"/>
      <c r="FD490" s="4"/>
      <c r="FE490" s="4"/>
      <c r="FF490" s="4"/>
      <c r="FG490" s="4"/>
      <c r="FH490" s="4"/>
      <c r="FI490" s="4"/>
      <c r="FJ490" s="4"/>
      <c r="FK490" s="654"/>
      <c r="FL490" s="655"/>
      <c r="FM490" s="4"/>
      <c r="FN490" s="4"/>
      <c r="FO490" s="4"/>
      <c r="FP490" s="4"/>
      <c r="FQ490" s="4"/>
      <c r="FR490" s="4"/>
      <c r="FS490" s="4"/>
      <c r="FT490" s="4"/>
      <c r="FU490" s="4"/>
      <c r="FV490" s="4"/>
      <c r="FW490" s="654"/>
      <c r="FX490" s="655"/>
      <c r="FY490" s="4"/>
      <c r="FZ490" s="4"/>
      <c r="GA490" s="4"/>
      <c r="GB490" s="4"/>
      <c r="GC490" s="4"/>
      <c r="GD490" s="4"/>
      <c r="GE490" s="4"/>
      <c r="GF490" s="4"/>
      <c r="GG490" s="4"/>
      <c r="GH490" s="4"/>
      <c r="GI490" s="654"/>
      <c r="GJ490" s="655"/>
      <c r="GK490" s="4"/>
      <c r="GL490" s="4"/>
      <c r="GM490" s="4"/>
      <c r="GN490" s="4"/>
      <c r="GO490" s="4"/>
      <c r="GP490" s="4"/>
      <c r="GQ490" s="4"/>
      <c r="GR490" s="4"/>
      <c r="GS490" s="4"/>
      <c r="GT490" s="4"/>
      <c r="GU490" s="722"/>
      <c r="GV490" s="715"/>
    </row>
    <row r="491" spans="1:204" x14ac:dyDescent="0.25">
      <c r="A491" t="s">
        <v>1857</v>
      </c>
      <c r="B491" s="2" t="s">
        <v>358</v>
      </c>
      <c r="C491" s="619">
        <v>44740</v>
      </c>
      <c r="D491" s="2" t="s">
        <v>1846</v>
      </c>
      <c r="E491" t="s">
        <v>59</v>
      </c>
      <c r="F491" s="2" t="s">
        <v>43</v>
      </c>
      <c r="G491" t="s">
        <v>40</v>
      </c>
      <c r="H491" s="690" t="s">
        <v>85</v>
      </c>
      <c r="I491" s="691" t="s">
        <v>43</v>
      </c>
      <c r="J491" s="721">
        <v>3780401000108</v>
      </c>
      <c r="K491" s="691" t="s">
        <v>1854</v>
      </c>
      <c r="L491" s="721">
        <v>36537518000106</v>
      </c>
      <c r="M491" s="718" t="s">
        <v>3</v>
      </c>
      <c r="N491" s="717" t="s">
        <v>44</v>
      </c>
      <c r="O491" s="719">
        <v>44805</v>
      </c>
      <c r="P491" s="720">
        <v>44834</v>
      </c>
      <c r="Q491" s="718">
        <v>78</v>
      </c>
      <c r="R491" s="717">
        <v>3</v>
      </c>
      <c r="S491" s="691" t="s">
        <v>54</v>
      </c>
      <c r="T491" t="s">
        <v>358</v>
      </c>
      <c r="U491" s="673" t="s">
        <v>358</v>
      </c>
      <c r="V491" s="690" t="s">
        <v>358</v>
      </c>
      <c r="W491" s="657" t="s">
        <v>214</v>
      </c>
      <c r="X491" s="723"/>
      <c r="Y491" s="4"/>
      <c r="Z491" s="4"/>
      <c r="AA491" s="4"/>
      <c r="AB491" s="4"/>
      <c r="AC491" s="4"/>
      <c r="AD491" s="4"/>
      <c r="AE491" s="4"/>
      <c r="AF491" s="4">
        <v>3</v>
      </c>
      <c r="AG491" s="4"/>
      <c r="AH491" s="4"/>
      <c r="AI491" s="654"/>
      <c r="AJ491" s="655"/>
      <c r="AK491" s="4"/>
      <c r="AL491" s="4"/>
      <c r="AM491" s="4"/>
      <c r="AN491" s="4"/>
      <c r="AO491" s="4"/>
      <c r="AP491" s="4"/>
      <c r="AQ491" s="4"/>
      <c r="AR491" s="4"/>
      <c r="AS491" s="4"/>
      <c r="AT491" s="4"/>
      <c r="AU491" s="654"/>
      <c r="AV491" s="655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654"/>
      <c r="BH491" s="655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654"/>
      <c r="BT491" s="655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693"/>
      <c r="CF491" s="723"/>
      <c r="CG491" s="4"/>
      <c r="CH491" s="4"/>
      <c r="CI491" s="4"/>
      <c r="CJ491" s="4"/>
      <c r="CK491" s="4"/>
      <c r="CL491" s="4"/>
      <c r="CM491" s="4"/>
      <c r="CN491" s="4">
        <v>78</v>
      </c>
      <c r="CO491" s="4"/>
      <c r="CP491" s="4"/>
      <c r="CQ491" s="654"/>
      <c r="CR491" s="655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654"/>
      <c r="DD491" s="655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654"/>
      <c r="DP491" s="655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654"/>
      <c r="EB491" s="655"/>
      <c r="EC491" s="4"/>
      <c r="ED491" s="4"/>
      <c r="EE491" s="4"/>
      <c r="EF491" s="4"/>
      <c r="EG491" s="4"/>
      <c r="EH491" s="4"/>
      <c r="EI491" s="4"/>
      <c r="EJ491" s="4"/>
      <c r="EK491" s="4"/>
      <c r="EL491" s="4"/>
      <c r="EM491" s="693"/>
      <c r="EN491" s="723"/>
      <c r="EO491" s="4"/>
      <c r="EP491" s="4"/>
      <c r="EQ491" s="4"/>
      <c r="ER491" s="4"/>
      <c r="ES491" s="4"/>
      <c r="ET491" s="4"/>
      <c r="EU491" s="4"/>
      <c r="EV491" s="4">
        <v>78</v>
      </c>
      <c r="EW491" s="4"/>
      <c r="EX491" s="4"/>
      <c r="EY491" s="654"/>
      <c r="EZ491" s="655"/>
      <c r="FA491" s="4"/>
      <c r="FB491" s="4"/>
      <c r="FC491" s="4"/>
      <c r="FD491" s="4"/>
      <c r="FE491" s="4"/>
      <c r="FF491" s="4"/>
      <c r="FG491" s="4"/>
      <c r="FH491" s="4"/>
      <c r="FI491" s="4"/>
      <c r="FJ491" s="4"/>
      <c r="FK491" s="654"/>
      <c r="FL491" s="655"/>
      <c r="FM491" s="4"/>
      <c r="FN491" s="4"/>
      <c r="FO491" s="4"/>
      <c r="FP491" s="4"/>
      <c r="FQ491" s="4"/>
      <c r="FR491" s="4"/>
      <c r="FS491" s="4"/>
      <c r="FT491" s="4"/>
      <c r="FU491" s="4"/>
      <c r="FV491" s="4"/>
      <c r="FW491" s="654"/>
      <c r="FX491" s="655"/>
      <c r="FY491" s="4"/>
      <c r="FZ491" s="4"/>
      <c r="GA491" s="4"/>
      <c r="GB491" s="4"/>
      <c r="GC491" s="4"/>
      <c r="GD491" s="4"/>
      <c r="GE491" s="4"/>
      <c r="GF491" s="4"/>
      <c r="GG491" s="4"/>
      <c r="GH491" s="4"/>
      <c r="GI491" s="654"/>
      <c r="GJ491" s="655"/>
      <c r="GK491" s="4"/>
      <c r="GL491" s="4"/>
      <c r="GM491" s="4"/>
      <c r="GN491" s="4"/>
      <c r="GO491" s="4"/>
      <c r="GP491" s="4"/>
      <c r="GQ491" s="4"/>
      <c r="GR491" s="4"/>
      <c r="GS491" s="4"/>
      <c r="GT491" s="4"/>
      <c r="GU491" s="722"/>
      <c r="GV491" s="715"/>
    </row>
    <row r="492" spans="1:204" x14ac:dyDescent="0.25">
      <c r="A492" t="s">
        <v>1858</v>
      </c>
      <c r="B492" s="2" t="s">
        <v>358</v>
      </c>
      <c r="C492" s="619">
        <v>44740</v>
      </c>
      <c r="D492" s="2" t="s">
        <v>1847</v>
      </c>
      <c r="E492" t="s">
        <v>59</v>
      </c>
      <c r="F492" s="2" t="s">
        <v>43</v>
      </c>
      <c r="G492" t="s">
        <v>40</v>
      </c>
      <c r="H492" s="690" t="s">
        <v>85</v>
      </c>
      <c r="I492" s="691" t="s">
        <v>43</v>
      </c>
      <c r="J492" s="721">
        <v>3780401000108</v>
      </c>
      <c r="K492" s="691" t="s">
        <v>1855</v>
      </c>
      <c r="L492" s="721">
        <v>7794616000120</v>
      </c>
      <c r="M492" s="718" t="s">
        <v>3</v>
      </c>
      <c r="N492" s="717" t="s">
        <v>44</v>
      </c>
      <c r="O492" s="719">
        <v>44805</v>
      </c>
      <c r="P492" s="720">
        <v>44834</v>
      </c>
      <c r="Q492" s="718">
        <v>79</v>
      </c>
      <c r="R492" s="717">
        <v>2.4722219999999999</v>
      </c>
      <c r="S492" s="691" t="s">
        <v>54</v>
      </c>
      <c r="T492" t="s">
        <v>358</v>
      </c>
      <c r="U492" s="673" t="s">
        <v>358</v>
      </c>
      <c r="V492" s="690" t="s">
        <v>358</v>
      </c>
      <c r="W492" s="657" t="s">
        <v>214</v>
      </c>
      <c r="X492" s="723"/>
      <c r="Y492" s="4"/>
      <c r="Z492" s="4"/>
      <c r="AA492" s="4"/>
      <c r="AB492" s="4"/>
      <c r="AC492" s="4"/>
      <c r="AD492" s="4"/>
      <c r="AE492" s="4"/>
      <c r="AF492" s="4">
        <v>2.4722219999999999</v>
      </c>
      <c r="AG492" s="4"/>
      <c r="AH492" s="4"/>
      <c r="AI492" s="654"/>
      <c r="AJ492" s="655"/>
      <c r="AK492" s="4"/>
      <c r="AL492" s="4"/>
      <c r="AM492" s="4"/>
      <c r="AN492" s="4"/>
      <c r="AO492" s="4"/>
      <c r="AP492" s="4"/>
      <c r="AQ492" s="4"/>
      <c r="AR492" s="4"/>
      <c r="AS492" s="4"/>
      <c r="AT492" s="4"/>
      <c r="AU492" s="654"/>
      <c r="AV492" s="655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654"/>
      <c r="BH492" s="655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654"/>
      <c r="BT492" s="655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693"/>
      <c r="CF492" s="723"/>
      <c r="CG492" s="4"/>
      <c r="CH492" s="4"/>
      <c r="CI492" s="4"/>
      <c r="CJ492" s="4"/>
      <c r="CK492" s="4"/>
      <c r="CL492" s="4"/>
      <c r="CM492" s="4"/>
      <c r="CN492" s="4">
        <v>79</v>
      </c>
      <c r="CO492" s="4"/>
      <c r="CP492" s="4"/>
      <c r="CQ492" s="654"/>
      <c r="CR492" s="655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654"/>
      <c r="DD492" s="655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654"/>
      <c r="DP492" s="655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654"/>
      <c r="EB492" s="655"/>
      <c r="EC492" s="4"/>
      <c r="ED492" s="4"/>
      <c r="EE492" s="4"/>
      <c r="EF492" s="4"/>
      <c r="EG492" s="4"/>
      <c r="EH492" s="4"/>
      <c r="EI492" s="4"/>
      <c r="EJ492" s="4"/>
      <c r="EK492" s="4"/>
      <c r="EL492" s="4"/>
      <c r="EM492" s="693"/>
      <c r="EN492" s="723"/>
      <c r="EO492" s="4"/>
      <c r="EP492" s="4"/>
      <c r="EQ492" s="4"/>
      <c r="ER492" s="4"/>
      <c r="ES492" s="4"/>
      <c r="ET492" s="4"/>
      <c r="EU492" s="4"/>
      <c r="EV492" s="4">
        <v>79</v>
      </c>
      <c r="EW492" s="4"/>
      <c r="EX492" s="4"/>
      <c r="EY492" s="654"/>
      <c r="EZ492" s="655"/>
      <c r="FA492" s="4"/>
      <c r="FB492" s="4"/>
      <c r="FC492" s="4"/>
      <c r="FD492" s="4"/>
      <c r="FE492" s="4"/>
      <c r="FF492" s="4"/>
      <c r="FG492" s="4"/>
      <c r="FH492" s="4"/>
      <c r="FI492" s="4"/>
      <c r="FJ492" s="4"/>
      <c r="FK492" s="654"/>
      <c r="FL492" s="655"/>
      <c r="FM492" s="4"/>
      <c r="FN492" s="4"/>
      <c r="FO492" s="4"/>
      <c r="FP492" s="4"/>
      <c r="FQ492" s="4"/>
      <c r="FR492" s="4"/>
      <c r="FS492" s="4"/>
      <c r="FT492" s="4"/>
      <c r="FU492" s="4"/>
      <c r="FV492" s="4"/>
      <c r="FW492" s="654"/>
      <c r="FX492" s="655"/>
      <c r="FY492" s="4"/>
      <c r="FZ492" s="4"/>
      <c r="GA492" s="4"/>
      <c r="GB492" s="4"/>
      <c r="GC492" s="4"/>
      <c r="GD492" s="4"/>
      <c r="GE492" s="4"/>
      <c r="GF492" s="4"/>
      <c r="GG492" s="4"/>
      <c r="GH492" s="4"/>
      <c r="GI492" s="654"/>
      <c r="GJ492" s="655"/>
      <c r="GK492" s="4"/>
      <c r="GL492" s="4"/>
      <c r="GM492" s="4"/>
      <c r="GN492" s="4"/>
      <c r="GO492" s="4"/>
      <c r="GP492" s="4"/>
      <c r="GQ492" s="4"/>
      <c r="GR492" s="4"/>
      <c r="GS492" s="4"/>
      <c r="GT492" s="4"/>
      <c r="GU492" s="722"/>
      <c r="GV492" s="715"/>
    </row>
    <row r="493" spans="1:204" x14ac:dyDescent="0.25">
      <c r="A493" t="s">
        <v>1859</v>
      </c>
      <c r="B493" s="2" t="s">
        <v>358</v>
      </c>
      <c r="C493" s="619">
        <v>44740</v>
      </c>
      <c r="D493" s="2" t="s">
        <v>1848</v>
      </c>
      <c r="E493" t="s">
        <v>58</v>
      </c>
      <c r="F493" s="2" t="s">
        <v>43</v>
      </c>
      <c r="G493" t="s">
        <v>40</v>
      </c>
      <c r="H493" s="690" t="s">
        <v>84</v>
      </c>
      <c r="I493" s="691" t="s">
        <v>507</v>
      </c>
      <c r="J493" s="721">
        <v>11315117000180</v>
      </c>
      <c r="K493" s="691" t="s">
        <v>43</v>
      </c>
      <c r="L493" s="721">
        <v>3780401000108</v>
      </c>
      <c r="M493" s="718" t="s">
        <v>5</v>
      </c>
      <c r="N493" s="717" t="s">
        <v>44</v>
      </c>
      <c r="O493" s="719">
        <v>44713</v>
      </c>
      <c r="P493" s="720">
        <v>44742</v>
      </c>
      <c r="Q493" s="718">
        <v>31</v>
      </c>
      <c r="R493" s="717">
        <v>3</v>
      </c>
      <c r="S493" s="691" t="s">
        <v>92</v>
      </c>
      <c r="T493" t="s">
        <v>358</v>
      </c>
      <c r="U493" s="673" t="s">
        <v>358</v>
      </c>
      <c r="V493" s="690" t="s">
        <v>358</v>
      </c>
      <c r="W493" s="657" t="s">
        <v>214</v>
      </c>
      <c r="X493" s="723"/>
      <c r="Y493" s="4"/>
      <c r="Z493" s="4"/>
      <c r="AA493" s="4"/>
      <c r="AB493" s="4"/>
      <c r="AC493" s="4">
        <v>3</v>
      </c>
      <c r="AD493" s="4"/>
      <c r="AE493" s="4"/>
      <c r="AF493" s="4"/>
      <c r="AG493" s="4"/>
      <c r="AH493" s="4"/>
      <c r="AI493" s="654"/>
      <c r="AJ493" s="655"/>
      <c r="AK493" s="4"/>
      <c r="AL493" s="4"/>
      <c r="AM493" s="4"/>
      <c r="AN493" s="4"/>
      <c r="AO493" s="4"/>
      <c r="AP493" s="4"/>
      <c r="AQ493" s="4"/>
      <c r="AR493" s="4"/>
      <c r="AS493" s="4"/>
      <c r="AT493" s="4"/>
      <c r="AU493" s="654"/>
      <c r="AV493" s="655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654"/>
      <c r="BH493" s="655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654"/>
      <c r="BT493" s="655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693"/>
      <c r="CF493" s="723"/>
      <c r="CG493" s="4"/>
      <c r="CH493" s="4"/>
      <c r="CI493" s="4"/>
      <c r="CJ493" s="4"/>
      <c r="CK493" s="4">
        <v>31</v>
      </c>
      <c r="CL493" s="4"/>
      <c r="CM493" s="4"/>
      <c r="CN493" s="4"/>
      <c r="CO493" s="4"/>
      <c r="CP493" s="4"/>
      <c r="CQ493" s="654"/>
      <c r="CR493" s="655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654"/>
      <c r="DD493" s="655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654"/>
      <c r="DP493" s="655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654"/>
      <c r="EB493" s="655"/>
      <c r="EC493" s="4"/>
      <c r="ED493" s="4"/>
      <c r="EE493" s="4"/>
      <c r="EF493" s="4"/>
      <c r="EG493" s="4"/>
      <c r="EH493" s="4"/>
      <c r="EI493" s="4"/>
      <c r="EJ493" s="4"/>
      <c r="EK493" s="4"/>
      <c r="EL493" s="4"/>
      <c r="EM493" s="693"/>
      <c r="EN493" s="723"/>
      <c r="EO493" s="4"/>
      <c r="EP493" s="4"/>
      <c r="EQ493" s="4"/>
      <c r="ER493" s="4"/>
      <c r="ES493" s="4">
        <v>86.710000000000008</v>
      </c>
      <c r="ET493" s="4"/>
      <c r="EU493" s="4"/>
      <c r="EV493" s="4"/>
      <c r="EW493" s="4"/>
      <c r="EX493" s="4"/>
      <c r="EY493" s="654"/>
      <c r="EZ493" s="655"/>
      <c r="FA493" s="4"/>
      <c r="FB493" s="4"/>
      <c r="FC493" s="4"/>
      <c r="FD493" s="4"/>
      <c r="FE493" s="4"/>
      <c r="FF493" s="4"/>
      <c r="FG493" s="4"/>
      <c r="FH493" s="4"/>
      <c r="FI493" s="4"/>
      <c r="FJ493" s="4"/>
      <c r="FK493" s="654"/>
      <c r="FL493" s="655"/>
      <c r="FM493" s="4"/>
      <c r="FN493" s="4"/>
      <c r="FO493" s="4"/>
      <c r="FP493" s="4"/>
      <c r="FQ493" s="4"/>
      <c r="FR493" s="4"/>
      <c r="FS493" s="4"/>
      <c r="FT493" s="4"/>
      <c r="FU493" s="4"/>
      <c r="FV493" s="4"/>
      <c r="FW493" s="654"/>
      <c r="FX493" s="655"/>
      <c r="FY493" s="4"/>
      <c r="FZ493" s="4"/>
      <c r="GA493" s="4"/>
      <c r="GB493" s="4"/>
      <c r="GC493" s="4"/>
      <c r="GD493" s="4"/>
      <c r="GE493" s="4"/>
      <c r="GF493" s="4"/>
      <c r="GG493" s="4"/>
      <c r="GH493" s="4"/>
      <c r="GI493" s="654"/>
      <c r="GJ493" s="655"/>
      <c r="GK493" s="4"/>
      <c r="GL493" s="4"/>
      <c r="GM493" s="4"/>
      <c r="GN493" s="4"/>
      <c r="GO493" s="4"/>
      <c r="GP493" s="4"/>
      <c r="GQ493" s="4"/>
      <c r="GR493" s="4"/>
      <c r="GS493" s="4"/>
      <c r="GT493" s="4"/>
      <c r="GU493" s="722"/>
      <c r="GV493" s="715"/>
    </row>
    <row r="494" spans="1:204" x14ac:dyDescent="0.25">
      <c r="A494" t="s">
        <v>1860</v>
      </c>
      <c r="B494" s="2" t="s">
        <v>358</v>
      </c>
      <c r="C494" s="619">
        <v>44740</v>
      </c>
      <c r="D494" s="2" t="s">
        <v>1849</v>
      </c>
      <c r="E494" t="s">
        <v>59</v>
      </c>
      <c r="F494" s="2" t="s">
        <v>43</v>
      </c>
      <c r="G494" t="s">
        <v>40</v>
      </c>
      <c r="H494" s="690" t="s">
        <v>85</v>
      </c>
      <c r="I494" s="691" t="s">
        <v>43</v>
      </c>
      <c r="J494" s="721">
        <v>3780401000108</v>
      </c>
      <c r="K494" s="691" t="s">
        <v>1855</v>
      </c>
      <c r="L494" s="721">
        <v>7794616000120</v>
      </c>
      <c r="M494" s="718" t="s">
        <v>3</v>
      </c>
      <c r="N494" s="717" t="s">
        <v>44</v>
      </c>
      <c r="O494" s="719">
        <v>44805</v>
      </c>
      <c r="P494" s="720">
        <v>44834</v>
      </c>
      <c r="Q494" s="718">
        <v>79</v>
      </c>
      <c r="R494" s="717">
        <v>1</v>
      </c>
      <c r="S494" s="691" t="s">
        <v>54</v>
      </c>
      <c r="T494" t="s">
        <v>358</v>
      </c>
      <c r="U494" s="673" t="s">
        <v>358</v>
      </c>
      <c r="V494" s="690" t="s">
        <v>358</v>
      </c>
      <c r="W494" s="657" t="s">
        <v>214</v>
      </c>
      <c r="X494" s="723"/>
      <c r="Y494" s="4"/>
      <c r="Z494" s="4"/>
      <c r="AA494" s="4"/>
      <c r="AB494" s="4"/>
      <c r="AC494" s="4"/>
      <c r="AD494" s="4"/>
      <c r="AE494" s="4"/>
      <c r="AF494" s="4">
        <v>1</v>
      </c>
      <c r="AG494" s="4"/>
      <c r="AH494" s="4"/>
      <c r="AI494" s="654"/>
      <c r="AJ494" s="655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654"/>
      <c r="AV494" s="655"/>
      <c r="AW494" s="4"/>
      <c r="AX494" s="4"/>
      <c r="AY494" s="4"/>
      <c r="AZ494" s="4"/>
      <c r="BA494" s="4"/>
      <c r="BB494" s="4"/>
      <c r="BC494" s="4"/>
      <c r="BD494" s="4"/>
      <c r="BE494" s="4"/>
      <c r="BF494" s="4"/>
      <c r="BG494" s="654"/>
      <c r="BH494" s="655"/>
      <c r="BI494" s="4"/>
      <c r="BJ494" s="4"/>
      <c r="BK494" s="4"/>
      <c r="BL494" s="4"/>
      <c r="BM494" s="4"/>
      <c r="BN494" s="4"/>
      <c r="BO494" s="4"/>
      <c r="BP494" s="4"/>
      <c r="BQ494" s="4"/>
      <c r="BR494" s="4"/>
      <c r="BS494" s="654"/>
      <c r="BT494" s="655"/>
      <c r="BU494" s="4"/>
      <c r="BV494" s="4"/>
      <c r="BW494" s="4"/>
      <c r="BX494" s="4"/>
      <c r="BY494" s="4"/>
      <c r="BZ494" s="4"/>
      <c r="CA494" s="4"/>
      <c r="CB494" s="4"/>
      <c r="CC494" s="4"/>
      <c r="CD494" s="4"/>
      <c r="CE494" s="693"/>
      <c r="CF494" s="723"/>
      <c r="CG494" s="4"/>
      <c r="CH494" s="4"/>
      <c r="CI494" s="4"/>
      <c r="CJ494" s="4"/>
      <c r="CK494" s="4"/>
      <c r="CL494" s="4"/>
      <c r="CM494" s="4"/>
      <c r="CN494" s="4">
        <v>79</v>
      </c>
      <c r="CO494" s="4"/>
      <c r="CP494" s="4"/>
      <c r="CQ494" s="654"/>
      <c r="CR494" s="655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654"/>
      <c r="DD494" s="655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654"/>
      <c r="DP494" s="655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654"/>
      <c r="EB494" s="655"/>
      <c r="EC494" s="4"/>
      <c r="ED494" s="4"/>
      <c r="EE494" s="4"/>
      <c r="EF494" s="4"/>
      <c r="EG494" s="4"/>
      <c r="EH494" s="4"/>
      <c r="EI494" s="4"/>
      <c r="EJ494" s="4"/>
      <c r="EK494" s="4"/>
      <c r="EL494" s="4"/>
      <c r="EM494" s="693"/>
      <c r="EN494" s="723"/>
      <c r="EO494" s="4"/>
      <c r="EP494" s="4"/>
      <c r="EQ494" s="4"/>
      <c r="ER494" s="4"/>
      <c r="ES494" s="4"/>
      <c r="ET494" s="4"/>
      <c r="EU494" s="4"/>
      <c r="EV494" s="4">
        <v>79</v>
      </c>
      <c r="EW494" s="4"/>
      <c r="EX494" s="4"/>
      <c r="EY494" s="654"/>
      <c r="EZ494" s="655"/>
      <c r="FA494" s="4"/>
      <c r="FB494" s="4"/>
      <c r="FC494" s="4"/>
      <c r="FD494" s="4"/>
      <c r="FE494" s="4"/>
      <c r="FF494" s="4"/>
      <c r="FG494" s="4"/>
      <c r="FH494" s="4"/>
      <c r="FI494" s="4"/>
      <c r="FJ494" s="4"/>
      <c r="FK494" s="654"/>
      <c r="FL494" s="655"/>
      <c r="FM494" s="4"/>
      <c r="FN494" s="4"/>
      <c r="FO494" s="4"/>
      <c r="FP494" s="4"/>
      <c r="FQ494" s="4"/>
      <c r="FR494" s="4"/>
      <c r="FS494" s="4"/>
      <c r="FT494" s="4"/>
      <c r="FU494" s="4"/>
      <c r="FV494" s="4"/>
      <c r="FW494" s="654"/>
      <c r="FX494" s="655"/>
      <c r="FY494" s="4"/>
      <c r="FZ494" s="4"/>
      <c r="GA494" s="4"/>
      <c r="GB494" s="4"/>
      <c r="GC494" s="4"/>
      <c r="GD494" s="4"/>
      <c r="GE494" s="4"/>
      <c r="GF494" s="4"/>
      <c r="GG494" s="4"/>
      <c r="GH494" s="4"/>
      <c r="GI494" s="654"/>
      <c r="GJ494" s="655"/>
      <c r="GK494" s="4"/>
      <c r="GL494" s="4"/>
      <c r="GM494" s="4"/>
      <c r="GN494" s="4"/>
      <c r="GO494" s="4"/>
      <c r="GP494" s="4"/>
      <c r="GQ494" s="4"/>
      <c r="GR494" s="4"/>
      <c r="GS494" s="4"/>
      <c r="GT494" s="4"/>
      <c r="GU494" s="722"/>
      <c r="GV494" s="715"/>
    </row>
    <row r="495" spans="1:204" x14ac:dyDescent="0.25">
      <c r="A495" t="s">
        <v>1861</v>
      </c>
      <c r="B495" s="2" t="s">
        <v>358</v>
      </c>
      <c r="C495" s="619">
        <v>44740</v>
      </c>
      <c r="D495" s="2" t="s">
        <v>1850</v>
      </c>
      <c r="E495" t="s">
        <v>59</v>
      </c>
      <c r="F495" s="2" t="s">
        <v>43</v>
      </c>
      <c r="G495" t="s">
        <v>40</v>
      </c>
      <c r="H495" s="690" t="s">
        <v>85</v>
      </c>
      <c r="I495" s="691" t="s">
        <v>43</v>
      </c>
      <c r="J495" s="721">
        <v>3780401000108</v>
      </c>
      <c r="K495" s="691" t="s">
        <v>348</v>
      </c>
      <c r="L495" s="721">
        <v>13777004000122</v>
      </c>
      <c r="M495" s="718" t="s">
        <v>3</v>
      </c>
      <c r="N495" s="717" t="s">
        <v>44</v>
      </c>
      <c r="O495" s="719">
        <v>44866</v>
      </c>
      <c r="P495" s="720">
        <v>44895</v>
      </c>
      <c r="Q495" s="718">
        <v>104</v>
      </c>
      <c r="R495" s="717">
        <v>5</v>
      </c>
      <c r="S495" s="691" t="s">
        <v>54</v>
      </c>
      <c r="T495" t="s">
        <v>358</v>
      </c>
      <c r="U495" s="673" t="s">
        <v>358</v>
      </c>
      <c r="V495" s="690" t="s">
        <v>358</v>
      </c>
      <c r="W495" s="657" t="s">
        <v>214</v>
      </c>
      <c r="X495" s="723"/>
      <c r="Y495" s="4"/>
      <c r="Z495" s="4"/>
      <c r="AA495" s="4"/>
      <c r="AB495" s="4"/>
      <c r="AC495" s="4"/>
      <c r="AD495" s="4"/>
      <c r="AE495" s="4"/>
      <c r="AF495" s="4"/>
      <c r="AG495" s="4"/>
      <c r="AH495" s="4">
        <v>5</v>
      </c>
      <c r="AI495" s="654"/>
      <c r="AJ495" s="655"/>
      <c r="AK495" s="4"/>
      <c r="AL495" s="4"/>
      <c r="AM495" s="4"/>
      <c r="AN495" s="4"/>
      <c r="AO495" s="4"/>
      <c r="AP495" s="4"/>
      <c r="AQ495" s="4"/>
      <c r="AR495" s="4"/>
      <c r="AS495" s="4"/>
      <c r="AT495" s="4"/>
      <c r="AU495" s="654"/>
      <c r="AV495" s="655"/>
      <c r="AW495" s="4"/>
      <c r="AX495" s="4"/>
      <c r="AY495" s="4"/>
      <c r="AZ495" s="4"/>
      <c r="BA495" s="4"/>
      <c r="BB495" s="4"/>
      <c r="BC495" s="4"/>
      <c r="BD495" s="4"/>
      <c r="BE495" s="4"/>
      <c r="BF495" s="4"/>
      <c r="BG495" s="654"/>
      <c r="BH495" s="655"/>
      <c r="BI495" s="4"/>
      <c r="BJ495" s="4"/>
      <c r="BK495" s="4"/>
      <c r="BL495" s="4"/>
      <c r="BM495" s="4"/>
      <c r="BN495" s="4"/>
      <c r="BO495" s="4"/>
      <c r="BP495" s="4"/>
      <c r="BQ495" s="4"/>
      <c r="BR495" s="4"/>
      <c r="BS495" s="654"/>
      <c r="BT495" s="655"/>
      <c r="BU495" s="4"/>
      <c r="BV495" s="4"/>
      <c r="BW495" s="4"/>
      <c r="BX495" s="4"/>
      <c r="BY495" s="4"/>
      <c r="BZ495" s="4"/>
      <c r="CA495" s="4"/>
      <c r="CB495" s="4"/>
      <c r="CC495" s="4"/>
      <c r="CD495" s="4"/>
      <c r="CE495" s="693"/>
      <c r="CF495" s="723"/>
      <c r="CG495" s="4"/>
      <c r="CH495" s="4"/>
      <c r="CI495" s="4"/>
      <c r="CJ495" s="4"/>
      <c r="CK495" s="4"/>
      <c r="CL495" s="4"/>
      <c r="CM495" s="4"/>
      <c r="CN495" s="4"/>
      <c r="CO495" s="4"/>
      <c r="CP495" s="4">
        <v>104</v>
      </c>
      <c r="CQ495" s="654"/>
      <c r="CR495" s="655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654"/>
      <c r="DD495" s="655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654"/>
      <c r="DP495" s="655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654"/>
      <c r="EB495" s="655"/>
      <c r="EC495" s="4"/>
      <c r="ED495" s="4"/>
      <c r="EE495" s="4"/>
      <c r="EF495" s="4"/>
      <c r="EG495" s="4"/>
      <c r="EH495" s="4"/>
      <c r="EI495" s="4"/>
      <c r="EJ495" s="4"/>
      <c r="EK495" s="4"/>
      <c r="EL495" s="4"/>
      <c r="EM495" s="693"/>
      <c r="EN495" s="723"/>
      <c r="EO495" s="4"/>
      <c r="EP495" s="4"/>
      <c r="EQ495" s="4"/>
      <c r="ER495" s="4"/>
      <c r="ES495" s="4"/>
      <c r="ET495" s="4"/>
      <c r="EU495" s="4"/>
      <c r="EV495" s="4"/>
      <c r="EW495" s="4"/>
      <c r="EX495" s="4">
        <v>104</v>
      </c>
      <c r="EY495" s="654"/>
      <c r="EZ495" s="655"/>
      <c r="FA495" s="4"/>
      <c r="FB495" s="4"/>
      <c r="FC495" s="4"/>
      <c r="FD495" s="4"/>
      <c r="FE495" s="4"/>
      <c r="FF495" s="4"/>
      <c r="FG495" s="4"/>
      <c r="FH495" s="4"/>
      <c r="FI495" s="4"/>
      <c r="FJ495" s="4"/>
      <c r="FK495" s="654"/>
      <c r="FL495" s="655"/>
      <c r="FM495" s="4"/>
      <c r="FN495" s="4"/>
      <c r="FO495" s="4"/>
      <c r="FP495" s="4"/>
      <c r="FQ495" s="4"/>
      <c r="FR495" s="4"/>
      <c r="FS495" s="4"/>
      <c r="FT495" s="4"/>
      <c r="FU495" s="4"/>
      <c r="FV495" s="4"/>
      <c r="FW495" s="654"/>
      <c r="FX495" s="655"/>
      <c r="FY495" s="4"/>
      <c r="FZ495" s="4"/>
      <c r="GA495" s="4"/>
      <c r="GB495" s="4"/>
      <c r="GC495" s="4"/>
      <c r="GD495" s="4"/>
      <c r="GE495" s="4"/>
      <c r="GF495" s="4"/>
      <c r="GG495" s="4"/>
      <c r="GH495" s="4"/>
      <c r="GI495" s="654"/>
      <c r="GJ495" s="655"/>
      <c r="GK495" s="4"/>
      <c r="GL495" s="4"/>
      <c r="GM495" s="4"/>
      <c r="GN495" s="4"/>
      <c r="GO495" s="4"/>
      <c r="GP495" s="4"/>
      <c r="GQ495" s="4"/>
      <c r="GR495" s="4"/>
      <c r="GS495" s="4"/>
      <c r="GT495" s="4"/>
      <c r="GU495" s="722"/>
      <c r="GV495" s="715"/>
    </row>
    <row r="496" spans="1:204" x14ac:dyDescent="0.25">
      <c r="A496" t="s">
        <v>1862</v>
      </c>
      <c r="B496" s="2" t="s">
        <v>358</v>
      </c>
      <c r="C496" s="619">
        <v>44740</v>
      </c>
      <c r="D496" s="2" t="s">
        <v>1851</v>
      </c>
      <c r="E496" t="s">
        <v>58</v>
      </c>
      <c r="F496" s="2" t="s">
        <v>43</v>
      </c>
      <c r="G496" t="s">
        <v>40</v>
      </c>
      <c r="H496" s="690" t="s">
        <v>84</v>
      </c>
      <c r="I496" s="691" t="s">
        <v>1856</v>
      </c>
      <c r="J496" s="721">
        <v>49972326000170</v>
      </c>
      <c r="K496" s="691" t="s">
        <v>43</v>
      </c>
      <c r="L496" s="721">
        <v>3780401000108</v>
      </c>
      <c r="M496" s="718" t="s">
        <v>5</v>
      </c>
      <c r="N496" s="717" t="s">
        <v>44</v>
      </c>
      <c r="O496" s="719">
        <v>44713</v>
      </c>
      <c r="P496" s="720">
        <v>44742</v>
      </c>
      <c r="Q496" s="718">
        <v>30</v>
      </c>
      <c r="R496" s="717">
        <v>10</v>
      </c>
      <c r="S496" s="691" t="s">
        <v>92</v>
      </c>
      <c r="T496" t="s">
        <v>358</v>
      </c>
      <c r="U496" s="673" t="s">
        <v>358</v>
      </c>
      <c r="V496" s="690" t="s">
        <v>358</v>
      </c>
      <c r="W496" s="657" t="s">
        <v>214</v>
      </c>
      <c r="X496" s="723"/>
      <c r="Y496" s="4"/>
      <c r="Z496" s="4"/>
      <c r="AA496" s="4"/>
      <c r="AB496" s="4"/>
      <c r="AC496" s="4">
        <v>10</v>
      </c>
      <c r="AD496" s="4"/>
      <c r="AE496" s="4"/>
      <c r="AF496" s="4"/>
      <c r="AG496" s="4"/>
      <c r="AH496" s="4"/>
      <c r="AI496" s="654"/>
      <c r="AJ496" s="655"/>
      <c r="AK496" s="4"/>
      <c r="AL496" s="4"/>
      <c r="AM496" s="4"/>
      <c r="AN496" s="4"/>
      <c r="AO496" s="4"/>
      <c r="AP496" s="4"/>
      <c r="AQ496" s="4"/>
      <c r="AR496" s="4"/>
      <c r="AS496" s="4"/>
      <c r="AT496" s="4"/>
      <c r="AU496" s="654"/>
      <c r="AV496" s="655"/>
      <c r="AW496" s="4"/>
      <c r="AX496" s="4"/>
      <c r="AY496" s="4"/>
      <c r="AZ496" s="4"/>
      <c r="BA496" s="4"/>
      <c r="BB496" s="4"/>
      <c r="BC496" s="4"/>
      <c r="BD496" s="4"/>
      <c r="BE496" s="4"/>
      <c r="BF496" s="4"/>
      <c r="BG496" s="654"/>
      <c r="BH496" s="655"/>
      <c r="BI496" s="4"/>
      <c r="BJ496" s="4"/>
      <c r="BK496" s="4"/>
      <c r="BL496" s="4"/>
      <c r="BM496" s="4"/>
      <c r="BN496" s="4"/>
      <c r="BO496" s="4"/>
      <c r="BP496" s="4"/>
      <c r="BQ496" s="4"/>
      <c r="BR496" s="4"/>
      <c r="BS496" s="654"/>
      <c r="BT496" s="655"/>
      <c r="BU496" s="4"/>
      <c r="BV496" s="4"/>
      <c r="BW496" s="4"/>
      <c r="BX496" s="4"/>
      <c r="BY496" s="4"/>
      <c r="BZ496" s="4"/>
      <c r="CA496" s="4"/>
      <c r="CB496" s="4"/>
      <c r="CC496" s="4"/>
      <c r="CD496" s="4"/>
      <c r="CE496" s="693"/>
      <c r="CF496" s="723"/>
      <c r="CG496" s="4"/>
      <c r="CH496" s="4"/>
      <c r="CI496" s="4"/>
      <c r="CJ496" s="4"/>
      <c r="CK496" s="4">
        <v>30</v>
      </c>
      <c r="CL496" s="4"/>
      <c r="CM496" s="4"/>
      <c r="CN496" s="4"/>
      <c r="CO496" s="4"/>
      <c r="CP496" s="4"/>
      <c r="CQ496" s="654"/>
      <c r="CR496" s="655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654"/>
      <c r="DD496" s="655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654"/>
      <c r="DP496" s="655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654"/>
      <c r="EB496" s="655"/>
      <c r="EC496" s="4"/>
      <c r="ED496" s="4"/>
      <c r="EE496" s="4"/>
      <c r="EF496" s="4"/>
      <c r="EG496" s="4"/>
      <c r="EH496" s="4"/>
      <c r="EI496" s="4"/>
      <c r="EJ496" s="4"/>
      <c r="EK496" s="4"/>
      <c r="EL496" s="4"/>
      <c r="EM496" s="693"/>
      <c r="EN496" s="723"/>
      <c r="EO496" s="4"/>
      <c r="EP496" s="4"/>
      <c r="EQ496" s="4"/>
      <c r="ER496" s="4"/>
      <c r="ES496" s="4">
        <v>85.710000000000008</v>
      </c>
      <c r="ET496" s="4"/>
      <c r="EU496" s="4"/>
      <c r="EV496" s="4"/>
      <c r="EW496" s="4"/>
      <c r="EX496" s="4"/>
      <c r="EY496" s="654"/>
      <c r="EZ496" s="655"/>
      <c r="FA496" s="4"/>
      <c r="FB496" s="4"/>
      <c r="FC496" s="4"/>
      <c r="FD496" s="4"/>
      <c r="FE496" s="4"/>
      <c r="FF496" s="4"/>
      <c r="FG496" s="4"/>
      <c r="FH496" s="4"/>
      <c r="FI496" s="4"/>
      <c r="FJ496" s="4"/>
      <c r="FK496" s="654"/>
      <c r="FL496" s="655"/>
      <c r="FM496" s="4"/>
      <c r="FN496" s="4"/>
      <c r="FO496" s="4"/>
      <c r="FP496" s="4"/>
      <c r="FQ496" s="4"/>
      <c r="FR496" s="4"/>
      <c r="FS496" s="4"/>
      <c r="FT496" s="4"/>
      <c r="FU496" s="4"/>
      <c r="FV496" s="4"/>
      <c r="FW496" s="654"/>
      <c r="FX496" s="655"/>
      <c r="FY496" s="4"/>
      <c r="FZ496" s="4"/>
      <c r="GA496" s="4"/>
      <c r="GB496" s="4"/>
      <c r="GC496" s="4"/>
      <c r="GD496" s="4"/>
      <c r="GE496" s="4"/>
      <c r="GF496" s="4"/>
      <c r="GG496" s="4"/>
      <c r="GH496" s="4"/>
      <c r="GI496" s="654"/>
      <c r="GJ496" s="655"/>
      <c r="GK496" s="4"/>
      <c r="GL496" s="4"/>
      <c r="GM496" s="4"/>
      <c r="GN496" s="4"/>
      <c r="GO496" s="4"/>
      <c r="GP496" s="4"/>
      <c r="GQ496" s="4"/>
      <c r="GR496" s="4"/>
      <c r="GS496" s="4"/>
      <c r="GT496" s="4"/>
      <c r="GU496" s="722"/>
      <c r="GV496" s="715"/>
    </row>
    <row r="497" spans="1:204" x14ac:dyDescent="0.25">
      <c r="A497" t="s">
        <v>1863</v>
      </c>
      <c r="B497" s="2" t="s">
        <v>358</v>
      </c>
      <c r="C497" s="619">
        <v>44740</v>
      </c>
      <c r="D497" s="2" t="s">
        <v>1852</v>
      </c>
      <c r="E497" t="s">
        <v>59</v>
      </c>
      <c r="F497" s="2" t="s">
        <v>43</v>
      </c>
      <c r="G497" t="s">
        <v>40</v>
      </c>
      <c r="H497" s="690" t="s">
        <v>85</v>
      </c>
      <c r="I497" s="691" t="s">
        <v>43</v>
      </c>
      <c r="J497" s="721">
        <v>3780401000108</v>
      </c>
      <c r="K497" s="691" t="s">
        <v>1132</v>
      </c>
      <c r="L497" s="721">
        <v>26914969000161</v>
      </c>
      <c r="M497" s="718" t="s">
        <v>3</v>
      </c>
      <c r="N497" s="717" t="s">
        <v>44</v>
      </c>
      <c r="O497" s="719">
        <v>44835</v>
      </c>
      <c r="P497" s="720">
        <v>44865</v>
      </c>
      <c r="Q497" s="718">
        <v>101</v>
      </c>
      <c r="R497" s="717">
        <v>1</v>
      </c>
      <c r="S497" s="691" t="s">
        <v>54</v>
      </c>
      <c r="T497" t="s">
        <v>358</v>
      </c>
      <c r="U497" s="673" t="s">
        <v>358</v>
      </c>
      <c r="V497" s="690" t="s">
        <v>358</v>
      </c>
      <c r="W497" s="657" t="s">
        <v>214</v>
      </c>
      <c r="X497" s="723"/>
      <c r="Y497" s="4"/>
      <c r="Z497" s="4"/>
      <c r="AA497" s="4"/>
      <c r="AB497" s="4"/>
      <c r="AC497" s="4"/>
      <c r="AD497" s="4"/>
      <c r="AE497" s="4"/>
      <c r="AF497" s="4"/>
      <c r="AG497" s="4">
        <v>1</v>
      </c>
      <c r="AH497" s="4"/>
      <c r="AI497" s="654"/>
      <c r="AJ497" s="655"/>
      <c r="AK497" s="4"/>
      <c r="AL497" s="4"/>
      <c r="AM497" s="4"/>
      <c r="AN497" s="4"/>
      <c r="AO497" s="4"/>
      <c r="AP497" s="4"/>
      <c r="AQ497" s="4"/>
      <c r="AR497" s="4"/>
      <c r="AS497" s="4"/>
      <c r="AT497" s="4"/>
      <c r="AU497" s="654"/>
      <c r="AV497" s="655"/>
      <c r="AW497" s="4"/>
      <c r="AX497" s="4"/>
      <c r="AY497" s="4"/>
      <c r="AZ497" s="4"/>
      <c r="BA497" s="4"/>
      <c r="BB497" s="4"/>
      <c r="BC497" s="4"/>
      <c r="BD497" s="4"/>
      <c r="BE497" s="4"/>
      <c r="BF497" s="4"/>
      <c r="BG497" s="654"/>
      <c r="BH497" s="655"/>
      <c r="BI497" s="4"/>
      <c r="BJ497" s="4"/>
      <c r="BK497" s="4"/>
      <c r="BL497" s="4"/>
      <c r="BM497" s="4"/>
      <c r="BN497" s="4"/>
      <c r="BO497" s="4"/>
      <c r="BP497" s="4"/>
      <c r="BQ497" s="4"/>
      <c r="BR497" s="4"/>
      <c r="BS497" s="654"/>
      <c r="BT497" s="655"/>
      <c r="BU497" s="4"/>
      <c r="BV497" s="4"/>
      <c r="BW497" s="4"/>
      <c r="BX497" s="4"/>
      <c r="BY497" s="4"/>
      <c r="BZ497" s="4"/>
      <c r="CA497" s="4"/>
      <c r="CB497" s="4"/>
      <c r="CC497" s="4"/>
      <c r="CD497" s="4"/>
      <c r="CE497" s="693"/>
      <c r="CF497" s="723"/>
      <c r="CG497" s="4"/>
      <c r="CH497" s="4"/>
      <c r="CI497" s="4"/>
      <c r="CJ497" s="4"/>
      <c r="CK497" s="4"/>
      <c r="CL497" s="4"/>
      <c r="CM497" s="4"/>
      <c r="CN497" s="4"/>
      <c r="CO497" s="4">
        <v>101</v>
      </c>
      <c r="CP497" s="4"/>
      <c r="CQ497" s="654"/>
      <c r="CR497" s="655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654"/>
      <c r="DD497" s="655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654"/>
      <c r="DP497" s="655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654"/>
      <c r="EB497" s="655"/>
      <c r="EC497" s="4"/>
      <c r="ED497" s="4"/>
      <c r="EE497" s="4"/>
      <c r="EF497" s="4"/>
      <c r="EG497" s="4"/>
      <c r="EH497" s="4"/>
      <c r="EI497" s="4"/>
      <c r="EJ497" s="4"/>
      <c r="EK497" s="4"/>
      <c r="EL497" s="4"/>
      <c r="EM497" s="693"/>
      <c r="EN497" s="723"/>
      <c r="EO497" s="4"/>
      <c r="EP497" s="4"/>
      <c r="EQ497" s="4"/>
      <c r="ER497" s="4"/>
      <c r="ES497" s="4"/>
      <c r="ET497" s="4"/>
      <c r="EU497" s="4"/>
      <c r="EV497" s="4"/>
      <c r="EW497" s="4">
        <v>101</v>
      </c>
      <c r="EX497" s="4"/>
      <c r="EY497" s="654"/>
      <c r="EZ497" s="655"/>
      <c r="FA497" s="4"/>
      <c r="FB497" s="4"/>
      <c r="FC497" s="4"/>
      <c r="FD497" s="4"/>
      <c r="FE497" s="4"/>
      <c r="FF497" s="4"/>
      <c r="FG497" s="4"/>
      <c r="FH497" s="4"/>
      <c r="FI497" s="4"/>
      <c r="FJ497" s="4"/>
      <c r="FK497" s="654"/>
      <c r="FL497" s="655"/>
      <c r="FM497" s="4"/>
      <c r="FN497" s="4"/>
      <c r="FO497" s="4"/>
      <c r="FP497" s="4"/>
      <c r="FQ497" s="4"/>
      <c r="FR497" s="4"/>
      <c r="FS497" s="4"/>
      <c r="FT497" s="4"/>
      <c r="FU497" s="4"/>
      <c r="FV497" s="4"/>
      <c r="FW497" s="654"/>
      <c r="FX497" s="655"/>
      <c r="FY497" s="4"/>
      <c r="FZ497" s="4"/>
      <c r="GA497" s="4"/>
      <c r="GB497" s="4"/>
      <c r="GC497" s="4"/>
      <c r="GD497" s="4"/>
      <c r="GE497" s="4"/>
      <c r="GF497" s="4"/>
      <c r="GG497" s="4"/>
      <c r="GH497" s="4"/>
      <c r="GI497" s="654"/>
      <c r="GJ497" s="655"/>
      <c r="GK497" s="4"/>
      <c r="GL497" s="4"/>
      <c r="GM497" s="4"/>
      <c r="GN497" s="4"/>
      <c r="GO497" s="4"/>
      <c r="GP497" s="4"/>
      <c r="GQ497" s="4"/>
      <c r="GR497" s="4"/>
      <c r="GS497" s="4"/>
      <c r="GT497" s="4"/>
      <c r="GU497" s="722"/>
      <c r="GV497" s="715"/>
    </row>
    <row r="498" spans="1:204" x14ac:dyDescent="0.25">
      <c r="A498" t="s">
        <v>1864</v>
      </c>
      <c r="B498" s="2" t="s">
        <v>358</v>
      </c>
      <c r="C498" s="619">
        <v>44740</v>
      </c>
      <c r="D498" s="2" t="s">
        <v>1853</v>
      </c>
      <c r="E498" t="s">
        <v>59</v>
      </c>
      <c r="F498" s="2" t="s">
        <v>43</v>
      </c>
      <c r="G498" t="s">
        <v>40</v>
      </c>
      <c r="H498" s="690" t="s">
        <v>85</v>
      </c>
      <c r="I498" s="691" t="s">
        <v>43</v>
      </c>
      <c r="J498" s="721">
        <v>3780401000108</v>
      </c>
      <c r="K498" s="691" t="s">
        <v>474</v>
      </c>
      <c r="L498" s="721">
        <v>30483222000173</v>
      </c>
      <c r="M498" s="718" t="s">
        <v>3</v>
      </c>
      <c r="N498" s="717" t="s">
        <v>44</v>
      </c>
      <c r="O498" s="719">
        <v>44835</v>
      </c>
      <c r="P498" s="720">
        <v>44865</v>
      </c>
      <c r="Q498" s="718">
        <v>101</v>
      </c>
      <c r="R498" s="717">
        <v>3</v>
      </c>
      <c r="S498" s="691" t="s">
        <v>54</v>
      </c>
      <c r="T498" t="s">
        <v>358</v>
      </c>
      <c r="U498" s="673" t="s">
        <v>358</v>
      </c>
      <c r="V498" s="690" t="s">
        <v>358</v>
      </c>
      <c r="W498" s="657" t="s">
        <v>214</v>
      </c>
      <c r="X498" s="723"/>
      <c r="Y498" s="4"/>
      <c r="Z498" s="4"/>
      <c r="AA498" s="4"/>
      <c r="AB498" s="4"/>
      <c r="AC498" s="4"/>
      <c r="AD498" s="4"/>
      <c r="AE498" s="4"/>
      <c r="AF498" s="4"/>
      <c r="AG498" s="4">
        <v>3</v>
      </c>
      <c r="AH498" s="4"/>
      <c r="AI498" s="654"/>
      <c r="AJ498" s="655"/>
      <c r="AK498" s="4"/>
      <c r="AL498" s="4"/>
      <c r="AM498" s="4"/>
      <c r="AN498" s="4"/>
      <c r="AO498" s="4"/>
      <c r="AP498" s="4"/>
      <c r="AQ498" s="4"/>
      <c r="AR498" s="4"/>
      <c r="AS498" s="4"/>
      <c r="AT498" s="4"/>
      <c r="AU498" s="654"/>
      <c r="AV498" s="655"/>
      <c r="AW498" s="4"/>
      <c r="AX498" s="4"/>
      <c r="AY498" s="4"/>
      <c r="AZ498" s="4"/>
      <c r="BA498" s="4"/>
      <c r="BB498" s="4"/>
      <c r="BC498" s="4"/>
      <c r="BD498" s="4"/>
      <c r="BE498" s="4"/>
      <c r="BF498" s="4"/>
      <c r="BG498" s="654"/>
      <c r="BH498" s="655"/>
      <c r="BI498" s="4"/>
      <c r="BJ498" s="4"/>
      <c r="BK498" s="4"/>
      <c r="BL498" s="4"/>
      <c r="BM498" s="4"/>
      <c r="BN498" s="4"/>
      <c r="BO498" s="4"/>
      <c r="BP498" s="4"/>
      <c r="BQ498" s="4"/>
      <c r="BR498" s="4"/>
      <c r="BS498" s="654"/>
      <c r="BT498" s="655"/>
      <c r="BU498" s="4"/>
      <c r="BV498" s="4"/>
      <c r="BW498" s="4"/>
      <c r="BX498" s="4"/>
      <c r="BY498" s="4"/>
      <c r="BZ498" s="4"/>
      <c r="CA498" s="4"/>
      <c r="CB498" s="4"/>
      <c r="CC498" s="4"/>
      <c r="CD498" s="4"/>
      <c r="CE498" s="693"/>
      <c r="CF498" s="723"/>
      <c r="CG498" s="4"/>
      <c r="CH498" s="4"/>
      <c r="CI498" s="4"/>
      <c r="CJ498" s="4"/>
      <c r="CK498" s="4"/>
      <c r="CL498" s="4"/>
      <c r="CM498" s="4"/>
      <c r="CN498" s="4"/>
      <c r="CO498" s="4">
        <v>101</v>
      </c>
      <c r="CP498" s="4"/>
      <c r="CQ498" s="654"/>
      <c r="CR498" s="655"/>
      <c r="CS498" s="4"/>
      <c r="CT498" s="4"/>
      <c r="CU498" s="4"/>
      <c r="CV498" s="4"/>
      <c r="CW498" s="4"/>
      <c r="CX498" s="4"/>
      <c r="CY498" s="4"/>
      <c r="CZ498" s="4"/>
      <c r="DA498" s="4"/>
      <c r="DB498" s="4"/>
      <c r="DC498" s="654"/>
      <c r="DD498" s="655"/>
      <c r="DE498" s="4"/>
      <c r="DF498" s="4"/>
      <c r="DG498" s="4"/>
      <c r="DH498" s="4"/>
      <c r="DI498" s="4"/>
      <c r="DJ498" s="4"/>
      <c r="DK498" s="4"/>
      <c r="DL498" s="4"/>
      <c r="DM498" s="4"/>
      <c r="DN498" s="4"/>
      <c r="DO498" s="654"/>
      <c r="DP498" s="655"/>
      <c r="DQ498" s="4"/>
      <c r="DR498" s="4"/>
      <c r="DS498" s="4"/>
      <c r="DT498" s="4"/>
      <c r="DU498" s="4"/>
      <c r="DV498" s="4"/>
      <c r="DW498" s="4"/>
      <c r="DX498" s="4"/>
      <c r="DY498" s="4"/>
      <c r="DZ498" s="4"/>
      <c r="EA498" s="654"/>
      <c r="EB498" s="655"/>
      <c r="EC498" s="4"/>
      <c r="ED498" s="4"/>
      <c r="EE498" s="4"/>
      <c r="EF498" s="4"/>
      <c r="EG498" s="4"/>
      <c r="EH498" s="4"/>
      <c r="EI498" s="4"/>
      <c r="EJ498" s="4"/>
      <c r="EK498" s="4"/>
      <c r="EL498" s="4"/>
      <c r="EM498" s="693"/>
      <c r="EN498" s="723"/>
      <c r="EO498" s="4"/>
      <c r="EP498" s="4"/>
      <c r="EQ498" s="4"/>
      <c r="ER498" s="4"/>
      <c r="ES498" s="4"/>
      <c r="ET498" s="4"/>
      <c r="EU498" s="4"/>
      <c r="EV498" s="4"/>
      <c r="EW498" s="4">
        <v>101</v>
      </c>
      <c r="EX498" s="4"/>
      <c r="EY498" s="654"/>
      <c r="EZ498" s="655"/>
      <c r="FA498" s="4"/>
      <c r="FB498" s="4"/>
      <c r="FC498" s="4"/>
      <c r="FD498" s="4"/>
      <c r="FE498" s="4"/>
      <c r="FF498" s="4"/>
      <c r="FG498" s="4"/>
      <c r="FH498" s="4"/>
      <c r="FI498" s="4"/>
      <c r="FJ498" s="4"/>
      <c r="FK498" s="654"/>
      <c r="FL498" s="655"/>
      <c r="FM498" s="4"/>
      <c r="FN498" s="4"/>
      <c r="FO498" s="4"/>
      <c r="FP498" s="4"/>
      <c r="FQ498" s="4"/>
      <c r="FR498" s="4"/>
      <c r="FS498" s="4"/>
      <c r="FT498" s="4"/>
      <c r="FU498" s="4"/>
      <c r="FV498" s="4"/>
      <c r="FW498" s="654"/>
      <c r="FX498" s="655"/>
      <c r="FY498" s="4"/>
      <c r="FZ498" s="4"/>
      <c r="GA498" s="4"/>
      <c r="GB498" s="4"/>
      <c r="GC498" s="4"/>
      <c r="GD498" s="4"/>
      <c r="GE498" s="4"/>
      <c r="GF498" s="4"/>
      <c r="GG498" s="4"/>
      <c r="GH498" s="4"/>
      <c r="GI498" s="654"/>
      <c r="GJ498" s="655"/>
      <c r="GK498" s="4"/>
      <c r="GL498" s="4"/>
      <c r="GM498" s="4"/>
      <c r="GN498" s="4"/>
      <c r="GO498" s="4"/>
      <c r="GP498" s="4"/>
      <c r="GQ498" s="4"/>
      <c r="GR498" s="4"/>
      <c r="GS498" s="4"/>
      <c r="GT498" s="4"/>
      <c r="GU498" s="722"/>
      <c r="GV498" s="715"/>
    </row>
    <row r="499" spans="1:204" x14ac:dyDescent="0.25">
      <c r="A499" t="s">
        <v>1876</v>
      </c>
      <c r="B499" s="2" t="s">
        <v>358</v>
      </c>
      <c r="C499" s="619">
        <v>44741</v>
      </c>
      <c r="D499" s="2" t="s">
        <v>1865</v>
      </c>
      <c r="E499" t="s">
        <v>59</v>
      </c>
      <c r="F499" s="2" t="s">
        <v>43</v>
      </c>
      <c r="G499" t="s">
        <v>40</v>
      </c>
      <c r="H499" s="690" t="s">
        <v>85</v>
      </c>
      <c r="I499" s="691" t="s">
        <v>43</v>
      </c>
      <c r="J499" s="721">
        <v>3780401000108</v>
      </c>
      <c r="K499" s="691" t="s">
        <v>354</v>
      </c>
      <c r="L499" s="721">
        <v>8573833000153</v>
      </c>
      <c r="M499" s="718" t="s">
        <v>3</v>
      </c>
      <c r="N499" s="717" t="s">
        <v>44</v>
      </c>
      <c r="O499" s="719">
        <v>44866</v>
      </c>
      <c r="P499" s="720">
        <v>44895</v>
      </c>
      <c r="Q499" s="718">
        <v>98</v>
      </c>
      <c r="R499" s="717">
        <v>3</v>
      </c>
      <c r="S499" s="691" t="s">
        <v>54</v>
      </c>
      <c r="T499" t="s">
        <v>358</v>
      </c>
      <c r="U499" s="673" t="s">
        <v>358</v>
      </c>
      <c r="V499" s="690" t="s">
        <v>358</v>
      </c>
      <c r="W499" s="657" t="s">
        <v>214</v>
      </c>
      <c r="X499" s="723"/>
      <c r="Y499" s="4"/>
      <c r="Z499" s="4"/>
      <c r="AA499" s="4"/>
      <c r="AB499" s="4"/>
      <c r="AC499" s="4"/>
      <c r="AD499" s="4"/>
      <c r="AE499" s="4"/>
      <c r="AF499" s="4"/>
      <c r="AG499" s="4"/>
      <c r="AH499" s="4">
        <v>3</v>
      </c>
      <c r="AI499" s="654"/>
      <c r="AJ499" s="655"/>
      <c r="AK499" s="4"/>
      <c r="AL499" s="4"/>
      <c r="AM499" s="4"/>
      <c r="AN499" s="4"/>
      <c r="AO499" s="4"/>
      <c r="AP499" s="4"/>
      <c r="AQ499" s="4"/>
      <c r="AR499" s="4"/>
      <c r="AS499" s="4"/>
      <c r="AT499" s="4"/>
      <c r="AU499" s="654"/>
      <c r="AV499" s="655"/>
      <c r="AW499" s="4"/>
      <c r="AX499" s="4"/>
      <c r="AY499" s="4"/>
      <c r="AZ499" s="4"/>
      <c r="BA499" s="4"/>
      <c r="BB499" s="4"/>
      <c r="BC499" s="4"/>
      <c r="BD499" s="4"/>
      <c r="BE499" s="4"/>
      <c r="BF499" s="4"/>
      <c r="BG499" s="654"/>
      <c r="BH499" s="655"/>
      <c r="BI499" s="4"/>
      <c r="BJ499" s="4"/>
      <c r="BK499" s="4"/>
      <c r="BL499" s="4"/>
      <c r="BM499" s="4"/>
      <c r="BN499" s="4"/>
      <c r="BO499" s="4"/>
      <c r="BP499" s="4"/>
      <c r="BQ499" s="4"/>
      <c r="BR499" s="4"/>
      <c r="BS499" s="654"/>
      <c r="BT499" s="655"/>
      <c r="BU499" s="4"/>
      <c r="BV499" s="4"/>
      <c r="BW499" s="4"/>
      <c r="BX499" s="4"/>
      <c r="BY499" s="4"/>
      <c r="BZ499" s="4"/>
      <c r="CA499" s="4"/>
      <c r="CB499" s="4"/>
      <c r="CC499" s="4"/>
      <c r="CD499" s="4"/>
      <c r="CE499" s="693"/>
      <c r="CF499" s="723"/>
      <c r="CG499" s="4"/>
      <c r="CH499" s="4"/>
      <c r="CI499" s="4"/>
      <c r="CJ499" s="4"/>
      <c r="CK499" s="4"/>
      <c r="CL499" s="4"/>
      <c r="CM499" s="4"/>
      <c r="CN499" s="4"/>
      <c r="CO499" s="4"/>
      <c r="CP499" s="4">
        <v>98</v>
      </c>
      <c r="CQ499" s="654"/>
      <c r="CR499" s="655"/>
      <c r="CS499" s="4"/>
      <c r="CT499" s="4"/>
      <c r="CU499" s="4"/>
      <c r="CV499" s="4"/>
      <c r="CW499" s="4"/>
      <c r="CX499" s="4"/>
      <c r="CY499" s="4"/>
      <c r="CZ499" s="4"/>
      <c r="DA499" s="4"/>
      <c r="DB499" s="4"/>
      <c r="DC499" s="654"/>
      <c r="DD499" s="655"/>
      <c r="DE499" s="4"/>
      <c r="DF499" s="4"/>
      <c r="DG499" s="4"/>
      <c r="DH499" s="4"/>
      <c r="DI499" s="4"/>
      <c r="DJ499" s="4"/>
      <c r="DK499" s="4"/>
      <c r="DL499" s="4"/>
      <c r="DM499" s="4"/>
      <c r="DN499" s="4"/>
      <c r="DO499" s="654"/>
      <c r="DP499" s="655"/>
      <c r="DQ499" s="4"/>
      <c r="DR499" s="4"/>
      <c r="DS499" s="4"/>
      <c r="DT499" s="4"/>
      <c r="DU499" s="4"/>
      <c r="DV499" s="4"/>
      <c r="DW499" s="4"/>
      <c r="DX499" s="4"/>
      <c r="DY499" s="4"/>
      <c r="DZ499" s="4"/>
      <c r="EA499" s="654"/>
      <c r="EB499" s="655"/>
      <c r="EC499" s="4"/>
      <c r="ED499" s="4"/>
      <c r="EE499" s="4"/>
      <c r="EF499" s="4"/>
      <c r="EG499" s="4"/>
      <c r="EH499" s="4"/>
      <c r="EI499" s="4"/>
      <c r="EJ499" s="4"/>
      <c r="EK499" s="4"/>
      <c r="EL499" s="4"/>
      <c r="EM499" s="693"/>
      <c r="EN499" s="723"/>
      <c r="EO499" s="4"/>
      <c r="EP499" s="4"/>
      <c r="EQ499" s="4"/>
      <c r="ER499" s="4"/>
      <c r="ES499" s="4"/>
      <c r="ET499" s="4"/>
      <c r="EU499" s="4"/>
      <c r="EV499" s="4"/>
      <c r="EW499" s="4"/>
      <c r="EX499" s="4">
        <v>98</v>
      </c>
      <c r="EY499" s="654"/>
      <c r="EZ499" s="655"/>
      <c r="FA499" s="4"/>
      <c r="FB499" s="4"/>
      <c r="FC499" s="4"/>
      <c r="FD499" s="4"/>
      <c r="FE499" s="4"/>
      <c r="FF499" s="4"/>
      <c r="FG499" s="4"/>
      <c r="FH499" s="4"/>
      <c r="FI499" s="4"/>
      <c r="FJ499" s="4"/>
      <c r="FK499" s="654"/>
      <c r="FL499" s="655"/>
      <c r="FM499" s="4"/>
      <c r="FN499" s="4"/>
      <c r="FO499" s="4"/>
      <c r="FP499" s="4"/>
      <c r="FQ499" s="4"/>
      <c r="FR499" s="4"/>
      <c r="FS499" s="4"/>
      <c r="FT499" s="4"/>
      <c r="FU499" s="4"/>
      <c r="FV499" s="4"/>
      <c r="FW499" s="654"/>
      <c r="FX499" s="655"/>
      <c r="FY499" s="4"/>
      <c r="FZ499" s="4"/>
      <c r="GA499" s="4"/>
      <c r="GB499" s="4"/>
      <c r="GC499" s="4"/>
      <c r="GD499" s="4"/>
      <c r="GE499" s="4"/>
      <c r="GF499" s="4"/>
      <c r="GG499" s="4"/>
      <c r="GH499" s="4"/>
      <c r="GI499" s="654"/>
      <c r="GJ499" s="655"/>
      <c r="GK499" s="4"/>
      <c r="GL499" s="4"/>
      <c r="GM499" s="4"/>
      <c r="GN499" s="4"/>
      <c r="GO499" s="4"/>
      <c r="GP499" s="4"/>
      <c r="GQ499" s="4"/>
      <c r="GR499" s="4"/>
      <c r="GS499" s="4"/>
      <c r="GT499" s="4"/>
      <c r="GU499" s="722"/>
      <c r="GV499" s="715"/>
    </row>
    <row r="500" spans="1:204" x14ac:dyDescent="0.25">
      <c r="A500" t="s">
        <v>1877</v>
      </c>
      <c r="B500" s="2" t="s">
        <v>358</v>
      </c>
      <c r="C500" s="619">
        <v>44741</v>
      </c>
      <c r="D500" s="2" t="s">
        <v>1866</v>
      </c>
      <c r="E500" t="s">
        <v>59</v>
      </c>
      <c r="F500" s="2" t="s">
        <v>43</v>
      </c>
      <c r="G500" t="s">
        <v>40</v>
      </c>
      <c r="H500" s="690" t="s">
        <v>85</v>
      </c>
      <c r="I500" s="691" t="s">
        <v>43</v>
      </c>
      <c r="J500" s="721">
        <v>3780401000108</v>
      </c>
      <c r="K500" s="691" t="s">
        <v>508</v>
      </c>
      <c r="L500" s="721">
        <v>8773135000100</v>
      </c>
      <c r="M500" s="718" t="s">
        <v>3</v>
      </c>
      <c r="N500" s="717" t="s">
        <v>44</v>
      </c>
      <c r="O500" s="719">
        <v>44835</v>
      </c>
      <c r="P500" s="720">
        <v>44865</v>
      </c>
      <c r="Q500" s="718">
        <v>94</v>
      </c>
      <c r="R500" s="717">
        <v>3</v>
      </c>
      <c r="S500" s="691" t="s">
        <v>54</v>
      </c>
      <c r="T500" t="s">
        <v>358</v>
      </c>
      <c r="U500" s="673" t="s">
        <v>358</v>
      </c>
      <c r="V500" s="690" t="s">
        <v>358</v>
      </c>
      <c r="W500" s="657" t="s">
        <v>214</v>
      </c>
      <c r="X500" s="723"/>
      <c r="Y500" s="4"/>
      <c r="Z500" s="4"/>
      <c r="AA500" s="4"/>
      <c r="AB500" s="4"/>
      <c r="AC500" s="4"/>
      <c r="AD500" s="4"/>
      <c r="AE500" s="4"/>
      <c r="AF500" s="4"/>
      <c r="AG500" s="4">
        <v>3</v>
      </c>
      <c r="AH500" s="4"/>
      <c r="AI500" s="654"/>
      <c r="AJ500" s="655"/>
      <c r="AK500" s="4"/>
      <c r="AL500" s="4"/>
      <c r="AM500" s="4"/>
      <c r="AN500" s="4"/>
      <c r="AO500" s="4"/>
      <c r="AP500" s="4"/>
      <c r="AQ500" s="4"/>
      <c r="AR500" s="4"/>
      <c r="AS500" s="4"/>
      <c r="AT500" s="4"/>
      <c r="AU500" s="654"/>
      <c r="AV500" s="655"/>
      <c r="AW500" s="4"/>
      <c r="AX500" s="4"/>
      <c r="AY500" s="4"/>
      <c r="AZ500" s="4"/>
      <c r="BA500" s="4"/>
      <c r="BB500" s="4"/>
      <c r="BC500" s="4"/>
      <c r="BD500" s="4"/>
      <c r="BE500" s="4"/>
      <c r="BF500" s="4"/>
      <c r="BG500" s="654"/>
      <c r="BH500" s="655"/>
      <c r="BI500" s="4"/>
      <c r="BJ500" s="4"/>
      <c r="BK500" s="4"/>
      <c r="BL500" s="4"/>
      <c r="BM500" s="4"/>
      <c r="BN500" s="4"/>
      <c r="BO500" s="4"/>
      <c r="BP500" s="4"/>
      <c r="BQ500" s="4"/>
      <c r="BR500" s="4"/>
      <c r="BS500" s="654"/>
      <c r="BT500" s="655"/>
      <c r="BU500" s="4"/>
      <c r="BV500" s="4"/>
      <c r="BW500" s="4"/>
      <c r="BX500" s="4"/>
      <c r="BY500" s="4"/>
      <c r="BZ500" s="4"/>
      <c r="CA500" s="4"/>
      <c r="CB500" s="4"/>
      <c r="CC500" s="4"/>
      <c r="CD500" s="4"/>
      <c r="CE500" s="693"/>
      <c r="CF500" s="723"/>
      <c r="CG500" s="4"/>
      <c r="CH500" s="4"/>
      <c r="CI500" s="4"/>
      <c r="CJ500" s="4"/>
      <c r="CK500" s="4"/>
      <c r="CL500" s="4"/>
      <c r="CM500" s="4"/>
      <c r="CN500" s="4"/>
      <c r="CO500" s="4">
        <v>94</v>
      </c>
      <c r="CP500" s="4"/>
      <c r="CQ500" s="654"/>
      <c r="CR500" s="655"/>
      <c r="CS500" s="4"/>
      <c r="CT500" s="4"/>
      <c r="CU500" s="4"/>
      <c r="CV500" s="4"/>
      <c r="CW500" s="4"/>
      <c r="CX500" s="4"/>
      <c r="CY500" s="4"/>
      <c r="CZ500" s="4"/>
      <c r="DA500" s="4"/>
      <c r="DB500" s="4"/>
      <c r="DC500" s="654"/>
      <c r="DD500" s="655"/>
      <c r="DE500" s="4"/>
      <c r="DF500" s="4"/>
      <c r="DG500" s="4"/>
      <c r="DH500" s="4"/>
      <c r="DI500" s="4"/>
      <c r="DJ500" s="4"/>
      <c r="DK500" s="4"/>
      <c r="DL500" s="4"/>
      <c r="DM500" s="4"/>
      <c r="DN500" s="4"/>
      <c r="DO500" s="654"/>
      <c r="DP500" s="655"/>
      <c r="DQ500" s="4"/>
      <c r="DR500" s="4"/>
      <c r="DS500" s="4"/>
      <c r="DT500" s="4"/>
      <c r="DU500" s="4"/>
      <c r="DV500" s="4"/>
      <c r="DW500" s="4"/>
      <c r="DX500" s="4"/>
      <c r="DY500" s="4"/>
      <c r="DZ500" s="4"/>
      <c r="EA500" s="654"/>
      <c r="EB500" s="655"/>
      <c r="EC500" s="4"/>
      <c r="ED500" s="4"/>
      <c r="EE500" s="4"/>
      <c r="EF500" s="4"/>
      <c r="EG500" s="4"/>
      <c r="EH500" s="4"/>
      <c r="EI500" s="4"/>
      <c r="EJ500" s="4"/>
      <c r="EK500" s="4"/>
      <c r="EL500" s="4"/>
      <c r="EM500" s="693"/>
      <c r="EN500" s="723"/>
      <c r="EO500" s="4"/>
      <c r="EP500" s="4"/>
      <c r="EQ500" s="4"/>
      <c r="ER500" s="4"/>
      <c r="ES500" s="4"/>
      <c r="ET500" s="4"/>
      <c r="EU500" s="4"/>
      <c r="EV500" s="4"/>
      <c r="EW500" s="4">
        <v>94</v>
      </c>
      <c r="EX500" s="4"/>
      <c r="EY500" s="654"/>
      <c r="EZ500" s="655"/>
      <c r="FA500" s="4"/>
      <c r="FB500" s="4"/>
      <c r="FC500" s="4"/>
      <c r="FD500" s="4"/>
      <c r="FE500" s="4"/>
      <c r="FF500" s="4"/>
      <c r="FG500" s="4"/>
      <c r="FH500" s="4"/>
      <c r="FI500" s="4"/>
      <c r="FJ500" s="4"/>
      <c r="FK500" s="654"/>
      <c r="FL500" s="655"/>
      <c r="FM500" s="4"/>
      <c r="FN500" s="4"/>
      <c r="FO500" s="4"/>
      <c r="FP500" s="4"/>
      <c r="FQ500" s="4"/>
      <c r="FR500" s="4"/>
      <c r="FS500" s="4"/>
      <c r="FT500" s="4"/>
      <c r="FU500" s="4"/>
      <c r="FV500" s="4"/>
      <c r="FW500" s="654"/>
      <c r="FX500" s="655"/>
      <c r="FY500" s="4"/>
      <c r="FZ500" s="4"/>
      <c r="GA500" s="4"/>
      <c r="GB500" s="4"/>
      <c r="GC500" s="4"/>
      <c r="GD500" s="4"/>
      <c r="GE500" s="4"/>
      <c r="GF500" s="4"/>
      <c r="GG500" s="4"/>
      <c r="GH500" s="4"/>
      <c r="GI500" s="654"/>
      <c r="GJ500" s="655"/>
      <c r="GK500" s="4"/>
      <c r="GL500" s="4"/>
      <c r="GM500" s="4"/>
      <c r="GN500" s="4"/>
      <c r="GO500" s="4"/>
      <c r="GP500" s="4"/>
      <c r="GQ500" s="4"/>
      <c r="GR500" s="4"/>
      <c r="GS500" s="4"/>
      <c r="GT500" s="4"/>
      <c r="GU500" s="722"/>
      <c r="GV500" s="715"/>
    </row>
    <row r="501" spans="1:204" x14ac:dyDescent="0.25">
      <c r="A501" t="s">
        <v>1878</v>
      </c>
      <c r="B501" s="2" t="s">
        <v>358</v>
      </c>
      <c r="C501" s="619">
        <v>44741</v>
      </c>
      <c r="D501" s="2" t="s">
        <v>1867</v>
      </c>
      <c r="E501" t="s">
        <v>59</v>
      </c>
      <c r="F501" s="2" t="s">
        <v>43</v>
      </c>
      <c r="G501" t="s">
        <v>40</v>
      </c>
      <c r="H501" s="690" t="s">
        <v>85</v>
      </c>
      <c r="I501" s="691" t="s">
        <v>43</v>
      </c>
      <c r="J501" s="721">
        <v>3780401000108</v>
      </c>
      <c r="K501" s="691" t="s">
        <v>508</v>
      </c>
      <c r="L501" s="721">
        <v>8773135000100</v>
      </c>
      <c r="M501" s="718" t="s">
        <v>3</v>
      </c>
      <c r="N501" s="717" t="s">
        <v>44</v>
      </c>
      <c r="O501" s="719">
        <v>44866</v>
      </c>
      <c r="P501" s="720">
        <v>44895</v>
      </c>
      <c r="Q501" s="718">
        <v>98</v>
      </c>
      <c r="R501" s="717">
        <v>3</v>
      </c>
      <c r="S501" s="691" t="s">
        <v>54</v>
      </c>
      <c r="T501" t="s">
        <v>358</v>
      </c>
      <c r="U501" s="673" t="s">
        <v>358</v>
      </c>
      <c r="V501" s="690" t="s">
        <v>358</v>
      </c>
      <c r="W501" s="657" t="s">
        <v>214</v>
      </c>
      <c r="X501" s="723"/>
      <c r="Y501" s="4"/>
      <c r="Z501" s="4"/>
      <c r="AA501" s="4"/>
      <c r="AB501" s="4"/>
      <c r="AC501" s="4"/>
      <c r="AD501" s="4"/>
      <c r="AE501" s="4"/>
      <c r="AF501" s="4"/>
      <c r="AG501" s="4"/>
      <c r="AH501" s="4">
        <v>3</v>
      </c>
      <c r="AI501" s="654"/>
      <c r="AJ501" s="655"/>
      <c r="AK501" s="4"/>
      <c r="AL501" s="4"/>
      <c r="AM501" s="4"/>
      <c r="AN501" s="4"/>
      <c r="AO501" s="4"/>
      <c r="AP501" s="4"/>
      <c r="AQ501" s="4"/>
      <c r="AR501" s="4"/>
      <c r="AS501" s="4"/>
      <c r="AT501" s="4"/>
      <c r="AU501" s="654"/>
      <c r="AV501" s="655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654"/>
      <c r="BH501" s="655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654"/>
      <c r="BT501" s="655"/>
      <c r="BU501" s="4"/>
      <c r="BV501" s="4"/>
      <c r="BW501" s="4"/>
      <c r="BX501" s="4"/>
      <c r="BY501" s="4"/>
      <c r="BZ501" s="4"/>
      <c r="CA501" s="4"/>
      <c r="CB501" s="4"/>
      <c r="CC501" s="4"/>
      <c r="CD501" s="4"/>
      <c r="CE501" s="693"/>
      <c r="CF501" s="723"/>
      <c r="CG501" s="4"/>
      <c r="CH501" s="4"/>
      <c r="CI501" s="4"/>
      <c r="CJ501" s="4"/>
      <c r="CK501" s="4"/>
      <c r="CL501" s="4"/>
      <c r="CM501" s="4"/>
      <c r="CN501" s="4"/>
      <c r="CO501" s="4"/>
      <c r="CP501" s="4">
        <v>98</v>
      </c>
      <c r="CQ501" s="654"/>
      <c r="CR501" s="655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654"/>
      <c r="DD501" s="655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654"/>
      <c r="DP501" s="655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654"/>
      <c r="EB501" s="655"/>
      <c r="EC501" s="4"/>
      <c r="ED501" s="4"/>
      <c r="EE501" s="4"/>
      <c r="EF501" s="4"/>
      <c r="EG501" s="4"/>
      <c r="EH501" s="4"/>
      <c r="EI501" s="4"/>
      <c r="EJ501" s="4"/>
      <c r="EK501" s="4"/>
      <c r="EL501" s="4"/>
      <c r="EM501" s="693"/>
      <c r="EN501" s="723"/>
      <c r="EO501" s="4"/>
      <c r="EP501" s="4"/>
      <c r="EQ501" s="4"/>
      <c r="ER501" s="4"/>
      <c r="ES501" s="4"/>
      <c r="ET501" s="4"/>
      <c r="EU501" s="4"/>
      <c r="EV501" s="4"/>
      <c r="EW501" s="4"/>
      <c r="EX501" s="4">
        <v>98</v>
      </c>
      <c r="EY501" s="654"/>
      <c r="EZ501" s="655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654"/>
      <c r="FL501" s="655"/>
      <c r="FM501" s="4"/>
      <c r="FN501" s="4"/>
      <c r="FO501" s="4"/>
      <c r="FP501" s="4"/>
      <c r="FQ501" s="4"/>
      <c r="FR501" s="4"/>
      <c r="FS501" s="4"/>
      <c r="FT501" s="4"/>
      <c r="FU501" s="4"/>
      <c r="FV501" s="4"/>
      <c r="FW501" s="654"/>
      <c r="FX501" s="655"/>
      <c r="FY501" s="4"/>
      <c r="FZ501" s="4"/>
      <c r="GA501" s="4"/>
      <c r="GB501" s="4"/>
      <c r="GC501" s="4"/>
      <c r="GD501" s="4"/>
      <c r="GE501" s="4"/>
      <c r="GF501" s="4"/>
      <c r="GG501" s="4"/>
      <c r="GH501" s="4"/>
      <c r="GI501" s="654"/>
      <c r="GJ501" s="655"/>
      <c r="GK501" s="4"/>
      <c r="GL501" s="4"/>
      <c r="GM501" s="4"/>
      <c r="GN501" s="4"/>
      <c r="GO501" s="4"/>
      <c r="GP501" s="4"/>
      <c r="GQ501" s="4"/>
      <c r="GR501" s="4"/>
      <c r="GS501" s="4"/>
      <c r="GT501" s="4"/>
      <c r="GU501" s="722"/>
      <c r="GV501" s="715"/>
    </row>
    <row r="502" spans="1:204" x14ac:dyDescent="0.25">
      <c r="A502" t="s">
        <v>1879</v>
      </c>
      <c r="B502" s="2" t="s">
        <v>358</v>
      </c>
      <c r="C502" s="619">
        <v>44741</v>
      </c>
      <c r="D502" s="2" t="s">
        <v>1868</v>
      </c>
      <c r="E502" t="s">
        <v>59</v>
      </c>
      <c r="F502" s="2" t="s">
        <v>43</v>
      </c>
      <c r="G502" t="s">
        <v>40</v>
      </c>
      <c r="H502" s="690" t="s">
        <v>85</v>
      </c>
      <c r="I502" s="691" t="s">
        <v>43</v>
      </c>
      <c r="J502" s="721">
        <v>3780401000108</v>
      </c>
      <c r="K502" s="691" t="s">
        <v>405</v>
      </c>
      <c r="L502" s="721">
        <v>58177643000195</v>
      </c>
      <c r="M502" s="718" t="s">
        <v>3</v>
      </c>
      <c r="N502" s="717" t="s">
        <v>44</v>
      </c>
      <c r="O502" s="719">
        <v>44835</v>
      </c>
      <c r="P502" s="720">
        <v>44865</v>
      </c>
      <c r="Q502" s="718">
        <v>93</v>
      </c>
      <c r="R502" s="717">
        <v>3</v>
      </c>
      <c r="S502" s="691" t="s">
        <v>54</v>
      </c>
      <c r="T502" t="s">
        <v>358</v>
      </c>
      <c r="U502" s="673" t="s">
        <v>358</v>
      </c>
      <c r="V502" s="690" t="s">
        <v>358</v>
      </c>
      <c r="W502" s="657" t="s">
        <v>214</v>
      </c>
      <c r="X502" s="723"/>
      <c r="Y502" s="4"/>
      <c r="Z502" s="4"/>
      <c r="AA502" s="4"/>
      <c r="AB502" s="4"/>
      <c r="AC502" s="4"/>
      <c r="AD502" s="4"/>
      <c r="AE502" s="4"/>
      <c r="AF502" s="4"/>
      <c r="AG502" s="4">
        <v>3</v>
      </c>
      <c r="AH502" s="4"/>
      <c r="AI502" s="654"/>
      <c r="AJ502" s="655"/>
      <c r="AK502" s="4"/>
      <c r="AL502" s="4"/>
      <c r="AM502" s="4"/>
      <c r="AN502" s="4"/>
      <c r="AO502" s="4"/>
      <c r="AP502" s="4"/>
      <c r="AQ502" s="4"/>
      <c r="AR502" s="4"/>
      <c r="AS502" s="4"/>
      <c r="AT502" s="4"/>
      <c r="AU502" s="654"/>
      <c r="AV502" s="655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654"/>
      <c r="BH502" s="655"/>
      <c r="BI502" s="4"/>
      <c r="BJ502" s="4"/>
      <c r="BK502" s="4"/>
      <c r="BL502" s="4"/>
      <c r="BM502" s="4"/>
      <c r="BN502" s="4"/>
      <c r="BO502" s="4"/>
      <c r="BP502" s="4"/>
      <c r="BQ502" s="4"/>
      <c r="BR502" s="4"/>
      <c r="BS502" s="654"/>
      <c r="BT502" s="655"/>
      <c r="BU502" s="4"/>
      <c r="BV502" s="4"/>
      <c r="BW502" s="4"/>
      <c r="BX502" s="4"/>
      <c r="BY502" s="4"/>
      <c r="BZ502" s="4"/>
      <c r="CA502" s="4"/>
      <c r="CB502" s="4"/>
      <c r="CC502" s="4"/>
      <c r="CD502" s="4"/>
      <c r="CE502" s="693"/>
      <c r="CF502" s="723"/>
      <c r="CG502" s="4"/>
      <c r="CH502" s="4"/>
      <c r="CI502" s="4"/>
      <c r="CJ502" s="4"/>
      <c r="CK502" s="4"/>
      <c r="CL502" s="4"/>
      <c r="CM502" s="4"/>
      <c r="CN502" s="4"/>
      <c r="CO502" s="4">
        <v>93</v>
      </c>
      <c r="CP502" s="4"/>
      <c r="CQ502" s="654"/>
      <c r="CR502" s="655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654"/>
      <c r="DD502" s="655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654"/>
      <c r="DP502" s="655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654"/>
      <c r="EB502" s="655"/>
      <c r="EC502" s="4"/>
      <c r="ED502" s="4"/>
      <c r="EE502" s="4"/>
      <c r="EF502" s="4"/>
      <c r="EG502" s="4"/>
      <c r="EH502" s="4"/>
      <c r="EI502" s="4"/>
      <c r="EJ502" s="4"/>
      <c r="EK502" s="4"/>
      <c r="EL502" s="4"/>
      <c r="EM502" s="693"/>
      <c r="EN502" s="723"/>
      <c r="EO502" s="4"/>
      <c r="EP502" s="4"/>
      <c r="EQ502" s="4"/>
      <c r="ER502" s="4"/>
      <c r="ES502" s="4"/>
      <c r="ET502" s="4"/>
      <c r="EU502" s="4"/>
      <c r="EV502" s="4"/>
      <c r="EW502" s="4">
        <v>93</v>
      </c>
      <c r="EX502" s="4"/>
      <c r="EY502" s="654"/>
      <c r="EZ502" s="655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654"/>
      <c r="FL502" s="655"/>
      <c r="FM502" s="4"/>
      <c r="FN502" s="4"/>
      <c r="FO502" s="4"/>
      <c r="FP502" s="4"/>
      <c r="FQ502" s="4"/>
      <c r="FR502" s="4"/>
      <c r="FS502" s="4"/>
      <c r="FT502" s="4"/>
      <c r="FU502" s="4"/>
      <c r="FV502" s="4"/>
      <c r="FW502" s="654"/>
      <c r="FX502" s="655"/>
      <c r="FY502" s="4"/>
      <c r="FZ502" s="4"/>
      <c r="GA502" s="4"/>
      <c r="GB502" s="4"/>
      <c r="GC502" s="4"/>
      <c r="GD502" s="4"/>
      <c r="GE502" s="4"/>
      <c r="GF502" s="4"/>
      <c r="GG502" s="4"/>
      <c r="GH502" s="4"/>
      <c r="GI502" s="654"/>
      <c r="GJ502" s="655"/>
      <c r="GK502" s="4"/>
      <c r="GL502" s="4"/>
      <c r="GM502" s="4"/>
      <c r="GN502" s="4"/>
      <c r="GO502" s="4"/>
      <c r="GP502" s="4"/>
      <c r="GQ502" s="4"/>
      <c r="GR502" s="4"/>
      <c r="GS502" s="4"/>
      <c r="GT502" s="4"/>
      <c r="GU502" s="722"/>
      <c r="GV502" s="715"/>
    </row>
    <row r="503" spans="1:204" x14ac:dyDescent="0.25">
      <c r="A503" t="s">
        <v>1880</v>
      </c>
      <c r="B503" s="2" t="s">
        <v>358</v>
      </c>
      <c r="C503" s="619">
        <v>44741</v>
      </c>
      <c r="D503" s="2" t="s">
        <v>1869</v>
      </c>
      <c r="E503" t="s">
        <v>58</v>
      </c>
      <c r="F503" s="2" t="s">
        <v>43</v>
      </c>
      <c r="G503" t="s">
        <v>40</v>
      </c>
      <c r="H503" s="690" t="s">
        <v>84</v>
      </c>
      <c r="I503" s="691" t="s">
        <v>467</v>
      </c>
      <c r="J503" s="721">
        <v>25099255000184</v>
      </c>
      <c r="K503" s="691" t="s">
        <v>43</v>
      </c>
      <c r="L503" s="721">
        <v>3780401000108</v>
      </c>
      <c r="M503" s="718" t="s">
        <v>5</v>
      </c>
      <c r="N503" s="717" t="s">
        <v>44</v>
      </c>
      <c r="O503" s="719">
        <v>44713</v>
      </c>
      <c r="P503" s="720">
        <v>44742</v>
      </c>
      <c r="Q503" s="718">
        <v>30.5</v>
      </c>
      <c r="R503" s="717">
        <v>9</v>
      </c>
      <c r="S503" s="691" t="s">
        <v>92</v>
      </c>
      <c r="T503" t="s">
        <v>358</v>
      </c>
      <c r="U503" s="673" t="s">
        <v>358</v>
      </c>
      <c r="V503" s="690" t="s">
        <v>358</v>
      </c>
      <c r="W503" s="657" t="s">
        <v>214</v>
      </c>
      <c r="X503" s="723"/>
      <c r="Y503" s="4"/>
      <c r="Z503" s="4"/>
      <c r="AA503" s="4"/>
      <c r="AB503" s="4"/>
      <c r="AC503" s="4">
        <v>9</v>
      </c>
      <c r="AD503" s="4"/>
      <c r="AE503" s="4"/>
      <c r="AF503" s="4"/>
      <c r="AG503" s="4"/>
      <c r="AH503" s="4"/>
      <c r="AI503" s="654"/>
      <c r="AJ503" s="655"/>
      <c r="AK503" s="4"/>
      <c r="AL503" s="4"/>
      <c r="AM503" s="4"/>
      <c r="AN503" s="4"/>
      <c r="AO503" s="4"/>
      <c r="AP503" s="4"/>
      <c r="AQ503" s="4"/>
      <c r="AR503" s="4"/>
      <c r="AS503" s="4"/>
      <c r="AT503" s="4"/>
      <c r="AU503" s="654"/>
      <c r="AV503" s="655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654"/>
      <c r="BH503" s="655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654"/>
      <c r="BT503" s="655"/>
      <c r="BU503" s="4"/>
      <c r="BV503" s="4"/>
      <c r="BW503" s="4"/>
      <c r="BX503" s="4"/>
      <c r="BY503" s="4"/>
      <c r="BZ503" s="4"/>
      <c r="CA503" s="4"/>
      <c r="CB503" s="4"/>
      <c r="CC503" s="4"/>
      <c r="CD503" s="4"/>
      <c r="CE503" s="693"/>
      <c r="CF503" s="723"/>
      <c r="CG503" s="4"/>
      <c r="CH503" s="4"/>
      <c r="CI503" s="4"/>
      <c r="CJ503" s="4"/>
      <c r="CK503" s="4">
        <v>30.5</v>
      </c>
      <c r="CL503" s="4"/>
      <c r="CM503" s="4"/>
      <c r="CN503" s="4"/>
      <c r="CO503" s="4"/>
      <c r="CP503" s="4"/>
      <c r="CQ503" s="654"/>
      <c r="CR503" s="655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654"/>
      <c r="DD503" s="655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654"/>
      <c r="DP503" s="655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654"/>
      <c r="EB503" s="655"/>
      <c r="EC503" s="4"/>
      <c r="ED503" s="4"/>
      <c r="EE503" s="4"/>
      <c r="EF503" s="4"/>
      <c r="EG503" s="4"/>
      <c r="EH503" s="4"/>
      <c r="EI503" s="4"/>
      <c r="EJ503" s="4"/>
      <c r="EK503" s="4"/>
      <c r="EL503" s="4"/>
      <c r="EM503" s="693"/>
      <c r="EN503" s="723"/>
      <c r="EO503" s="4"/>
      <c r="EP503" s="4"/>
      <c r="EQ503" s="4"/>
      <c r="ER503" s="4"/>
      <c r="ES503" s="4">
        <v>86.210000000000008</v>
      </c>
      <c r="ET503" s="4"/>
      <c r="EU503" s="4"/>
      <c r="EV503" s="4"/>
      <c r="EW503" s="4"/>
      <c r="EX503" s="4"/>
      <c r="EY503" s="654"/>
      <c r="EZ503" s="655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654"/>
      <c r="FL503" s="655"/>
      <c r="FM503" s="4"/>
      <c r="FN503" s="4"/>
      <c r="FO503" s="4"/>
      <c r="FP503" s="4"/>
      <c r="FQ503" s="4"/>
      <c r="FR503" s="4"/>
      <c r="FS503" s="4"/>
      <c r="FT503" s="4"/>
      <c r="FU503" s="4"/>
      <c r="FV503" s="4"/>
      <c r="FW503" s="654"/>
      <c r="FX503" s="655"/>
      <c r="FY503" s="4"/>
      <c r="FZ503" s="4"/>
      <c r="GA503" s="4"/>
      <c r="GB503" s="4"/>
      <c r="GC503" s="4"/>
      <c r="GD503" s="4"/>
      <c r="GE503" s="4"/>
      <c r="GF503" s="4"/>
      <c r="GG503" s="4"/>
      <c r="GH503" s="4"/>
      <c r="GI503" s="654"/>
      <c r="GJ503" s="655"/>
      <c r="GK503" s="4"/>
      <c r="GL503" s="4"/>
      <c r="GM503" s="4"/>
      <c r="GN503" s="4"/>
      <c r="GO503" s="4"/>
      <c r="GP503" s="4"/>
      <c r="GQ503" s="4"/>
      <c r="GR503" s="4"/>
      <c r="GS503" s="4"/>
      <c r="GT503" s="4"/>
      <c r="GU503" s="722"/>
      <c r="GV503" s="715"/>
    </row>
    <row r="504" spans="1:204" x14ac:dyDescent="0.25">
      <c r="A504" t="s">
        <v>1881</v>
      </c>
      <c r="B504" s="2" t="s">
        <v>358</v>
      </c>
      <c r="C504" s="619">
        <v>44741</v>
      </c>
      <c r="D504" s="2" t="s">
        <v>1870</v>
      </c>
      <c r="E504" t="s">
        <v>58</v>
      </c>
      <c r="F504" s="2" t="s">
        <v>43</v>
      </c>
      <c r="G504" t="s">
        <v>40</v>
      </c>
      <c r="H504" s="690" t="s">
        <v>84</v>
      </c>
      <c r="I504" s="691" t="s">
        <v>1838</v>
      </c>
      <c r="J504" s="721">
        <v>17077752000153</v>
      </c>
      <c r="K504" s="691" t="s">
        <v>43</v>
      </c>
      <c r="L504" s="721">
        <v>3780401000108</v>
      </c>
      <c r="M504" s="718" t="s">
        <v>5</v>
      </c>
      <c r="N504" s="717" t="s">
        <v>44</v>
      </c>
      <c r="O504" s="719">
        <v>44713</v>
      </c>
      <c r="P504" s="720">
        <v>44742</v>
      </c>
      <c r="Q504" s="718">
        <v>30.5</v>
      </c>
      <c r="R504" s="717">
        <v>4</v>
      </c>
      <c r="S504" s="691" t="s">
        <v>92</v>
      </c>
      <c r="T504" t="s">
        <v>358</v>
      </c>
      <c r="U504" s="673" t="s">
        <v>358</v>
      </c>
      <c r="V504" s="690" t="s">
        <v>358</v>
      </c>
      <c r="W504" s="657" t="s">
        <v>214</v>
      </c>
      <c r="X504" s="723"/>
      <c r="Y504" s="4"/>
      <c r="Z504" s="4"/>
      <c r="AA504" s="4"/>
      <c r="AB504" s="4"/>
      <c r="AC504" s="4">
        <v>4</v>
      </c>
      <c r="AD504" s="4"/>
      <c r="AE504" s="4"/>
      <c r="AF504" s="4"/>
      <c r="AG504" s="4"/>
      <c r="AH504" s="4"/>
      <c r="AI504" s="654"/>
      <c r="AJ504" s="655"/>
      <c r="AK504" s="4"/>
      <c r="AL504" s="4"/>
      <c r="AM504" s="4"/>
      <c r="AN504" s="4"/>
      <c r="AO504" s="4"/>
      <c r="AP504" s="4"/>
      <c r="AQ504" s="4"/>
      <c r="AR504" s="4"/>
      <c r="AS504" s="4"/>
      <c r="AT504" s="4"/>
      <c r="AU504" s="654"/>
      <c r="AV504" s="655"/>
      <c r="AW504" s="4"/>
      <c r="AX504" s="4"/>
      <c r="AY504" s="4"/>
      <c r="AZ504" s="4"/>
      <c r="BA504" s="4"/>
      <c r="BB504" s="4"/>
      <c r="BC504" s="4"/>
      <c r="BD504" s="4"/>
      <c r="BE504" s="4"/>
      <c r="BF504" s="4"/>
      <c r="BG504" s="654"/>
      <c r="BH504" s="655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654"/>
      <c r="BT504" s="655"/>
      <c r="BU504" s="4"/>
      <c r="BV504" s="4"/>
      <c r="BW504" s="4"/>
      <c r="BX504" s="4"/>
      <c r="BY504" s="4"/>
      <c r="BZ504" s="4"/>
      <c r="CA504" s="4"/>
      <c r="CB504" s="4"/>
      <c r="CC504" s="4"/>
      <c r="CD504" s="4"/>
      <c r="CE504" s="693"/>
      <c r="CF504" s="723"/>
      <c r="CG504" s="4"/>
      <c r="CH504" s="4"/>
      <c r="CI504" s="4"/>
      <c r="CJ504" s="4"/>
      <c r="CK504" s="4">
        <v>30.5</v>
      </c>
      <c r="CL504" s="4"/>
      <c r="CM504" s="4"/>
      <c r="CN504" s="4"/>
      <c r="CO504" s="4"/>
      <c r="CP504" s="4"/>
      <c r="CQ504" s="654"/>
      <c r="CR504" s="655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654"/>
      <c r="DD504" s="655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654"/>
      <c r="DP504" s="655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654"/>
      <c r="EB504" s="655"/>
      <c r="EC504" s="4"/>
      <c r="ED504" s="4"/>
      <c r="EE504" s="4"/>
      <c r="EF504" s="4"/>
      <c r="EG504" s="4"/>
      <c r="EH504" s="4"/>
      <c r="EI504" s="4"/>
      <c r="EJ504" s="4"/>
      <c r="EK504" s="4"/>
      <c r="EL504" s="4"/>
      <c r="EM504" s="693"/>
      <c r="EN504" s="723"/>
      <c r="EO504" s="4"/>
      <c r="EP504" s="4"/>
      <c r="EQ504" s="4"/>
      <c r="ER504" s="4"/>
      <c r="ES504" s="4">
        <v>86.210000000000008</v>
      </c>
      <c r="ET504" s="4"/>
      <c r="EU504" s="4"/>
      <c r="EV504" s="4"/>
      <c r="EW504" s="4"/>
      <c r="EX504" s="4"/>
      <c r="EY504" s="654"/>
      <c r="EZ504" s="655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654"/>
      <c r="FL504" s="655"/>
      <c r="FM504" s="4"/>
      <c r="FN504" s="4"/>
      <c r="FO504" s="4"/>
      <c r="FP504" s="4"/>
      <c r="FQ504" s="4"/>
      <c r="FR504" s="4"/>
      <c r="FS504" s="4"/>
      <c r="FT504" s="4"/>
      <c r="FU504" s="4"/>
      <c r="FV504" s="4"/>
      <c r="FW504" s="654"/>
      <c r="FX504" s="655"/>
      <c r="FY504" s="4"/>
      <c r="FZ504" s="4"/>
      <c r="GA504" s="4"/>
      <c r="GB504" s="4"/>
      <c r="GC504" s="4"/>
      <c r="GD504" s="4"/>
      <c r="GE504" s="4"/>
      <c r="GF504" s="4"/>
      <c r="GG504" s="4"/>
      <c r="GH504" s="4"/>
      <c r="GI504" s="654"/>
      <c r="GJ504" s="655"/>
      <c r="GK504" s="4"/>
      <c r="GL504" s="4"/>
      <c r="GM504" s="4"/>
      <c r="GN504" s="4"/>
      <c r="GO504" s="4"/>
      <c r="GP504" s="4"/>
      <c r="GQ504" s="4"/>
      <c r="GR504" s="4"/>
      <c r="GS504" s="4"/>
      <c r="GT504" s="4"/>
      <c r="GU504" s="722"/>
      <c r="GV504" s="715"/>
    </row>
    <row r="505" spans="1:204" x14ac:dyDescent="0.25">
      <c r="A505" t="s">
        <v>1882</v>
      </c>
      <c r="B505" s="2" t="s">
        <v>358</v>
      </c>
      <c r="C505" s="619">
        <v>44741</v>
      </c>
      <c r="D505" s="2" t="s">
        <v>1871</v>
      </c>
      <c r="E505" t="s">
        <v>58</v>
      </c>
      <c r="F505" s="2" t="s">
        <v>43</v>
      </c>
      <c r="G505" t="s">
        <v>40</v>
      </c>
      <c r="H505" s="690" t="s">
        <v>84</v>
      </c>
      <c r="I505" s="691" t="s">
        <v>1838</v>
      </c>
      <c r="J505" s="721">
        <v>17077752000153</v>
      </c>
      <c r="K505" s="691" t="s">
        <v>43</v>
      </c>
      <c r="L505" s="721">
        <v>3780401000108</v>
      </c>
      <c r="M505" s="718" t="s">
        <v>5</v>
      </c>
      <c r="N505" s="717" t="s">
        <v>44</v>
      </c>
      <c r="O505" s="719">
        <v>44713</v>
      </c>
      <c r="P505" s="720">
        <v>44742</v>
      </c>
      <c r="Q505" s="718">
        <v>30.5</v>
      </c>
      <c r="R505" s="717">
        <v>1</v>
      </c>
      <c r="S505" s="691" t="s">
        <v>92</v>
      </c>
      <c r="T505" t="s">
        <v>358</v>
      </c>
      <c r="U505" s="673" t="s">
        <v>358</v>
      </c>
      <c r="V505" s="690" t="s">
        <v>358</v>
      </c>
      <c r="W505" s="657" t="s">
        <v>214</v>
      </c>
      <c r="X505" s="723"/>
      <c r="Y505" s="4"/>
      <c r="Z505" s="4"/>
      <c r="AA505" s="4"/>
      <c r="AB505" s="4"/>
      <c r="AC505" s="4">
        <v>1</v>
      </c>
      <c r="AD505" s="4"/>
      <c r="AE505" s="4"/>
      <c r="AF505" s="4"/>
      <c r="AG505" s="4"/>
      <c r="AH505" s="4"/>
      <c r="AI505" s="654"/>
      <c r="AJ505" s="655"/>
      <c r="AK505" s="4"/>
      <c r="AL505" s="4"/>
      <c r="AM505" s="4"/>
      <c r="AN505" s="4"/>
      <c r="AO505" s="4"/>
      <c r="AP505" s="4"/>
      <c r="AQ505" s="4"/>
      <c r="AR505" s="4"/>
      <c r="AS505" s="4"/>
      <c r="AT505" s="4"/>
      <c r="AU505" s="654"/>
      <c r="AV505" s="655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654"/>
      <c r="BH505" s="655"/>
      <c r="BI505" s="4"/>
      <c r="BJ505" s="4"/>
      <c r="BK505" s="4"/>
      <c r="BL505" s="4"/>
      <c r="BM505" s="4"/>
      <c r="BN505" s="4"/>
      <c r="BO505" s="4"/>
      <c r="BP505" s="4"/>
      <c r="BQ505" s="4"/>
      <c r="BR505" s="4"/>
      <c r="BS505" s="654"/>
      <c r="BT505" s="655"/>
      <c r="BU505" s="4"/>
      <c r="BV505" s="4"/>
      <c r="BW505" s="4"/>
      <c r="BX505" s="4"/>
      <c r="BY505" s="4"/>
      <c r="BZ505" s="4"/>
      <c r="CA505" s="4"/>
      <c r="CB505" s="4"/>
      <c r="CC505" s="4"/>
      <c r="CD505" s="4"/>
      <c r="CE505" s="693"/>
      <c r="CF505" s="723"/>
      <c r="CG505" s="4"/>
      <c r="CH505" s="4"/>
      <c r="CI505" s="4"/>
      <c r="CJ505" s="4"/>
      <c r="CK505" s="4">
        <v>30.5</v>
      </c>
      <c r="CL505" s="4"/>
      <c r="CM505" s="4"/>
      <c r="CN505" s="4"/>
      <c r="CO505" s="4"/>
      <c r="CP505" s="4"/>
      <c r="CQ505" s="654"/>
      <c r="CR505" s="655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654"/>
      <c r="DD505" s="655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654"/>
      <c r="DP505" s="655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654"/>
      <c r="EB505" s="655"/>
      <c r="EC505" s="4"/>
      <c r="ED505" s="4"/>
      <c r="EE505" s="4"/>
      <c r="EF505" s="4"/>
      <c r="EG505" s="4"/>
      <c r="EH505" s="4"/>
      <c r="EI505" s="4"/>
      <c r="EJ505" s="4"/>
      <c r="EK505" s="4"/>
      <c r="EL505" s="4"/>
      <c r="EM505" s="693"/>
      <c r="EN505" s="723"/>
      <c r="EO505" s="4"/>
      <c r="EP505" s="4"/>
      <c r="EQ505" s="4"/>
      <c r="ER505" s="4"/>
      <c r="ES505" s="4">
        <v>86.210000000000008</v>
      </c>
      <c r="ET505" s="4"/>
      <c r="EU505" s="4"/>
      <c r="EV505" s="4"/>
      <c r="EW505" s="4"/>
      <c r="EX505" s="4"/>
      <c r="EY505" s="654"/>
      <c r="EZ505" s="655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654"/>
      <c r="FL505" s="655"/>
      <c r="FM505" s="4"/>
      <c r="FN505" s="4"/>
      <c r="FO505" s="4"/>
      <c r="FP505" s="4"/>
      <c r="FQ505" s="4"/>
      <c r="FR505" s="4"/>
      <c r="FS505" s="4"/>
      <c r="FT505" s="4"/>
      <c r="FU505" s="4"/>
      <c r="FV505" s="4"/>
      <c r="FW505" s="654"/>
      <c r="FX505" s="655"/>
      <c r="FY505" s="4"/>
      <c r="FZ505" s="4"/>
      <c r="GA505" s="4"/>
      <c r="GB505" s="4"/>
      <c r="GC505" s="4"/>
      <c r="GD505" s="4"/>
      <c r="GE505" s="4"/>
      <c r="GF505" s="4"/>
      <c r="GG505" s="4"/>
      <c r="GH505" s="4"/>
      <c r="GI505" s="654"/>
      <c r="GJ505" s="655"/>
      <c r="GK505" s="4"/>
      <c r="GL505" s="4"/>
      <c r="GM505" s="4"/>
      <c r="GN505" s="4"/>
      <c r="GO505" s="4"/>
      <c r="GP505" s="4"/>
      <c r="GQ505" s="4"/>
      <c r="GR505" s="4"/>
      <c r="GS505" s="4"/>
      <c r="GT505" s="4"/>
      <c r="GU505" s="722"/>
      <c r="GV505" s="715"/>
    </row>
    <row r="506" spans="1:204" x14ac:dyDescent="0.25">
      <c r="A506" t="s">
        <v>1883</v>
      </c>
      <c r="B506" s="2" t="s">
        <v>358</v>
      </c>
      <c r="C506" s="619">
        <v>44741</v>
      </c>
      <c r="D506" s="2" t="s">
        <v>1872</v>
      </c>
      <c r="E506" t="s">
        <v>58</v>
      </c>
      <c r="F506" s="2" t="s">
        <v>43</v>
      </c>
      <c r="G506" t="s">
        <v>40</v>
      </c>
      <c r="H506" s="690" t="s">
        <v>84</v>
      </c>
      <c r="I506" s="691" t="s">
        <v>467</v>
      </c>
      <c r="J506" s="721">
        <v>25099255000184</v>
      </c>
      <c r="K506" s="691" t="s">
        <v>43</v>
      </c>
      <c r="L506" s="721">
        <v>3780401000108</v>
      </c>
      <c r="M506" s="718" t="s">
        <v>5</v>
      </c>
      <c r="N506" s="717" t="s">
        <v>44</v>
      </c>
      <c r="O506" s="719">
        <v>44713</v>
      </c>
      <c r="P506" s="720">
        <v>44742</v>
      </c>
      <c r="Q506" s="718">
        <v>31</v>
      </c>
      <c r="R506" s="717">
        <v>1</v>
      </c>
      <c r="S506" s="691" t="s">
        <v>92</v>
      </c>
      <c r="T506" t="s">
        <v>358</v>
      </c>
      <c r="U506" s="673" t="s">
        <v>358</v>
      </c>
      <c r="V506" s="690" t="s">
        <v>358</v>
      </c>
      <c r="W506" s="657" t="s">
        <v>214</v>
      </c>
      <c r="X506" s="723"/>
      <c r="Y506" s="4"/>
      <c r="Z506" s="4"/>
      <c r="AA506" s="4"/>
      <c r="AB506" s="4"/>
      <c r="AC506" s="4">
        <v>1</v>
      </c>
      <c r="AD506" s="4"/>
      <c r="AE506" s="4"/>
      <c r="AF506" s="4"/>
      <c r="AG506" s="4"/>
      <c r="AH506" s="4"/>
      <c r="AI506" s="654"/>
      <c r="AJ506" s="655"/>
      <c r="AK506" s="4"/>
      <c r="AL506" s="4"/>
      <c r="AM506" s="4"/>
      <c r="AN506" s="4"/>
      <c r="AO506" s="4"/>
      <c r="AP506" s="4"/>
      <c r="AQ506" s="4"/>
      <c r="AR506" s="4"/>
      <c r="AS506" s="4"/>
      <c r="AT506" s="4"/>
      <c r="AU506" s="654"/>
      <c r="AV506" s="655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654"/>
      <c r="BH506" s="655"/>
      <c r="BI506" s="4"/>
      <c r="BJ506" s="4"/>
      <c r="BK506" s="4"/>
      <c r="BL506" s="4"/>
      <c r="BM506" s="4"/>
      <c r="BN506" s="4"/>
      <c r="BO506" s="4"/>
      <c r="BP506" s="4"/>
      <c r="BQ506" s="4"/>
      <c r="BR506" s="4"/>
      <c r="BS506" s="654"/>
      <c r="BT506" s="655"/>
      <c r="BU506" s="4"/>
      <c r="BV506" s="4"/>
      <c r="BW506" s="4"/>
      <c r="BX506" s="4"/>
      <c r="BY506" s="4"/>
      <c r="BZ506" s="4"/>
      <c r="CA506" s="4"/>
      <c r="CB506" s="4"/>
      <c r="CC506" s="4"/>
      <c r="CD506" s="4"/>
      <c r="CE506" s="693"/>
      <c r="CF506" s="723"/>
      <c r="CG506" s="4"/>
      <c r="CH506" s="4"/>
      <c r="CI506" s="4"/>
      <c r="CJ506" s="4"/>
      <c r="CK506" s="4">
        <v>31</v>
      </c>
      <c r="CL506" s="4"/>
      <c r="CM506" s="4"/>
      <c r="CN506" s="4"/>
      <c r="CO506" s="4"/>
      <c r="CP506" s="4"/>
      <c r="CQ506" s="654"/>
      <c r="CR506" s="655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654"/>
      <c r="DD506" s="655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654"/>
      <c r="DP506" s="655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654"/>
      <c r="EB506" s="655"/>
      <c r="EC506" s="4"/>
      <c r="ED506" s="4"/>
      <c r="EE506" s="4"/>
      <c r="EF506" s="4"/>
      <c r="EG506" s="4"/>
      <c r="EH506" s="4"/>
      <c r="EI506" s="4"/>
      <c r="EJ506" s="4"/>
      <c r="EK506" s="4"/>
      <c r="EL506" s="4"/>
      <c r="EM506" s="693"/>
      <c r="EN506" s="723"/>
      <c r="EO506" s="4"/>
      <c r="EP506" s="4"/>
      <c r="EQ506" s="4"/>
      <c r="ER506" s="4"/>
      <c r="ES506" s="4">
        <v>86.710000000000008</v>
      </c>
      <c r="ET506" s="4"/>
      <c r="EU506" s="4"/>
      <c r="EV506" s="4"/>
      <c r="EW506" s="4"/>
      <c r="EX506" s="4"/>
      <c r="EY506" s="654"/>
      <c r="EZ506" s="655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654"/>
      <c r="FL506" s="655"/>
      <c r="FM506" s="4"/>
      <c r="FN506" s="4"/>
      <c r="FO506" s="4"/>
      <c r="FP506" s="4"/>
      <c r="FQ506" s="4"/>
      <c r="FR506" s="4"/>
      <c r="FS506" s="4"/>
      <c r="FT506" s="4"/>
      <c r="FU506" s="4"/>
      <c r="FV506" s="4"/>
      <c r="FW506" s="654"/>
      <c r="FX506" s="655"/>
      <c r="FY506" s="4"/>
      <c r="FZ506" s="4"/>
      <c r="GA506" s="4"/>
      <c r="GB506" s="4"/>
      <c r="GC506" s="4"/>
      <c r="GD506" s="4"/>
      <c r="GE506" s="4"/>
      <c r="GF506" s="4"/>
      <c r="GG506" s="4"/>
      <c r="GH506" s="4"/>
      <c r="GI506" s="654"/>
      <c r="GJ506" s="655"/>
      <c r="GK506" s="4"/>
      <c r="GL506" s="4"/>
      <c r="GM506" s="4"/>
      <c r="GN506" s="4"/>
      <c r="GO506" s="4"/>
      <c r="GP506" s="4"/>
      <c r="GQ506" s="4"/>
      <c r="GR506" s="4"/>
      <c r="GS506" s="4"/>
      <c r="GT506" s="4"/>
      <c r="GU506" s="722"/>
      <c r="GV506" s="715"/>
    </row>
    <row r="507" spans="1:204" x14ac:dyDescent="0.25">
      <c r="A507" t="s">
        <v>1884</v>
      </c>
      <c r="B507" s="2" t="s">
        <v>358</v>
      </c>
      <c r="C507" s="619">
        <v>44741</v>
      </c>
      <c r="D507" s="2" t="s">
        <v>1873</v>
      </c>
      <c r="E507" t="s">
        <v>58</v>
      </c>
      <c r="F507" s="2" t="s">
        <v>43</v>
      </c>
      <c r="G507" t="s">
        <v>40</v>
      </c>
      <c r="H507" s="690" t="s">
        <v>84</v>
      </c>
      <c r="I507" s="691" t="s">
        <v>1875</v>
      </c>
      <c r="J507" s="721">
        <v>30248458000125</v>
      </c>
      <c r="K507" s="691" t="s">
        <v>43</v>
      </c>
      <c r="L507" s="721">
        <v>3780401000108</v>
      </c>
      <c r="M507" s="718" t="s">
        <v>3</v>
      </c>
      <c r="N507" s="717" t="s">
        <v>44</v>
      </c>
      <c r="O507" s="719">
        <v>44896</v>
      </c>
      <c r="P507" s="720">
        <v>44926</v>
      </c>
      <c r="Q507" s="718">
        <v>95</v>
      </c>
      <c r="R507" s="717">
        <v>20</v>
      </c>
      <c r="S507" s="691" t="s">
        <v>54</v>
      </c>
      <c r="T507" t="s">
        <v>358</v>
      </c>
      <c r="U507" s="673" t="s">
        <v>358</v>
      </c>
      <c r="V507" s="690" t="s">
        <v>358</v>
      </c>
      <c r="W507" s="657" t="s">
        <v>214</v>
      </c>
      <c r="X507" s="723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654">
        <v>20</v>
      </c>
      <c r="AJ507" s="655"/>
      <c r="AK507" s="4"/>
      <c r="AL507" s="4"/>
      <c r="AM507" s="4"/>
      <c r="AN507" s="4"/>
      <c r="AO507" s="4"/>
      <c r="AP507" s="4"/>
      <c r="AQ507" s="4"/>
      <c r="AR507" s="4"/>
      <c r="AS507" s="4"/>
      <c r="AT507" s="4"/>
      <c r="AU507" s="654"/>
      <c r="AV507" s="655"/>
      <c r="AW507" s="4"/>
      <c r="AX507" s="4"/>
      <c r="AY507" s="4"/>
      <c r="AZ507" s="4"/>
      <c r="BA507" s="4"/>
      <c r="BB507" s="4"/>
      <c r="BC507" s="4"/>
      <c r="BD507" s="4"/>
      <c r="BE507" s="4"/>
      <c r="BF507" s="4"/>
      <c r="BG507" s="654"/>
      <c r="BH507" s="655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654"/>
      <c r="BT507" s="655"/>
      <c r="BU507" s="4"/>
      <c r="BV507" s="4"/>
      <c r="BW507" s="4"/>
      <c r="BX507" s="4"/>
      <c r="BY507" s="4"/>
      <c r="BZ507" s="4"/>
      <c r="CA507" s="4"/>
      <c r="CB507" s="4"/>
      <c r="CC507" s="4"/>
      <c r="CD507" s="4"/>
      <c r="CE507" s="693"/>
      <c r="CF507" s="723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654">
        <v>95</v>
      </c>
      <c r="CR507" s="655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654"/>
      <c r="DD507" s="655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654"/>
      <c r="DP507" s="655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654"/>
      <c r="EB507" s="655"/>
      <c r="EC507" s="4"/>
      <c r="ED507" s="4"/>
      <c r="EE507" s="4"/>
      <c r="EF507" s="4"/>
      <c r="EG507" s="4"/>
      <c r="EH507" s="4"/>
      <c r="EI507" s="4"/>
      <c r="EJ507" s="4"/>
      <c r="EK507" s="4"/>
      <c r="EL507" s="4"/>
      <c r="EM507" s="693"/>
      <c r="EN507" s="723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654">
        <v>95</v>
      </c>
      <c r="EZ507" s="655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654"/>
      <c r="FL507" s="655"/>
      <c r="FM507" s="4"/>
      <c r="FN507" s="4"/>
      <c r="FO507" s="4"/>
      <c r="FP507" s="4"/>
      <c r="FQ507" s="4"/>
      <c r="FR507" s="4"/>
      <c r="FS507" s="4"/>
      <c r="FT507" s="4"/>
      <c r="FU507" s="4"/>
      <c r="FV507" s="4"/>
      <c r="FW507" s="654"/>
      <c r="FX507" s="655"/>
      <c r="FY507" s="4"/>
      <c r="FZ507" s="4"/>
      <c r="GA507" s="4"/>
      <c r="GB507" s="4"/>
      <c r="GC507" s="4"/>
      <c r="GD507" s="4"/>
      <c r="GE507" s="4"/>
      <c r="GF507" s="4"/>
      <c r="GG507" s="4"/>
      <c r="GH507" s="4"/>
      <c r="GI507" s="654"/>
      <c r="GJ507" s="655"/>
      <c r="GK507" s="4"/>
      <c r="GL507" s="4"/>
      <c r="GM507" s="4"/>
      <c r="GN507" s="4"/>
      <c r="GO507" s="4"/>
      <c r="GP507" s="4"/>
      <c r="GQ507" s="4"/>
      <c r="GR507" s="4"/>
      <c r="GS507" s="4"/>
      <c r="GT507" s="4"/>
      <c r="GU507" s="722"/>
      <c r="GV507" s="715"/>
    </row>
    <row r="508" spans="1:204" x14ac:dyDescent="0.25">
      <c r="A508" t="s">
        <v>1885</v>
      </c>
      <c r="B508" s="2" t="s">
        <v>358</v>
      </c>
      <c r="C508" s="619">
        <v>44741</v>
      </c>
      <c r="D508" s="2" t="s">
        <v>1874</v>
      </c>
      <c r="E508" t="s">
        <v>59</v>
      </c>
      <c r="F508" s="2" t="s">
        <v>43</v>
      </c>
      <c r="G508" t="s">
        <v>40</v>
      </c>
      <c r="H508" s="690" t="s">
        <v>85</v>
      </c>
      <c r="I508" s="691" t="s">
        <v>43</v>
      </c>
      <c r="J508" s="721">
        <v>3780401000108</v>
      </c>
      <c r="K508" s="691" t="s">
        <v>353</v>
      </c>
      <c r="L508" s="721">
        <v>28758086000135</v>
      </c>
      <c r="M508" s="718" t="s">
        <v>3</v>
      </c>
      <c r="N508" s="717" t="s">
        <v>44</v>
      </c>
      <c r="O508" s="719">
        <v>44866</v>
      </c>
      <c r="P508" s="720">
        <v>44895</v>
      </c>
      <c r="Q508" s="718">
        <v>99</v>
      </c>
      <c r="R508" s="717">
        <v>10</v>
      </c>
      <c r="S508" s="691" t="s">
        <v>54</v>
      </c>
      <c r="T508" t="s">
        <v>358</v>
      </c>
      <c r="U508" s="673" t="s">
        <v>358</v>
      </c>
      <c r="V508" s="690" t="s">
        <v>358</v>
      </c>
      <c r="W508" s="657" t="s">
        <v>214</v>
      </c>
      <c r="X508" s="723"/>
      <c r="Y508" s="4"/>
      <c r="Z508" s="4"/>
      <c r="AA508" s="4"/>
      <c r="AB508" s="4"/>
      <c r="AC508" s="4"/>
      <c r="AD508" s="4"/>
      <c r="AE508" s="4"/>
      <c r="AF508" s="4"/>
      <c r="AG508" s="4"/>
      <c r="AH508" s="4">
        <v>10</v>
      </c>
      <c r="AI508" s="654"/>
      <c r="AJ508" s="655"/>
      <c r="AK508" s="4"/>
      <c r="AL508" s="4"/>
      <c r="AM508" s="4"/>
      <c r="AN508" s="4"/>
      <c r="AO508" s="4"/>
      <c r="AP508" s="4"/>
      <c r="AQ508" s="4"/>
      <c r="AR508" s="4"/>
      <c r="AS508" s="4"/>
      <c r="AT508" s="4"/>
      <c r="AU508" s="654"/>
      <c r="AV508" s="655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654"/>
      <c r="BH508" s="655"/>
      <c r="BI508" s="4"/>
      <c r="BJ508" s="4"/>
      <c r="BK508" s="4"/>
      <c r="BL508" s="4"/>
      <c r="BM508" s="4"/>
      <c r="BN508" s="4"/>
      <c r="BO508" s="4"/>
      <c r="BP508" s="4"/>
      <c r="BQ508" s="4"/>
      <c r="BR508" s="4"/>
      <c r="BS508" s="654"/>
      <c r="BT508" s="655"/>
      <c r="BU508" s="4"/>
      <c r="BV508" s="4"/>
      <c r="BW508" s="4"/>
      <c r="BX508" s="4"/>
      <c r="BY508" s="4"/>
      <c r="BZ508" s="4"/>
      <c r="CA508" s="4"/>
      <c r="CB508" s="4"/>
      <c r="CC508" s="4"/>
      <c r="CD508" s="4"/>
      <c r="CE508" s="693"/>
      <c r="CF508" s="723"/>
      <c r="CG508" s="4"/>
      <c r="CH508" s="4"/>
      <c r="CI508" s="4"/>
      <c r="CJ508" s="4"/>
      <c r="CK508" s="4"/>
      <c r="CL508" s="4"/>
      <c r="CM508" s="4"/>
      <c r="CN508" s="4"/>
      <c r="CO508" s="4"/>
      <c r="CP508" s="4">
        <v>99</v>
      </c>
      <c r="CQ508" s="654"/>
      <c r="CR508" s="655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654"/>
      <c r="DD508" s="655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654"/>
      <c r="DP508" s="655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654"/>
      <c r="EB508" s="655"/>
      <c r="EC508" s="4"/>
      <c r="ED508" s="4"/>
      <c r="EE508" s="4"/>
      <c r="EF508" s="4"/>
      <c r="EG508" s="4"/>
      <c r="EH508" s="4"/>
      <c r="EI508" s="4"/>
      <c r="EJ508" s="4"/>
      <c r="EK508" s="4"/>
      <c r="EL508" s="4"/>
      <c r="EM508" s="693"/>
      <c r="EN508" s="723"/>
      <c r="EO508" s="4"/>
      <c r="EP508" s="4"/>
      <c r="EQ508" s="4"/>
      <c r="ER508" s="4"/>
      <c r="ES508" s="4"/>
      <c r="ET508" s="4"/>
      <c r="EU508" s="4"/>
      <c r="EV508" s="4"/>
      <c r="EW508" s="4"/>
      <c r="EX508" s="4">
        <v>99</v>
      </c>
      <c r="EY508" s="654"/>
      <c r="EZ508" s="655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654"/>
      <c r="FL508" s="655"/>
      <c r="FM508" s="4"/>
      <c r="FN508" s="4"/>
      <c r="FO508" s="4"/>
      <c r="FP508" s="4"/>
      <c r="FQ508" s="4"/>
      <c r="FR508" s="4"/>
      <c r="FS508" s="4"/>
      <c r="FT508" s="4"/>
      <c r="FU508" s="4"/>
      <c r="FV508" s="4"/>
      <c r="FW508" s="654"/>
      <c r="FX508" s="655"/>
      <c r="FY508" s="4"/>
      <c r="FZ508" s="4"/>
      <c r="GA508" s="4"/>
      <c r="GB508" s="4"/>
      <c r="GC508" s="4"/>
      <c r="GD508" s="4"/>
      <c r="GE508" s="4"/>
      <c r="GF508" s="4"/>
      <c r="GG508" s="4"/>
      <c r="GH508" s="4"/>
      <c r="GI508" s="654"/>
      <c r="GJ508" s="655"/>
      <c r="GK508" s="4"/>
      <c r="GL508" s="4"/>
      <c r="GM508" s="4"/>
      <c r="GN508" s="4"/>
      <c r="GO508" s="4"/>
      <c r="GP508" s="4"/>
      <c r="GQ508" s="4"/>
      <c r="GR508" s="4"/>
      <c r="GS508" s="4"/>
      <c r="GT508" s="4"/>
      <c r="GU508" s="722"/>
      <c r="GV508" s="715"/>
    </row>
    <row r="509" spans="1:204" x14ac:dyDescent="0.25">
      <c r="A509" t="s">
        <v>1886</v>
      </c>
      <c r="B509" s="2" t="s">
        <v>358</v>
      </c>
      <c r="C509" s="619">
        <v>44741</v>
      </c>
      <c r="D509" s="2">
        <v>25492</v>
      </c>
      <c r="E509" t="s">
        <v>59</v>
      </c>
      <c r="F509" s="2" t="s">
        <v>43</v>
      </c>
      <c r="G509" t="s">
        <v>40</v>
      </c>
      <c r="H509" s="690" t="s">
        <v>85</v>
      </c>
      <c r="I509" s="691" t="s">
        <v>43</v>
      </c>
      <c r="J509" s="721">
        <v>3780401000108</v>
      </c>
      <c r="K509" s="691" t="s">
        <v>1135</v>
      </c>
      <c r="L509" s="721">
        <v>30306294000226</v>
      </c>
      <c r="M509" s="718" t="s">
        <v>3</v>
      </c>
      <c r="N509" s="717" t="s">
        <v>44</v>
      </c>
      <c r="O509" s="719">
        <v>44835</v>
      </c>
      <c r="P509" s="720">
        <v>44926</v>
      </c>
      <c r="Q509" s="718">
        <v>97</v>
      </c>
      <c r="R509" s="717">
        <v>10</v>
      </c>
      <c r="S509" s="691" t="s">
        <v>54</v>
      </c>
      <c r="T509" t="s">
        <v>358</v>
      </c>
      <c r="U509" s="673" t="s">
        <v>358</v>
      </c>
      <c r="V509" s="690" t="s">
        <v>358</v>
      </c>
      <c r="W509" s="657" t="s">
        <v>214</v>
      </c>
      <c r="X509" s="723"/>
      <c r="Y509" s="4"/>
      <c r="Z509" s="4"/>
      <c r="AA509" s="4"/>
      <c r="AB509" s="4"/>
      <c r="AC509" s="4"/>
      <c r="AD509" s="4"/>
      <c r="AE509" s="4"/>
      <c r="AF509" s="4"/>
      <c r="AG509" s="4">
        <v>10</v>
      </c>
      <c r="AH509" s="4">
        <v>10</v>
      </c>
      <c r="AI509" s="654">
        <v>10</v>
      </c>
      <c r="AJ509" s="655"/>
      <c r="AK509" s="4"/>
      <c r="AL509" s="4"/>
      <c r="AM509" s="4"/>
      <c r="AN509" s="4"/>
      <c r="AO509" s="4"/>
      <c r="AP509" s="4"/>
      <c r="AQ509" s="4"/>
      <c r="AR509" s="4"/>
      <c r="AS509" s="4"/>
      <c r="AT509" s="4"/>
      <c r="AU509" s="654"/>
      <c r="AV509" s="655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654"/>
      <c r="BH509" s="655"/>
      <c r="BI509" s="4"/>
      <c r="BJ509" s="4"/>
      <c r="BK509" s="4"/>
      <c r="BL509" s="4"/>
      <c r="BM509" s="4"/>
      <c r="BN509" s="4"/>
      <c r="BO509" s="4"/>
      <c r="BP509" s="4"/>
      <c r="BQ509" s="4"/>
      <c r="BR509" s="4"/>
      <c r="BS509" s="654"/>
      <c r="BT509" s="655"/>
      <c r="BU509" s="4"/>
      <c r="BV509" s="4"/>
      <c r="BW509" s="4"/>
      <c r="BX509" s="4"/>
      <c r="BY509" s="4"/>
      <c r="BZ509" s="4"/>
      <c r="CA509" s="4"/>
      <c r="CB509" s="4"/>
      <c r="CC509" s="4"/>
      <c r="CD509" s="4"/>
      <c r="CE509" s="693"/>
      <c r="CF509" s="723"/>
      <c r="CG509" s="4"/>
      <c r="CH509" s="4"/>
      <c r="CI509" s="4"/>
      <c r="CJ509" s="4"/>
      <c r="CK509" s="4"/>
      <c r="CL509" s="4"/>
      <c r="CM509" s="4"/>
      <c r="CN509" s="4"/>
      <c r="CO509" s="4">
        <v>97</v>
      </c>
      <c r="CP509" s="4">
        <v>97</v>
      </c>
      <c r="CQ509" s="654">
        <v>97</v>
      </c>
      <c r="CR509" s="655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654"/>
      <c r="DD509" s="655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654"/>
      <c r="DP509" s="655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654"/>
      <c r="EB509" s="655"/>
      <c r="EC509" s="4"/>
      <c r="ED509" s="4"/>
      <c r="EE509" s="4"/>
      <c r="EF509" s="4"/>
      <c r="EG509" s="4"/>
      <c r="EH509" s="4"/>
      <c r="EI509" s="4"/>
      <c r="EJ509" s="4"/>
      <c r="EK509" s="4"/>
      <c r="EL509" s="4"/>
      <c r="EM509" s="693"/>
      <c r="EN509" s="723"/>
      <c r="EO509" s="4"/>
      <c r="EP509" s="4"/>
      <c r="EQ509" s="4"/>
      <c r="ER509" s="4"/>
      <c r="ES509" s="4"/>
      <c r="ET509" s="4"/>
      <c r="EU509" s="4"/>
      <c r="EV509" s="4"/>
      <c r="EW509" s="4">
        <v>97</v>
      </c>
      <c r="EX509" s="4">
        <v>97</v>
      </c>
      <c r="EY509" s="654">
        <v>97</v>
      </c>
      <c r="EZ509" s="655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654"/>
      <c r="FL509" s="655"/>
      <c r="FM509" s="4"/>
      <c r="FN509" s="4"/>
      <c r="FO509" s="4"/>
      <c r="FP509" s="4"/>
      <c r="FQ509" s="4"/>
      <c r="FR509" s="4"/>
      <c r="FS509" s="4"/>
      <c r="FT509" s="4"/>
      <c r="FU509" s="4"/>
      <c r="FV509" s="4"/>
      <c r="FW509" s="654"/>
      <c r="FX509" s="655"/>
      <c r="FY509" s="4"/>
      <c r="FZ509" s="4"/>
      <c r="GA509" s="4"/>
      <c r="GB509" s="4"/>
      <c r="GC509" s="4"/>
      <c r="GD509" s="4"/>
      <c r="GE509" s="4"/>
      <c r="GF509" s="4"/>
      <c r="GG509" s="4"/>
      <c r="GH509" s="4"/>
      <c r="GI509" s="654"/>
      <c r="GJ509" s="655"/>
      <c r="GK509" s="4"/>
      <c r="GL509" s="4"/>
      <c r="GM509" s="4"/>
      <c r="GN509" s="4"/>
      <c r="GO509" s="4"/>
      <c r="GP509" s="4"/>
      <c r="GQ509" s="4"/>
      <c r="GR509" s="4"/>
      <c r="GS509" s="4"/>
      <c r="GT509" s="4"/>
      <c r="GU509" s="722"/>
      <c r="GV509" s="715"/>
    </row>
    <row r="510" spans="1:204" x14ac:dyDescent="0.25">
      <c r="A510" t="s">
        <v>1892</v>
      </c>
      <c r="B510" s="2" t="s">
        <v>1891</v>
      </c>
      <c r="C510" s="619">
        <v>44742</v>
      </c>
      <c r="D510" s="2" t="s">
        <v>1887</v>
      </c>
      <c r="E510" t="s">
        <v>58</v>
      </c>
      <c r="F510" s="2" t="s">
        <v>43</v>
      </c>
      <c r="G510" t="s">
        <v>40</v>
      </c>
      <c r="H510" s="690" t="s">
        <v>84</v>
      </c>
      <c r="I510" s="691" t="s">
        <v>355</v>
      </c>
      <c r="J510" s="721">
        <v>7685694000510</v>
      </c>
      <c r="K510" s="691" t="s">
        <v>43</v>
      </c>
      <c r="L510" s="721">
        <v>3780401000108</v>
      </c>
      <c r="M510" s="718" t="s">
        <v>5</v>
      </c>
      <c r="N510" s="717" t="s">
        <v>44</v>
      </c>
      <c r="O510" s="719">
        <v>44713</v>
      </c>
      <c r="P510" s="720">
        <v>44742</v>
      </c>
      <c r="Q510" s="718">
        <v>30</v>
      </c>
      <c r="R510" s="717">
        <v>3</v>
      </c>
      <c r="S510" s="691" t="s">
        <v>92</v>
      </c>
      <c r="T510" t="s">
        <v>358</v>
      </c>
      <c r="U510" s="673" t="s">
        <v>358</v>
      </c>
      <c r="V510" s="690" t="s">
        <v>358</v>
      </c>
      <c r="W510" s="657" t="s">
        <v>324</v>
      </c>
      <c r="X510" s="723"/>
      <c r="Y510" s="4"/>
      <c r="Z510" s="4"/>
      <c r="AA510" s="4"/>
      <c r="AB510" s="4"/>
      <c r="AC510" s="4">
        <v>3</v>
      </c>
      <c r="AD510" s="4"/>
      <c r="AE510" s="4"/>
      <c r="AF510" s="4"/>
      <c r="AG510" s="4"/>
      <c r="AH510" s="4"/>
      <c r="AI510" s="654"/>
      <c r="AJ510" s="655"/>
      <c r="AK510" s="4"/>
      <c r="AL510" s="4"/>
      <c r="AM510" s="4"/>
      <c r="AN510" s="4"/>
      <c r="AO510" s="4"/>
      <c r="AP510" s="4"/>
      <c r="AQ510" s="4"/>
      <c r="AR510" s="4"/>
      <c r="AS510" s="4"/>
      <c r="AT510" s="4"/>
      <c r="AU510" s="654"/>
      <c r="AV510" s="655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654"/>
      <c r="BH510" s="655"/>
      <c r="BI510" s="4"/>
      <c r="BJ510" s="4"/>
      <c r="BK510" s="4"/>
      <c r="BL510" s="4"/>
      <c r="BM510" s="4"/>
      <c r="BN510" s="4"/>
      <c r="BO510" s="4"/>
      <c r="BP510" s="4"/>
      <c r="BQ510" s="4"/>
      <c r="BR510" s="4"/>
      <c r="BS510" s="654"/>
      <c r="BT510" s="655"/>
      <c r="BU510" s="4"/>
      <c r="BV510" s="4"/>
      <c r="BW510" s="4"/>
      <c r="BX510" s="4"/>
      <c r="BY510" s="4"/>
      <c r="BZ510" s="4"/>
      <c r="CA510" s="4"/>
      <c r="CB510" s="4"/>
      <c r="CC510" s="4"/>
      <c r="CD510" s="4"/>
      <c r="CE510" s="693"/>
      <c r="CF510" s="723"/>
      <c r="CG510" s="4"/>
      <c r="CH510" s="4"/>
      <c r="CI510" s="4"/>
      <c r="CJ510" s="4"/>
      <c r="CK510" s="4">
        <v>30</v>
      </c>
      <c r="CL510" s="4"/>
      <c r="CM510" s="4"/>
      <c r="CN510" s="4"/>
      <c r="CO510" s="4"/>
      <c r="CP510" s="4"/>
      <c r="CQ510" s="654"/>
      <c r="CR510" s="655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654"/>
      <c r="DD510" s="655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654"/>
      <c r="DP510" s="655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654"/>
      <c r="EB510" s="655"/>
      <c r="EC510" s="4"/>
      <c r="ED510" s="4"/>
      <c r="EE510" s="4"/>
      <c r="EF510" s="4"/>
      <c r="EG510" s="4"/>
      <c r="EH510" s="4"/>
      <c r="EI510" s="4"/>
      <c r="EJ510" s="4"/>
      <c r="EK510" s="4"/>
      <c r="EL510" s="4"/>
      <c r="EM510" s="693"/>
      <c r="EN510" s="723"/>
      <c r="EO510" s="4"/>
      <c r="EP510" s="4"/>
      <c r="EQ510" s="4"/>
      <c r="ER510" s="4"/>
      <c r="ES510" s="4">
        <v>85.710000000000008</v>
      </c>
      <c r="ET510" s="4"/>
      <c r="EU510" s="4"/>
      <c r="EV510" s="4"/>
      <c r="EW510" s="4"/>
      <c r="EX510" s="4"/>
      <c r="EY510" s="654"/>
      <c r="EZ510" s="655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654"/>
      <c r="FL510" s="655"/>
      <c r="FM510" s="4"/>
      <c r="FN510" s="4"/>
      <c r="FO510" s="4"/>
      <c r="FP510" s="4"/>
      <c r="FQ510" s="4"/>
      <c r="FR510" s="4"/>
      <c r="FS510" s="4"/>
      <c r="FT510" s="4"/>
      <c r="FU510" s="4"/>
      <c r="FV510" s="4"/>
      <c r="FW510" s="654"/>
      <c r="FX510" s="655"/>
      <c r="FY510" s="4"/>
      <c r="FZ510" s="4"/>
      <c r="GA510" s="4"/>
      <c r="GB510" s="4"/>
      <c r="GC510" s="4"/>
      <c r="GD510" s="4"/>
      <c r="GE510" s="4"/>
      <c r="GF510" s="4"/>
      <c r="GG510" s="4"/>
      <c r="GH510" s="4"/>
      <c r="GI510" s="654"/>
      <c r="GJ510" s="655"/>
      <c r="GK510" s="4"/>
      <c r="GL510" s="4"/>
      <c r="GM510" s="4"/>
      <c r="GN510" s="4"/>
      <c r="GO510" s="4"/>
      <c r="GP510" s="4"/>
      <c r="GQ510" s="4"/>
      <c r="GR510" s="4"/>
      <c r="GS510" s="4"/>
      <c r="GT510" s="4"/>
      <c r="GU510" s="722"/>
      <c r="GV510" s="715"/>
    </row>
    <row r="511" spans="1:204" x14ac:dyDescent="0.25">
      <c r="A511" t="s">
        <v>1894</v>
      </c>
      <c r="B511" s="2" t="s">
        <v>1893</v>
      </c>
      <c r="C511" s="619">
        <v>44742</v>
      </c>
      <c r="D511" s="2" t="s">
        <v>1888</v>
      </c>
      <c r="E511" t="s">
        <v>58</v>
      </c>
      <c r="F511" s="2" t="s">
        <v>43</v>
      </c>
      <c r="G511" t="s">
        <v>40</v>
      </c>
      <c r="H511" s="690" t="s">
        <v>84</v>
      </c>
      <c r="I511" s="691" t="s">
        <v>1890</v>
      </c>
      <c r="J511" s="721">
        <v>29350168000109</v>
      </c>
      <c r="K511" s="691" t="s">
        <v>43</v>
      </c>
      <c r="L511" s="721">
        <v>3780401000108</v>
      </c>
      <c r="M511" s="718" t="s">
        <v>5</v>
      </c>
      <c r="N511" s="717" t="s">
        <v>13</v>
      </c>
      <c r="O511" s="719">
        <v>44713</v>
      </c>
      <c r="P511" s="720">
        <v>44742</v>
      </c>
      <c r="Q511" s="718">
        <v>30.4</v>
      </c>
      <c r="R511" s="717">
        <v>2.82</v>
      </c>
      <c r="S511" s="691" t="s">
        <v>92</v>
      </c>
      <c r="T511" t="s">
        <v>358</v>
      </c>
      <c r="U511" s="673" t="s">
        <v>358</v>
      </c>
      <c r="V511" s="690" t="s">
        <v>358</v>
      </c>
      <c r="W511" s="657" t="s">
        <v>324</v>
      </c>
      <c r="X511" s="723"/>
      <c r="Y511" s="4"/>
      <c r="Z511" s="4"/>
      <c r="AA511" s="4"/>
      <c r="AB511" s="4"/>
      <c r="AC511" s="4">
        <v>2.82</v>
      </c>
      <c r="AD511" s="4"/>
      <c r="AE511" s="4"/>
      <c r="AF511" s="4"/>
      <c r="AG511" s="4"/>
      <c r="AH511" s="4"/>
      <c r="AI511" s="654"/>
      <c r="AJ511" s="655"/>
      <c r="AK511" s="4"/>
      <c r="AL511" s="4"/>
      <c r="AM511" s="4"/>
      <c r="AN511" s="4"/>
      <c r="AO511" s="4"/>
      <c r="AP511" s="4"/>
      <c r="AQ511" s="4"/>
      <c r="AR511" s="4"/>
      <c r="AS511" s="4"/>
      <c r="AT511" s="4"/>
      <c r="AU511" s="654"/>
      <c r="AV511" s="655"/>
      <c r="AW511" s="4"/>
      <c r="AX511" s="4"/>
      <c r="AY511" s="4"/>
      <c r="AZ511" s="4"/>
      <c r="BA511" s="4"/>
      <c r="BB511" s="4"/>
      <c r="BC511" s="4"/>
      <c r="BD511" s="4"/>
      <c r="BE511" s="4"/>
      <c r="BF511" s="4"/>
      <c r="BG511" s="654"/>
      <c r="BH511" s="655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654"/>
      <c r="BT511" s="655"/>
      <c r="BU511" s="4"/>
      <c r="BV511" s="4"/>
      <c r="BW511" s="4"/>
      <c r="BX511" s="4"/>
      <c r="BY511" s="4"/>
      <c r="BZ511" s="4"/>
      <c r="CA511" s="4"/>
      <c r="CB511" s="4"/>
      <c r="CC511" s="4"/>
      <c r="CD511" s="4"/>
      <c r="CE511" s="693"/>
      <c r="CF511" s="723"/>
      <c r="CG511" s="4"/>
      <c r="CH511" s="4"/>
      <c r="CI511" s="4"/>
      <c r="CJ511" s="4"/>
      <c r="CK511" s="4">
        <v>30.4</v>
      </c>
      <c r="CL511" s="4"/>
      <c r="CM511" s="4"/>
      <c r="CN511" s="4"/>
      <c r="CO511" s="4"/>
      <c r="CP511" s="4"/>
      <c r="CQ511" s="654"/>
      <c r="CR511" s="655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654"/>
      <c r="DD511" s="655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654"/>
      <c r="DP511" s="655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654"/>
      <c r="EB511" s="655"/>
      <c r="EC511" s="4"/>
      <c r="ED511" s="4"/>
      <c r="EE511" s="4"/>
      <c r="EF511" s="4"/>
      <c r="EG511" s="4"/>
      <c r="EH511" s="4"/>
      <c r="EI511" s="4"/>
      <c r="EJ511" s="4"/>
      <c r="EK511" s="4"/>
      <c r="EL511" s="4"/>
      <c r="EM511" s="693"/>
      <c r="EN511" s="723"/>
      <c r="EO511" s="4"/>
      <c r="EP511" s="4"/>
      <c r="EQ511" s="4"/>
      <c r="ER511" s="4"/>
      <c r="ES511" s="4">
        <v>86.11</v>
      </c>
      <c r="ET511" s="4"/>
      <c r="EU511" s="4"/>
      <c r="EV511" s="4"/>
      <c r="EW511" s="4"/>
      <c r="EX511" s="4"/>
      <c r="EY511" s="654"/>
      <c r="EZ511" s="655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654"/>
      <c r="FL511" s="655"/>
      <c r="FM511" s="4"/>
      <c r="FN511" s="4"/>
      <c r="FO511" s="4"/>
      <c r="FP511" s="4"/>
      <c r="FQ511" s="4"/>
      <c r="FR511" s="4"/>
      <c r="FS511" s="4"/>
      <c r="FT511" s="4"/>
      <c r="FU511" s="4"/>
      <c r="FV511" s="4"/>
      <c r="FW511" s="654"/>
      <c r="FX511" s="655"/>
      <c r="FY511" s="4"/>
      <c r="FZ511" s="4"/>
      <c r="GA511" s="4"/>
      <c r="GB511" s="4"/>
      <c r="GC511" s="4"/>
      <c r="GD511" s="4"/>
      <c r="GE511" s="4"/>
      <c r="GF511" s="4"/>
      <c r="GG511" s="4"/>
      <c r="GH511" s="4"/>
      <c r="GI511" s="654"/>
      <c r="GJ511" s="655"/>
      <c r="GK511" s="4"/>
      <c r="GL511" s="4"/>
      <c r="GM511" s="4"/>
      <c r="GN511" s="4"/>
      <c r="GO511" s="4"/>
      <c r="GP511" s="4"/>
      <c r="GQ511" s="4"/>
      <c r="GR511" s="4"/>
      <c r="GS511" s="4"/>
      <c r="GT511" s="4"/>
      <c r="GU511" s="722"/>
      <c r="GV511" s="715"/>
    </row>
    <row r="512" spans="1:204" x14ac:dyDescent="0.25">
      <c r="A512" t="s">
        <v>1896</v>
      </c>
      <c r="B512" s="2" t="s">
        <v>1895</v>
      </c>
      <c r="C512" s="619">
        <v>44742</v>
      </c>
      <c r="D512" s="2" t="s">
        <v>1889</v>
      </c>
      <c r="E512" t="s">
        <v>58</v>
      </c>
      <c r="F512" s="2" t="s">
        <v>43</v>
      </c>
      <c r="G512" t="s">
        <v>40</v>
      </c>
      <c r="H512" s="690" t="s">
        <v>84</v>
      </c>
      <c r="I512" s="691" t="s">
        <v>464</v>
      </c>
      <c r="J512" s="721">
        <v>11599292000147</v>
      </c>
      <c r="K512" s="691" t="s">
        <v>43</v>
      </c>
      <c r="L512" s="721">
        <v>3780401000108</v>
      </c>
      <c r="M512" s="718" t="s">
        <v>5</v>
      </c>
      <c r="N512" s="717" t="s">
        <v>44</v>
      </c>
      <c r="O512" s="719">
        <v>44713</v>
      </c>
      <c r="P512" s="720">
        <v>44742</v>
      </c>
      <c r="Q512" s="718">
        <v>30.5</v>
      </c>
      <c r="R512" s="717">
        <v>10</v>
      </c>
      <c r="S512" s="691" t="s">
        <v>92</v>
      </c>
      <c r="T512" t="s">
        <v>358</v>
      </c>
      <c r="U512" s="673" t="s">
        <v>358</v>
      </c>
      <c r="V512" s="690" t="s">
        <v>358</v>
      </c>
      <c r="W512" s="657" t="s">
        <v>324</v>
      </c>
      <c r="X512" s="723"/>
      <c r="Y512" s="4"/>
      <c r="Z512" s="4"/>
      <c r="AA512" s="4"/>
      <c r="AB512" s="4"/>
      <c r="AC512" s="4">
        <v>10</v>
      </c>
      <c r="AD512" s="4"/>
      <c r="AE512" s="4"/>
      <c r="AF512" s="4"/>
      <c r="AG512" s="4"/>
      <c r="AH512" s="4"/>
      <c r="AI512" s="654"/>
      <c r="AJ512" s="655"/>
      <c r="AK512" s="4"/>
      <c r="AL512" s="4"/>
      <c r="AM512" s="4"/>
      <c r="AN512" s="4"/>
      <c r="AO512" s="4"/>
      <c r="AP512" s="4"/>
      <c r="AQ512" s="4"/>
      <c r="AR512" s="4"/>
      <c r="AS512" s="4"/>
      <c r="AT512" s="4"/>
      <c r="AU512" s="654"/>
      <c r="AV512" s="655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654"/>
      <c r="BH512" s="655"/>
      <c r="BI512" s="4"/>
      <c r="BJ512" s="4"/>
      <c r="BK512" s="4"/>
      <c r="BL512" s="4"/>
      <c r="BM512" s="4"/>
      <c r="BN512" s="4"/>
      <c r="BO512" s="4"/>
      <c r="BP512" s="4"/>
      <c r="BQ512" s="4"/>
      <c r="BR512" s="4"/>
      <c r="BS512" s="654"/>
      <c r="BT512" s="655"/>
      <c r="BU512" s="4"/>
      <c r="BV512" s="4"/>
      <c r="BW512" s="4"/>
      <c r="BX512" s="4"/>
      <c r="BY512" s="4"/>
      <c r="BZ512" s="4"/>
      <c r="CA512" s="4"/>
      <c r="CB512" s="4"/>
      <c r="CC512" s="4"/>
      <c r="CD512" s="4"/>
      <c r="CE512" s="693"/>
      <c r="CF512" s="723"/>
      <c r="CG512" s="4"/>
      <c r="CH512" s="4"/>
      <c r="CI512" s="4"/>
      <c r="CJ512" s="4"/>
      <c r="CK512" s="4">
        <v>30.5</v>
      </c>
      <c r="CL512" s="4"/>
      <c r="CM512" s="4"/>
      <c r="CN512" s="4"/>
      <c r="CO512" s="4"/>
      <c r="CP512" s="4"/>
      <c r="CQ512" s="654"/>
      <c r="CR512" s="655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654"/>
      <c r="DD512" s="655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654"/>
      <c r="DP512" s="655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654"/>
      <c r="EB512" s="655"/>
      <c r="EC512" s="4"/>
      <c r="ED512" s="4"/>
      <c r="EE512" s="4"/>
      <c r="EF512" s="4"/>
      <c r="EG512" s="4"/>
      <c r="EH512" s="4"/>
      <c r="EI512" s="4"/>
      <c r="EJ512" s="4"/>
      <c r="EK512" s="4"/>
      <c r="EL512" s="4"/>
      <c r="EM512" s="693"/>
      <c r="EN512" s="723"/>
      <c r="EO512" s="4"/>
      <c r="EP512" s="4"/>
      <c r="EQ512" s="4"/>
      <c r="ER512" s="4"/>
      <c r="ES512" s="4">
        <v>86.210000000000008</v>
      </c>
      <c r="ET512" s="4"/>
      <c r="EU512" s="4"/>
      <c r="EV512" s="4"/>
      <c r="EW512" s="4"/>
      <c r="EX512" s="4"/>
      <c r="EY512" s="654"/>
      <c r="EZ512" s="655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654"/>
      <c r="FL512" s="655"/>
      <c r="FM512" s="4"/>
      <c r="FN512" s="4"/>
      <c r="FO512" s="4"/>
      <c r="FP512" s="4"/>
      <c r="FQ512" s="4"/>
      <c r="FR512" s="4"/>
      <c r="FS512" s="4"/>
      <c r="FT512" s="4"/>
      <c r="FU512" s="4"/>
      <c r="FV512" s="4"/>
      <c r="FW512" s="654"/>
      <c r="FX512" s="655"/>
      <c r="FY512" s="4"/>
      <c r="FZ512" s="4"/>
      <c r="GA512" s="4"/>
      <c r="GB512" s="4"/>
      <c r="GC512" s="4"/>
      <c r="GD512" s="4"/>
      <c r="GE512" s="4"/>
      <c r="GF512" s="4"/>
      <c r="GG512" s="4"/>
      <c r="GH512" s="4"/>
      <c r="GI512" s="654"/>
      <c r="GJ512" s="655"/>
      <c r="GK512" s="4"/>
      <c r="GL512" s="4"/>
      <c r="GM512" s="4"/>
      <c r="GN512" s="4"/>
      <c r="GO512" s="4"/>
      <c r="GP512" s="4"/>
      <c r="GQ512" s="4"/>
      <c r="GR512" s="4"/>
      <c r="GS512" s="4"/>
      <c r="GT512" s="4"/>
      <c r="GU512" s="722"/>
      <c r="GV512" s="715"/>
    </row>
    <row r="513" spans="1:204" x14ac:dyDescent="0.25">
      <c r="A513" t="s">
        <v>1902</v>
      </c>
      <c r="B513" s="2" t="s">
        <v>1901</v>
      </c>
      <c r="C513" s="619">
        <v>44743</v>
      </c>
      <c r="D513" s="2" t="s">
        <v>1897</v>
      </c>
      <c r="E513" t="s">
        <v>58</v>
      </c>
      <c r="F513" s="2" t="s">
        <v>43</v>
      </c>
      <c r="G513" t="s">
        <v>40</v>
      </c>
      <c r="H513" s="690" t="s">
        <v>84</v>
      </c>
      <c r="I513" s="691" t="s">
        <v>508</v>
      </c>
      <c r="J513" s="721">
        <v>8773135000100</v>
      </c>
      <c r="K513" s="691" t="s">
        <v>43</v>
      </c>
      <c r="L513" s="721">
        <v>3780401000108</v>
      </c>
      <c r="M513" s="718" t="s">
        <v>5</v>
      </c>
      <c r="N513" s="717" t="s">
        <v>44</v>
      </c>
      <c r="O513" s="719">
        <v>44713</v>
      </c>
      <c r="P513" s="720">
        <v>44742</v>
      </c>
      <c r="Q513" s="718">
        <v>29.5</v>
      </c>
      <c r="R513" s="717">
        <v>5</v>
      </c>
      <c r="S513" s="691" t="s">
        <v>92</v>
      </c>
      <c r="T513" t="s">
        <v>358</v>
      </c>
      <c r="U513" s="673" t="s">
        <v>358</v>
      </c>
      <c r="V513" s="690" t="s">
        <v>358</v>
      </c>
      <c r="W513" s="657" t="s">
        <v>324</v>
      </c>
      <c r="X513" s="723"/>
      <c r="Y513" s="4"/>
      <c r="Z513" s="4"/>
      <c r="AA513" s="4"/>
      <c r="AB513" s="4"/>
      <c r="AC513" s="4">
        <v>5</v>
      </c>
      <c r="AD513" s="4"/>
      <c r="AE513" s="4"/>
      <c r="AF513" s="4"/>
      <c r="AG513" s="4"/>
      <c r="AH513" s="4"/>
      <c r="AI513" s="654"/>
      <c r="AJ513" s="655"/>
      <c r="AK513" s="4"/>
      <c r="AL513" s="4"/>
      <c r="AM513" s="4"/>
      <c r="AN513" s="4"/>
      <c r="AO513" s="4"/>
      <c r="AP513" s="4"/>
      <c r="AQ513" s="4"/>
      <c r="AR513" s="4"/>
      <c r="AS513" s="4"/>
      <c r="AT513" s="4"/>
      <c r="AU513" s="654"/>
      <c r="AV513" s="655"/>
      <c r="AW513" s="4"/>
      <c r="AX513" s="4"/>
      <c r="AY513" s="4"/>
      <c r="AZ513" s="4"/>
      <c r="BA513" s="4"/>
      <c r="BB513" s="4"/>
      <c r="BC513" s="4"/>
      <c r="BD513" s="4"/>
      <c r="BE513" s="4"/>
      <c r="BF513" s="4"/>
      <c r="BG513" s="654"/>
      <c r="BH513" s="655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654"/>
      <c r="BT513" s="655"/>
      <c r="BU513" s="4"/>
      <c r="BV513" s="4"/>
      <c r="BW513" s="4"/>
      <c r="BX513" s="4"/>
      <c r="BY513" s="4"/>
      <c r="BZ513" s="4"/>
      <c r="CA513" s="4"/>
      <c r="CB513" s="4"/>
      <c r="CC513" s="4"/>
      <c r="CD513" s="4"/>
      <c r="CE513" s="693"/>
      <c r="CF513" s="723"/>
      <c r="CG513" s="4"/>
      <c r="CH513" s="4"/>
      <c r="CI513" s="4"/>
      <c r="CJ513" s="4"/>
      <c r="CK513" s="4">
        <v>29.5</v>
      </c>
      <c r="CL513" s="4"/>
      <c r="CM513" s="4"/>
      <c r="CN513" s="4"/>
      <c r="CO513" s="4"/>
      <c r="CP513" s="4"/>
      <c r="CQ513" s="654"/>
      <c r="CR513" s="655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654"/>
      <c r="DD513" s="655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654"/>
      <c r="DP513" s="655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654"/>
      <c r="EB513" s="655"/>
      <c r="EC513" s="4"/>
      <c r="ED513" s="4"/>
      <c r="EE513" s="4"/>
      <c r="EF513" s="4"/>
      <c r="EG513" s="4"/>
      <c r="EH513" s="4"/>
      <c r="EI513" s="4"/>
      <c r="EJ513" s="4"/>
      <c r="EK513" s="4"/>
      <c r="EL513" s="4"/>
      <c r="EM513" s="693"/>
      <c r="EN513" s="723"/>
      <c r="EO513" s="4"/>
      <c r="EP513" s="4"/>
      <c r="EQ513" s="4"/>
      <c r="ER513" s="4"/>
      <c r="ES513" s="4">
        <v>85.210000000000008</v>
      </c>
      <c r="ET513" s="4"/>
      <c r="EU513" s="4"/>
      <c r="EV513" s="4"/>
      <c r="EW513" s="4"/>
      <c r="EX513" s="4"/>
      <c r="EY513" s="654"/>
      <c r="EZ513" s="655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654"/>
      <c r="FL513" s="655"/>
      <c r="FM513" s="4"/>
      <c r="FN513" s="4"/>
      <c r="FO513" s="4"/>
      <c r="FP513" s="4"/>
      <c r="FQ513" s="4"/>
      <c r="FR513" s="4"/>
      <c r="FS513" s="4"/>
      <c r="FT513" s="4"/>
      <c r="FU513" s="4"/>
      <c r="FV513" s="4"/>
      <c r="FW513" s="654"/>
      <c r="FX513" s="655"/>
      <c r="FY513" s="4"/>
      <c r="FZ513" s="4"/>
      <c r="GA513" s="4"/>
      <c r="GB513" s="4"/>
      <c r="GC513" s="4"/>
      <c r="GD513" s="4"/>
      <c r="GE513" s="4"/>
      <c r="GF513" s="4"/>
      <c r="GG513" s="4"/>
      <c r="GH513" s="4"/>
      <c r="GI513" s="654"/>
      <c r="GJ513" s="655"/>
      <c r="GK513" s="4"/>
      <c r="GL513" s="4"/>
      <c r="GM513" s="4"/>
      <c r="GN513" s="4"/>
      <c r="GO513" s="4"/>
      <c r="GP513" s="4"/>
      <c r="GQ513" s="4"/>
      <c r="GR513" s="4"/>
      <c r="GS513" s="4"/>
      <c r="GT513" s="4"/>
      <c r="GU513" s="722"/>
      <c r="GV513" s="715"/>
    </row>
    <row r="514" spans="1:204" x14ac:dyDescent="0.25">
      <c r="A514" t="s">
        <v>1904</v>
      </c>
      <c r="B514" s="2" t="s">
        <v>1903</v>
      </c>
      <c r="C514" s="619">
        <v>44743</v>
      </c>
      <c r="D514" s="2" t="s">
        <v>1898</v>
      </c>
      <c r="E514" t="s">
        <v>58</v>
      </c>
      <c r="F514" s="2" t="s">
        <v>43</v>
      </c>
      <c r="G514" t="s">
        <v>40</v>
      </c>
      <c r="H514" s="690" t="s">
        <v>84</v>
      </c>
      <c r="I514" s="691" t="s">
        <v>471</v>
      </c>
      <c r="J514" s="721">
        <v>11182210000164</v>
      </c>
      <c r="K514" s="691" t="s">
        <v>43</v>
      </c>
      <c r="L514" s="721">
        <v>3780401000108</v>
      </c>
      <c r="M514" s="718" t="s">
        <v>5</v>
      </c>
      <c r="N514" s="717" t="s">
        <v>44</v>
      </c>
      <c r="O514" s="719">
        <v>44713</v>
      </c>
      <c r="P514" s="720">
        <v>44742</v>
      </c>
      <c r="Q514" s="718">
        <v>30</v>
      </c>
      <c r="R514" s="717">
        <v>5</v>
      </c>
      <c r="S514" s="691" t="s">
        <v>92</v>
      </c>
      <c r="T514" t="s">
        <v>358</v>
      </c>
      <c r="U514" s="673" t="s">
        <v>358</v>
      </c>
      <c r="V514" s="690" t="s">
        <v>358</v>
      </c>
      <c r="W514" s="657" t="s">
        <v>324</v>
      </c>
      <c r="X514" s="723"/>
      <c r="Y514" s="4"/>
      <c r="Z514" s="4"/>
      <c r="AA514" s="4"/>
      <c r="AB514" s="4"/>
      <c r="AC514" s="4">
        <v>5</v>
      </c>
      <c r="AD514" s="4"/>
      <c r="AE514" s="4"/>
      <c r="AF514" s="4"/>
      <c r="AG514" s="4"/>
      <c r="AH514" s="4"/>
      <c r="AI514" s="654"/>
      <c r="AJ514" s="655"/>
      <c r="AK514" s="4"/>
      <c r="AL514" s="4"/>
      <c r="AM514" s="4"/>
      <c r="AN514" s="4"/>
      <c r="AO514" s="4"/>
      <c r="AP514" s="4"/>
      <c r="AQ514" s="4"/>
      <c r="AR514" s="4"/>
      <c r="AS514" s="4"/>
      <c r="AT514" s="4"/>
      <c r="AU514" s="654"/>
      <c r="AV514" s="655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654"/>
      <c r="BH514" s="655"/>
      <c r="BI514" s="4"/>
      <c r="BJ514" s="4"/>
      <c r="BK514" s="4"/>
      <c r="BL514" s="4"/>
      <c r="BM514" s="4"/>
      <c r="BN514" s="4"/>
      <c r="BO514" s="4"/>
      <c r="BP514" s="4"/>
      <c r="BQ514" s="4"/>
      <c r="BR514" s="4"/>
      <c r="BS514" s="654"/>
      <c r="BT514" s="655"/>
      <c r="BU514" s="4"/>
      <c r="BV514" s="4"/>
      <c r="BW514" s="4"/>
      <c r="BX514" s="4"/>
      <c r="BY514" s="4"/>
      <c r="BZ514" s="4"/>
      <c r="CA514" s="4"/>
      <c r="CB514" s="4"/>
      <c r="CC514" s="4"/>
      <c r="CD514" s="4"/>
      <c r="CE514" s="693"/>
      <c r="CF514" s="723"/>
      <c r="CG514" s="4"/>
      <c r="CH514" s="4"/>
      <c r="CI514" s="4"/>
      <c r="CJ514" s="4"/>
      <c r="CK514" s="4">
        <v>30</v>
      </c>
      <c r="CL514" s="4"/>
      <c r="CM514" s="4"/>
      <c r="CN514" s="4"/>
      <c r="CO514" s="4"/>
      <c r="CP514" s="4"/>
      <c r="CQ514" s="654"/>
      <c r="CR514" s="655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654"/>
      <c r="DD514" s="655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654"/>
      <c r="DP514" s="655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654"/>
      <c r="EB514" s="655"/>
      <c r="EC514" s="4"/>
      <c r="ED514" s="4"/>
      <c r="EE514" s="4"/>
      <c r="EF514" s="4"/>
      <c r="EG514" s="4"/>
      <c r="EH514" s="4"/>
      <c r="EI514" s="4"/>
      <c r="EJ514" s="4"/>
      <c r="EK514" s="4"/>
      <c r="EL514" s="4"/>
      <c r="EM514" s="693"/>
      <c r="EN514" s="723"/>
      <c r="EO514" s="4"/>
      <c r="EP514" s="4"/>
      <c r="EQ514" s="4"/>
      <c r="ER514" s="4"/>
      <c r="ES514" s="4">
        <v>85.710000000000008</v>
      </c>
      <c r="ET514" s="4"/>
      <c r="EU514" s="4"/>
      <c r="EV514" s="4"/>
      <c r="EW514" s="4"/>
      <c r="EX514" s="4"/>
      <c r="EY514" s="654"/>
      <c r="EZ514" s="655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654"/>
      <c r="FL514" s="655"/>
      <c r="FM514" s="4"/>
      <c r="FN514" s="4"/>
      <c r="FO514" s="4"/>
      <c r="FP514" s="4"/>
      <c r="FQ514" s="4"/>
      <c r="FR514" s="4"/>
      <c r="FS514" s="4"/>
      <c r="FT514" s="4"/>
      <c r="FU514" s="4"/>
      <c r="FV514" s="4"/>
      <c r="FW514" s="654"/>
      <c r="FX514" s="655"/>
      <c r="FY514" s="4"/>
      <c r="FZ514" s="4"/>
      <c r="GA514" s="4"/>
      <c r="GB514" s="4"/>
      <c r="GC514" s="4"/>
      <c r="GD514" s="4"/>
      <c r="GE514" s="4"/>
      <c r="GF514" s="4"/>
      <c r="GG514" s="4"/>
      <c r="GH514" s="4"/>
      <c r="GI514" s="654"/>
      <c r="GJ514" s="655"/>
      <c r="GK514" s="4"/>
      <c r="GL514" s="4"/>
      <c r="GM514" s="4"/>
      <c r="GN514" s="4"/>
      <c r="GO514" s="4"/>
      <c r="GP514" s="4"/>
      <c r="GQ514" s="4"/>
      <c r="GR514" s="4"/>
      <c r="GS514" s="4"/>
      <c r="GT514" s="4"/>
      <c r="GU514" s="722"/>
      <c r="GV514" s="715"/>
    </row>
    <row r="515" spans="1:204" x14ac:dyDescent="0.25">
      <c r="A515" t="s">
        <v>1906</v>
      </c>
      <c r="B515" s="2" t="s">
        <v>1905</v>
      </c>
      <c r="C515" s="619">
        <v>44743</v>
      </c>
      <c r="D515" s="2" t="s">
        <v>1899</v>
      </c>
      <c r="E515" t="s">
        <v>58</v>
      </c>
      <c r="F515" s="2" t="s">
        <v>43</v>
      </c>
      <c r="G515" t="s">
        <v>40</v>
      </c>
      <c r="H515" s="690" t="s">
        <v>84</v>
      </c>
      <c r="I515" s="691" t="s">
        <v>1166</v>
      </c>
      <c r="J515" s="721">
        <v>7393256000155</v>
      </c>
      <c r="K515" s="691" t="s">
        <v>43</v>
      </c>
      <c r="L515" s="721">
        <v>3780401000108</v>
      </c>
      <c r="M515" s="718" t="s">
        <v>5</v>
      </c>
      <c r="N515" s="717" t="s">
        <v>44</v>
      </c>
      <c r="O515" s="719">
        <v>44713</v>
      </c>
      <c r="P515" s="720">
        <v>44742</v>
      </c>
      <c r="Q515" s="718">
        <v>30.2</v>
      </c>
      <c r="R515" s="717">
        <v>5</v>
      </c>
      <c r="S515" s="691" t="s">
        <v>92</v>
      </c>
      <c r="T515" t="s">
        <v>358</v>
      </c>
      <c r="U515" s="673" t="s">
        <v>358</v>
      </c>
      <c r="V515" s="690" t="s">
        <v>358</v>
      </c>
      <c r="W515" s="657" t="s">
        <v>324</v>
      </c>
      <c r="X515" s="723"/>
      <c r="Y515" s="4"/>
      <c r="Z515" s="4"/>
      <c r="AA515" s="4"/>
      <c r="AB515" s="4"/>
      <c r="AC515" s="4">
        <v>5</v>
      </c>
      <c r="AD515" s="4"/>
      <c r="AE515" s="4"/>
      <c r="AF515" s="4"/>
      <c r="AG515" s="4"/>
      <c r="AH515" s="4"/>
      <c r="AI515" s="654"/>
      <c r="AJ515" s="655"/>
      <c r="AK515" s="4"/>
      <c r="AL515" s="4"/>
      <c r="AM515" s="4"/>
      <c r="AN515" s="4"/>
      <c r="AO515" s="4"/>
      <c r="AP515" s="4"/>
      <c r="AQ515" s="4"/>
      <c r="AR515" s="4"/>
      <c r="AS515" s="4"/>
      <c r="AT515" s="4"/>
      <c r="AU515" s="654"/>
      <c r="AV515" s="655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654"/>
      <c r="BH515" s="655"/>
      <c r="BI515" s="4"/>
      <c r="BJ515" s="4"/>
      <c r="BK515" s="4"/>
      <c r="BL515" s="4"/>
      <c r="BM515" s="4"/>
      <c r="BN515" s="4"/>
      <c r="BO515" s="4"/>
      <c r="BP515" s="4"/>
      <c r="BQ515" s="4"/>
      <c r="BR515" s="4"/>
      <c r="BS515" s="654"/>
      <c r="BT515" s="655"/>
      <c r="BU515" s="4"/>
      <c r="BV515" s="4"/>
      <c r="BW515" s="4"/>
      <c r="BX515" s="4"/>
      <c r="BY515" s="4"/>
      <c r="BZ515" s="4"/>
      <c r="CA515" s="4"/>
      <c r="CB515" s="4"/>
      <c r="CC515" s="4"/>
      <c r="CD515" s="4"/>
      <c r="CE515" s="693"/>
      <c r="CF515" s="723"/>
      <c r="CG515" s="4"/>
      <c r="CH515" s="4"/>
      <c r="CI515" s="4"/>
      <c r="CJ515" s="4"/>
      <c r="CK515" s="4">
        <v>30.2</v>
      </c>
      <c r="CL515" s="4"/>
      <c r="CM515" s="4"/>
      <c r="CN515" s="4"/>
      <c r="CO515" s="4"/>
      <c r="CP515" s="4"/>
      <c r="CQ515" s="654"/>
      <c r="CR515" s="655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654"/>
      <c r="DD515" s="655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654"/>
      <c r="DP515" s="655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654"/>
      <c r="EB515" s="655"/>
      <c r="EC515" s="4"/>
      <c r="ED515" s="4"/>
      <c r="EE515" s="4"/>
      <c r="EF515" s="4"/>
      <c r="EG515" s="4"/>
      <c r="EH515" s="4"/>
      <c r="EI515" s="4"/>
      <c r="EJ515" s="4"/>
      <c r="EK515" s="4"/>
      <c r="EL515" s="4"/>
      <c r="EM515" s="693"/>
      <c r="EN515" s="723"/>
      <c r="EO515" s="4"/>
      <c r="EP515" s="4"/>
      <c r="EQ515" s="4"/>
      <c r="ER515" s="4"/>
      <c r="ES515" s="4">
        <v>85.91</v>
      </c>
      <c r="ET515" s="4"/>
      <c r="EU515" s="4"/>
      <c r="EV515" s="4"/>
      <c r="EW515" s="4"/>
      <c r="EX515" s="4"/>
      <c r="EY515" s="654"/>
      <c r="EZ515" s="655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654"/>
      <c r="FL515" s="655"/>
      <c r="FM515" s="4"/>
      <c r="FN515" s="4"/>
      <c r="FO515" s="4"/>
      <c r="FP515" s="4"/>
      <c r="FQ515" s="4"/>
      <c r="FR515" s="4"/>
      <c r="FS515" s="4"/>
      <c r="FT515" s="4"/>
      <c r="FU515" s="4"/>
      <c r="FV515" s="4"/>
      <c r="FW515" s="654"/>
      <c r="FX515" s="655"/>
      <c r="FY515" s="4"/>
      <c r="FZ515" s="4"/>
      <c r="GA515" s="4"/>
      <c r="GB515" s="4"/>
      <c r="GC515" s="4"/>
      <c r="GD515" s="4"/>
      <c r="GE515" s="4"/>
      <c r="GF515" s="4"/>
      <c r="GG515" s="4"/>
      <c r="GH515" s="4"/>
      <c r="GI515" s="654"/>
      <c r="GJ515" s="655"/>
      <c r="GK515" s="4"/>
      <c r="GL515" s="4"/>
      <c r="GM515" s="4"/>
      <c r="GN515" s="4"/>
      <c r="GO515" s="4"/>
      <c r="GP515" s="4"/>
      <c r="GQ515" s="4"/>
      <c r="GR515" s="4"/>
      <c r="GS515" s="4"/>
      <c r="GT515" s="4"/>
      <c r="GU515" s="722"/>
      <c r="GV515" s="715"/>
    </row>
    <row r="516" spans="1:204" x14ac:dyDescent="0.25">
      <c r="A516" t="s">
        <v>1907</v>
      </c>
      <c r="B516" s="2" t="s">
        <v>358</v>
      </c>
      <c r="C516" s="619">
        <v>44743</v>
      </c>
      <c r="D516" s="2" t="s">
        <v>1900</v>
      </c>
      <c r="E516" t="s">
        <v>59</v>
      </c>
      <c r="F516" s="2" t="s">
        <v>43</v>
      </c>
      <c r="G516" t="s">
        <v>40</v>
      </c>
      <c r="H516" s="690" t="s">
        <v>85</v>
      </c>
      <c r="I516" s="691" t="s">
        <v>43</v>
      </c>
      <c r="J516" s="721">
        <v>3780401000108</v>
      </c>
      <c r="K516" s="691" t="s">
        <v>346</v>
      </c>
      <c r="L516" s="721" t="e">
        <v>#VALUE!</v>
      </c>
      <c r="M516" s="718" t="s">
        <v>5</v>
      </c>
      <c r="N516" s="717" t="s">
        <v>44</v>
      </c>
      <c r="O516" s="719">
        <v>44713</v>
      </c>
      <c r="P516" s="720">
        <v>44742</v>
      </c>
      <c r="Q516" s="718">
        <v>30.38</v>
      </c>
      <c r="R516" s="717">
        <v>29</v>
      </c>
      <c r="S516" s="691" t="s">
        <v>92</v>
      </c>
      <c r="T516" t="s">
        <v>358</v>
      </c>
      <c r="U516" s="673" t="s">
        <v>358</v>
      </c>
      <c r="V516" s="690" t="s">
        <v>358</v>
      </c>
      <c r="W516" s="657" t="s">
        <v>214</v>
      </c>
      <c r="X516" s="723"/>
      <c r="Y516" s="4"/>
      <c r="Z516" s="4"/>
      <c r="AA516" s="4"/>
      <c r="AB516" s="4"/>
      <c r="AC516" s="4">
        <v>29</v>
      </c>
      <c r="AD516" s="4"/>
      <c r="AE516" s="4"/>
      <c r="AF516" s="4"/>
      <c r="AG516" s="4"/>
      <c r="AH516" s="4"/>
      <c r="AI516" s="654"/>
      <c r="AJ516" s="655"/>
      <c r="AK516" s="4"/>
      <c r="AL516" s="4"/>
      <c r="AM516" s="4"/>
      <c r="AN516" s="4"/>
      <c r="AO516" s="4"/>
      <c r="AP516" s="4"/>
      <c r="AQ516" s="4"/>
      <c r="AR516" s="4"/>
      <c r="AS516" s="4"/>
      <c r="AT516" s="4"/>
      <c r="AU516" s="654"/>
      <c r="AV516" s="655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654"/>
      <c r="BH516" s="655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654"/>
      <c r="BT516" s="655"/>
      <c r="BU516" s="4"/>
      <c r="BV516" s="4"/>
      <c r="BW516" s="4"/>
      <c r="BX516" s="4"/>
      <c r="BY516" s="4"/>
      <c r="BZ516" s="4"/>
      <c r="CA516" s="4"/>
      <c r="CB516" s="4"/>
      <c r="CC516" s="4"/>
      <c r="CD516" s="4"/>
      <c r="CE516" s="693"/>
      <c r="CF516" s="723"/>
      <c r="CG516" s="4"/>
      <c r="CH516" s="4"/>
      <c r="CI516" s="4"/>
      <c r="CJ516" s="4"/>
      <c r="CK516" s="4">
        <v>30.38</v>
      </c>
      <c r="CL516" s="4"/>
      <c r="CM516" s="4"/>
      <c r="CN516" s="4"/>
      <c r="CO516" s="4"/>
      <c r="CP516" s="4"/>
      <c r="CQ516" s="654"/>
      <c r="CR516" s="655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654"/>
      <c r="DD516" s="655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654"/>
      <c r="DP516" s="655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654"/>
      <c r="EB516" s="655"/>
      <c r="EC516" s="4"/>
      <c r="ED516" s="4"/>
      <c r="EE516" s="4"/>
      <c r="EF516" s="4"/>
      <c r="EG516" s="4"/>
      <c r="EH516" s="4"/>
      <c r="EI516" s="4"/>
      <c r="EJ516" s="4"/>
      <c r="EK516" s="4"/>
      <c r="EL516" s="4"/>
      <c r="EM516" s="693"/>
      <c r="EN516" s="723"/>
      <c r="EO516" s="4"/>
      <c r="EP516" s="4"/>
      <c r="EQ516" s="4"/>
      <c r="ER516" s="4"/>
      <c r="ES516" s="4">
        <v>86.09</v>
      </c>
      <c r="ET516" s="4"/>
      <c r="EU516" s="4"/>
      <c r="EV516" s="4"/>
      <c r="EW516" s="4"/>
      <c r="EX516" s="4"/>
      <c r="EY516" s="654"/>
      <c r="EZ516" s="655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654"/>
      <c r="FL516" s="655"/>
      <c r="FM516" s="4"/>
      <c r="FN516" s="4"/>
      <c r="FO516" s="4"/>
      <c r="FP516" s="4"/>
      <c r="FQ516" s="4"/>
      <c r="FR516" s="4"/>
      <c r="FS516" s="4"/>
      <c r="FT516" s="4"/>
      <c r="FU516" s="4"/>
      <c r="FV516" s="4"/>
      <c r="FW516" s="654"/>
      <c r="FX516" s="655"/>
      <c r="FY516" s="4"/>
      <c r="FZ516" s="4"/>
      <c r="GA516" s="4"/>
      <c r="GB516" s="4"/>
      <c r="GC516" s="4"/>
      <c r="GD516" s="4"/>
      <c r="GE516" s="4"/>
      <c r="GF516" s="4"/>
      <c r="GG516" s="4"/>
      <c r="GH516" s="4"/>
      <c r="GI516" s="654"/>
      <c r="GJ516" s="655"/>
      <c r="GK516" s="4"/>
      <c r="GL516" s="4"/>
      <c r="GM516" s="4"/>
      <c r="GN516" s="4"/>
      <c r="GO516" s="4"/>
      <c r="GP516" s="4"/>
      <c r="GQ516" s="4"/>
      <c r="GR516" s="4"/>
      <c r="GS516" s="4"/>
      <c r="GT516" s="4"/>
      <c r="GU516" s="722"/>
      <c r="GV516" s="715"/>
    </row>
    <row r="517" spans="1:204" x14ac:dyDescent="0.25">
      <c r="A517" t="s">
        <v>1909</v>
      </c>
      <c r="B517" s="2" t="s">
        <v>1908</v>
      </c>
      <c r="C517" s="619">
        <v>44743</v>
      </c>
      <c r="D517" s="2">
        <v>25504</v>
      </c>
      <c r="E517" t="s">
        <v>58</v>
      </c>
      <c r="F517" s="2" t="s">
        <v>43</v>
      </c>
      <c r="G517" t="s">
        <v>40</v>
      </c>
      <c r="H517" s="690" t="s">
        <v>84</v>
      </c>
      <c r="I517" s="691" t="s">
        <v>1073</v>
      </c>
      <c r="J517" s="721">
        <v>19125927000186</v>
      </c>
      <c r="K517" s="691" t="s">
        <v>43</v>
      </c>
      <c r="L517" s="721">
        <v>3780401000108</v>
      </c>
      <c r="M517" s="718" t="s">
        <v>5</v>
      </c>
      <c r="N517" s="717" t="s">
        <v>44</v>
      </c>
      <c r="O517" s="719">
        <v>44713</v>
      </c>
      <c r="P517" s="720">
        <v>44742</v>
      </c>
      <c r="Q517" s="718">
        <v>31</v>
      </c>
      <c r="R517" s="717">
        <v>10.199999999999999</v>
      </c>
      <c r="S517" s="691" t="s">
        <v>92</v>
      </c>
      <c r="T517" t="s">
        <v>358</v>
      </c>
      <c r="U517" s="673" t="s">
        <v>358</v>
      </c>
      <c r="V517" s="690" t="s">
        <v>358</v>
      </c>
      <c r="W517" s="657" t="s">
        <v>324</v>
      </c>
      <c r="X517" s="723"/>
      <c r="Y517" s="4"/>
      <c r="Z517" s="4"/>
      <c r="AA517" s="4"/>
      <c r="AB517" s="4"/>
      <c r="AC517" s="4">
        <v>10.199999999999999</v>
      </c>
      <c r="AD517" s="4"/>
      <c r="AE517" s="4"/>
      <c r="AF517" s="4"/>
      <c r="AG517" s="4"/>
      <c r="AH517" s="4"/>
      <c r="AI517" s="654"/>
      <c r="AJ517" s="655"/>
      <c r="AK517" s="4"/>
      <c r="AL517" s="4"/>
      <c r="AM517" s="4"/>
      <c r="AN517" s="4"/>
      <c r="AO517" s="4"/>
      <c r="AP517" s="4"/>
      <c r="AQ517" s="4"/>
      <c r="AR517" s="4"/>
      <c r="AS517" s="4"/>
      <c r="AT517" s="4"/>
      <c r="AU517" s="654"/>
      <c r="AV517" s="655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654"/>
      <c r="BH517" s="655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654"/>
      <c r="BT517" s="655"/>
      <c r="BU517" s="4"/>
      <c r="BV517" s="4"/>
      <c r="BW517" s="4"/>
      <c r="BX517" s="4"/>
      <c r="BY517" s="4"/>
      <c r="BZ517" s="4"/>
      <c r="CA517" s="4"/>
      <c r="CB517" s="4"/>
      <c r="CC517" s="4"/>
      <c r="CD517" s="4"/>
      <c r="CE517" s="693"/>
      <c r="CF517" s="723"/>
      <c r="CG517" s="4"/>
      <c r="CH517" s="4"/>
      <c r="CI517" s="4"/>
      <c r="CJ517" s="4"/>
      <c r="CK517" s="4">
        <v>31</v>
      </c>
      <c r="CL517" s="4"/>
      <c r="CM517" s="4"/>
      <c r="CN517" s="4"/>
      <c r="CO517" s="4"/>
      <c r="CP517" s="4"/>
      <c r="CQ517" s="654"/>
      <c r="CR517" s="655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654"/>
      <c r="DD517" s="655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654"/>
      <c r="DP517" s="655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654"/>
      <c r="EB517" s="655"/>
      <c r="EC517" s="4"/>
      <c r="ED517" s="4"/>
      <c r="EE517" s="4"/>
      <c r="EF517" s="4"/>
      <c r="EG517" s="4"/>
      <c r="EH517" s="4"/>
      <c r="EI517" s="4"/>
      <c r="EJ517" s="4"/>
      <c r="EK517" s="4"/>
      <c r="EL517" s="4"/>
      <c r="EM517" s="693"/>
      <c r="EN517" s="723"/>
      <c r="EO517" s="4"/>
      <c r="EP517" s="4"/>
      <c r="EQ517" s="4"/>
      <c r="ER517" s="4"/>
      <c r="ES517" s="4">
        <v>86.710000000000008</v>
      </c>
      <c r="ET517" s="4"/>
      <c r="EU517" s="4"/>
      <c r="EV517" s="4"/>
      <c r="EW517" s="4"/>
      <c r="EX517" s="4"/>
      <c r="EY517" s="654"/>
      <c r="EZ517" s="655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654"/>
      <c r="FL517" s="655"/>
      <c r="FM517" s="4"/>
      <c r="FN517" s="4"/>
      <c r="FO517" s="4"/>
      <c r="FP517" s="4"/>
      <c r="FQ517" s="4"/>
      <c r="FR517" s="4"/>
      <c r="FS517" s="4"/>
      <c r="FT517" s="4"/>
      <c r="FU517" s="4"/>
      <c r="FV517" s="4"/>
      <c r="FW517" s="654"/>
      <c r="FX517" s="655"/>
      <c r="FY517" s="4"/>
      <c r="FZ517" s="4"/>
      <c r="GA517" s="4"/>
      <c r="GB517" s="4"/>
      <c r="GC517" s="4"/>
      <c r="GD517" s="4"/>
      <c r="GE517" s="4"/>
      <c r="GF517" s="4"/>
      <c r="GG517" s="4"/>
      <c r="GH517" s="4"/>
      <c r="GI517" s="654"/>
      <c r="GJ517" s="655"/>
      <c r="GK517" s="4"/>
      <c r="GL517" s="4"/>
      <c r="GM517" s="4"/>
      <c r="GN517" s="4"/>
      <c r="GO517" s="4"/>
      <c r="GP517" s="4"/>
      <c r="GQ517" s="4"/>
      <c r="GR517" s="4"/>
      <c r="GS517" s="4"/>
      <c r="GT517" s="4"/>
      <c r="GU517" s="722"/>
      <c r="GV517" s="715"/>
    </row>
    <row r="518" spans="1:204" x14ac:dyDescent="0.25">
      <c r="A518" t="s">
        <v>1922</v>
      </c>
      <c r="B518" s="2" t="s">
        <v>1921</v>
      </c>
      <c r="C518" s="619">
        <v>44746</v>
      </c>
      <c r="D518" s="2" t="s">
        <v>1910</v>
      </c>
      <c r="E518" t="s">
        <v>58</v>
      </c>
      <c r="F518" s="2" t="s">
        <v>43</v>
      </c>
      <c r="G518" t="s">
        <v>40</v>
      </c>
      <c r="H518" s="690" t="s">
        <v>84</v>
      </c>
      <c r="I518" s="691" t="s">
        <v>1917</v>
      </c>
      <c r="J518" s="721">
        <v>13338734000127</v>
      </c>
      <c r="K518" s="691" t="s">
        <v>43</v>
      </c>
      <c r="L518" s="721">
        <v>3780401000108</v>
      </c>
      <c r="M518" s="718" t="s">
        <v>5</v>
      </c>
      <c r="N518" s="717" t="s">
        <v>44</v>
      </c>
      <c r="O518" s="719">
        <v>44713</v>
      </c>
      <c r="P518" s="720">
        <v>44742</v>
      </c>
      <c r="Q518" s="718">
        <v>29.9</v>
      </c>
      <c r="R518" s="717">
        <v>1</v>
      </c>
      <c r="S518" s="691" t="s">
        <v>92</v>
      </c>
      <c r="T518" t="s">
        <v>358</v>
      </c>
      <c r="U518" s="673" t="s">
        <v>358</v>
      </c>
      <c r="V518" s="690" t="s">
        <v>358</v>
      </c>
      <c r="W518" s="657" t="s">
        <v>324</v>
      </c>
      <c r="X518" s="723"/>
      <c r="Y518" s="4"/>
      <c r="Z518" s="4"/>
      <c r="AA518" s="4"/>
      <c r="AB518" s="4"/>
      <c r="AC518" s="4">
        <v>1</v>
      </c>
      <c r="AD518" s="4"/>
      <c r="AE518" s="4"/>
      <c r="AF518" s="4"/>
      <c r="AG518" s="4"/>
      <c r="AH518" s="4"/>
      <c r="AI518" s="654"/>
      <c r="AJ518" s="655"/>
      <c r="AK518" s="4"/>
      <c r="AL518" s="4"/>
      <c r="AM518" s="4"/>
      <c r="AN518" s="4"/>
      <c r="AO518" s="4"/>
      <c r="AP518" s="4"/>
      <c r="AQ518" s="4"/>
      <c r="AR518" s="4"/>
      <c r="AS518" s="4"/>
      <c r="AT518" s="4"/>
      <c r="AU518" s="654"/>
      <c r="AV518" s="655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654"/>
      <c r="BH518" s="655"/>
      <c r="BI518" s="4"/>
      <c r="BJ518" s="4"/>
      <c r="BK518" s="4"/>
      <c r="BL518" s="4"/>
      <c r="BM518" s="4"/>
      <c r="BN518" s="4"/>
      <c r="BO518" s="4"/>
      <c r="BP518" s="4"/>
      <c r="BQ518" s="4"/>
      <c r="BR518" s="4"/>
      <c r="BS518" s="654"/>
      <c r="BT518" s="655"/>
      <c r="BU518" s="4"/>
      <c r="BV518" s="4"/>
      <c r="BW518" s="4"/>
      <c r="BX518" s="4"/>
      <c r="BY518" s="4"/>
      <c r="BZ518" s="4"/>
      <c r="CA518" s="4"/>
      <c r="CB518" s="4"/>
      <c r="CC518" s="4"/>
      <c r="CD518" s="4"/>
      <c r="CE518" s="693"/>
      <c r="CF518" s="723"/>
      <c r="CG518" s="4"/>
      <c r="CH518" s="4"/>
      <c r="CI518" s="4"/>
      <c r="CJ518" s="4"/>
      <c r="CK518" s="4">
        <v>29.9</v>
      </c>
      <c r="CL518" s="4"/>
      <c r="CM518" s="4"/>
      <c r="CN518" s="4"/>
      <c r="CO518" s="4"/>
      <c r="CP518" s="4"/>
      <c r="CQ518" s="654"/>
      <c r="CR518" s="655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654"/>
      <c r="DD518" s="655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654"/>
      <c r="DP518" s="655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654"/>
      <c r="EB518" s="655"/>
      <c r="EC518" s="4"/>
      <c r="ED518" s="4"/>
      <c r="EE518" s="4"/>
      <c r="EF518" s="4"/>
      <c r="EG518" s="4"/>
      <c r="EH518" s="4"/>
      <c r="EI518" s="4"/>
      <c r="EJ518" s="4"/>
      <c r="EK518" s="4"/>
      <c r="EL518" s="4"/>
      <c r="EM518" s="693"/>
      <c r="EN518" s="723"/>
      <c r="EO518" s="4"/>
      <c r="EP518" s="4"/>
      <c r="EQ518" s="4"/>
      <c r="ER518" s="4"/>
      <c r="ES518" s="4">
        <v>85.61</v>
      </c>
      <c r="ET518" s="4"/>
      <c r="EU518" s="4"/>
      <c r="EV518" s="4"/>
      <c r="EW518" s="4"/>
      <c r="EX518" s="4"/>
      <c r="EY518" s="654"/>
      <c r="EZ518" s="655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654"/>
      <c r="FL518" s="655"/>
      <c r="FM518" s="4"/>
      <c r="FN518" s="4"/>
      <c r="FO518" s="4"/>
      <c r="FP518" s="4"/>
      <c r="FQ518" s="4"/>
      <c r="FR518" s="4"/>
      <c r="FS518" s="4"/>
      <c r="FT518" s="4"/>
      <c r="FU518" s="4"/>
      <c r="FV518" s="4"/>
      <c r="FW518" s="654"/>
      <c r="FX518" s="655"/>
      <c r="FY518" s="4"/>
      <c r="FZ518" s="4"/>
      <c r="GA518" s="4"/>
      <c r="GB518" s="4"/>
      <c r="GC518" s="4"/>
      <c r="GD518" s="4"/>
      <c r="GE518" s="4"/>
      <c r="GF518" s="4"/>
      <c r="GG518" s="4"/>
      <c r="GH518" s="4"/>
      <c r="GI518" s="654"/>
      <c r="GJ518" s="655"/>
      <c r="GK518" s="4"/>
      <c r="GL518" s="4"/>
      <c r="GM518" s="4"/>
      <c r="GN518" s="4"/>
      <c r="GO518" s="4"/>
      <c r="GP518" s="4"/>
      <c r="GQ518" s="4"/>
      <c r="GR518" s="4"/>
      <c r="GS518" s="4"/>
      <c r="GT518" s="4"/>
      <c r="GU518" s="722"/>
      <c r="GV518" s="715"/>
    </row>
    <row r="519" spans="1:204" x14ac:dyDescent="0.25">
      <c r="A519" t="s">
        <v>1924</v>
      </c>
      <c r="B519" s="2" t="s">
        <v>1923</v>
      </c>
      <c r="C519" s="619">
        <v>44746</v>
      </c>
      <c r="D519" s="2" t="s">
        <v>1911</v>
      </c>
      <c r="E519" t="s">
        <v>58</v>
      </c>
      <c r="F519" s="2" t="s">
        <v>43</v>
      </c>
      <c r="G519" t="s">
        <v>40</v>
      </c>
      <c r="H519" s="690" t="s">
        <v>84</v>
      </c>
      <c r="I519" s="691" t="s">
        <v>1918</v>
      </c>
      <c r="J519" s="721">
        <v>32185360000100</v>
      </c>
      <c r="K519" s="691" t="s">
        <v>43</v>
      </c>
      <c r="L519" s="721">
        <v>3780401000108</v>
      </c>
      <c r="M519" s="718" t="s">
        <v>5</v>
      </c>
      <c r="N519" s="717" t="s">
        <v>44</v>
      </c>
      <c r="O519" s="719">
        <v>44713</v>
      </c>
      <c r="P519" s="720">
        <v>44742</v>
      </c>
      <c r="Q519" s="718">
        <v>30</v>
      </c>
      <c r="R519" s="717">
        <v>2</v>
      </c>
      <c r="S519" s="691" t="s">
        <v>92</v>
      </c>
      <c r="T519" t="s">
        <v>358</v>
      </c>
      <c r="U519" s="673" t="s">
        <v>358</v>
      </c>
      <c r="V519" s="690" t="s">
        <v>358</v>
      </c>
      <c r="W519" s="657" t="s">
        <v>324</v>
      </c>
      <c r="X519" s="723"/>
      <c r="Y519" s="4"/>
      <c r="Z519" s="4"/>
      <c r="AA519" s="4"/>
      <c r="AB519" s="4"/>
      <c r="AC519" s="4">
        <v>2</v>
      </c>
      <c r="AD519" s="4"/>
      <c r="AE519" s="4"/>
      <c r="AF519" s="4"/>
      <c r="AG519" s="4"/>
      <c r="AH519" s="4"/>
      <c r="AI519" s="654"/>
      <c r="AJ519" s="655"/>
      <c r="AK519" s="4"/>
      <c r="AL519" s="4"/>
      <c r="AM519" s="4"/>
      <c r="AN519" s="4"/>
      <c r="AO519" s="4"/>
      <c r="AP519" s="4"/>
      <c r="AQ519" s="4"/>
      <c r="AR519" s="4"/>
      <c r="AS519" s="4"/>
      <c r="AT519" s="4"/>
      <c r="AU519" s="654"/>
      <c r="AV519" s="655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654"/>
      <c r="BH519" s="655"/>
      <c r="BI519" s="4"/>
      <c r="BJ519" s="4"/>
      <c r="BK519" s="4"/>
      <c r="BL519" s="4"/>
      <c r="BM519" s="4"/>
      <c r="BN519" s="4"/>
      <c r="BO519" s="4"/>
      <c r="BP519" s="4"/>
      <c r="BQ519" s="4"/>
      <c r="BR519" s="4"/>
      <c r="BS519" s="654"/>
      <c r="BT519" s="655"/>
      <c r="BU519" s="4"/>
      <c r="BV519" s="4"/>
      <c r="BW519" s="4"/>
      <c r="BX519" s="4"/>
      <c r="BY519" s="4"/>
      <c r="BZ519" s="4"/>
      <c r="CA519" s="4"/>
      <c r="CB519" s="4"/>
      <c r="CC519" s="4"/>
      <c r="CD519" s="4"/>
      <c r="CE519" s="693"/>
      <c r="CF519" s="723"/>
      <c r="CG519" s="4"/>
      <c r="CH519" s="4"/>
      <c r="CI519" s="4"/>
      <c r="CJ519" s="4"/>
      <c r="CK519" s="4">
        <v>30</v>
      </c>
      <c r="CL519" s="4"/>
      <c r="CM519" s="4"/>
      <c r="CN519" s="4"/>
      <c r="CO519" s="4"/>
      <c r="CP519" s="4"/>
      <c r="CQ519" s="654"/>
      <c r="CR519" s="655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654"/>
      <c r="DD519" s="655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654"/>
      <c r="DP519" s="655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654"/>
      <c r="EB519" s="655"/>
      <c r="EC519" s="4"/>
      <c r="ED519" s="4"/>
      <c r="EE519" s="4"/>
      <c r="EF519" s="4"/>
      <c r="EG519" s="4"/>
      <c r="EH519" s="4"/>
      <c r="EI519" s="4"/>
      <c r="EJ519" s="4"/>
      <c r="EK519" s="4"/>
      <c r="EL519" s="4"/>
      <c r="EM519" s="693"/>
      <c r="EN519" s="723"/>
      <c r="EO519" s="4"/>
      <c r="EP519" s="4"/>
      <c r="EQ519" s="4"/>
      <c r="ER519" s="4"/>
      <c r="ES519" s="4">
        <v>85.710000000000008</v>
      </c>
      <c r="ET519" s="4"/>
      <c r="EU519" s="4"/>
      <c r="EV519" s="4"/>
      <c r="EW519" s="4"/>
      <c r="EX519" s="4"/>
      <c r="EY519" s="654"/>
      <c r="EZ519" s="655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654"/>
      <c r="FL519" s="655"/>
      <c r="FM519" s="4"/>
      <c r="FN519" s="4"/>
      <c r="FO519" s="4"/>
      <c r="FP519" s="4"/>
      <c r="FQ519" s="4"/>
      <c r="FR519" s="4"/>
      <c r="FS519" s="4"/>
      <c r="FT519" s="4"/>
      <c r="FU519" s="4"/>
      <c r="FV519" s="4"/>
      <c r="FW519" s="654"/>
      <c r="FX519" s="655"/>
      <c r="FY519" s="4"/>
      <c r="FZ519" s="4"/>
      <c r="GA519" s="4"/>
      <c r="GB519" s="4"/>
      <c r="GC519" s="4"/>
      <c r="GD519" s="4"/>
      <c r="GE519" s="4"/>
      <c r="GF519" s="4"/>
      <c r="GG519" s="4"/>
      <c r="GH519" s="4"/>
      <c r="GI519" s="654"/>
      <c r="GJ519" s="655"/>
      <c r="GK519" s="4"/>
      <c r="GL519" s="4"/>
      <c r="GM519" s="4"/>
      <c r="GN519" s="4"/>
      <c r="GO519" s="4"/>
      <c r="GP519" s="4"/>
      <c r="GQ519" s="4"/>
      <c r="GR519" s="4"/>
      <c r="GS519" s="4"/>
      <c r="GT519" s="4"/>
      <c r="GU519" s="722"/>
      <c r="GV519" s="715"/>
    </row>
    <row r="520" spans="1:204" x14ac:dyDescent="0.25">
      <c r="A520" t="s">
        <v>1926</v>
      </c>
      <c r="B520" s="2" t="s">
        <v>1925</v>
      </c>
      <c r="C520" s="619">
        <v>44746</v>
      </c>
      <c r="D520" s="2" t="s">
        <v>1912</v>
      </c>
      <c r="E520" t="s">
        <v>58</v>
      </c>
      <c r="F520" s="2" t="s">
        <v>43</v>
      </c>
      <c r="G520" t="s">
        <v>40</v>
      </c>
      <c r="H520" s="690" t="s">
        <v>84</v>
      </c>
      <c r="I520" s="691" t="s">
        <v>469</v>
      </c>
      <c r="J520" s="721">
        <v>9495582000107</v>
      </c>
      <c r="K520" s="691" t="s">
        <v>43</v>
      </c>
      <c r="L520" s="721">
        <v>3780401000108</v>
      </c>
      <c r="M520" s="718" t="s">
        <v>5</v>
      </c>
      <c r="N520" s="717" t="s">
        <v>44</v>
      </c>
      <c r="O520" s="719">
        <v>44713</v>
      </c>
      <c r="P520" s="720">
        <v>44742</v>
      </c>
      <c r="Q520" s="718">
        <v>29.85</v>
      </c>
      <c r="R520" s="717">
        <v>0.5</v>
      </c>
      <c r="S520" s="691" t="s">
        <v>92</v>
      </c>
      <c r="T520" t="s">
        <v>358</v>
      </c>
      <c r="U520" s="673" t="s">
        <v>358</v>
      </c>
      <c r="V520" s="690" t="s">
        <v>358</v>
      </c>
      <c r="W520" s="657" t="s">
        <v>324</v>
      </c>
      <c r="X520" s="723"/>
      <c r="Y520" s="4"/>
      <c r="Z520" s="4"/>
      <c r="AA520" s="4"/>
      <c r="AB520" s="4"/>
      <c r="AC520" s="4">
        <v>0.5</v>
      </c>
      <c r="AD520" s="4"/>
      <c r="AE520" s="4"/>
      <c r="AF520" s="4"/>
      <c r="AG520" s="4"/>
      <c r="AH520" s="4"/>
      <c r="AI520" s="654"/>
      <c r="AJ520" s="655"/>
      <c r="AK520" s="4"/>
      <c r="AL520" s="4"/>
      <c r="AM520" s="4"/>
      <c r="AN520" s="4"/>
      <c r="AO520" s="4"/>
      <c r="AP520" s="4"/>
      <c r="AQ520" s="4"/>
      <c r="AR520" s="4"/>
      <c r="AS520" s="4"/>
      <c r="AT520" s="4"/>
      <c r="AU520" s="654"/>
      <c r="AV520" s="655"/>
      <c r="AW520" s="4"/>
      <c r="AX520" s="4"/>
      <c r="AY520" s="4"/>
      <c r="AZ520" s="4"/>
      <c r="BA520" s="4"/>
      <c r="BB520" s="4"/>
      <c r="BC520" s="4"/>
      <c r="BD520" s="4"/>
      <c r="BE520" s="4"/>
      <c r="BF520" s="4"/>
      <c r="BG520" s="654"/>
      <c r="BH520" s="655"/>
      <c r="BI520" s="4"/>
      <c r="BJ520" s="4"/>
      <c r="BK520" s="4"/>
      <c r="BL520" s="4"/>
      <c r="BM520" s="4"/>
      <c r="BN520" s="4"/>
      <c r="BO520" s="4"/>
      <c r="BP520" s="4"/>
      <c r="BQ520" s="4"/>
      <c r="BR520" s="4"/>
      <c r="BS520" s="654"/>
      <c r="BT520" s="655"/>
      <c r="BU520" s="4"/>
      <c r="BV520" s="4"/>
      <c r="BW520" s="4"/>
      <c r="BX520" s="4"/>
      <c r="BY520" s="4"/>
      <c r="BZ520" s="4"/>
      <c r="CA520" s="4"/>
      <c r="CB520" s="4"/>
      <c r="CC520" s="4"/>
      <c r="CD520" s="4"/>
      <c r="CE520" s="693"/>
      <c r="CF520" s="723"/>
      <c r="CG520" s="4"/>
      <c r="CH520" s="4"/>
      <c r="CI520" s="4"/>
      <c r="CJ520" s="4"/>
      <c r="CK520" s="4">
        <v>29.85</v>
      </c>
      <c r="CL520" s="4"/>
      <c r="CM520" s="4"/>
      <c r="CN520" s="4"/>
      <c r="CO520" s="4"/>
      <c r="CP520" s="4"/>
      <c r="CQ520" s="654"/>
      <c r="CR520" s="655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654"/>
      <c r="DD520" s="655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654"/>
      <c r="DP520" s="655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654"/>
      <c r="EB520" s="655"/>
      <c r="EC520" s="4"/>
      <c r="ED520" s="4"/>
      <c r="EE520" s="4"/>
      <c r="EF520" s="4"/>
      <c r="EG520" s="4"/>
      <c r="EH520" s="4"/>
      <c r="EI520" s="4"/>
      <c r="EJ520" s="4"/>
      <c r="EK520" s="4"/>
      <c r="EL520" s="4"/>
      <c r="EM520" s="693"/>
      <c r="EN520" s="723"/>
      <c r="EO520" s="4"/>
      <c r="EP520" s="4"/>
      <c r="EQ520" s="4"/>
      <c r="ER520" s="4"/>
      <c r="ES520" s="4">
        <v>85.56</v>
      </c>
      <c r="ET520" s="4"/>
      <c r="EU520" s="4"/>
      <c r="EV520" s="4"/>
      <c r="EW520" s="4"/>
      <c r="EX520" s="4"/>
      <c r="EY520" s="654"/>
      <c r="EZ520" s="655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654"/>
      <c r="FL520" s="655"/>
      <c r="FM520" s="4"/>
      <c r="FN520" s="4"/>
      <c r="FO520" s="4"/>
      <c r="FP520" s="4"/>
      <c r="FQ520" s="4"/>
      <c r="FR520" s="4"/>
      <c r="FS520" s="4"/>
      <c r="FT520" s="4"/>
      <c r="FU520" s="4"/>
      <c r="FV520" s="4"/>
      <c r="FW520" s="654"/>
      <c r="FX520" s="655"/>
      <c r="FY520" s="4"/>
      <c r="FZ520" s="4"/>
      <c r="GA520" s="4"/>
      <c r="GB520" s="4"/>
      <c r="GC520" s="4"/>
      <c r="GD520" s="4"/>
      <c r="GE520" s="4"/>
      <c r="GF520" s="4"/>
      <c r="GG520" s="4"/>
      <c r="GH520" s="4"/>
      <c r="GI520" s="654"/>
      <c r="GJ520" s="655"/>
      <c r="GK520" s="4"/>
      <c r="GL520" s="4"/>
      <c r="GM520" s="4"/>
      <c r="GN520" s="4"/>
      <c r="GO520" s="4"/>
      <c r="GP520" s="4"/>
      <c r="GQ520" s="4"/>
      <c r="GR520" s="4"/>
      <c r="GS520" s="4"/>
      <c r="GT520" s="4"/>
      <c r="GU520" s="722"/>
      <c r="GV520" s="715"/>
    </row>
    <row r="521" spans="1:204" x14ac:dyDescent="0.25">
      <c r="A521" t="s">
        <v>1928</v>
      </c>
      <c r="B521" s="2" t="s">
        <v>1927</v>
      </c>
      <c r="C521" s="619">
        <v>44746</v>
      </c>
      <c r="D521" s="2" t="s">
        <v>1913</v>
      </c>
      <c r="E521" t="s">
        <v>58</v>
      </c>
      <c r="F521" s="2" t="s">
        <v>43</v>
      </c>
      <c r="G521" t="s">
        <v>40</v>
      </c>
      <c r="H521" s="690" t="s">
        <v>84</v>
      </c>
      <c r="I521" s="691" t="s">
        <v>1919</v>
      </c>
      <c r="J521" s="721">
        <v>2016507000169</v>
      </c>
      <c r="K521" s="691" t="s">
        <v>43</v>
      </c>
      <c r="L521" s="721">
        <v>3780401000108</v>
      </c>
      <c r="M521" s="718" t="s">
        <v>5</v>
      </c>
      <c r="N521" s="717" t="s">
        <v>44</v>
      </c>
      <c r="O521" s="719">
        <v>44713</v>
      </c>
      <c r="P521" s="720">
        <v>44742</v>
      </c>
      <c r="Q521" s="718">
        <v>30</v>
      </c>
      <c r="R521" s="717">
        <v>2</v>
      </c>
      <c r="S521" s="691" t="s">
        <v>92</v>
      </c>
      <c r="T521" t="s">
        <v>358</v>
      </c>
      <c r="U521" s="673" t="s">
        <v>358</v>
      </c>
      <c r="V521" s="690" t="s">
        <v>358</v>
      </c>
      <c r="W521" s="657" t="s">
        <v>324</v>
      </c>
      <c r="X521" s="723"/>
      <c r="Y521" s="4"/>
      <c r="Z521" s="4"/>
      <c r="AA521" s="4"/>
      <c r="AB521" s="4"/>
      <c r="AC521" s="4">
        <v>2</v>
      </c>
      <c r="AD521" s="4"/>
      <c r="AE521" s="4"/>
      <c r="AF521" s="4"/>
      <c r="AG521" s="4"/>
      <c r="AH521" s="4"/>
      <c r="AI521" s="654"/>
      <c r="AJ521" s="655"/>
      <c r="AK521" s="4"/>
      <c r="AL521" s="4"/>
      <c r="AM521" s="4"/>
      <c r="AN521" s="4"/>
      <c r="AO521" s="4"/>
      <c r="AP521" s="4"/>
      <c r="AQ521" s="4"/>
      <c r="AR521" s="4"/>
      <c r="AS521" s="4"/>
      <c r="AT521" s="4"/>
      <c r="AU521" s="654"/>
      <c r="AV521" s="655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654"/>
      <c r="BH521" s="655"/>
      <c r="BI521" s="4"/>
      <c r="BJ521" s="4"/>
      <c r="BK521" s="4"/>
      <c r="BL521" s="4"/>
      <c r="BM521" s="4"/>
      <c r="BN521" s="4"/>
      <c r="BO521" s="4"/>
      <c r="BP521" s="4"/>
      <c r="BQ521" s="4"/>
      <c r="BR521" s="4"/>
      <c r="BS521" s="654"/>
      <c r="BT521" s="655"/>
      <c r="BU521" s="4"/>
      <c r="BV521" s="4"/>
      <c r="BW521" s="4"/>
      <c r="BX521" s="4"/>
      <c r="BY521" s="4"/>
      <c r="BZ521" s="4"/>
      <c r="CA521" s="4"/>
      <c r="CB521" s="4"/>
      <c r="CC521" s="4"/>
      <c r="CD521" s="4"/>
      <c r="CE521" s="693"/>
      <c r="CF521" s="723"/>
      <c r="CG521" s="4"/>
      <c r="CH521" s="4"/>
      <c r="CI521" s="4"/>
      <c r="CJ521" s="4"/>
      <c r="CK521" s="4">
        <v>30</v>
      </c>
      <c r="CL521" s="4"/>
      <c r="CM521" s="4"/>
      <c r="CN521" s="4"/>
      <c r="CO521" s="4"/>
      <c r="CP521" s="4"/>
      <c r="CQ521" s="654"/>
      <c r="CR521" s="655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654"/>
      <c r="DD521" s="655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654"/>
      <c r="DP521" s="655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654"/>
      <c r="EB521" s="655"/>
      <c r="EC521" s="4"/>
      <c r="ED521" s="4"/>
      <c r="EE521" s="4"/>
      <c r="EF521" s="4"/>
      <c r="EG521" s="4"/>
      <c r="EH521" s="4"/>
      <c r="EI521" s="4"/>
      <c r="EJ521" s="4"/>
      <c r="EK521" s="4"/>
      <c r="EL521" s="4"/>
      <c r="EM521" s="693"/>
      <c r="EN521" s="723"/>
      <c r="EO521" s="4"/>
      <c r="EP521" s="4"/>
      <c r="EQ521" s="4"/>
      <c r="ER521" s="4"/>
      <c r="ES521" s="4">
        <v>85.710000000000008</v>
      </c>
      <c r="ET521" s="4"/>
      <c r="EU521" s="4"/>
      <c r="EV521" s="4"/>
      <c r="EW521" s="4"/>
      <c r="EX521" s="4"/>
      <c r="EY521" s="654"/>
      <c r="EZ521" s="655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654"/>
      <c r="FL521" s="655"/>
      <c r="FM521" s="4"/>
      <c r="FN521" s="4"/>
      <c r="FO521" s="4"/>
      <c r="FP521" s="4"/>
      <c r="FQ521" s="4"/>
      <c r="FR521" s="4"/>
      <c r="FS521" s="4"/>
      <c r="FT521" s="4"/>
      <c r="FU521" s="4"/>
      <c r="FV521" s="4"/>
      <c r="FW521" s="654"/>
      <c r="FX521" s="655"/>
      <c r="FY521" s="4"/>
      <c r="FZ521" s="4"/>
      <c r="GA521" s="4"/>
      <c r="GB521" s="4"/>
      <c r="GC521" s="4"/>
      <c r="GD521" s="4"/>
      <c r="GE521" s="4"/>
      <c r="GF521" s="4"/>
      <c r="GG521" s="4"/>
      <c r="GH521" s="4"/>
      <c r="GI521" s="654"/>
      <c r="GJ521" s="655"/>
      <c r="GK521" s="4"/>
      <c r="GL521" s="4"/>
      <c r="GM521" s="4"/>
      <c r="GN521" s="4"/>
      <c r="GO521" s="4"/>
      <c r="GP521" s="4"/>
      <c r="GQ521" s="4"/>
      <c r="GR521" s="4"/>
      <c r="GS521" s="4"/>
      <c r="GT521" s="4"/>
      <c r="GU521" s="722"/>
      <c r="GV521" s="715"/>
    </row>
    <row r="522" spans="1:204" x14ac:dyDescent="0.25">
      <c r="A522" t="s">
        <v>1930</v>
      </c>
      <c r="B522" s="2" t="s">
        <v>1929</v>
      </c>
      <c r="C522" s="619">
        <v>44746</v>
      </c>
      <c r="D522" s="2" t="s">
        <v>1914</v>
      </c>
      <c r="E522" t="s">
        <v>58</v>
      </c>
      <c r="F522" s="2" t="s">
        <v>43</v>
      </c>
      <c r="G522" t="s">
        <v>40</v>
      </c>
      <c r="H522" s="690" t="s">
        <v>84</v>
      </c>
      <c r="I522" s="691" t="s">
        <v>469</v>
      </c>
      <c r="J522" s="721">
        <v>9495582000107</v>
      </c>
      <c r="K522" s="691" t="s">
        <v>43</v>
      </c>
      <c r="L522" s="721">
        <v>3780401000108</v>
      </c>
      <c r="M522" s="718" t="s">
        <v>5</v>
      </c>
      <c r="N522" s="717" t="s">
        <v>44</v>
      </c>
      <c r="O522" s="719">
        <v>44713</v>
      </c>
      <c r="P522" s="720">
        <v>44742</v>
      </c>
      <c r="Q522" s="718">
        <v>29.9</v>
      </c>
      <c r="R522" s="717">
        <v>1</v>
      </c>
      <c r="S522" s="691" t="s">
        <v>92</v>
      </c>
      <c r="T522" t="s">
        <v>358</v>
      </c>
      <c r="U522" s="673" t="s">
        <v>358</v>
      </c>
      <c r="V522" s="690" t="s">
        <v>358</v>
      </c>
      <c r="W522" s="657" t="s">
        <v>324</v>
      </c>
      <c r="X522" s="723"/>
      <c r="Y522" s="4"/>
      <c r="Z522" s="4"/>
      <c r="AA522" s="4"/>
      <c r="AB522" s="4"/>
      <c r="AC522" s="4">
        <v>1</v>
      </c>
      <c r="AD522" s="4"/>
      <c r="AE522" s="4"/>
      <c r="AF522" s="4"/>
      <c r="AG522" s="4"/>
      <c r="AH522" s="4"/>
      <c r="AI522" s="654"/>
      <c r="AJ522" s="655"/>
      <c r="AK522" s="4"/>
      <c r="AL522" s="4"/>
      <c r="AM522" s="4"/>
      <c r="AN522" s="4"/>
      <c r="AO522" s="4"/>
      <c r="AP522" s="4"/>
      <c r="AQ522" s="4"/>
      <c r="AR522" s="4"/>
      <c r="AS522" s="4"/>
      <c r="AT522" s="4"/>
      <c r="AU522" s="654"/>
      <c r="AV522" s="655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654"/>
      <c r="BH522" s="655"/>
      <c r="BI522" s="4"/>
      <c r="BJ522" s="4"/>
      <c r="BK522" s="4"/>
      <c r="BL522" s="4"/>
      <c r="BM522" s="4"/>
      <c r="BN522" s="4"/>
      <c r="BO522" s="4"/>
      <c r="BP522" s="4"/>
      <c r="BQ522" s="4"/>
      <c r="BR522" s="4"/>
      <c r="BS522" s="654"/>
      <c r="BT522" s="655"/>
      <c r="BU522" s="4"/>
      <c r="BV522" s="4"/>
      <c r="BW522" s="4"/>
      <c r="BX522" s="4"/>
      <c r="BY522" s="4"/>
      <c r="BZ522" s="4"/>
      <c r="CA522" s="4"/>
      <c r="CB522" s="4"/>
      <c r="CC522" s="4"/>
      <c r="CD522" s="4"/>
      <c r="CE522" s="693"/>
      <c r="CF522" s="723"/>
      <c r="CG522" s="4"/>
      <c r="CH522" s="4"/>
      <c r="CI522" s="4"/>
      <c r="CJ522" s="4"/>
      <c r="CK522" s="4">
        <v>29.9</v>
      </c>
      <c r="CL522" s="4"/>
      <c r="CM522" s="4"/>
      <c r="CN522" s="4"/>
      <c r="CO522" s="4"/>
      <c r="CP522" s="4"/>
      <c r="CQ522" s="654"/>
      <c r="CR522" s="655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654"/>
      <c r="DD522" s="655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654"/>
      <c r="DP522" s="655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654"/>
      <c r="EB522" s="655"/>
      <c r="EC522" s="4"/>
      <c r="ED522" s="4"/>
      <c r="EE522" s="4"/>
      <c r="EF522" s="4"/>
      <c r="EG522" s="4"/>
      <c r="EH522" s="4"/>
      <c r="EI522" s="4"/>
      <c r="EJ522" s="4"/>
      <c r="EK522" s="4"/>
      <c r="EL522" s="4"/>
      <c r="EM522" s="693"/>
      <c r="EN522" s="723"/>
      <c r="EO522" s="4"/>
      <c r="EP522" s="4"/>
      <c r="EQ522" s="4"/>
      <c r="ER522" s="4"/>
      <c r="ES522" s="4">
        <v>85.61</v>
      </c>
      <c r="ET522" s="4"/>
      <c r="EU522" s="4"/>
      <c r="EV522" s="4"/>
      <c r="EW522" s="4"/>
      <c r="EX522" s="4"/>
      <c r="EY522" s="654"/>
      <c r="EZ522" s="655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654"/>
      <c r="FL522" s="655"/>
      <c r="FM522" s="4"/>
      <c r="FN522" s="4"/>
      <c r="FO522" s="4"/>
      <c r="FP522" s="4"/>
      <c r="FQ522" s="4"/>
      <c r="FR522" s="4"/>
      <c r="FS522" s="4"/>
      <c r="FT522" s="4"/>
      <c r="FU522" s="4"/>
      <c r="FV522" s="4"/>
      <c r="FW522" s="654"/>
      <c r="FX522" s="655"/>
      <c r="FY522" s="4"/>
      <c r="FZ522" s="4"/>
      <c r="GA522" s="4"/>
      <c r="GB522" s="4"/>
      <c r="GC522" s="4"/>
      <c r="GD522" s="4"/>
      <c r="GE522" s="4"/>
      <c r="GF522" s="4"/>
      <c r="GG522" s="4"/>
      <c r="GH522" s="4"/>
      <c r="GI522" s="654"/>
      <c r="GJ522" s="655"/>
      <c r="GK522" s="4"/>
      <c r="GL522" s="4"/>
      <c r="GM522" s="4"/>
      <c r="GN522" s="4"/>
      <c r="GO522" s="4"/>
      <c r="GP522" s="4"/>
      <c r="GQ522" s="4"/>
      <c r="GR522" s="4"/>
      <c r="GS522" s="4"/>
      <c r="GT522" s="4"/>
      <c r="GU522" s="722"/>
      <c r="GV522" s="715"/>
    </row>
    <row r="523" spans="1:204" x14ac:dyDescent="0.25">
      <c r="A523" t="s">
        <v>1932</v>
      </c>
      <c r="B523" s="2" t="s">
        <v>1931</v>
      </c>
      <c r="C523" s="619">
        <v>44746</v>
      </c>
      <c r="D523" s="2" t="s">
        <v>1915</v>
      </c>
      <c r="E523" t="s">
        <v>58</v>
      </c>
      <c r="F523" s="2" t="s">
        <v>43</v>
      </c>
      <c r="G523" t="s">
        <v>40</v>
      </c>
      <c r="H523" s="690" t="s">
        <v>84</v>
      </c>
      <c r="I523" s="691" t="s">
        <v>1795</v>
      </c>
      <c r="J523" s="721">
        <v>4149295000113</v>
      </c>
      <c r="K523" s="691" t="s">
        <v>43</v>
      </c>
      <c r="L523" s="721">
        <v>3780401000108</v>
      </c>
      <c r="M523" s="718" t="s">
        <v>5</v>
      </c>
      <c r="N523" s="717" t="s">
        <v>44</v>
      </c>
      <c r="O523" s="719">
        <v>44713</v>
      </c>
      <c r="P523" s="720">
        <v>44742</v>
      </c>
      <c r="Q523" s="718">
        <v>30</v>
      </c>
      <c r="R523" s="717">
        <v>10</v>
      </c>
      <c r="S523" s="691" t="s">
        <v>92</v>
      </c>
      <c r="T523" t="s">
        <v>358</v>
      </c>
      <c r="U523" s="673" t="s">
        <v>358</v>
      </c>
      <c r="V523" s="690" t="s">
        <v>358</v>
      </c>
      <c r="W523" s="657" t="s">
        <v>324</v>
      </c>
      <c r="X523" s="723"/>
      <c r="Y523" s="4"/>
      <c r="Z523" s="4"/>
      <c r="AA523" s="4"/>
      <c r="AB523" s="4"/>
      <c r="AC523" s="4">
        <v>10</v>
      </c>
      <c r="AD523" s="4"/>
      <c r="AE523" s="4"/>
      <c r="AF523" s="4"/>
      <c r="AG523" s="4"/>
      <c r="AH523" s="4"/>
      <c r="AI523" s="654"/>
      <c r="AJ523" s="655"/>
      <c r="AK523" s="4"/>
      <c r="AL523" s="4"/>
      <c r="AM523" s="4"/>
      <c r="AN523" s="4"/>
      <c r="AO523" s="4"/>
      <c r="AP523" s="4"/>
      <c r="AQ523" s="4"/>
      <c r="AR523" s="4"/>
      <c r="AS523" s="4"/>
      <c r="AT523" s="4"/>
      <c r="AU523" s="654"/>
      <c r="AV523" s="655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654"/>
      <c r="BH523" s="655"/>
      <c r="BI523" s="4"/>
      <c r="BJ523" s="4"/>
      <c r="BK523" s="4"/>
      <c r="BL523" s="4"/>
      <c r="BM523" s="4"/>
      <c r="BN523" s="4"/>
      <c r="BO523" s="4"/>
      <c r="BP523" s="4"/>
      <c r="BQ523" s="4"/>
      <c r="BR523" s="4"/>
      <c r="BS523" s="654"/>
      <c r="BT523" s="655"/>
      <c r="BU523" s="4"/>
      <c r="BV523" s="4"/>
      <c r="BW523" s="4"/>
      <c r="BX523" s="4"/>
      <c r="BY523" s="4"/>
      <c r="BZ523" s="4"/>
      <c r="CA523" s="4"/>
      <c r="CB523" s="4"/>
      <c r="CC523" s="4"/>
      <c r="CD523" s="4"/>
      <c r="CE523" s="693"/>
      <c r="CF523" s="723"/>
      <c r="CG523" s="4"/>
      <c r="CH523" s="4"/>
      <c r="CI523" s="4"/>
      <c r="CJ523" s="4"/>
      <c r="CK523" s="4">
        <v>30</v>
      </c>
      <c r="CL523" s="4"/>
      <c r="CM523" s="4"/>
      <c r="CN523" s="4"/>
      <c r="CO523" s="4"/>
      <c r="CP523" s="4"/>
      <c r="CQ523" s="654"/>
      <c r="CR523" s="655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654"/>
      <c r="DD523" s="655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654"/>
      <c r="DP523" s="655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654"/>
      <c r="EB523" s="655"/>
      <c r="EC523" s="4"/>
      <c r="ED523" s="4"/>
      <c r="EE523" s="4"/>
      <c r="EF523" s="4"/>
      <c r="EG523" s="4"/>
      <c r="EH523" s="4"/>
      <c r="EI523" s="4"/>
      <c r="EJ523" s="4"/>
      <c r="EK523" s="4"/>
      <c r="EL523" s="4"/>
      <c r="EM523" s="693"/>
      <c r="EN523" s="723"/>
      <c r="EO523" s="4"/>
      <c r="EP523" s="4"/>
      <c r="EQ523" s="4"/>
      <c r="ER523" s="4"/>
      <c r="ES523" s="4">
        <v>85.710000000000008</v>
      </c>
      <c r="ET523" s="4"/>
      <c r="EU523" s="4"/>
      <c r="EV523" s="4"/>
      <c r="EW523" s="4"/>
      <c r="EX523" s="4"/>
      <c r="EY523" s="654"/>
      <c r="EZ523" s="655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654"/>
      <c r="FL523" s="655"/>
      <c r="FM523" s="4"/>
      <c r="FN523" s="4"/>
      <c r="FO523" s="4"/>
      <c r="FP523" s="4"/>
      <c r="FQ523" s="4"/>
      <c r="FR523" s="4"/>
      <c r="FS523" s="4"/>
      <c r="FT523" s="4"/>
      <c r="FU523" s="4"/>
      <c r="FV523" s="4"/>
      <c r="FW523" s="654"/>
      <c r="FX523" s="655"/>
      <c r="FY523" s="4"/>
      <c r="FZ523" s="4"/>
      <c r="GA523" s="4"/>
      <c r="GB523" s="4"/>
      <c r="GC523" s="4"/>
      <c r="GD523" s="4"/>
      <c r="GE523" s="4"/>
      <c r="GF523" s="4"/>
      <c r="GG523" s="4"/>
      <c r="GH523" s="4"/>
      <c r="GI523" s="654"/>
      <c r="GJ523" s="655"/>
      <c r="GK523" s="4"/>
      <c r="GL523" s="4"/>
      <c r="GM523" s="4"/>
      <c r="GN523" s="4"/>
      <c r="GO523" s="4"/>
      <c r="GP523" s="4"/>
      <c r="GQ523" s="4"/>
      <c r="GR523" s="4"/>
      <c r="GS523" s="4"/>
      <c r="GT523" s="4"/>
      <c r="GU523" s="722"/>
      <c r="GV523" s="715"/>
    </row>
    <row r="524" spans="1:204" x14ac:dyDescent="0.25">
      <c r="A524" t="s">
        <v>1934</v>
      </c>
      <c r="B524" s="2" t="s">
        <v>1933</v>
      </c>
      <c r="C524" s="619">
        <v>44746</v>
      </c>
      <c r="D524" s="2" t="s">
        <v>1916</v>
      </c>
      <c r="E524" t="s">
        <v>58</v>
      </c>
      <c r="F524" s="2" t="s">
        <v>43</v>
      </c>
      <c r="G524" t="s">
        <v>40</v>
      </c>
      <c r="H524" s="690" t="s">
        <v>84</v>
      </c>
      <c r="I524" s="691" t="s">
        <v>1920</v>
      </c>
      <c r="J524" s="721">
        <v>14555633000170</v>
      </c>
      <c r="K524" s="691" t="s">
        <v>43</v>
      </c>
      <c r="L524" s="721">
        <v>3780401000108</v>
      </c>
      <c r="M524" s="718" t="s">
        <v>5</v>
      </c>
      <c r="N524" s="717" t="s">
        <v>44</v>
      </c>
      <c r="O524" s="719">
        <v>44713</v>
      </c>
      <c r="P524" s="720">
        <v>44742</v>
      </c>
      <c r="Q524" s="718">
        <v>28.5</v>
      </c>
      <c r="R524" s="717">
        <v>1</v>
      </c>
      <c r="S524" s="691" t="s">
        <v>92</v>
      </c>
      <c r="T524" t="s">
        <v>358</v>
      </c>
      <c r="U524" s="673" t="s">
        <v>358</v>
      </c>
      <c r="V524" s="690" t="s">
        <v>358</v>
      </c>
      <c r="W524" s="657" t="s">
        <v>324</v>
      </c>
      <c r="X524" s="723"/>
      <c r="Y524" s="4"/>
      <c r="Z524" s="4"/>
      <c r="AA524" s="4"/>
      <c r="AB524" s="4"/>
      <c r="AC524" s="4">
        <v>1</v>
      </c>
      <c r="AD524" s="4"/>
      <c r="AE524" s="4"/>
      <c r="AF524" s="4"/>
      <c r="AG524" s="4"/>
      <c r="AH524" s="4"/>
      <c r="AI524" s="654"/>
      <c r="AJ524" s="655"/>
      <c r="AK524" s="4"/>
      <c r="AL524" s="4"/>
      <c r="AM524" s="4"/>
      <c r="AN524" s="4"/>
      <c r="AO524" s="4"/>
      <c r="AP524" s="4"/>
      <c r="AQ524" s="4"/>
      <c r="AR524" s="4"/>
      <c r="AS524" s="4"/>
      <c r="AT524" s="4"/>
      <c r="AU524" s="654"/>
      <c r="AV524" s="655"/>
      <c r="AW524" s="4"/>
      <c r="AX524" s="4"/>
      <c r="AY524" s="4"/>
      <c r="AZ524" s="4"/>
      <c r="BA524" s="4"/>
      <c r="BB524" s="4"/>
      <c r="BC524" s="4"/>
      <c r="BD524" s="4"/>
      <c r="BE524" s="4"/>
      <c r="BF524" s="4"/>
      <c r="BG524" s="654"/>
      <c r="BH524" s="655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654"/>
      <c r="BT524" s="655"/>
      <c r="BU524" s="4"/>
      <c r="BV524" s="4"/>
      <c r="BW524" s="4"/>
      <c r="BX524" s="4"/>
      <c r="BY524" s="4"/>
      <c r="BZ524" s="4"/>
      <c r="CA524" s="4"/>
      <c r="CB524" s="4"/>
      <c r="CC524" s="4"/>
      <c r="CD524" s="4"/>
      <c r="CE524" s="693"/>
      <c r="CF524" s="723"/>
      <c r="CG524" s="4"/>
      <c r="CH524" s="4"/>
      <c r="CI524" s="4"/>
      <c r="CJ524" s="4"/>
      <c r="CK524" s="4">
        <v>28.5</v>
      </c>
      <c r="CL524" s="4"/>
      <c r="CM524" s="4"/>
      <c r="CN524" s="4"/>
      <c r="CO524" s="4"/>
      <c r="CP524" s="4"/>
      <c r="CQ524" s="654"/>
      <c r="CR524" s="655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654"/>
      <c r="DD524" s="655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654"/>
      <c r="DP524" s="655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654"/>
      <c r="EB524" s="655"/>
      <c r="EC524" s="4"/>
      <c r="ED524" s="4"/>
      <c r="EE524" s="4"/>
      <c r="EF524" s="4"/>
      <c r="EG524" s="4"/>
      <c r="EH524" s="4"/>
      <c r="EI524" s="4"/>
      <c r="EJ524" s="4"/>
      <c r="EK524" s="4"/>
      <c r="EL524" s="4"/>
      <c r="EM524" s="693"/>
      <c r="EN524" s="723"/>
      <c r="EO524" s="4"/>
      <c r="EP524" s="4"/>
      <c r="EQ524" s="4"/>
      <c r="ER524" s="4"/>
      <c r="ES524" s="4">
        <v>84.210000000000008</v>
      </c>
      <c r="ET524" s="4"/>
      <c r="EU524" s="4"/>
      <c r="EV524" s="4"/>
      <c r="EW524" s="4"/>
      <c r="EX524" s="4"/>
      <c r="EY524" s="654"/>
      <c r="EZ524" s="655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654"/>
      <c r="FL524" s="655"/>
      <c r="FM524" s="4"/>
      <c r="FN524" s="4"/>
      <c r="FO524" s="4"/>
      <c r="FP524" s="4"/>
      <c r="FQ524" s="4"/>
      <c r="FR524" s="4"/>
      <c r="FS524" s="4"/>
      <c r="FT524" s="4"/>
      <c r="FU524" s="4"/>
      <c r="FV524" s="4"/>
      <c r="FW524" s="654"/>
      <c r="FX524" s="655"/>
      <c r="FY524" s="4"/>
      <c r="FZ524" s="4"/>
      <c r="GA524" s="4"/>
      <c r="GB524" s="4"/>
      <c r="GC524" s="4"/>
      <c r="GD524" s="4"/>
      <c r="GE524" s="4"/>
      <c r="GF524" s="4"/>
      <c r="GG524" s="4"/>
      <c r="GH524" s="4"/>
      <c r="GI524" s="654"/>
      <c r="GJ524" s="655"/>
      <c r="GK524" s="4"/>
      <c r="GL524" s="4"/>
      <c r="GM524" s="4"/>
      <c r="GN524" s="4"/>
      <c r="GO524" s="4"/>
      <c r="GP524" s="4"/>
      <c r="GQ524" s="4"/>
      <c r="GR524" s="4"/>
      <c r="GS524" s="4"/>
      <c r="GT524" s="4"/>
      <c r="GU524" s="722"/>
      <c r="GV524" s="715"/>
    </row>
    <row r="525" spans="1:204" x14ac:dyDescent="0.25">
      <c r="A525" t="s">
        <v>1946</v>
      </c>
      <c r="B525" s="2" t="s">
        <v>1945</v>
      </c>
      <c r="C525" s="619">
        <v>44747</v>
      </c>
      <c r="D525" s="2" t="s">
        <v>1935</v>
      </c>
      <c r="E525" t="s">
        <v>58</v>
      </c>
      <c r="F525" s="2" t="s">
        <v>43</v>
      </c>
      <c r="G525" t="s">
        <v>40</v>
      </c>
      <c r="H525" s="690" t="s">
        <v>84</v>
      </c>
      <c r="I525" s="691" t="s">
        <v>350</v>
      </c>
      <c r="J525" s="721">
        <v>17858631000149</v>
      </c>
      <c r="K525" s="691" t="s">
        <v>43</v>
      </c>
      <c r="L525" s="721">
        <v>3780401000108</v>
      </c>
      <c r="M525" s="718" t="s">
        <v>5</v>
      </c>
      <c r="N525" s="717" t="s">
        <v>44</v>
      </c>
      <c r="O525" s="719">
        <v>44713</v>
      </c>
      <c r="P525" s="720">
        <v>44742</v>
      </c>
      <c r="Q525" s="718">
        <v>31</v>
      </c>
      <c r="R525" s="717">
        <v>30</v>
      </c>
      <c r="S525" s="691" t="s">
        <v>92</v>
      </c>
      <c r="T525" t="s">
        <v>358</v>
      </c>
      <c r="U525" s="673" t="s">
        <v>358</v>
      </c>
      <c r="V525" s="690" t="s">
        <v>358</v>
      </c>
      <c r="W525" s="657" t="s">
        <v>324</v>
      </c>
      <c r="X525" s="723"/>
      <c r="Y525" s="4"/>
      <c r="Z525" s="4"/>
      <c r="AA525" s="4"/>
      <c r="AB525" s="4"/>
      <c r="AC525" s="4">
        <v>30</v>
      </c>
      <c r="AD525" s="4"/>
      <c r="AE525" s="4"/>
      <c r="AF525" s="4"/>
      <c r="AG525" s="4"/>
      <c r="AH525" s="4"/>
      <c r="AI525" s="654"/>
      <c r="AJ525" s="655"/>
      <c r="AK525" s="4"/>
      <c r="AL525" s="4"/>
      <c r="AM525" s="4"/>
      <c r="AN525" s="4"/>
      <c r="AO525" s="4"/>
      <c r="AP525" s="4"/>
      <c r="AQ525" s="4"/>
      <c r="AR525" s="4"/>
      <c r="AS525" s="4"/>
      <c r="AT525" s="4"/>
      <c r="AU525" s="654"/>
      <c r="AV525" s="655"/>
      <c r="AW525" s="4"/>
      <c r="AX525" s="4"/>
      <c r="AY525" s="4"/>
      <c r="AZ525" s="4"/>
      <c r="BA525" s="4"/>
      <c r="BB525" s="4"/>
      <c r="BC525" s="4"/>
      <c r="BD525" s="4"/>
      <c r="BE525" s="4"/>
      <c r="BF525" s="4"/>
      <c r="BG525" s="654"/>
      <c r="BH525" s="655"/>
      <c r="BI525" s="4"/>
      <c r="BJ525" s="4"/>
      <c r="BK525" s="4"/>
      <c r="BL525" s="4"/>
      <c r="BM525" s="4"/>
      <c r="BN525" s="4"/>
      <c r="BO525" s="4"/>
      <c r="BP525" s="4"/>
      <c r="BQ525" s="4"/>
      <c r="BR525" s="4"/>
      <c r="BS525" s="654"/>
      <c r="BT525" s="655"/>
      <c r="BU525" s="4"/>
      <c r="BV525" s="4"/>
      <c r="BW525" s="4"/>
      <c r="BX525" s="4"/>
      <c r="BY525" s="4"/>
      <c r="BZ525" s="4"/>
      <c r="CA525" s="4"/>
      <c r="CB525" s="4"/>
      <c r="CC525" s="4"/>
      <c r="CD525" s="4"/>
      <c r="CE525" s="693"/>
      <c r="CF525" s="723"/>
      <c r="CG525" s="4"/>
      <c r="CH525" s="4"/>
      <c r="CI525" s="4"/>
      <c r="CJ525" s="4"/>
      <c r="CK525" s="4">
        <v>31</v>
      </c>
      <c r="CL525" s="4"/>
      <c r="CM525" s="4"/>
      <c r="CN525" s="4"/>
      <c r="CO525" s="4"/>
      <c r="CP525" s="4"/>
      <c r="CQ525" s="654"/>
      <c r="CR525" s="655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654"/>
      <c r="DD525" s="655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654"/>
      <c r="DP525" s="655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654"/>
      <c r="EB525" s="655"/>
      <c r="EC525" s="4"/>
      <c r="ED525" s="4"/>
      <c r="EE525" s="4"/>
      <c r="EF525" s="4"/>
      <c r="EG525" s="4"/>
      <c r="EH525" s="4"/>
      <c r="EI525" s="4"/>
      <c r="EJ525" s="4"/>
      <c r="EK525" s="4"/>
      <c r="EL525" s="4"/>
      <c r="EM525" s="693"/>
      <c r="EN525" s="723"/>
      <c r="EO525" s="4"/>
      <c r="EP525" s="4"/>
      <c r="EQ525" s="4"/>
      <c r="ER525" s="4"/>
      <c r="ES525" s="4">
        <v>86.710000000000008</v>
      </c>
      <c r="ET525" s="4"/>
      <c r="EU525" s="4"/>
      <c r="EV525" s="4"/>
      <c r="EW525" s="4"/>
      <c r="EX525" s="4"/>
      <c r="EY525" s="654"/>
      <c r="EZ525" s="655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654"/>
      <c r="FL525" s="655"/>
      <c r="FM525" s="4"/>
      <c r="FN525" s="4"/>
      <c r="FO525" s="4"/>
      <c r="FP525" s="4"/>
      <c r="FQ525" s="4"/>
      <c r="FR525" s="4"/>
      <c r="FS525" s="4"/>
      <c r="FT525" s="4"/>
      <c r="FU525" s="4"/>
      <c r="FV525" s="4"/>
      <c r="FW525" s="654"/>
      <c r="FX525" s="655"/>
      <c r="FY525" s="4"/>
      <c r="FZ525" s="4"/>
      <c r="GA525" s="4"/>
      <c r="GB525" s="4"/>
      <c r="GC525" s="4"/>
      <c r="GD525" s="4"/>
      <c r="GE525" s="4"/>
      <c r="GF525" s="4"/>
      <c r="GG525" s="4"/>
      <c r="GH525" s="4"/>
      <c r="GI525" s="654"/>
      <c r="GJ525" s="655"/>
      <c r="GK525" s="4"/>
      <c r="GL525" s="4"/>
      <c r="GM525" s="4"/>
      <c r="GN525" s="4"/>
      <c r="GO525" s="4"/>
      <c r="GP525" s="4"/>
      <c r="GQ525" s="4"/>
      <c r="GR525" s="4"/>
      <c r="GS525" s="4"/>
      <c r="GT525" s="4"/>
      <c r="GU525" s="722"/>
      <c r="GV525" s="715"/>
    </row>
    <row r="526" spans="1:204" x14ac:dyDescent="0.25">
      <c r="A526" t="s">
        <v>1948</v>
      </c>
      <c r="B526" s="2" t="s">
        <v>1947</v>
      </c>
      <c r="C526" s="619">
        <v>44747</v>
      </c>
      <c r="D526" s="2" t="s">
        <v>1936</v>
      </c>
      <c r="E526" t="s">
        <v>58</v>
      </c>
      <c r="F526" s="2" t="s">
        <v>43</v>
      </c>
      <c r="G526" t="s">
        <v>40</v>
      </c>
      <c r="H526" s="690" t="s">
        <v>84</v>
      </c>
      <c r="I526" s="691" t="s">
        <v>1919</v>
      </c>
      <c r="J526" s="721">
        <v>2016507000169</v>
      </c>
      <c r="K526" s="691" t="s">
        <v>43</v>
      </c>
      <c r="L526" s="721">
        <v>3780401000108</v>
      </c>
      <c r="M526" s="718" t="s">
        <v>5</v>
      </c>
      <c r="N526" s="717" t="s">
        <v>44</v>
      </c>
      <c r="O526" s="719">
        <v>44713</v>
      </c>
      <c r="P526" s="720">
        <v>44742</v>
      </c>
      <c r="Q526" s="718">
        <v>30.5</v>
      </c>
      <c r="R526" s="717">
        <v>3</v>
      </c>
      <c r="S526" s="691" t="s">
        <v>92</v>
      </c>
      <c r="T526" t="s">
        <v>358</v>
      </c>
      <c r="U526" s="673" t="s">
        <v>358</v>
      </c>
      <c r="V526" s="690" t="s">
        <v>358</v>
      </c>
      <c r="W526" s="657" t="s">
        <v>324</v>
      </c>
      <c r="X526" s="723"/>
      <c r="Y526" s="4"/>
      <c r="Z526" s="4"/>
      <c r="AA526" s="4"/>
      <c r="AB526" s="4"/>
      <c r="AC526" s="4">
        <v>3</v>
      </c>
      <c r="AD526" s="4"/>
      <c r="AE526" s="4"/>
      <c r="AF526" s="4"/>
      <c r="AG526" s="4"/>
      <c r="AH526" s="4"/>
      <c r="AI526" s="654"/>
      <c r="AJ526" s="655"/>
      <c r="AK526" s="4"/>
      <c r="AL526" s="4"/>
      <c r="AM526" s="4"/>
      <c r="AN526" s="4"/>
      <c r="AO526" s="4"/>
      <c r="AP526" s="4"/>
      <c r="AQ526" s="4"/>
      <c r="AR526" s="4"/>
      <c r="AS526" s="4"/>
      <c r="AT526" s="4"/>
      <c r="AU526" s="654"/>
      <c r="AV526" s="655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654"/>
      <c r="BH526" s="655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654"/>
      <c r="BT526" s="655"/>
      <c r="BU526" s="4"/>
      <c r="BV526" s="4"/>
      <c r="BW526" s="4"/>
      <c r="BX526" s="4"/>
      <c r="BY526" s="4"/>
      <c r="BZ526" s="4"/>
      <c r="CA526" s="4"/>
      <c r="CB526" s="4"/>
      <c r="CC526" s="4"/>
      <c r="CD526" s="4"/>
      <c r="CE526" s="693"/>
      <c r="CF526" s="723"/>
      <c r="CG526" s="4"/>
      <c r="CH526" s="4"/>
      <c r="CI526" s="4"/>
      <c r="CJ526" s="4"/>
      <c r="CK526" s="4">
        <v>30.5</v>
      </c>
      <c r="CL526" s="4"/>
      <c r="CM526" s="4"/>
      <c r="CN526" s="4"/>
      <c r="CO526" s="4"/>
      <c r="CP526" s="4"/>
      <c r="CQ526" s="654"/>
      <c r="CR526" s="655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654"/>
      <c r="DD526" s="655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654"/>
      <c r="DP526" s="655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654"/>
      <c r="EB526" s="655"/>
      <c r="EC526" s="4"/>
      <c r="ED526" s="4"/>
      <c r="EE526" s="4"/>
      <c r="EF526" s="4"/>
      <c r="EG526" s="4"/>
      <c r="EH526" s="4"/>
      <c r="EI526" s="4"/>
      <c r="EJ526" s="4"/>
      <c r="EK526" s="4"/>
      <c r="EL526" s="4"/>
      <c r="EM526" s="693"/>
      <c r="EN526" s="723"/>
      <c r="EO526" s="4"/>
      <c r="EP526" s="4"/>
      <c r="EQ526" s="4"/>
      <c r="ER526" s="4"/>
      <c r="ES526" s="4">
        <v>86.210000000000008</v>
      </c>
      <c r="ET526" s="4"/>
      <c r="EU526" s="4"/>
      <c r="EV526" s="4"/>
      <c r="EW526" s="4"/>
      <c r="EX526" s="4"/>
      <c r="EY526" s="654"/>
      <c r="EZ526" s="655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654"/>
      <c r="FL526" s="655"/>
      <c r="FM526" s="4"/>
      <c r="FN526" s="4"/>
      <c r="FO526" s="4"/>
      <c r="FP526" s="4"/>
      <c r="FQ526" s="4"/>
      <c r="FR526" s="4"/>
      <c r="FS526" s="4"/>
      <c r="FT526" s="4"/>
      <c r="FU526" s="4"/>
      <c r="FV526" s="4"/>
      <c r="FW526" s="654"/>
      <c r="FX526" s="655"/>
      <c r="FY526" s="4"/>
      <c r="FZ526" s="4"/>
      <c r="GA526" s="4"/>
      <c r="GB526" s="4"/>
      <c r="GC526" s="4"/>
      <c r="GD526" s="4"/>
      <c r="GE526" s="4"/>
      <c r="GF526" s="4"/>
      <c r="GG526" s="4"/>
      <c r="GH526" s="4"/>
      <c r="GI526" s="654"/>
      <c r="GJ526" s="655"/>
      <c r="GK526" s="4"/>
      <c r="GL526" s="4"/>
      <c r="GM526" s="4"/>
      <c r="GN526" s="4"/>
      <c r="GO526" s="4"/>
      <c r="GP526" s="4"/>
      <c r="GQ526" s="4"/>
      <c r="GR526" s="4"/>
      <c r="GS526" s="4"/>
      <c r="GT526" s="4"/>
      <c r="GU526" s="722"/>
      <c r="GV526" s="715"/>
    </row>
    <row r="527" spans="1:204" x14ac:dyDescent="0.25">
      <c r="A527" t="s">
        <v>1950</v>
      </c>
      <c r="B527" s="2" t="s">
        <v>1949</v>
      </c>
      <c r="C527" s="619">
        <v>44747</v>
      </c>
      <c r="D527" s="2" t="s">
        <v>1937</v>
      </c>
      <c r="E527" t="s">
        <v>58</v>
      </c>
      <c r="F527" s="2" t="s">
        <v>43</v>
      </c>
      <c r="G527" t="s">
        <v>40</v>
      </c>
      <c r="H527" s="690" t="s">
        <v>84</v>
      </c>
      <c r="I527" s="691" t="s">
        <v>1919</v>
      </c>
      <c r="J527" s="721">
        <v>2016507000169</v>
      </c>
      <c r="K527" s="691" t="s">
        <v>43</v>
      </c>
      <c r="L527" s="721">
        <v>3780401000108</v>
      </c>
      <c r="M527" s="718" t="s">
        <v>5</v>
      </c>
      <c r="N527" s="717" t="s">
        <v>44</v>
      </c>
      <c r="O527" s="719">
        <v>44713</v>
      </c>
      <c r="P527" s="720">
        <v>44742</v>
      </c>
      <c r="Q527" s="718">
        <v>30.5</v>
      </c>
      <c r="R527" s="717">
        <v>5</v>
      </c>
      <c r="S527" s="691" t="s">
        <v>92</v>
      </c>
      <c r="T527" t="s">
        <v>358</v>
      </c>
      <c r="U527" s="673" t="s">
        <v>358</v>
      </c>
      <c r="V527" s="690" t="s">
        <v>358</v>
      </c>
      <c r="W527" s="657" t="s">
        <v>324</v>
      </c>
      <c r="X527" s="723"/>
      <c r="Y527" s="4"/>
      <c r="Z527" s="4"/>
      <c r="AA527" s="4"/>
      <c r="AB527" s="4"/>
      <c r="AC527" s="4">
        <v>5</v>
      </c>
      <c r="AD527" s="4"/>
      <c r="AE527" s="4"/>
      <c r="AF527" s="4"/>
      <c r="AG527" s="4"/>
      <c r="AH527" s="4"/>
      <c r="AI527" s="654"/>
      <c r="AJ527" s="655"/>
      <c r="AK527" s="4"/>
      <c r="AL527" s="4"/>
      <c r="AM527" s="4"/>
      <c r="AN527" s="4"/>
      <c r="AO527" s="4"/>
      <c r="AP527" s="4"/>
      <c r="AQ527" s="4"/>
      <c r="AR527" s="4"/>
      <c r="AS527" s="4"/>
      <c r="AT527" s="4"/>
      <c r="AU527" s="654"/>
      <c r="AV527" s="655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654"/>
      <c r="BH527" s="655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654"/>
      <c r="BT527" s="655"/>
      <c r="BU527" s="4"/>
      <c r="BV527" s="4"/>
      <c r="BW527" s="4"/>
      <c r="BX527" s="4"/>
      <c r="BY527" s="4"/>
      <c r="BZ527" s="4"/>
      <c r="CA527" s="4"/>
      <c r="CB527" s="4"/>
      <c r="CC527" s="4"/>
      <c r="CD527" s="4"/>
      <c r="CE527" s="693"/>
      <c r="CF527" s="723"/>
      <c r="CG527" s="4"/>
      <c r="CH527" s="4"/>
      <c r="CI527" s="4"/>
      <c r="CJ527" s="4"/>
      <c r="CK527" s="4">
        <v>30.5</v>
      </c>
      <c r="CL527" s="4"/>
      <c r="CM527" s="4"/>
      <c r="CN527" s="4"/>
      <c r="CO527" s="4"/>
      <c r="CP527" s="4"/>
      <c r="CQ527" s="654"/>
      <c r="CR527" s="655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654"/>
      <c r="DD527" s="655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654"/>
      <c r="DP527" s="655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654"/>
      <c r="EB527" s="655"/>
      <c r="EC527" s="4"/>
      <c r="ED527" s="4"/>
      <c r="EE527" s="4"/>
      <c r="EF527" s="4"/>
      <c r="EG527" s="4"/>
      <c r="EH527" s="4"/>
      <c r="EI527" s="4"/>
      <c r="EJ527" s="4"/>
      <c r="EK527" s="4"/>
      <c r="EL527" s="4"/>
      <c r="EM527" s="693"/>
      <c r="EN527" s="723"/>
      <c r="EO527" s="4"/>
      <c r="EP527" s="4"/>
      <c r="EQ527" s="4"/>
      <c r="ER527" s="4"/>
      <c r="ES527" s="4">
        <v>86.210000000000008</v>
      </c>
      <c r="ET527" s="4"/>
      <c r="EU527" s="4"/>
      <c r="EV527" s="4"/>
      <c r="EW527" s="4"/>
      <c r="EX527" s="4"/>
      <c r="EY527" s="654"/>
      <c r="EZ527" s="655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654"/>
      <c r="FL527" s="655"/>
      <c r="FM527" s="4"/>
      <c r="FN527" s="4"/>
      <c r="FO527" s="4"/>
      <c r="FP527" s="4"/>
      <c r="FQ527" s="4"/>
      <c r="FR527" s="4"/>
      <c r="FS527" s="4"/>
      <c r="FT527" s="4"/>
      <c r="FU527" s="4"/>
      <c r="FV527" s="4"/>
      <c r="FW527" s="654"/>
      <c r="FX527" s="655"/>
      <c r="FY527" s="4"/>
      <c r="FZ527" s="4"/>
      <c r="GA527" s="4"/>
      <c r="GB527" s="4"/>
      <c r="GC527" s="4"/>
      <c r="GD527" s="4"/>
      <c r="GE527" s="4"/>
      <c r="GF527" s="4"/>
      <c r="GG527" s="4"/>
      <c r="GH527" s="4"/>
      <c r="GI527" s="654"/>
      <c r="GJ527" s="655"/>
      <c r="GK527" s="4"/>
      <c r="GL527" s="4"/>
      <c r="GM527" s="4"/>
      <c r="GN527" s="4"/>
      <c r="GO527" s="4"/>
      <c r="GP527" s="4"/>
      <c r="GQ527" s="4"/>
      <c r="GR527" s="4"/>
      <c r="GS527" s="4"/>
      <c r="GT527" s="4"/>
      <c r="GU527" s="722"/>
      <c r="GV527" s="715"/>
    </row>
    <row r="528" spans="1:204" x14ac:dyDescent="0.25">
      <c r="A528" t="s">
        <v>1952</v>
      </c>
      <c r="B528" s="2" t="s">
        <v>1951</v>
      </c>
      <c r="C528" s="619">
        <v>44747</v>
      </c>
      <c r="D528" s="2" t="s">
        <v>1938</v>
      </c>
      <c r="E528" t="s">
        <v>58</v>
      </c>
      <c r="F528" s="2" t="s">
        <v>43</v>
      </c>
      <c r="G528" t="s">
        <v>40</v>
      </c>
      <c r="H528" s="690" t="s">
        <v>84</v>
      </c>
      <c r="I528" s="691" t="s">
        <v>1838</v>
      </c>
      <c r="J528" s="721">
        <v>17077752000153</v>
      </c>
      <c r="K528" s="691" t="s">
        <v>43</v>
      </c>
      <c r="L528" s="721">
        <v>3780401000108</v>
      </c>
      <c r="M528" s="718" t="s">
        <v>5</v>
      </c>
      <c r="N528" s="717" t="s">
        <v>44</v>
      </c>
      <c r="O528" s="719">
        <v>44713</v>
      </c>
      <c r="P528" s="720">
        <v>44742</v>
      </c>
      <c r="Q528" s="718">
        <v>30</v>
      </c>
      <c r="R528" s="717">
        <v>3</v>
      </c>
      <c r="S528" s="691" t="s">
        <v>92</v>
      </c>
      <c r="T528" t="s">
        <v>358</v>
      </c>
      <c r="U528" s="673" t="s">
        <v>358</v>
      </c>
      <c r="V528" s="690" t="s">
        <v>358</v>
      </c>
      <c r="W528" s="657" t="s">
        <v>324</v>
      </c>
      <c r="X528" s="723"/>
      <c r="Y528" s="4"/>
      <c r="Z528" s="4"/>
      <c r="AA528" s="4"/>
      <c r="AB528" s="4"/>
      <c r="AC528" s="4">
        <v>3</v>
      </c>
      <c r="AD528" s="4"/>
      <c r="AE528" s="4"/>
      <c r="AF528" s="4"/>
      <c r="AG528" s="4"/>
      <c r="AH528" s="4"/>
      <c r="AI528" s="654"/>
      <c r="AJ528" s="655"/>
      <c r="AK528" s="4"/>
      <c r="AL528" s="4"/>
      <c r="AM528" s="4"/>
      <c r="AN528" s="4"/>
      <c r="AO528" s="4"/>
      <c r="AP528" s="4"/>
      <c r="AQ528" s="4"/>
      <c r="AR528" s="4"/>
      <c r="AS528" s="4"/>
      <c r="AT528" s="4"/>
      <c r="AU528" s="654"/>
      <c r="AV528" s="655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654"/>
      <c r="BH528" s="655"/>
      <c r="BI528" s="4"/>
      <c r="BJ528" s="4"/>
      <c r="BK528" s="4"/>
      <c r="BL528" s="4"/>
      <c r="BM528" s="4"/>
      <c r="BN528" s="4"/>
      <c r="BO528" s="4"/>
      <c r="BP528" s="4"/>
      <c r="BQ528" s="4"/>
      <c r="BR528" s="4"/>
      <c r="BS528" s="654"/>
      <c r="BT528" s="655"/>
      <c r="BU528" s="4"/>
      <c r="BV528" s="4"/>
      <c r="BW528" s="4"/>
      <c r="BX528" s="4"/>
      <c r="BY528" s="4"/>
      <c r="BZ528" s="4"/>
      <c r="CA528" s="4"/>
      <c r="CB528" s="4"/>
      <c r="CC528" s="4"/>
      <c r="CD528" s="4"/>
      <c r="CE528" s="693"/>
      <c r="CF528" s="723"/>
      <c r="CG528" s="4"/>
      <c r="CH528" s="4"/>
      <c r="CI528" s="4"/>
      <c r="CJ528" s="4"/>
      <c r="CK528" s="4">
        <v>30</v>
      </c>
      <c r="CL528" s="4"/>
      <c r="CM528" s="4"/>
      <c r="CN528" s="4"/>
      <c r="CO528" s="4"/>
      <c r="CP528" s="4"/>
      <c r="CQ528" s="654"/>
      <c r="CR528" s="655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654"/>
      <c r="DD528" s="655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654"/>
      <c r="DP528" s="655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654"/>
      <c r="EB528" s="655"/>
      <c r="EC528" s="4"/>
      <c r="ED528" s="4"/>
      <c r="EE528" s="4"/>
      <c r="EF528" s="4"/>
      <c r="EG528" s="4"/>
      <c r="EH528" s="4"/>
      <c r="EI528" s="4"/>
      <c r="EJ528" s="4"/>
      <c r="EK528" s="4"/>
      <c r="EL528" s="4"/>
      <c r="EM528" s="693"/>
      <c r="EN528" s="723"/>
      <c r="EO528" s="4"/>
      <c r="EP528" s="4"/>
      <c r="EQ528" s="4"/>
      <c r="ER528" s="4"/>
      <c r="ES528" s="4">
        <v>85.710000000000008</v>
      </c>
      <c r="ET528" s="4"/>
      <c r="EU528" s="4"/>
      <c r="EV528" s="4"/>
      <c r="EW528" s="4"/>
      <c r="EX528" s="4"/>
      <c r="EY528" s="654"/>
      <c r="EZ528" s="655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654"/>
      <c r="FL528" s="655"/>
      <c r="FM528" s="4"/>
      <c r="FN528" s="4"/>
      <c r="FO528" s="4"/>
      <c r="FP528" s="4"/>
      <c r="FQ528" s="4"/>
      <c r="FR528" s="4"/>
      <c r="FS528" s="4"/>
      <c r="FT528" s="4"/>
      <c r="FU528" s="4"/>
      <c r="FV528" s="4"/>
      <c r="FW528" s="654"/>
      <c r="FX528" s="655"/>
      <c r="FY528" s="4"/>
      <c r="FZ528" s="4"/>
      <c r="GA528" s="4"/>
      <c r="GB528" s="4"/>
      <c r="GC528" s="4"/>
      <c r="GD528" s="4"/>
      <c r="GE528" s="4"/>
      <c r="GF528" s="4"/>
      <c r="GG528" s="4"/>
      <c r="GH528" s="4"/>
      <c r="GI528" s="654"/>
      <c r="GJ528" s="655"/>
      <c r="GK528" s="4"/>
      <c r="GL528" s="4"/>
      <c r="GM528" s="4"/>
      <c r="GN528" s="4"/>
      <c r="GO528" s="4"/>
      <c r="GP528" s="4"/>
      <c r="GQ528" s="4"/>
      <c r="GR528" s="4"/>
      <c r="GS528" s="4"/>
      <c r="GT528" s="4"/>
      <c r="GU528" s="722"/>
      <c r="GV528" s="715"/>
    </row>
    <row r="529" spans="1:204" x14ac:dyDescent="0.25">
      <c r="A529" t="s">
        <v>1954</v>
      </c>
      <c r="B529" s="2" t="s">
        <v>1953</v>
      </c>
      <c r="C529" s="619">
        <v>44747</v>
      </c>
      <c r="D529" s="2" t="s">
        <v>1939</v>
      </c>
      <c r="E529" t="s">
        <v>58</v>
      </c>
      <c r="F529" s="2" t="s">
        <v>43</v>
      </c>
      <c r="G529" t="s">
        <v>40</v>
      </c>
      <c r="H529" s="690" t="s">
        <v>84</v>
      </c>
      <c r="I529" s="691" t="s">
        <v>510</v>
      </c>
      <c r="J529" s="721">
        <v>28397998000129</v>
      </c>
      <c r="K529" s="691" t="s">
        <v>43</v>
      </c>
      <c r="L529" s="721">
        <v>3780401000108</v>
      </c>
      <c r="M529" s="718" t="s">
        <v>5</v>
      </c>
      <c r="N529" s="717" t="s">
        <v>44</v>
      </c>
      <c r="O529" s="719">
        <v>44713</v>
      </c>
      <c r="P529" s="720">
        <v>44742</v>
      </c>
      <c r="Q529" s="718">
        <v>30</v>
      </c>
      <c r="R529" s="717">
        <v>4.5</v>
      </c>
      <c r="S529" s="691" t="s">
        <v>92</v>
      </c>
      <c r="T529" t="s">
        <v>358</v>
      </c>
      <c r="U529" s="673" t="s">
        <v>358</v>
      </c>
      <c r="V529" s="690" t="s">
        <v>358</v>
      </c>
      <c r="W529" s="657" t="s">
        <v>324</v>
      </c>
      <c r="X529" s="723"/>
      <c r="Y529" s="4"/>
      <c r="Z529" s="4"/>
      <c r="AA529" s="4"/>
      <c r="AB529" s="4"/>
      <c r="AC529" s="4">
        <v>4.5</v>
      </c>
      <c r="AD529" s="4"/>
      <c r="AE529" s="4"/>
      <c r="AF529" s="4"/>
      <c r="AG529" s="4"/>
      <c r="AH529" s="4"/>
      <c r="AI529" s="654"/>
      <c r="AJ529" s="655"/>
      <c r="AK529" s="4"/>
      <c r="AL529" s="4"/>
      <c r="AM529" s="4"/>
      <c r="AN529" s="4"/>
      <c r="AO529" s="4"/>
      <c r="AP529" s="4"/>
      <c r="AQ529" s="4"/>
      <c r="AR529" s="4"/>
      <c r="AS529" s="4"/>
      <c r="AT529" s="4"/>
      <c r="AU529" s="654"/>
      <c r="AV529" s="655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654"/>
      <c r="BH529" s="655"/>
      <c r="BI529" s="4"/>
      <c r="BJ529" s="4"/>
      <c r="BK529" s="4"/>
      <c r="BL529" s="4"/>
      <c r="BM529" s="4"/>
      <c r="BN529" s="4"/>
      <c r="BO529" s="4"/>
      <c r="BP529" s="4"/>
      <c r="BQ529" s="4"/>
      <c r="BR529" s="4"/>
      <c r="BS529" s="654"/>
      <c r="BT529" s="655"/>
      <c r="BU529" s="4"/>
      <c r="BV529" s="4"/>
      <c r="BW529" s="4"/>
      <c r="BX529" s="4"/>
      <c r="BY529" s="4"/>
      <c r="BZ529" s="4"/>
      <c r="CA529" s="4"/>
      <c r="CB529" s="4"/>
      <c r="CC529" s="4"/>
      <c r="CD529" s="4"/>
      <c r="CE529" s="693"/>
      <c r="CF529" s="723"/>
      <c r="CG529" s="4"/>
      <c r="CH529" s="4"/>
      <c r="CI529" s="4"/>
      <c r="CJ529" s="4"/>
      <c r="CK529" s="4">
        <v>30</v>
      </c>
      <c r="CL529" s="4"/>
      <c r="CM529" s="4"/>
      <c r="CN529" s="4"/>
      <c r="CO529" s="4"/>
      <c r="CP529" s="4"/>
      <c r="CQ529" s="654"/>
      <c r="CR529" s="655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654"/>
      <c r="DD529" s="655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654"/>
      <c r="DP529" s="655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654"/>
      <c r="EB529" s="655"/>
      <c r="EC529" s="4"/>
      <c r="ED529" s="4"/>
      <c r="EE529" s="4"/>
      <c r="EF529" s="4"/>
      <c r="EG529" s="4"/>
      <c r="EH529" s="4"/>
      <c r="EI529" s="4"/>
      <c r="EJ529" s="4"/>
      <c r="EK529" s="4"/>
      <c r="EL529" s="4"/>
      <c r="EM529" s="693"/>
      <c r="EN529" s="723"/>
      <c r="EO529" s="4"/>
      <c r="EP529" s="4"/>
      <c r="EQ529" s="4"/>
      <c r="ER529" s="4"/>
      <c r="ES529" s="4">
        <v>85.710000000000008</v>
      </c>
      <c r="ET529" s="4"/>
      <c r="EU529" s="4"/>
      <c r="EV529" s="4"/>
      <c r="EW529" s="4"/>
      <c r="EX529" s="4"/>
      <c r="EY529" s="654"/>
      <c r="EZ529" s="655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654"/>
      <c r="FL529" s="655"/>
      <c r="FM529" s="4"/>
      <c r="FN529" s="4"/>
      <c r="FO529" s="4"/>
      <c r="FP529" s="4"/>
      <c r="FQ529" s="4"/>
      <c r="FR529" s="4"/>
      <c r="FS529" s="4"/>
      <c r="FT529" s="4"/>
      <c r="FU529" s="4"/>
      <c r="FV529" s="4"/>
      <c r="FW529" s="654"/>
      <c r="FX529" s="655"/>
      <c r="FY529" s="4"/>
      <c r="FZ529" s="4"/>
      <c r="GA529" s="4"/>
      <c r="GB529" s="4"/>
      <c r="GC529" s="4"/>
      <c r="GD529" s="4"/>
      <c r="GE529" s="4"/>
      <c r="GF529" s="4"/>
      <c r="GG529" s="4"/>
      <c r="GH529" s="4"/>
      <c r="GI529" s="654"/>
      <c r="GJ529" s="655"/>
      <c r="GK529" s="4"/>
      <c r="GL529" s="4"/>
      <c r="GM529" s="4"/>
      <c r="GN529" s="4"/>
      <c r="GO529" s="4"/>
      <c r="GP529" s="4"/>
      <c r="GQ529" s="4"/>
      <c r="GR529" s="4"/>
      <c r="GS529" s="4"/>
      <c r="GT529" s="4"/>
      <c r="GU529" s="722"/>
      <c r="GV529" s="715"/>
    </row>
    <row r="530" spans="1:204" x14ac:dyDescent="0.25">
      <c r="A530" t="s">
        <v>1956</v>
      </c>
      <c r="B530" s="2" t="s">
        <v>1955</v>
      </c>
      <c r="C530" s="619">
        <v>44747</v>
      </c>
      <c r="D530" s="2">
        <v>25604</v>
      </c>
      <c r="E530" t="s">
        <v>58</v>
      </c>
      <c r="F530" s="2" t="s">
        <v>43</v>
      </c>
      <c r="G530" t="s">
        <v>40</v>
      </c>
      <c r="H530" s="690" t="s">
        <v>84</v>
      </c>
      <c r="I530" s="691" t="s">
        <v>1941</v>
      </c>
      <c r="J530" s="721">
        <v>7455944000100</v>
      </c>
      <c r="K530" s="691" t="s">
        <v>43</v>
      </c>
      <c r="L530" s="721">
        <v>3780401000108</v>
      </c>
      <c r="M530" s="718" t="s">
        <v>5</v>
      </c>
      <c r="N530" s="717" t="s">
        <v>44</v>
      </c>
      <c r="O530" s="719">
        <v>44713</v>
      </c>
      <c r="P530" s="720">
        <v>44742</v>
      </c>
      <c r="Q530" s="718">
        <v>29.5</v>
      </c>
      <c r="R530" s="717">
        <v>0.11944399999999999</v>
      </c>
      <c r="S530" s="691" t="s">
        <v>92</v>
      </c>
      <c r="T530" t="s">
        <v>358</v>
      </c>
      <c r="U530" s="673" t="s">
        <v>358</v>
      </c>
      <c r="V530" s="690" t="s">
        <v>358</v>
      </c>
      <c r="W530" s="657" t="s">
        <v>324</v>
      </c>
      <c r="X530" s="723"/>
      <c r="Y530" s="4"/>
      <c r="Z530" s="4"/>
      <c r="AA530" s="4"/>
      <c r="AB530" s="4"/>
      <c r="AC530" s="4">
        <v>0.11944444444444401</v>
      </c>
      <c r="AD530" s="4"/>
      <c r="AE530" s="4"/>
      <c r="AF530" s="4"/>
      <c r="AG530" s="4"/>
      <c r="AH530" s="4"/>
      <c r="AI530" s="654"/>
      <c r="AJ530" s="655"/>
      <c r="AK530" s="4"/>
      <c r="AL530" s="4"/>
      <c r="AM530" s="4"/>
      <c r="AN530" s="4"/>
      <c r="AO530" s="4"/>
      <c r="AP530" s="4"/>
      <c r="AQ530" s="4"/>
      <c r="AR530" s="4"/>
      <c r="AS530" s="4"/>
      <c r="AT530" s="4"/>
      <c r="AU530" s="654"/>
      <c r="AV530" s="655"/>
      <c r="AW530" s="4"/>
      <c r="AX530" s="4"/>
      <c r="AY530" s="4"/>
      <c r="AZ530" s="4"/>
      <c r="BA530" s="4"/>
      <c r="BB530" s="4"/>
      <c r="BC530" s="4"/>
      <c r="BD530" s="4"/>
      <c r="BE530" s="4"/>
      <c r="BF530" s="4"/>
      <c r="BG530" s="654"/>
      <c r="BH530" s="655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654"/>
      <c r="BT530" s="655"/>
      <c r="BU530" s="4"/>
      <c r="BV530" s="4"/>
      <c r="BW530" s="4"/>
      <c r="BX530" s="4"/>
      <c r="BY530" s="4"/>
      <c r="BZ530" s="4"/>
      <c r="CA530" s="4"/>
      <c r="CB530" s="4"/>
      <c r="CC530" s="4"/>
      <c r="CD530" s="4"/>
      <c r="CE530" s="693"/>
      <c r="CF530" s="723"/>
      <c r="CG530" s="4"/>
      <c r="CH530" s="4"/>
      <c r="CI530" s="4"/>
      <c r="CJ530" s="4"/>
      <c r="CK530" s="4">
        <v>29.5</v>
      </c>
      <c r="CL530" s="4"/>
      <c r="CM530" s="4"/>
      <c r="CN530" s="4"/>
      <c r="CO530" s="4"/>
      <c r="CP530" s="4"/>
      <c r="CQ530" s="654"/>
      <c r="CR530" s="655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654"/>
      <c r="DD530" s="655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654"/>
      <c r="DP530" s="655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654"/>
      <c r="EB530" s="655"/>
      <c r="EC530" s="4"/>
      <c r="ED530" s="4"/>
      <c r="EE530" s="4"/>
      <c r="EF530" s="4"/>
      <c r="EG530" s="4"/>
      <c r="EH530" s="4"/>
      <c r="EI530" s="4"/>
      <c r="EJ530" s="4"/>
      <c r="EK530" s="4"/>
      <c r="EL530" s="4"/>
      <c r="EM530" s="693"/>
      <c r="EN530" s="723"/>
      <c r="EO530" s="4"/>
      <c r="EP530" s="4"/>
      <c r="EQ530" s="4"/>
      <c r="ER530" s="4"/>
      <c r="ES530" s="4">
        <v>85.210000000000008</v>
      </c>
      <c r="ET530" s="4"/>
      <c r="EU530" s="4"/>
      <c r="EV530" s="4"/>
      <c r="EW530" s="4"/>
      <c r="EX530" s="4"/>
      <c r="EY530" s="654"/>
      <c r="EZ530" s="655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654"/>
      <c r="FL530" s="655"/>
      <c r="FM530" s="4"/>
      <c r="FN530" s="4"/>
      <c r="FO530" s="4"/>
      <c r="FP530" s="4"/>
      <c r="FQ530" s="4"/>
      <c r="FR530" s="4"/>
      <c r="FS530" s="4"/>
      <c r="FT530" s="4"/>
      <c r="FU530" s="4"/>
      <c r="FV530" s="4"/>
      <c r="FW530" s="654"/>
      <c r="FX530" s="655"/>
      <c r="FY530" s="4"/>
      <c r="FZ530" s="4"/>
      <c r="GA530" s="4"/>
      <c r="GB530" s="4"/>
      <c r="GC530" s="4"/>
      <c r="GD530" s="4"/>
      <c r="GE530" s="4"/>
      <c r="GF530" s="4"/>
      <c r="GG530" s="4"/>
      <c r="GH530" s="4"/>
      <c r="GI530" s="654"/>
      <c r="GJ530" s="655"/>
      <c r="GK530" s="4"/>
      <c r="GL530" s="4"/>
      <c r="GM530" s="4"/>
      <c r="GN530" s="4"/>
      <c r="GO530" s="4"/>
      <c r="GP530" s="4"/>
      <c r="GQ530" s="4"/>
      <c r="GR530" s="4"/>
      <c r="GS530" s="4"/>
      <c r="GT530" s="4"/>
      <c r="GU530" s="722"/>
      <c r="GV530" s="715"/>
    </row>
    <row r="531" spans="1:204" x14ac:dyDescent="0.25">
      <c r="A531" t="s">
        <v>1958</v>
      </c>
      <c r="B531" s="2" t="s">
        <v>1957</v>
      </c>
      <c r="C531" s="619">
        <v>44747</v>
      </c>
      <c r="D531" s="2">
        <v>25606</v>
      </c>
      <c r="E531" t="s">
        <v>58</v>
      </c>
      <c r="F531" s="2" t="s">
        <v>43</v>
      </c>
      <c r="G531" t="s">
        <v>40</v>
      </c>
      <c r="H531" s="690" t="s">
        <v>84</v>
      </c>
      <c r="I531" s="691" t="s">
        <v>1942</v>
      </c>
      <c r="J531" s="721">
        <v>7398533000112</v>
      </c>
      <c r="K531" s="691" t="s">
        <v>43</v>
      </c>
      <c r="L531" s="721">
        <v>3780401000108</v>
      </c>
      <c r="M531" s="718" t="s">
        <v>5</v>
      </c>
      <c r="N531" s="717" t="s">
        <v>44</v>
      </c>
      <c r="O531" s="719">
        <v>44713</v>
      </c>
      <c r="P531" s="720">
        <v>44742</v>
      </c>
      <c r="Q531" s="718">
        <v>29.5</v>
      </c>
      <c r="R531" s="717">
        <v>2.901389</v>
      </c>
      <c r="S531" s="691" t="s">
        <v>92</v>
      </c>
      <c r="T531" t="s">
        <v>358</v>
      </c>
      <c r="U531" s="673" t="s">
        <v>358</v>
      </c>
      <c r="V531" s="690" t="s">
        <v>358</v>
      </c>
      <c r="W531" s="657" t="s">
        <v>324</v>
      </c>
      <c r="X531" s="723"/>
      <c r="Y531" s="4"/>
      <c r="Z531" s="4"/>
      <c r="AA531" s="4"/>
      <c r="AB531" s="4"/>
      <c r="AC531" s="4">
        <v>2.9013888888888899</v>
      </c>
      <c r="AD531" s="4"/>
      <c r="AE531" s="4"/>
      <c r="AF531" s="4"/>
      <c r="AG531" s="4"/>
      <c r="AH531" s="4"/>
      <c r="AI531" s="654"/>
      <c r="AJ531" s="655"/>
      <c r="AK531" s="4"/>
      <c r="AL531" s="4"/>
      <c r="AM531" s="4"/>
      <c r="AN531" s="4"/>
      <c r="AO531" s="4"/>
      <c r="AP531" s="4"/>
      <c r="AQ531" s="4"/>
      <c r="AR531" s="4"/>
      <c r="AS531" s="4"/>
      <c r="AT531" s="4"/>
      <c r="AU531" s="654"/>
      <c r="AV531" s="655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654"/>
      <c r="BH531" s="655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654"/>
      <c r="BT531" s="655"/>
      <c r="BU531" s="4"/>
      <c r="BV531" s="4"/>
      <c r="BW531" s="4"/>
      <c r="BX531" s="4"/>
      <c r="BY531" s="4"/>
      <c r="BZ531" s="4"/>
      <c r="CA531" s="4"/>
      <c r="CB531" s="4"/>
      <c r="CC531" s="4"/>
      <c r="CD531" s="4"/>
      <c r="CE531" s="693"/>
      <c r="CF531" s="723"/>
      <c r="CG531" s="4"/>
      <c r="CH531" s="4"/>
      <c r="CI531" s="4"/>
      <c r="CJ531" s="4"/>
      <c r="CK531" s="4">
        <v>29.5</v>
      </c>
      <c r="CL531" s="4"/>
      <c r="CM531" s="4"/>
      <c r="CN531" s="4"/>
      <c r="CO531" s="4"/>
      <c r="CP531" s="4"/>
      <c r="CQ531" s="654"/>
      <c r="CR531" s="655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654"/>
      <c r="DD531" s="655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654"/>
      <c r="DP531" s="655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654"/>
      <c r="EB531" s="655"/>
      <c r="EC531" s="4"/>
      <c r="ED531" s="4"/>
      <c r="EE531" s="4"/>
      <c r="EF531" s="4"/>
      <c r="EG531" s="4"/>
      <c r="EH531" s="4"/>
      <c r="EI531" s="4"/>
      <c r="EJ531" s="4"/>
      <c r="EK531" s="4"/>
      <c r="EL531" s="4"/>
      <c r="EM531" s="693"/>
      <c r="EN531" s="723"/>
      <c r="EO531" s="4"/>
      <c r="EP531" s="4"/>
      <c r="EQ531" s="4"/>
      <c r="ER531" s="4"/>
      <c r="ES531" s="4">
        <v>85.210000000000008</v>
      </c>
      <c r="ET531" s="4"/>
      <c r="EU531" s="4"/>
      <c r="EV531" s="4"/>
      <c r="EW531" s="4"/>
      <c r="EX531" s="4"/>
      <c r="EY531" s="654"/>
      <c r="EZ531" s="655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654"/>
      <c r="FL531" s="655"/>
      <c r="FM531" s="4"/>
      <c r="FN531" s="4"/>
      <c r="FO531" s="4"/>
      <c r="FP531" s="4"/>
      <c r="FQ531" s="4"/>
      <c r="FR531" s="4"/>
      <c r="FS531" s="4"/>
      <c r="FT531" s="4"/>
      <c r="FU531" s="4"/>
      <c r="FV531" s="4"/>
      <c r="FW531" s="654"/>
      <c r="FX531" s="655"/>
      <c r="FY531" s="4"/>
      <c r="FZ531" s="4"/>
      <c r="GA531" s="4"/>
      <c r="GB531" s="4"/>
      <c r="GC531" s="4"/>
      <c r="GD531" s="4"/>
      <c r="GE531" s="4"/>
      <c r="GF531" s="4"/>
      <c r="GG531" s="4"/>
      <c r="GH531" s="4"/>
      <c r="GI531" s="654"/>
      <c r="GJ531" s="655"/>
      <c r="GK531" s="4"/>
      <c r="GL531" s="4"/>
      <c r="GM531" s="4"/>
      <c r="GN531" s="4"/>
      <c r="GO531" s="4"/>
      <c r="GP531" s="4"/>
      <c r="GQ531" s="4"/>
      <c r="GR531" s="4"/>
      <c r="GS531" s="4"/>
      <c r="GT531" s="4"/>
      <c r="GU531" s="722"/>
      <c r="GV531" s="715"/>
    </row>
    <row r="532" spans="1:204" x14ac:dyDescent="0.25">
      <c r="A532" t="s">
        <v>1960</v>
      </c>
      <c r="B532" s="2" t="s">
        <v>1959</v>
      </c>
      <c r="C532" s="619">
        <v>44747</v>
      </c>
      <c r="D532" s="2">
        <v>25608</v>
      </c>
      <c r="E532" t="s">
        <v>58</v>
      </c>
      <c r="F532" s="2" t="s">
        <v>43</v>
      </c>
      <c r="G532" t="s">
        <v>40</v>
      </c>
      <c r="H532" s="690" t="s">
        <v>84</v>
      </c>
      <c r="I532" s="691" t="s">
        <v>1943</v>
      </c>
      <c r="J532" s="721">
        <v>8164344000148</v>
      </c>
      <c r="K532" s="691" t="s">
        <v>43</v>
      </c>
      <c r="L532" s="721">
        <v>3780401000108</v>
      </c>
      <c r="M532" s="718" t="s">
        <v>5</v>
      </c>
      <c r="N532" s="717" t="s">
        <v>44</v>
      </c>
      <c r="O532" s="719">
        <v>44713</v>
      </c>
      <c r="P532" s="720">
        <v>44742</v>
      </c>
      <c r="Q532" s="718">
        <v>29.5</v>
      </c>
      <c r="R532" s="717">
        <v>0.36111100000000002</v>
      </c>
      <c r="S532" s="691" t="s">
        <v>92</v>
      </c>
      <c r="T532" t="s">
        <v>358</v>
      </c>
      <c r="U532" s="673" t="s">
        <v>358</v>
      </c>
      <c r="V532" s="690" t="s">
        <v>358</v>
      </c>
      <c r="W532" s="657" t="s">
        <v>324</v>
      </c>
      <c r="X532" s="723"/>
      <c r="Y532" s="4"/>
      <c r="Z532" s="4"/>
      <c r="AA532" s="4"/>
      <c r="AB532" s="4"/>
      <c r="AC532" s="4">
        <v>0.36111111111111099</v>
      </c>
      <c r="AD532" s="4"/>
      <c r="AE532" s="4"/>
      <c r="AF532" s="4"/>
      <c r="AG532" s="4"/>
      <c r="AH532" s="4"/>
      <c r="AI532" s="654"/>
      <c r="AJ532" s="655"/>
      <c r="AK532" s="4"/>
      <c r="AL532" s="4"/>
      <c r="AM532" s="4"/>
      <c r="AN532" s="4"/>
      <c r="AO532" s="4"/>
      <c r="AP532" s="4"/>
      <c r="AQ532" s="4"/>
      <c r="AR532" s="4"/>
      <c r="AS532" s="4"/>
      <c r="AT532" s="4"/>
      <c r="AU532" s="654"/>
      <c r="AV532" s="655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654"/>
      <c r="BH532" s="655"/>
      <c r="BI532" s="4"/>
      <c r="BJ532" s="4"/>
      <c r="BK532" s="4"/>
      <c r="BL532" s="4"/>
      <c r="BM532" s="4"/>
      <c r="BN532" s="4"/>
      <c r="BO532" s="4"/>
      <c r="BP532" s="4"/>
      <c r="BQ532" s="4"/>
      <c r="BR532" s="4"/>
      <c r="BS532" s="654"/>
      <c r="BT532" s="655"/>
      <c r="BU532" s="4"/>
      <c r="BV532" s="4"/>
      <c r="BW532" s="4"/>
      <c r="BX532" s="4"/>
      <c r="BY532" s="4"/>
      <c r="BZ532" s="4"/>
      <c r="CA532" s="4"/>
      <c r="CB532" s="4"/>
      <c r="CC532" s="4"/>
      <c r="CD532" s="4"/>
      <c r="CE532" s="693"/>
      <c r="CF532" s="723"/>
      <c r="CG532" s="4"/>
      <c r="CH532" s="4"/>
      <c r="CI532" s="4"/>
      <c r="CJ532" s="4"/>
      <c r="CK532" s="4">
        <v>29.5</v>
      </c>
      <c r="CL532" s="4"/>
      <c r="CM532" s="4"/>
      <c r="CN532" s="4"/>
      <c r="CO532" s="4"/>
      <c r="CP532" s="4"/>
      <c r="CQ532" s="654"/>
      <c r="CR532" s="655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654"/>
      <c r="DD532" s="655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654"/>
      <c r="DP532" s="655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654"/>
      <c r="EB532" s="655"/>
      <c r="EC532" s="4"/>
      <c r="ED532" s="4"/>
      <c r="EE532" s="4"/>
      <c r="EF532" s="4"/>
      <c r="EG532" s="4"/>
      <c r="EH532" s="4"/>
      <c r="EI532" s="4"/>
      <c r="EJ532" s="4"/>
      <c r="EK532" s="4"/>
      <c r="EL532" s="4"/>
      <c r="EM532" s="693"/>
      <c r="EN532" s="723"/>
      <c r="EO532" s="4"/>
      <c r="EP532" s="4"/>
      <c r="EQ532" s="4"/>
      <c r="ER532" s="4"/>
      <c r="ES532" s="4">
        <v>85.210000000000008</v>
      </c>
      <c r="ET532" s="4"/>
      <c r="EU532" s="4"/>
      <c r="EV532" s="4"/>
      <c r="EW532" s="4"/>
      <c r="EX532" s="4"/>
      <c r="EY532" s="654"/>
      <c r="EZ532" s="655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654"/>
      <c r="FL532" s="655"/>
      <c r="FM532" s="4"/>
      <c r="FN532" s="4"/>
      <c r="FO532" s="4"/>
      <c r="FP532" s="4"/>
      <c r="FQ532" s="4"/>
      <c r="FR532" s="4"/>
      <c r="FS532" s="4"/>
      <c r="FT532" s="4"/>
      <c r="FU532" s="4"/>
      <c r="FV532" s="4"/>
      <c r="FW532" s="654"/>
      <c r="FX532" s="655"/>
      <c r="FY532" s="4"/>
      <c r="FZ532" s="4"/>
      <c r="GA532" s="4"/>
      <c r="GB532" s="4"/>
      <c r="GC532" s="4"/>
      <c r="GD532" s="4"/>
      <c r="GE532" s="4"/>
      <c r="GF532" s="4"/>
      <c r="GG532" s="4"/>
      <c r="GH532" s="4"/>
      <c r="GI532" s="654"/>
      <c r="GJ532" s="655"/>
      <c r="GK532" s="4"/>
      <c r="GL532" s="4"/>
      <c r="GM532" s="4"/>
      <c r="GN532" s="4"/>
      <c r="GO532" s="4"/>
      <c r="GP532" s="4"/>
      <c r="GQ532" s="4"/>
      <c r="GR532" s="4"/>
      <c r="GS532" s="4"/>
      <c r="GT532" s="4"/>
      <c r="GU532" s="722"/>
      <c r="GV532" s="715"/>
    </row>
    <row r="533" spans="1:204" x14ac:dyDescent="0.25">
      <c r="A533" t="s">
        <v>1962</v>
      </c>
      <c r="B533" s="2" t="s">
        <v>1961</v>
      </c>
      <c r="C533" s="619">
        <v>44747</v>
      </c>
      <c r="D533" s="2">
        <v>25602</v>
      </c>
      <c r="E533" t="s">
        <v>58</v>
      </c>
      <c r="F533" s="2" t="s">
        <v>43</v>
      </c>
      <c r="G533" t="s">
        <v>40</v>
      </c>
      <c r="H533" s="690" t="s">
        <v>84</v>
      </c>
      <c r="I533" s="691" t="s">
        <v>1944</v>
      </c>
      <c r="J533" s="721">
        <v>49972326000170</v>
      </c>
      <c r="K533" s="691" t="s">
        <v>43</v>
      </c>
      <c r="L533" s="721">
        <v>3780401000108</v>
      </c>
      <c r="M533" s="718" t="s">
        <v>5</v>
      </c>
      <c r="N533" s="717" t="s">
        <v>44</v>
      </c>
      <c r="O533" s="719">
        <v>44713</v>
      </c>
      <c r="P533" s="720">
        <v>44742</v>
      </c>
      <c r="Q533" s="718">
        <v>29.5</v>
      </c>
      <c r="R533" s="717">
        <v>1.209444</v>
      </c>
      <c r="S533" s="691" t="s">
        <v>92</v>
      </c>
      <c r="T533" t="s">
        <v>358</v>
      </c>
      <c r="U533" s="673" t="s">
        <v>358</v>
      </c>
      <c r="V533" s="690" t="s">
        <v>358</v>
      </c>
      <c r="W533" s="657" t="s">
        <v>324</v>
      </c>
      <c r="X533" s="723"/>
      <c r="Y533" s="4"/>
      <c r="Z533" s="4"/>
      <c r="AA533" s="4"/>
      <c r="AB533" s="4"/>
      <c r="AC533" s="4">
        <v>1.2094444444444401</v>
      </c>
      <c r="AD533" s="4"/>
      <c r="AE533" s="4"/>
      <c r="AF533" s="4"/>
      <c r="AG533" s="4"/>
      <c r="AH533" s="4"/>
      <c r="AI533" s="654"/>
      <c r="AJ533" s="655"/>
      <c r="AK533" s="4"/>
      <c r="AL533" s="4"/>
      <c r="AM533" s="4"/>
      <c r="AN533" s="4"/>
      <c r="AO533" s="4"/>
      <c r="AP533" s="4"/>
      <c r="AQ533" s="4"/>
      <c r="AR533" s="4"/>
      <c r="AS533" s="4"/>
      <c r="AT533" s="4"/>
      <c r="AU533" s="654"/>
      <c r="AV533" s="655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654"/>
      <c r="BH533" s="655"/>
      <c r="BI533" s="4"/>
      <c r="BJ533" s="4"/>
      <c r="BK533" s="4"/>
      <c r="BL533" s="4"/>
      <c r="BM533" s="4"/>
      <c r="BN533" s="4"/>
      <c r="BO533" s="4"/>
      <c r="BP533" s="4"/>
      <c r="BQ533" s="4"/>
      <c r="BR533" s="4"/>
      <c r="BS533" s="654"/>
      <c r="BT533" s="655"/>
      <c r="BU533" s="4"/>
      <c r="BV533" s="4"/>
      <c r="BW533" s="4"/>
      <c r="BX533" s="4"/>
      <c r="BY533" s="4"/>
      <c r="BZ533" s="4"/>
      <c r="CA533" s="4"/>
      <c r="CB533" s="4"/>
      <c r="CC533" s="4"/>
      <c r="CD533" s="4"/>
      <c r="CE533" s="693"/>
      <c r="CF533" s="723"/>
      <c r="CG533" s="4"/>
      <c r="CH533" s="4"/>
      <c r="CI533" s="4"/>
      <c r="CJ533" s="4"/>
      <c r="CK533" s="4">
        <v>29.5</v>
      </c>
      <c r="CL533" s="4"/>
      <c r="CM533" s="4"/>
      <c r="CN533" s="4"/>
      <c r="CO533" s="4"/>
      <c r="CP533" s="4"/>
      <c r="CQ533" s="654"/>
      <c r="CR533" s="655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654"/>
      <c r="DD533" s="655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654"/>
      <c r="DP533" s="655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654"/>
      <c r="EB533" s="655"/>
      <c r="EC533" s="4"/>
      <c r="ED533" s="4"/>
      <c r="EE533" s="4"/>
      <c r="EF533" s="4"/>
      <c r="EG533" s="4"/>
      <c r="EH533" s="4"/>
      <c r="EI533" s="4"/>
      <c r="EJ533" s="4"/>
      <c r="EK533" s="4"/>
      <c r="EL533" s="4"/>
      <c r="EM533" s="693"/>
      <c r="EN533" s="723"/>
      <c r="EO533" s="4"/>
      <c r="EP533" s="4"/>
      <c r="EQ533" s="4"/>
      <c r="ER533" s="4"/>
      <c r="ES533" s="4">
        <v>85.210000000000008</v>
      </c>
      <c r="ET533" s="4"/>
      <c r="EU533" s="4"/>
      <c r="EV533" s="4"/>
      <c r="EW533" s="4"/>
      <c r="EX533" s="4"/>
      <c r="EY533" s="654"/>
      <c r="EZ533" s="655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654"/>
      <c r="FL533" s="655"/>
      <c r="FM533" s="4"/>
      <c r="FN533" s="4"/>
      <c r="FO533" s="4"/>
      <c r="FP533" s="4"/>
      <c r="FQ533" s="4"/>
      <c r="FR533" s="4"/>
      <c r="FS533" s="4"/>
      <c r="FT533" s="4"/>
      <c r="FU533" s="4"/>
      <c r="FV533" s="4"/>
      <c r="FW533" s="654"/>
      <c r="FX533" s="655"/>
      <c r="FY533" s="4"/>
      <c r="FZ533" s="4"/>
      <c r="GA533" s="4"/>
      <c r="GB533" s="4"/>
      <c r="GC533" s="4"/>
      <c r="GD533" s="4"/>
      <c r="GE533" s="4"/>
      <c r="GF533" s="4"/>
      <c r="GG533" s="4"/>
      <c r="GH533" s="4"/>
      <c r="GI533" s="654"/>
      <c r="GJ533" s="655"/>
      <c r="GK533" s="4"/>
      <c r="GL533" s="4"/>
      <c r="GM533" s="4"/>
      <c r="GN533" s="4"/>
      <c r="GO533" s="4"/>
      <c r="GP533" s="4"/>
      <c r="GQ533" s="4"/>
      <c r="GR533" s="4"/>
      <c r="GS533" s="4"/>
      <c r="GT533" s="4"/>
      <c r="GU533" s="722"/>
      <c r="GV533" s="715"/>
    </row>
    <row r="534" spans="1:204" x14ac:dyDescent="0.25">
      <c r="A534" t="s">
        <v>1963</v>
      </c>
      <c r="B534" s="2" t="s">
        <v>358</v>
      </c>
      <c r="C534" s="619">
        <v>44747</v>
      </c>
      <c r="D534" s="2" t="s">
        <v>1940</v>
      </c>
      <c r="E534" t="s">
        <v>58</v>
      </c>
      <c r="F534" s="2" t="s">
        <v>43</v>
      </c>
      <c r="G534" t="s">
        <v>40</v>
      </c>
      <c r="H534" s="690" t="s">
        <v>84</v>
      </c>
      <c r="I534" s="691" t="s">
        <v>876</v>
      </c>
      <c r="J534" s="721">
        <v>22109465000118</v>
      </c>
      <c r="K534" s="691" t="s">
        <v>43</v>
      </c>
      <c r="L534" s="721">
        <v>3780401000108</v>
      </c>
      <c r="M534" s="718" t="s">
        <v>3</v>
      </c>
      <c r="N534" s="717" t="s">
        <v>44</v>
      </c>
      <c r="O534" s="719">
        <v>44774</v>
      </c>
      <c r="P534" s="720">
        <v>44804</v>
      </c>
      <c r="Q534" s="718">
        <v>83</v>
      </c>
      <c r="R534" s="717">
        <v>10</v>
      </c>
      <c r="S534" s="691" t="s">
        <v>54</v>
      </c>
      <c r="T534" t="s">
        <v>358</v>
      </c>
      <c r="U534" s="673" t="s">
        <v>358</v>
      </c>
      <c r="V534" s="690" t="s">
        <v>358</v>
      </c>
      <c r="W534" s="657" t="s">
        <v>214</v>
      </c>
      <c r="X534" s="723"/>
      <c r="Y534" s="4"/>
      <c r="Z534" s="4"/>
      <c r="AA534" s="4"/>
      <c r="AB534" s="4"/>
      <c r="AC534" s="4"/>
      <c r="AD534" s="4"/>
      <c r="AE534" s="4">
        <v>10</v>
      </c>
      <c r="AF534" s="4"/>
      <c r="AG534" s="4"/>
      <c r="AH534" s="4"/>
      <c r="AI534" s="654"/>
      <c r="AJ534" s="655"/>
      <c r="AK534" s="4"/>
      <c r="AL534" s="4"/>
      <c r="AM534" s="4"/>
      <c r="AN534" s="4"/>
      <c r="AO534" s="4"/>
      <c r="AP534" s="4"/>
      <c r="AQ534" s="4"/>
      <c r="AR534" s="4"/>
      <c r="AS534" s="4"/>
      <c r="AT534" s="4"/>
      <c r="AU534" s="654"/>
      <c r="AV534" s="655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654"/>
      <c r="BH534" s="655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654"/>
      <c r="BT534" s="655"/>
      <c r="BU534" s="4"/>
      <c r="BV534" s="4"/>
      <c r="BW534" s="4"/>
      <c r="BX534" s="4"/>
      <c r="BY534" s="4"/>
      <c r="BZ534" s="4"/>
      <c r="CA534" s="4"/>
      <c r="CB534" s="4"/>
      <c r="CC534" s="4"/>
      <c r="CD534" s="4"/>
      <c r="CE534" s="693"/>
      <c r="CF534" s="723"/>
      <c r="CG534" s="4"/>
      <c r="CH534" s="4"/>
      <c r="CI534" s="4"/>
      <c r="CJ534" s="4"/>
      <c r="CK534" s="4"/>
      <c r="CL534" s="4"/>
      <c r="CM534" s="4">
        <v>83</v>
      </c>
      <c r="CN534" s="4"/>
      <c r="CO534" s="4"/>
      <c r="CP534" s="4"/>
      <c r="CQ534" s="654"/>
      <c r="CR534" s="655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654"/>
      <c r="DD534" s="655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654"/>
      <c r="DP534" s="655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654"/>
      <c r="EB534" s="655"/>
      <c r="EC534" s="4"/>
      <c r="ED534" s="4"/>
      <c r="EE534" s="4"/>
      <c r="EF534" s="4"/>
      <c r="EG534" s="4"/>
      <c r="EH534" s="4"/>
      <c r="EI534" s="4"/>
      <c r="EJ534" s="4"/>
      <c r="EK534" s="4"/>
      <c r="EL534" s="4"/>
      <c r="EM534" s="693"/>
      <c r="EN534" s="723"/>
      <c r="EO534" s="4"/>
      <c r="EP534" s="4"/>
      <c r="EQ534" s="4"/>
      <c r="ER534" s="4"/>
      <c r="ES534" s="4"/>
      <c r="ET534" s="4"/>
      <c r="EU534" s="4">
        <v>83</v>
      </c>
      <c r="EV534" s="4"/>
      <c r="EW534" s="4"/>
      <c r="EX534" s="4"/>
      <c r="EY534" s="654"/>
      <c r="EZ534" s="655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654"/>
      <c r="FL534" s="655"/>
      <c r="FM534" s="4"/>
      <c r="FN534" s="4"/>
      <c r="FO534" s="4"/>
      <c r="FP534" s="4"/>
      <c r="FQ534" s="4"/>
      <c r="FR534" s="4"/>
      <c r="FS534" s="4"/>
      <c r="FT534" s="4"/>
      <c r="FU534" s="4"/>
      <c r="FV534" s="4"/>
      <c r="FW534" s="654"/>
      <c r="FX534" s="655"/>
      <c r="FY534" s="4"/>
      <c r="FZ534" s="4"/>
      <c r="GA534" s="4"/>
      <c r="GB534" s="4"/>
      <c r="GC534" s="4"/>
      <c r="GD534" s="4"/>
      <c r="GE534" s="4"/>
      <c r="GF534" s="4"/>
      <c r="GG534" s="4"/>
      <c r="GH534" s="4"/>
      <c r="GI534" s="654"/>
      <c r="GJ534" s="655"/>
      <c r="GK534" s="4"/>
      <c r="GL534" s="4"/>
      <c r="GM534" s="4"/>
      <c r="GN534" s="4"/>
      <c r="GO534" s="4"/>
      <c r="GP534" s="4"/>
      <c r="GQ534" s="4"/>
      <c r="GR534" s="4"/>
      <c r="GS534" s="4"/>
      <c r="GT534" s="4"/>
      <c r="GU534" s="722"/>
      <c r="GV534" s="715"/>
    </row>
    <row r="535" spans="1:204" x14ac:dyDescent="0.25">
      <c r="A535" t="s">
        <v>1965</v>
      </c>
      <c r="B535" s="2" t="s">
        <v>358</v>
      </c>
      <c r="C535" s="619">
        <v>44749</v>
      </c>
      <c r="D535" s="2" t="s">
        <v>1964</v>
      </c>
      <c r="E535" t="s">
        <v>59</v>
      </c>
      <c r="F535" s="2" t="s">
        <v>43</v>
      </c>
      <c r="G535" t="s">
        <v>40</v>
      </c>
      <c r="H535" s="690" t="s">
        <v>85</v>
      </c>
      <c r="I535" s="691" t="s">
        <v>43</v>
      </c>
      <c r="J535" s="721">
        <v>3780401000108</v>
      </c>
      <c r="K535" s="691" t="s">
        <v>405</v>
      </c>
      <c r="L535" s="721">
        <v>58177643000195</v>
      </c>
      <c r="M535" s="718" t="s">
        <v>3</v>
      </c>
      <c r="N535" s="717" t="s">
        <v>44</v>
      </c>
      <c r="O535" s="719">
        <v>44835</v>
      </c>
      <c r="P535" s="720">
        <v>44865</v>
      </c>
      <c r="Q535" s="718">
        <v>95.5</v>
      </c>
      <c r="R535" s="717">
        <v>5</v>
      </c>
      <c r="S535" s="691" t="s">
        <v>54</v>
      </c>
      <c r="T535" t="s">
        <v>358</v>
      </c>
      <c r="U535" s="673" t="s">
        <v>358</v>
      </c>
      <c r="V535" s="690" t="s">
        <v>358</v>
      </c>
      <c r="W535" s="657" t="s">
        <v>214</v>
      </c>
      <c r="X535" s="723"/>
      <c r="Y535" s="4"/>
      <c r="Z535" s="4"/>
      <c r="AA535" s="4"/>
      <c r="AB535" s="4"/>
      <c r="AC535" s="4"/>
      <c r="AD535" s="4"/>
      <c r="AE535" s="4"/>
      <c r="AF535" s="4"/>
      <c r="AG535" s="4">
        <v>5</v>
      </c>
      <c r="AH535" s="4"/>
      <c r="AI535" s="654"/>
      <c r="AJ535" s="655"/>
      <c r="AK535" s="4"/>
      <c r="AL535" s="4"/>
      <c r="AM535" s="4"/>
      <c r="AN535" s="4"/>
      <c r="AO535" s="4"/>
      <c r="AP535" s="4"/>
      <c r="AQ535" s="4"/>
      <c r="AR535" s="4"/>
      <c r="AS535" s="4"/>
      <c r="AT535" s="4"/>
      <c r="AU535" s="654"/>
      <c r="AV535" s="655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654"/>
      <c r="BH535" s="655"/>
      <c r="BI535" s="4"/>
      <c r="BJ535" s="4"/>
      <c r="BK535" s="4"/>
      <c r="BL535" s="4"/>
      <c r="BM535" s="4"/>
      <c r="BN535" s="4"/>
      <c r="BO535" s="4"/>
      <c r="BP535" s="4"/>
      <c r="BQ535" s="4"/>
      <c r="BR535" s="4"/>
      <c r="BS535" s="654"/>
      <c r="BT535" s="655"/>
      <c r="BU535" s="4"/>
      <c r="BV535" s="4"/>
      <c r="BW535" s="4"/>
      <c r="BX535" s="4"/>
      <c r="BY535" s="4"/>
      <c r="BZ535" s="4"/>
      <c r="CA535" s="4"/>
      <c r="CB535" s="4"/>
      <c r="CC535" s="4"/>
      <c r="CD535" s="4"/>
      <c r="CE535" s="693"/>
      <c r="CF535" s="723"/>
      <c r="CG535" s="4"/>
      <c r="CH535" s="4"/>
      <c r="CI535" s="4"/>
      <c r="CJ535" s="4"/>
      <c r="CK535" s="4"/>
      <c r="CL535" s="4"/>
      <c r="CM535" s="4"/>
      <c r="CN535" s="4"/>
      <c r="CO535" s="4">
        <v>95.5</v>
      </c>
      <c r="CP535" s="4"/>
      <c r="CQ535" s="654"/>
      <c r="CR535" s="655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654"/>
      <c r="DD535" s="655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654"/>
      <c r="DP535" s="655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654"/>
      <c r="EB535" s="655"/>
      <c r="EC535" s="4"/>
      <c r="ED535" s="4"/>
      <c r="EE535" s="4"/>
      <c r="EF535" s="4"/>
      <c r="EG535" s="4"/>
      <c r="EH535" s="4"/>
      <c r="EI535" s="4"/>
      <c r="EJ535" s="4"/>
      <c r="EK535" s="4"/>
      <c r="EL535" s="4"/>
      <c r="EM535" s="693"/>
      <c r="EN535" s="723"/>
      <c r="EO535" s="4"/>
      <c r="EP535" s="4"/>
      <c r="EQ535" s="4"/>
      <c r="ER535" s="4"/>
      <c r="ES535" s="4"/>
      <c r="ET535" s="4"/>
      <c r="EU535" s="4"/>
      <c r="EV535" s="4"/>
      <c r="EW535" s="4">
        <v>95.5</v>
      </c>
      <c r="EX535" s="4"/>
      <c r="EY535" s="654"/>
      <c r="EZ535" s="655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654"/>
      <c r="FL535" s="655"/>
      <c r="FM535" s="4"/>
      <c r="FN535" s="4"/>
      <c r="FO535" s="4"/>
      <c r="FP535" s="4"/>
      <c r="FQ535" s="4"/>
      <c r="FR535" s="4"/>
      <c r="FS535" s="4"/>
      <c r="FT535" s="4"/>
      <c r="FU535" s="4"/>
      <c r="FV535" s="4"/>
      <c r="FW535" s="654"/>
      <c r="FX535" s="655"/>
      <c r="FY535" s="4"/>
      <c r="FZ535" s="4"/>
      <c r="GA535" s="4"/>
      <c r="GB535" s="4"/>
      <c r="GC535" s="4"/>
      <c r="GD535" s="4"/>
      <c r="GE535" s="4"/>
      <c r="GF535" s="4"/>
      <c r="GG535" s="4"/>
      <c r="GH535" s="4"/>
      <c r="GI535" s="654"/>
      <c r="GJ535" s="655"/>
      <c r="GK535" s="4"/>
      <c r="GL535" s="4"/>
      <c r="GM535" s="4"/>
      <c r="GN535" s="4"/>
      <c r="GO535" s="4"/>
      <c r="GP535" s="4"/>
      <c r="GQ535" s="4"/>
      <c r="GR535" s="4"/>
      <c r="GS535" s="4"/>
      <c r="GT535" s="4"/>
      <c r="GU535" s="722"/>
      <c r="GV535" s="715"/>
    </row>
    <row r="536" spans="1:204" x14ac:dyDescent="0.25">
      <c r="A536" t="s">
        <v>1973</v>
      </c>
      <c r="B536" s="2" t="s">
        <v>1972</v>
      </c>
      <c r="C536" s="619">
        <v>44755</v>
      </c>
      <c r="D536" s="2" t="s">
        <v>1966</v>
      </c>
      <c r="E536" t="s">
        <v>58</v>
      </c>
      <c r="F536" s="2" t="s">
        <v>43</v>
      </c>
      <c r="G536" t="s">
        <v>40</v>
      </c>
      <c r="H536" s="690" t="s">
        <v>84</v>
      </c>
      <c r="I536" s="691" t="s">
        <v>409</v>
      </c>
      <c r="J536" s="721">
        <v>12809025000110</v>
      </c>
      <c r="K536" s="691" t="s">
        <v>43</v>
      </c>
      <c r="L536" s="721">
        <v>3780401000108</v>
      </c>
      <c r="M536" s="718" t="s">
        <v>3</v>
      </c>
      <c r="N536" s="717" t="s">
        <v>44</v>
      </c>
      <c r="O536" s="719">
        <v>44743</v>
      </c>
      <c r="P536" s="720">
        <v>44773</v>
      </c>
      <c r="Q536" s="718">
        <v>62.9</v>
      </c>
      <c r="R536" s="717">
        <v>5</v>
      </c>
      <c r="S536" s="691" t="s">
        <v>54</v>
      </c>
      <c r="T536" t="s">
        <v>358</v>
      </c>
      <c r="U536" s="673" t="s">
        <v>358</v>
      </c>
      <c r="V536" s="690" t="s">
        <v>358</v>
      </c>
      <c r="W536" s="657" t="s">
        <v>329</v>
      </c>
      <c r="X536" s="723"/>
      <c r="Y536" s="4"/>
      <c r="Z536" s="4"/>
      <c r="AA536" s="4"/>
      <c r="AB536" s="4"/>
      <c r="AC536" s="4"/>
      <c r="AD536" s="4">
        <v>5</v>
      </c>
      <c r="AE536" s="4"/>
      <c r="AF536" s="4"/>
      <c r="AG536" s="4"/>
      <c r="AH536" s="4"/>
      <c r="AI536" s="654"/>
      <c r="AJ536" s="655"/>
      <c r="AK536" s="4"/>
      <c r="AL536" s="4"/>
      <c r="AM536" s="4"/>
      <c r="AN536" s="4"/>
      <c r="AO536" s="4"/>
      <c r="AP536" s="4"/>
      <c r="AQ536" s="4"/>
      <c r="AR536" s="4"/>
      <c r="AS536" s="4"/>
      <c r="AT536" s="4"/>
      <c r="AU536" s="654"/>
      <c r="AV536" s="655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654"/>
      <c r="BH536" s="655"/>
      <c r="BI536" s="4"/>
      <c r="BJ536" s="4"/>
      <c r="BK536" s="4"/>
      <c r="BL536" s="4"/>
      <c r="BM536" s="4"/>
      <c r="BN536" s="4"/>
      <c r="BO536" s="4"/>
      <c r="BP536" s="4"/>
      <c r="BQ536" s="4"/>
      <c r="BR536" s="4"/>
      <c r="BS536" s="654"/>
      <c r="BT536" s="655"/>
      <c r="BU536" s="4"/>
      <c r="BV536" s="4"/>
      <c r="BW536" s="4"/>
      <c r="BX536" s="4"/>
      <c r="BY536" s="4"/>
      <c r="BZ536" s="4"/>
      <c r="CA536" s="4"/>
      <c r="CB536" s="4"/>
      <c r="CC536" s="4"/>
      <c r="CD536" s="4"/>
      <c r="CE536" s="693"/>
      <c r="CF536" s="723"/>
      <c r="CG536" s="4"/>
      <c r="CH536" s="4"/>
      <c r="CI536" s="4"/>
      <c r="CJ536" s="4"/>
      <c r="CK536" s="4"/>
      <c r="CL536" s="4">
        <v>62.9</v>
      </c>
      <c r="CM536" s="4"/>
      <c r="CN536" s="4"/>
      <c r="CO536" s="4"/>
      <c r="CP536" s="4"/>
      <c r="CQ536" s="654"/>
      <c r="CR536" s="655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654"/>
      <c r="DD536" s="655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654"/>
      <c r="DP536" s="655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654"/>
      <c r="EB536" s="655"/>
      <c r="EC536" s="4"/>
      <c r="ED536" s="4"/>
      <c r="EE536" s="4"/>
      <c r="EF536" s="4"/>
      <c r="EG536" s="4"/>
      <c r="EH536" s="4"/>
      <c r="EI536" s="4"/>
      <c r="EJ536" s="4"/>
      <c r="EK536" s="4"/>
      <c r="EL536" s="4"/>
      <c r="EM536" s="693"/>
      <c r="EN536" s="723"/>
      <c r="EO536" s="4"/>
      <c r="EP536" s="4"/>
      <c r="EQ536" s="4"/>
      <c r="ER536" s="4"/>
      <c r="ES536" s="4"/>
      <c r="ET536" s="4">
        <v>62.9</v>
      </c>
      <c r="EU536" s="4"/>
      <c r="EV536" s="4"/>
      <c r="EW536" s="4"/>
      <c r="EX536" s="4"/>
      <c r="EY536" s="654"/>
      <c r="EZ536" s="655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654"/>
      <c r="FL536" s="655"/>
      <c r="FM536" s="4"/>
      <c r="FN536" s="4"/>
      <c r="FO536" s="4"/>
      <c r="FP536" s="4"/>
      <c r="FQ536" s="4"/>
      <c r="FR536" s="4"/>
      <c r="FS536" s="4"/>
      <c r="FT536" s="4"/>
      <c r="FU536" s="4"/>
      <c r="FV536" s="4"/>
      <c r="FW536" s="654"/>
      <c r="FX536" s="655"/>
      <c r="FY536" s="4"/>
      <c r="FZ536" s="4"/>
      <c r="GA536" s="4"/>
      <c r="GB536" s="4"/>
      <c r="GC536" s="4"/>
      <c r="GD536" s="4"/>
      <c r="GE536" s="4"/>
      <c r="GF536" s="4"/>
      <c r="GG536" s="4"/>
      <c r="GH536" s="4"/>
      <c r="GI536" s="654"/>
      <c r="GJ536" s="655"/>
      <c r="GK536" s="4"/>
      <c r="GL536" s="4"/>
      <c r="GM536" s="4"/>
      <c r="GN536" s="4"/>
      <c r="GO536" s="4"/>
      <c r="GP536" s="4"/>
      <c r="GQ536" s="4"/>
      <c r="GR536" s="4"/>
      <c r="GS536" s="4"/>
      <c r="GT536" s="4"/>
      <c r="GU536" s="722"/>
      <c r="GV536" s="715"/>
    </row>
    <row r="537" spans="1:204" x14ac:dyDescent="0.25">
      <c r="A537" t="s">
        <v>1974</v>
      </c>
      <c r="B537" s="2" t="s">
        <v>358</v>
      </c>
      <c r="C537" s="619">
        <v>44755</v>
      </c>
      <c r="D537" s="2" t="s">
        <v>1967</v>
      </c>
      <c r="E537" t="s">
        <v>59</v>
      </c>
      <c r="F537" s="2" t="s">
        <v>43</v>
      </c>
      <c r="G537" t="s">
        <v>40</v>
      </c>
      <c r="H537" s="690" t="s">
        <v>85</v>
      </c>
      <c r="I537" s="691" t="s">
        <v>43</v>
      </c>
      <c r="J537" s="721">
        <v>3780401000108</v>
      </c>
      <c r="K537" s="691" t="s">
        <v>967</v>
      </c>
      <c r="L537" s="721">
        <v>3984862000194</v>
      </c>
      <c r="M537" s="718" t="s">
        <v>3</v>
      </c>
      <c r="N537" s="717" t="s">
        <v>44</v>
      </c>
      <c r="O537" s="719">
        <v>44835</v>
      </c>
      <c r="P537" s="720">
        <v>44865</v>
      </c>
      <c r="Q537" s="718">
        <v>106</v>
      </c>
      <c r="R537" s="717">
        <v>2</v>
      </c>
      <c r="S537" s="691" t="s">
        <v>54</v>
      </c>
      <c r="T537" t="s">
        <v>358</v>
      </c>
      <c r="U537" s="673" t="s">
        <v>358</v>
      </c>
      <c r="V537" s="690" t="s">
        <v>358</v>
      </c>
      <c r="W537" s="657" t="s">
        <v>214</v>
      </c>
      <c r="X537" s="723"/>
      <c r="Y537" s="4"/>
      <c r="Z537" s="4"/>
      <c r="AA537" s="4"/>
      <c r="AB537" s="4"/>
      <c r="AC537" s="4"/>
      <c r="AD537" s="4"/>
      <c r="AE537" s="4"/>
      <c r="AF537" s="4"/>
      <c r="AG537" s="4">
        <v>2</v>
      </c>
      <c r="AH537" s="4"/>
      <c r="AI537" s="654"/>
      <c r="AJ537" s="655"/>
      <c r="AK537" s="4"/>
      <c r="AL537" s="4"/>
      <c r="AM537" s="4"/>
      <c r="AN537" s="4"/>
      <c r="AO537" s="4"/>
      <c r="AP537" s="4"/>
      <c r="AQ537" s="4"/>
      <c r="AR537" s="4"/>
      <c r="AS537" s="4"/>
      <c r="AT537" s="4"/>
      <c r="AU537" s="654"/>
      <c r="AV537" s="655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654"/>
      <c r="BH537" s="655"/>
      <c r="BI537" s="4"/>
      <c r="BJ537" s="4"/>
      <c r="BK537" s="4"/>
      <c r="BL537" s="4"/>
      <c r="BM537" s="4"/>
      <c r="BN537" s="4"/>
      <c r="BO537" s="4"/>
      <c r="BP537" s="4"/>
      <c r="BQ537" s="4"/>
      <c r="BR537" s="4"/>
      <c r="BS537" s="654"/>
      <c r="BT537" s="655"/>
      <c r="BU537" s="4"/>
      <c r="BV537" s="4"/>
      <c r="BW537" s="4"/>
      <c r="BX537" s="4"/>
      <c r="BY537" s="4"/>
      <c r="BZ537" s="4"/>
      <c r="CA537" s="4"/>
      <c r="CB537" s="4"/>
      <c r="CC537" s="4"/>
      <c r="CD537" s="4"/>
      <c r="CE537" s="693"/>
      <c r="CF537" s="723"/>
      <c r="CG537" s="4"/>
      <c r="CH537" s="4"/>
      <c r="CI537" s="4"/>
      <c r="CJ537" s="4"/>
      <c r="CK537" s="4"/>
      <c r="CL537" s="4"/>
      <c r="CM537" s="4"/>
      <c r="CN537" s="4"/>
      <c r="CO537" s="4">
        <v>106</v>
      </c>
      <c r="CP537" s="4"/>
      <c r="CQ537" s="654"/>
      <c r="CR537" s="655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654"/>
      <c r="DD537" s="655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654"/>
      <c r="DP537" s="655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654"/>
      <c r="EB537" s="655"/>
      <c r="EC537" s="4"/>
      <c r="ED537" s="4"/>
      <c r="EE537" s="4"/>
      <c r="EF537" s="4"/>
      <c r="EG537" s="4"/>
      <c r="EH537" s="4"/>
      <c r="EI537" s="4"/>
      <c r="EJ537" s="4"/>
      <c r="EK537" s="4"/>
      <c r="EL537" s="4"/>
      <c r="EM537" s="693"/>
      <c r="EN537" s="723"/>
      <c r="EO537" s="4"/>
      <c r="EP537" s="4"/>
      <c r="EQ537" s="4"/>
      <c r="ER537" s="4"/>
      <c r="ES537" s="4"/>
      <c r="ET537" s="4"/>
      <c r="EU537" s="4"/>
      <c r="EV537" s="4"/>
      <c r="EW537" s="4">
        <v>106</v>
      </c>
      <c r="EX537" s="4"/>
      <c r="EY537" s="654"/>
      <c r="EZ537" s="655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654"/>
      <c r="FL537" s="655"/>
      <c r="FM537" s="4"/>
      <c r="FN537" s="4"/>
      <c r="FO537" s="4"/>
      <c r="FP537" s="4"/>
      <c r="FQ537" s="4"/>
      <c r="FR537" s="4"/>
      <c r="FS537" s="4"/>
      <c r="FT537" s="4"/>
      <c r="FU537" s="4"/>
      <c r="FV537" s="4"/>
      <c r="FW537" s="654"/>
      <c r="FX537" s="655"/>
      <c r="FY537" s="4"/>
      <c r="FZ537" s="4"/>
      <c r="GA537" s="4"/>
      <c r="GB537" s="4"/>
      <c r="GC537" s="4"/>
      <c r="GD537" s="4"/>
      <c r="GE537" s="4"/>
      <c r="GF537" s="4"/>
      <c r="GG537" s="4"/>
      <c r="GH537" s="4"/>
      <c r="GI537" s="654"/>
      <c r="GJ537" s="655"/>
      <c r="GK537" s="4"/>
      <c r="GL537" s="4"/>
      <c r="GM537" s="4"/>
      <c r="GN537" s="4"/>
      <c r="GO537" s="4"/>
      <c r="GP537" s="4"/>
      <c r="GQ537" s="4"/>
      <c r="GR537" s="4"/>
      <c r="GS537" s="4"/>
      <c r="GT537" s="4"/>
      <c r="GU537" s="722"/>
      <c r="GV537" s="715"/>
    </row>
    <row r="538" spans="1:204" x14ac:dyDescent="0.25">
      <c r="A538" t="s">
        <v>1976</v>
      </c>
      <c r="B538" s="2" t="s">
        <v>1975</v>
      </c>
      <c r="C538" s="619">
        <v>44755</v>
      </c>
      <c r="D538" s="2" t="s">
        <v>1968</v>
      </c>
      <c r="E538" t="s">
        <v>58</v>
      </c>
      <c r="F538" s="2" t="s">
        <v>43</v>
      </c>
      <c r="G538" t="s">
        <v>40</v>
      </c>
      <c r="H538" s="690" t="s">
        <v>84</v>
      </c>
      <c r="I538" s="691" t="s">
        <v>409</v>
      </c>
      <c r="J538" s="721">
        <v>12809025000110</v>
      </c>
      <c r="K538" s="691" t="s">
        <v>43</v>
      </c>
      <c r="L538" s="721">
        <v>3780401000108</v>
      </c>
      <c r="M538" s="718" t="s">
        <v>3</v>
      </c>
      <c r="N538" s="717" t="s">
        <v>44</v>
      </c>
      <c r="O538" s="719">
        <v>44743</v>
      </c>
      <c r="P538" s="720">
        <v>44773</v>
      </c>
      <c r="Q538" s="718">
        <v>62.9</v>
      </c>
      <c r="R538" s="717">
        <v>1</v>
      </c>
      <c r="S538" s="691" t="s">
        <v>54</v>
      </c>
      <c r="T538" t="s">
        <v>358</v>
      </c>
      <c r="U538" s="673" t="s">
        <v>358</v>
      </c>
      <c r="V538" s="690" t="s">
        <v>358</v>
      </c>
      <c r="W538" s="657" t="s">
        <v>329</v>
      </c>
      <c r="X538" s="723"/>
      <c r="Y538" s="4"/>
      <c r="Z538" s="4"/>
      <c r="AA538" s="4"/>
      <c r="AB538" s="4"/>
      <c r="AC538" s="4"/>
      <c r="AD538" s="4">
        <v>1</v>
      </c>
      <c r="AE538" s="4"/>
      <c r="AF538" s="4"/>
      <c r="AG538" s="4"/>
      <c r="AH538" s="4"/>
      <c r="AI538" s="654"/>
      <c r="AJ538" s="655"/>
      <c r="AK538" s="4"/>
      <c r="AL538" s="4"/>
      <c r="AM538" s="4"/>
      <c r="AN538" s="4"/>
      <c r="AO538" s="4"/>
      <c r="AP538" s="4"/>
      <c r="AQ538" s="4"/>
      <c r="AR538" s="4"/>
      <c r="AS538" s="4"/>
      <c r="AT538" s="4"/>
      <c r="AU538" s="654"/>
      <c r="AV538" s="655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654"/>
      <c r="BH538" s="655"/>
      <c r="BI538" s="4"/>
      <c r="BJ538" s="4"/>
      <c r="BK538" s="4"/>
      <c r="BL538" s="4"/>
      <c r="BM538" s="4"/>
      <c r="BN538" s="4"/>
      <c r="BO538" s="4"/>
      <c r="BP538" s="4"/>
      <c r="BQ538" s="4"/>
      <c r="BR538" s="4"/>
      <c r="BS538" s="654"/>
      <c r="BT538" s="655"/>
      <c r="BU538" s="4"/>
      <c r="BV538" s="4"/>
      <c r="BW538" s="4"/>
      <c r="BX538" s="4"/>
      <c r="BY538" s="4"/>
      <c r="BZ538" s="4"/>
      <c r="CA538" s="4"/>
      <c r="CB538" s="4"/>
      <c r="CC538" s="4"/>
      <c r="CD538" s="4"/>
      <c r="CE538" s="693"/>
      <c r="CF538" s="723"/>
      <c r="CG538" s="4"/>
      <c r="CH538" s="4"/>
      <c r="CI538" s="4"/>
      <c r="CJ538" s="4"/>
      <c r="CK538" s="4"/>
      <c r="CL538" s="4">
        <v>62.9</v>
      </c>
      <c r="CM538" s="4"/>
      <c r="CN538" s="4"/>
      <c r="CO538" s="4"/>
      <c r="CP538" s="4"/>
      <c r="CQ538" s="654"/>
      <c r="CR538" s="655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654"/>
      <c r="DD538" s="655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654"/>
      <c r="DP538" s="655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654"/>
      <c r="EB538" s="655"/>
      <c r="EC538" s="4"/>
      <c r="ED538" s="4"/>
      <c r="EE538" s="4"/>
      <c r="EF538" s="4"/>
      <c r="EG538" s="4"/>
      <c r="EH538" s="4"/>
      <c r="EI538" s="4"/>
      <c r="EJ538" s="4"/>
      <c r="EK538" s="4"/>
      <c r="EL538" s="4"/>
      <c r="EM538" s="693"/>
      <c r="EN538" s="723"/>
      <c r="EO538" s="4"/>
      <c r="EP538" s="4"/>
      <c r="EQ538" s="4"/>
      <c r="ER538" s="4"/>
      <c r="ES538" s="4"/>
      <c r="ET538" s="4">
        <v>62.9</v>
      </c>
      <c r="EU538" s="4"/>
      <c r="EV538" s="4"/>
      <c r="EW538" s="4"/>
      <c r="EX538" s="4"/>
      <c r="EY538" s="654"/>
      <c r="EZ538" s="655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654"/>
      <c r="FL538" s="655"/>
      <c r="FM538" s="4"/>
      <c r="FN538" s="4"/>
      <c r="FO538" s="4"/>
      <c r="FP538" s="4"/>
      <c r="FQ538" s="4"/>
      <c r="FR538" s="4"/>
      <c r="FS538" s="4"/>
      <c r="FT538" s="4"/>
      <c r="FU538" s="4"/>
      <c r="FV538" s="4"/>
      <c r="FW538" s="654"/>
      <c r="FX538" s="655"/>
      <c r="FY538" s="4"/>
      <c r="FZ538" s="4"/>
      <c r="GA538" s="4"/>
      <c r="GB538" s="4"/>
      <c r="GC538" s="4"/>
      <c r="GD538" s="4"/>
      <c r="GE538" s="4"/>
      <c r="GF538" s="4"/>
      <c r="GG538" s="4"/>
      <c r="GH538" s="4"/>
      <c r="GI538" s="654"/>
      <c r="GJ538" s="655"/>
      <c r="GK538" s="4"/>
      <c r="GL538" s="4"/>
      <c r="GM538" s="4"/>
      <c r="GN538" s="4"/>
      <c r="GO538" s="4"/>
      <c r="GP538" s="4"/>
      <c r="GQ538" s="4"/>
      <c r="GR538" s="4"/>
      <c r="GS538" s="4"/>
      <c r="GT538" s="4"/>
      <c r="GU538" s="722"/>
      <c r="GV538" s="715"/>
    </row>
    <row r="539" spans="1:204" x14ac:dyDescent="0.25">
      <c r="A539" t="s">
        <v>1977</v>
      </c>
      <c r="B539" s="2" t="s">
        <v>358</v>
      </c>
      <c r="C539" s="619">
        <v>44755</v>
      </c>
      <c r="D539" s="2" t="s">
        <v>1969</v>
      </c>
      <c r="E539" t="s">
        <v>59</v>
      </c>
      <c r="F539" s="2" t="s">
        <v>43</v>
      </c>
      <c r="G539" t="s">
        <v>40</v>
      </c>
      <c r="H539" s="690" t="s">
        <v>85</v>
      </c>
      <c r="I539" s="691" t="s">
        <v>43</v>
      </c>
      <c r="J539" s="721">
        <v>3780401000108</v>
      </c>
      <c r="K539" s="691" t="s">
        <v>508</v>
      </c>
      <c r="L539" s="721">
        <v>8773135000100</v>
      </c>
      <c r="M539" s="718" t="s">
        <v>3</v>
      </c>
      <c r="N539" s="717" t="s">
        <v>44</v>
      </c>
      <c r="O539" s="719">
        <v>44835</v>
      </c>
      <c r="P539" s="720">
        <v>44865</v>
      </c>
      <c r="Q539" s="718">
        <v>106</v>
      </c>
      <c r="R539" s="717">
        <v>3</v>
      </c>
      <c r="S539" s="691" t="s">
        <v>54</v>
      </c>
      <c r="T539" t="s">
        <v>358</v>
      </c>
      <c r="U539" s="673" t="s">
        <v>358</v>
      </c>
      <c r="V539" s="690" t="s">
        <v>358</v>
      </c>
      <c r="W539" s="657" t="s">
        <v>214</v>
      </c>
      <c r="X539" s="723"/>
      <c r="Y539" s="4"/>
      <c r="Z539" s="4"/>
      <c r="AA539" s="4"/>
      <c r="AB539" s="4"/>
      <c r="AC539" s="4"/>
      <c r="AD539" s="4"/>
      <c r="AE539" s="4"/>
      <c r="AF539" s="4"/>
      <c r="AG539" s="4">
        <v>3</v>
      </c>
      <c r="AH539" s="4"/>
      <c r="AI539" s="654"/>
      <c r="AJ539" s="655"/>
      <c r="AK539" s="4"/>
      <c r="AL539" s="4"/>
      <c r="AM539" s="4"/>
      <c r="AN539" s="4"/>
      <c r="AO539" s="4"/>
      <c r="AP539" s="4"/>
      <c r="AQ539" s="4"/>
      <c r="AR539" s="4"/>
      <c r="AS539" s="4"/>
      <c r="AT539" s="4"/>
      <c r="AU539" s="654"/>
      <c r="AV539" s="655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654"/>
      <c r="BH539" s="655"/>
      <c r="BI539" s="4"/>
      <c r="BJ539" s="4"/>
      <c r="BK539" s="4"/>
      <c r="BL539" s="4"/>
      <c r="BM539" s="4"/>
      <c r="BN539" s="4"/>
      <c r="BO539" s="4"/>
      <c r="BP539" s="4"/>
      <c r="BQ539" s="4"/>
      <c r="BR539" s="4"/>
      <c r="BS539" s="654"/>
      <c r="BT539" s="655"/>
      <c r="BU539" s="4"/>
      <c r="BV539" s="4"/>
      <c r="BW539" s="4"/>
      <c r="BX539" s="4"/>
      <c r="BY539" s="4"/>
      <c r="BZ539" s="4"/>
      <c r="CA539" s="4"/>
      <c r="CB539" s="4"/>
      <c r="CC539" s="4"/>
      <c r="CD539" s="4"/>
      <c r="CE539" s="693"/>
      <c r="CF539" s="723"/>
      <c r="CG539" s="4"/>
      <c r="CH539" s="4"/>
      <c r="CI539" s="4"/>
      <c r="CJ539" s="4"/>
      <c r="CK539" s="4"/>
      <c r="CL539" s="4"/>
      <c r="CM539" s="4"/>
      <c r="CN539" s="4"/>
      <c r="CO539" s="4">
        <v>106</v>
      </c>
      <c r="CP539" s="4"/>
      <c r="CQ539" s="654"/>
      <c r="CR539" s="655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654"/>
      <c r="DD539" s="655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654"/>
      <c r="DP539" s="655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654"/>
      <c r="EB539" s="655"/>
      <c r="EC539" s="4"/>
      <c r="ED539" s="4"/>
      <c r="EE539" s="4"/>
      <c r="EF539" s="4"/>
      <c r="EG539" s="4"/>
      <c r="EH539" s="4"/>
      <c r="EI539" s="4"/>
      <c r="EJ539" s="4"/>
      <c r="EK539" s="4"/>
      <c r="EL539" s="4"/>
      <c r="EM539" s="693"/>
      <c r="EN539" s="723"/>
      <c r="EO539" s="4"/>
      <c r="EP539" s="4"/>
      <c r="EQ539" s="4"/>
      <c r="ER539" s="4"/>
      <c r="ES539" s="4"/>
      <c r="ET539" s="4"/>
      <c r="EU539" s="4"/>
      <c r="EV539" s="4"/>
      <c r="EW539" s="4">
        <v>106</v>
      </c>
      <c r="EX539" s="4"/>
      <c r="EY539" s="654"/>
      <c r="EZ539" s="655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654"/>
      <c r="FL539" s="655"/>
      <c r="FM539" s="4"/>
      <c r="FN539" s="4"/>
      <c r="FO539" s="4"/>
      <c r="FP539" s="4"/>
      <c r="FQ539" s="4"/>
      <c r="FR539" s="4"/>
      <c r="FS539" s="4"/>
      <c r="FT539" s="4"/>
      <c r="FU539" s="4"/>
      <c r="FV539" s="4"/>
      <c r="FW539" s="654"/>
      <c r="FX539" s="655"/>
      <c r="FY539" s="4"/>
      <c r="FZ539" s="4"/>
      <c r="GA539" s="4"/>
      <c r="GB539" s="4"/>
      <c r="GC539" s="4"/>
      <c r="GD539" s="4"/>
      <c r="GE539" s="4"/>
      <c r="GF539" s="4"/>
      <c r="GG539" s="4"/>
      <c r="GH539" s="4"/>
      <c r="GI539" s="654"/>
      <c r="GJ539" s="655"/>
      <c r="GK539" s="4"/>
      <c r="GL539" s="4"/>
      <c r="GM539" s="4"/>
      <c r="GN539" s="4"/>
      <c r="GO539" s="4"/>
      <c r="GP539" s="4"/>
      <c r="GQ539" s="4"/>
      <c r="GR539" s="4"/>
      <c r="GS539" s="4"/>
      <c r="GT539" s="4"/>
      <c r="GU539" s="722"/>
      <c r="GV539" s="715"/>
    </row>
    <row r="540" spans="1:204" x14ac:dyDescent="0.25">
      <c r="A540" t="s">
        <v>1978</v>
      </c>
      <c r="B540" s="2" t="s">
        <v>358</v>
      </c>
      <c r="C540" s="619">
        <v>44755</v>
      </c>
      <c r="D540" s="2" t="s">
        <v>1970</v>
      </c>
      <c r="E540" t="s">
        <v>59</v>
      </c>
      <c r="F540" s="2" t="s">
        <v>43</v>
      </c>
      <c r="G540" t="s">
        <v>40</v>
      </c>
      <c r="H540" s="690" t="s">
        <v>85</v>
      </c>
      <c r="I540" s="691" t="s">
        <v>43</v>
      </c>
      <c r="J540" s="721">
        <v>3780401000108</v>
      </c>
      <c r="K540" s="691" t="s">
        <v>466</v>
      </c>
      <c r="L540" s="721">
        <v>26940979000171</v>
      </c>
      <c r="M540" s="718" t="s">
        <v>3</v>
      </c>
      <c r="N540" s="717" t="s">
        <v>44</v>
      </c>
      <c r="O540" s="719">
        <v>44835</v>
      </c>
      <c r="P540" s="720">
        <v>44865</v>
      </c>
      <c r="Q540" s="718">
        <v>106</v>
      </c>
      <c r="R540" s="717">
        <v>1</v>
      </c>
      <c r="S540" s="691" t="s">
        <v>54</v>
      </c>
      <c r="T540" t="s">
        <v>358</v>
      </c>
      <c r="U540" s="673" t="s">
        <v>358</v>
      </c>
      <c r="V540" s="690" t="s">
        <v>358</v>
      </c>
      <c r="W540" s="657" t="s">
        <v>214</v>
      </c>
      <c r="X540" s="723"/>
      <c r="Y540" s="4"/>
      <c r="Z540" s="4"/>
      <c r="AA540" s="4"/>
      <c r="AB540" s="4"/>
      <c r="AC540" s="4"/>
      <c r="AD540" s="4"/>
      <c r="AE540" s="4"/>
      <c r="AF540" s="4"/>
      <c r="AG540" s="4">
        <v>1</v>
      </c>
      <c r="AH540" s="4"/>
      <c r="AI540" s="654"/>
      <c r="AJ540" s="655"/>
      <c r="AK540" s="4"/>
      <c r="AL540" s="4"/>
      <c r="AM540" s="4"/>
      <c r="AN540" s="4"/>
      <c r="AO540" s="4"/>
      <c r="AP540" s="4"/>
      <c r="AQ540" s="4"/>
      <c r="AR540" s="4"/>
      <c r="AS540" s="4"/>
      <c r="AT540" s="4"/>
      <c r="AU540" s="654"/>
      <c r="AV540" s="655"/>
      <c r="AW540" s="4"/>
      <c r="AX540" s="4"/>
      <c r="AY540" s="4"/>
      <c r="AZ540" s="4"/>
      <c r="BA540" s="4"/>
      <c r="BB540" s="4"/>
      <c r="BC540" s="4"/>
      <c r="BD540" s="4"/>
      <c r="BE540" s="4"/>
      <c r="BF540" s="4"/>
      <c r="BG540" s="654"/>
      <c r="BH540" s="655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654"/>
      <c r="BT540" s="655"/>
      <c r="BU540" s="4"/>
      <c r="BV540" s="4"/>
      <c r="BW540" s="4"/>
      <c r="BX540" s="4"/>
      <c r="BY540" s="4"/>
      <c r="BZ540" s="4"/>
      <c r="CA540" s="4"/>
      <c r="CB540" s="4"/>
      <c r="CC540" s="4"/>
      <c r="CD540" s="4"/>
      <c r="CE540" s="693"/>
      <c r="CF540" s="723"/>
      <c r="CG540" s="4"/>
      <c r="CH540" s="4"/>
      <c r="CI540" s="4"/>
      <c r="CJ540" s="4"/>
      <c r="CK540" s="4"/>
      <c r="CL540" s="4"/>
      <c r="CM540" s="4"/>
      <c r="CN540" s="4"/>
      <c r="CO540" s="4">
        <v>106</v>
      </c>
      <c r="CP540" s="4"/>
      <c r="CQ540" s="654"/>
      <c r="CR540" s="655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654"/>
      <c r="DD540" s="655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654"/>
      <c r="DP540" s="655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654"/>
      <c r="EB540" s="655"/>
      <c r="EC540" s="4"/>
      <c r="ED540" s="4"/>
      <c r="EE540" s="4"/>
      <c r="EF540" s="4"/>
      <c r="EG540" s="4"/>
      <c r="EH540" s="4"/>
      <c r="EI540" s="4"/>
      <c r="EJ540" s="4"/>
      <c r="EK540" s="4"/>
      <c r="EL540" s="4"/>
      <c r="EM540" s="693"/>
      <c r="EN540" s="723"/>
      <c r="EO540" s="4"/>
      <c r="EP540" s="4"/>
      <c r="EQ540" s="4"/>
      <c r="ER540" s="4"/>
      <c r="ES540" s="4"/>
      <c r="ET540" s="4"/>
      <c r="EU540" s="4"/>
      <c r="EV540" s="4"/>
      <c r="EW540" s="4">
        <v>106</v>
      </c>
      <c r="EX540" s="4"/>
      <c r="EY540" s="654"/>
      <c r="EZ540" s="655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654"/>
      <c r="FL540" s="655"/>
      <c r="FM540" s="4"/>
      <c r="FN540" s="4"/>
      <c r="FO540" s="4"/>
      <c r="FP540" s="4"/>
      <c r="FQ540" s="4"/>
      <c r="FR540" s="4"/>
      <c r="FS540" s="4"/>
      <c r="FT540" s="4"/>
      <c r="FU540" s="4"/>
      <c r="FV540" s="4"/>
      <c r="FW540" s="654"/>
      <c r="FX540" s="655"/>
      <c r="FY540" s="4"/>
      <c r="FZ540" s="4"/>
      <c r="GA540" s="4"/>
      <c r="GB540" s="4"/>
      <c r="GC540" s="4"/>
      <c r="GD540" s="4"/>
      <c r="GE540" s="4"/>
      <c r="GF540" s="4"/>
      <c r="GG540" s="4"/>
      <c r="GH540" s="4"/>
      <c r="GI540" s="654"/>
      <c r="GJ540" s="655"/>
      <c r="GK540" s="4"/>
      <c r="GL540" s="4"/>
      <c r="GM540" s="4"/>
      <c r="GN540" s="4"/>
      <c r="GO540" s="4"/>
      <c r="GP540" s="4"/>
      <c r="GQ540" s="4"/>
      <c r="GR540" s="4"/>
      <c r="GS540" s="4"/>
      <c r="GT540" s="4"/>
      <c r="GU540" s="722"/>
      <c r="GV540" s="715"/>
    </row>
    <row r="541" spans="1:204" x14ac:dyDescent="0.25">
      <c r="A541" t="s">
        <v>1980</v>
      </c>
      <c r="B541" s="2" t="s">
        <v>1979</v>
      </c>
      <c r="C541" s="619">
        <v>44755</v>
      </c>
      <c r="D541" s="2" t="s">
        <v>1971</v>
      </c>
      <c r="E541" t="s">
        <v>58</v>
      </c>
      <c r="F541" s="2" t="s">
        <v>43</v>
      </c>
      <c r="G541" t="s">
        <v>40</v>
      </c>
      <c r="H541" s="690" t="s">
        <v>84</v>
      </c>
      <c r="I541" s="691" t="s">
        <v>1540</v>
      </c>
      <c r="J541" s="721">
        <v>24510849000173</v>
      </c>
      <c r="K541" s="691" t="s">
        <v>43</v>
      </c>
      <c r="L541" s="721">
        <v>3780401000108</v>
      </c>
      <c r="M541" s="718" t="s">
        <v>3</v>
      </c>
      <c r="N541" s="717" t="s">
        <v>44</v>
      </c>
      <c r="O541" s="719">
        <v>44774</v>
      </c>
      <c r="P541" s="720">
        <v>44804</v>
      </c>
      <c r="Q541" s="718">
        <v>82</v>
      </c>
      <c r="R541" s="717">
        <v>12</v>
      </c>
      <c r="S541" s="691" t="s">
        <v>54</v>
      </c>
      <c r="T541" t="s">
        <v>358</v>
      </c>
      <c r="U541" s="673" t="s">
        <v>358</v>
      </c>
      <c r="V541" s="690" t="s">
        <v>358</v>
      </c>
      <c r="W541" s="657" t="s">
        <v>329</v>
      </c>
      <c r="X541" s="723"/>
      <c r="Y541" s="4"/>
      <c r="Z541" s="4"/>
      <c r="AA541" s="4"/>
      <c r="AB541" s="4"/>
      <c r="AC541" s="4"/>
      <c r="AD541" s="4"/>
      <c r="AE541" s="4">
        <v>12</v>
      </c>
      <c r="AF541" s="4"/>
      <c r="AG541" s="4"/>
      <c r="AH541" s="4"/>
      <c r="AI541" s="654"/>
      <c r="AJ541" s="655"/>
      <c r="AK541" s="4"/>
      <c r="AL541" s="4"/>
      <c r="AM541" s="4"/>
      <c r="AN541" s="4"/>
      <c r="AO541" s="4"/>
      <c r="AP541" s="4"/>
      <c r="AQ541" s="4"/>
      <c r="AR541" s="4"/>
      <c r="AS541" s="4"/>
      <c r="AT541" s="4"/>
      <c r="AU541" s="654"/>
      <c r="AV541" s="655"/>
      <c r="AW541" s="4"/>
      <c r="AX541" s="4"/>
      <c r="AY541" s="4"/>
      <c r="AZ541" s="4"/>
      <c r="BA541" s="4"/>
      <c r="BB541" s="4"/>
      <c r="BC541" s="4"/>
      <c r="BD541" s="4"/>
      <c r="BE541" s="4"/>
      <c r="BF541" s="4"/>
      <c r="BG541" s="654"/>
      <c r="BH541" s="655"/>
      <c r="BI541" s="4"/>
      <c r="BJ541" s="4"/>
      <c r="BK541" s="4"/>
      <c r="BL541" s="4"/>
      <c r="BM541" s="4"/>
      <c r="BN541" s="4"/>
      <c r="BO541" s="4"/>
      <c r="BP541" s="4"/>
      <c r="BQ541" s="4"/>
      <c r="BR541" s="4"/>
      <c r="BS541" s="654"/>
      <c r="BT541" s="655"/>
      <c r="BU541" s="4"/>
      <c r="BV541" s="4"/>
      <c r="BW541" s="4"/>
      <c r="BX541" s="4"/>
      <c r="BY541" s="4"/>
      <c r="BZ541" s="4"/>
      <c r="CA541" s="4"/>
      <c r="CB541" s="4"/>
      <c r="CC541" s="4"/>
      <c r="CD541" s="4"/>
      <c r="CE541" s="693"/>
      <c r="CF541" s="723"/>
      <c r="CG541" s="4"/>
      <c r="CH541" s="4"/>
      <c r="CI541" s="4"/>
      <c r="CJ541" s="4"/>
      <c r="CK541" s="4"/>
      <c r="CL541" s="4"/>
      <c r="CM541" s="4">
        <v>82</v>
      </c>
      <c r="CN541" s="4"/>
      <c r="CO541" s="4"/>
      <c r="CP541" s="4"/>
      <c r="CQ541" s="654"/>
      <c r="CR541" s="655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654"/>
      <c r="DD541" s="655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654"/>
      <c r="DP541" s="655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654"/>
      <c r="EB541" s="655"/>
      <c r="EC541" s="4"/>
      <c r="ED541" s="4"/>
      <c r="EE541" s="4"/>
      <c r="EF541" s="4"/>
      <c r="EG541" s="4"/>
      <c r="EH541" s="4"/>
      <c r="EI541" s="4"/>
      <c r="EJ541" s="4"/>
      <c r="EK541" s="4"/>
      <c r="EL541" s="4"/>
      <c r="EM541" s="693"/>
      <c r="EN541" s="723"/>
      <c r="EO541" s="4"/>
      <c r="EP541" s="4"/>
      <c r="EQ541" s="4"/>
      <c r="ER541" s="4"/>
      <c r="ES541" s="4"/>
      <c r="ET541" s="4"/>
      <c r="EU541" s="4">
        <v>82</v>
      </c>
      <c r="EV541" s="4"/>
      <c r="EW541" s="4"/>
      <c r="EX541" s="4"/>
      <c r="EY541" s="654"/>
      <c r="EZ541" s="655"/>
      <c r="FA541" s="4"/>
      <c r="FB541" s="4"/>
      <c r="FC541" s="4"/>
      <c r="FD541" s="4"/>
      <c r="FE541" s="4"/>
      <c r="FF541" s="4"/>
      <c r="FG541" s="4"/>
      <c r="FH541" s="4"/>
      <c r="FI541" s="4"/>
      <c r="FJ541" s="4"/>
      <c r="FK541" s="654"/>
      <c r="FL541" s="655"/>
      <c r="FM541" s="4"/>
      <c r="FN541" s="4"/>
      <c r="FO541" s="4"/>
      <c r="FP541" s="4"/>
      <c r="FQ541" s="4"/>
      <c r="FR541" s="4"/>
      <c r="FS541" s="4"/>
      <c r="FT541" s="4"/>
      <c r="FU541" s="4"/>
      <c r="FV541" s="4"/>
      <c r="FW541" s="654"/>
      <c r="FX541" s="655"/>
      <c r="FY541" s="4"/>
      <c r="FZ541" s="4"/>
      <c r="GA541" s="4"/>
      <c r="GB541" s="4"/>
      <c r="GC541" s="4"/>
      <c r="GD541" s="4"/>
      <c r="GE541" s="4"/>
      <c r="GF541" s="4"/>
      <c r="GG541" s="4"/>
      <c r="GH541" s="4"/>
      <c r="GI541" s="654"/>
      <c r="GJ541" s="655"/>
      <c r="GK541" s="4"/>
      <c r="GL541" s="4"/>
      <c r="GM541" s="4"/>
      <c r="GN541" s="4"/>
      <c r="GO541" s="4"/>
      <c r="GP541" s="4"/>
      <c r="GQ541" s="4"/>
      <c r="GR541" s="4"/>
      <c r="GS541" s="4"/>
      <c r="GT541" s="4"/>
      <c r="GU541" s="722"/>
      <c r="GV541" s="715"/>
    </row>
    <row r="542" spans="1:204" x14ac:dyDescent="0.25">
      <c r="A542" t="s">
        <v>1983</v>
      </c>
      <c r="B542" s="2" t="s">
        <v>1982</v>
      </c>
      <c r="C542" s="619">
        <v>44756</v>
      </c>
      <c r="D542" s="2" t="s">
        <v>1981</v>
      </c>
      <c r="E542" t="s">
        <v>58</v>
      </c>
      <c r="F542" s="2" t="s">
        <v>43</v>
      </c>
      <c r="G542" t="s">
        <v>40</v>
      </c>
      <c r="H542" s="690" t="s">
        <v>84</v>
      </c>
      <c r="I542" s="691" t="s">
        <v>1748</v>
      </c>
      <c r="J542" s="721">
        <v>12300288000107</v>
      </c>
      <c r="K542" s="691" t="s">
        <v>43</v>
      </c>
      <c r="L542" s="721">
        <v>3780401000108</v>
      </c>
      <c r="M542" s="718" t="s">
        <v>3</v>
      </c>
      <c r="N542" s="717" t="s">
        <v>44</v>
      </c>
      <c r="O542" s="719">
        <v>44743</v>
      </c>
      <c r="P542" s="720">
        <v>44773</v>
      </c>
      <c r="Q542" s="718">
        <v>64</v>
      </c>
      <c r="R542" s="717">
        <v>1</v>
      </c>
      <c r="S542" s="691" t="s">
        <v>54</v>
      </c>
      <c r="T542" t="s">
        <v>358</v>
      </c>
      <c r="U542" s="673" t="s">
        <v>358</v>
      </c>
      <c r="V542" s="690" t="s">
        <v>358</v>
      </c>
      <c r="W542" s="657" t="s">
        <v>329</v>
      </c>
      <c r="X542" s="723"/>
      <c r="Y542" s="4"/>
      <c r="Z542" s="4"/>
      <c r="AA542" s="4"/>
      <c r="AB542" s="4"/>
      <c r="AC542" s="4"/>
      <c r="AD542" s="4">
        <v>1</v>
      </c>
      <c r="AE542" s="4"/>
      <c r="AF542" s="4"/>
      <c r="AG542" s="4"/>
      <c r="AH542" s="4"/>
      <c r="AI542" s="654"/>
      <c r="AJ542" s="655"/>
      <c r="AK542" s="4"/>
      <c r="AL542" s="4"/>
      <c r="AM542" s="4"/>
      <c r="AN542" s="4"/>
      <c r="AO542" s="4"/>
      <c r="AP542" s="4"/>
      <c r="AQ542" s="4"/>
      <c r="AR542" s="4"/>
      <c r="AS542" s="4"/>
      <c r="AT542" s="4"/>
      <c r="AU542" s="654"/>
      <c r="AV542" s="655"/>
      <c r="AW542" s="4"/>
      <c r="AX542" s="4"/>
      <c r="AY542" s="4"/>
      <c r="AZ542" s="4"/>
      <c r="BA542" s="4"/>
      <c r="BB542" s="4"/>
      <c r="BC542" s="4"/>
      <c r="BD542" s="4"/>
      <c r="BE542" s="4"/>
      <c r="BF542" s="4"/>
      <c r="BG542" s="654"/>
      <c r="BH542" s="655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654"/>
      <c r="BT542" s="655"/>
      <c r="BU542" s="4"/>
      <c r="BV542" s="4"/>
      <c r="BW542" s="4"/>
      <c r="BX542" s="4"/>
      <c r="BY542" s="4"/>
      <c r="BZ542" s="4"/>
      <c r="CA542" s="4"/>
      <c r="CB542" s="4"/>
      <c r="CC542" s="4"/>
      <c r="CD542" s="4"/>
      <c r="CE542" s="693"/>
      <c r="CF542" s="723"/>
      <c r="CG542" s="4"/>
      <c r="CH542" s="4"/>
      <c r="CI542" s="4"/>
      <c r="CJ542" s="4"/>
      <c r="CK542" s="4"/>
      <c r="CL542" s="4">
        <v>64</v>
      </c>
      <c r="CM542" s="4"/>
      <c r="CN542" s="4"/>
      <c r="CO542" s="4"/>
      <c r="CP542" s="4"/>
      <c r="CQ542" s="654"/>
      <c r="CR542" s="655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654"/>
      <c r="DD542" s="655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654"/>
      <c r="DP542" s="655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654"/>
      <c r="EB542" s="655"/>
      <c r="EC542" s="4"/>
      <c r="ED542" s="4"/>
      <c r="EE542" s="4"/>
      <c r="EF542" s="4"/>
      <c r="EG542" s="4"/>
      <c r="EH542" s="4"/>
      <c r="EI542" s="4"/>
      <c r="EJ542" s="4"/>
      <c r="EK542" s="4"/>
      <c r="EL542" s="4"/>
      <c r="EM542" s="693"/>
      <c r="EN542" s="723"/>
      <c r="EO542" s="4"/>
      <c r="EP542" s="4"/>
      <c r="EQ542" s="4"/>
      <c r="ER542" s="4"/>
      <c r="ES542" s="4"/>
      <c r="ET542" s="4">
        <v>64</v>
      </c>
      <c r="EU542" s="4"/>
      <c r="EV542" s="4"/>
      <c r="EW542" s="4"/>
      <c r="EX542" s="4"/>
      <c r="EY542" s="654"/>
      <c r="EZ542" s="655"/>
      <c r="FA542" s="4"/>
      <c r="FB542" s="4"/>
      <c r="FC542" s="4"/>
      <c r="FD542" s="4"/>
      <c r="FE542" s="4"/>
      <c r="FF542" s="4"/>
      <c r="FG542" s="4"/>
      <c r="FH542" s="4"/>
      <c r="FI542" s="4"/>
      <c r="FJ542" s="4"/>
      <c r="FK542" s="654"/>
      <c r="FL542" s="655"/>
      <c r="FM542" s="4"/>
      <c r="FN542" s="4"/>
      <c r="FO542" s="4"/>
      <c r="FP542" s="4"/>
      <c r="FQ542" s="4"/>
      <c r="FR542" s="4"/>
      <c r="FS542" s="4"/>
      <c r="FT542" s="4"/>
      <c r="FU542" s="4"/>
      <c r="FV542" s="4"/>
      <c r="FW542" s="654"/>
      <c r="FX542" s="655"/>
      <c r="FY542" s="4"/>
      <c r="FZ542" s="4"/>
      <c r="GA542" s="4"/>
      <c r="GB542" s="4"/>
      <c r="GC542" s="4"/>
      <c r="GD542" s="4"/>
      <c r="GE542" s="4"/>
      <c r="GF542" s="4"/>
      <c r="GG542" s="4"/>
      <c r="GH542" s="4"/>
      <c r="GI542" s="654"/>
      <c r="GJ542" s="655"/>
      <c r="GK542" s="4"/>
      <c r="GL542" s="4"/>
      <c r="GM542" s="4"/>
      <c r="GN542" s="4"/>
      <c r="GO542" s="4"/>
      <c r="GP542" s="4"/>
      <c r="GQ542" s="4"/>
      <c r="GR542" s="4"/>
      <c r="GS542" s="4"/>
      <c r="GT542" s="4"/>
      <c r="GU542" s="722"/>
      <c r="GV542" s="715"/>
    </row>
    <row r="543" spans="1:204" x14ac:dyDescent="0.25">
      <c r="A543" t="s">
        <v>1991</v>
      </c>
      <c r="B543" s="2" t="s">
        <v>1990</v>
      </c>
      <c r="C543" s="619">
        <v>44757</v>
      </c>
      <c r="D543" s="2" t="s">
        <v>1984</v>
      </c>
      <c r="E543" t="s">
        <v>58</v>
      </c>
      <c r="F543" s="2" t="s">
        <v>43</v>
      </c>
      <c r="G543" t="s">
        <v>40</v>
      </c>
      <c r="H543" s="690" t="s">
        <v>84</v>
      </c>
      <c r="I543" s="691" t="s">
        <v>466</v>
      </c>
      <c r="J543" s="721">
        <v>26940979000171</v>
      </c>
      <c r="K543" s="691" t="s">
        <v>43</v>
      </c>
      <c r="L543" s="721">
        <v>3780401000108</v>
      </c>
      <c r="M543" s="718" t="s">
        <v>3</v>
      </c>
      <c r="N543" s="717" t="s">
        <v>44</v>
      </c>
      <c r="O543" s="719">
        <v>44805</v>
      </c>
      <c r="P543" s="720">
        <v>44834</v>
      </c>
      <c r="Q543" s="718">
        <v>88</v>
      </c>
      <c r="R543" s="717">
        <v>10</v>
      </c>
      <c r="S543" s="691" t="s">
        <v>54</v>
      </c>
      <c r="T543" t="s">
        <v>358</v>
      </c>
      <c r="U543" s="673" t="s">
        <v>358</v>
      </c>
      <c r="V543" s="690" t="s">
        <v>358</v>
      </c>
      <c r="W543" s="657" t="s">
        <v>329</v>
      </c>
      <c r="X543" s="723"/>
      <c r="Y543" s="4"/>
      <c r="Z543" s="4"/>
      <c r="AA543" s="4"/>
      <c r="AB543" s="4"/>
      <c r="AC543" s="4"/>
      <c r="AD543" s="4"/>
      <c r="AE543" s="4"/>
      <c r="AF543" s="4">
        <v>10</v>
      </c>
      <c r="AG543" s="4"/>
      <c r="AH543" s="4"/>
      <c r="AI543" s="654"/>
      <c r="AJ543" s="655"/>
      <c r="AK543" s="4"/>
      <c r="AL543" s="4"/>
      <c r="AM543" s="4"/>
      <c r="AN543" s="4"/>
      <c r="AO543" s="4"/>
      <c r="AP543" s="4"/>
      <c r="AQ543" s="4"/>
      <c r="AR543" s="4"/>
      <c r="AS543" s="4"/>
      <c r="AT543" s="4"/>
      <c r="AU543" s="654"/>
      <c r="AV543" s="655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654"/>
      <c r="BH543" s="655"/>
      <c r="BI543" s="4"/>
      <c r="BJ543" s="4"/>
      <c r="BK543" s="4"/>
      <c r="BL543" s="4"/>
      <c r="BM543" s="4"/>
      <c r="BN543" s="4"/>
      <c r="BO543" s="4"/>
      <c r="BP543" s="4"/>
      <c r="BQ543" s="4"/>
      <c r="BR543" s="4"/>
      <c r="BS543" s="654"/>
      <c r="BT543" s="655"/>
      <c r="BU543" s="4"/>
      <c r="BV543" s="4"/>
      <c r="BW543" s="4"/>
      <c r="BX543" s="4"/>
      <c r="BY543" s="4"/>
      <c r="BZ543" s="4"/>
      <c r="CA543" s="4"/>
      <c r="CB543" s="4"/>
      <c r="CC543" s="4"/>
      <c r="CD543" s="4"/>
      <c r="CE543" s="693"/>
      <c r="CF543" s="723"/>
      <c r="CG543" s="4"/>
      <c r="CH543" s="4"/>
      <c r="CI543" s="4"/>
      <c r="CJ543" s="4"/>
      <c r="CK543" s="4"/>
      <c r="CL543" s="4"/>
      <c r="CM543" s="4"/>
      <c r="CN543" s="4">
        <v>88</v>
      </c>
      <c r="CO543" s="4"/>
      <c r="CP543" s="4"/>
      <c r="CQ543" s="654"/>
      <c r="CR543" s="655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654"/>
      <c r="DD543" s="655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654"/>
      <c r="DP543" s="655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654"/>
      <c r="EB543" s="655"/>
      <c r="EC543" s="4"/>
      <c r="ED543" s="4"/>
      <c r="EE543" s="4"/>
      <c r="EF543" s="4"/>
      <c r="EG543" s="4"/>
      <c r="EH543" s="4"/>
      <c r="EI543" s="4"/>
      <c r="EJ543" s="4"/>
      <c r="EK543" s="4"/>
      <c r="EL543" s="4"/>
      <c r="EM543" s="693"/>
      <c r="EN543" s="723"/>
      <c r="EO543" s="4"/>
      <c r="EP543" s="4"/>
      <c r="EQ543" s="4"/>
      <c r="ER543" s="4"/>
      <c r="ES543" s="4"/>
      <c r="ET543" s="4"/>
      <c r="EU543" s="4"/>
      <c r="EV543" s="4">
        <v>88</v>
      </c>
      <c r="EW543" s="4"/>
      <c r="EX543" s="4"/>
      <c r="EY543" s="654"/>
      <c r="EZ543" s="655"/>
      <c r="FA543" s="4"/>
      <c r="FB543" s="4"/>
      <c r="FC543" s="4"/>
      <c r="FD543" s="4"/>
      <c r="FE543" s="4"/>
      <c r="FF543" s="4"/>
      <c r="FG543" s="4"/>
      <c r="FH543" s="4"/>
      <c r="FI543" s="4"/>
      <c r="FJ543" s="4"/>
      <c r="FK543" s="654"/>
      <c r="FL543" s="655"/>
      <c r="FM543" s="4"/>
      <c r="FN543" s="4"/>
      <c r="FO543" s="4"/>
      <c r="FP543" s="4"/>
      <c r="FQ543" s="4"/>
      <c r="FR543" s="4"/>
      <c r="FS543" s="4"/>
      <c r="FT543" s="4"/>
      <c r="FU543" s="4"/>
      <c r="FV543" s="4"/>
      <c r="FW543" s="654"/>
      <c r="FX543" s="655"/>
      <c r="FY543" s="4"/>
      <c r="FZ543" s="4"/>
      <c r="GA543" s="4"/>
      <c r="GB543" s="4"/>
      <c r="GC543" s="4"/>
      <c r="GD543" s="4"/>
      <c r="GE543" s="4"/>
      <c r="GF543" s="4"/>
      <c r="GG543" s="4"/>
      <c r="GH543" s="4"/>
      <c r="GI543" s="654"/>
      <c r="GJ543" s="655"/>
      <c r="GK543" s="4"/>
      <c r="GL543" s="4"/>
      <c r="GM543" s="4"/>
      <c r="GN543" s="4"/>
      <c r="GO543" s="4"/>
      <c r="GP543" s="4"/>
      <c r="GQ543" s="4"/>
      <c r="GR543" s="4"/>
      <c r="GS543" s="4"/>
      <c r="GT543" s="4"/>
      <c r="GU543" s="722"/>
      <c r="GV543" s="715"/>
    </row>
    <row r="544" spans="1:204" x14ac:dyDescent="0.25">
      <c r="A544" t="s">
        <v>1993</v>
      </c>
      <c r="B544" s="2" t="s">
        <v>1992</v>
      </c>
      <c r="C544" s="619">
        <v>44757</v>
      </c>
      <c r="D544" s="2" t="s">
        <v>1985</v>
      </c>
      <c r="E544" t="s">
        <v>58</v>
      </c>
      <c r="F544" s="2" t="s">
        <v>43</v>
      </c>
      <c r="G544" t="s">
        <v>40</v>
      </c>
      <c r="H544" s="690" t="s">
        <v>84</v>
      </c>
      <c r="I544" s="691" t="s">
        <v>968</v>
      </c>
      <c r="J544" s="721">
        <v>13700609000115</v>
      </c>
      <c r="K544" s="691" t="s">
        <v>43</v>
      </c>
      <c r="L544" s="721">
        <v>3780401000108</v>
      </c>
      <c r="M544" s="718" t="s">
        <v>3</v>
      </c>
      <c r="N544" s="717" t="s">
        <v>44</v>
      </c>
      <c r="O544" s="719">
        <v>44805</v>
      </c>
      <c r="P544" s="720">
        <v>44834</v>
      </c>
      <c r="Q544" s="718">
        <v>88</v>
      </c>
      <c r="R544" s="717">
        <v>1</v>
      </c>
      <c r="S544" s="691" t="s">
        <v>54</v>
      </c>
      <c r="T544" t="s">
        <v>358</v>
      </c>
      <c r="U544" s="673" t="s">
        <v>358</v>
      </c>
      <c r="V544" s="690" t="s">
        <v>358</v>
      </c>
      <c r="W544" s="657" t="s">
        <v>329</v>
      </c>
      <c r="X544" s="723"/>
      <c r="Y544" s="4"/>
      <c r="Z544" s="4"/>
      <c r="AA544" s="4"/>
      <c r="AB544" s="4"/>
      <c r="AC544" s="4"/>
      <c r="AD544" s="4"/>
      <c r="AE544" s="4"/>
      <c r="AF544" s="4">
        <v>1</v>
      </c>
      <c r="AG544" s="4"/>
      <c r="AH544" s="4"/>
      <c r="AI544" s="654"/>
      <c r="AJ544" s="655"/>
      <c r="AK544" s="4"/>
      <c r="AL544" s="4"/>
      <c r="AM544" s="4"/>
      <c r="AN544" s="4"/>
      <c r="AO544" s="4"/>
      <c r="AP544" s="4"/>
      <c r="AQ544" s="4"/>
      <c r="AR544" s="4"/>
      <c r="AS544" s="4"/>
      <c r="AT544" s="4"/>
      <c r="AU544" s="654"/>
      <c r="AV544" s="655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654"/>
      <c r="BH544" s="655"/>
      <c r="BI544" s="4"/>
      <c r="BJ544" s="4"/>
      <c r="BK544" s="4"/>
      <c r="BL544" s="4"/>
      <c r="BM544" s="4"/>
      <c r="BN544" s="4"/>
      <c r="BO544" s="4"/>
      <c r="BP544" s="4"/>
      <c r="BQ544" s="4"/>
      <c r="BR544" s="4"/>
      <c r="BS544" s="654"/>
      <c r="BT544" s="655"/>
      <c r="BU544" s="4"/>
      <c r="BV544" s="4"/>
      <c r="BW544" s="4"/>
      <c r="BX544" s="4"/>
      <c r="BY544" s="4"/>
      <c r="BZ544" s="4"/>
      <c r="CA544" s="4"/>
      <c r="CB544" s="4"/>
      <c r="CC544" s="4"/>
      <c r="CD544" s="4"/>
      <c r="CE544" s="693"/>
      <c r="CF544" s="723"/>
      <c r="CG544" s="4"/>
      <c r="CH544" s="4"/>
      <c r="CI544" s="4"/>
      <c r="CJ544" s="4"/>
      <c r="CK544" s="4"/>
      <c r="CL544" s="4"/>
      <c r="CM544" s="4"/>
      <c r="CN544" s="4">
        <v>88</v>
      </c>
      <c r="CO544" s="4"/>
      <c r="CP544" s="4"/>
      <c r="CQ544" s="654"/>
      <c r="CR544" s="655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654"/>
      <c r="DD544" s="655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654"/>
      <c r="DP544" s="655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654"/>
      <c r="EB544" s="655"/>
      <c r="EC544" s="4"/>
      <c r="ED544" s="4"/>
      <c r="EE544" s="4"/>
      <c r="EF544" s="4"/>
      <c r="EG544" s="4"/>
      <c r="EH544" s="4"/>
      <c r="EI544" s="4"/>
      <c r="EJ544" s="4"/>
      <c r="EK544" s="4"/>
      <c r="EL544" s="4"/>
      <c r="EM544" s="693"/>
      <c r="EN544" s="723"/>
      <c r="EO544" s="4"/>
      <c r="EP544" s="4"/>
      <c r="EQ544" s="4"/>
      <c r="ER544" s="4"/>
      <c r="ES544" s="4"/>
      <c r="ET544" s="4"/>
      <c r="EU544" s="4"/>
      <c r="EV544" s="4">
        <v>88</v>
      </c>
      <c r="EW544" s="4"/>
      <c r="EX544" s="4"/>
      <c r="EY544" s="654"/>
      <c r="EZ544" s="655"/>
      <c r="FA544" s="4"/>
      <c r="FB544" s="4"/>
      <c r="FC544" s="4"/>
      <c r="FD544" s="4"/>
      <c r="FE544" s="4"/>
      <c r="FF544" s="4"/>
      <c r="FG544" s="4"/>
      <c r="FH544" s="4"/>
      <c r="FI544" s="4"/>
      <c r="FJ544" s="4"/>
      <c r="FK544" s="654"/>
      <c r="FL544" s="655"/>
      <c r="FM544" s="4"/>
      <c r="FN544" s="4"/>
      <c r="FO544" s="4"/>
      <c r="FP544" s="4"/>
      <c r="FQ544" s="4"/>
      <c r="FR544" s="4"/>
      <c r="FS544" s="4"/>
      <c r="FT544" s="4"/>
      <c r="FU544" s="4"/>
      <c r="FV544" s="4"/>
      <c r="FW544" s="654"/>
      <c r="FX544" s="655"/>
      <c r="FY544" s="4"/>
      <c r="FZ544" s="4"/>
      <c r="GA544" s="4"/>
      <c r="GB544" s="4"/>
      <c r="GC544" s="4"/>
      <c r="GD544" s="4"/>
      <c r="GE544" s="4"/>
      <c r="GF544" s="4"/>
      <c r="GG544" s="4"/>
      <c r="GH544" s="4"/>
      <c r="GI544" s="654"/>
      <c r="GJ544" s="655"/>
      <c r="GK544" s="4"/>
      <c r="GL544" s="4"/>
      <c r="GM544" s="4"/>
      <c r="GN544" s="4"/>
      <c r="GO544" s="4"/>
      <c r="GP544" s="4"/>
      <c r="GQ544" s="4"/>
      <c r="GR544" s="4"/>
      <c r="GS544" s="4"/>
      <c r="GT544" s="4"/>
      <c r="GU544" s="722"/>
      <c r="GV544" s="715"/>
    </row>
    <row r="545" spans="1:204" x14ac:dyDescent="0.25">
      <c r="A545" t="s">
        <v>1995</v>
      </c>
      <c r="B545" s="2" t="s">
        <v>1994</v>
      </c>
      <c r="C545" s="619">
        <v>44757</v>
      </c>
      <c r="D545" s="2" t="s">
        <v>1986</v>
      </c>
      <c r="E545" t="s">
        <v>58</v>
      </c>
      <c r="F545" s="2" t="s">
        <v>43</v>
      </c>
      <c r="G545" t="s">
        <v>40</v>
      </c>
      <c r="H545" s="690" t="s">
        <v>84</v>
      </c>
      <c r="I545" s="691" t="s">
        <v>466</v>
      </c>
      <c r="J545" s="721">
        <v>26940979000171</v>
      </c>
      <c r="K545" s="691" t="s">
        <v>43</v>
      </c>
      <c r="L545" s="721">
        <v>3780401000108</v>
      </c>
      <c r="M545" s="718" t="s">
        <v>3</v>
      </c>
      <c r="N545" s="717" t="s">
        <v>44</v>
      </c>
      <c r="O545" s="719">
        <v>44805</v>
      </c>
      <c r="P545" s="720">
        <v>44834</v>
      </c>
      <c r="Q545" s="718">
        <v>88</v>
      </c>
      <c r="R545" s="717">
        <v>1</v>
      </c>
      <c r="S545" s="691" t="s">
        <v>54</v>
      </c>
      <c r="T545" t="s">
        <v>358</v>
      </c>
      <c r="U545" s="673" t="s">
        <v>358</v>
      </c>
      <c r="V545" s="690" t="s">
        <v>358</v>
      </c>
      <c r="W545" s="657" t="s">
        <v>329</v>
      </c>
      <c r="X545" s="723"/>
      <c r="Y545" s="4"/>
      <c r="Z545" s="4"/>
      <c r="AA545" s="4"/>
      <c r="AB545" s="4"/>
      <c r="AC545" s="4"/>
      <c r="AD545" s="4"/>
      <c r="AE545" s="4"/>
      <c r="AF545" s="4">
        <v>1</v>
      </c>
      <c r="AG545" s="4"/>
      <c r="AH545" s="4"/>
      <c r="AI545" s="654"/>
      <c r="AJ545" s="655"/>
      <c r="AK545" s="4"/>
      <c r="AL545" s="4"/>
      <c r="AM545" s="4"/>
      <c r="AN545" s="4"/>
      <c r="AO545" s="4"/>
      <c r="AP545" s="4"/>
      <c r="AQ545" s="4"/>
      <c r="AR545" s="4"/>
      <c r="AS545" s="4"/>
      <c r="AT545" s="4"/>
      <c r="AU545" s="654"/>
      <c r="AV545" s="655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654"/>
      <c r="BH545" s="655"/>
      <c r="BI545" s="4"/>
      <c r="BJ545" s="4"/>
      <c r="BK545" s="4"/>
      <c r="BL545" s="4"/>
      <c r="BM545" s="4"/>
      <c r="BN545" s="4"/>
      <c r="BO545" s="4"/>
      <c r="BP545" s="4"/>
      <c r="BQ545" s="4"/>
      <c r="BR545" s="4"/>
      <c r="BS545" s="654"/>
      <c r="BT545" s="655"/>
      <c r="BU545" s="4"/>
      <c r="BV545" s="4"/>
      <c r="BW545" s="4"/>
      <c r="BX545" s="4"/>
      <c r="BY545" s="4"/>
      <c r="BZ545" s="4"/>
      <c r="CA545" s="4"/>
      <c r="CB545" s="4"/>
      <c r="CC545" s="4"/>
      <c r="CD545" s="4"/>
      <c r="CE545" s="693"/>
      <c r="CF545" s="723"/>
      <c r="CG545" s="4"/>
      <c r="CH545" s="4"/>
      <c r="CI545" s="4"/>
      <c r="CJ545" s="4"/>
      <c r="CK545" s="4"/>
      <c r="CL545" s="4"/>
      <c r="CM545" s="4"/>
      <c r="CN545" s="4">
        <v>88</v>
      </c>
      <c r="CO545" s="4"/>
      <c r="CP545" s="4"/>
      <c r="CQ545" s="654"/>
      <c r="CR545" s="655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654"/>
      <c r="DD545" s="655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654"/>
      <c r="DP545" s="655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654"/>
      <c r="EB545" s="655"/>
      <c r="EC545" s="4"/>
      <c r="ED545" s="4"/>
      <c r="EE545" s="4"/>
      <c r="EF545" s="4"/>
      <c r="EG545" s="4"/>
      <c r="EH545" s="4"/>
      <c r="EI545" s="4"/>
      <c r="EJ545" s="4"/>
      <c r="EK545" s="4"/>
      <c r="EL545" s="4"/>
      <c r="EM545" s="693"/>
      <c r="EN545" s="723"/>
      <c r="EO545" s="4"/>
      <c r="EP545" s="4"/>
      <c r="EQ545" s="4"/>
      <c r="ER545" s="4"/>
      <c r="ES545" s="4"/>
      <c r="ET545" s="4"/>
      <c r="EU545" s="4"/>
      <c r="EV545" s="4">
        <v>88</v>
      </c>
      <c r="EW545" s="4"/>
      <c r="EX545" s="4"/>
      <c r="EY545" s="654"/>
      <c r="EZ545" s="655"/>
      <c r="FA545" s="4"/>
      <c r="FB545" s="4"/>
      <c r="FC545" s="4"/>
      <c r="FD545" s="4"/>
      <c r="FE545" s="4"/>
      <c r="FF545" s="4"/>
      <c r="FG545" s="4"/>
      <c r="FH545" s="4"/>
      <c r="FI545" s="4"/>
      <c r="FJ545" s="4"/>
      <c r="FK545" s="654"/>
      <c r="FL545" s="655"/>
      <c r="FM545" s="4"/>
      <c r="FN545" s="4"/>
      <c r="FO545" s="4"/>
      <c r="FP545" s="4"/>
      <c r="FQ545" s="4"/>
      <c r="FR545" s="4"/>
      <c r="FS545" s="4"/>
      <c r="FT545" s="4"/>
      <c r="FU545" s="4"/>
      <c r="FV545" s="4"/>
      <c r="FW545" s="654"/>
      <c r="FX545" s="655"/>
      <c r="FY545" s="4"/>
      <c r="FZ545" s="4"/>
      <c r="GA545" s="4"/>
      <c r="GB545" s="4"/>
      <c r="GC545" s="4"/>
      <c r="GD545" s="4"/>
      <c r="GE545" s="4"/>
      <c r="GF545" s="4"/>
      <c r="GG545" s="4"/>
      <c r="GH545" s="4"/>
      <c r="GI545" s="654"/>
      <c r="GJ545" s="655"/>
      <c r="GK545" s="4"/>
      <c r="GL545" s="4"/>
      <c r="GM545" s="4"/>
      <c r="GN545" s="4"/>
      <c r="GO545" s="4"/>
      <c r="GP545" s="4"/>
      <c r="GQ545" s="4"/>
      <c r="GR545" s="4"/>
      <c r="GS545" s="4"/>
      <c r="GT545" s="4"/>
      <c r="GU545" s="722"/>
      <c r="GV545" s="715"/>
    </row>
    <row r="546" spans="1:204" x14ac:dyDescent="0.25">
      <c r="A546" t="s">
        <v>1997</v>
      </c>
      <c r="B546" s="2" t="s">
        <v>1996</v>
      </c>
      <c r="C546" s="619">
        <v>44757</v>
      </c>
      <c r="D546" s="2" t="s">
        <v>1987</v>
      </c>
      <c r="E546" t="s">
        <v>58</v>
      </c>
      <c r="F546" s="2" t="s">
        <v>43</v>
      </c>
      <c r="G546" t="s">
        <v>40</v>
      </c>
      <c r="H546" s="690" t="s">
        <v>84</v>
      </c>
      <c r="I546" s="691" t="s">
        <v>466</v>
      </c>
      <c r="J546" s="721">
        <v>26940979000171</v>
      </c>
      <c r="K546" s="691" t="s">
        <v>43</v>
      </c>
      <c r="L546" s="721">
        <v>3780401000108</v>
      </c>
      <c r="M546" s="718" t="s">
        <v>3</v>
      </c>
      <c r="N546" s="717" t="s">
        <v>44</v>
      </c>
      <c r="O546" s="719">
        <v>44805</v>
      </c>
      <c r="P546" s="720">
        <v>44834</v>
      </c>
      <c r="Q546" s="718">
        <v>88</v>
      </c>
      <c r="R546" s="717">
        <v>1</v>
      </c>
      <c r="S546" s="691" t="s">
        <v>54</v>
      </c>
      <c r="T546" t="s">
        <v>358</v>
      </c>
      <c r="U546" s="673" t="s">
        <v>358</v>
      </c>
      <c r="V546" s="690" t="s">
        <v>358</v>
      </c>
      <c r="W546" s="657" t="s">
        <v>329</v>
      </c>
      <c r="X546" s="723"/>
      <c r="Y546" s="4"/>
      <c r="Z546" s="4"/>
      <c r="AA546" s="4"/>
      <c r="AB546" s="4"/>
      <c r="AC546" s="4"/>
      <c r="AD546" s="4"/>
      <c r="AE546" s="4"/>
      <c r="AF546" s="4">
        <v>1</v>
      </c>
      <c r="AG546" s="4"/>
      <c r="AH546" s="4"/>
      <c r="AI546" s="654"/>
      <c r="AJ546" s="655"/>
      <c r="AK546" s="4"/>
      <c r="AL546" s="4"/>
      <c r="AM546" s="4"/>
      <c r="AN546" s="4"/>
      <c r="AO546" s="4"/>
      <c r="AP546" s="4"/>
      <c r="AQ546" s="4"/>
      <c r="AR546" s="4"/>
      <c r="AS546" s="4"/>
      <c r="AT546" s="4"/>
      <c r="AU546" s="654"/>
      <c r="AV546" s="655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654"/>
      <c r="BH546" s="655"/>
      <c r="BI546" s="4"/>
      <c r="BJ546" s="4"/>
      <c r="BK546" s="4"/>
      <c r="BL546" s="4"/>
      <c r="BM546" s="4"/>
      <c r="BN546" s="4"/>
      <c r="BO546" s="4"/>
      <c r="BP546" s="4"/>
      <c r="BQ546" s="4"/>
      <c r="BR546" s="4"/>
      <c r="BS546" s="654"/>
      <c r="BT546" s="655"/>
      <c r="BU546" s="4"/>
      <c r="BV546" s="4"/>
      <c r="BW546" s="4"/>
      <c r="BX546" s="4"/>
      <c r="BY546" s="4"/>
      <c r="BZ546" s="4"/>
      <c r="CA546" s="4"/>
      <c r="CB546" s="4"/>
      <c r="CC546" s="4"/>
      <c r="CD546" s="4"/>
      <c r="CE546" s="693"/>
      <c r="CF546" s="723"/>
      <c r="CG546" s="4"/>
      <c r="CH546" s="4"/>
      <c r="CI546" s="4"/>
      <c r="CJ546" s="4"/>
      <c r="CK546" s="4"/>
      <c r="CL546" s="4"/>
      <c r="CM546" s="4"/>
      <c r="CN546" s="4">
        <v>88</v>
      </c>
      <c r="CO546" s="4"/>
      <c r="CP546" s="4"/>
      <c r="CQ546" s="654"/>
      <c r="CR546" s="655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654"/>
      <c r="DD546" s="655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654"/>
      <c r="DP546" s="655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654"/>
      <c r="EB546" s="655"/>
      <c r="EC546" s="4"/>
      <c r="ED546" s="4"/>
      <c r="EE546" s="4"/>
      <c r="EF546" s="4"/>
      <c r="EG546" s="4"/>
      <c r="EH546" s="4"/>
      <c r="EI546" s="4"/>
      <c r="EJ546" s="4"/>
      <c r="EK546" s="4"/>
      <c r="EL546" s="4"/>
      <c r="EM546" s="693"/>
      <c r="EN546" s="723"/>
      <c r="EO546" s="4"/>
      <c r="EP546" s="4"/>
      <c r="EQ546" s="4"/>
      <c r="ER546" s="4"/>
      <c r="ES546" s="4"/>
      <c r="ET546" s="4"/>
      <c r="EU546" s="4"/>
      <c r="EV546" s="4">
        <v>88</v>
      </c>
      <c r="EW546" s="4"/>
      <c r="EX546" s="4"/>
      <c r="EY546" s="654"/>
      <c r="EZ546" s="655"/>
      <c r="FA546" s="4"/>
      <c r="FB546" s="4"/>
      <c r="FC546" s="4"/>
      <c r="FD546" s="4"/>
      <c r="FE546" s="4"/>
      <c r="FF546" s="4"/>
      <c r="FG546" s="4"/>
      <c r="FH546" s="4"/>
      <c r="FI546" s="4"/>
      <c r="FJ546" s="4"/>
      <c r="FK546" s="654"/>
      <c r="FL546" s="655"/>
      <c r="FM546" s="4"/>
      <c r="FN546" s="4"/>
      <c r="FO546" s="4"/>
      <c r="FP546" s="4"/>
      <c r="FQ546" s="4"/>
      <c r="FR546" s="4"/>
      <c r="FS546" s="4"/>
      <c r="FT546" s="4"/>
      <c r="FU546" s="4"/>
      <c r="FV546" s="4"/>
      <c r="FW546" s="654"/>
      <c r="FX546" s="655"/>
      <c r="FY546" s="4"/>
      <c r="FZ546" s="4"/>
      <c r="GA546" s="4"/>
      <c r="GB546" s="4"/>
      <c r="GC546" s="4"/>
      <c r="GD546" s="4"/>
      <c r="GE546" s="4"/>
      <c r="GF546" s="4"/>
      <c r="GG546" s="4"/>
      <c r="GH546" s="4"/>
      <c r="GI546" s="654"/>
      <c r="GJ546" s="655"/>
      <c r="GK546" s="4"/>
      <c r="GL546" s="4"/>
      <c r="GM546" s="4"/>
      <c r="GN546" s="4"/>
      <c r="GO546" s="4"/>
      <c r="GP546" s="4"/>
      <c r="GQ546" s="4"/>
      <c r="GR546" s="4"/>
      <c r="GS546" s="4"/>
      <c r="GT546" s="4"/>
      <c r="GU546" s="722"/>
      <c r="GV546" s="715"/>
    </row>
    <row r="547" spans="1:204" x14ac:dyDescent="0.25">
      <c r="A547" t="s">
        <v>1999</v>
      </c>
      <c r="B547" s="2" t="s">
        <v>1998</v>
      </c>
      <c r="C547" s="619">
        <v>44757</v>
      </c>
      <c r="D547" s="2" t="s">
        <v>1988</v>
      </c>
      <c r="E547" t="s">
        <v>58</v>
      </c>
      <c r="F547" s="2" t="s">
        <v>43</v>
      </c>
      <c r="G547" t="s">
        <v>40</v>
      </c>
      <c r="H547" s="690" t="s">
        <v>84</v>
      </c>
      <c r="I547" s="691" t="s">
        <v>350</v>
      </c>
      <c r="J547" s="721">
        <v>17858631000149</v>
      </c>
      <c r="K547" s="691" t="s">
        <v>43</v>
      </c>
      <c r="L547" s="721">
        <v>3780401000108</v>
      </c>
      <c r="M547" s="718" t="s">
        <v>3</v>
      </c>
      <c r="N547" s="717" t="s">
        <v>44</v>
      </c>
      <c r="O547" s="719">
        <v>44805</v>
      </c>
      <c r="P547" s="720">
        <v>44834</v>
      </c>
      <c r="Q547" s="718">
        <v>88</v>
      </c>
      <c r="R547" s="717">
        <v>1</v>
      </c>
      <c r="S547" s="691" t="s">
        <v>54</v>
      </c>
      <c r="T547" t="s">
        <v>358</v>
      </c>
      <c r="U547" s="673" t="s">
        <v>358</v>
      </c>
      <c r="V547" s="690" t="s">
        <v>358</v>
      </c>
      <c r="W547" s="657" t="s">
        <v>329</v>
      </c>
      <c r="X547" s="723"/>
      <c r="Y547" s="4"/>
      <c r="Z547" s="4"/>
      <c r="AA547" s="4"/>
      <c r="AB547" s="4"/>
      <c r="AC547" s="4"/>
      <c r="AD547" s="4"/>
      <c r="AE547" s="4"/>
      <c r="AF547" s="4">
        <v>1</v>
      </c>
      <c r="AG547" s="4"/>
      <c r="AH547" s="4"/>
      <c r="AI547" s="654"/>
      <c r="AJ547" s="655"/>
      <c r="AK547" s="4"/>
      <c r="AL547" s="4"/>
      <c r="AM547" s="4"/>
      <c r="AN547" s="4"/>
      <c r="AO547" s="4"/>
      <c r="AP547" s="4"/>
      <c r="AQ547" s="4"/>
      <c r="AR547" s="4"/>
      <c r="AS547" s="4"/>
      <c r="AT547" s="4"/>
      <c r="AU547" s="654"/>
      <c r="AV547" s="655"/>
      <c r="AW547" s="4"/>
      <c r="AX547" s="4"/>
      <c r="AY547" s="4"/>
      <c r="AZ547" s="4"/>
      <c r="BA547" s="4"/>
      <c r="BB547" s="4"/>
      <c r="BC547" s="4"/>
      <c r="BD547" s="4"/>
      <c r="BE547" s="4"/>
      <c r="BF547" s="4"/>
      <c r="BG547" s="654"/>
      <c r="BH547" s="655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654"/>
      <c r="BT547" s="655"/>
      <c r="BU547" s="4"/>
      <c r="BV547" s="4"/>
      <c r="BW547" s="4"/>
      <c r="BX547" s="4"/>
      <c r="BY547" s="4"/>
      <c r="BZ547" s="4"/>
      <c r="CA547" s="4"/>
      <c r="CB547" s="4"/>
      <c r="CC547" s="4"/>
      <c r="CD547" s="4"/>
      <c r="CE547" s="693"/>
      <c r="CF547" s="723"/>
      <c r="CG547" s="4"/>
      <c r="CH547" s="4"/>
      <c r="CI547" s="4"/>
      <c r="CJ547" s="4"/>
      <c r="CK547" s="4"/>
      <c r="CL547" s="4"/>
      <c r="CM547" s="4"/>
      <c r="CN547" s="4">
        <v>88</v>
      </c>
      <c r="CO547" s="4"/>
      <c r="CP547" s="4"/>
      <c r="CQ547" s="654"/>
      <c r="CR547" s="655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654"/>
      <c r="DD547" s="655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654"/>
      <c r="DP547" s="655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654"/>
      <c r="EB547" s="655"/>
      <c r="EC547" s="4"/>
      <c r="ED547" s="4"/>
      <c r="EE547" s="4"/>
      <c r="EF547" s="4"/>
      <c r="EG547" s="4"/>
      <c r="EH547" s="4"/>
      <c r="EI547" s="4"/>
      <c r="EJ547" s="4"/>
      <c r="EK547" s="4"/>
      <c r="EL547" s="4"/>
      <c r="EM547" s="693"/>
      <c r="EN547" s="723"/>
      <c r="EO547" s="4"/>
      <c r="EP547" s="4"/>
      <c r="EQ547" s="4"/>
      <c r="ER547" s="4"/>
      <c r="ES547" s="4"/>
      <c r="ET547" s="4"/>
      <c r="EU547" s="4"/>
      <c r="EV547" s="4">
        <v>88</v>
      </c>
      <c r="EW547" s="4"/>
      <c r="EX547" s="4"/>
      <c r="EY547" s="654"/>
      <c r="EZ547" s="655"/>
      <c r="FA547" s="4"/>
      <c r="FB547" s="4"/>
      <c r="FC547" s="4"/>
      <c r="FD547" s="4"/>
      <c r="FE547" s="4"/>
      <c r="FF547" s="4"/>
      <c r="FG547" s="4"/>
      <c r="FH547" s="4"/>
      <c r="FI547" s="4"/>
      <c r="FJ547" s="4"/>
      <c r="FK547" s="654"/>
      <c r="FL547" s="655"/>
      <c r="FM547" s="4"/>
      <c r="FN547" s="4"/>
      <c r="FO547" s="4"/>
      <c r="FP547" s="4"/>
      <c r="FQ547" s="4"/>
      <c r="FR547" s="4"/>
      <c r="FS547" s="4"/>
      <c r="FT547" s="4"/>
      <c r="FU547" s="4"/>
      <c r="FV547" s="4"/>
      <c r="FW547" s="654"/>
      <c r="FX547" s="655"/>
      <c r="FY547" s="4"/>
      <c r="FZ547" s="4"/>
      <c r="GA547" s="4"/>
      <c r="GB547" s="4"/>
      <c r="GC547" s="4"/>
      <c r="GD547" s="4"/>
      <c r="GE547" s="4"/>
      <c r="GF547" s="4"/>
      <c r="GG547" s="4"/>
      <c r="GH547" s="4"/>
      <c r="GI547" s="654"/>
      <c r="GJ547" s="655"/>
      <c r="GK547" s="4"/>
      <c r="GL547" s="4"/>
      <c r="GM547" s="4"/>
      <c r="GN547" s="4"/>
      <c r="GO547" s="4"/>
      <c r="GP547" s="4"/>
      <c r="GQ547" s="4"/>
      <c r="GR547" s="4"/>
      <c r="GS547" s="4"/>
      <c r="GT547" s="4"/>
      <c r="GU547" s="722"/>
      <c r="GV547" s="715"/>
    </row>
    <row r="548" spans="1:204" x14ac:dyDescent="0.25">
      <c r="A548" t="s">
        <v>2001</v>
      </c>
      <c r="B548" s="2" t="s">
        <v>2000</v>
      </c>
      <c r="C548" s="619">
        <v>44757</v>
      </c>
      <c r="D548" s="2" t="s">
        <v>1989</v>
      </c>
      <c r="E548" t="s">
        <v>58</v>
      </c>
      <c r="F548" s="2" t="s">
        <v>43</v>
      </c>
      <c r="G548" t="s">
        <v>40</v>
      </c>
      <c r="H548" s="690" t="s">
        <v>84</v>
      </c>
      <c r="I548" s="691" t="s">
        <v>1748</v>
      </c>
      <c r="J548" s="721">
        <v>12300288000107</v>
      </c>
      <c r="K548" s="691" t="s">
        <v>43</v>
      </c>
      <c r="L548" s="721">
        <v>3780401000108</v>
      </c>
      <c r="M548" s="718" t="s">
        <v>3</v>
      </c>
      <c r="N548" s="717" t="s">
        <v>44</v>
      </c>
      <c r="O548" s="719">
        <v>44743</v>
      </c>
      <c r="P548" s="720">
        <v>44773</v>
      </c>
      <c r="Q548" s="718">
        <v>64</v>
      </c>
      <c r="R548" s="717">
        <v>13</v>
      </c>
      <c r="S548" s="691" t="s">
        <v>54</v>
      </c>
      <c r="T548" t="s">
        <v>358</v>
      </c>
      <c r="U548" s="673" t="s">
        <v>358</v>
      </c>
      <c r="V548" s="690" t="s">
        <v>358</v>
      </c>
      <c r="W548" s="657" t="s">
        <v>329</v>
      </c>
      <c r="X548" s="723"/>
      <c r="Y548" s="4"/>
      <c r="Z548" s="4"/>
      <c r="AA548" s="4"/>
      <c r="AB548" s="4"/>
      <c r="AC548" s="4"/>
      <c r="AD548" s="4">
        <v>13</v>
      </c>
      <c r="AE548" s="4"/>
      <c r="AF548" s="4"/>
      <c r="AG548" s="4"/>
      <c r="AH548" s="4"/>
      <c r="AI548" s="654"/>
      <c r="AJ548" s="655"/>
      <c r="AK548" s="4"/>
      <c r="AL548" s="4"/>
      <c r="AM548" s="4"/>
      <c r="AN548" s="4"/>
      <c r="AO548" s="4"/>
      <c r="AP548" s="4"/>
      <c r="AQ548" s="4"/>
      <c r="AR548" s="4"/>
      <c r="AS548" s="4"/>
      <c r="AT548" s="4"/>
      <c r="AU548" s="654"/>
      <c r="AV548" s="655"/>
      <c r="AW548" s="4"/>
      <c r="AX548" s="4"/>
      <c r="AY548" s="4"/>
      <c r="AZ548" s="4"/>
      <c r="BA548" s="4"/>
      <c r="BB548" s="4"/>
      <c r="BC548" s="4"/>
      <c r="BD548" s="4"/>
      <c r="BE548" s="4"/>
      <c r="BF548" s="4"/>
      <c r="BG548" s="654"/>
      <c r="BH548" s="655"/>
      <c r="BI548" s="4"/>
      <c r="BJ548" s="4"/>
      <c r="BK548" s="4"/>
      <c r="BL548" s="4"/>
      <c r="BM548" s="4"/>
      <c r="BN548" s="4"/>
      <c r="BO548" s="4"/>
      <c r="BP548" s="4"/>
      <c r="BQ548" s="4"/>
      <c r="BR548" s="4"/>
      <c r="BS548" s="654"/>
      <c r="BT548" s="655"/>
      <c r="BU548" s="4"/>
      <c r="BV548" s="4"/>
      <c r="BW548" s="4"/>
      <c r="BX548" s="4"/>
      <c r="BY548" s="4"/>
      <c r="BZ548" s="4"/>
      <c r="CA548" s="4"/>
      <c r="CB548" s="4"/>
      <c r="CC548" s="4"/>
      <c r="CD548" s="4"/>
      <c r="CE548" s="693"/>
      <c r="CF548" s="723"/>
      <c r="CG548" s="4"/>
      <c r="CH548" s="4"/>
      <c r="CI548" s="4"/>
      <c r="CJ548" s="4"/>
      <c r="CK548" s="4"/>
      <c r="CL548" s="4">
        <v>64</v>
      </c>
      <c r="CM548" s="4"/>
      <c r="CN548" s="4"/>
      <c r="CO548" s="4"/>
      <c r="CP548" s="4"/>
      <c r="CQ548" s="654"/>
      <c r="CR548" s="655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654"/>
      <c r="DD548" s="655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654"/>
      <c r="DP548" s="655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654"/>
      <c r="EB548" s="655"/>
      <c r="EC548" s="4"/>
      <c r="ED548" s="4"/>
      <c r="EE548" s="4"/>
      <c r="EF548" s="4"/>
      <c r="EG548" s="4"/>
      <c r="EH548" s="4"/>
      <c r="EI548" s="4"/>
      <c r="EJ548" s="4"/>
      <c r="EK548" s="4"/>
      <c r="EL548" s="4"/>
      <c r="EM548" s="693"/>
      <c r="EN548" s="723"/>
      <c r="EO548" s="4"/>
      <c r="EP548" s="4"/>
      <c r="EQ548" s="4"/>
      <c r="ER548" s="4"/>
      <c r="ES548" s="4"/>
      <c r="ET548" s="4">
        <v>64</v>
      </c>
      <c r="EU548" s="4"/>
      <c r="EV548" s="4"/>
      <c r="EW548" s="4"/>
      <c r="EX548" s="4"/>
      <c r="EY548" s="654"/>
      <c r="EZ548" s="655"/>
      <c r="FA548" s="4"/>
      <c r="FB548" s="4"/>
      <c r="FC548" s="4"/>
      <c r="FD548" s="4"/>
      <c r="FE548" s="4"/>
      <c r="FF548" s="4"/>
      <c r="FG548" s="4"/>
      <c r="FH548" s="4"/>
      <c r="FI548" s="4"/>
      <c r="FJ548" s="4"/>
      <c r="FK548" s="654"/>
      <c r="FL548" s="655"/>
      <c r="FM548" s="4"/>
      <c r="FN548" s="4"/>
      <c r="FO548" s="4"/>
      <c r="FP548" s="4"/>
      <c r="FQ548" s="4"/>
      <c r="FR548" s="4"/>
      <c r="FS548" s="4"/>
      <c r="FT548" s="4"/>
      <c r="FU548" s="4"/>
      <c r="FV548" s="4"/>
      <c r="FW548" s="654"/>
      <c r="FX548" s="655"/>
      <c r="FY548" s="4"/>
      <c r="FZ548" s="4"/>
      <c r="GA548" s="4"/>
      <c r="GB548" s="4"/>
      <c r="GC548" s="4"/>
      <c r="GD548" s="4"/>
      <c r="GE548" s="4"/>
      <c r="GF548" s="4"/>
      <c r="GG548" s="4"/>
      <c r="GH548" s="4"/>
      <c r="GI548" s="654"/>
      <c r="GJ548" s="655"/>
      <c r="GK548" s="4"/>
      <c r="GL548" s="4"/>
      <c r="GM548" s="4"/>
      <c r="GN548" s="4"/>
      <c r="GO548" s="4"/>
      <c r="GP548" s="4"/>
      <c r="GQ548" s="4"/>
      <c r="GR548" s="4"/>
      <c r="GS548" s="4"/>
      <c r="GT548" s="4"/>
      <c r="GU548" s="722"/>
      <c r="GV548" s="715"/>
    </row>
    <row r="549" spans="1:204" x14ac:dyDescent="0.25">
      <c r="A549" t="s">
        <v>2018</v>
      </c>
      <c r="B549" s="2" t="s">
        <v>358</v>
      </c>
      <c r="C549" s="619">
        <v>44762</v>
      </c>
      <c r="D549" s="2" t="s">
        <v>2014</v>
      </c>
      <c r="E549" t="s">
        <v>59</v>
      </c>
      <c r="F549" s="2" t="s">
        <v>43</v>
      </c>
      <c r="G549" t="s">
        <v>40</v>
      </c>
      <c r="H549" s="690" t="s">
        <v>85</v>
      </c>
      <c r="I549" s="691" t="s">
        <v>43</v>
      </c>
      <c r="J549" s="721">
        <v>3780401000108</v>
      </c>
      <c r="K549" s="691" t="s">
        <v>2017</v>
      </c>
      <c r="L549" s="721">
        <v>30840548000100</v>
      </c>
      <c r="M549" s="718" t="s">
        <v>3</v>
      </c>
      <c r="N549" s="717" t="s">
        <v>44</v>
      </c>
      <c r="O549" s="719">
        <v>44866</v>
      </c>
      <c r="P549" s="720">
        <v>44895</v>
      </c>
      <c r="Q549" s="718">
        <v>123</v>
      </c>
      <c r="R549" s="717">
        <v>3.5</v>
      </c>
      <c r="S549" s="691" t="s">
        <v>54</v>
      </c>
      <c r="T549" t="s">
        <v>358</v>
      </c>
      <c r="U549" s="673" t="s">
        <v>358</v>
      </c>
      <c r="V549" s="690" t="s">
        <v>358</v>
      </c>
      <c r="W549" s="657" t="s">
        <v>214</v>
      </c>
      <c r="X549" s="723"/>
      <c r="Y549" s="4"/>
      <c r="Z549" s="4"/>
      <c r="AA549" s="4"/>
      <c r="AB549" s="4"/>
      <c r="AC549" s="4"/>
      <c r="AD549" s="4"/>
      <c r="AE549" s="4"/>
      <c r="AF549" s="4"/>
      <c r="AG549" s="4"/>
      <c r="AH549" s="4">
        <v>3.5</v>
      </c>
      <c r="AI549" s="654"/>
      <c r="AJ549" s="655"/>
      <c r="AK549" s="4"/>
      <c r="AL549" s="4"/>
      <c r="AM549" s="4"/>
      <c r="AN549" s="4"/>
      <c r="AO549" s="4"/>
      <c r="AP549" s="4"/>
      <c r="AQ549" s="4"/>
      <c r="AR549" s="4"/>
      <c r="AS549" s="4"/>
      <c r="AT549" s="4"/>
      <c r="AU549" s="654"/>
      <c r="AV549" s="655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654"/>
      <c r="BH549" s="655"/>
      <c r="BI549" s="4"/>
      <c r="BJ549" s="4"/>
      <c r="BK549" s="4"/>
      <c r="BL549" s="4"/>
      <c r="BM549" s="4"/>
      <c r="BN549" s="4"/>
      <c r="BO549" s="4"/>
      <c r="BP549" s="4"/>
      <c r="BQ549" s="4"/>
      <c r="BR549" s="4"/>
      <c r="BS549" s="654"/>
      <c r="BT549" s="655"/>
      <c r="BU549" s="4"/>
      <c r="BV549" s="4"/>
      <c r="BW549" s="4"/>
      <c r="BX549" s="4"/>
      <c r="BY549" s="4"/>
      <c r="BZ549" s="4"/>
      <c r="CA549" s="4"/>
      <c r="CB549" s="4"/>
      <c r="CC549" s="4"/>
      <c r="CD549" s="4"/>
      <c r="CE549" s="693"/>
      <c r="CF549" s="723"/>
      <c r="CG549" s="4"/>
      <c r="CH549" s="4"/>
      <c r="CI549" s="4"/>
      <c r="CJ549" s="4"/>
      <c r="CK549" s="4"/>
      <c r="CL549" s="4"/>
      <c r="CM549" s="4"/>
      <c r="CN549" s="4"/>
      <c r="CO549" s="4"/>
      <c r="CP549" s="4">
        <v>123</v>
      </c>
      <c r="CQ549" s="654"/>
      <c r="CR549" s="655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654"/>
      <c r="DD549" s="655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654"/>
      <c r="DP549" s="655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654"/>
      <c r="EB549" s="655"/>
      <c r="EC549" s="4"/>
      <c r="ED549" s="4"/>
      <c r="EE549" s="4"/>
      <c r="EF549" s="4"/>
      <c r="EG549" s="4"/>
      <c r="EH549" s="4"/>
      <c r="EI549" s="4"/>
      <c r="EJ549" s="4"/>
      <c r="EK549" s="4"/>
      <c r="EL549" s="4"/>
      <c r="EM549" s="693"/>
      <c r="EN549" s="723"/>
      <c r="EO549" s="4"/>
      <c r="EP549" s="4"/>
      <c r="EQ549" s="4"/>
      <c r="ER549" s="4"/>
      <c r="ES549" s="4"/>
      <c r="ET549" s="4"/>
      <c r="EU549" s="4"/>
      <c r="EV549" s="4"/>
      <c r="EW549" s="4"/>
      <c r="EX549" s="4">
        <v>123</v>
      </c>
      <c r="EY549" s="654"/>
      <c r="EZ549" s="655"/>
      <c r="FA549" s="4"/>
      <c r="FB549" s="4"/>
      <c r="FC549" s="4"/>
      <c r="FD549" s="4"/>
      <c r="FE549" s="4"/>
      <c r="FF549" s="4"/>
      <c r="FG549" s="4"/>
      <c r="FH549" s="4"/>
      <c r="FI549" s="4"/>
      <c r="FJ549" s="4"/>
      <c r="FK549" s="654"/>
      <c r="FL549" s="655"/>
      <c r="FM549" s="4"/>
      <c r="FN549" s="4"/>
      <c r="FO549" s="4"/>
      <c r="FP549" s="4"/>
      <c r="FQ549" s="4"/>
      <c r="FR549" s="4"/>
      <c r="FS549" s="4"/>
      <c r="FT549" s="4"/>
      <c r="FU549" s="4"/>
      <c r="FV549" s="4"/>
      <c r="FW549" s="654"/>
      <c r="FX549" s="655"/>
      <c r="FY549" s="4"/>
      <c r="FZ549" s="4"/>
      <c r="GA549" s="4"/>
      <c r="GB549" s="4"/>
      <c r="GC549" s="4"/>
      <c r="GD549" s="4"/>
      <c r="GE549" s="4"/>
      <c r="GF549" s="4"/>
      <c r="GG549" s="4"/>
      <c r="GH549" s="4"/>
      <c r="GI549" s="654"/>
      <c r="GJ549" s="655"/>
      <c r="GK549" s="4"/>
      <c r="GL549" s="4"/>
      <c r="GM549" s="4"/>
      <c r="GN549" s="4"/>
      <c r="GO549" s="4"/>
      <c r="GP549" s="4"/>
      <c r="GQ549" s="4"/>
      <c r="GR549" s="4"/>
      <c r="GS549" s="4"/>
      <c r="GT549" s="4"/>
      <c r="GU549" s="722"/>
      <c r="GV549" s="715"/>
    </row>
    <row r="550" spans="1:204" x14ac:dyDescent="0.25">
      <c r="A550" t="s">
        <v>2019</v>
      </c>
      <c r="B550" s="2" t="s">
        <v>358</v>
      </c>
      <c r="C550" s="619">
        <v>44762</v>
      </c>
      <c r="D550" s="2" t="s">
        <v>2015</v>
      </c>
      <c r="E550" t="s">
        <v>59</v>
      </c>
      <c r="F550" s="2" t="s">
        <v>43</v>
      </c>
      <c r="G550" t="s">
        <v>40</v>
      </c>
      <c r="H550" s="690" t="s">
        <v>85</v>
      </c>
      <c r="I550" s="691" t="s">
        <v>43</v>
      </c>
      <c r="J550" s="721">
        <v>3780401000108</v>
      </c>
      <c r="K550" s="691" t="s">
        <v>355</v>
      </c>
      <c r="L550" s="721">
        <v>7685694000510</v>
      </c>
      <c r="M550" s="718" t="s">
        <v>3</v>
      </c>
      <c r="N550" s="717" t="s">
        <v>44</v>
      </c>
      <c r="O550" s="719">
        <v>44835</v>
      </c>
      <c r="P550" s="720">
        <v>44865</v>
      </c>
      <c r="Q550" s="718">
        <v>121</v>
      </c>
      <c r="R550" s="717">
        <v>5</v>
      </c>
      <c r="S550" s="691" t="s">
        <v>54</v>
      </c>
      <c r="T550" t="s">
        <v>358</v>
      </c>
      <c r="U550" s="673" t="s">
        <v>358</v>
      </c>
      <c r="V550" s="690" t="s">
        <v>358</v>
      </c>
      <c r="W550" s="657" t="s">
        <v>214</v>
      </c>
      <c r="X550" s="723"/>
      <c r="Y550" s="4"/>
      <c r="Z550" s="4"/>
      <c r="AA550" s="4"/>
      <c r="AB550" s="4"/>
      <c r="AC550" s="4"/>
      <c r="AD550" s="4"/>
      <c r="AE550" s="4"/>
      <c r="AF550" s="4"/>
      <c r="AG550" s="4">
        <v>5</v>
      </c>
      <c r="AH550" s="4"/>
      <c r="AI550" s="654"/>
      <c r="AJ550" s="655"/>
      <c r="AK550" s="4"/>
      <c r="AL550" s="4"/>
      <c r="AM550" s="4"/>
      <c r="AN550" s="4"/>
      <c r="AO550" s="4"/>
      <c r="AP550" s="4"/>
      <c r="AQ550" s="4"/>
      <c r="AR550" s="4"/>
      <c r="AS550" s="4"/>
      <c r="AT550" s="4"/>
      <c r="AU550" s="654"/>
      <c r="AV550" s="655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654"/>
      <c r="BH550" s="655"/>
      <c r="BI550" s="4"/>
      <c r="BJ550" s="4"/>
      <c r="BK550" s="4"/>
      <c r="BL550" s="4"/>
      <c r="BM550" s="4"/>
      <c r="BN550" s="4"/>
      <c r="BO550" s="4"/>
      <c r="BP550" s="4"/>
      <c r="BQ550" s="4"/>
      <c r="BR550" s="4"/>
      <c r="BS550" s="654"/>
      <c r="BT550" s="655"/>
      <c r="BU550" s="4"/>
      <c r="BV550" s="4"/>
      <c r="BW550" s="4"/>
      <c r="BX550" s="4"/>
      <c r="BY550" s="4"/>
      <c r="BZ550" s="4"/>
      <c r="CA550" s="4"/>
      <c r="CB550" s="4"/>
      <c r="CC550" s="4"/>
      <c r="CD550" s="4"/>
      <c r="CE550" s="693"/>
      <c r="CF550" s="723"/>
      <c r="CG550" s="4"/>
      <c r="CH550" s="4"/>
      <c r="CI550" s="4"/>
      <c r="CJ550" s="4"/>
      <c r="CK550" s="4"/>
      <c r="CL550" s="4"/>
      <c r="CM550" s="4"/>
      <c r="CN550" s="4"/>
      <c r="CO550" s="4">
        <v>121</v>
      </c>
      <c r="CP550" s="4"/>
      <c r="CQ550" s="654"/>
      <c r="CR550" s="655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654"/>
      <c r="DD550" s="655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654"/>
      <c r="DP550" s="655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654"/>
      <c r="EB550" s="655"/>
      <c r="EC550" s="4"/>
      <c r="ED550" s="4"/>
      <c r="EE550" s="4"/>
      <c r="EF550" s="4"/>
      <c r="EG550" s="4"/>
      <c r="EH550" s="4"/>
      <c r="EI550" s="4"/>
      <c r="EJ550" s="4"/>
      <c r="EK550" s="4"/>
      <c r="EL550" s="4"/>
      <c r="EM550" s="693"/>
      <c r="EN550" s="723"/>
      <c r="EO550" s="4"/>
      <c r="EP550" s="4"/>
      <c r="EQ550" s="4"/>
      <c r="ER550" s="4"/>
      <c r="ES550" s="4"/>
      <c r="ET550" s="4"/>
      <c r="EU550" s="4"/>
      <c r="EV550" s="4"/>
      <c r="EW550" s="4">
        <v>121</v>
      </c>
      <c r="EX550" s="4"/>
      <c r="EY550" s="654"/>
      <c r="EZ550" s="655"/>
      <c r="FA550" s="4"/>
      <c r="FB550" s="4"/>
      <c r="FC550" s="4"/>
      <c r="FD550" s="4"/>
      <c r="FE550" s="4"/>
      <c r="FF550" s="4"/>
      <c r="FG550" s="4"/>
      <c r="FH550" s="4"/>
      <c r="FI550" s="4"/>
      <c r="FJ550" s="4"/>
      <c r="FK550" s="654"/>
      <c r="FL550" s="655"/>
      <c r="FM550" s="4"/>
      <c r="FN550" s="4"/>
      <c r="FO550" s="4"/>
      <c r="FP550" s="4"/>
      <c r="FQ550" s="4"/>
      <c r="FR550" s="4"/>
      <c r="FS550" s="4"/>
      <c r="FT550" s="4"/>
      <c r="FU550" s="4"/>
      <c r="FV550" s="4"/>
      <c r="FW550" s="654"/>
      <c r="FX550" s="655"/>
      <c r="FY550" s="4"/>
      <c r="FZ550" s="4"/>
      <c r="GA550" s="4"/>
      <c r="GB550" s="4"/>
      <c r="GC550" s="4"/>
      <c r="GD550" s="4"/>
      <c r="GE550" s="4"/>
      <c r="GF550" s="4"/>
      <c r="GG550" s="4"/>
      <c r="GH550" s="4"/>
      <c r="GI550" s="654"/>
      <c r="GJ550" s="655"/>
      <c r="GK550" s="4"/>
      <c r="GL550" s="4"/>
      <c r="GM550" s="4"/>
      <c r="GN550" s="4"/>
      <c r="GO550" s="4"/>
      <c r="GP550" s="4"/>
      <c r="GQ550" s="4"/>
      <c r="GR550" s="4"/>
      <c r="GS550" s="4"/>
      <c r="GT550" s="4"/>
      <c r="GU550" s="722"/>
      <c r="GV550" s="715"/>
    </row>
    <row r="551" spans="1:204" x14ac:dyDescent="0.25">
      <c r="A551" t="s">
        <v>2021</v>
      </c>
      <c r="B551" s="2" t="s">
        <v>2020</v>
      </c>
      <c r="C551" s="619">
        <v>44762</v>
      </c>
      <c r="D551" s="2" t="s">
        <v>2016</v>
      </c>
      <c r="E551" t="s">
        <v>58</v>
      </c>
      <c r="F551" s="2" t="s">
        <v>43</v>
      </c>
      <c r="G551" t="s">
        <v>40</v>
      </c>
      <c r="H551" s="690" t="s">
        <v>84</v>
      </c>
      <c r="I551" s="691" t="s">
        <v>585</v>
      </c>
      <c r="J551" s="721">
        <v>33933760000100</v>
      </c>
      <c r="K551" s="691" t="s">
        <v>43</v>
      </c>
      <c r="L551" s="721">
        <v>3780401000108</v>
      </c>
      <c r="M551" s="718" t="s">
        <v>3</v>
      </c>
      <c r="N551" s="717" t="s">
        <v>44</v>
      </c>
      <c r="O551" s="719">
        <v>44743</v>
      </c>
      <c r="P551" s="720">
        <v>44773</v>
      </c>
      <c r="Q551" s="718">
        <v>66</v>
      </c>
      <c r="R551" s="717">
        <v>10</v>
      </c>
      <c r="S551" s="691" t="s">
        <v>54</v>
      </c>
      <c r="T551" t="s">
        <v>358</v>
      </c>
      <c r="U551" s="673" t="s">
        <v>358</v>
      </c>
      <c r="V551" s="690" t="s">
        <v>358</v>
      </c>
      <c r="W551" s="657" t="s">
        <v>329</v>
      </c>
      <c r="X551" s="723"/>
      <c r="Y551" s="4"/>
      <c r="Z551" s="4"/>
      <c r="AA551" s="4"/>
      <c r="AB551" s="4"/>
      <c r="AC551" s="4"/>
      <c r="AD551" s="4">
        <v>10</v>
      </c>
      <c r="AE551" s="4"/>
      <c r="AF551" s="4"/>
      <c r="AG551" s="4"/>
      <c r="AH551" s="4"/>
      <c r="AI551" s="654"/>
      <c r="AJ551" s="655"/>
      <c r="AK551" s="4"/>
      <c r="AL551" s="4"/>
      <c r="AM551" s="4"/>
      <c r="AN551" s="4"/>
      <c r="AO551" s="4"/>
      <c r="AP551" s="4"/>
      <c r="AQ551" s="4"/>
      <c r="AR551" s="4"/>
      <c r="AS551" s="4"/>
      <c r="AT551" s="4"/>
      <c r="AU551" s="654"/>
      <c r="AV551" s="655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654"/>
      <c r="BH551" s="655"/>
      <c r="BI551" s="4"/>
      <c r="BJ551" s="4"/>
      <c r="BK551" s="4"/>
      <c r="BL551" s="4"/>
      <c r="BM551" s="4"/>
      <c r="BN551" s="4"/>
      <c r="BO551" s="4"/>
      <c r="BP551" s="4"/>
      <c r="BQ551" s="4"/>
      <c r="BR551" s="4"/>
      <c r="BS551" s="654"/>
      <c r="BT551" s="655"/>
      <c r="BU551" s="4"/>
      <c r="BV551" s="4"/>
      <c r="BW551" s="4"/>
      <c r="BX551" s="4"/>
      <c r="BY551" s="4"/>
      <c r="BZ551" s="4"/>
      <c r="CA551" s="4"/>
      <c r="CB551" s="4"/>
      <c r="CC551" s="4"/>
      <c r="CD551" s="4"/>
      <c r="CE551" s="693"/>
      <c r="CF551" s="723"/>
      <c r="CG551" s="4"/>
      <c r="CH551" s="4"/>
      <c r="CI551" s="4"/>
      <c r="CJ551" s="4"/>
      <c r="CK551" s="4"/>
      <c r="CL551" s="4">
        <v>66</v>
      </c>
      <c r="CM551" s="4"/>
      <c r="CN551" s="4"/>
      <c r="CO551" s="4"/>
      <c r="CP551" s="4"/>
      <c r="CQ551" s="654"/>
      <c r="CR551" s="655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654"/>
      <c r="DD551" s="655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654"/>
      <c r="DP551" s="655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654"/>
      <c r="EB551" s="655"/>
      <c r="EC551" s="4"/>
      <c r="ED551" s="4"/>
      <c r="EE551" s="4"/>
      <c r="EF551" s="4"/>
      <c r="EG551" s="4"/>
      <c r="EH551" s="4"/>
      <c r="EI551" s="4"/>
      <c r="EJ551" s="4"/>
      <c r="EK551" s="4"/>
      <c r="EL551" s="4"/>
      <c r="EM551" s="693"/>
      <c r="EN551" s="723"/>
      <c r="EO551" s="4"/>
      <c r="EP551" s="4"/>
      <c r="EQ551" s="4"/>
      <c r="ER551" s="4"/>
      <c r="ES551" s="4"/>
      <c r="ET551" s="4">
        <v>66</v>
      </c>
      <c r="EU551" s="4"/>
      <c r="EV551" s="4"/>
      <c r="EW551" s="4"/>
      <c r="EX551" s="4"/>
      <c r="EY551" s="654"/>
      <c r="EZ551" s="655"/>
      <c r="FA551" s="4"/>
      <c r="FB551" s="4"/>
      <c r="FC551" s="4"/>
      <c r="FD551" s="4"/>
      <c r="FE551" s="4"/>
      <c r="FF551" s="4"/>
      <c r="FG551" s="4"/>
      <c r="FH551" s="4"/>
      <c r="FI551" s="4"/>
      <c r="FJ551" s="4"/>
      <c r="FK551" s="654"/>
      <c r="FL551" s="655"/>
      <c r="FM551" s="4"/>
      <c r="FN551" s="4"/>
      <c r="FO551" s="4"/>
      <c r="FP551" s="4"/>
      <c r="FQ551" s="4"/>
      <c r="FR551" s="4"/>
      <c r="FS551" s="4"/>
      <c r="FT551" s="4"/>
      <c r="FU551" s="4"/>
      <c r="FV551" s="4"/>
      <c r="FW551" s="654"/>
      <c r="FX551" s="655"/>
      <c r="FY551" s="4"/>
      <c r="FZ551" s="4"/>
      <c r="GA551" s="4"/>
      <c r="GB551" s="4"/>
      <c r="GC551" s="4"/>
      <c r="GD551" s="4"/>
      <c r="GE551" s="4"/>
      <c r="GF551" s="4"/>
      <c r="GG551" s="4"/>
      <c r="GH551" s="4"/>
      <c r="GI551" s="654"/>
      <c r="GJ551" s="655"/>
      <c r="GK551" s="4"/>
      <c r="GL551" s="4"/>
      <c r="GM551" s="4"/>
      <c r="GN551" s="4"/>
      <c r="GO551" s="4"/>
      <c r="GP551" s="4"/>
      <c r="GQ551" s="4"/>
      <c r="GR551" s="4"/>
      <c r="GS551" s="4"/>
      <c r="GT551" s="4"/>
      <c r="GU551" s="722"/>
      <c r="GV551" s="715"/>
    </row>
    <row r="552" spans="1:204" x14ac:dyDescent="0.25">
      <c r="A552" t="s">
        <v>2030</v>
      </c>
      <c r="B552" s="2" t="s">
        <v>358</v>
      </c>
      <c r="C552" s="619">
        <v>44763</v>
      </c>
      <c r="D552" s="2" t="s">
        <v>2022</v>
      </c>
      <c r="E552" t="s">
        <v>58</v>
      </c>
      <c r="F552" s="2" t="s">
        <v>43</v>
      </c>
      <c r="G552" t="s">
        <v>40</v>
      </c>
      <c r="H552" s="690" t="s">
        <v>84</v>
      </c>
      <c r="I552" s="691" t="s">
        <v>945</v>
      </c>
      <c r="J552" s="721">
        <v>12630054000110</v>
      </c>
      <c r="K552" s="691" t="s">
        <v>43</v>
      </c>
      <c r="L552" s="721">
        <v>3780401000108</v>
      </c>
      <c r="M552" s="718" t="s">
        <v>3</v>
      </c>
      <c r="N552" s="717" t="s">
        <v>44</v>
      </c>
      <c r="O552" s="719">
        <v>44835</v>
      </c>
      <c r="P552" s="720">
        <v>44865</v>
      </c>
      <c r="Q552" s="718">
        <v>115.5</v>
      </c>
      <c r="R552" s="717">
        <v>1</v>
      </c>
      <c r="S552" s="691" t="s">
        <v>54</v>
      </c>
      <c r="T552" t="s">
        <v>358</v>
      </c>
      <c r="U552" s="673" t="s">
        <v>358</v>
      </c>
      <c r="V552" s="690" t="s">
        <v>358</v>
      </c>
      <c r="W552" s="657" t="s">
        <v>214</v>
      </c>
      <c r="X552" s="723"/>
      <c r="Y552" s="4"/>
      <c r="Z552" s="4"/>
      <c r="AA552" s="4"/>
      <c r="AB552" s="4"/>
      <c r="AC552" s="4"/>
      <c r="AD552" s="4"/>
      <c r="AE552" s="4"/>
      <c r="AF552" s="4"/>
      <c r="AG552" s="4">
        <v>1</v>
      </c>
      <c r="AH552" s="4"/>
      <c r="AI552" s="654"/>
      <c r="AJ552" s="655"/>
      <c r="AK552" s="4"/>
      <c r="AL552" s="4"/>
      <c r="AM552" s="4"/>
      <c r="AN552" s="4"/>
      <c r="AO552" s="4"/>
      <c r="AP552" s="4"/>
      <c r="AQ552" s="4"/>
      <c r="AR552" s="4"/>
      <c r="AS552" s="4"/>
      <c r="AT552" s="4"/>
      <c r="AU552" s="654"/>
      <c r="AV552" s="655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654"/>
      <c r="BH552" s="655"/>
      <c r="BI552" s="4"/>
      <c r="BJ552" s="4"/>
      <c r="BK552" s="4"/>
      <c r="BL552" s="4"/>
      <c r="BM552" s="4"/>
      <c r="BN552" s="4"/>
      <c r="BO552" s="4"/>
      <c r="BP552" s="4"/>
      <c r="BQ552" s="4"/>
      <c r="BR552" s="4"/>
      <c r="BS552" s="654"/>
      <c r="BT552" s="655"/>
      <c r="BU552" s="4"/>
      <c r="BV552" s="4"/>
      <c r="BW552" s="4"/>
      <c r="BX552" s="4"/>
      <c r="BY552" s="4"/>
      <c r="BZ552" s="4"/>
      <c r="CA552" s="4"/>
      <c r="CB552" s="4"/>
      <c r="CC552" s="4"/>
      <c r="CD552" s="4"/>
      <c r="CE552" s="693"/>
      <c r="CF552" s="723"/>
      <c r="CG552" s="4"/>
      <c r="CH552" s="4"/>
      <c r="CI552" s="4"/>
      <c r="CJ552" s="4"/>
      <c r="CK552" s="4"/>
      <c r="CL552" s="4"/>
      <c r="CM552" s="4"/>
      <c r="CN552" s="4"/>
      <c r="CO552" s="4">
        <v>115.5</v>
      </c>
      <c r="CP552" s="4"/>
      <c r="CQ552" s="654"/>
      <c r="CR552" s="655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654"/>
      <c r="DD552" s="655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654"/>
      <c r="DP552" s="655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654"/>
      <c r="EB552" s="655"/>
      <c r="EC552" s="4"/>
      <c r="ED552" s="4"/>
      <c r="EE552" s="4"/>
      <c r="EF552" s="4"/>
      <c r="EG552" s="4"/>
      <c r="EH552" s="4"/>
      <c r="EI552" s="4"/>
      <c r="EJ552" s="4"/>
      <c r="EK552" s="4"/>
      <c r="EL552" s="4"/>
      <c r="EM552" s="693"/>
      <c r="EN552" s="723"/>
      <c r="EO552" s="4"/>
      <c r="EP552" s="4"/>
      <c r="EQ552" s="4"/>
      <c r="ER552" s="4"/>
      <c r="ES552" s="4"/>
      <c r="ET552" s="4"/>
      <c r="EU552" s="4"/>
      <c r="EV552" s="4"/>
      <c r="EW552" s="4">
        <v>115.5</v>
      </c>
      <c r="EX552" s="4"/>
      <c r="EY552" s="654"/>
      <c r="EZ552" s="655"/>
      <c r="FA552" s="4"/>
      <c r="FB552" s="4"/>
      <c r="FC552" s="4"/>
      <c r="FD552" s="4"/>
      <c r="FE552" s="4"/>
      <c r="FF552" s="4"/>
      <c r="FG552" s="4"/>
      <c r="FH552" s="4"/>
      <c r="FI552" s="4"/>
      <c r="FJ552" s="4"/>
      <c r="FK552" s="654"/>
      <c r="FL552" s="655"/>
      <c r="FM552" s="4"/>
      <c r="FN552" s="4"/>
      <c r="FO552" s="4"/>
      <c r="FP552" s="4"/>
      <c r="FQ552" s="4"/>
      <c r="FR552" s="4"/>
      <c r="FS552" s="4"/>
      <c r="FT552" s="4"/>
      <c r="FU552" s="4"/>
      <c r="FV552" s="4"/>
      <c r="FW552" s="654"/>
      <c r="FX552" s="655"/>
      <c r="FY552" s="4"/>
      <c r="FZ552" s="4"/>
      <c r="GA552" s="4"/>
      <c r="GB552" s="4"/>
      <c r="GC552" s="4"/>
      <c r="GD552" s="4"/>
      <c r="GE552" s="4"/>
      <c r="GF552" s="4"/>
      <c r="GG552" s="4"/>
      <c r="GH552" s="4"/>
      <c r="GI552" s="654"/>
      <c r="GJ552" s="655"/>
      <c r="GK552" s="4"/>
      <c r="GL552" s="4"/>
      <c r="GM552" s="4"/>
      <c r="GN552" s="4"/>
      <c r="GO552" s="4"/>
      <c r="GP552" s="4"/>
      <c r="GQ552" s="4"/>
      <c r="GR552" s="4"/>
      <c r="GS552" s="4"/>
      <c r="GT552" s="4"/>
      <c r="GU552" s="722"/>
      <c r="GV552" s="715"/>
    </row>
    <row r="553" spans="1:204" x14ac:dyDescent="0.25">
      <c r="A553" t="s">
        <v>2031</v>
      </c>
      <c r="B553" s="2" t="s">
        <v>358</v>
      </c>
      <c r="C553" s="619">
        <v>44763</v>
      </c>
      <c r="D553" s="2" t="s">
        <v>2023</v>
      </c>
      <c r="E553" t="s">
        <v>59</v>
      </c>
      <c r="F553" s="2" t="s">
        <v>43</v>
      </c>
      <c r="G553" t="s">
        <v>40</v>
      </c>
      <c r="H553" s="690" t="s">
        <v>85</v>
      </c>
      <c r="I553" s="691" t="s">
        <v>43</v>
      </c>
      <c r="J553" s="721">
        <v>3780401000108</v>
      </c>
      <c r="K553" s="691" t="s">
        <v>876</v>
      </c>
      <c r="L553" s="721">
        <v>22109465000118</v>
      </c>
      <c r="M553" s="718" t="s">
        <v>3</v>
      </c>
      <c r="N553" s="717" t="s">
        <v>44</v>
      </c>
      <c r="O553" s="719">
        <v>44866</v>
      </c>
      <c r="P553" s="720">
        <v>44895</v>
      </c>
      <c r="Q553" s="718">
        <v>119</v>
      </c>
      <c r="R553" s="717">
        <v>1</v>
      </c>
      <c r="S553" s="691" t="s">
        <v>54</v>
      </c>
      <c r="T553" t="s">
        <v>358</v>
      </c>
      <c r="U553" s="673" t="s">
        <v>358</v>
      </c>
      <c r="V553" s="690" t="s">
        <v>358</v>
      </c>
      <c r="W553" s="657" t="s">
        <v>214</v>
      </c>
      <c r="X553" s="723"/>
      <c r="Y553" s="4"/>
      <c r="Z553" s="4"/>
      <c r="AA553" s="4"/>
      <c r="AB553" s="4"/>
      <c r="AC553" s="4"/>
      <c r="AD553" s="4"/>
      <c r="AE553" s="4"/>
      <c r="AF553" s="4"/>
      <c r="AG553" s="4"/>
      <c r="AH553" s="4">
        <v>1</v>
      </c>
      <c r="AI553" s="654"/>
      <c r="AJ553" s="655"/>
      <c r="AK553" s="4"/>
      <c r="AL553" s="4"/>
      <c r="AM553" s="4"/>
      <c r="AN553" s="4"/>
      <c r="AO553" s="4"/>
      <c r="AP553" s="4"/>
      <c r="AQ553" s="4"/>
      <c r="AR553" s="4"/>
      <c r="AS553" s="4"/>
      <c r="AT553" s="4"/>
      <c r="AU553" s="654"/>
      <c r="AV553" s="655"/>
      <c r="AW553" s="4"/>
      <c r="AX553" s="4"/>
      <c r="AY553" s="4"/>
      <c r="AZ553" s="4"/>
      <c r="BA553" s="4"/>
      <c r="BB553" s="4"/>
      <c r="BC553" s="4"/>
      <c r="BD553" s="4"/>
      <c r="BE553" s="4"/>
      <c r="BF553" s="4"/>
      <c r="BG553" s="654"/>
      <c r="BH553" s="655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654"/>
      <c r="BT553" s="655"/>
      <c r="BU553" s="4"/>
      <c r="BV553" s="4"/>
      <c r="BW553" s="4"/>
      <c r="BX553" s="4"/>
      <c r="BY553" s="4"/>
      <c r="BZ553" s="4"/>
      <c r="CA553" s="4"/>
      <c r="CB553" s="4"/>
      <c r="CC553" s="4"/>
      <c r="CD553" s="4"/>
      <c r="CE553" s="693"/>
      <c r="CF553" s="723"/>
      <c r="CG553" s="4"/>
      <c r="CH553" s="4"/>
      <c r="CI553" s="4"/>
      <c r="CJ553" s="4"/>
      <c r="CK553" s="4"/>
      <c r="CL553" s="4"/>
      <c r="CM553" s="4"/>
      <c r="CN553" s="4"/>
      <c r="CO553" s="4"/>
      <c r="CP553" s="4">
        <v>119</v>
      </c>
      <c r="CQ553" s="654"/>
      <c r="CR553" s="655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654"/>
      <c r="DD553" s="655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654"/>
      <c r="DP553" s="655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654"/>
      <c r="EB553" s="655"/>
      <c r="EC553" s="4"/>
      <c r="ED553" s="4"/>
      <c r="EE553" s="4"/>
      <c r="EF553" s="4"/>
      <c r="EG553" s="4"/>
      <c r="EH553" s="4"/>
      <c r="EI553" s="4"/>
      <c r="EJ553" s="4"/>
      <c r="EK553" s="4"/>
      <c r="EL553" s="4"/>
      <c r="EM553" s="693"/>
      <c r="EN553" s="723"/>
      <c r="EO553" s="4"/>
      <c r="EP553" s="4"/>
      <c r="EQ553" s="4"/>
      <c r="ER553" s="4"/>
      <c r="ES553" s="4"/>
      <c r="ET553" s="4"/>
      <c r="EU553" s="4"/>
      <c r="EV553" s="4"/>
      <c r="EW553" s="4"/>
      <c r="EX553" s="4">
        <v>119</v>
      </c>
      <c r="EY553" s="654"/>
      <c r="EZ553" s="655"/>
      <c r="FA553" s="4"/>
      <c r="FB553" s="4"/>
      <c r="FC553" s="4"/>
      <c r="FD553" s="4"/>
      <c r="FE553" s="4"/>
      <c r="FF553" s="4"/>
      <c r="FG553" s="4"/>
      <c r="FH553" s="4"/>
      <c r="FI553" s="4"/>
      <c r="FJ553" s="4"/>
      <c r="FK553" s="654"/>
      <c r="FL553" s="655"/>
      <c r="FM553" s="4"/>
      <c r="FN553" s="4"/>
      <c r="FO553" s="4"/>
      <c r="FP553" s="4"/>
      <c r="FQ553" s="4"/>
      <c r="FR553" s="4"/>
      <c r="FS553" s="4"/>
      <c r="FT553" s="4"/>
      <c r="FU553" s="4"/>
      <c r="FV553" s="4"/>
      <c r="FW553" s="654"/>
      <c r="FX553" s="655"/>
      <c r="FY553" s="4"/>
      <c r="FZ553" s="4"/>
      <c r="GA553" s="4"/>
      <c r="GB553" s="4"/>
      <c r="GC553" s="4"/>
      <c r="GD553" s="4"/>
      <c r="GE553" s="4"/>
      <c r="GF553" s="4"/>
      <c r="GG553" s="4"/>
      <c r="GH553" s="4"/>
      <c r="GI553" s="654"/>
      <c r="GJ553" s="655"/>
      <c r="GK553" s="4"/>
      <c r="GL553" s="4"/>
      <c r="GM553" s="4"/>
      <c r="GN553" s="4"/>
      <c r="GO553" s="4"/>
      <c r="GP553" s="4"/>
      <c r="GQ553" s="4"/>
      <c r="GR553" s="4"/>
      <c r="GS553" s="4"/>
      <c r="GT553" s="4"/>
      <c r="GU553" s="722"/>
      <c r="GV553" s="715"/>
    </row>
    <row r="554" spans="1:204" x14ac:dyDescent="0.25">
      <c r="A554" t="s">
        <v>2032</v>
      </c>
      <c r="B554" s="2" t="s">
        <v>358</v>
      </c>
      <c r="C554" s="619">
        <v>44763</v>
      </c>
      <c r="D554" s="2" t="s">
        <v>2024</v>
      </c>
      <c r="E554" t="s">
        <v>58</v>
      </c>
      <c r="F554" s="2" t="s">
        <v>43</v>
      </c>
      <c r="G554" t="s">
        <v>40</v>
      </c>
      <c r="H554" s="690" t="s">
        <v>84</v>
      </c>
      <c r="I554" s="691" t="s">
        <v>945</v>
      </c>
      <c r="J554" s="721">
        <v>12630054000110</v>
      </c>
      <c r="K554" s="691" t="s">
        <v>43</v>
      </c>
      <c r="L554" s="721">
        <v>3780401000108</v>
      </c>
      <c r="M554" s="718" t="s">
        <v>3</v>
      </c>
      <c r="N554" s="717" t="s">
        <v>44</v>
      </c>
      <c r="O554" s="719">
        <v>44866</v>
      </c>
      <c r="P554" s="720">
        <v>44895</v>
      </c>
      <c r="Q554" s="718">
        <v>115.5</v>
      </c>
      <c r="R554" s="717">
        <v>0.1</v>
      </c>
      <c r="S554" s="691" t="s">
        <v>54</v>
      </c>
      <c r="T554" t="s">
        <v>358</v>
      </c>
      <c r="U554" s="673" t="s">
        <v>358</v>
      </c>
      <c r="V554" s="690" t="s">
        <v>358</v>
      </c>
      <c r="W554" s="657" t="s">
        <v>214</v>
      </c>
      <c r="X554" s="723"/>
      <c r="Y554" s="4"/>
      <c r="Z554" s="4"/>
      <c r="AA554" s="4"/>
      <c r="AB554" s="4"/>
      <c r="AC554" s="4"/>
      <c r="AD554" s="4"/>
      <c r="AE554" s="4"/>
      <c r="AF554" s="4"/>
      <c r="AG554" s="4"/>
      <c r="AH554" s="4">
        <v>0.1</v>
      </c>
      <c r="AI554" s="654"/>
      <c r="AJ554" s="655"/>
      <c r="AK554" s="4"/>
      <c r="AL554" s="4"/>
      <c r="AM554" s="4"/>
      <c r="AN554" s="4"/>
      <c r="AO554" s="4"/>
      <c r="AP554" s="4"/>
      <c r="AQ554" s="4"/>
      <c r="AR554" s="4"/>
      <c r="AS554" s="4"/>
      <c r="AT554" s="4"/>
      <c r="AU554" s="654"/>
      <c r="AV554" s="655"/>
      <c r="AW554" s="4"/>
      <c r="AX554" s="4"/>
      <c r="AY554" s="4"/>
      <c r="AZ554" s="4"/>
      <c r="BA554" s="4"/>
      <c r="BB554" s="4"/>
      <c r="BC554" s="4"/>
      <c r="BD554" s="4"/>
      <c r="BE554" s="4"/>
      <c r="BF554" s="4"/>
      <c r="BG554" s="654"/>
      <c r="BH554" s="655"/>
      <c r="BI554" s="4"/>
      <c r="BJ554" s="4"/>
      <c r="BK554" s="4"/>
      <c r="BL554" s="4"/>
      <c r="BM554" s="4"/>
      <c r="BN554" s="4"/>
      <c r="BO554" s="4"/>
      <c r="BP554" s="4"/>
      <c r="BQ554" s="4"/>
      <c r="BR554" s="4"/>
      <c r="BS554" s="654"/>
      <c r="BT554" s="655"/>
      <c r="BU554" s="4"/>
      <c r="BV554" s="4"/>
      <c r="BW554" s="4"/>
      <c r="BX554" s="4"/>
      <c r="BY554" s="4"/>
      <c r="BZ554" s="4"/>
      <c r="CA554" s="4"/>
      <c r="CB554" s="4"/>
      <c r="CC554" s="4"/>
      <c r="CD554" s="4"/>
      <c r="CE554" s="693"/>
      <c r="CF554" s="723"/>
      <c r="CG554" s="4"/>
      <c r="CH554" s="4"/>
      <c r="CI554" s="4"/>
      <c r="CJ554" s="4"/>
      <c r="CK554" s="4"/>
      <c r="CL554" s="4"/>
      <c r="CM554" s="4"/>
      <c r="CN554" s="4"/>
      <c r="CO554" s="4"/>
      <c r="CP554" s="4">
        <v>115.5</v>
      </c>
      <c r="CQ554" s="654"/>
      <c r="CR554" s="655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654"/>
      <c r="DD554" s="655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654"/>
      <c r="DP554" s="655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654"/>
      <c r="EB554" s="655"/>
      <c r="EC554" s="4"/>
      <c r="ED554" s="4"/>
      <c r="EE554" s="4"/>
      <c r="EF554" s="4"/>
      <c r="EG554" s="4"/>
      <c r="EH554" s="4"/>
      <c r="EI554" s="4"/>
      <c r="EJ554" s="4"/>
      <c r="EK554" s="4"/>
      <c r="EL554" s="4"/>
      <c r="EM554" s="693"/>
      <c r="EN554" s="723"/>
      <c r="EO554" s="4"/>
      <c r="EP554" s="4"/>
      <c r="EQ554" s="4"/>
      <c r="ER554" s="4"/>
      <c r="ES554" s="4"/>
      <c r="ET554" s="4"/>
      <c r="EU554" s="4"/>
      <c r="EV554" s="4"/>
      <c r="EW554" s="4"/>
      <c r="EX554" s="4">
        <v>115.5</v>
      </c>
      <c r="EY554" s="654"/>
      <c r="EZ554" s="655"/>
      <c r="FA554" s="4"/>
      <c r="FB554" s="4"/>
      <c r="FC554" s="4"/>
      <c r="FD554" s="4"/>
      <c r="FE554" s="4"/>
      <c r="FF554" s="4"/>
      <c r="FG554" s="4"/>
      <c r="FH554" s="4"/>
      <c r="FI554" s="4"/>
      <c r="FJ554" s="4"/>
      <c r="FK554" s="654"/>
      <c r="FL554" s="655"/>
      <c r="FM554" s="4"/>
      <c r="FN554" s="4"/>
      <c r="FO554" s="4"/>
      <c r="FP554" s="4"/>
      <c r="FQ554" s="4"/>
      <c r="FR554" s="4"/>
      <c r="FS554" s="4"/>
      <c r="FT554" s="4"/>
      <c r="FU554" s="4"/>
      <c r="FV554" s="4"/>
      <c r="FW554" s="654"/>
      <c r="FX554" s="655"/>
      <c r="FY554" s="4"/>
      <c r="FZ554" s="4"/>
      <c r="GA554" s="4"/>
      <c r="GB554" s="4"/>
      <c r="GC554" s="4"/>
      <c r="GD554" s="4"/>
      <c r="GE554" s="4"/>
      <c r="GF554" s="4"/>
      <c r="GG554" s="4"/>
      <c r="GH554" s="4"/>
      <c r="GI554" s="654"/>
      <c r="GJ554" s="655"/>
      <c r="GK554" s="4"/>
      <c r="GL554" s="4"/>
      <c r="GM554" s="4"/>
      <c r="GN554" s="4"/>
      <c r="GO554" s="4"/>
      <c r="GP554" s="4"/>
      <c r="GQ554" s="4"/>
      <c r="GR554" s="4"/>
      <c r="GS554" s="4"/>
      <c r="GT554" s="4"/>
      <c r="GU554" s="722"/>
      <c r="GV554" s="715"/>
    </row>
    <row r="555" spans="1:204" x14ac:dyDescent="0.25">
      <c r="A555" t="s">
        <v>2033</v>
      </c>
      <c r="B555" s="2" t="s">
        <v>358</v>
      </c>
      <c r="C555" s="619">
        <v>44763</v>
      </c>
      <c r="D555" s="2" t="s">
        <v>2025</v>
      </c>
      <c r="E555" t="s">
        <v>59</v>
      </c>
      <c r="F555" s="2" t="s">
        <v>43</v>
      </c>
      <c r="G555" t="s">
        <v>40</v>
      </c>
      <c r="H555" s="690" t="s">
        <v>85</v>
      </c>
      <c r="I555" s="691" t="s">
        <v>43</v>
      </c>
      <c r="J555" s="721">
        <v>3780401000108</v>
      </c>
      <c r="K555" s="691" t="s">
        <v>409</v>
      </c>
      <c r="L555" s="721">
        <v>12809025000110</v>
      </c>
      <c r="M555" s="718" t="s">
        <v>3</v>
      </c>
      <c r="N555" s="717" t="s">
        <v>44</v>
      </c>
      <c r="O555" s="719">
        <v>44866</v>
      </c>
      <c r="P555" s="720">
        <v>44895</v>
      </c>
      <c r="Q555" s="718">
        <v>118</v>
      </c>
      <c r="R555" s="717">
        <v>1.5</v>
      </c>
      <c r="S555" s="691" t="s">
        <v>54</v>
      </c>
      <c r="T555" t="s">
        <v>358</v>
      </c>
      <c r="U555" s="673" t="s">
        <v>358</v>
      </c>
      <c r="V555" s="690" t="s">
        <v>358</v>
      </c>
      <c r="W555" s="657" t="s">
        <v>214</v>
      </c>
      <c r="X555" s="723"/>
      <c r="Y555" s="4"/>
      <c r="Z555" s="4"/>
      <c r="AA555" s="4"/>
      <c r="AB555" s="4"/>
      <c r="AC555" s="4"/>
      <c r="AD555" s="4"/>
      <c r="AE555" s="4"/>
      <c r="AF555" s="4"/>
      <c r="AG555" s="4"/>
      <c r="AH555" s="4">
        <v>1.5</v>
      </c>
      <c r="AI555" s="654"/>
      <c r="AJ555" s="655"/>
      <c r="AK555" s="4"/>
      <c r="AL555" s="4"/>
      <c r="AM555" s="4"/>
      <c r="AN555" s="4"/>
      <c r="AO555" s="4"/>
      <c r="AP555" s="4"/>
      <c r="AQ555" s="4"/>
      <c r="AR555" s="4"/>
      <c r="AS555" s="4"/>
      <c r="AT555" s="4"/>
      <c r="AU555" s="654"/>
      <c r="AV555" s="655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654"/>
      <c r="BH555" s="655"/>
      <c r="BI555" s="4"/>
      <c r="BJ555" s="4"/>
      <c r="BK555" s="4"/>
      <c r="BL555" s="4"/>
      <c r="BM555" s="4"/>
      <c r="BN555" s="4"/>
      <c r="BO555" s="4"/>
      <c r="BP555" s="4"/>
      <c r="BQ555" s="4"/>
      <c r="BR555" s="4"/>
      <c r="BS555" s="654"/>
      <c r="BT555" s="655"/>
      <c r="BU555" s="4"/>
      <c r="BV555" s="4"/>
      <c r="BW555" s="4"/>
      <c r="BX555" s="4"/>
      <c r="BY555" s="4"/>
      <c r="BZ555" s="4"/>
      <c r="CA555" s="4"/>
      <c r="CB555" s="4"/>
      <c r="CC555" s="4"/>
      <c r="CD555" s="4"/>
      <c r="CE555" s="693"/>
      <c r="CF555" s="723"/>
      <c r="CG555" s="4"/>
      <c r="CH555" s="4"/>
      <c r="CI555" s="4"/>
      <c r="CJ555" s="4"/>
      <c r="CK555" s="4"/>
      <c r="CL555" s="4"/>
      <c r="CM555" s="4"/>
      <c r="CN555" s="4"/>
      <c r="CO555" s="4"/>
      <c r="CP555" s="4">
        <v>118</v>
      </c>
      <c r="CQ555" s="654"/>
      <c r="CR555" s="655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654"/>
      <c r="DD555" s="655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654"/>
      <c r="DP555" s="655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654"/>
      <c r="EB555" s="655"/>
      <c r="EC555" s="4"/>
      <c r="ED555" s="4"/>
      <c r="EE555" s="4"/>
      <c r="EF555" s="4"/>
      <c r="EG555" s="4"/>
      <c r="EH555" s="4"/>
      <c r="EI555" s="4"/>
      <c r="EJ555" s="4"/>
      <c r="EK555" s="4"/>
      <c r="EL555" s="4"/>
      <c r="EM555" s="693"/>
      <c r="EN555" s="723"/>
      <c r="EO555" s="4"/>
      <c r="EP555" s="4"/>
      <c r="EQ555" s="4"/>
      <c r="ER555" s="4"/>
      <c r="ES555" s="4"/>
      <c r="ET555" s="4"/>
      <c r="EU555" s="4"/>
      <c r="EV555" s="4"/>
      <c r="EW555" s="4"/>
      <c r="EX555" s="4">
        <v>118</v>
      </c>
      <c r="EY555" s="654"/>
      <c r="EZ555" s="655"/>
      <c r="FA555" s="4"/>
      <c r="FB555" s="4"/>
      <c r="FC555" s="4"/>
      <c r="FD555" s="4"/>
      <c r="FE555" s="4"/>
      <c r="FF555" s="4"/>
      <c r="FG555" s="4"/>
      <c r="FH555" s="4"/>
      <c r="FI555" s="4"/>
      <c r="FJ555" s="4"/>
      <c r="FK555" s="654"/>
      <c r="FL555" s="655"/>
      <c r="FM555" s="4"/>
      <c r="FN555" s="4"/>
      <c r="FO555" s="4"/>
      <c r="FP555" s="4"/>
      <c r="FQ555" s="4"/>
      <c r="FR555" s="4"/>
      <c r="FS555" s="4"/>
      <c r="FT555" s="4"/>
      <c r="FU555" s="4"/>
      <c r="FV555" s="4"/>
      <c r="FW555" s="654"/>
      <c r="FX555" s="655"/>
      <c r="FY555" s="4"/>
      <c r="FZ555" s="4"/>
      <c r="GA555" s="4"/>
      <c r="GB555" s="4"/>
      <c r="GC555" s="4"/>
      <c r="GD555" s="4"/>
      <c r="GE555" s="4"/>
      <c r="GF555" s="4"/>
      <c r="GG555" s="4"/>
      <c r="GH555" s="4"/>
      <c r="GI555" s="654"/>
      <c r="GJ555" s="655"/>
      <c r="GK555" s="4"/>
      <c r="GL555" s="4"/>
      <c r="GM555" s="4"/>
      <c r="GN555" s="4"/>
      <c r="GO555" s="4"/>
      <c r="GP555" s="4"/>
      <c r="GQ555" s="4"/>
      <c r="GR555" s="4"/>
      <c r="GS555" s="4"/>
      <c r="GT555" s="4"/>
      <c r="GU555" s="722"/>
      <c r="GV555" s="715"/>
    </row>
    <row r="556" spans="1:204" x14ac:dyDescent="0.25">
      <c r="A556" t="s">
        <v>2034</v>
      </c>
      <c r="B556" s="2" t="s">
        <v>358</v>
      </c>
      <c r="C556" s="619">
        <v>44763</v>
      </c>
      <c r="D556" s="2" t="s">
        <v>2026</v>
      </c>
      <c r="E556" t="s">
        <v>59</v>
      </c>
      <c r="F556" s="2" t="s">
        <v>43</v>
      </c>
      <c r="G556" t="s">
        <v>40</v>
      </c>
      <c r="H556" s="690" t="s">
        <v>85</v>
      </c>
      <c r="I556" s="691" t="s">
        <v>43</v>
      </c>
      <c r="J556" s="721">
        <v>3780401000108</v>
      </c>
      <c r="K556" s="691" t="s">
        <v>1134</v>
      </c>
      <c r="L556" s="721">
        <v>10671322000116</v>
      </c>
      <c r="M556" s="718" t="s">
        <v>3</v>
      </c>
      <c r="N556" s="717" t="s">
        <v>44</v>
      </c>
      <c r="O556" s="719">
        <v>44866</v>
      </c>
      <c r="P556" s="720">
        <v>44895</v>
      </c>
      <c r="Q556" s="718">
        <v>118</v>
      </c>
      <c r="R556" s="717">
        <v>0.5</v>
      </c>
      <c r="S556" s="691" t="s">
        <v>54</v>
      </c>
      <c r="T556" t="s">
        <v>358</v>
      </c>
      <c r="U556" s="673" t="s">
        <v>358</v>
      </c>
      <c r="V556" s="690" t="s">
        <v>358</v>
      </c>
      <c r="W556" s="657" t="s">
        <v>214</v>
      </c>
      <c r="X556" s="723"/>
      <c r="Y556" s="4"/>
      <c r="Z556" s="4"/>
      <c r="AA556" s="4"/>
      <c r="AB556" s="4"/>
      <c r="AC556" s="4"/>
      <c r="AD556" s="4"/>
      <c r="AE556" s="4"/>
      <c r="AF556" s="4"/>
      <c r="AG556" s="4"/>
      <c r="AH556" s="4">
        <v>0.5</v>
      </c>
      <c r="AI556" s="654"/>
      <c r="AJ556" s="655"/>
      <c r="AK556" s="4"/>
      <c r="AL556" s="4"/>
      <c r="AM556" s="4"/>
      <c r="AN556" s="4"/>
      <c r="AO556" s="4"/>
      <c r="AP556" s="4"/>
      <c r="AQ556" s="4"/>
      <c r="AR556" s="4"/>
      <c r="AS556" s="4"/>
      <c r="AT556" s="4"/>
      <c r="AU556" s="654"/>
      <c r="AV556" s="655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654"/>
      <c r="BH556" s="655"/>
      <c r="BI556" s="4"/>
      <c r="BJ556" s="4"/>
      <c r="BK556" s="4"/>
      <c r="BL556" s="4"/>
      <c r="BM556" s="4"/>
      <c r="BN556" s="4"/>
      <c r="BO556" s="4"/>
      <c r="BP556" s="4"/>
      <c r="BQ556" s="4"/>
      <c r="BR556" s="4"/>
      <c r="BS556" s="654"/>
      <c r="BT556" s="655"/>
      <c r="BU556" s="4"/>
      <c r="BV556" s="4"/>
      <c r="BW556" s="4"/>
      <c r="BX556" s="4"/>
      <c r="BY556" s="4"/>
      <c r="BZ556" s="4"/>
      <c r="CA556" s="4"/>
      <c r="CB556" s="4"/>
      <c r="CC556" s="4"/>
      <c r="CD556" s="4"/>
      <c r="CE556" s="693"/>
      <c r="CF556" s="723"/>
      <c r="CG556" s="4"/>
      <c r="CH556" s="4"/>
      <c r="CI556" s="4"/>
      <c r="CJ556" s="4"/>
      <c r="CK556" s="4"/>
      <c r="CL556" s="4"/>
      <c r="CM556" s="4"/>
      <c r="CN556" s="4"/>
      <c r="CO556" s="4"/>
      <c r="CP556" s="4">
        <v>118</v>
      </c>
      <c r="CQ556" s="654"/>
      <c r="CR556" s="655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654"/>
      <c r="DD556" s="655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654"/>
      <c r="DP556" s="655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654"/>
      <c r="EB556" s="655"/>
      <c r="EC556" s="4"/>
      <c r="ED556" s="4"/>
      <c r="EE556" s="4"/>
      <c r="EF556" s="4"/>
      <c r="EG556" s="4"/>
      <c r="EH556" s="4"/>
      <c r="EI556" s="4"/>
      <c r="EJ556" s="4"/>
      <c r="EK556" s="4"/>
      <c r="EL556" s="4"/>
      <c r="EM556" s="693"/>
      <c r="EN556" s="723"/>
      <c r="EO556" s="4"/>
      <c r="EP556" s="4"/>
      <c r="EQ556" s="4"/>
      <c r="ER556" s="4"/>
      <c r="ES556" s="4"/>
      <c r="ET556" s="4"/>
      <c r="EU556" s="4"/>
      <c r="EV556" s="4"/>
      <c r="EW556" s="4"/>
      <c r="EX556" s="4">
        <v>118</v>
      </c>
      <c r="EY556" s="654"/>
      <c r="EZ556" s="655"/>
      <c r="FA556" s="4"/>
      <c r="FB556" s="4"/>
      <c r="FC556" s="4"/>
      <c r="FD556" s="4"/>
      <c r="FE556" s="4"/>
      <c r="FF556" s="4"/>
      <c r="FG556" s="4"/>
      <c r="FH556" s="4"/>
      <c r="FI556" s="4"/>
      <c r="FJ556" s="4"/>
      <c r="FK556" s="654"/>
      <c r="FL556" s="655"/>
      <c r="FM556" s="4"/>
      <c r="FN556" s="4"/>
      <c r="FO556" s="4"/>
      <c r="FP556" s="4"/>
      <c r="FQ556" s="4"/>
      <c r="FR556" s="4"/>
      <c r="FS556" s="4"/>
      <c r="FT556" s="4"/>
      <c r="FU556" s="4"/>
      <c r="FV556" s="4"/>
      <c r="FW556" s="654"/>
      <c r="FX556" s="655"/>
      <c r="FY556" s="4"/>
      <c r="FZ556" s="4"/>
      <c r="GA556" s="4"/>
      <c r="GB556" s="4"/>
      <c r="GC556" s="4"/>
      <c r="GD556" s="4"/>
      <c r="GE556" s="4"/>
      <c r="GF556" s="4"/>
      <c r="GG556" s="4"/>
      <c r="GH556" s="4"/>
      <c r="GI556" s="654"/>
      <c r="GJ556" s="655"/>
      <c r="GK556" s="4"/>
      <c r="GL556" s="4"/>
      <c r="GM556" s="4"/>
      <c r="GN556" s="4"/>
      <c r="GO556" s="4"/>
      <c r="GP556" s="4"/>
      <c r="GQ556" s="4"/>
      <c r="GR556" s="4"/>
      <c r="GS556" s="4"/>
      <c r="GT556" s="4"/>
      <c r="GU556" s="722"/>
      <c r="GV556" s="715"/>
    </row>
    <row r="557" spans="1:204" x14ac:dyDescent="0.25">
      <c r="A557" t="s">
        <v>2035</v>
      </c>
      <c r="B557" s="2" t="s">
        <v>358</v>
      </c>
      <c r="C557" s="619">
        <v>44763</v>
      </c>
      <c r="D557" s="2" t="s">
        <v>2027</v>
      </c>
      <c r="E557" t="s">
        <v>59</v>
      </c>
      <c r="F557" s="2" t="s">
        <v>43</v>
      </c>
      <c r="G557" t="s">
        <v>40</v>
      </c>
      <c r="H557" s="690" t="s">
        <v>85</v>
      </c>
      <c r="I557" s="691" t="s">
        <v>43</v>
      </c>
      <c r="J557" s="721">
        <v>3780401000108</v>
      </c>
      <c r="K557" s="691" t="s">
        <v>404</v>
      </c>
      <c r="L557" s="721">
        <v>18384740000134</v>
      </c>
      <c r="M557" s="718" t="s">
        <v>3</v>
      </c>
      <c r="N557" s="717" t="s">
        <v>44</v>
      </c>
      <c r="O557" s="719">
        <v>44866</v>
      </c>
      <c r="P557" s="720">
        <v>44895</v>
      </c>
      <c r="Q557" s="718">
        <v>117</v>
      </c>
      <c r="R557" s="717">
        <v>3</v>
      </c>
      <c r="S557" s="691" t="s">
        <v>54</v>
      </c>
      <c r="T557" t="s">
        <v>358</v>
      </c>
      <c r="U557" s="673" t="s">
        <v>358</v>
      </c>
      <c r="V557" s="690" t="s">
        <v>358</v>
      </c>
      <c r="W557" s="657" t="s">
        <v>214</v>
      </c>
      <c r="X557" s="723"/>
      <c r="Y557" s="4"/>
      <c r="Z557" s="4"/>
      <c r="AA557" s="4"/>
      <c r="AB557" s="4"/>
      <c r="AC557" s="4"/>
      <c r="AD557" s="4"/>
      <c r="AE557" s="4"/>
      <c r="AF557" s="4"/>
      <c r="AG557" s="4"/>
      <c r="AH557" s="4">
        <v>3</v>
      </c>
      <c r="AI557" s="654"/>
      <c r="AJ557" s="655"/>
      <c r="AK557" s="4"/>
      <c r="AL557" s="4"/>
      <c r="AM557" s="4"/>
      <c r="AN557" s="4"/>
      <c r="AO557" s="4"/>
      <c r="AP557" s="4"/>
      <c r="AQ557" s="4"/>
      <c r="AR557" s="4"/>
      <c r="AS557" s="4"/>
      <c r="AT557" s="4"/>
      <c r="AU557" s="654"/>
      <c r="AV557" s="655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654"/>
      <c r="BH557" s="655"/>
      <c r="BI557" s="4"/>
      <c r="BJ557" s="4"/>
      <c r="BK557" s="4"/>
      <c r="BL557" s="4"/>
      <c r="BM557" s="4"/>
      <c r="BN557" s="4"/>
      <c r="BO557" s="4"/>
      <c r="BP557" s="4"/>
      <c r="BQ557" s="4"/>
      <c r="BR557" s="4"/>
      <c r="BS557" s="654"/>
      <c r="BT557" s="655"/>
      <c r="BU557" s="4"/>
      <c r="BV557" s="4"/>
      <c r="BW557" s="4"/>
      <c r="BX557" s="4"/>
      <c r="BY557" s="4"/>
      <c r="BZ557" s="4"/>
      <c r="CA557" s="4"/>
      <c r="CB557" s="4"/>
      <c r="CC557" s="4"/>
      <c r="CD557" s="4"/>
      <c r="CE557" s="693"/>
      <c r="CF557" s="723"/>
      <c r="CG557" s="4"/>
      <c r="CH557" s="4"/>
      <c r="CI557" s="4"/>
      <c r="CJ557" s="4"/>
      <c r="CK557" s="4"/>
      <c r="CL557" s="4"/>
      <c r="CM557" s="4"/>
      <c r="CN557" s="4"/>
      <c r="CO557" s="4"/>
      <c r="CP557" s="4">
        <v>117</v>
      </c>
      <c r="CQ557" s="654"/>
      <c r="CR557" s="655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654"/>
      <c r="DD557" s="655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654"/>
      <c r="DP557" s="655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654"/>
      <c r="EB557" s="655"/>
      <c r="EC557" s="4"/>
      <c r="ED557" s="4"/>
      <c r="EE557" s="4"/>
      <c r="EF557" s="4"/>
      <c r="EG557" s="4"/>
      <c r="EH557" s="4"/>
      <c r="EI557" s="4"/>
      <c r="EJ557" s="4"/>
      <c r="EK557" s="4"/>
      <c r="EL557" s="4"/>
      <c r="EM557" s="693"/>
      <c r="EN557" s="723"/>
      <c r="EO557" s="4"/>
      <c r="EP557" s="4"/>
      <c r="EQ557" s="4"/>
      <c r="ER557" s="4"/>
      <c r="ES557" s="4"/>
      <c r="ET557" s="4"/>
      <c r="EU557" s="4"/>
      <c r="EV557" s="4"/>
      <c r="EW557" s="4"/>
      <c r="EX557" s="4">
        <v>117</v>
      </c>
      <c r="EY557" s="654"/>
      <c r="EZ557" s="655"/>
      <c r="FA557" s="4"/>
      <c r="FB557" s="4"/>
      <c r="FC557" s="4"/>
      <c r="FD557" s="4"/>
      <c r="FE557" s="4"/>
      <c r="FF557" s="4"/>
      <c r="FG557" s="4"/>
      <c r="FH557" s="4"/>
      <c r="FI557" s="4"/>
      <c r="FJ557" s="4"/>
      <c r="FK557" s="654"/>
      <c r="FL557" s="655"/>
      <c r="FM557" s="4"/>
      <c r="FN557" s="4"/>
      <c r="FO557" s="4"/>
      <c r="FP557" s="4"/>
      <c r="FQ557" s="4"/>
      <c r="FR557" s="4"/>
      <c r="FS557" s="4"/>
      <c r="FT557" s="4"/>
      <c r="FU557" s="4"/>
      <c r="FV557" s="4"/>
      <c r="FW557" s="654"/>
      <c r="FX557" s="655"/>
      <c r="FY557" s="4"/>
      <c r="FZ557" s="4"/>
      <c r="GA557" s="4"/>
      <c r="GB557" s="4"/>
      <c r="GC557" s="4"/>
      <c r="GD557" s="4"/>
      <c r="GE557" s="4"/>
      <c r="GF557" s="4"/>
      <c r="GG557" s="4"/>
      <c r="GH557" s="4"/>
      <c r="GI557" s="654"/>
      <c r="GJ557" s="655"/>
      <c r="GK557" s="4"/>
      <c r="GL557" s="4"/>
      <c r="GM557" s="4"/>
      <c r="GN557" s="4"/>
      <c r="GO557" s="4"/>
      <c r="GP557" s="4"/>
      <c r="GQ557" s="4"/>
      <c r="GR557" s="4"/>
      <c r="GS557" s="4"/>
      <c r="GT557" s="4"/>
      <c r="GU557" s="722"/>
      <c r="GV557" s="715"/>
    </row>
    <row r="558" spans="1:204" x14ac:dyDescent="0.25">
      <c r="A558" t="s">
        <v>2036</v>
      </c>
      <c r="B558" s="2" t="s">
        <v>358</v>
      </c>
      <c r="C558" s="619">
        <v>44763</v>
      </c>
      <c r="D558" s="2" t="s">
        <v>2028</v>
      </c>
      <c r="E558" t="s">
        <v>59</v>
      </c>
      <c r="F558" s="2" t="s">
        <v>43</v>
      </c>
      <c r="G558" t="s">
        <v>40</v>
      </c>
      <c r="H558" s="690" t="s">
        <v>85</v>
      </c>
      <c r="I558" s="691" t="s">
        <v>43</v>
      </c>
      <c r="J558" s="721">
        <v>3780401000108</v>
      </c>
      <c r="K558" s="691" t="s">
        <v>531</v>
      </c>
      <c r="L558" s="721">
        <v>31102147000116</v>
      </c>
      <c r="M558" s="718" t="s">
        <v>3</v>
      </c>
      <c r="N558" s="717" t="s">
        <v>44</v>
      </c>
      <c r="O558" s="719">
        <v>44896</v>
      </c>
      <c r="P558" s="720">
        <v>44926</v>
      </c>
      <c r="Q558" s="718">
        <v>110</v>
      </c>
      <c r="R558" s="717">
        <v>2</v>
      </c>
      <c r="S558" s="691" t="s">
        <v>54</v>
      </c>
      <c r="T558" t="s">
        <v>358</v>
      </c>
      <c r="U558" s="673" t="s">
        <v>358</v>
      </c>
      <c r="V558" s="690" t="s">
        <v>358</v>
      </c>
      <c r="W558" s="657" t="s">
        <v>214</v>
      </c>
      <c r="X558" s="723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654">
        <v>2</v>
      </c>
      <c r="AJ558" s="655"/>
      <c r="AK558" s="4"/>
      <c r="AL558" s="4"/>
      <c r="AM558" s="4"/>
      <c r="AN558" s="4"/>
      <c r="AO558" s="4"/>
      <c r="AP558" s="4"/>
      <c r="AQ558" s="4"/>
      <c r="AR558" s="4"/>
      <c r="AS558" s="4"/>
      <c r="AT558" s="4"/>
      <c r="AU558" s="654"/>
      <c r="AV558" s="655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654"/>
      <c r="BH558" s="655"/>
      <c r="BI558" s="4"/>
      <c r="BJ558" s="4"/>
      <c r="BK558" s="4"/>
      <c r="BL558" s="4"/>
      <c r="BM558" s="4"/>
      <c r="BN558" s="4"/>
      <c r="BO558" s="4"/>
      <c r="BP558" s="4"/>
      <c r="BQ558" s="4"/>
      <c r="BR558" s="4"/>
      <c r="BS558" s="654"/>
      <c r="BT558" s="655"/>
      <c r="BU558" s="4"/>
      <c r="BV558" s="4"/>
      <c r="BW558" s="4"/>
      <c r="BX558" s="4"/>
      <c r="BY558" s="4"/>
      <c r="BZ558" s="4"/>
      <c r="CA558" s="4"/>
      <c r="CB558" s="4"/>
      <c r="CC558" s="4"/>
      <c r="CD558" s="4"/>
      <c r="CE558" s="693"/>
      <c r="CF558" s="723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654">
        <v>110</v>
      </c>
      <c r="CR558" s="655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654"/>
      <c r="DD558" s="655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654"/>
      <c r="DP558" s="655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654"/>
      <c r="EB558" s="655"/>
      <c r="EC558" s="4"/>
      <c r="ED558" s="4"/>
      <c r="EE558" s="4"/>
      <c r="EF558" s="4"/>
      <c r="EG558" s="4"/>
      <c r="EH558" s="4"/>
      <c r="EI558" s="4"/>
      <c r="EJ558" s="4"/>
      <c r="EK558" s="4"/>
      <c r="EL558" s="4"/>
      <c r="EM558" s="693"/>
      <c r="EN558" s="723"/>
      <c r="EO558" s="4"/>
      <c r="EP558" s="4"/>
      <c r="EQ558" s="4"/>
      <c r="ER558" s="4"/>
      <c r="ES558" s="4"/>
      <c r="ET558" s="4"/>
      <c r="EU558" s="4"/>
      <c r="EV558" s="4"/>
      <c r="EW558" s="4"/>
      <c r="EX558" s="4"/>
      <c r="EY558" s="654">
        <v>110</v>
      </c>
      <c r="EZ558" s="655"/>
      <c r="FA558" s="4"/>
      <c r="FB558" s="4"/>
      <c r="FC558" s="4"/>
      <c r="FD558" s="4"/>
      <c r="FE558" s="4"/>
      <c r="FF558" s="4"/>
      <c r="FG558" s="4"/>
      <c r="FH558" s="4"/>
      <c r="FI558" s="4"/>
      <c r="FJ558" s="4"/>
      <c r="FK558" s="654"/>
      <c r="FL558" s="655"/>
      <c r="FM558" s="4"/>
      <c r="FN558" s="4"/>
      <c r="FO558" s="4"/>
      <c r="FP558" s="4"/>
      <c r="FQ558" s="4"/>
      <c r="FR558" s="4"/>
      <c r="FS558" s="4"/>
      <c r="FT558" s="4"/>
      <c r="FU558" s="4"/>
      <c r="FV558" s="4"/>
      <c r="FW558" s="654"/>
      <c r="FX558" s="655"/>
      <c r="FY558" s="4"/>
      <c r="FZ558" s="4"/>
      <c r="GA558" s="4"/>
      <c r="GB558" s="4"/>
      <c r="GC558" s="4"/>
      <c r="GD558" s="4"/>
      <c r="GE558" s="4"/>
      <c r="GF558" s="4"/>
      <c r="GG558" s="4"/>
      <c r="GH558" s="4"/>
      <c r="GI558" s="654"/>
      <c r="GJ558" s="655"/>
      <c r="GK558" s="4"/>
      <c r="GL558" s="4"/>
      <c r="GM558" s="4"/>
      <c r="GN558" s="4"/>
      <c r="GO558" s="4"/>
      <c r="GP558" s="4"/>
      <c r="GQ558" s="4"/>
      <c r="GR558" s="4"/>
      <c r="GS558" s="4"/>
      <c r="GT558" s="4"/>
      <c r="GU558" s="722"/>
      <c r="GV558" s="715"/>
    </row>
    <row r="559" spans="1:204" x14ac:dyDescent="0.25">
      <c r="A559" t="s">
        <v>2038</v>
      </c>
      <c r="B559" s="2" t="s">
        <v>2037</v>
      </c>
      <c r="C559" s="619">
        <v>44763</v>
      </c>
      <c r="D559" s="2" t="s">
        <v>2029</v>
      </c>
      <c r="E559" t="s">
        <v>58</v>
      </c>
      <c r="F559" s="2" t="s">
        <v>43</v>
      </c>
      <c r="G559" t="s">
        <v>40</v>
      </c>
      <c r="H559" s="690" t="s">
        <v>84</v>
      </c>
      <c r="I559" s="691" t="s">
        <v>1919</v>
      </c>
      <c r="J559" s="721">
        <v>2016507000169</v>
      </c>
      <c r="K559" s="691" t="s">
        <v>43</v>
      </c>
      <c r="L559" s="721">
        <v>3780401000108</v>
      </c>
      <c r="M559" s="718" t="s">
        <v>5</v>
      </c>
      <c r="N559" s="717" t="s">
        <v>44</v>
      </c>
      <c r="O559" s="719">
        <v>44743</v>
      </c>
      <c r="P559" s="720">
        <v>44773</v>
      </c>
      <c r="Q559" s="718">
        <v>95</v>
      </c>
      <c r="R559" s="717">
        <v>5</v>
      </c>
      <c r="S559" s="691" t="s">
        <v>54</v>
      </c>
      <c r="T559" t="s">
        <v>358</v>
      </c>
      <c r="U559" s="673" t="s">
        <v>358</v>
      </c>
      <c r="V559" s="690" t="s">
        <v>358</v>
      </c>
      <c r="W559" s="657" t="s">
        <v>329</v>
      </c>
      <c r="X559" s="723"/>
      <c r="Y559" s="4"/>
      <c r="Z559" s="4"/>
      <c r="AA559" s="4"/>
      <c r="AB559" s="4"/>
      <c r="AC559" s="4"/>
      <c r="AD559" s="4">
        <v>5</v>
      </c>
      <c r="AE559" s="4"/>
      <c r="AF559" s="4"/>
      <c r="AG559" s="4"/>
      <c r="AH559" s="4"/>
      <c r="AI559" s="654"/>
      <c r="AJ559" s="655"/>
      <c r="AK559" s="4"/>
      <c r="AL559" s="4"/>
      <c r="AM559" s="4"/>
      <c r="AN559" s="4"/>
      <c r="AO559" s="4"/>
      <c r="AP559" s="4"/>
      <c r="AQ559" s="4"/>
      <c r="AR559" s="4"/>
      <c r="AS559" s="4"/>
      <c r="AT559" s="4"/>
      <c r="AU559" s="654"/>
      <c r="AV559" s="655"/>
      <c r="AW559" s="4"/>
      <c r="AX559" s="4"/>
      <c r="AY559" s="4"/>
      <c r="AZ559" s="4"/>
      <c r="BA559" s="4"/>
      <c r="BB559" s="4"/>
      <c r="BC559" s="4"/>
      <c r="BD559" s="4"/>
      <c r="BE559" s="4"/>
      <c r="BF559" s="4"/>
      <c r="BG559" s="654"/>
      <c r="BH559" s="655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654"/>
      <c r="BT559" s="655"/>
      <c r="BU559" s="4"/>
      <c r="BV559" s="4"/>
      <c r="BW559" s="4"/>
      <c r="BX559" s="4"/>
      <c r="BY559" s="4"/>
      <c r="BZ559" s="4"/>
      <c r="CA559" s="4"/>
      <c r="CB559" s="4"/>
      <c r="CC559" s="4"/>
      <c r="CD559" s="4"/>
      <c r="CE559" s="693"/>
      <c r="CF559" s="723"/>
      <c r="CG559" s="4"/>
      <c r="CH559" s="4"/>
      <c r="CI559" s="4"/>
      <c r="CJ559" s="4"/>
      <c r="CK559" s="4"/>
      <c r="CL559" s="4">
        <v>95</v>
      </c>
      <c r="CM559" s="4"/>
      <c r="CN559" s="4"/>
      <c r="CO559" s="4"/>
      <c r="CP559" s="4"/>
      <c r="CQ559" s="654"/>
      <c r="CR559" s="655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654"/>
      <c r="DD559" s="655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654"/>
      <c r="DP559" s="655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654"/>
      <c r="EB559" s="655"/>
      <c r="EC559" s="4"/>
      <c r="ED559" s="4"/>
      <c r="EE559" s="4"/>
      <c r="EF559" s="4"/>
      <c r="EG559" s="4"/>
      <c r="EH559" s="4"/>
      <c r="EI559" s="4"/>
      <c r="EJ559" s="4"/>
      <c r="EK559" s="4"/>
      <c r="EL559" s="4"/>
      <c r="EM559" s="693"/>
      <c r="EN559" s="723"/>
      <c r="EO559" s="4"/>
      <c r="EP559" s="4"/>
      <c r="EQ559" s="4"/>
      <c r="ER559" s="4"/>
      <c r="ES559" s="4"/>
      <c r="ET559" s="4">
        <v>95</v>
      </c>
      <c r="EU559" s="4"/>
      <c r="EV559" s="4"/>
      <c r="EW559" s="4"/>
      <c r="EX559" s="4"/>
      <c r="EY559" s="654"/>
      <c r="EZ559" s="655"/>
      <c r="FA559" s="4"/>
      <c r="FB559" s="4"/>
      <c r="FC559" s="4"/>
      <c r="FD559" s="4"/>
      <c r="FE559" s="4"/>
      <c r="FF559" s="4"/>
      <c r="FG559" s="4"/>
      <c r="FH559" s="4"/>
      <c r="FI559" s="4"/>
      <c r="FJ559" s="4"/>
      <c r="FK559" s="654"/>
      <c r="FL559" s="655"/>
      <c r="FM559" s="4"/>
      <c r="FN559" s="4"/>
      <c r="FO559" s="4"/>
      <c r="FP559" s="4"/>
      <c r="FQ559" s="4"/>
      <c r="FR559" s="4"/>
      <c r="FS559" s="4"/>
      <c r="FT559" s="4"/>
      <c r="FU559" s="4"/>
      <c r="FV559" s="4"/>
      <c r="FW559" s="654"/>
      <c r="FX559" s="655"/>
      <c r="FY559" s="4"/>
      <c r="FZ559" s="4"/>
      <c r="GA559" s="4"/>
      <c r="GB559" s="4"/>
      <c r="GC559" s="4"/>
      <c r="GD559" s="4"/>
      <c r="GE559" s="4"/>
      <c r="GF559" s="4"/>
      <c r="GG559" s="4"/>
      <c r="GH559" s="4"/>
      <c r="GI559" s="654"/>
      <c r="GJ559" s="655"/>
      <c r="GK559" s="4"/>
      <c r="GL559" s="4"/>
      <c r="GM559" s="4"/>
      <c r="GN559" s="4"/>
      <c r="GO559" s="4"/>
      <c r="GP559" s="4"/>
      <c r="GQ559" s="4"/>
      <c r="GR559" s="4"/>
      <c r="GS559" s="4"/>
      <c r="GT559" s="4"/>
      <c r="GU559" s="722"/>
      <c r="GV559" s="715"/>
    </row>
    <row r="560" spans="1:204" x14ac:dyDescent="0.25">
      <c r="A560" t="s">
        <v>2041</v>
      </c>
      <c r="B560" s="2" t="s">
        <v>2040</v>
      </c>
      <c r="C560" s="619">
        <v>44764</v>
      </c>
      <c r="D560" s="2" t="s">
        <v>2039</v>
      </c>
      <c r="E560" t="s">
        <v>58</v>
      </c>
      <c r="F560" s="2" t="s">
        <v>43</v>
      </c>
      <c r="G560" t="s">
        <v>40</v>
      </c>
      <c r="H560" s="690" t="s">
        <v>84</v>
      </c>
      <c r="I560" s="691" t="s">
        <v>585</v>
      </c>
      <c r="J560" s="721">
        <v>33933760000100</v>
      </c>
      <c r="K560" s="691" t="s">
        <v>43</v>
      </c>
      <c r="L560" s="721">
        <v>3780401000108</v>
      </c>
      <c r="M560" s="718" t="s">
        <v>3</v>
      </c>
      <c r="N560" s="717" t="s">
        <v>44</v>
      </c>
      <c r="O560" s="719">
        <v>44743</v>
      </c>
      <c r="P560" s="720">
        <v>44773</v>
      </c>
      <c r="Q560" s="718">
        <v>65.5</v>
      </c>
      <c r="R560" s="717">
        <v>15.4</v>
      </c>
      <c r="S560" s="691" t="s">
        <v>54</v>
      </c>
      <c r="T560" t="s">
        <v>358</v>
      </c>
      <c r="U560" s="673" t="s">
        <v>358</v>
      </c>
      <c r="V560" s="690" t="s">
        <v>358</v>
      </c>
      <c r="W560" s="657" t="s">
        <v>329</v>
      </c>
      <c r="X560" s="723"/>
      <c r="Y560" s="4"/>
      <c r="Z560" s="4"/>
      <c r="AA560" s="4"/>
      <c r="AB560" s="4"/>
      <c r="AC560" s="4"/>
      <c r="AD560" s="4">
        <v>15.4</v>
      </c>
      <c r="AE560" s="4"/>
      <c r="AF560" s="4"/>
      <c r="AG560" s="4"/>
      <c r="AH560" s="4"/>
      <c r="AI560" s="654"/>
      <c r="AJ560" s="655"/>
      <c r="AK560" s="4"/>
      <c r="AL560" s="4"/>
      <c r="AM560" s="4"/>
      <c r="AN560" s="4"/>
      <c r="AO560" s="4"/>
      <c r="AP560" s="4"/>
      <c r="AQ560" s="4"/>
      <c r="AR560" s="4"/>
      <c r="AS560" s="4"/>
      <c r="AT560" s="4"/>
      <c r="AU560" s="654"/>
      <c r="AV560" s="655"/>
      <c r="AW560" s="4"/>
      <c r="AX560" s="4"/>
      <c r="AY560" s="4"/>
      <c r="AZ560" s="4"/>
      <c r="BA560" s="4"/>
      <c r="BB560" s="4"/>
      <c r="BC560" s="4"/>
      <c r="BD560" s="4"/>
      <c r="BE560" s="4"/>
      <c r="BF560" s="4"/>
      <c r="BG560" s="654"/>
      <c r="BH560" s="655"/>
      <c r="BI560" s="4"/>
      <c r="BJ560" s="4"/>
      <c r="BK560" s="4"/>
      <c r="BL560" s="4"/>
      <c r="BM560" s="4"/>
      <c r="BN560" s="4"/>
      <c r="BO560" s="4"/>
      <c r="BP560" s="4"/>
      <c r="BQ560" s="4"/>
      <c r="BR560" s="4"/>
      <c r="BS560" s="654"/>
      <c r="BT560" s="655"/>
      <c r="BU560" s="4"/>
      <c r="BV560" s="4"/>
      <c r="BW560" s="4"/>
      <c r="BX560" s="4"/>
      <c r="BY560" s="4"/>
      <c r="BZ560" s="4"/>
      <c r="CA560" s="4"/>
      <c r="CB560" s="4"/>
      <c r="CC560" s="4"/>
      <c r="CD560" s="4"/>
      <c r="CE560" s="693"/>
      <c r="CF560" s="723"/>
      <c r="CG560" s="4"/>
      <c r="CH560" s="4"/>
      <c r="CI560" s="4"/>
      <c r="CJ560" s="4"/>
      <c r="CK560" s="4"/>
      <c r="CL560" s="4">
        <v>65.5</v>
      </c>
      <c r="CM560" s="4"/>
      <c r="CN560" s="4"/>
      <c r="CO560" s="4"/>
      <c r="CP560" s="4"/>
      <c r="CQ560" s="654"/>
      <c r="CR560" s="655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654"/>
      <c r="DD560" s="655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654"/>
      <c r="DP560" s="655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654"/>
      <c r="EB560" s="655"/>
      <c r="EC560" s="4"/>
      <c r="ED560" s="4"/>
      <c r="EE560" s="4"/>
      <c r="EF560" s="4"/>
      <c r="EG560" s="4"/>
      <c r="EH560" s="4"/>
      <c r="EI560" s="4"/>
      <c r="EJ560" s="4"/>
      <c r="EK560" s="4"/>
      <c r="EL560" s="4"/>
      <c r="EM560" s="693"/>
      <c r="EN560" s="723"/>
      <c r="EO560" s="4"/>
      <c r="EP560" s="4"/>
      <c r="EQ560" s="4"/>
      <c r="ER560" s="4"/>
      <c r="ES560" s="4"/>
      <c r="ET560" s="4">
        <v>65.5</v>
      </c>
      <c r="EU560" s="4"/>
      <c r="EV560" s="4"/>
      <c r="EW560" s="4"/>
      <c r="EX560" s="4"/>
      <c r="EY560" s="654"/>
      <c r="EZ560" s="655"/>
      <c r="FA560" s="4"/>
      <c r="FB560" s="4"/>
      <c r="FC560" s="4"/>
      <c r="FD560" s="4"/>
      <c r="FE560" s="4"/>
      <c r="FF560" s="4"/>
      <c r="FG560" s="4"/>
      <c r="FH560" s="4"/>
      <c r="FI560" s="4"/>
      <c r="FJ560" s="4"/>
      <c r="FK560" s="654"/>
      <c r="FL560" s="655"/>
      <c r="FM560" s="4"/>
      <c r="FN560" s="4"/>
      <c r="FO560" s="4"/>
      <c r="FP560" s="4"/>
      <c r="FQ560" s="4"/>
      <c r="FR560" s="4"/>
      <c r="FS560" s="4"/>
      <c r="FT560" s="4"/>
      <c r="FU560" s="4"/>
      <c r="FV560" s="4"/>
      <c r="FW560" s="654"/>
      <c r="FX560" s="655"/>
      <c r="FY560" s="4"/>
      <c r="FZ560" s="4"/>
      <c r="GA560" s="4"/>
      <c r="GB560" s="4"/>
      <c r="GC560" s="4"/>
      <c r="GD560" s="4"/>
      <c r="GE560" s="4"/>
      <c r="GF560" s="4"/>
      <c r="GG560" s="4"/>
      <c r="GH560" s="4"/>
      <c r="GI560" s="654"/>
      <c r="GJ560" s="655"/>
      <c r="GK560" s="4"/>
      <c r="GL560" s="4"/>
      <c r="GM560" s="4"/>
      <c r="GN560" s="4"/>
      <c r="GO560" s="4"/>
      <c r="GP560" s="4"/>
      <c r="GQ560" s="4"/>
      <c r="GR560" s="4"/>
      <c r="GS560" s="4"/>
      <c r="GT560" s="4"/>
      <c r="GU560" s="722"/>
      <c r="GV560" s="715"/>
    </row>
    <row r="561" spans="1:204" x14ac:dyDescent="0.25">
      <c r="A561" t="s">
        <v>2043</v>
      </c>
      <c r="B561" s="2" t="s">
        <v>358</v>
      </c>
      <c r="C561" s="619">
        <v>44767</v>
      </c>
      <c r="D561" s="2" t="s">
        <v>2042</v>
      </c>
      <c r="E561" t="s">
        <v>58</v>
      </c>
      <c r="F561" s="2" t="s">
        <v>43</v>
      </c>
      <c r="G561" t="s">
        <v>40</v>
      </c>
      <c r="H561" s="690" t="s">
        <v>84</v>
      </c>
      <c r="I561" s="691" t="s">
        <v>474</v>
      </c>
      <c r="J561" s="721">
        <v>30483222000173</v>
      </c>
      <c r="K561" s="691" t="s">
        <v>43</v>
      </c>
      <c r="L561" s="721">
        <v>3780401000108</v>
      </c>
      <c r="M561" s="718" t="s">
        <v>3</v>
      </c>
      <c r="N561" s="717" t="s">
        <v>44</v>
      </c>
      <c r="O561" s="719">
        <v>44774</v>
      </c>
      <c r="P561" s="720">
        <v>44804</v>
      </c>
      <c r="Q561" s="718">
        <v>97</v>
      </c>
      <c r="R561" s="717">
        <v>5</v>
      </c>
      <c r="S561" s="691" t="s">
        <v>54</v>
      </c>
      <c r="T561" t="s">
        <v>358</v>
      </c>
      <c r="U561" s="673" t="s">
        <v>358</v>
      </c>
      <c r="V561" s="690" t="s">
        <v>358</v>
      </c>
      <c r="W561" s="657" t="s">
        <v>214</v>
      </c>
      <c r="X561" s="723"/>
      <c r="Y561" s="4"/>
      <c r="Z561" s="4"/>
      <c r="AA561" s="4"/>
      <c r="AB561" s="4"/>
      <c r="AC561" s="4"/>
      <c r="AD561" s="4"/>
      <c r="AE561" s="4">
        <v>5</v>
      </c>
      <c r="AF561" s="4"/>
      <c r="AG561" s="4"/>
      <c r="AH561" s="4"/>
      <c r="AI561" s="654"/>
      <c r="AJ561" s="655"/>
      <c r="AK561" s="4"/>
      <c r="AL561" s="4"/>
      <c r="AM561" s="4"/>
      <c r="AN561" s="4"/>
      <c r="AO561" s="4"/>
      <c r="AP561" s="4"/>
      <c r="AQ561" s="4"/>
      <c r="AR561" s="4"/>
      <c r="AS561" s="4"/>
      <c r="AT561" s="4"/>
      <c r="AU561" s="654"/>
      <c r="AV561" s="655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654"/>
      <c r="BH561" s="655"/>
      <c r="BI561" s="4"/>
      <c r="BJ561" s="4"/>
      <c r="BK561" s="4"/>
      <c r="BL561" s="4"/>
      <c r="BM561" s="4"/>
      <c r="BN561" s="4"/>
      <c r="BO561" s="4"/>
      <c r="BP561" s="4"/>
      <c r="BQ561" s="4"/>
      <c r="BR561" s="4"/>
      <c r="BS561" s="654"/>
      <c r="BT561" s="655"/>
      <c r="BU561" s="4"/>
      <c r="BV561" s="4"/>
      <c r="BW561" s="4"/>
      <c r="BX561" s="4"/>
      <c r="BY561" s="4"/>
      <c r="BZ561" s="4"/>
      <c r="CA561" s="4"/>
      <c r="CB561" s="4"/>
      <c r="CC561" s="4"/>
      <c r="CD561" s="4"/>
      <c r="CE561" s="693"/>
      <c r="CF561" s="723"/>
      <c r="CG561" s="4"/>
      <c r="CH561" s="4"/>
      <c r="CI561" s="4"/>
      <c r="CJ561" s="4"/>
      <c r="CK561" s="4"/>
      <c r="CL561" s="4"/>
      <c r="CM561" s="4">
        <v>97</v>
      </c>
      <c r="CN561" s="4"/>
      <c r="CO561" s="4"/>
      <c r="CP561" s="4"/>
      <c r="CQ561" s="654"/>
      <c r="CR561" s="655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654"/>
      <c r="DD561" s="655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654"/>
      <c r="DP561" s="655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654"/>
      <c r="EB561" s="655"/>
      <c r="EC561" s="4"/>
      <c r="ED561" s="4"/>
      <c r="EE561" s="4"/>
      <c r="EF561" s="4"/>
      <c r="EG561" s="4"/>
      <c r="EH561" s="4"/>
      <c r="EI561" s="4"/>
      <c r="EJ561" s="4"/>
      <c r="EK561" s="4"/>
      <c r="EL561" s="4"/>
      <c r="EM561" s="693"/>
      <c r="EN561" s="723"/>
      <c r="EO561" s="4"/>
      <c r="EP561" s="4"/>
      <c r="EQ561" s="4"/>
      <c r="ER561" s="4"/>
      <c r="ES561" s="4"/>
      <c r="ET561" s="4"/>
      <c r="EU561" s="4">
        <v>97</v>
      </c>
      <c r="EV561" s="4"/>
      <c r="EW561" s="4"/>
      <c r="EX561" s="4"/>
      <c r="EY561" s="654"/>
      <c r="EZ561" s="655"/>
      <c r="FA561" s="4"/>
      <c r="FB561" s="4"/>
      <c r="FC561" s="4"/>
      <c r="FD561" s="4"/>
      <c r="FE561" s="4"/>
      <c r="FF561" s="4"/>
      <c r="FG561" s="4"/>
      <c r="FH561" s="4"/>
      <c r="FI561" s="4"/>
      <c r="FJ561" s="4"/>
      <c r="FK561" s="654"/>
      <c r="FL561" s="655"/>
      <c r="FM561" s="4"/>
      <c r="FN561" s="4"/>
      <c r="FO561" s="4"/>
      <c r="FP561" s="4"/>
      <c r="FQ561" s="4"/>
      <c r="FR561" s="4"/>
      <c r="FS561" s="4"/>
      <c r="FT561" s="4"/>
      <c r="FU561" s="4"/>
      <c r="FV561" s="4"/>
      <c r="FW561" s="654"/>
      <c r="FX561" s="655"/>
      <c r="FY561" s="4"/>
      <c r="FZ561" s="4"/>
      <c r="GA561" s="4"/>
      <c r="GB561" s="4"/>
      <c r="GC561" s="4"/>
      <c r="GD561" s="4"/>
      <c r="GE561" s="4"/>
      <c r="GF561" s="4"/>
      <c r="GG561" s="4"/>
      <c r="GH561" s="4"/>
      <c r="GI561" s="654"/>
      <c r="GJ561" s="655"/>
      <c r="GK561" s="4"/>
      <c r="GL561" s="4"/>
      <c r="GM561" s="4"/>
      <c r="GN561" s="4"/>
      <c r="GO561" s="4"/>
      <c r="GP561" s="4"/>
      <c r="GQ561" s="4"/>
      <c r="GR561" s="4"/>
      <c r="GS561" s="4"/>
      <c r="GT561" s="4"/>
      <c r="GU561" s="722"/>
      <c r="GV561" s="715"/>
    </row>
    <row r="562" spans="1:204" x14ac:dyDescent="0.25">
      <c r="A562" t="s">
        <v>2053</v>
      </c>
      <c r="B562" s="2" t="s">
        <v>2052</v>
      </c>
      <c r="C562" s="619">
        <v>44769</v>
      </c>
      <c r="D562" s="2" t="s">
        <v>2044</v>
      </c>
      <c r="E562" t="s">
        <v>58</v>
      </c>
      <c r="F562" s="2" t="s">
        <v>43</v>
      </c>
      <c r="G562" t="s">
        <v>40</v>
      </c>
      <c r="H562" s="690" t="s">
        <v>84</v>
      </c>
      <c r="I562" s="691" t="s">
        <v>2050</v>
      </c>
      <c r="J562" s="721">
        <v>33541368000116</v>
      </c>
      <c r="K562" s="691" t="s">
        <v>43</v>
      </c>
      <c r="L562" s="721">
        <v>3780401000108</v>
      </c>
      <c r="M562" s="718" t="s">
        <v>5</v>
      </c>
      <c r="N562" s="717" t="s">
        <v>44</v>
      </c>
      <c r="O562" s="719">
        <v>44743</v>
      </c>
      <c r="P562" s="720">
        <v>44773</v>
      </c>
      <c r="Q562" s="718">
        <v>30</v>
      </c>
      <c r="R562" s="717">
        <v>3</v>
      </c>
      <c r="S562" s="691" t="s">
        <v>92</v>
      </c>
      <c r="T562" t="s">
        <v>358</v>
      </c>
      <c r="U562" s="673" t="s">
        <v>358</v>
      </c>
      <c r="V562" s="690" t="s">
        <v>358</v>
      </c>
      <c r="W562" s="657" t="s">
        <v>329</v>
      </c>
      <c r="X562" s="723"/>
      <c r="Y562" s="4"/>
      <c r="Z562" s="4"/>
      <c r="AA562" s="4"/>
      <c r="AB562" s="4"/>
      <c r="AC562" s="4"/>
      <c r="AD562" s="4">
        <v>3</v>
      </c>
      <c r="AE562" s="4"/>
      <c r="AF562" s="4"/>
      <c r="AG562" s="4"/>
      <c r="AH562" s="4"/>
      <c r="AI562" s="654"/>
      <c r="AJ562" s="655"/>
      <c r="AK562" s="4"/>
      <c r="AL562" s="4"/>
      <c r="AM562" s="4"/>
      <c r="AN562" s="4"/>
      <c r="AO562" s="4"/>
      <c r="AP562" s="4"/>
      <c r="AQ562" s="4"/>
      <c r="AR562" s="4"/>
      <c r="AS562" s="4"/>
      <c r="AT562" s="4"/>
      <c r="AU562" s="654"/>
      <c r="AV562" s="655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654"/>
      <c r="BH562" s="655"/>
      <c r="BI562" s="4"/>
      <c r="BJ562" s="4"/>
      <c r="BK562" s="4"/>
      <c r="BL562" s="4"/>
      <c r="BM562" s="4"/>
      <c r="BN562" s="4"/>
      <c r="BO562" s="4"/>
      <c r="BP562" s="4"/>
      <c r="BQ562" s="4"/>
      <c r="BR562" s="4"/>
      <c r="BS562" s="654"/>
      <c r="BT562" s="655"/>
      <c r="BU562" s="4"/>
      <c r="BV562" s="4"/>
      <c r="BW562" s="4"/>
      <c r="BX562" s="4"/>
      <c r="BY562" s="4"/>
      <c r="BZ562" s="4"/>
      <c r="CA562" s="4"/>
      <c r="CB562" s="4"/>
      <c r="CC562" s="4"/>
      <c r="CD562" s="4"/>
      <c r="CE562" s="693"/>
      <c r="CF562" s="723"/>
      <c r="CG562" s="4"/>
      <c r="CH562" s="4"/>
      <c r="CI562" s="4"/>
      <c r="CJ562" s="4"/>
      <c r="CK562" s="4"/>
      <c r="CL562" s="4">
        <v>30</v>
      </c>
      <c r="CM562" s="4"/>
      <c r="CN562" s="4"/>
      <c r="CO562" s="4"/>
      <c r="CP562" s="4"/>
      <c r="CQ562" s="654"/>
      <c r="CR562" s="655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654"/>
      <c r="DD562" s="655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654"/>
      <c r="DP562" s="655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654"/>
      <c r="EB562" s="655"/>
      <c r="EC562" s="4"/>
      <c r="ED562" s="4"/>
      <c r="EE562" s="4"/>
      <c r="EF562" s="4"/>
      <c r="EG562" s="4"/>
      <c r="EH562" s="4"/>
      <c r="EI562" s="4"/>
      <c r="EJ562" s="4"/>
      <c r="EK562" s="4"/>
      <c r="EL562" s="4"/>
      <c r="EM562" s="693"/>
      <c r="EN562" s="723"/>
      <c r="EO562" s="4"/>
      <c r="EP562" s="4"/>
      <c r="EQ562" s="4"/>
      <c r="ER562" s="4"/>
      <c r="ES562" s="4"/>
      <c r="ET562" s="4">
        <v>96.32</v>
      </c>
      <c r="EU562" s="4"/>
      <c r="EV562" s="4"/>
      <c r="EW562" s="4"/>
      <c r="EX562" s="4"/>
      <c r="EY562" s="654"/>
      <c r="EZ562" s="655"/>
      <c r="FA562" s="4"/>
      <c r="FB562" s="4"/>
      <c r="FC562" s="4"/>
      <c r="FD562" s="4"/>
      <c r="FE562" s="4"/>
      <c r="FF562" s="4"/>
      <c r="FG562" s="4"/>
      <c r="FH562" s="4"/>
      <c r="FI562" s="4"/>
      <c r="FJ562" s="4"/>
      <c r="FK562" s="654"/>
      <c r="FL562" s="655"/>
      <c r="FM562" s="4"/>
      <c r="FN562" s="4"/>
      <c r="FO562" s="4"/>
      <c r="FP562" s="4"/>
      <c r="FQ562" s="4"/>
      <c r="FR562" s="4"/>
      <c r="FS562" s="4"/>
      <c r="FT562" s="4"/>
      <c r="FU562" s="4"/>
      <c r="FV562" s="4"/>
      <c r="FW562" s="654"/>
      <c r="FX562" s="655"/>
      <c r="FY562" s="4"/>
      <c r="FZ562" s="4"/>
      <c r="GA562" s="4"/>
      <c r="GB562" s="4"/>
      <c r="GC562" s="4"/>
      <c r="GD562" s="4"/>
      <c r="GE562" s="4"/>
      <c r="GF562" s="4"/>
      <c r="GG562" s="4"/>
      <c r="GH562" s="4"/>
      <c r="GI562" s="654"/>
      <c r="GJ562" s="655"/>
      <c r="GK562" s="4"/>
      <c r="GL562" s="4"/>
      <c r="GM562" s="4"/>
      <c r="GN562" s="4"/>
      <c r="GO562" s="4"/>
      <c r="GP562" s="4"/>
      <c r="GQ562" s="4"/>
      <c r="GR562" s="4"/>
      <c r="GS562" s="4"/>
      <c r="GT562" s="4"/>
      <c r="GU562" s="722"/>
      <c r="GV562" s="715"/>
    </row>
    <row r="563" spans="1:204" x14ac:dyDescent="0.25">
      <c r="A563" t="s">
        <v>2055</v>
      </c>
      <c r="B563" s="2" t="s">
        <v>2054</v>
      </c>
      <c r="C563" s="619">
        <v>44769</v>
      </c>
      <c r="D563" s="2" t="s">
        <v>2045</v>
      </c>
      <c r="E563" t="s">
        <v>58</v>
      </c>
      <c r="F563" s="2" t="s">
        <v>43</v>
      </c>
      <c r="G563" t="s">
        <v>40</v>
      </c>
      <c r="H563" s="690" t="s">
        <v>84</v>
      </c>
      <c r="I563" s="691" t="s">
        <v>2050</v>
      </c>
      <c r="J563" s="721">
        <v>33541368000116</v>
      </c>
      <c r="K563" s="691" t="s">
        <v>43</v>
      </c>
      <c r="L563" s="721">
        <v>3780401000108</v>
      </c>
      <c r="M563" s="718" t="s">
        <v>5</v>
      </c>
      <c r="N563" s="717" t="s">
        <v>44</v>
      </c>
      <c r="O563" s="719">
        <v>44743</v>
      </c>
      <c r="P563" s="720">
        <v>44773</v>
      </c>
      <c r="Q563" s="718">
        <v>30</v>
      </c>
      <c r="R563" s="717">
        <v>2</v>
      </c>
      <c r="S563" s="691" t="s">
        <v>92</v>
      </c>
      <c r="T563" t="s">
        <v>358</v>
      </c>
      <c r="U563" s="673" t="s">
        <v>358</v>
      </c>
      <c r="V563" s="690" t="s">
        <v>358</v>
      </c>
      <c r="W563" s="657" t="s">
        <v>329</v>
      </c>
      <c r="X563" s="723"/>
      <c r="Y563" s="4"/>
      <c r="Z563" s="4"/>
      <c r="AA563" s="4"/>
      <c r="AB563" s="4"/>
      <c r="AC563" s="4"/>
      <c r="AD563" s="4">
        <v>2</v>
      </c>
      <c r="AE563" s="4"/>
      <c r="AF563" s="4"/>
      <c r="AG563" s="4"/>
      <c r="AH563" s="4"/>
      <c r="AI563" s="654"/>
      <c r="AJ563" s="655"/>
      <c r="AK563" s="4"/>
      <c r="AL563" s="4"/>
      <c r="AM563" s="4"/>
      <c r="AN563" s="4"/>
      <c r="AO563" s="4"/>
      <c r="AP563" s="4"/>
      <c r="AQ563" s="4"/>
      <c r="AR563" s="4"/>
      <c r="AS563" s="4"/>
      <c r="AT563" s="4"/>
      <c r="AU563" s="654"/>
      <c r="AV563" s="655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654"/>
      <c r="BH563" s="655"/>
      <c r="BI563" s="4"/>
      <c r="BJ563" s="4"/>
      <c r="BK563" s="4"/>
      <c r="BL563" s="4"/>
      <c r="BM563" s="4"/>
      <c r="BN563" s="4"/>
      <c r="BO563" s="4"/>
      <c r="BP563" s="4"/>
      <c r="BQ563" s="4"/>
      <c r="BR563" s="4"/>
      <c r="BS563" s="654"/>
      <c r="BT563" s="655"/>
      <c r="BU563" s="4"/>
      <c r="BV563" s="4"/>
      <c r="BW563" s="4"/>
      <c r="BX563" s="4"/>
      <c r="BY563" s="4"/>
      <c r="BZ563" s="4"/>
      <c r="CA563" s="4"/>
      <c r="CB563" s="4"/>
      <c r="CC563" s="4"/>
      <c r="CD563" s="4"/>
      <c r="CE563" s="693"/>
      <c r="CF563" s="723"/>
      <c r="CG563" s="4"/>
      <c r="CH563" s="4"/>
      <c r="CI563" s="4"/>
      <c r="CJ563" s="4"/>
      <c r="CK563" s="4"/>
      <c r="CL563" s="4">
        <v>30</v>
      </c>
      <c r="CM563" s="4"/>
      <c r="CN563" s="4"/>
      <c r="CO563" s="4"/>
      <c r="CP563" s="4"/>
      <c r="CQ563" s="654"/>
      <c r="CR563" s="655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654"/>
      <c r="DD563" s="655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654"/>
      <c r="DP563" s="655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654"/>
      <c r="EB563" s="655"/>
      <c r="EC563" s="4"/>
      <c r="ED563" s="4"/>
      <c r="EE563" s="4"/>
      <c r="EF563" s="4"/>
      <c r="EG563" s="4"/>
      <c r="EH563" s="4"/>
      <c r="EI563" s="4"/>
      <c r="EJ563" s="4"/>
      <c r="EK563" s="4"/>
      <c r="EL563" s="4"/>
      <c r="EM563" s="693"/>
      <c r="EN563" s="723"/>
      <c r="EO563" s="4"/>
      <c r="EP563" s="4"/>
      <c r="EQ563" s="4"/>
      <c r="ER563" s="4"/>
      <c r="ES563" s="4"/>
      <c r="ET563" s="4">
        <v>96.32</v>
      </c>
      <c r="EU563" s="4"/>
      <c r="EV563" s="4"/>
      <c r="EW563" s="4"/>
      <c r="EX563" s="4"/>
      <c r="EY563" s="654"/>
      <c r="EZ563" s="655"/>
      <c r="FA563" s="4"/>
      <c r="FB563" s="4"/>
      <c r="FC563" s="4"/>
      <c r="FD563" s="4"/>
      <c r="FE563" s="4"/>
      <c r="FF563" s="4"/>
      <c r="FG563" s="4"/>
      <c r="FH563" s="4"/>
      <c r="FI563" s="4"/>
      <c r="FJ563" s="4"/>
      <c r="FK563" s="654"/>
      <c r="FL563" s="655"/>
      <c r="FM563" s="4"/>
      <c r="FN563" s="4"/>
      <c r="FO563" s="4"/>
      <c r="FP563" s="4"/>
      <c r="FQ563" s="4"/>
      <c r="FR563" s="4"/>
      <c r="FS563" s="4"/>
      <c r="FT563" s="4"/>
      <c r="FU563" s="4"/>
      <c r="FV563" s="4"/>
      <c r="FW563" s="654"/>
      <c r="FX563" s="655"/>
      <c r="FY563" s="4"/>
      <c r="FZ563" s="4"/>
      <c r="GA563" s="4"/>
      <c r="GB563" s="4"/>
      <c r="GC563" s="4"/>
      <c r="GD563" s="4"/>
      <c r="GE563" s="4"/>
      <c r="GF563" s="4"/>
      <c r="GG563" s="4"/>
      <c r="GH563" s="4"/>
      <c r="GI563" s="654"/>
      <c r="GJ563" s="655"/>
      <c r="GK563" s="4"/>
      <c r="GL563" s="4"/>
      <c r="GM563" s="4"/>
      <c r="GN563" s="4"/>
      <c r="GO563" s="4"/>
      <c r="GP563" s="4"/>
      <c r="GQ563" s="4"/>
      <c r="GR563" s="4"/>
      <c r="GS563" s="4"/>
      <c r="GT563" s="4"/>
      <c r="GU563" s="722"/>
      <c r="GV563" s="715"/>
    </row>
    <row r="564" spans="1:204" x14ac:dyDescent="0.25">
      <c r="A564" t="s">
        <v>2057</v>
      </c>
      <c r="B564" s="2" t="s">
        <v>2056</v>
      </c>
      <c r="C564" s="619">
        <v>44769</v>
      </c>
      <c r="D564" s="2" t="s">
        <v>2046</v>
      </c>
      <c r="E564" t="s">
        <v>58</v>
      </c>
      <c r="F564" s="2" t="s">
        <v>43</v>
      </c>
      <c r="G564" t="s">
        <v>40</v>
      </c>
      <c r="H564" s="690" t="s">
        <v>84</v>
      </c>
      <c r="I564" s="691" t="s">
        <v>1919</v>
      </c>
      <c r="J564" s="721">
        <v>2016507000169</v>
      </c>
      <c r="K564" s="691" t="s">
        <v>43</v>
      </c>
      <c r="L564" s="721">
        <v>3780401000108</v>
      </c>
      <c r="M564" s="718" t="s">
        <v>5</v>
      </c>
      <c r="N564" s="717" t="s">
        <v>44</v>
      </c>
      <c r="O564" s="719">
        <v>44743</v>
      </c>
      <c r="P564" s="720">
        <v>44773</v>
      </c>
      <c r="Q564" s="718">
        <v>95.5</v>
      </c>
      <c r="R564" s="717">
        <v>7</v>
      </c>
      <c r="S564" s="691" t="s">
        <v>54</v>
      </c>
      <c r="T564" t="s">
        <v>358</v>
      </c>
      <c r="U564" s="673" t="s">
        <v>358</v>
      </c>
      <c r="V564" s="690" t="s">
        <v>358</v>
      </c>
      <c r="W564" s="657" t="s">
        <v>329</v>
      </c>
      <c r="X564" s="723"/>
      <c r="Y564" s="4"/>
      <c r="Z564" s="4"/>
      <c r="AA564" s="4"/>
      <c r="AB564" s="4"/>
      <c r="AC564" s="4"/>
      <c r="AD564" s="4">
        <v>7</v>
      </c>
      <c r="AE564" s="4"/>
      <c r="AF564" s="4"/>
      <c r="AG564" s="4"/>
      <c r="AH564" s="4"/>
      <c r="AI564" s="654"/>
      <c r="AJ564" s="655"/>
      <c r="AK564" s="4"/>
      <c r="AL564" s="4"/>
      <c r="AM564" s="4"/>
      <c r="AN564" s="4"/>
      <c r="AO564" s="4"/>
      <c r="AP564" s="4"/>
      <c r="AQ564" s="4"/>
      <c r="AR564" s="4"/>
      <c r="AS564" s="4"/>
      <c r="AT564" s="4"/>
      <c r="AU564" s="654"/>
      <c r="AV564" s="655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654"/>
      <c r="BH564" s="655"/>
      <c r="BI564" s="4"/>
      <c r="BJ564" s="4"/>
      <c r="BK564" s="4"/>
      <c r="BL564" s="4"/>
      <c r="BM564" s="4"/>
      <c r="BN564" s="4"/>
      <c r="BO564" s="4"/>
      <c r="BP564" s="4"/>
      <c r="BQ564" s="4"/>
      <c r="BR564" s="4"/>
      <c r="BS564" s="654"/>
      <c r="BT564" s="655"/>
      <c r="BU564" s="4"/>
      <c r="BV564" s="4"/>
      <c r="BW564" s="4"/>
      <c r="BX564" s="4"/>
      <c r="BY564" s="4"/>
      <c r="BZ564" s="4"/>
      <c r="CA564" s="4"/>
      <c r="CB564" s="4"/>
      <c r="CC564" s="4"/>
      <c r="CD564" s="4"/>
      <c r="CE564" s="693"/>
      <c r="CF564" s="723"/>
      <c r="CG564" s="4"/>
      <c r="CH564" s="4"/>
      <c r="CI564" s="4"/>
      <c r="CJ564" s="4"/>
      <c r="CK564" s="4"/>
      <c r="CL564" s="4">
        <v>95.5</v>
      </c>
      <c r="CM564" s="4"/>
      <c r="CN564" s="4"/>
      <c r="CO564" s="4"/>
      <c r="CP564" s="4"/>
      <c r="CQ564" s="654"/>
      <c r="CR564" s="655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654"/>
      <c r="DD564" s="655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654"/>
      <c r="DP564" s="655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654"/>
      <c r="EB564" s="655"/>
      <c r="EC564" s="4"/>
      <c r="ED564" s="4"/>
      <c r="EE564" s="4"/>
      <c r="EF564" s="4"/>
      <c r="EG564" s="4"/>
      <c r="EH564" s="4"/>
      <c r="EI564" s="4"/>
      <c r="EJ564" s="4"/>
      <c r="EK564" s="4"/>
      <c r="EL564" s="4"/>
      <c r="EM564" s="693"/>
      <c r="EN564" s="723"/>
      <c r="EO564" s="4"/>
      <c r="EP564" s="4"/>
      <c r="EQ564" s="4"/>
      <c r="ER564" s="4"/>
      <c r="ES564" s="4"/>
      <c r="ET564" s="4">
        <v>95.5</v>
      </c>
      <c r="EU564" s="4"/>
      <c r="EV564" s="4"/>
      <c r="EW564" s="4"/>
      <c r="EX564" s="4"/>
      <c r="EY564" s="654"/>
      <c r="EZ564" s="655"/>
      <c r="FA564" s="4"/>
      <c r="FB564" s="4"/>
      <c r="FC564" s="4"/>
      <c r="FD564" s="4"/>
      <c r="FE564" s="4"/>
      <c r="FF564" s="4"/>
      <c r="FG564" s="4"/>
      <c r="FH564" s="4"/>
      <c r="FI564" s="4"/>
      <c r="FJ564" s="4"/>
      <c r="FK564" s="654"/>
      <c r="FL564" s="655"/>
      <c r="FM564" s="4"/>
      <c r="FN564" s="4"/>
      <c r="FO564" s="4"/>
      <c r="FP564" s="4"/>
      <c r="FQ564" s="4"/>
      <c r="FR564" s="4"/>
      <c r="FS564" s="4"/>
      <c r="FT564" s="4"/>
      <c r="FU564" s="4"/>
      <c r="FV564" s="4"/>
      <c r="FW564" s="654"/>
      <c r="FX564" s="655"/>
      <c r="FY564" s="4"/>
      <c r="FZ564" s="4"/>
      <c r="GA564" s="4"/>
      <c r="GB564" s="4"/>
      <c r="GC564" s="4"/>
      <c r="GD564" s="4"/>
      <c r="GE564" s="4"/>
      <c r="GF564" s="4"/>
      <c r="GG564" s="4"/>
      <c r="GH564" s="4"/>
      <c r="GI564" s="654"/>
      <c r="GJ564" s="655"/>
      <c r="GK564" s="4"/>
      <c r="GL564" s="4"/>
      <c r="GM564" s="4"/>
      <c r="GN564" s="4"/>
      <c r="GO564" s="4"/>
      <c r="GP564" s="4"/>
      <c r="GQ564" s="4"/>
      <c r="GR564" s="4"/>
      <c r="GS564" s="4"/>
      <c r="GT564" s="4"/>
      <c r="GU564" s="722"/>
      <c r="GV564" s="715"/>
    </row>
    <row r="565" spans="1:204" x14ac:dyDescent="0.25">
      <c r="A565" t="s">
        <v>2059</v>
      </c>
      <c r="B565" s="2" t="s">
        <v>2058</v>
      </c>
      <c r="C565" s="619">
        <v>44769</v>
      </c>
      <c r="D565" s="2" t="s">
        <v>2047</v>
      </c>
      <c r="E565" t="s">
        <v>58</v>
      </c>
      <c r="F565" s="2" t="s">
        <v>43</v>
      </c>
      <c r="G565" t="s">
        <v>40</v>
      </c>
      <c r="H565" s="690" t="s">
        <v>84</v>
      </c>
      <c r="I565" s="691" t="s">
        <v>2051</v>
      </c>
      <c r="J565" s="721">
        <v>4149295000113</v>
      </c>
      <c r="K565" s="691" t="s">
        <v>43</v>
      </c>
      <c r="L565" s="721">
        <v>3780401000108</v>
      </c>
      <c r="M565" s="718" t="s">
        <v>5</v>
      </c>
      <c r="N565" s="717" t="s">
        <v>44</v>
      </c>
      <c r="O565" s="719">
        <v>44743</v>
      </c>
      <c r="P565" s="720">
        <v>44773</v>
      </c>
      <c r="Q565" s="718">
        <v>30.3</v>
      </c>
      <c r="R565" s="717">
        <v>15</v>
      </c>
      <c r="S565" s="691" t="s">
        <v>92</v>
      </c>
      <c r="T565" t="s">
        <v>358</v>
      </c>
      <c r="U565" s="673" t="s">
        <v>358</v>
      </c>
      <c r="V565" s="690" t="s">
        <v>358</v>
      </c>
      <c r="W565" s="657" t="s">
        <v>329</v>
      </c>
      <c r="X565" s="723"/>
      <c r="Y565" s="4"/>
      <c r="Z565" s="4"/>
      <c r="AA565" s="4"/>
      <c r="AB565" s="4"/>
      <c r="AC565" s="4"/>
      <c r="AD565" s="4">
        <v>15</v>
      </c>
      <c r="AE565" s="4"/>
      <c r="AF565" s="4"/>
      <c r="AG565" s="4"/>
      <c r="AH565" s="4"/>
      <c r="AI565" s="654"/>
      <c r="AJ565" s="655"/>
      <c r="AK565" s="4"/>
      <c r="AL565" s="4"/>
      <c r="AM565" s="4"/>
      <c r="AN565" s="4"/>
      <c r="AO565" s="4"/>
      <c r="AP565" s="4"/>
      <c r="AQ565" s="4"/>
      <c r="AR565" s="4"/>
      <c r="AS565" s="4"/>
      <c r="AT565" s="4"/>
      <c r="AU565" s="654"/>
      <c r="AV565" s="655"/>
      <c r="AW565" s="4"/>
      <c r="AX565" s="4"/>
      <c r="AY565" s="4"/>
      <c r="AZ565" s="4"/>
      <c r="BA565" s="4"/>
      <c r="BB565" s="4"/>
      <c r="BC565" s="4"/>
      <c r="BD565" s="4"/>
      <c r="BE565" s="4"/>
      <c r="BF565" s="4"/>
      <c r="BG565" s="654"/>
      <c r="BH565" s="655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654"/>
      <c r="BT565" s="655"/>
      <c r="BU565" s="4"/>
      <c r="BV565" s="4"/>
      <c r="BW565" s="4"/>
      <c r="BX565" s="4"/>
      <c r="BY565" s="4"/>
      <c r="BZ565" s="4"/>
      <c r="CA565" s="4"/>
      <c r="CB565" s="4"/>
      <c r="CC565" s="4"/>
      <c r="CD565" s="4"/>
      <c r="CE565" s="693"/>
      <c r="CF565" s="723"/>
      <c r="CG565" s="4"/>
      <c r="CH565" s="4"/>
      <c r="CI565" s="4"/>
      <c r="CJ565" s="4"/>
      <c r="CK565" s="4"/>
      <c r="CL565" s="4">
        <v>30.3</v>
      </c>
      <c r="CM565" s="4"/>
      <c r="CN565" s="4"/>
      <c r="CO565" s="4"/>
      <c r="CP565" s="4"/>
      <c r="CQ565" s="654"/>
      <c r="CR565" s="655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654"/>
      <c r="DD565" s="655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654"/>
      <c r="DP565" s="655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654"/>
      <c r="EB565" s="655"/>
      <c r="EC565" s="4"/>
      <c r="ED565" s="4"/>
      <c r="EE565" s="4"/>
      <c r="EF565" s="4"/>
      <c r="EG565" s="4"/>
      <c r="EH565" s="4"/>
      <c r="EI565" s="4"/>
      <c r="EJ565" s="4"/>
      <c r="EK565" s="4"/>
      <c r="EL565" s="4"/>
      <c r="EM565" s="693"/>
      <c r="EN565" s="723"/>
      <c r="EO565" s="4"/>
      <c r="EP565" s="4"/>
      <c r="EQ565" s="4"/>
      <c r="ER565" s="4"/>
      <c r="ES565" s="4"/>
      <c r="ET565" s="4">
        <v>96.61999999999999</v>
      </c>
      <c r="EU565" s="4"/>
      <c r="EV565" s="4"/>
      <c r="EW565" s="4"/>
      <c r="EX565" s="4"/>
      <c r="EY565" s="654"/>
      <c r="EZ565" s="655"/>
      <c r="FA565" s="4"/>
      <c r="FB565" s="4"/>
      <c r="FC565" s="4"/>
      <c r="FD565" s="4"/>
      <c r="FE565" s="4"/>
      <c r="FF565" s="4"/>
      <c r="FG565" s="4"/>
      <c r="FH565" s="4"/>
      <c r="FI565" s="4"/>
      <c r="FJ565" s="4"/>
      <c r="FK565" s="654"/>
      <c r="FL565" s="655"/>
      <c r="FM565" s="4"/>
      <c r="FN565" s="4"/>
      <c r="FO565" s="4"/>
      <c r="FP565" s="4"/>
      <c r="FQ565" s="4"/>
      <c r="FR565" s="4"/>
      <c r="FS565" s="4"/>
      <c r="FT565" s="4"/>
      <c r="FU565" s="4"/>
      <c r="FV565" s="4"/>
      <c r="FW565" s="654"/>
      <c r="FX565" s="655"/>
      <c r="FY565" s="4"/>
      <c r="FZ565" s="4"/>
      <c r="GA565" s="4"/>
      <c r="GB565" s="4"/>
      <c r="GC565" s="4"/>
      <c r="GD565" s="4"/>
      <c r="GE565" s="4"/>
      <c r="GF565" s="4"/>
      <c r="GG565" s="4"/>
      <c r="GH565" s="4"/>
      <c r="GI565" s="654"/>
      <c r="GJ565" s="655"/>
      <c r="GK565" s="4"/>
      <c r="GL565" s="4"/>
      <c r="GM565" s="4"/>
      <c r="GN565" s="4"/>
      <c r="GO565" s="4"/>
      <c r="GP565" s="4"/>
      <c r="GQ565" s="4"/>
      <c r="GR565" s="4"/>
      <c r="GS565" s="4"/>
      <c r="GT565" s="4"/>
      <c r="GU565" s="722"/>
      <c r="GV565" s="715"/>
    </row>
    <row r="566" spans="1:204" x14ac:dyDescent="0.25">
      <c r="A566" t="s">
        <v>2061</v>
      </c>
      <c r="B566" s="2" t="s">
        <v>2060</v>
      </c>
      <c r="C566" s="619">
        <v>44769</v>
      </c>
      <c r="D566" s="2" t="s">
        <v>2048</v>
      </c>
      <c r="E566" t="s">
        <v>58</v>
      </c>
      <c r="F566" s="2" t="s">
        <v>43</v>
      </c>
      <c r="G566" t="s">
        <v>40</v>
      </c>
      <c r="H566" s="690" t="s">
        <v>84</v>
      </c>
      <c r="I566" s="691" t="s">
        <v>875</v>
      </c>
      <c r="J566" s="721">
        <v>17112981000161</v>
      </c>
      <c r="K566" s="691" t="s">
        <v>43</v>
      </c>
      <c r="L566" s="721">
        <v>3780401000108</v>
      </c>
      <c r="M566" s="718" t="s">
        <v>5</v>
      </c>
      <c r="N566" s="717" t="s">
        <v>44</v>
      </c>
      <c r="O566" s="719">
        <v>44743</v>
      </c>
      <c r="P566" s="720">
        <v>44773</v>
      </c>
      <c r="Q566" s="718">
        <v>30</v>
      </c>
      <c r="R566" s="717">
        <v>1</v>
      </c>
      <c r="S566" s="691" t="s">
        <v>92</v>
      </c>
      <c r="T566" t="s">
        <v>358</v>
      </c>
      <c r="U566" s="673" t="s">
        <v>358</v>
      </c>
      <c r="V566" s="690" t="s">
        <v>358</v>
      </c>
      <c r="W566" s="657" t="s">
        <v>329</v>
      </c>
      <c r="X566" s="723"/>
      <c r="Y566" s="4"/>
      <c r="Z566" s="4"/>
      <c r="AA566" s="4"/>
      <c r="AB566" s="4"/>
      <c r="AC566" s="4"/>
      <c r="AD566" s="4">
        <v>1</v>
      </c>
      <c r="AE566" s="4"/>
      <c r="AF566" s="4"/>
      <c r="AG566" s="4"/>
      <c r="AH566" s="4"/>
      <c r="AI566" s="654"/>
      <c r="AJ566" s="655"/>
      <c r="AK566" s="4"/>
      <c r="AL566" s="4"/>
      <c r="AM566" s="4"/>
      <c r="AN566" s="4"/>
      <c r="AO566" s="4"/>
      <c r="AP566" s="4"/>
      <c r="AQ566" s="4"/>
      <c r="AR566" s="4"/>
      <c r="AS566" s="4"/>
      <c r="AT566" s="4"/>
      <c r="AU566" s="654"/>
      <c r="AV566" s="655"/>
      <c r="AW566" s="4"/>
      <c r="AX566" s="4"/>
      <c r="AY566" s="4"/>
      <c r="AZ566" s="4"/>
      <c r="BA566" s="4"/>
      <c r="BB566" s="4"/>
      <c r="BC566" s="4"/>
      <c r="BD566" s="4"/>
      <c r="BE566" s="4"/>
      <c r="BF566" s="4"/>
      <c r="BG566" s="654"/>
      <c r="BH566" s="655"/>
      <c r="BI566" s="4"/>
      <c r="BJ566" s="4"/>
      <c r="BK566" s="4"/>
      <c r="BL566" s="4"/>
      <c r="BM566" s="4"/>
      <c r="BN566" s="4"/>
      <c r="BO566" s="4"/>
      <c r="BP566" s="4"/>
      <c r="BQ566" s="4"/>
      <c r="BR566" s="4"/>
      <c r="BS566" s="654"/>
      <c r="BT566" s="655"/>
      <c r="BU566" s="4"/>
      <c r="BV566" s="4"/>
      <c r="BW566" s="4"/>
      <c r="BX566" s="4"/>
      <c r="BY566" s="4"/>
      <c r="BZ566" s="4"/>
      <c r="CA566" s="4"/>
      <c r="CB566" s="4"/>
      <c r="CC566" s="4"/>
      <c r="CD566" s="4"/>
      <c r="CE566" s="693"/>
      <c r="CF566" s="723"/>
      <c r="CG566" s="4"/>
      <c r="CH566" s="4"/>
      <c r="CI566" s="4"/>
      <c r="CJ566" s="4"/>
      <c r="CK566" s="4"/>
      <c r="CL566" s="4">
        <v>30</v>
      </c>
      <c r="CM566" s="4"/>
      <c r="CN566" s="4"/>
      <c r="CO566" s="4"/>
      <c r="CP566" s="4"/>
      <c r="CQ566" s="654"/>
      <c r="CR566" s="655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654"/>
      <c r="DD566" s="655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654"/>
      <c r="DP566" s="655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654"/>
      <c r="EB566" s="655"/>
      <c r="EC566" s="4"/>
      <c r="ED566" s="4"/>
      <c r="EE566" s="4"/>
      <c r="EF566" s="4"/>
      <c r="EG566" s="4"/>
      <c r="EH566" s="4"/>
      <c r="EI566" s="4"/>
      <c r="EJ566" s="4"/>
      <c r="EK566" s="4"/>
      <c r="EL566" s="4"/>
      <c r="EM566" s="693"/>
      <c r="EN566" s="723"/>
      <c r="EO566" s="4"/>
      <c r="EP566" s="4"/>
      <c r="EQ566" s="4"/>
      <c r="ER566" s="4"/>
      <c r="ES566" s="4"/>
      <c r="ET566" s="4">
        <v>96.32</v>
      </c>
      <c r="EU566" s="4"/>
      <c r="EV566" s="4"/>
      <c r="EW566" s="4"/>
      <c r="EX566" s="4"/>
      <c r="EY566" s="654"/>
      <c r="EZ566" s="655"/>
      <c r="FA566" s="4"/>
      <c r="FB566" s="4"/>
      <c r="FC566" s="4"/>
      <c r="FD566" s="4"/>
      <c r="FE566" s="4"/>
      <c r="FF566" s="4"/>
      <c r="FG566" s="4"/>
      <c r="FH566" s="4"/>
      <c r="FI566" s="4"/>
      <c r="FJ566" s="4"/>
      <c r="FK566" s="654"/>
      <c r="FL566" s="655"/>
      <c r="FM566" s="4"/>
      <c r="FN566" s="4"/>
      <c r="FO566" s="4"/>
      <c r="FP566" s="4"/>
      <c r="FQ566" s="4"/>
      <c r="FR566" s="4"/>
      <c r="FS566" s="4"/>
      <c r="FT566" s="4"/>
      <c r="FU566" s="4"/>
      <c r="FV566" s="4"/>
      <c r="FW566" s="654"/>
      <c r="FX566" s="655"/>
      <c r="FY566" s="4"/>
      <c r="FZ566" s="4"/>
      <c r="GA566" s="4"/>
      <c r="GB566" s="4"/>
      <c r="GC566" s="4"/>
      <c r="GD566" s="4"/>
      <c r="GE566" s="4"/>
      <c r="GF566" s="4"/>
      <c r="GG566" s="4"/>
      <c r="GH566" s="4"/>
      <c r="GI566" s="654"/>
      <c r="GJ566" s="655"/>
      <c r="GK566" s="4"/>
      <c r="GL566" s="4"/>
      <c r="GM566" s="4"/>
      <c r="GN566" s="4"/>
      <c r="GO566" s="4"/>
      <c r="GP566" s="4"/>
      <c r="GQ566" s="4"/>
      <c r="GR566" s="4"/>
      <c r="GS566" s="4"/>
      <c r="GT566" s="4"/>
      <c r="GU566" s="722"/>
      <c r="GV566" s="715"/>
    </row>
    <row r="567" spans="1:204" x14ac:dyDescent="0.25">
      <c r="A567" t="s">
        <v>2062</v>
      </c>
      <c r="B567" s="2" t="s">
        <v>358</v>
      </c>
      <c r="C567" s="619">
        <v>44769</v>
      </c>
      <c r="D567" s="2" t="s">
        <v>2049</v>
      </c>
      <c r="E567" t="s">
        <v>59</v>
      </c>
      <c r="F567" s="2" t="s">
        <v>43</v>
      </c>
      <c r="G567" t="s">
        <v>40</v>
      </c>
      <c r="H567" s="690" t="s">
        <v>85</v>
      </c>
      <c r="I567" s="691" t="s">
        <v>43</v>
      </c>
      <c r="J567" s="721">
        <v>3780401000108</v>
      </c>
      <c r="K567" s="691" t="s">
        <v>346</v>
      </c>
      <c r="L567" s="721" t="e">
        <v>#VALUE!</v>
      </c>
      <c r="M567" s="718" t="s">
        <v>3</v>
      </c>
      <c r="N567" s="717" t="s">
        <v>44</v>
      </c>
      <c r="O567" s="719">
        <v>44805</v>
      </c>
      <c r="P567" s="720">
        <v>44834</v>
      </c>
      <c r="Q567" s="718">
        <v>91.3</v>
      </c>
      <c r="R567" s="717">
        <v>10</v>
      </c>
      <c r="S567" s="691" t="s">
        <v>54</v>
      </c>
      <c r="T567" t="s">
        <v>358</v>
      </c>
      <c r="U567" s="673" t="s">
        <v>358</v>
      </c>
      <c r="V567" s="690" t="s">
        <v>358</v>
      </c>
      <c r="W567" s="657" t="s">
        <v>214</v>
      </c>
      <c r="X567" s="723"/>
      <c r="Y567" s="4"/>
      <c r="Z567" s="4"/>
      <c r="AA567" s="4"/>
      <c r="AB567" s="4"/>
      <c r="AC567" s="4"/>
      <c r="AD567" s="4"/>
      <c r="AE567" s="4"/>
      <c r="AF567" s="4">
        <v>10</v>
      </c>
      <c r="AG567" s="4"/>
      <c r="AH567" s="4"/>
      <c r="AI567" s="654"/>
      <c r="AJ567" s="655"/>
      <c r="AK567" s="4"/>
      <c r="AL567" s="4"/>
      <c r="AM567" s="4"/>
      <c r="AN567" s="4"/>
      <c r="AO567" s="4"/>
      <c r="AP567" s="4"/>
      <c r="AQ567" s="4"/>
      <c r="AR567" s="4"/>
      <c r="AS567" s="4"/>
      <c r="AT567" s="4"/>
      <c r="AU567" s="654"/>
      <c r="AV567" s="655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654"/>
      <c r="BH567" s="655"/>
      <c r="BI567" s="4"/>
      <c r="BJ567" s="4"/>
      <c r="BK567" s="4"/>
      <c r="BL567" s="4"/>
      <c r="BM567" s="4"/>
      <c r="BN567" s="4"/>
      <c r="BO567" s="4"/>
      <c r="BP567" s="4"/>
      <c r="BQ567" s="4"/>
      <c r="BR567" s="4"/>
      <c r="BS567" s="654"/>
      <c r="BT567" s="655"/>
      <c r="BU567" s="4"/>
      <c r="BV567" s="4"/>
      <c r="BW567" s="4"/>
      <c r="BX567" s="4"/>
      <c r="BY567" s="4"/>
      <c r="BZ567" s="4"/>
      <c r="CA567" s="4"/>
      <c r="CB567" s="4"/>
      <c r="CC567" s="4"/>
      <c r="CD567" s="4"/>
      <c r="CE567" s="693"/>
      <c r="CF567" s="723"/>
      <c r="CG567" s="4"/>
      <c r="CH567" s="4"/>
      <c r="CI567" s="4"/>
      <c r="CJ567" s="4"/>
      <c r="CK567" s="4"/>
      <c r="CL567" s="4"/>
      <c r="CM567" s="4"/>
      <c r="CN567" s="4">
        <v>91.3</v>
      </c>
      <c r="CO567" s="4"/>
      <c r="CP567" s="4"/>
      <c r="CQ567" s="654"/>
      <c r="CR567" s="655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654"/>
      <c r="DD567" s="655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654"/>
      <c r="DP567" s="655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654"/>
      <c r="EB567" s="655"/>
      <c r="EC567" s="4"/>
      <c r="ED567" s="4"/>
      <c r="EE567" s="4"/>
      <c r="EF567" s="4"/>
      <c r="EG567" s="4"/>
      <c r="EH567" s="4"/>
      <c r="EI567" s="4"/>
      <c r="EJ567" s="4"/>
      <c r="EK567" s="4"/>
      <c r="EL567" s="4"/>
      <c r="EM567" s="693"/>
      <c r="EN567" s="723"/>
      <c r="EO567" s="4"/>
      <c r="EP567" s="4"/>
      <c r="EQ567" s="4"/>
      <c r="ER567" s="4"/>
      <c r="ES567" s="4"/>
      <c r="ET567" s="4"/>
      <c r="EU567" s="4"/>
      <c r="EV567" s="4">
        <v>91.3</v>
      </c>
      <c r="EW567" s="4"/>
      <c r="EX567" s="4"/>
      <c r="EY567" s="654"/>
      <c r="EZ567" s="655"/>
      <c r="FA567" s="4"/>
      <c r="FB567" s="4"/>
      <c r="FC567" s="4"/>
      <c r="FD567" s="4"/>
      <c r="FE567" s="4"/>
      <c r="FF567" s="4"/>
      <c r="FG567" s="4"/>
      <c r="FH567" s="4"/>
      <c r="FI567" s="4"/>
      <c r="FJ567" s="4"/>
      <c r="FK567" s="654"/>
      <c r="FL567" s="655"/>
      <c r="FM567" s="4"/>
      <c r="FN567" s="4"/>
      <c r="FO567" s="4"/>
      <c r="FP567" s="4"/>
      <c r="FQ567" s="4"/>
      <c r="FR567" s="4"/>
      <c r="FS567" s="4"/>
      <c r="FT567" s="4"/>
      <c r="FU567" s="4"/>
      <c r="FV567" s="4"/>
      <c r="FW567" s="654"/>
      <c r="FX567" s="655"/>
      <c r="FY567" s="4"/>
      <c r="FZ567" s="4"/>
      <c r="GA567" s="4"/>
      <c r="GB567" s="4"/>
      <c r="GC567" s="4"/>
      <c r="GD567" s="4"/>
      <c r="GE567" s="4"/>
      <c r="GF567" s="4"/>
      <c r="GG567" s="4"/>
      <c r="GH567" s="4"/>
      <c r="GI567" s="654"/>
      <c r="GJ567" s="655"/>
      <c r="GK567" s="4"/>
      <c r="GL567" s="4"/>
      <c r="GM567" s="4"/>
      <c r="GN567" s="4"/>
      <c r="GO567" s="4"/>
      <c r="GP567" s="4"/>
      <c r="GQ567" s="4"/>
      <c r="GR567" s="4"/>
      <c r="GS567" s="4"/>
      <c r="GT567" s="4"/>
      <c r="GU567" s="722"/>
      <c r="GV567" s="715"/>
    </row>
    <row r="568" spans="1:204" x14ac:dyDescent="0.25">
      <c r="A568" t="s">
        <v>2070</v>
      </c>
      <c r="B568" s="2" t="s">
        <v>2069</v>
      </c>
      <c r="C568" s="619">
        <v>44770</v>
      </c>
      <c r="D568" s="2" t="s">
        <v>2063</v>
      </c>
      <c r="E568" t="s">
        <v>58</v>
      </c>
      <c r="F568" s="2" t="s">
        <v>43</v>
      </c>
      <c r="G568" t="s">
        <v>40</v>
      </c>
      <c r="H568" s="690" t="s">
        <v>84</v>
      </c>
      <c r="I568" s="691" t="s">
        <v>355</v>
      </c>
      <c r="J568" s="721">
        <v>7685694000510</v>
      </c>
      <c r="K568" s="691" t="s">
        <v>43</v>
      </c>
      <c r="L568" s="721">
        <v>3780401000108</v>
      </c>
      <c r="M568" s="718" t="s">
        <v>3</v>
      </c>
      <c r="N568" s="717" t="s">
        <v>44</v>
      </c>
      <c r="O568" s="719">
        <v>44805</v>
      </c>
      <c r="P568" s="720">
        <v>44834</v>
      </c>
      <c r="Q568" s="718">
        <v>86.5</v>
      </c>
      <c r="R568" s="717">
        <v>2</v>
      </c>
      <c r="S568" s="691" t="s">
        <v>54</v>
      </c>
      <c r="T568" t="s">
        <v>358</v>
      </c>
      <c r="U568" s="673" t="s">
        <v>358</v>
      </c>
      <c r="V568" s="690" t="s">
        <v>358</v>
      </c>
      <c r="W568" s="657" t="s">
        <v>329</v>
      </c>
      <c r="X568" s="723"/>
      <c r="Y568" s="4"/>
      <c r="Z568" s="4"/>
      <c r="AA568" s="4"/>
      <c r="AB568" s="4"/>
      <c r="AC568" s="4"/>
      <c r="AD568" s="4"/>
      <c r="AE568" s="4"/>
      <c r="AF568" s="4">
        <v>2</v>
      </c>
      <c r="AG568" s="4"/>
      <c r="AH568" s="4"/>
      <c r="AI568" s="654"/>
      <c r="AJ568" s="655"/>
      <c r="AK568" s="4"/>
      <c r="AL568" s="4"/>
      <c r="AM568" s="4"/>
      <c r="AN568" s="4"/>
      <c r="AO568" s="4"/>
      <c r="AP568" s="4"/>
      <c r="AQ568" s="4"/>
      <c r="AR568" s="4"/>
      <c r="AS568" s="4"/>
      <c r="AT568" s="4"/>
      <c r="AU568" s="654"/>
      <c r="AV568" s="655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654"/>
      <c r="BH568" s="655"/>
      <c r="BI568" s="4"/>
      <c r="BJ568" s="4"/>
      <c r="BK568" s="4"/>
      <c r="BL568" s="4"/>
      <c r="BM568" s="4"/>
      <c r="BN568" s="4"/>
      <c r="BO568" s="4"/>
      <c r="BP568" s="4"/>
      <c r="BQ568" s="4"/>
      <c r="BR568" s="4"/>
      <c r="BS568" s="654"/>
      <c r="BT568" s="655"/>
      <c r="BU568" s="4"/>
      <c r="BV568" s="4"/>
      <c r="BW568" s="4"/>
      <c r="BX568" s="4"/>
      <c r="BY568" s="4"/>
      <c r="BZ568" s="4"/>
      <c r="CA568" s="4"/>
      <c r="CB568" s="4"/>
      <c r="CC568" s="4"/>
      <c r="CD568" s="4"/>
      <c r="CE568" s="693"/>
      <c r="CF568" s="723"/>
      <c r="CG568" s="4"/>
      <c r="CH568" s="4"/>
      <c r="CI568" s="4"/>
      <c r="CJ568" s="4"/>
      <c r="CK568" s="4"/>
      <c r="CL568" s="4"/>
      <c r="CM568" s="4"/>
      <c r="CN568" s="4">
        <v>86.5</v>
      </c>
      <c r="CO568" s="4"/>
      <c r="CP568" s="4"/>
      <c r="CQ568" s="654"/>
      <c r="CR568" s="655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654"/>
      <c r="DD568" s="655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654"/>
      <c r="DP568" s="655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654"/>
      <c r="EB568" s="655"/>
      <c r="EC568" s="4"/>
      <c r="ED568" s="4"/>
      <c r="EE568" s="4"/>
      <c r="EF568" s="4"/>
      <c r="EG568" s="4"/>
      <c r="EH568" s="4"/>
      <c r="EI568" s="4"/>
      <c r="EJ568" s="4"/>
      <c r="EK568" s="4"/>
      <c r="EL568" s="4"/>
      <c r="EM568" s="693"/>
      <c r="EN568" s="723"/>
      <c r="EO568" s="4"/>
      <c r="EP568" s="4"/>
      <c r="EQ568" s="4"/>
      <c r="ER568" s="4"/>
      <c r="ES568" s="4"/>
      <c r="ET568" s="4"/>
      <c r="EU568" s="4"/>
      <c r="EV568" s="4">
        <v>86.5</v>
      </c>
      <c r="EW568" s="4"/>
      <c r="EX568" s="4"/>
      <c r="EY568" s="654"/>
      <c r="EZ568" s="655"/>
      <c r="FA568" s="4"/>
      <c r="FB568" s="4"/>
      <c r="FC568" s="4"/>
      <c r="FD568" s="4"/>
      <c r="FE568" s="4"/>
      <c r="FF568" s="4"/>
      <c r="FG568" s="4"/>
      <c r="FH568" s="4"/>
      <c r="FI568" s="4"/>
      <c r="FJ568" s="4"/>
      <c r="FK568" s="654"/>
      <c r="FL568" s="655"/>
      <c r="FM568" s="4"/>
      <c r="FN568" s="4"/>
      <c r="FO568" s="4"/>
      <c r="FP568" s="4"/>
      <c r="FQ568" s="4"/>
      <c r="FR568" s="4"/>
      <c r="FS568" s="4"/>
      <c r="FT568" s="4"/>
      <c r="FU568" s="4"/>
      <c r="FV568" s="4"/>
      <c r="FW568" s="654"/>
      <c r="FX568" s="655"/>
      <c r="FY568" s="4"/>
      <c r="FZ568" s="4"/>
      <c r="GA568" s="4"/>
      <c r="GB568" s="4"/>
      <c r="GC568" s="4"/>
      <c r="GD568" s="4"/>
      <c r="GE568" s="4"/>
      <c r="GF568" s="4"/>
      <c r="GG568" s="4"/>
      <c r="GH568" s="4"/>
      <c r="GI568" s="654"/>
      <c r="GJ568" s="655"/>
      <c r="GK568" s="4"/>
      <c r="GL568" s="4"/>
      <c r="GM568" s="4"/>
      <c r="GN568" s="4"/>
      <c r="GO568" s="4"/>
      <c r="GP568" s="4"/>
      <c r="GQ568" s="4"/>
      <c r="GR568" s="4"/>
      <c r="GS568" s="4"/>
      <c r="GT568" s="4"/>
      <c r="GU568" s="722"/>
      <c r="GV568" s="715"/>
    </row>
    <row r="569" spans="1:204" x14ac:dyDescent="0.25">
      <c r="A569" t="s">
        <v>2072</v>
      </c>
      <c r="B569" s="2" t="s">
        <v>2071</v>
      </c>
      <c r="C569" s="619">
        <v>44770</v>
      </c>
      <c r="D569" s="2" t="s">
        <v>2064</v>
      </c>
      <c r="E569" t="s">
        <v>58</v>
      </c>
      <c r="F569" s="2" t="s">
        <v>43</v>
      </c>
      <c r="G569" t="s">
        <v>40</v>
      </c>
      <c r="H569" s="690" t="s">
        <v>84</v>
      </c>
      <c r="I569" s="691" t="s">
        <v>471</v>
      </c>
      <c r="J569" s="721">
        <v>11182210000164</v>
      </c>
      <c r="K569" s="691" t="s">
        <v>43</v>
      </c>
      <c r="L569" s="721">
        <v>3780401000108</v>
      </c>
      <c r="M569" s="718" t="s">
        <v>3</v>
      </c>
      <c r="N569" s="717" t="s">
        <v>44</v>
      </c>
      <c r="O569" s="719">
        <v>44805</v>
      </c>
      <c r="P569" s="720">
        <v>44834</v>
      </c>
      <c r="Q569" s="718">
        <v>86.5</v>
      </c>
      <c r="R569" s="717">
        <v>5</v>
      </c>
      <c r="S569" s="691" t="s">
        <v>54</v>
      </c>
      <c r="T569" t="s">
        <v>358</v>
      </c>
      <c r="U569" s="673" t="s">
        <v>358</v>
      </c>
      <c r="V569" s="690" t="s">
        <v>358</v>
      </c>
      <c r="W569" s="657" t="s">
        <v>329</v>
      </c>
      <c r="X569" s="723"/>
      <c r="Y569" s="4"/>
      <c r="Z569" s="4"/>
      <c r="AA569" s="4"/>
      <c r="AB569" s="4"/>
      <c r="AC569" s="4"/>
      <c r="AD569" s="4"/>
      <c r="AE569" s="4"/>
      <c r="AF569" s="4">
        <v>5</v>
      </c>
      <c r="AG569" s="4"/>
      <c r="AH569" s="4"/>
      <c r="AI569" s="654"/>
      <c r="AJ569" s="655"/>
      <c r="AK569" s="4"/>
      <c r="AL569" s="4"/>
      <c r="AM569" s="4"/>
      <c r="AN569" s="4"/>
      <c r="AO569" s="4"/>
      <c r="AP569" s="4"/>
      <c r="AQ569" s="4"/>
      <c r="AR569" s="4"/>
      <c r="AS569" s="4"/>
      <c r="AT569" s="4"/>
      <c r="AU569" s="654"/>
      <c r="AV569" s="655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654"/>
      <c r="BH569" s="655"/>
      <c r="BI569" s="4"/>
      <c r="BJ569" s="4"/>
      <c r="BK569" s="4"/>
      <c r="BL569" s="4"/>
      <c r="BM569" s="4"/>
      <c r="BN569" s="4"/>
      <c r="BO569" s="4"/>
      <c r="BP569" s="4"/>
      <c r="BQ569" s="4"/>
      <c r="BR569" s="4"/>
      <c r="BS569" s="654"/>
      <c r="BT569" s="655"/>
      <c r="BU569" s="4"/>
      <c r="BV569" s="4"/>
      <c r="BW569" s="4"/>
      <c r="BX569" s="4"/>
      <c r="BY569" s="4"/>
      <c r="BZ569" s="4"/>
      <c r="CA569" s="4"/>
      <c r="CB569" s="4"/>
      <c r="CC569" s="4"/>
      <c r="CD569" s="4"/>
      <c r="CE569" s="693"/>
      <c r="CF569" s="723"/>
      <c r="CG569" s="4"/>
      <c r="CH569" s="4"/>
      <c r="CI569" s="4"/>
      <c r="CJ569" s="4"/>
      <c r="CK569" s="4"/>
      <c r="CL569" s="4"/>
      <c r="CM569" s="4"/>
      <c r="CN569" s="4">
        <v>86.5</v>
      </c>
      <c r="CO569" s="4"/>
      <c r="CP569" s="4"/>
      <c r="CQ569" s="654"/>
      <c r="CR569" s="655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654"/>
      <c r="DD569" s="655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654"/>
      <c r="DP569" s="655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654"/>
      <c r="EB569" s="655"/>
      <c r="EC569" s="4"/>
      <c r="ED569" s="4"/>
      <c r="EE569" s="4"/>
      <c r="EF569" s="4"/>
      <c r="EG569" s="4"/>
      <c r="EH569" s="4"/>
      <c r="EI569" s="4"/>
      <c r="EJ569" s="4"/>
      <c r="EK569" s="4"/>
      <c r="EL569" s="4"/>
      <c r="EM569" s="693"/>
      <c r="EN569" s="723"/>
      <c r="EO569" s="4"/>
      <c r="EP569" s="4"/>
      <c r="EQ569" s="4"/>
      <c r="ER569" s="4"/>
      <c r="ES569" s="4"/>
      <c r="ET569" s="4"/>
      <c r="EU569" s="4"/>
      <c r="EV569" s="4">
        <v>86.5</v>
      </c>
      <c r="EW569" s="4"/>
      <c r="EX569" s="4"/>
      <c r="EY569" s="654"/>
      <c r="EZ569" s="655"/>
      <c r="FA569" s="4"/>
      <c r="FB569" s="4"/>
      <c r="FC569" s="4"/>
      <c r="FD569" s="4"/>
      <c r="FE569" s="4"/>
      <c r="FF569" s="4"/>
      <c r="FG569" s="4"/>
      <c r="FH569" s="4"/>
      <c r="FI569" s="4"/>
      <c r="FJ569" s="4"/>
      <c r="FK569" s="654"/>
      <c r="FL569" s="655"/>
      <c r="FM569" s="4"/>
      <c r="FN569" s="4"/>
      <c r="FO569" s="4"/>
      <c r="FP569" s="4"/>
      <c r="FQ569" s="4"/>
      <c r="FR569" s="4"/>
      <c r="FS569" s="4"/>
      <c r="FT569" s="4"/>
      <c r="FU569" s="4"/>
      <c r="FV569" s="4"/>
      <c r="FW569" s="654"/>
      <c r="FX569" s="655"/>
      <c r="FY569" s="4"/>
      <c r="FZ569" s="4"/>
      <c r="GA569" s="4"/>
      <c r="GB569" s="4"/>
      <c r="GC569" s="4"/>
      <c r="GD569" s="4"/>
      <c r="GE569" s="4"/>
      <c r="GF569" s="4"/>
      <c r="GG569" s="4"/>
      <c r="GH569" s="4"/>
      <c r="GI569" s="654"/>
      <c r="GJ569" s="655"/>
      <c r="GK569" s="4"/>
      <c r="GL569" s="4"/>
      <c r="GM569" s="4"/>
      <c r="GN569" s="4"/>
      <c r="GO569" s="4"/>
      <c r="GP569" s="4"/>
      <c r="GQ569" s="4"/>
      <c r="GR569" s="4"/>
      <c r="GS569" s="4"/>
      <c r="GT569" s="4"/>
      <c r="GU569" s="722"/>
      <c r="GV569" s="715"/>
    </row>
    <row r="570" spans="1:204" x14ac:dyDescent="0.25">
      <c r="A570" t="s">
        <v>2074</v>
      </c>
      <c r="B570" s="2" t="s">
        <v>2073</v>
      </c>
      <c r="C570" s="619">
        <v>44770</v>
      </c>
      <c r="D570" s="2" t="s">
        <v>2065</v>
      </c>
      <c r="E570" t="s">
        <v>58</v>
      </c>
      <c r="F570" s="2" t="s">
        <v>43</v>
      </c>
      <c r="G570" t="s">
        <v>40</v>
      </c>
      <c r="H570" s="690" t="s">
        <v>84</v>
      </c>
      <c r="I570" s="691" t="s">
        <v>466</v>
      </c>
      <c r="J570" s="721">
        <v>26940979000171</v>
      </c>
      <c r="K570" s="691" t="s">
        <v>43</v>
      </c>
      <c r="L570" s="721">
        <v>3780401000108</v>
      </c>
      <c r="M570" s="718" t="s">
        <v>3</v>
      </c>
      <c r="N570" s="717" t="s">
        <v>44</v>
      </c>
      <c r="O570" s="719">
        <v>44805</v>
      </c>
      <c r="P570" s="720">
        <v>44834</v>
      </c>
      <c r="Q570" s="718">
        <v>87</v>
      </c>
      <c r="R570" s="717">
        <v>1</v>
      </c>
      <c r="S570" s="691" t="s">
        <v>54</v>
      </c>
      <c r="T570" t="s">
        <v>358</v>
      </c>
      <c r="U570" s="673" t="s">
        <v>358</v>
      </c>
      <c r="V570" s="690" t="s">
        <v>358</v>
      </c>
      <c r="W570" s="657" t="s">
        <v>329</v>
      </c>
      <c r="X570" s="723"/>
      <c r="Y570" s="4"/>
      <c r="Z570" s="4"/>
      <c r="AA570" s="4"/>
      <c r="AB570" s="4"/>
      <c r="AC570" s="4"/>
      <c r="AD570" s="4"/>
      <c r="AE570" s="4"/>
      <c r="AF570" s="4">
        <v>1</v>
      </c>
      <c r="AG570" s="4"/>
      <c r="AH570" s="4"/>
      <c r="AI570" s="654"/>
      <c r="AJ570" s="655"/>
      <c r="AK570" s="4"/>
      <c r="AL570" s="4"/>
      <c r="AM570" s="4"/>
      <c r="AN570" s="4"/>
      <c r="AO570" s="4"/>
      <c r="AP570" s="4"/>
      <c r="AQ570" s="4"/>
      <c r="AR570" s="4"/>
      <c r="AS570" s="4"/>
      <c r="AT570" s="4"/>
      <c r="AU570" s="654"/>
      <c r="AV570" s="655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654"/>
      <c r="BH570" s="655"/>
      <c r="BI570" s="4"/>
      <c r="BJ570" s="4"/>
      <c r="BK570" s="4"/>
      <c r="BL570" s="4"/>
      <c r="BM570" s="4"/>
      <c r="BN570" s="4"/>
      <c r="BO570" s="4"/>
      <c r="BP570" s="4"/>
      <c r="BQ570" s="4"/>
      <c r="BR570" s="4"/>
      <c r="BS570" s="654"/>
      <c r="BT570" s="655"/>
      <c r="BU570" s="4"/>
      <c r="BV570" s="4"/>
      <c r="BW570" s="4"/>
      <c r="BX570" s="4"/>
      <c r="BY570" s="4"/>
      <c r="BZ570" s="4"/>
      <c r="CA570" s="4"/>
      <c r="CB570" s="4"/>
      <c r="CC570" s="4"/>
      <c r="CD570" s="4"/>
      <c r="CE570" s="693"/>
      <c r="CF570" s="723"/>
      <c r="CG570" s="4"/>
      <c r="CH570" s="4"/>
      <c r="CI570" s="4"/>
      <c r="CJ570" s="4"/>
      <c r="CK570" s="4"/>
      <c r="CL570" s="4"/>
      <c r="CM570" s="4"/>
      <c r="CN570" s="4">
        <v>87</v>
      </c>
      <c r="CO570" s="4"/>
      <c r="CP570" s="4"/>
      <c r="CQ570" s="654"/>
      <c r="CR570" s="655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654"/>
      <c r="DD570" s="655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654"/>
      <c r="DP570" s="655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654"/>
      <c r="EB570" s="655"/>
      <c r="EC570" s="4"/>
      <c r="ED570" s="4"/>
      <c r="EE570" s="4"/>
      <c r="EF570" s="4"/>
      <c r="EG570" s="4"/>
      <c r="EH570" s="4"/>
      <c r="EI570" s="4"/>
      <c r="EJ570" s="4"/>
      <c r="EK570" s="4"/>
      <c r="EL570" s="4"/>
      <c r="EM570" s="693"/>
      <c r="EN570" s="723"/>
      <c r="EO570" s="4"/>
      <c r="EP570" s="4"/>
      <c r="EQ570" s="4"/>
      <c r="ER570" s="4"/>
      <c r="ES570" s="4"/>
      <c r="ET570" s="4"/>
      <c r="EU570" s="4"/>
      <c r="EV570" s="4">
        <v>87</v>
      </c>
      <c r="EW570" s="4"/>
      <c r="EX570" s="4"/>
      <c r="EY570" s="654"/>
      <c r="EZ570" s="655"/>
      <c r="FA570" s="4"/>
      <c r="FB570" s="4"/>
      <c r="FC570" s="4"/>
      <c r="FD570" s="4"/>
      <c r="FE570" s="4"/>
      <c r="FF570" s="4"/>
      <c r="FG570" s="4"/>
      <c r="FH570" s="4"/>
      <c r="FI570" s="4"/>
      <c r="FJ570" s="4"/>
      <c r="FK570" s="654"/>
      <c r="FL570" s="655"/>
      <c r="FM570" s="4"/>
      <c r="FN570" s="4"/>
      <c r="FO570" s="4"/>
      <c r="FP570" s="4"/>
      <c r="FQ570" s="4"/>
      <c r="FR570" s="4"/>
      <c r="FS570" s="4"/>
      <c r="FT570" s="4"/>
      <c r="FU570" s="4"/>
      <c r="FV570" s="4"/>
      <c r="FW570" s="654"/>
      <c r="FX570" s="655"/>
      <c r="FY570" s="4"/>
      <c r="FZ570" s="4"/>
      <c r="GA570" s="4"/>
      <c r="GB570" s="4"/>
      <c r="GC570" s="4"/>
      <c r="GD570" s="4"/>
      <c r="GE570" s="4"/>
      <c r="GF570" s="4"/>
      <c r="GG570" s="4"/>
      <c r="GH570" s="4"/>
      <c r="GI570" s="654"/>
      <c r="GJ570" s="655"/>
      <c r="GK570" s="4"/>
      <c r="GL570" s="4"/>
      <c r="GM570" s="4"/>
      <c r="GN570" s="4"/>
      <c r="GO570" s="4"/>
      <c r="GP570" s="4"/>
      <c r="GQ570" s="4"/>
      <c r="GR570" s="4"/>
      <c r="GS570" s="4"/>
      <c r="GT570" s="4"/>
      <c r="GU570" s="722"/>
      <c r="GV570" s="715"/>
    </row>
    <row r="571" spans="1:204" x14ac:dyDescent="0.25">
      <c r="A571" t="s">
        <v>2075</v>
      </c>
      <c r="B571" s="2" t="s">
        <v>358</v>
      </c>
      <c r="C571" s="619">
        <v>44770</v>
      </c>
      <c r="D571" s="2" t="s">
        <v>2066</v>
      </c>
      <c r="E571" t="s">
        <v>59</v>
      </c>
      <c r="F571" s="2" t="s">
        <v>43</v>
      </c>
      <c r="G571" t="s">
        <v>40</v>
      </c>
      <c r="H571" s="690" t="s">
        <v>85</v>
      </c>
      <c r="I571" s="691" t="s">
        <v>43</v>
      </c>
      <c r="J571" s="721">
        <v>3780401000108</v>
      </c>
      <c r="K571" s="691" t="s">
        <v>1540</v>
      </c>
      <c r="L571" s="721">
        <v>24510849000173</v>
      </c>
      <c r="M571" s="718" t="s">
        <v>3</v>
      </c>
      <c r="N571" s="717" t="s">
        <v>44</v>
      </c>
      <c r="O571" s="719">
        <v>44743</v>
      </c>
      <c r="P571" s="720">
        <v>44773</v>
      </c>
      <c r="Q571" s="718">
        <v>0.2</v>
      </c>
      <c r="R571" s="717">
        <v>10</v>
      </c>
      <c r="S571" s="691" t="s">
        <v>92</v>
      </c>
      <c r="T571" t="s">
        <v>358</v>
      </c>
      <c r="U571" s="673" t="s">
        <v>358</v>
      </c>
      <c r="V571" s="690" t="s">
        <v>358</v>
      </c>
      <c r="W571" s="657" t="s">
        <v>214</v>
      </c>
      <c r="X571" s="723"/>
      <c r="Y571" s="4"/>
      <c r="Z571" s="4"/>
      <c r="AA571" s="4"/>
      <c r="AB571" s="4"/>
      <c r="AC571" s="4"/>
      <c r="AD571" s="4">
        <v>10</v>
      </c>
      <c r="AE571" s="4"/>
      <c r="AF571" s="4"/>
      <c r="AG571" s="4"/>
      <c r="AH571" s="4"/>
      <c r="AI571" s="654"/>
      <c r="AJ571" s="655"/>
      <c r="AK571" s="4"/>
      <c r="AL571" s="4"/>
      <c r="AM571" s="4"/>
      <c r="AN571" s="4"/>
      <c r="AO571" s="4"/>
      <c r="AP571" s="4"/>
      <c r="AQ571" s="4"/>
      <c r="AR571" s="4"/>
      <c r="AS571" s="4"/>
      <c r="AT571" s="4"/>
      <c r="AU571" s="654"/>
      <c r="AV571" s="655"/>
      <c r="AW571" s="4"/>
      <c r="AX571" s="4"/>
      <c r="AY571" s="4"/>
      <c r="AZ571" s="4"/>
      <c r="BA571" s="4"/>
      <c r="BB571" s="4"/>
      <c r="BC571" s="4"/>
      <c r="BD571" s="4"/>
      <c r="BE571" s="4"/>
      <c r="BF571" s="4"/>
      <c r="BG571" s="654"/>
      <c r="BH571" s="655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654"/>
      <c r="BT571" s="655"/>
      <c r="BU571" s="4"/>
      <c r="BV571" s="4"/>
      <c r="BW571" s="4"/>
      <c r="BX571" s="4"/>
      <c r="BY571" s="4"/>
      <c r="BZ571" s="4"/>
      <c r="CA571" s="4"/>
      <c r="CB571" s="4"/>
      <c r="CC571" s="4"/>
      <c r="CD571" s="4"/>
      <c r="CE571" s="693"/>
      <c r="CF571" s="723"/>
      <c r="CG571" s="4"/>
      <c r="CH571" s="4"/>
      <c r="CI571" s="4"/>
      <c r="CJ571" s="4"/>
      <c r="CK571" s="4"/>
      <c r="CL571" s="4">
        <v>0.2</v>
      </c>
      <c r="CM571" s="4"/>
      <c r="CN571" s="4"/>
      <c r="CO571" s="4"/>
      <c r="CP571" s="4"/>
      <c r="CQ571" s="654"/>
      <c r="CR571" s="655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654"/>
      <c r="DD571" s="655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654"/>
      <c r="DP571" s="655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654"/>
      <c r="EB571" s="655"/>
      <c r="EC571" s="4"/>
      <c r="ED571" s="4"/>
      <c r="EE571" s="4"/>
      <c r="EF571" s="4"/>
      <c r="EG571" s="4"/>
      <c r="EH571" s="4"/>
      <c r="EI571" s="4"/>
      <c r="EJ571" s="4"/>
      <c r="EK571" s="4"/>
      <c r="EL571" s="4"/>
      <c r="EM571" s="693"/>
      <c r="EN571" s="723"/>
      <c r="EO571" s="4"/>
      <c r="EP571" s="4"/>
      <c r="EQ571" s="4"/>
      <c r="ER571" s="4"/>
      <c r="ES571" s="4"/>
      <c r="ET571" s="4">
        <v>66.52</v>
      </c>
      <c r="EU571" s="4"/>
      <c r="EV571" s="4"/>
      <c r="EW571" s="4"/>
      <c r="EX571" s="4"/>
      <c r="EY571" s="654"/>
      <c r="EZ571" s="655"/>
      <c r="FA571" s="4"/>
      <c r="FB571" s="4"/>
      <c r="FC571" s="4"/>
      <c r="FD571" s="4"/>
      <c r="FE571" s="4"/>
      <c r="FF571" s="4"/>
      <c r="FG571" s="4"/>
      <c r="FH571" s="4"/>
      <c r="FI571" s="4"/>
      <c r="FJ571" s="4"/>
      <c r="FK571" s="654"/>
      <c r="FL571" s="655"/>
      <c r="FM571" s="4"/>
      <c r="FN571" s="4"/>
      <c r="FO571" s="4"/>
      <c r="FP571" s="4"/>
      <c r="FQ571" s="4"/>
      <c r="FR571" s="4"/>
      <c r="FS571" s="4"/>
      <c r="FT571" s="4"/>
      <c r="FU571" s="4"/>
      <c r="FV571" s="4"/>
      <c r="FW571" s="654"/>
      <c r="FX571" s="655"/>
      <c r="FY571" s="4"/>
      <c r="FZ571" s="4"/>
      <c r="GA571" s="4"/>
      <c r="GB571" s="4"/>
      <c r="GC571" s="4"/>
      <c r="GD571" s="4"/>
      <c r="GE571" s="4"/>
      <c r="GF571" s="4"/>
      <c r="GG571" s="4"/>
      <c r="GH571" s="4"/>
      <c r="GI571" s="654"/>
      <c r="GJ571" s="655"/>
      <c r="GK571" s="4"/>
      <c r="GL571" s="4"/>
      <c r="GM571" s="4"/>
      <c r="GN571" s="4"/>
      <c r="GO571" s="4"/>
      <c r="GP571" s="4"/>
      <c r="GQ571" s="4"/>
      <c r="GR571" s="4"/>
      <c r="GS571" s="4"/>
      <c r="GT571" s="4"/>
      <c r="GU571" s="722"/>
      <c r="GV571" s="715"/>
    </row>
    <row r="572" spans="1:204" x14ac:dyDescent="0.25">
      <c r="A572" t="s">
        <v>2076</v>
      </c>
      <c r="B572" s="2" t="s">
        <v>358</v>
      </c>
      <c r="C572" s="619">
        <v>44770</v>
      </c>
      <c r="D572" s="2" t="s">
        <v>2067</v>
      </c>
      <c r="E572" t="s">
        <v>58</v>
      </c>
      <c r="F572" s="2" t="s">
        <v>43</v>
      </c>
      <c r="G572" t="s">
        <v>40</v>
      </c>
      <c r="H572" s="690" t="s">
        <v>84</v>
      </c>
      <c r="I572" s="691" t="s">
        <v>876</v>
      </c>
      <c r="J572" s="721">
        <v>22109465000118</v>
      </c>
      <c r="K572" s="691" t="s">
        <v>43</v>
      </c>
      <c r="L572" s="721">
        <v>3780401000108</v>
      </c>
      <c r="M572" s="718" t="s">
        <v>3</v>
      </c>
      <c r="N572" s="717" t="s">
        <v>44</v>
      </c>
      <c r="O572" s="719">
        <v>44743</v>
      </c>
      <c r="P572" s="720">
        <v>44773</v>
      </c>
      <c r="Q572" s="718">
        <v>0.2</v>
      </c>
      <c r="R572" s="717">
        <v>10</v>
      </c>
      <c r="S572" s="691" t="s">
        <v>92</v>
      </c>
      <c r="T572" t="s">
        <v>358</v>
      </c>
      <c r="U572" s="673" t="s">
        <v>358</v>
      </c>
      <c r="V572" s="690" t="s">
        <v>358</v>
      </c>
      <c r="W572" s="657" t="s">
        <v>214</v>
      </c>
      <c r="X572" s="723"/>
      <c r="Y572" s="4"/>
      <c r="Z572" s="4"/>
      <c r="AA572" s="4"/>
      <c r="AB572" s="4"/>
      <c r="AC572" s="4"/>
      <c r="AD572" s="4">
        <v>10</v>
      </c>
      <c r="AE572" s="4"/>
      <c r="AF572" s="4"/>
      <c r="AG572" s="4"/>
      <c r="AH572" s="4"/>
      <c r="AI572" s="654"/>
      <c r="AJ572" s="655"/>
      <c r="AK572" s="4"/>
      <c r="AL572" s="4"/>
      <c r="AM572" s="4"/>
      <c r="AN572" s="4"/>
      <c r="AO572" s="4"/>
      <c r="AP572" s="4"/>
      <c r="AQ572" s="4"/>
      <c r="AR572" s="4"/>
      <c r="AS572" s="4"/>
      <c r="AT572" s="4"/>
      <c r="AU572" s="654"/>
      <c r="AV572" s="655"/>
      <c r="AW572" s="4"/>
      <c r="AX572" s="4"/>
      <c r="AY572" s="4"/>
      <c r="AZ572" s="4"/>
      <c r="BA572" s="4"/>
      <c r="BB572" s="4"/>
      <c r="BC572" s="4"/>
      <c r="BD572" s="4"/>
      <c r="BE572" s="4"/>
      <c r="BF572" s="4"/>
      <c r="BG572" s="654"/>
      <c r="BH572" s="655"/>
      <c r="BI572" s="4"/>
      <c r="BJ572" s="4"/>
      <c r="BK572" s="4"/>
      <c r="BL572" s="4"/>
      <c r="BM572" s="4"/>
      <c r="BN572" s="4"/>
      <c r="BO572" s="4"/>
      <c r="BP572" s="4"/>
      <c r="BQ572" s="4"/>
      <c r="BR572" s="4"/>
      <c r="BS572" s="654"/>
      <c r="BT572" s="655"/>
      <c r="BU572" s="4"/>
      <c r="BV572" s="4"/>
      <c r="BW572" s="4"/>
      <c r="BX572" s="4"/>
      <c r="BY572" s="4"/>
      <c r="BZ572" s="4"/>
      <c r="CA572" s="4"/>
      <c r="CB572" s="4"/>
      <c r="CC572" s="4"/>
      <c r="CD572" s="4"/>
      <c r="CE572" s="693"/>
      <c r="CF572" s="723"/>
      <c r="CG572" s="4"/>
      <c r="CH572" s="4"/>
      <c r="CI572" s="4"/>
      <c r="CJ572" s="4"/>
      <c r="CK572" s="4"/>
      <c r="CL572" s="4">
        <v>0.2</v>
      </c>
      <c r="CM572" s="4"/>
      <c r="CN572" s="4"/>
      <c r="CO572" s="4"/>
      <c r="CP572" s="4"/>
      <c r="CQ572" s="654"/>
      <c r="CR572" s="655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654"/>
      <c r="DD572" s="655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654"/>
      <c r="DP572" s="655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654"/>
      <c r="EB572" s="655"/>
      <c r="EC572" s="4"/>
      <c r="ED572" s="4"/>
      <c r="EE572" s="4"/>
      <c r="EF572" s="4"/>
      <c r="EG572" s="4"/>
      <c r="EH572" s="4"/>
      <c r="EI572" s="4"/>
      <c r="EJ572" s="4"/>
      <c r="EK572" s="4"/>
      <c r="EL572" s="4"/>
      <c r="EM572" s="693"/>
      <c r="EN572" s="723"/>
      <c r="EO572" s="4"/>
      <c r="EP572" s="4"/>
      <c r="EQ572" s="4"/>
      <c r="ER572" s="4"/>
      <c r="ES572" s="4"/>
      <c r="ET572" s="4">
        <v>66.52</v>
      </c>
      <c r="EU572" s="4"/>
      <c r="EV572" s="4"/>
      <c r="EW572" s="4"/>
      <c r="EX572" s="4"/>
      <c r="EY572" s="654"/>
      <c r="EZ572" s="655"/>
      <c r="FA572" s="4"/>
      <c r="FB572" s="4"/>
      <c r="FC572" s="4"/>
      <c r="FD572" s="4"/>
      <c r="FE572" s="4"/>
      <c r="FF572" s="4"/>
      <c r="FG572" s="4"/>
      <c r="FH572" s="4"/>
      <c r="FI572" s="4"/>
      <c r="FJ572" s="4"/>
      <c r="FK572" s="654"/>
      <c r="FL572" s="655"/>
      <c r="FM572" s="4"/>
      <c r="FN572" s="4"/>
      <c r="FO572" s="4"/>
      <c r="FP572" s="4"/>
      <c r="FQ572" s="4"/>
      <c r="FR572" s="4"/>
      <c r="FS572" s="4"/>
      <c r="FT572" s="4"/>
      <c r="FU572" s="4"/>
      <c r="FV572" s="4"/>
      <c r="FW572" s="654"/>
      <c r="FX572" s="655"/>
      <c r="FY572" s="4"/>
      <c r="FZ572" s="4"/>
      <c r="GA572" s="4"/>
      <c r="GB572" s="4"/>
      <c r="GC572" s="4"/>
      <c r="GD572" s="4"/>
      <c r="GE572" s="4"/>
      <c r="GF572" s="4"/>
      <c r="GG572" s="4"/>
      <c r="GH572" s="4"/>
      <c r="GI572" s="654"/>
      <c r="GJ572" s="655"/>
      <c r="GK572" s="4"/>
      <c r="GL572" s="4"/>
      <c r="GM572" s="4"/>
      <c r="GN572" s="4"/>
      <c r="GO572" s="4"/>
      <c r="GP572" s="4"/>
      <c r="GQ572" s="4"/>
      <c r="GR572" s="4"/>
      <c r="GS572" s="4"/>
      <c r="GT572" s="4"/>
      <c r="GU572" s="722"/>
      <c r="GV572" s="715"/>
    </row>
    <row r="573" spans="1:204" x14ac:dyDescent="0.25">
      <c r="A573" t="s">
        <v>2078</v>
      </c>
      <c r="B573" s="2" t="s">
        <v>2077</v>
      </c>
      <c r="C573" s="619">
        <v>44770</v>
      </c>
      <c r="D573" s="2" t="s">
        <v>2068</v>
      </c>
      <c r="E573" t="s">
        <v>58</v>
      </c>
      <c r="F573" s="2" t="s">
        <v>43</v>
      </c>
      <c r="G573" t="s">
        <v>40</v>
      </c>
      <c r="H573" s="690" t="s">
        <v>84</v>
      </c>
      <c r="I573" s="691" t="s">
        <v>1540</v>
      </c>
      <c r="J573" s="721">
        <v>24510849000173</v>
      </c>
      <c r="K573" s="691" t="s">
        <v>43</v>
      </c>
      <c r="L573" s="721">
        <v>3780401000108</v>
      </c>
      <c r="M573" s="718" t="s">
        <v>5</v>
      </c>
      <c r="N573" s="717" t="s">
        <v>44</v>
      </c>
      <c r="O573" s="719">
        <v>44743</v>
      </c>
      <c r="P573" s="720">
        <v>44773</v>
      </c>
      <c r="Q573" s="718">
        <v>30.2</v>
      </c>
      <c r="R573" s="717">
        <v>10</v>
      </c>
      <c r="S573" s="691" t="s">
        <v>92</v>
      </c>
      <c r="T573" t="s">
        <v>358</v>
      </c>
      <c r="U573" s="673" t="s">
        <v>358</v>
      </c>
      <c r="V573" s="690" t="s">
        <v>358</v>
      </c>
      <c r="W573" s="657" t="s">
        <v>329</v>
      </c>
      <c r="X573" s="723"/>
      <c r="Y573" s="4"/>
      <c r="Z573" s="4"/>
      <c r="AA573" s="4"/>
      <c r="AB573" s="4"/>
      <c r="AC573" s="4"/>
      <c r="AD573" s="4">
        <v>10</v>
      </c>
      <c r="AE573" s="4"/>
      <c r="AF573" s="4"/>
      <c r="AG573" s="4"/>
      <c r="AH573" s="4"/>
      <c r="AI573" s="654"/>
      <c r="AJ573" s="655"/>
      <c r="AK573" s="4"/>
      <c r="AL573" s="4"/>
      <c r="AM573" s="4"/>
      <c r="AN573" s="4"/>
      <c r="AO573" s="4"/>
      <c r="AP573" s="4"/>
      <c r="AQ573" s="4"/>
      <c r="AR573" s="4"/>
      <c r="AS573" s="4"/>
      <c r="AT573" s="4"/>
      <c r="AU573" s="654"/>
      <c r="AV573" s="655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654"/>
      <c r="BH573" s="655"/>
      <c r="BI573" s="4"/>
      <c r="BJ573" s="4"/>
      <c r="BK573" s="4"/>
      <c r="BL573" s="4"/>
      <c r="BM573" s="4"/>
      <c r="BN573" s="4"/>
      <c r="BO573" s="4"/>
      <c r="BP573" s="4"/>
      <c r="BQ573" s="4"/>
      <c r="BR573" s="4"/>
      <c r="BS573" s="654"/>
      <c r="BT573" s="655"/>
      <c r="BU573" s="4"/>
      <c r="BV573" s="4"/>
      <c r="BW573" s="4"/>
      <c r="BX573" s="4"/>
      <c r="BY573" s="4"/>
      <c r="BZ573" s="4"/>
      <c r="CA573" s="4"/>
      <c r="CB573" s="4"/>
      <c r="CC573" s="4"/>
      <c r="CD573" s="4"/>
      <c r="CE573" s="693"/>
      <c r="CF573" s="723"/>
      <c r="CG573" s="4"/>
      <c r="CH573" s="4"/>
      <c r="CI573" s="4"/>
      <c r="CJ573" s="4"/>
      <c r="CK573" s="4"/>
      <c r="CL573" s="4">
        <v>30.2</v>
      </c>
      <c r="CM573" s="4"/>
      <c r="CN573" s="4"/>
      <c r="CO573" s="4"/>
      <c r="CP573" s="4"/>
      <c r="CQ573" s="654"/>
      <c r="CR573" s="655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654"/>
      <c r="DD573" s="655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654"/>
      <c r="DP573" s="655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654"/>
      <c r="EB573" s="655"/>
      <c r="EC573" s="4"/>
      <c r="ED573" s="4"/>
      <c r="EE573" s="4"/>
      <c r="EF573" s="4"/>
      <c r="EG573" s="4"/>
      <c r="EH573" s="4"/>
      <c r="EI573" s="4"/>
      <c r="EJ573" s="4"/>
      <c r="EK573" s="4"/>
      <c r="EL573" s="4"/>
      <c r="EM573" s="693"/>
      <c r="EN573" s="723"/>
      <c r="EO573" s="4"/>
      <c r="EP573" s="4"/>
      <c r="EQ573" s="4"/>
      <c r="ER573" s="4"/>
      <c r="ES573" s="4"/>
      <c r="ET573" s="4">
        <v>96.52</v>
      </c>
      <c r="EU573" s="4"/>
      <c r="EV573" s="4"/>
      <c r="EW573" s="4"/>
      <c r="EX573" s="4"/>
      <c r="EY573" s="654"/>
      <c r="EZ573" s="655"/>
      <c r="FA573" s="4"/>
      <c r="FB573" s="4"/>
      <c r="FC573" s="4"/>
      <c r="FD573" s="4"/>
      <c r="FE573" s="4"/>
      <c r="FF573" s="4"/>
      <c r="FG573" s="4"/>
      <c r="FH573" s="4"/>
      <c r="FI573" s="4"/>
      <c r="FJ573" s="4"/>
      <c r="FK573" s="654"/>
      <c r="FL573" s="655"/>
      <c r="FM573" s="4"/>
      <c r="FN573" s="4"/>
      <c r="FO573" s="4"/>
      <c r="FP573" s="4"/>
      <c r="FQ573" s="4"/>
      <c r="FR573" s="4"/>
      <c r="FS573" s="4"/>
      <c r="FT573" s="4"/>
      <c r="FU573" s="4"/>
      <c r="FV573" s="4"/>
      <c r="FW573" s="654"/>
      <c r="FX573" s="655"/>
      <c r="FY573" s="4"/>
      <c r="FZ573" s="4"/>
      <c r="GA573" s="4"/>
      <c r="GB573" s="4"/>
      <c r="GC573" s="4"/>
      <c r="GD573" s="4"/>
      <c r="GE573" s="4"/>
      <c r="GF573" s="4"/>
      <c r="GG573" s="4"/>
      <c r="GH573" s="4"/>
      <c r="GI573" s="654"/>
      <c r="GJ573" s="655"/>
      <c r="GK573" s="4"/>
      <c r="GL573" s="4"/>
      <c r="GM573" s="4"/>
      <c r="GN573" s="4"/>
      <c r="GO573" s="4"/>
      <c r="GP573" s="4"/>
      <c r="GQ573" s="4"/>
      <c r="GR573" s="4"/>
      <c r="GS573" s="4"/>
      <c r="GT573" s="4"/>
      <c r="GU573" s="722"/>
      <c r="GV573" s="715"/>
    </row>
    <row r="574" spans="1:204" x14ac:dyDescent="0.25">
      <c r="A574" t="s">
        <v>2088</v>
      </c>
      <c r="B574" s="2" t="s">
        <v>2087</v>
      </c>
      <c r="C574" s="619">
        <v>44771</v>
      </c>
      <c r="D574" s="2" t="s">
        <v>2079</v>
      </c>
      <c r="E574" t="s">
        <v>58</v>
      </c>
      <c r="F574" s="2" t="s">
        <v>43</v>
      </c>
      <c r="G574" t="s">
        <v>40</v>
      </c>
      <c r="H574" s="690" t="s">
        <v>84</v>
      </c>
      <c r="I574" s="691" t="s">
        <v>1890</v>
      </c>
      <c r="J574" s="721">
        <v>29350168000109</v>
      </c>
      <c r="K574" s="691" t="s">
        <v>43</v>
      </c>
      <c r="L574" s="721">
        <v>3780401000108</v>
      </c>
      <c r="M574" s="718" t="s">
        <v>5</v>
      </c>
      <c r="N574" s="717" t="s">
        <v>13</v>
      </c>
      <c r="O574" s="719">
        <v>44743</v>
      </c>
      <c r="P574" s="720">
        <v>44773</v>
      </c>
      <c r="Q574" s="718">
        <v>30</v>
      </c>
      <c r="R574" s="717">
        <v>0.55700000000000005</v>
      </c>
      <c r="S574" s="691" t="s">
        <v>92</v>
      </c>
      <c r="T574" t="s">
        <v>358</v>
      </c>
      <c r="U574" s="673" t="s">
        <v>358</v>
      </c>
      <c r="V574" s="690" t="s">
        <v>358</v>
      </c>
      <c r="W574" s="657" t="s">
        <v>329</v>
      </c>
      <c r="X574" s="723"/>
      <c r="Y574" s="4"/>
      <c r="Z574" s="4"/>
      <c r="AA574" s="4"/>
      <c r="AB574" s="4"/>
      <c r="AC574" s="4"/>
      <c r="AD574" s="4">
        <v>0.55700000000000005</v>
      </c>
      <c r="AE574" s="4"/>
      <c r="AF574" s="4"/>
      <c r="AG574" s="4"/>
      <c r="AH574" s="4"/>
      <c r="AI574" s="654"/>
      <c r="AJ574" s="655"/>
      <c r="AK574" s="4"/>
      <c r="AL574" s="4"/>
      <c r="AM574" s="4"/>
      <c r="AN574" s="4"/>
      <c r="AO574" s="4"/>
      <c r="AP574" s="4"/>
      <c r="AQ574" s="4"/>
      <c r="AR574" s="4"/>
      <c r="AS574" s="4"/>
      <c r="AT574" s="4"/>
      <c r="AU574" s="654"/>
      <c r="AV574" s="655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654"/>
      <c r="BH574" s="655"/>
      <c r="BI574" s="4"/>
      <c r="BJ574" s="4"/>
      <c r="BK574" s="4"/>
      <c r="BL574" s="4"/>
      <c r="BM574" s="4"/>
      <c r="BN574" s="4"/>
      <c r="BO574" s="4"/>
      <c r="BP574" s="4"/>
      <c r="BQ574" s="4"/>
      <c r="BR574" s="4"/>
      <c r="BS574" s="654"/>
      <c r="BT574" s="655"/>
      <c r="BU574" s="4"/>
      <c r="BV574" s="4"/>
      <c r="BW574" s="4"/>
      <c r="BX574" s="4"/>
      <c r="BY574" s="4"/>
      <c r="BZ574" s="4"/>
      <c r="CA574" s="4"/>
      <c r="CB574" s="4"/>
      <c r="CC574" s="4"/>
      <c r="CD574" s="4"/>
      <c r="CE574" s="693"/>
      <c r="CF574" s="723"/>
      <c r="CG574" s="4"/>
      <c r="CH574" s="4"/>
      <c r="CI574" s="4"/>
      <c r="CJ574" s="4"/>
      <c r="CK574" s="4"/>
      <c r="CL574" s="4">
        <v>30</v>
      </c>
      <c r="CM574" s="4"/>
      <c r="CN574" s="4"/>
      <c r="CO574" s="4"/>
      <c r="CP574" s="4"/>
      <c r="CQ574" s="654"/>
      <c r="CR574" s="655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654"/>
      <c r="DD574" s="655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654"/>
      <c r="DP574" s="655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654"/>
      <c r="EB574" s="655"/>
      <c r="EC574" s="4"/>
      <c r="ED574" s="4"/>
      <c r="EE574" s="4"/>
      <c r="EF574" s="4"/>
      <c r="EG574" s="4"/>
      <c r="EH574" s="4"/>
      <c r="EI574" s="4"/>
      <c r="EJ574" s="4"/>
      <c r="EK574" s="4"/>
      <c r="EL574" s="4"/>
      <c r="EM574" s="693"/>
      <c r="EN574" s="723"/>
      <c r="EO574" s="4"/>
      <c r="EP574" s="4"/>
      <c r="EQ574" s="4"/>
      <c r="ER574" s="4"/>
      <c r="ES574" s="4"/>
      <c r="ET574" s="4">
        <v>96.32</v>
      </c>
      <c r="EU574" s="4"/>
      <c r="EV574" s="4"/>
      <c r="EW574" s="4"/>
      <c r="EX574" s="4"/>
      <c r="EY574" s="654"/>
      <c r="EZ574" s="655"/>
      <c r="FA574" s="4"/>
      <c r="FB574" s="4"/>
      <c r="FC574" s="4"/>
      <c r="FD574" s="4"/>
      <c r="FE574" s="4"/>
      <c r="FF574" s="4"/>
      <c r="FG574" s="4"/>
      <c r="FH574" s="4"/>
      <c r="FI574" s="4"/>
      <c r="FJ574" s="4"/>
      <c r="FK574" s="654"/>
      <c r="FL574" s="655"/>
      <c r="FM574" s="4"/>
      <c r="FN574" s="4"/>
      <c r="FO574" s="4"/>
      <c r="FP574" s="4"/>
      <c r="FQ574" s="4"/>
      <c r="FR574" s="4"/>
      <c r="FS574" s="4"/>
      <c r="FT574" s="4"/>
      <c r="FU574" s="4"/>
      <c r="FV574" s="4"/>
      <c r="FW574" s="654"/>
      <c r="FX574" s="655"/>
      <c r="FY574" s="4"/>
      <c r="FZ574" s="4"/>
      <c r="GA574" s="4"/>
      <c r="GB574" s="4"/>
      <c r="GC574" s="4"/>
      <c r="GD574" s="4"/>
      <c r="GE574" s="4"/>
      <c r="GF574" s="4"/>
      <c r="GG574" s="4"/>
      <c r="GH574" s="4"/>
      <c r="GI574" s="654"/>
      <c r="GJ574" s="655"/>
      <c r="GK574" s="4"/>
      <c r="GL574" s="4"/>
      <c r="GM574" s="4"/>
      <c r="GN574" s="4"/>
      <c r="GO574" s="4"/>
      <c r="GP574" s="4"/>
      <c r="GQ574" s="4"/>
      <c r="GR574" s="4"/>
      <c r="GS574" s="4"/>
      <c r="GT574" s="4"/>
      <c r="GU574" s="722"/>
      <c r="GV574" s="715"/>
    </row>
    <row r="575" spans="1:204" x14ac:dyDescent="0.25">
      <c r="A575" t="s">
        <v>2090</v>
      </c>
      <c r="B575" s="2" t="s">
        <v>2089</v>
      </c>
      <c r="C575" s="619">
        <v>44771</v>
      </c>
      <c r="D575" s="2" t="s">
        <v>2080</v>
      </c>
      <c r="E575" t="s">
        <v>58</v>
      </c>
      <c r="F575" s="2" t="s">
        <v>43</v>
      </c>
      <c r="G575" t="s">
        <v>40</v>
      </c>
      <c r="H575" s="690" t="s">
        <v>84</v>
      </c>
      <c r="I575" s="691" t="s">
        <v>2085</v>
      </c>
      <c r="J575" s="721">
        <v>2207392000190</v>
      </c>
      <c r="K575" s="691" t="s">
        <v>43</v>
      </c>
      <c r="L575" s="721">
        <v>3780401000108</v>
      </c>
      <c r="M575" s="718" t="s">
        <v>5</v>
      </c>
      <c r="N575" s="717" t="s">
        <v>44</v>
      </c>
      <c r="O575" s="719">
        <v>44743</v>
      </c>
      <c r="P575" s="720">
        <v>44773</v>
      </c>
      <c r="Q575" s="718">
        <v>96.52</v>
      </c>
      <c r="R575" s="717">
        <v>15</v>
      </c>
      <c r="S575" s="691" t="s">
        <v>54</v>
      </c>
      <c r="T575" t="s">
        <v>358</v>
      </c>
      <c r="U575" s="673" t="s">
        <v>358</v>
      </c>
      <c r="V575" s="690" t="s">
        <v>358</v>
      </c>
      <c r="W575" s="657" t="s">
        <v>329</v>
      </c>
      <c r="X575" s="723"/>
      <c r="Y575" s="4"/>
      <c r="Z575" s="4"/>
      <c r="AA575" s="4"/>
      <c r="AB575" s="4"/>
      <c r="AC575" s="4"/>
      <c r="AD575" s="4">
        <v>15</v>
      </c>
      <c r="AE575" s="4"/>
      <c r="AF575" s="4"/>
      <c r="AG575" s="4"/>
      <c r="AH575" s="4"/>
      <c r="AI575" s="654"/>
      <c r="AJ575" s="655"/>
      <c r="AK575" s="4"/>
      <c r="AL575" s="4"/>
      <c r="AM575" s="4"/>
      <c r="AN575" s="4"/>
      <c r="AO575" s="4"/>
      <c r="AP575" s="4"/>
      <c r="AQ575" s="4"/>
      <c r="AR575" s="4"/>
      <c r="AS575" s="4"/>
      <c r="AT575" s="4"/>
      <c r="AU575" s="654"/>
      <c r="AV575" s="655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654"/>
      <c r="BH575" s="655"/>
      <c r="BI575" s="4"/>
      <c r="BJ575" s="4"/>
      <c r="BK575" s="4"/>
      <c r="BL575" s="4"/>
      <c r="BM575" s="4"/>
      <c r="BN575" s="4"/>
      <c r="BO575" s="4"/>
      <c r="BP575" s="4"/>
      <c r="BQ575" s="4"/>
      <c r="BR575" s="4"/>
      <c r="BS575" s="654"/>
      <c r="BT575" s="655"/>
      <c r="BU575" s="4"/>
      <c r="BV575" s="4"/>
      <c r="BW575" s="4"/>
      <c r="BX575" s="4"/>
      <c r="BY575" s="4"/>
      <c r="BZ575" s="4"/>
      <c r="CA575" s="4"/>
      <c r="CB575" s="4"/>
      <c r="CC575" s="4"/>
      <c r="CD575" s="4"/>
      <c r="CE575" s="693"/>
      <c r="CF575" s="723"/>
      <c r="CG575" s="4"/>
      <c r="CH575" s="4"/>
      <c r="CI575" s="4"/>
      <c r="CJ575" s="4"/>
      <c r="CK575" s="4"/>
      <c r="CL575" s="4">
        <v>96.52</v>
      </c>
      <c r="CM575" s="4"/>
      <c r="CN575" s="4"/>
      <c r="CO575" s="4"/>
      <c r="CP575" s="4"/>
      <c r="CQ575" s="654"/>
      <c r="CR575" s="655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654"/>
      <c r="DD575" s="655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654"/>
      <c r="DP575" s="655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654"/>
      <c r="EB575" s="655"/>
      <c r="EC575" s="4"/>
      <c r="ED575" s="4"/>
      <c r="EE575" s="4"/>
      <c r="EF575" s="4"/>
      <c r="EG575" s="4"/>
      <c r="EH575" s="4"/>
      <c r="EI575" s="4"/>
      <c r="EJ575" s="4"/>
      <c r="EK575" s="4"/>
      <c r="EL575" s="4"/>
      <c r="EM575" s="693"/>
      <c r="EN575" s="723"/>
      <c r="EO575" s="4"/>
      <c r="EP575" s="4"/>
      <c r="EQ575" s="4"/>
      <c r="ER575" s="4"/>
      <c r="ES575" s="4"/>
      <c r="ET575" s="4">
        <v>96.52</v>
      </c>
      <c r="EU575" s="4"/>
      <c r="EV575" s="4"/>
      <c r="EW575" s="4"/>
      <c r="EX575" s="4"/>
      <c r="EY575" s="654"/>
      <c r="EZ575" s="655"/>
      <c r="FA575" s="4"/>
      <c r="FB575" s="4"/>
      <c r="FC575" s="4"/>
      <c r="FD575" s="4"/>
      <c r="FE575" s="4"/>
      <c r="FF575" s="4"/>
      <c r="FG575" s="4"/>
      <c r="FH575" s="4"/>
      <c r="FI575" s="4"/>
      <c r="FJ575" s="4"/>
      <c r="FK575" s="654"/>
      <c r="FL575" s="655"/>
      <c r="FM575" s="4"/>
      <c r="FN575" s="4"/>
      <c r="FO575" s="4"/>
      <c r="FP575" s="4"/>
      <c r="FQ575" s="4"/>
      <c r="FR575" s="4"/>
      <c r="FS575" s="4"/>
      <c r="FT575" s="4"/>
      <c r="FU575" s="4"/>
      <c r="FV575" s="4"/>
      <c r="FW575" s="654"/>
      <c r="FX575" s="655"/>
      <c r="FY575" s="4"/>
      <c r="FZ575" s="4"/>
      <c r="GA575" s="4"/>
      <c r="GB575" s="4"/>
      <c r="GC575" s="4"/>
      <c r="GD575" s="4"/>
      <c r="GE575" s="4"/>
      <c r="GF575" s="4"/>
      <c r="GG575" s="4"/>
      <c r="GH575" s="4"/>
      <c r="GI575" s="654"/>
      <c r="GJ575" s="655"/>
      <c r="GK575" s="4"/>
      <c r="GL575" s="4"/>
      <c r="GM575" s="4"/>
      <c r="GN575" s="4"/>
      <c r="GO575" s="4"/>
      <c r="GP575" s="4"/>
      <c r="GQ575" s="4"/>
      <c r="GR575" s="4"/>
      <c r="GS575" s="4"/>
      <c r="GT575" s="4"/>
      <c r="GU575" s="722"/>
      <c r="GV575" s="715"/>
    </row>
    <row r="576" spans="1:204" x14ac:dyDescent="0.25">
      <c r="A576" t="s">
        <v>2091</v>
      </c>
      <c r="B576" s="2" t="s">
        <v>358</v>
      </c>
      <c r="C576" s="619">
        <v>44771</v>
      </c>
      <c r="D576" s="2" t="s">
        <v>2081</v>
      </c>
      <c r="E576" t="s">
        <v>59</v>
      </c>
      <c r="F576" s="2" t="s">
        <v>43</v>
      </c>
      <c r="G576" t="s">
        <v>40</v>
      </c>
      <c r="H576" s="690" t="s">
        <v>85</v>
      </c>
      <c r="I576" s="691" t="s">
        <v>43</v>
      </c>
      <c r="J576" s="721">
        <v>3780401000108</v>
      </c>
      <c r="K576" s="691" t="s">
        <v>502</v>
      </c>
      <c r="L576" s="721">
        <v>4270778000171</v>
      </c>
      <c r="M576" s="718" t="s">
        <v>3</v>
      </c>
      <c r="N576" s="717" t="s">
        <v>44</v>
      </c>
      <c r="O576" s="719">
        <v>44774</v>
      </c>
      <c r="P576" s="720">
        <v>44804</v>
      </c>
      <c r="Q576" s="718">
        <v>94</v>
      </c>
      <c r="R576" s="717">
        <v>5</v>
      </c>
      <c r="S576" s="691" t="s">
        <v>54</v>
      </c>
      <c r="T576" t="s">
        <v>358</v>
      </c>
      <c r="U576" s="673" t="s">
        <v>358</v>
      </c>
      <c r="V576" s="690" t="s">
        <v>358</v>
      </c>
      <c r="W576" s="657" t="s">
        <v>214</v>
      </c>
      <c r="X576" s="723"/>
      <c r="Y576" s="4"/>
      <c r="Z576" s="4"/>
      <c r="AA576" s="4"/>
      <c r="AB576" s="4"/>
      <c r="AC576" s="4"/>
      <c r="AD576" s="4"/>
      <c r="AE576" s="4">
        <v>5</v>
      </c>
      <c r="AF576" s="4"/>
      <c r="AG576" s="4"/>
      <c r="AH576" s="4"/>
      <c r="AI576" s="654"/>
      <c r="AJ576" s="655"/>
      <c r="AK576" s="4"/>
      <c r="AL576" s="4"/>
      <c r="AM576" s="4"/>
      <c r="AN576" s="4"/>
      <c r="AO576" s="4"/>
      <c r="AP576" s="4"/>
      <c r="AQ576" s="4"/>
      <c r="AR576" s="4"/>
      <c r="AS576" s="4"/>
      <c r="AT576" s="4"/>
      <c r="AU576" s="654"/>
      <c r="AV576" s="655"/>
      <c r="AW576" s="4"/>
      <c r="AX576" s="4"/>
      <c r="AY576" s="4"/>
      <c r="AZ576" s="4"/>
      <c r="BA576" s="4"/>
      <c r="BB576" s="4"/>
      <c r="BC576" s="4"/>
      <c r="BD576" s="4"/>
      <c r="BE576" s="4"/>
      <c r="BF576" s="4"/>
      <c r="BG576" s="654"/>
      <c r="BH576" s="655"/>
      <c r="BI576" s="4"/>
      <c r="BJ576" s="4"/>
      <c r="BK576" s="4"/>
      <c r="BL576" s="4"/>
      <c r="BM576" s="4"/>
      <c r="BN576" s="4"/>
      <c r="BO576" s="4"/>
      <c r="BP576" s="4"/>
      <c r="BQ576" s="4"/>
      <c r="BR576" s="4"/>
      <c r="BS576" s="654"/>
      <c r="BT576" s="655"/>
      <c r="BU576" s="4"/>
      <c r="BV576" s="4"/>
      <c r="BW576" s="4"/>
      <c r="BX576" s="4"/>
      <c r="BY576" s="4"/>
      <c r="BZ576" s="4"/>
      <c r="CA576" s="4"/>
      <c r="CB576" s="4"/>
      <c r="CC576" s="4"/>
      <c r="CD576" s="4"/>
      <c r="CE576" s="693"/>
      <c r="CF576" s="723"/>
      <c r="CG576" s="4"/>
      <c r="CH576" s="4"/>
      <c r="CI576" s="4"/>
      <c r="CJ576" s="4"/>
      <c r="CK576" s="4"/>
      <c r="CL576" s="4"/>
      <c r="CM576" s="4">
        <v>94</v>
      </c>
      <c r="CN576" s="4"/>
      <c r="CO576" s="4"/>
      <c r="CP576" s="4"/>
      <c r="CQ576" s="654"/>
      <c r="CR576" s="655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654"/>
      <c r="DD576" s="655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654"/>
      <c r="DP576" s="655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654"/>
      <c r="EB576" s="655"/>
      <c r="EC576" s="4"/>
      <c r="ED576" s="4"/>
      <c r="EE576" s="4"/>
      <c r="EF576" s="4"/>
      <c r="EG576" s="4"/>
      <c r="EH576" s="4"/>
      <c r="EI576" s="4"/>
      <c r="EJ576" s="4"/>
      <c r="EK576" s="4"/>
      <c r="EL576" s="4"/>
      <c r="EM576" s="693"/>
      <c r="EN576" s="723"/>
      <c r="EO576" s="4"/>
      <c r="EP576" s="4"/>
      <c r="EQ576" s="4"/>
      <c r="ER576" s="4"/>
      <c r="ES576" s="4"/>
      <c r="ET576" s="4"/>
      <c r="EU576" s="4">
        <v>94</v>
      </c>
      <c r="EV576" s="4"/>
      <c r="EW576" s="4"/>
      <c r="EX576" s="4"/>
      <c r="EY576" s="654"/>
      <c r="EZ576" s="655"/>
      <c r="FA576" s="4"/>
      <c r="FB576" s="4"/>
      <c r="FC576" s="4"/>
      <c r="FD576" s="4"/>
      <c r="FE576" s="4"/>
      <c r="FF576" s="4"/>
      <c r="FG576" s="4"/>
      <c r="FH576" s="4"/>
      <c r="FI576" s="4"/>
      <c r="FJ576" s="4"/>
      <c r="FK576" s="654"/>
      <c r="FL576" s="655"/>
      <c r="FM576" s="4"/>
      <c r="FN576" s="4"/>
      <c r="FO576" s="4"/>
      <c r="FP576" s="4"/>
      <c r="FQ576" s="4"/>
      <c r="FR576" s="4"/>
      <c r="FS576" s="4"/>
      <c r="FT576" s="4"/>
      <c r="FU576" s="4"/>
      <c r="FV576" s="4"/>
      <c r="FW576" s="654"/>
      <c r="FX576" s="655"/>
      <c r="FY576" s="4"/>
      <c r="FZ576" s="4"/>
      <c r="GA576" s="4"/>
      <c r="GB576" s="4"/>
      <c r="GC576" s="4"/>
      <c r="GD576" s="4"/>
      <c r="GE576" s="4"/>
      <c r="GF576" s="4"/>
      <c r="GG576" s="4"/>
      <c r="GH576" s="4"/>
      <c r="GI576" s="654"/>
      <c r="GJ576" s="655"/>
      <c r="GK576" s="4"/>
      <c r="GL576" s="4"/>
      <c r="GM576" s="4"/>
      <c r="GN576" s="4"/>
      <c r="GO576" s="4"/>
      <c r="GP576" s="4"/>
      <c r="GQ576" s="4"/>
      <c r="GR576" s="4"/>
      <c r="GS576" s="4"/>
      <c r="GT576" s="4"/>
      <c r="GU576" s="722"/>
      <c r="GV576" s="715"/>
    </row>
    <row r="577" spans="1:204" x14ac:dyDescent="0.25">
      <c r="A577" t="s">
        <v>2092</v>
      </c>
      <c r="B577" s="2" t="s">
        <v>358</v>
      </c>
      <c r="C577" s="619">
        <v>44771</v>
      </c>
      <c r="D577" s="2" t="s">
        <v>2082</v>
      </c>
      <c r="E577" t="s">
        <v>59</v>
      </c>
      <c r="F577" s="2" t="s">
        <v>43</v>
      </c>
      <c r="G577" t="s">
        <v>40</v>
      </c>
      <c r="H577" s="690" t="s">
        <v>85</v>
      </c>
      <c r="I577" s="691" t="s">
        <v>43</v>
      </c>
      <c r="J577" s="721">
        <v>3780401000108</v>
      </c>
      <c r="K577" s="691" t="s">
        <v>474</v>
      </c>
      <c r="L577" s="721">
        <v>30483222000173</v>
      </c>
      <c r="M577" s="718" t="s">
        <v>3</v>
      </c>
      <c r="N577" s="717" t="s">
        <v>44</v>
      </c>
      <c r="O577" s="719">
        <v>44774</v>
      </c>
      <c r="P577" s="720">
        <v>44804</v>
      </c>
      <c r="Q577" s="718">
        <v>94</v>
      </c>
      <c r="R577" s="717">
        <v>5</v>
      </c>
      <c r="S577" s="691" t="s">
        <v>54</v>
      </c>
      <c r="T577" t="s">
        <v>358</v>
      </c>
      <c r="U577" s="673" t="s">
        <v>358</v>
      </c>
      <c r="V577" s="690" t="s">
        <v>358</v>
      </c>
      <c r="W577" s="657" t="s">
        <v>214</v>
      </c>
      <c r="X577" s="723"/>
      <c r="Y577" s="4"/>
      <c r="Z577" s="4"/>
      <c r="AA577" s="4"/>
      <c r="AB577" s="4"/>
      <c r="AC577" s="4"/>
      <c r="AD577" s="4"/>
      <c r="AE577" s="4">
        <v>5</v>
      </c>
      <c r="AF577" s="4"/>
      <c r="AG577" s="4"/>
      <c r="AH577" s="4"/>
      <c r="AI577" s="654"/>
      <c r="AJ577" s="655"/>
      <c r="AK577" s="4"/>
      <c r="AL577" s="4"/>
      <c r="AM577" s="4"/>
      <c r="AN577" s="4"/>
      <c r="AO577" s="4"/>
      <c r="AP577" s="4"/>
      <c r="AQ577" s="4"/>
      <c r="AR577" s="4"/>
      <c r="AS577" s="4"/>
      <c r="AT577" s="4"/>
      <c r="AU577" s="654"/>
      <c r="AV577" s="655"/>
      <c r="AW577" s="4"/>
      <c r="AX577" s="4"/>
      <c r="AY577" s="4"/>
      <c r="AZ577" s="4"/>
      <c r="BA577" s="4"/>
      <c r="BB577" s="4"/>
      <c r="BC577" s="4"/>
      <c r="BD577" s="4"/>
      <c r="BE577" s="4"/>
      <c r="BF577" s="4"/>
      <c r="BG577" s="654"/>
      <c r="BH577" s="655"/>
      <c r="BI577" s="4"/>
      <c r="BJ577" s="4"/>
      <c r="BK577" s="4"/>
      <c r="BL577" s="4"/>
      <c r="BM577" s="4"/>
      <c r="BN577" s="4"/>
      <c r="BO577" s="4"/>
      <c r="BP577" s="4"/>
      <c r="BQ577" s="4"/>
      <c r="BR577" s="4"/>
      <c r="BS577" s="654"/>
      <c r="BT577" s="655"/>
      <c r="BU577" s="4"/>
      <c r="BV577" s="4"/>
      <c r="BW577" s="4"/>
      <c r="BX577" s="4"/>
      <c r="BY577" s="4"/>
      <c r="BZ577" s="4"/>
      <c r="CA577" s="4"/>
      <c r="CB577" s="4"/>
      <c r="CC577" s="4"/>
      <c r="CD577" s="4"/>
      <c r="CE577" s="693"/>
      <c r="CF577" s="723"/>
      <c r="CG577" s="4"/>
      <c r="CH577" s="4"/>
      <c r="CI577" s="4"/>
      <c r="CJ577" s="4"/>
      <c r="CK577" s="4"/>
      <c r="CL577" s="4"/>
      <c r="CM577" s="4">
        <v>94</v>
      </c>
      <c r="CN577" s="4"/>
      <c r="CO577" s="4"/>
      <c r="CP577" s="4"/>
      <c r="CQ577" s="654"/>
      <c r="CR577" s="655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654"/>
      <c r="DD577" s="655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654"/>
      <c r="DP577" s="655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654"/>
      <c r="EB577" s="655"/>
      <c r="EC577" s="4"/>
      <c r="ED577" s="4"/>
      <c r="EE577" s="4"/>
      <c r="EF577" s="4"/>
      <c r="EG577" s="4"/>
      <c r="EH577" s="4"/>
      <c r="EI577" s="4"/>
      <c r="EJ577" s="4"/>
      <c r="EK577" s="4"/>
      <c r="EL577" s="4"/>
      <c r="EM577" s="693"/>
      <c r="EN577" s="723"/>
      <c r="EO577" s="4"/>
      <c r="EP577" s="4"/>
      <c r="EQ577" s="4"/>
      <c r="ER577" s="4"/>
      <c r="ES577" s="4"/>
      <c r="ET577" s="4"/>
      <c r="EU577" s="4">
        <v>94</v>
      </c>
      <c r="EV577" s="4"/>
      <c r="EW577" s="4"/>
      <c r="EX577" s="4"/>
      <c r="EY577" s="654"/>
      <c r="EZ577" s="655"/>
      <c r="FA577" s="4"/>
      <c r="FB577" s="4"/>
      <c r="FC577" s="4"/>
      <c r="FD577" s="4"/>
      <c r="FE577" s="4"/>
      <c r="FF577" s="4"/>
      <c r="FG577" s="4"/>
      <c r="FH577" s="4"/>
      <c r="FI577" s="4"/>
      <c r="FJ577" s="4"/>
      <c r="FK577" s="654"/>
      <c r="FL577" s="655"/>
      <c r="FM577" s="4"/>
      <c r="FN577" s="4"/>
      <c r="FO577" s="4"/>
      <c r="FP577" s="4"/>
      <c r="FQ577" s="4"/>
      <c r="FR577" s="4"/>
      <c r="FS577" s="4"/>
      <c r="FT577" s="4"/>
      <c r="FU577" s="4"/>
      <c r="FV577" s="4"/>
      <c r="FW577" s="654"/>
      <c r="FX577" s="655"/>
      <c r="FY577" s="4"/>
      <c r="FZ577" s="4"/>
      <c r="GA577" s="4"/>
      <c r="GB577" s="4"/>
      <c r="GC577" s="4"/>
      <c r="GD577" s="4"/>
      <c r="GE577" s="4"/>
      <c r="GF577" s="4"/>
      <c r="GG577" s="4"/>
      <c r="GH577" s="4"/>
      <c r="GI577" s="654"/>
      <c r="GJ577" s="655"/>
      <c r="GK577" s="4"/>
      <c r="GL577" s="4"/>
      <c r="GM577" s="4"/>
      <c r="GN577" s="4"/>
      <c r="GO577" s="4"/>
      <c r="GP577" s="4"/>
      <c r="GQ577" s="4"/>
      <c r="GR577" s="4"/>
      <c r="GS577" s="4"/>
      <c r="GT577" s="4"/>
      <c r="GU577" s="722"/>
      <c r="GV577" s="715"/>
    </row>
    <row r="578" spans="1:204" x14ac:dyDescent="0.25">
      <c r="A578" t="s">
        <v>2093</v>
      </c>
      <c r="B578" s="2" t="s">
        <v>358</v>
      </c>
      <c r="C578" s="619">
        <v>44771</v>
      </c>
      <c r="D578" s="2" t="s">
        <v>2083</v>
      </c>
      <c r="E578" t="s">
        <v>59</v>
      </c>
      <c r="F578" s="2" t="s">
        <v>43</v>
      </c>
      <c r="G578" t="s">
        <v>40</v>
      </c>
      <c r="H578" s="690" t="s">
        <v>85</v>
      </c>
      <c r="I578" s="691" t="s">
        <v>43</v>
      </c>
      <c r="J578" s="721">
        <v>3780401000108</v>
      </c>
      <c r="K578" s="691" t="s">
        <v>876</v>
      </c>
      <c r="L578" s="721">
        <v>22109465000118</v>
      </c>
      <c r="M578" s="718" t="s">
        <v>3</v>
      </c>
      <c r="N578" s="717" t="s">
        <v>44</v>
      </c>
      <c r="O578" s="719">
        <v>44866</v>
      </c>
      <c r="P578" s="720">
        <v>44895</v>
      </c>
      <c r="Q578" s="718">
        <v>113</v>
      </c>
      <c r="R578" s="717">
        <v>2</v>
      </c>
      <c r="S578" s="691" t="s">
        <v>54</v>
      </c>
      <c r="T578" t="s">
        <v>358</v>
      </c>
      <c r="U578" s="673" t="s">
        <v>358</v>
      </c>
      <c r="V578" s="690" t="s">
        <v>358</v>
      </c>
      <c r="W578" s="657" t="s">
        <v>214</v>
      </c>
      <c r="X578" s="723"/>
      <c r="Y578" s="4"/>
      <c r="Z578" s="4"/>
      <c r="AA578" s="4"/>
      <c r="AB578" s="4"/>
      <c r="AC578" s="4"/>
      <c r="AD578" s="4"/>
      <c r="AE578" s="4"/>
      <c r="AF578" s="4"/>
      <c r="AG578" s="4"/>
      <c r="AH578" s="4">
        <v>2</v>
      </c>
      <c r="AI578" s="654"/>
      <c r="AJ578" s="655"/>
      <c r="AK578" s="4"/>
      <c r="AL578" s="4"/>
      <c r="AM578" s="4"/>
      <c r="AN578" s="4"/>
      <c r="AO578" s="4"/>
      <c r="AP578" s="4"/>
      <c r="AQ578" s="4"/>
      <c r="AR578" s="4"/>
      <c r="AS578" s="4"/>
      <c r="AT578" s="4"/>
      <c r="AU578" s="654"/>
      <c r="AV578" s="655"/>
      <c r="AW578" s="4"/>
      <c r="AX578" s="4"/>
      <c r="AY578" s="4"/>
      <c r="AZ578" s="4"/>
      <c r="BA578" s="4"/>
      <c r="BB578" s="4"/>
      <c r="BC578" s="4"/>
      <c r="BD578" s="4"/>
      <c r="BE578" s="4"/>
      <c r="BF578" s="4"/>
      <c r="BG578" s="654"/>
      <c r="BH578" s="655"/>
      <c r="BI578" s="4"/>
      <c r="BJ578" s="4"/>
      <c r="BK578" s="4"/>
      <c r="BL578" s="4"/>
      <c r="BM578" s="4"/>
      <c r="BN578" s="4"/>
      <c r="BO578" s="4"/>
      <c r="BP578" s="4"/>
      <c r="BQ578" s="4"/>
      <c r="BR578" s="4"/>
      <c r="BS578" s="654"/>
      <c r="BT578" s="655"/>
      <c r="BU578" s="4"/>
      <c r="BV578" s="4"/>
      <c r="BW578" s="4"/>
      <c r="BX578" s="4"/>
      <c r="BY578" s="4"/>
      <c r="BZ578" s="4"/>
      <c r="CA578" s="4"/>
      <c r="CB578" s="4"/>
      <c r="CC578" s="4"/>
      <c r="CD578" s="4"/>
      <c r="CE578" s="693"/>
      <c r="CF578" s="723"/>
      <c r="CG578" s="4"/>
      <c r="CH578" s="4"/>
      <c r="CI578" s="4"/>
      <c r="CJ578" s="4"/>
      <c r="CK578" s="4"/>
      <c r="CL578" s="4"/>
      <c r="CM578" s="4"/>
      <c r="CN578" s="4"/>
      <c r="CO578" s="4"/>
      <c r="CP578" s="4">
        <v>113</v>
      </c>
      <c r="CQ578" s="654"/>
      <c r="CR578" s="655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654"/>
      <c r="DD578" s="655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654"/>
      <c r="DP578" s="655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654"/>
      <c r="EB578" s="655"/>
      <c r="EC578" s="4"/>
      <c r="ED578" s="4"/>
      <c r="EE578" s="4"/>
      <c r="EF578" s="4"/>
      <c r="EG578" s="4"/>
      <c r="EH578" s="4"/>
      <c r="EI578" s="4"/>
      <c r="EJ578" s="4"/>
      <c r="EK578" s="4"/>
      <c r="EL578" s="4"/>
      <c r="EM578" s="693"/>
      <c r="EN578" s="723"/>
      <c r="EO578" s="4"/>
      <c r="EP578" s="4"/>
      <c r="EQ578" s="4"/>
      <c r="ER578" s="4"/>
      <c r="ES578" s="4"/>
      <c r="ET578" s="4"/>
      <c r="EU578" s="4"/>
      <c r="EV578" s="4"/>
      <c r="EW578" s="4"/>
      <c r="EX578" s="4">
        <v>113</v>
      </c>
      <c r="EY578" s="654"/>
      <c r="EZ578" s="655"/>
      <c r="FA578" s="4"/>
      <c r="FB578" s="4"/>
      <c r="FC578" s="4"/>
      <c r="FD578" s="4"/>
      <c r="FE578" s="4"/>
      <c r="FF578" s="4"/>
      <c r="FG578" s="4"/>
      <c r="FH578" s="4"/>
      <c r="FI578" s="4"/>
      <c r="FJ578" s="4"/>
      <c r="FK578" s="654"/>
      <c r="FL578" s="655"/>
      <c r="FM578" s="4"/>
      <c r="FN578" s="4"/>
      <c r="FO578" s="4"/>
      <c r="FP578" s="4"/>
      <c r="FQ578" s="4"/>
      <c r="FR578" s="4"/>
      <c r="FS578" s="4"/>
      <c r="FT578" s="4"/>
      <c r="FU578" s="4"/>
      <c r="FV578" s="4"/>
      <c r="FW578" s="654"/>
      <c r="FX578" s="655"/>
      <c r="FY578" s="4"/>
      <c r="FZ578" s="4"/>
      <c r="GA578" s="4"/>
      <c r="GB578" s="4"/>
      <c r="GC578" s="4"/>
      <c r="GD578" s="4"/>
      <c r="GE578" s="4"/>
      <c r="GF578" s="4"/>
      <c r="GG578" s="4"/>
      <c r="GH578" s="4"/>
      <c r="GI578" s="654"/>
      <c r="GJ578" s="655"/>
      <c r="GK578" s="4"/>
      <c r="GL578" s="4"/>
      <c r="GM578" s="4"/>
      <c r="GN578" s="4"/>
      <c r="GO578" s="4"/>
      <c r="GP578" s="4"/>
      <c r="GQ578" s="4"/>
      <c r="GR578" s="4"/>
      <c r="GS578" s="4"/>
      <c r="GT578" s="4"/>
      <c r="GU578" s="722"/>
      <c r="GV578" s="715"/>
    </row>
    <row r="579" spans="1:204" x14ac:dyDescent="0.25">
      <c r="A579" t="s">
        <v>2094</v>
      </c>
      <c r="B579" s="2" t="s">
        <v>358</v>
      </c>
      <c r="C579" s="619">
        <v>44771</v>
      </c>
      <c r="D579" s="2" t="s">
        <v>2084</v>
      </c>
      <c r="E579" t="s">
        <v>59</v>
      </c>
      <c r="F579" s="2" t="s">
        <v>43</v>
      </c>
      <c r="G579" t="s">
        <v>40</v>
      </c>
      <c r="H579" s="690" t="s">
        <v>85</v>
      </c>
      <c r="I579" s="691" t="s">
        <v>43</v>
      </c>
      <c r="J579" s="721">
        <v>3780401000108</v>
      </c>
      <c r="K579" s="691" t="s">
        <v>510</v>
      </c>
      <c r="L579" s="721">
        <v>28397998000129</v>
      </c>
      <c r="M579" s="718" t="s">
        <v>3</v>
      </c>
      <c r="N579" s="717" t="s">
        <v>44</v>
      </c>
      <c r="O579" s="719">
        <v>44774</v>
      </c>
      <c r="P579" s="720">
        <v>44804</v>
      </c>
      <c r="Q579" s="718">
        <v>93</v>
      </c>
      <c r="R579" s="717">
        <v>5</v>
      </c>
      <c r="S579" s="691" t="s">
        <v>54</v>
      </c>
      <c r="T579" t="s">
        <v>358</v>
      </c>
      <c r="U579" s="673" t="s">
        <v>358</v>
      </c>
      <c r="V579" s="690" t="s">
        <v>358</v>
      </c>
      <c r="W579" s="657" t="s">
        <v>214</v>
      </c>
      <c r="X579" s="723"/>
      <c r="Y579" s="4"/>
      <c r="Z579" s="4"/>
      <c r="AA579" s="4"/>
      <c r="AB579" s="4"/>
      <c r="AC579" s="4"/>
      <c r="AD579" s="4"/>
      <c r="AE579" s="4">
        <v>5</v>
      </c>
      <c r="AF579" s="4"/>
      <c r="AG579" s="4"/>
      <c r="AH579" s="4"/>
      <c r="AI579" s="654"/>
      <c r="AJ579" s="655"/>
      <c r="AK579" s="4"/>
      <c r="AL579" s="4"/>
      <c r="AM579" s="4"/>
      <c r="AN579" s="4"/>
      <c r="AO579" s="4"/>
      <c r="AP579" s="4"/>
      <c r="AQ579" s="4"/>
      <c r="AR579" s="4"/>
      <c r="AS579" s="4"/>
      <c r="AT579" s="4"/>
      <c r="AU579" s="654"/>
      <c r="AV579" s="655"/>
      <c r="AW579" s="4"/>
      <c r="AX579" s="4"/>
      <c r="AY579" s="4"/>
      <c r="AZ579" s="4"/>
      <c r="BA579" s="4"/>
      <c r="BB579" s="4"/>
      <c r="BC579" s="4"/>
      <c r="BD579" s="4"/>
      <c r="BE579" s="4"/>
      <c r="BF579" s="4"/>
      <c r="BG579" s="654"/>
      <c r="BH579" s="655"/>
      <c r="BI579" s="4"/>
      <c r="BJ579" s="4"/>
      <c r="BK579" s="4"/>
      <c r="BL579" s="4"/>
      <c r="BM579" s="4"/>
      <c r="BN579" s="4"/>
      <c r="BO579" s="4"/>
      <c r="BP579" s="4"/>
      <c r="BQ579" s="4"/>
      <c r="BR579" s="4"/>
      <c r="BS579" s="654"/>
      <c r="BT579" s="655"/>
      <c r="BU579" s="4"/>
      <c r="BV579" s="4"/>
      <c r="BW579" s="4"/>
      <c r="BX579" s="4"/>
      <c r="BY579" s="4"/>
      <c r="BZ579" s="4"/>
      <c r="CA579" s="4"/>
      <c r="CB579" s="4"/>
      <c r="CC579" s="4"/>
      <c r="CD579" s="4"/>
      <c r="CE579" s="693"/>
      <c r="CF579" s="723"/>
      <c r="CG579" s="4"/>
      <c r="CH579" s="4"/>
      <c r="CI579" s="4"/>
      <c r="CJ579" s="4"/>
      <c r="CK579" s="4"/>
      <c r="CL579" s="4"/>
      <c r="CM579" s="4">
        <v>93</v>
      </c>
      <c r="CN579" s="4"/>
      <c r="CO579" s="4"/>
      <c r="CP579" s="4"/>
      <c r="CQ579" s="654"/>
      <c r="CR579" s="655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654"/>
      <c r="DD579" s="655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654"/>
      <c r="DP579" s="655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654"/>
      <c r="EB579" s="655"/>
      <c r="EC579" s="4"/>
      <c r="ED579" s="4"/>
      <c r="EE579" s="4"/>
      <c r="EF579" s="4"/>
      <c r="EG579" s="4"/>
      <c r="EH579" s="4"/>
      <c r="EI579" s="4"/>
      <c r="EJ579" s="4"/>
      <c r="EK579" s="4"/>
      <c r="EL579" s="4"/>
      <c r="EM579" s="693"/>
      <c r="EN579" s="723"/>
      <c r="EO579" s="4"/>
      <c r="EP579" s="4"/>
      <c r="EQ579" s="4"/>
      <c r="ER579" s="4"/>
      <c r="ES579" s="4"/>
      <c r="ET579" s="4"/>
      <c r="EU579" s="4">
        <v>93</v>
      </c>
      <c r="EV579" s="4"/>
      <c r="EW579" s="4"/>
      <c r="EX579" s="4"/>
      <c r="EY579" s="654"/>
      <c r="EZ579" s="655"/>
      <c r="FA579" s="4"/>
      <c r="FB579" s="4"/>
      <c r="FC579" s="4"/>
      <c r="FD579" s="4"/>
      <c r="FE579" s="4"/>
      <c r="FF579" s="4"/>
      <c r="FG579" s="4"/>
      <c r="FH579" s="4"/>
      <c r="FI579" s="4"/>
      <c r="FJ579" s="4"/>
      <c r="FK579" s="654"/>
      <c r="FL579" s="655"/>
      <c r="FM579" s="4"/>
      <c r="FN579" s="4"/>
      <c r="FO579" s="4"/>
      <c r="FP579" s="4"/>
      <c r="FQ579" s="4"/>
      <c r="FR579" s="4"/>
      <c r="FS579" s="4"/>
      <c r="FT579" s="4"/>
      <c r="FU579" s="4"/>
      <c r="FV579" s="4"/>
      <c r="FW579" s="654"/>
      <c r="FX579" s="655"/>
      <c r="FY579" s="4"/>
      <c r="FZ579" s="4"/>
      <c r="GA579" s="4"/>
      <c r="GB579" s="4"/>
      <c r="GC579" s="4"/>
      <c r="GD579" s="4"/>
      <c r="GE579" s="4"/>
      <c r="GF579" s="4"/>
      <c r="GG579" s="4"/>
      <c r="GH579" s="4"/>
      <c r="GI579" s="654"/>
      <c r="GJ579" s="655"/>
      <c r="GK579" s="4"/>
      <c r="GL579" s="4"/>
      <c r="GM579" s="4"/>
      <c r="GN579" s="4"/>
      <c r="GO579" s="4"/>
      <c r="GP579" s="4"/>
      <c r="GQ579" s="4"/>
      <c r="GR579" s="4"/>
      <c r="GS579" s="4"/>
      <c r="GT579" s="4"/>
      <c r="GU579" s="722"/>
      <c r="GV579" s="715"/>
    </row>
    <row r="580" spans="1:204" x14ac:dyDescent="0.25">
      <c r="A580" t="s">
        <v>2096</v>
      </c>
      <c r="B580" s="2" t="s">
        <v>2095</v>
      </c>
      <c r="C580" s="619">
        <v>44771</v>
      </c>
      <c r="D580" s="2">
        <v>26359</v>
      </c>
      <c r="E580" t="s">
        <v>58</v>
      </c>
      <c r="F580" s="2" t="s">
        <v>43</v>
      </c>
      <c r="G580" t="s">
        <v>40</v>
      </c>
      <c r="H580" s="690" t="s">
        <v>84</v>
      </c>
      <c r="I580" s="691" t="s">
        <v>2086</v>
      </c>
      <c r="J580" s="721">
        <v>5980986000127</v>
      </c>
      <c r="K580" s="691" t="s">
        <v>43</v>
      </c>
      <c r="L580" s="721">
        <v>3780401000108</v>
      </c>
      <c r="M580" s="718" t="s">
        <v>5</v>
      </c>
      <c r="N580" s="717" t="s">
        <v>44</v>
      </c>
      <c r="O580" s="719">
        <v>44743</v>
      </c>
      <c r="P580" s="720">
        <v>44773</v>
      </c>
      <c r="Q580" s="718">
        <v>30</v>
      </c>
      <c r="R580" s="717">
        <v>7</v>
      </c>
      <c r="S580" s="691" t="s">
        <v>92</v>
      </c>
      <c r="T580" t="s">
        <v>358</v>
      </c>
      <c r="U580" s="673" t="s">
        <v>358</v>
      </c>
      <c r="V580" s="690" t="s">
        <v>358</v>
      </c>
      <c r="W580" s="657" t="s">
        <v>329</v>
      </c>
      <c r="X580" s="723"/>
      <c r="Y580" s="4"/>
      <c r="Z580" s="4"/>
      <c r="AA580" s="4"/>
      <c r="AB580" s="4"/>
      <c r="AC580" s="4"/>
      <c r="AD580" s="4">
        <v>7</v>
      </c>
      <c r="AE580" s="4"/>
      <c r="AF580" s="4"/>
      <c r="AG580" s="4"/>
      <c r="AH580" s="4"/>
      <c r="AI580" s="654"/>
      <c r="AJ580" s="655"/>
      <c r="AK580" s="4"/>
      <c r="AL580" s="4"/>
      <c r="AM580" s="4"/>
      <c r="AN580" s="4"/>
      <c r="AO580" s="4"/>
      <c r="AP580" s="4"/>
      <c r="AQ580" s="4"/>
      <c r="AR580" s="4"/>
      <c r="AS580" s="4"/>
      <c r="AT580" s="4"/>
      <c r="AU580" s="654"/>
      <c r="AV580" s="655"/>
      <c r="AW580" s="4"/>
      <c r="AX580" s="4"/>
      <c r="AY580" s="4"/>
      <c r="AZ580" s="4"/>
      <c r="BA580" s="4"/>
      <c r="BB580" s="4"/>
      <c r="BC580" s="4"/>
      <c r="BD580" s="4"/>
      <c r="BE580" s="4"/>
      <c r="BF580" s="4"/>
      <c r="BG580" s="654"/>
      <c r="BH580" s="655"/>
      <c r="BI580" s="4"/>
      <c r="BJ580" s="4"/>
      <c r="BK580" s="4"/>
      <c r="BL580" s="4"/>
      <c r="BM580" s="4"/>
      <c r="BN580" s="4"/>
      <c r="BO580" s="4"/>
      <c r="BP580" s="4"/>
      <c r="BQ580" s="4"/>
      <c r="BR580" s="4"/>
      <c r="BS580" s="654"/>
      <c r="BT580" s="655"/>
      <c r="BU580" s="4"/>
      <c r="BV580" s="4"/>
      <c r="BW580" s="4"/>
      <c r="BX580" s="4"/>
      <c r="BY580" s="4"/>
      <c r="BZ580" s="4"/>
      <c r="CA580" s="4"/>
      <c r="CB580" s="4"/>
      <c r="CC580" s="4"/>
      <c r="CD580" s="4"/>
      <c r="CE580" s="693"/>
      <c r="CF580" s="723"/>
      <c r="CG580" s="4"/>
      <c r="CH580" s="4"/>
      <c r="CI580" s="4"/>
      <c r="CJ580" s="4"/>
      <c r="CK580" s="4"/>
      <c r="CL580" s="4">
        <v>30</v>
      </c>
      <c r="CM580" s="4"/>
      <c r="CN580" s="4"/>
      <c r="CO580" s="4"/>
      <c r="CP580" s="4"/>
      <c r="CQ580" s="654"/>
      <c r="CR580" s="655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654"/>
      <c r="DD580" s="655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654"/>
      <c r="DP580" s="655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654"/>
      <c r="EB580" s="655"/>
      <c r="EC580" s="4"/>
      <c r="ED580" s="4"/>
      <c r="EE580" s="4"/>
      <c r="EF580" s="4"/>
      <c r="EG580" s="4"/>
      <c r="EH580" s="4"/>
      <c r="EI580" s="4"/>
      <c r="EJ580" s="4"/>
      <c r="EK580" s="4"/>
      <c r="EL580" s="4"/>
      <c r="EM580" s="693"/>
      <c r="EN580" s="723"/>
      <c r="EO580" s="4"/>
      <c r="EP580" s="4"/>
      <c r="EQ580" s="4"/>
      <c r="ER580" s="4"/>
      <c r="ES580" s="4"/>
      <c r="ET580" s="4">
        <v>96.32</v>
      </c>
      <c r="EU580" s="4"/>
      <c r="EV580" s="4"/>
      <c r="EW580" s="4"/>
      <c r="EX580" s="4"/>
      <c r="EY580" s="654"/>
      <c r="EZ580" s="655"/>
      <c r="FA580" s="4"/>
      <c r="FB580" s="4"/>
      <c r="FC580" s="4"/>
      <c r="FD580" s="4"/>
      <c r="FE580" s="4"/>
      <c r="FF580" s="4"/>
      <c r="FG580" s="4"/>
      <c r="FH580" s="4"/>
      <c r="FI580" s="4"/>
      <c r="FJ580" s="4"/>
      <c r="FK580" s="654"/>
      <c r="FL580" s="655"/>
      <c r="FM580" s="4"/>
      <c r="FN580" s="4"/>
      <c r="FO580" s="4"/>
      <c r="FP580" s="4"/>
      <c r="FQ580" s="4"/>
      <c r="FR580" s="4"/>
      <c r="FS580" s="4"/>
      <c r="FT580" s="4"/>
      <c r="FU580" s="4"/>
      <c r="FV580" s="4"/>
      <c r="FW580" s="654"/>
      <c r="FX580" s="655"/>
      <c r="FY580" s="4"/>
      <c r="FZ580" s="4"/>
      <c r="GA580" s="4"/>
      <c r="GB580" s="4"/>
      <c r="GC580" s="4"/>
      <c r="GD580" s="4"/>
      <c r="GE580" s="4"/>
      <c r="GF580" s="4"/>
      <c r="GG580" s="4"/>
      <c r="GH580" s="4"/>
      <c r="GI580" s="654"/>
      <c r="GJ580" s="655"/>
      <c r="GK580" s="4"/>
      <c r="GL580" s="4"/>
      <c r="GM580" s="4"/>
      <c r="GN580" s="4"/>
      <c r="GO580" s="4"/>
      <c r="GP580" s="4"/>
      <c r="GQ580" s="4"/>
      <c r="GR580" s="4"/>
      <c r="GS580" s="4"/>
      <c r="GT580" s="4"/>
      <c r="GU580" s="722"/>
      <c r="GV580" s="715"/>
    </row>
    <row r="581" spans="1:204" x14ac:dyDescent="0.25">
      <c r="A581" t="s">
        <v>2107</v>
      </c>
      <c r="B581" s="2" t="s">
        <v>2106</v>
      </c>
      <c r="C581" s="619">
        <v>44774</v>
      </c>
      <c r="D581" s="2" t="s">
        <v>2097</v>
      </c>
      <c r="E581" t="s">
        <v>58</v>
      </c>
      <c r="F581" s="2" t="s">
        <v>43</v>
      </c>
      <c r="G581" t="s">
        <v>40</v>
      </c>
      <c r="H581" s="690" t="s">
        <v>84</v>
      </c>
      <c r="I581" s="691" t="s">
        <v>2104</v>
      </c>
      <c r="J581" s="721">
        <v>2916265016910</v>
      </c>
      <c r="K581" s="691" t="s">
        <v>43</v>
      </c>
      <c r="L581" s="721">
        <v>3780401000108</v>
      </c>
      <c r="M581" s="718" t="s">
        <v>5</v>
      </c>
      <c r="N581" s="717" t="s">
        <v>44</v>
      </c>
      <c r="O581" s="719">
        <v>44743</v>
      </c>
      <c r="P581" s="720">
        <v>44773</v>
      </c>
      <c r="Q581" s="718">
        <v>29.7</v>
      </c>
      <c r="R581" s="717">
        <v>2</v>
      </c>
      <c r="S581" s="691" t="s">
        <v>92</v>
      </c>
      <c r="T581" t="s">
        <v>358</v>
      </c>
      <c r="U581" s="673" t="s">
        <v>358</v>
      </c>
      <c r="V581" s="690" t="s">
        <v>358</v>
      </c>
      <c r="W581" s="657" t="s">
        <v>329</v>
      </c>
      <c r="X581" s="723"/>
      <c r="Y581" s="4"/>
      <c r="Z581" s="4"/>
      <c r="AA581" s="4"/>
      <c r="AB581" s="4"/>
      <c r="AC581" s="4"/>
      <c r="AD581" s="4">
        <v>2</v>
      </c>
      <c r="AE581" s="4"/>
      <c r="AF581" s="4"/>
      <c r="AG581" s="4"/>
      <c r="AH581" s="4"/>
      <c r="AI581" s="654"/>
      <c r="AJ581" s="655"/>
      <c r="AK581" s="4"/>
      <c r="AL581" s="4"/>
      <c r="AM581" s="4"/>
      <c r="AN581" s="4"/>
      <c r="AO581" s="4"/>
      <c r="AP581" s="4"/>
      <c r="AQ581" s="4"/>
      <c r="AR581" s="4"/>
      <c r="AS581" s="4"/>
      <c r="AT581" s="4"/>
      <c r="AU581" s="654"/>
      <c r="AV581" s="655"/>
      <c r="AW581" s="4"/>
      <c r="AX581" s="4"/>
      <c r="AY581" s="4"/>
      <c r="AZ581" s="4"/>
      <c r="BA581" s="4"/>
      <c r="BB581" s="4"/>
      <c r="BC581" s="4"/>
      <c r="BD581" s="4"/>
      <c r="BE581" s="4"/>
      <c r="BF581" s="4"/>
      <c r="BG581" s="654"/>
      <c r="BH581" s="655"/>
      <c r="BI581" s="4"/>
      <c r="BJ581" s="4"/>
      <c r="BK581" s="4"/>
      <c r="BL581" s="4"/>
      <c r="BM581" s="4"/>
      <c r="BN581" s="4"/>
      <c r="BO581" s="4"/>
      <c r="BP581" s="4"/>
      <c r="BQ581" s="4"/>
      <c r="BR581" s="4"/>
      <c r="BS581" s="654"/>
      <c r="BT581" s="655"/>
      <c r="BU581" s="4"/>
      <c r="BV581" s="4"/>
      <c r="BW581" s="4"/>
      <c r="BX581" s="4"/>
      <c r="BY581" s="4"/>
      <c r="BZ581" s="4"/>
      <c r="CA581" s="4"/>
      <c r="CB581" s="4"/>
      <c r="CC581" s="4"/>
      <c r="CD581" s="4"/>
      <c r="CE581" s="693"/>
      <c r="CF581" s="723"/>
      <c r="CG581" s="4"/>
      <c r="CH581" s="4"/>
      <c r="CI581" s="4"/>
      <c r="CJ581" s="4"/>
      <c r="CK581" s="4"/>
      <c r="CL581" s="4">
        <v>29.7</v>
      </c>
      <c r="CM581" s="4"/>
      <c r="CN581" s="4"/>
      <c r="CO581" s="4"/>
      <c r="CP581" s="4"/>
      <c r="CQ581" s="654"/>
      <c r="CR581" s="655"/>
      <c r="CS581" s="4"/>
      <c r="CT581" s="4"/>
      <c r="CU581" s="4"/>
      <c r="CV581" s="4"/>
      <c r="CW581" s="4"/>
      <c r="CX581" s="4"/>
      <c r="CY581" s="4"/>
      <c r="CZ581" s="4"/>
      <c r="DA581" s="4"/>
      <c r="DB581" s="4"/>
      <c r="DC581" s="654"/>
      <c r="DD581" s="655"/>
      <c r="DE581" s="4"/>
      <c r="DF581" s="4"/>
      <c r="DG581" s="4"/>
      <c r="DH581" s="4"/>
      <c r="DI581" s="4"/>
      <c r="DJ581" s="4"/>
      <c r="DK581" s="4"/>
      <c r="DL581" s="4"/>
      <c r="DM581" s="4"/>
      <c r="DN581" s="4"/>
      <c r="DO581" s="654"/>
      <c r="DP581" s="655"/>
      <c r="DQ581" s="4"/>
      <c r="DR581" s="4"/>
      <c r="DS581" s="4"/>
      <c r="DT581" s="4"/>
      <c r="DU581" s="4"/>
      <c r="DV581" s="4"/>
      <c r="DW581" s="4"/>
      <c r="DX581" s="4"/>
      <c r="DY581" s="4"/>
      <c r="DZ581" s="4"/>
      <c r="EA581" s="654"/>
      <c r="EB581" s="655"/>
      <c r="EC581" s="4"/>
      <c r="ED581" s="4"/>
      <c r="EE581" s="4"/>
      <c r="EF581" s="4"/>
      <c r="EG581" s="4"/>
      <c r="EH581" s="4"/>
      <c r="EI581" s="4"/>
      <c r="EJ581" s="4"/>
      <c r="EK581" s="4"/>
      <c r="EL581" s="4"/>
      <c r="EM581" s="693"/>
      <c r="EN581" s="723"/>
      <c r="EO581" s="4"/>
      <c r="EP581" s="4"/>
      <c r="EQ581" s="4"/>
      <c r="ER581" s="4"/>
      <c r="ES581" s="4"/>
      <c r="ET581" s="4">
        <v>96.02</v>
      </c>
      <c r="EU581" s="4"/>
      <c r="EV581" s="4"/>
      <c r="EW581" s="4"/>
      <c r="EX581" s="4"/>
      <c r="EY581" s="654"/>
      <c r="EZ581" s="655"/>
      <c r="FA581" s="4"/>
      <c r="FB581" s="4"/>
      <c r="FC581" s="4"/>
      <c r="FD581" s="4"/>
      <c r="FE581" s="4"/>
      <c r="FF581" s="4"/>
      <c r="FG581" s="4"/>
      <c r="FH581" s="4"/>
      <c r="FI581" s="4"/>
      <c r="FJ581" s="4"/>
      <c r="FK581" s="654"/>
      <c r="FL581" s="655"/>
      <c r="FM581" s="4"/>
      <c r="FN581" s="4"/>
      <c r="FO581" s="4"/>
      <c r="FP581" s="4"/>
      <c r="FQ581" s="4"/>
      <c r="FR581" s="4"/>
      <c r="FS581" s="4"/>
      <c r="FT581" s="4"/>
      <c r="FU581" s="4"/>
      <c r="FV581" s="4"/>
      <c r="FW581" s="654"/>
      <c r="FX581" s="655"/>
      <c r="FY581" s="4"/>
      <c r="FZ581" s="4"/>
      <c r="GA581" s="4"/>
      <c r="GB581" s="4"/>
      <c r="GC581" s="4"/>
      <c r="GD581" s="4"/>
      <c r="GE581" s="4"/>
      <c r="GF581" s="4"/>
      <c r="GG581" s="4"/>
      <c r="GH581" s="4"/>
      <c r="GI581" s="654"/>
      <c r="GJ581" s="655"/>
      <c r="GK581" s="4"/>
      <c r="GL581" s="4"/>
      <c r="GM581" s="4"/>
      <c r="GN581" s="4"/>
      <c r="GO581" s="4"/>
      <c r="GP581" s="4"/>
      <c r="GQ581" s="4"/>
      <c r="GR581" s="4"/>
      <c r="GS581" s="4"/>
      <c r="GT581" s="4"/>
      <c r="GU581" s="722"/>
      <c r="GV581" s="715"/>
    </row>
    <row r="582" spans="1:204" x14ac:dyDescent="0.25">
      <c r="A582" t="s">
        <v>2109</v>
      </c>
      <c r="B582" s="2" t="s">
        <v>2108</v>
      </c>
      <c r="C582" s="619">
        <v>44774</v>
      </c>
      <c r="D582" s="2" t="s">
        <v>2098</v>
      </c>
      <c r="E582" t="s">
        <v>58</v>
      </c>
      <c r="F582" s="2" t="s">
        <v>43</v>
      </c>
      <c r="G582" t="s">
        <v>40</v>
      </c>
      <c r="H582" s="690" t="s">
        <v>84</v>
      </c>
      <c r="I582" s="691" t="s">
        <v>502</v>
      </c>
      <c r="J582" s="721">
        <v>4270778000171</v>
      </c>
      <c r="K582" s="691" t="s">
        <v>43</v>
      </c>
      <c r="L582" s="721">
        <v>3780401000108</v>
      </c>
      <c r="M582" s="718" t="s">
        <v>5</v>
      </c>
      <c r="N582" s="717" t="s">
        <v>44</v>
      </c>
      <c r="O582" s="719">
        <v>44743</v>
      </c>
      <c r="P582" s="720">
        <v>44773</v>
      </c>
      <c r="Q582" s="718">
        <v>30</v>
      </c>
      <c r="R582" s="717">
        <v>4</v>
      </c>
      <c r="S582" s="691" t="s">
        <v>92</v>
      </c>
      <c r="T582" t="s">
        <v>358</v>
      </c>
      <c r="U582" s="673" t="s">
        <v>358</v>
      </c>
      <c r="V582" s="690" t="s">
        <v>358</v>
      </c>
      <c r="W582" s="657" t="s">
        <v>329</v>
      </c>
      <c r="X582" s="723"/>
      <c r="Y582" s="4"/>
      <c r="Z582" s="4"/>
      <c r="AA582" s="4"/>
      <c r="AB582" s="4"/>
      <c r="AC582" s="4"/>
      <c r="AD582" s="4">
        <v>4</v>
      </c>
      <c r="AE582" s="4"/>
      <c r="AF582" s="4"/>
      <c r="AG582" s="4"/>
      <c r="AH582" s="4"/>
      <c r="AI582" s="654"/>
      <c r="AJ582" s="655"/>
      <c r="AK582" s="4"/>
      <c r="AL582" s="4"/>
      <c r="AM582" s="4"/>
      <c r="AN582" s="4"/>
      <c r="AO582" s="4"/>
      <c r="AP582" s="4"/>
      <c r="AQ582" s="4"/>
      <c r="AR582" s="4"/>
      <c r="AS582" s="4"/>
      <c r="AT582" s="4"/>
      <c r="AU582" s="654"/>
      <c r="AV582" s="655"/>
      <c r="AW582" s="4"/>
      <c r="AX582" s="4"/>
      <c r="AY582" s="4"/>
      <c r="AZ582" s="4"/>
      <c r="BA582" s="4"/>
      <c r="BB582" s="4"/>
      <c r="BC582" s="4"/>
      <c r="BD582" s="4"/>
      <c r="BE582" s="4"/>
      <c r="BF582" s="4"/>
      <c r="BG582" s="654"/>
      <c r="BH582" s="655"/>
      <c r="BI582" s="4"/>
      <c r="BJ582" s="4"/>
      <c r="BK582" s="4"/>
      <c r="BL582" s="4"/>
      <c r="BM582" s="4"/>
      <c r="BN582" s="4"/>
      <c r="BO582" s="4"/>
      <c r="BP582" s="4"/>
      <c r="BQ582" s="4"/>
      <c r="BR582" s="4"/>
      <c r="BS582" s="654"/>
      <c r="BT582" s="655"/>
      <c r="BU582" s="4"/>
      <c r="BV582" s="4"/>
      <c r="BW582" s="4"/>
      <c r="BX582" s="4"/>
      <c r="BY582" s="4"/>
      <c r="BZ582" s="4"/>
      <c r="CA582" s="4"/>
      <c r="CB582" s="4"/>
      <c r="CC582" s="4"/>
      <c r="CD582" s="4"/>
      <c r="CE582" s="693"/>
      <c r="CF582" s="723"/>
      <c r="CG582" s="4"/>
      <c r="CH582" s="4"/>
      <c r="CI582" s="4"/>
      <c r="CJ582" s="4"/>
      <c r="CK582" s="4"/>
      <c r="CL582" s="4">
        <v>30</v>
      </c>
      <c r="CM582" s="4"/>
      <c r="CN582" s="4"/>
      <c r="CO582" s="4"/>
      <c r="CP582" s="4"/>
      <c r="CQ582" s="654"/>
      <c r="CR582" s="655"/>
      <c r="CS582" s="4"/>
      <c r="CT582" s="4"/>
      <c r="CU582" s="4"/>
      <c r="CV582" s="4"/>
      <c r="CW582" s="4"/>
      <c r="CX582" s="4"/>
      <c r="CY582" s="4"/>
      <c r="CZ582" s="4"/>
      <c r="DA582" s="4"/>
      <c r="DB582" s="4"/>
      <c r="DC582" s="654"/>
      <c r="DD582" s="655"/>
      <c r="DE582" s="4"/>
      <c r="DF582" s="4"/>
      <c r="DG582" s="4"/>
      <c r="DH582" s="4"/>
      <c r="DI582" s="4"/>
      <c r="DJ582" s="4"/>
      <c r="DK582" s="4"/>
      <c r="DL582" s="4"/>
      <c r="DM582" s="4"/>
      <c r="DN582" s="4"/>
      <c r="DO582" s="654"/>
      <c r="DP582" s="655"/>
      <c r="DQ582" s="4"/>
      <c r="DR582" s="4"/>
      <c r="DS582" s="4"/>
      <c r="DT582" s="4"/>
      <c r="DU582" s="4"/>
      <c r="DV582" s="4"/>
      <c r="DW582" s="4"/>
      <c r="DX582" s="4"/>
      <c r="DY582" s="4"/>
      <c r="DZ582" s="4"/>
      <c r="EA582" s="654"/>
      <c r="EB582" s="655"/>
      <c r="EC582" s="4"/>
      <c r="ED582" s="4"/>
      <c r="EE582" s="4"/>
      <c r="EF582" s="4"/>
      <c r="EG582" s="4"/>
      <c r="EH582" s="4"/>
      <c r="EI582" s="4"/>
      <c r="EJ582" s="4"/>
      <c r="EK582" s="4"/>
      <c r="EL582" s="4"/>
      <c r="EM582" s="693"/>
      <c r="EN582" s="723"/>
      <c r="EO582" s="4"/>
      <c r="EP582" s="4"/>
      <c r="EQ582" s="4"/>
      <c r="ER582" s="4"/>
      <c r="ES582" s="4"/>
      <c r="ET582" s="4">
        <v>96.32</v>
      </c>
      <c r="EU582" s="4"/>
      <c r="EV582" s="4"/>
      <c r="EW582" s="4"/>
      <c r="EX582" s="4"/>
      <c r="EY582" s="654"/>
      <c r="EZ582" s="655"/>
      <c r="FA582" s="4"/>
      <c r="FB582" s="4"/>
      <c r="FC582" s="4"/>
      <c r="FD582" s="4"/>
      <c r="FE582" s="4"/>
      <c r="FF582" s="4"/>
      <c r="FG582" s="4"/>
      <c r="FH582" s="4"/>
      <c r="FI582" s="4"/>
      <c r="FJ582" s="4"/>
      <c r="FK582" s="654"/>
      <c r="FL582" s="655"/>
      <c r="FM582" s="4"/>
      <c r="FN582" s="4"/>
      <c r="FO582" s="4"/>
      <c r="FP582" s="4"/>
      <c r="FQ582" s="4"/>
      <c r="FR582" s="4"/>
      <c r="FS582" s="4"/>
      <c r="FT582" s="4"/>
      <c r="FU582" s="4"/>
      <c r="FV582" s="4"/>
      <c r="FW582" s="654"/>
      <c r="FX582" s="655"/>
      <c r="FY582" s="4"/>
      <c r="FZ582" s="4"/>
      <c r="GA582" s="4"/>
      <c r="GB582" s="4"/>
      <c r="GC582" s="4"/>
      <c r="GD582" s="4"/>
      <c r="GE582" s="4"/>
      <c r="GF582" s="4"/>
      <c r="GG582" s="4"/>
      <c r="GH582" s="4"/>
      <c r="GI582" s="654"/>
      <c r="GJ582" s="655"/>
      <c r="GK582" s="4"/>
      <c r="GL582" s="4"/>
      <c r="GM582" s="4"/>
      <c r="GN582" s="4"/>
      <c r="GO582" s="4"/>
      <c r="GP582" s="4"/>
      <c r="GQ582" s="4"/>
      <c r="GR582" s="4"/>
      <c r="GS582" s="4"/>
      <c r="GT582" s="4"/>
      <c r="GU582" s="722"/>
      <c r="GV582" s="715"/>
    </row>
    <row r="583" spans="1:204" x14ac:dyDescent="0.25">
      <c r="A583" t="s">
        <v>2111</v>
      </c>
      <c r="B583" s="2" t="s">
        <v>2110</v>
      </c>
      <c r="C583" s="619">
        <v>44774</v>
      </c>
      <c r="D583" s="2" t="s">
        <v>2099</v>
      </c>
      <c r="E583" t="s">
        <v>58</v>
      </c>
      <c r="F583" s="2" t="s">
        <v>43</v>
      </c>
      <c r="G583" t="s">
        <v>40</v>
      </c>
      <c r="H583" s="690" t="s">
        <v>84</v>
      </c>
      <c r="I583" s="691" t="s">
        <v>2017</v>
      </c>
      <c r="J583" s="721">
        <v>30840548000100</v>
      </c>
      <c r="K583" s="691" t="s">
        <v>43</v>
      </c>
      <c r="L583" s="721">
        <v>3780401000108</v>
      </c>
      <c r="M583" s="718" t="s">
        <v>5</v>
      </c>
      <c r="N583" s="717" t="s">
        <v>44</v>
      </c>
      <c r="O583" s="719">
        <v>44743</v>
      </c>
      <c r="P583" s="720">
        <v>44773</v>
      </c>
      <c r="Q583" s="718">
        <v>30</v>
      </c>
      <c r="R583" s="717">
        <v>5</v>
      </c>
      <c r="S583" s="691" t="s">
        <v>92</v>
      </c>
      <c r="T583" t="s">
        <v>358</v>
      </c>
      <c r="U583" s="673" t="s">
        <v>358</v>
      </c>
      <c r="V583" s="690" t="s">
        <v>358</v>
      </c>
      <c r="W583" s="657" t="s">
        <v>329</v>
      </c>
      <c r="X583" s="723"/>
      <c r="Y583" s="4"/>
      <c r="Z583" s="4"/>
      <c r="AA583" s="4"/>
      <c r="AB583" s="4"/>
      <c r="AC583" s="4"/>
      <c r="AD583" s="4">
        <v>5</v>
      </c>
      <c r="AE583" s="4"/>
      <c r="AF583" s="4"/>
      <c r="AG583" s="4"/>
      <c r="AH583" s="4"/>
      <c r="AI583" s="654"/>
      <c r="AJ583" s="655"/>
      <c r="AK583" s="4"/>
      <c r="AL583" s="4"/>
      <c r="AM583" s="4"/>
      <c r="AN583" s="4"/>
      <c r="AO583" s="4"/>
      <c r="AP583" s="4"/>
      <c r="AQ583" s="4"/>
      <c r="AR583" s="4"/>
      <c r="AS583" s="4"/>
      <c r="AT583" s="4"/>
      <c r="AU583" s="654"/>
      <c r="AV583" s="655"/>
      <c r="AW583" s="4"/>
      <c r="AX583" s="4"/>
      <c r="AY583" s="4"/>
      <c r="AZ583" s="4"/>
      <c r="BA583" s="4"/>
      <c r="BB583" s="4"/>
      <c r="BC583" s="4"/>
      <c r="BD583" s="4"/>
      <c r="BE583" s="4"/>
      <c r="BF583" s="4"/>
      <c r="BG583" s="654"/>
      <c r="BH583" s="655"/>
      <c r="BI583" s="4"/>
      <c r="BJ583" s="4"/>
      <c r="BK583" s="4"/>
      <c r="BL583" s="4"/>
      <c r="BM583" s="4"/>
      <c r="BN583" s="4"/>
      <c r="BO583" s="4"/>
      <c r="BP583" s="4"/>
      <c r="BQ583" s="4"/>
      <c r="BR583" s="4"/>
      <c r="BS583" s="654"/>
      <c r="BT583" s="655"/>
      <c r="BU583" s="4"/>
      <c r="BV583" s="4"/>
      <c r="BW583" s="4"/>
      <c r="BX583" s="4"/>
      <c r="BY583" s="4"/>
      <c r="BZ583" s="4"/>
      <c r="CA583" s="4"/>
      <c r="CB583" s="4"/>
      <c r="CC583" s="4"/>
      <c r="CD583" s="4"/>
      <c r="CE583" s="693"/>
      <c r="CF583" s="723"/>
      <c r="CG583" s="4"/>
      <c r="CH583" s="4"/>
      <c r="CI583" s="4"/>
      <c r="CJ583" s="4"/>
      <c r="CK583" s="4"/>
      <c r="CL583" s="4">
        <v>30</v>
      </c>
      <c r="CM583" s="4"/>
      <c r="CN583" s="4"/>
      <c r="CO583" s="4"/>
      <c r="CP583" s="4"/>
      <c r="CQ583" s="654"/>
      <c r="CR583" s="655"/>
      <c r="CS583" s="4"/>
      <c r="CT583" s="4"/>
      <c r="CU583" s="4"/>
      <c r="CV583" s="4"/>
      <c r="CW583" s="4"/>
      <c r="CX583" s="4"/>
      <c r="CY583" s="4"/>
      <c r="CZ583" s="4"/>
      <c r="DA583" s="4"/>
      <c r="DB583" s="4"/>
      <c r="DC583" s="654"/>
      <c r="DD583" s="655"/>
      <c r="DE583" s="4"/>
      <c r="DF583" s="4"/>
      <c r="DG583" s="4"/>
      <c r="DH583" s="4"/>
      <c r="DI583" s="4"/>
      <c r="DJ583" s="4"/>
      <c r="DK583" s="4"/>
      <c r="DL583" s="4"/>
      <c r="DM583" s="4"/>
      <c r="DN583" s="4"/>
      <c r="DO583" s="654"/>
      <c r="DP583" s="655"/>
      <c r="DQ583" s="4"/>
      <c r="DR583" s="4"/>
      <c r="DS583" s="4"/>
      <c r="DT583" s="4"/>
      <c r="DU583" s="4"/>
      <c r="DV583" s="4"/>
      <c r="DW583" s="4"/>
      <c r="DX583" s="4"/>
      <c r="DY583" s="4"/>
      <c r="DZ583" s="4"/>
      <c r="EA583" s="654"/>
      <c r="EB583" s="655"/>
      <c r="EC583" s="4"/>
      <c r="ED583" s="4"/>
      <c r="EE583" s="4"/>
      <c r="EF583" s="4"/>
      <c r="EG583" s="4"/>
      <c r="EH583" s="4"/>
      <c r="EI583" s="4"/>
      <c r="EJ583" s="4"/>
      <c r="EK583" s="4"/>
      <c r="EL583" s="4"/>
      <c r="EM583" s="693"/>
      <c r="EN583" s="723"/>
      <c r="EO583" s="4"/>
      <c r="EP583" s="4"/>
      <c r="EQ583" s="4"/>
      <c r="ER583" s="4"/>
      <c r="ES583" s="4"/>
      <c r="ET583" s="4">
        <v>96.32</v>
      </c>
      <c r="EU583" s="4"/>
      <c r="EV583" s="4"/>
      <c r="EW583" s="4"/>
      <c r="EX583" s="4"/>
      <c r="EY583" s="654"/>
      <c r="EZ583" s="655"/>
      <c r="FA583" s="4"/>
      <c r="FB583" s="4"/>
      <c r="FC583" s="4"/>
      <c r="FD583" s="4"/>
      <c r="FE583" s="4"/>
      <c r="FF583" s="4"/>
      <c r="FG583" s="4"/>
      <c r="FH583" s="4"/>
      <c r="FI583" s="4"/>
      <c r="FJ583" s="4"/>
      <c r="FK583" s="654"/>
      <c r="FL583" s="655"/>
      <c r="FM583" s="4"/>
      <c r="FN583" s="4"/>
      <c r="FO583" s="4"/>
      <c r="FP583" s="4"/>
      <c r="FQ583" s="4"/>
      <c r="FR583" s="4"/>
      <c r="FS583" s="4"/>
      <c r="FT583" s="4"/>
      <c r="FU583" s="4"/>
      <c r="FV583" s="4"/>
      <c r="FW583" s="654"/>
      <c r="FX583" s="655"/>
      <c r="FY583" s="4"/>
      <c r="FZ583" s="4"/>
      <c r="GA583" s="4"/>
      <c r="GB583" s="4"/>
      <c r="GC583" s="4"/>
      <c r="GD583" s="4"/>
      <c r="GE583" s="4"/>
      <c r="GF583" s="4"/>
      <c r="GG583" s="4"/>
      <c r="GH583" s="4"/>
      <c r="GI583" s="654"/>
      <c r="GJ583" s="655"/>
      <c r="GK583" s="4"/>
      <c r="GL583" s="4"/>
      <c r="GM583" s="4"/>
      <c r="GN583" s="4"/>
      <c r="GO583" s="4"/>
      <c r="GP583" s="4"/>
      <c r="GQ583" s="4"/>
      <c r="GR583" s="4"/>
      <c r="GS583" s="4"/>
      <c r="GT583" s="4"/>
      <c r="GU583" s="722"/>
      <c r="GV583" s="715"/>
    </row>
    <row r="584" spans="1:204" x14ac:dyDescent="0.25">
      <c r="A584" t="s">
        <v>2113</v>
      </c>
      <c r="B584" s="2" t="s">
        <v>2112</v>
      </c>
      <c r="C584" s="619">
        <v>44774</v>
      </c>
      <c r="D584" s="2" t="s">
        <v>2100</v>
      </c>
      <c r="E584" t="s">
        <v>58</v>
      </c>
      <c r="F584" s="2" t="s">
        <v>43</v>
      </c>
      <c r="G584" t="s">
        <v>40</v>
      </c>
      <c r="H584" s="690" t="s">
        <v>84</v>
      </c>
      <c r="I584" s="691" t="s">
        <v>2105</v>
      </c>
      <c r="J584" s="721">
        <v>12809025000110</v>
      </c>
      <c r="K584" s="691" t="s">
        <v>43</v>
      </c>
      <c r="L584" s="721">
        <v>3780401000108</v>
      </c>
      <c r="M584" s="718" t="s">
        <v>5</v>
      </c>
      <c r="N584" s="717" t="s">
        <v>44</v>
      </c>
      <c r="O584" s="719">
        <v>44743</v>
      </c>
      <c r="P584" s="720">
        <v>44773</v>
      </c>
      <c r="Q584" s="718">
        <v>30</v>
      </c>
      <c r="R584" s="717">
        <v>10</v>
      </c>
      <c r="S584" s="691" t="s">
        <v>92</v>
      </c>
      <c r="T584" t="s">
        <v>358</v>
      </c>
      <c r="U584" s="673" t="s">
        <v>358</v>
      </c>
      <c r="V584" s="690" t="s">
        <v>358</v>
      </c>
      <c r="W584" s="657" t="s">
        <v>329</v>
      </c>
      <c r="X584" s="723"/>
      <c r="Y584" s="4"/>
      <c r="Z584" s="4"/>
      <c r="AA584" s="4"/>
      <c r="AB584" s="4"/>
      <c r="AC584" s="4"/>
      <c r="AD584" s="4">
        <v>10</v>
      </c>
      <c r="AE584" s="4"/>
      <c r="AF584" s="4"/>
      <c r="AG584" s="4"/>
      <c r="AH584" s="4"/>
      <c r="AI584" s="654"/>
      <c r="AJ584" s="655"/>
      <c r="AK584" s="4"/>
      <c r="AL584" s="4"/>
      <c r="AM584" s="4"/>
      <c r="AN584" s="4"/>
      <c r="AO584" s="4"/>
      <c r="AP584" s="4"/>
      <c r="AQ584" s="4"/>
      <c r="AR584" s="4"/>
      <c r="AS584" s="4"/>
      <c r="AT584" s="4"/>
      <c r="AU584" s="654"/>
      <c r="AV584" s="655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654"/>
      <c r="BH584" s="655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654"/>
      <c r="BT584" s="655"/>
      <c r="BU584" s="4"/>
      <c r="BV584" s="4"/>
      <c r="BW584" s="4"/>
      <c r="BX584" s="4"/>
      <c r="BY584" s="4"/>
      <c r="BZ584" s="4"/>
      <c r="CA584" s="4"/>
      <c r="CB584" s="4"/>
      <c r="CC584" s="4"/>
      <c r="CD584" s="4"/>
      <c r="CE584" s="693"/>
      <c r="CF584" s="723"/>
      <c r="CG584" s="4"/>
      <c r="CH584" s="4"/>
      <c r="CI584" s="4"/>
      <c r="CJ584" s="4"/>
      <c r="CK584" s="4"/>
      <c r="CL584" s="4">
        <v>30</v>
      </c>
      <c r="CM584" s="4"/>
      <c r="CN584" s="4"/>
      <c r="CO584" s="4"/>
      <c r="CP584" s="4"/>
      <c r="CQ584" s="654"/>
      <c r="CR584" s="655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654"/>
      <c r="DD584" s="655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654"/>
      <c r="DP584" s="655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654"/>
      <c r="EB584" s="655"/>
      <c r="EC584" s="4"/>
      <c r="ED584" s="4"/>
      <c r="EE584" s="4"/>
      <c r="EF584" s="4"/>
      <c r="EG584" s="4"/>
      <c r="EH584" s="4"/>
      <c r="EI584" s="4"/>
      <c r="EJ584" s="4"/>
      <c r="EK584" s="4"/>
      <c r="EL584" s="4"/>
      <c r="EM584" s="693"/>
      <c r="EN584" s="723"/>
      <c r="EO584" s="4"/>
      <c r="EP584" s="4"/>
      <c r="EQ584" s="4"/>
      <c r="ER584" s="4"/>
      <c r="ES584" s="4"/>
      <c r="ET584" s="4">
        <v>96.32</v>
      </c>
      <c r="EU584" s="4"/>
      <c r="EV584" s="4"/>
      <c r="EW584" s="4"/>
      <c r="EX584" s="4"/>
      <c r="EY584" s="654"/>
      <c r="EZ584" s="655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654"/>
      <c r="FL584" s="655"/>
      <c r="FM584" s="4"/>
      <c r="FN584" s="4"/>
      <c r="FO584" s="4"/>
      <c r="FP584" s="4"/>
      <c r="FQ584" s="4"/>
      <c r="FR584" s="4"/>
      <c r="FS584" s="4"/>
      <c r="FT584" s="4"/>
      <c r="FU584" s="4"/>
      <c r="FV584" s="4"/>
      <c r="FW584" s="654"/>
      <c r="FX584" s="655"/>
      <c r="FY584" s="4"/>
      <c r="FZ584" s="4"/>
      <c r="GA584" s="4"/>
      <c r="GB584" s="4"/>
      <c r="GC584" s="4"/>
      <c r="GD584" s="4"/>
      <c r="GE584" s="4"/>
      <c r="GF584" s="4"/>
      <c r="GG584" s="4"/>
      <c r="GH584" s="4"/>
      <c r="GI584" s="654"/>
      <c r="GJ584" s="655"/>
      <c r="GK584" s="4"/>
      <c r="GL584" s="4"/>
      <c r="GM584" s="4"/>
      <c r="GN584" s="4"/>
      <c r="GO584" s="4"/>
      <c r="GP584" s="4"/>
      <c r="GQ584" s="4"/>
      <c r="GR584" s="4"/>
      <c r="GS584" s="4"/>
      <c r="GT584" s="4"/>
      <c r="GU584" s="722"/>
      <c r="GV584" s="715"/>
    </row>
    <row r="585" spans="1:204" x14ac:dyDescent="0.25">
      <c r="A585" t="s">
        <v>2115</v>
      </c>
      <c r="B585" s="2" t="s">
        <v>2114</v>
      </c>
      <c r="C585" s="619">
        <v>44774</v>
      </c>
      <c r="D585" s="2" t="s">
        <v>2101</v>
      </c>
      <c r="E585" t="s">
        <v>58</v>
      </c>
      <c r="F585" s="2" t="s">
        <v>43</v>
      </c>
      <c r="G585" t="s">
        <v>40</v>
      </c>
      <c r="H585" s="690" t="s">
        <v>84</v>
      </c>
      <c r="I585" s="691" t="s">
        <v>471</v>
      </c>
      <c r="J585" s="721">
        <v>11182210000164</v>
      </c>
      <c r="K585" s="691" t="s">
        <v>43</v>
      </c>
      <c r="L585" s="721">
        <v>3780401000108</v>
      </c>
      <c r="M585" s="718" t="s">
        <v>5</v>
      </c>
      <c r="N585" s="717" t="s">
        <v>44</v>
      </c>
      <c r="O585" s="719">
        <v>44743</v>
      </c>
      <c r="P585" s="720">
        <v>44773</v>
      </c>
      <c r="Q585" s="718">
        <v>30.3</v>
      </c>
      <c r="R585" s="717">
        <v>10</v>
      </c>
      <c r="S585" s="691" t="s">
        <v>92</v>
      </c>
      <c r="T585" t="s">
        <v>358</v>
      </c>
      <c r="U585" s="673" t="s">
        <v>358</v>
      </c>
      <c r="V585" s="690" t="s">
        <v>358</v>
      </c>
      <c r="W585" s="657" t="s">
        <v>329</v>
      </c>
      <c r="X585" s="723"/>
      <c r="Y585" s="4"/>
      <c r="Z585" s="4"/>
      <c r="AA585" s="4"/>
      <c r="AB585" s="4"/>
      <c r="AC585" s="4"/>
      <c r="AD585" s="4">
        <v>10</v>
      </c>
      <c r="AE585" s="4"/>
      <c r="AF585" s="4"/>
      <c r="AG585" s="4"/>
      <c r="AH585" s="4"/>
      <c r="AI585" s="654"/>
      <c r="AJ585" s="655"/>
      <c r="AK585" s="4"/>
      <c r="AL585" s="4"/>
      <c r="AM585" s="4"/>
      <c r="AN585" s="4"/>
      <c r="AO585" s="4"/>
      <c r="AP585" s="4"/>
      <c r="AQ585" s="4"/>
      <c r="AR585" s="4"/>
      <c r="AS585" s="4"/>
      <c r="AT585" s="4"/>
      <c r="AU585" s="654"/>
      <c r="AV585" s="655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654"/>
      <c r="BH585" s="655"/>
      <c r="BI585" s="4"/>
      <c r="BJ585" s="4"/>
      <c r="BK585" s="4"/>
      <c r="BL585" s="4"/>
      <c r="BM585" s="4"/>
      <c r="BN585" s="4"/>
      <c r="BO585" s="4"/>
      <c r="BP585" s="4"/>
      <c r="BQ585" s="4"/>
      <c r="BR585" s="4"/>
      <c r="BS585" s="654"/>
      <c r="BT585" s="655"/>
      <c r="BU585" s="4"/>
      <c r="BV585" s="4"/>
      <c r="BW585" s="4"/>
      <c r="BX585" s="4"/>
      <c r="BY585" s="4"/>
      <c r="BZ585" s="4"/>
      <c r="CA585" s="4"/>
      <c r="CB585" s="4"/>
      <c r="CC585" s="4"/>
      <c r="CD585" s="4"/>
      <c r="CE585" s="693"/>
      <c r="CF585" s="723"/>
      <c r="CG585" s="4"/>
      <c r="CH585" s="4"/>
      <c r="CI585" s="4"/>
      <c r="CJ585" s="4"/>
      <c r="CK585" s="4"/>
      <c r="CL585" s="4">
        <v>30.3</v>
      </c>
      <c r="CM585" s="4"/>
      <c r="CN585" s="4"/>
      <c r="CO585" s="4"/>
      <c r="CP585" s="4"/>
      <c r="CQ585" s="654"/>
      <c r="CR585" s="655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654"/>
      <c r="DD585" s="655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654"/>
      <c r="DP585" s="655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654"/>
      <c r="EB585" s="655"/>
      <c r="EC585" s="4"/>
      <c r="ED585" s="4"/>
      <c r="EE585" s="4"/>
      <c r="EF585" s="4"/>
      <c r="EG585" s="4"/>
      <c r="EH585" s="4"/>
      <c r="EI585" s="4"/>
      <c r="EJ585" s="4"/>
      <c r="EK585" s="4"/>
      <c r="EL585" s="4"/>
      <c r="EM585" s="693"/>
      <c r="EN585" s="723"/>
      <c r="EO585" s="4"/>
      <c r="EP585" s="4"/>
      <c r="EQ585" s="4"/>
      <c r="ER585" s="4"/>
      <c r="ES585" s="4"/>
      <c r="ET585" s="4">
        <v>96.61999999999999</v>
      </c>
      <c r="EU585" s="4"/>
      <c r="EV585" s="4"/>
      <c r="EW585" s="4"/>
      <c r="EX585" s="4"/>
      <c r="EY585" s="654"/>
      <c r="EZ585" s="655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654"/>
      <c r="FL585" s="655"/>
      <c r="FM585" s="4"/>
      <c r="FN585" s="4"/>
      <c r="FO585" s="4"/>
      <c r="FP585" s="4"/>
      <c r="FQ585" s="4"/>
      <c r="FR585" s="4"/>
      <c r="FS585" s="4"/>
      <c r="FT585" s="4"/>
      <c r="FU585" s="4"/>
      <c r="FV585" s="4"/>
      <c r="FW585" s="654"/>
      <c r="FX585" s="655"/>
      <c r="FY585" s="4"/>
      <c r="FZ585" s="4"/>
      <c r="GA585" s="4"/>
      <c r="GB585" s="4"/>
      <c r="GC585" s="4"/>
      <c r="GD585" s="4"/>
      <c r="GE585" s="4"/>
      <c r="GF585" s="4"/>
      <c r="GG585" s="4"/>
      <c r="GH585" s="4"/>
      <c r="GI585" s="654"/>
      <c r="GJ585" s="655"/>
      <c r="GK585" s="4"/>
      <c r="GL585" s="4"/>
      <c r="GM585" s="4"/>
      <c r="GN585" s="4"/>
      <c r="GO585" s="4"/>
      <c r="GP585" s="4"/>
      <c r="GQ585" s="4"/>
      <c r="GR585" s="4"/>
      <c r="GS585" s="4"/>
      <c r="GT585" s="4"/>
      <c r="GU585" s="722"/>
      <c r="GV585" s="715"/>
    </row>
    <row r="586" spans="1:204" x14ac:dyDescent="0.25">
      <c r="A586" t="s">
        <v>2117</v>
      </c>
      <c r="B586" s="2" t="s">
        <v>2116</v>
      </c>
      <c r="C586" s="619">
        <v>44774</v>
      </c>
      <c r="D586" s="2" t="s">
        <v>2102</v>
      </c>
      <c r="E586" t="s">
        <v>58</v>
      </c>
      <c r="F586" s="2" t="s">
        <v>43</v>
      </c>
      <c r="G586" t="s">
        <v>40</v>
      </c>
      <c r="H586" s="690" t="s">
        <v>84</v>
      </c>
      <c r="I586" s="691" t="s">
        <v>1838</v>
      </c>
      <c r="J586" s="721">
        <v>17077752000153</v>
      </c>
      <c r="K586" s="691" t="s">
        <v>43</v>
      </c>
      <c r="L586" s="721">
        <v>3780401000108</v>
      </c>
      <c r="M586" s="718" t="s">
        <v>5</v>
      </c>
      <c r="N586" s="717" t="s">
        <v>44</v>
      </c>
      <c r="O586" s="719">
        <v>44743</v>
      </c>
      <c r="P586" s="720">
        <v>44773</v>
      </c>
      <c r="Q586" s="718">
        <v>30</v>
      </c>
      <c r="R586" s="717">
        <v>2</v>
      </c>
      <c r="S586" s="691" t="s">
        <v>92</v>
      </c>
      <c r="T586" t="s">
        <v>358</v>
      </c>
      <c r="U586" s="673" t="s">
        <v>358</v>
      </c>
      <c r="V586" s="690" t="s">
        <v>358</v>
      </c>
      <c r="W586" s="657" t="s">
        <v>329</v>
      </c>
      <c r="X586" s="723"/>
      <c r="Y586" s="4"/>
      <c r="Z586" s="4"/>
      <c r="AA586" s="4"/>
      <c r="AB586" s="4"/>
      <c r="AC586" s="4"/>
      <c r="AD586" s="4">
        <v>2</v>
      </c>
      <c r="AE586" s="4"/>
      <c r="AF586" s="4"/>
      <c r="AG586" s="4"/>
      <c r="AH586" s="4"/>
      <c r="AI586" s="654"/>
      <c r="AJ586" s="655"/>
      <c r="AK586" s="4"/>
      <c r="AL586" s="4"/>
      <c r="AM586" s="4"/>
      <c r="AN586" s="4"/>
      <c r="AO586" s="4"/>
      <c r="AP586" s="4"/>
      <c r="AQ586" s="4"/>
      <c r="AR586" s="4"/>
      <c r="AS586" s="4"/>
      <c r="AT586" s="4"/>
      <c r="AU586" s="654"/>
      <c r="AV586" s="655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654"/>
      <c r="BH586" s="655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654"/>
      <c r="BT586" s="655"/>
      <c r="BU586" s="4"/>
      <c r="BV586" s="4"/>
      <c r="BW586" s="4"/>
      <c r="BX586" s="4"/>
      <c r="BY586" s="4"/>
      <c r="BZ586" s="4"/>
      <c r="CA586" s="4"/>
      <c r="CB586" s="4"/>
      <c r="CC586" s="4"/>
      <c r="CD586" s="4"/>
      <c r="CE586" s="693"/>
      <c r="CF586" s="723"/>
      <c r="CG586" s="4"/>
      <c r="CH586" s="4"/>
      <c r="CI586" s="4"/>
      <c r="CJ586" s="4"/>
      <c r="CK586" s="4"/>
      <c r="CL586" s="4">
        <v>30</v>
      </c>
      <c r="CM586" s="4"/>
      <c r="CN586" s="4"/>
      <c r="CO586" s="4"/>
      <c r="CP586" s="4"/>
      <c r="CQ586" s="654"/>
      <c r="CR586" s="655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654"/>
      <c r="DD586" s="655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654"/>
      <c r="DP586" s="655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654"/>
      <c r="EB586" s="655"/>
      <c r="EC586" s="4"/>
      <c r="ED586" s="4"/>
      <c r="EE586" s="4"/>
      <c r="EF586" s="4"/>
      <c r="EG586" s="4"/>
      <c r="EH586" s="4"/>
      <c r="EI586" s="4"/>
      <c r="EJ586" s="4"/>
      <c r="EK586" s="4"/>
      <c r="EL586" s="4"/>
      <c r="EM586" s="693"/>
      <c r="EN586" s="723"/>
      <c r="EO586" s="4"/>
      <c r="EP586" s="4"/>
      <c r="EQ586" s="4"/>
      <c r="ER586" s="4"/>
      <c r="ES586" s="4"/>
      <c r="ET586" s="4">
        <v>96.32</v>
      </c>
      <c r="EU586" s="4"/>
      <c r="EV586" s="4"/>
      <c r="EW586" s="4"/>
      <c r="EX586" s="4"/>
      <c r="EY586" s="654"/>
      <c r="EZ586" s="655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654"/>
      <c r="FL586" s="655"/>
      <c r="FM586" s="4"/>
      <c r="FN586" s="4"/>
      <c r="FO586" s="4"/>
      <c r="FP586" s="4"/>
      <c r="FQ586" s="4"/>
      <c r="FR586" s="4"/>
      <c r="FS586" s="4"/>
      <c r="FT586" s="4"/>
      <c r="FU586" s="4"/>
      <c r="FV586" s="4"/>
      <c r="FW586" s="654"/>
      <c r="FX586" s="655"/>
      <c r="FY586" s="4"/>
      <c r="FZ586" s="4"/>
      <c r="GA586" s="4"/>
      <c r="GB586" s="4"/>
      <c r="GC586" s="4"/>
      <c r="GD586" s="4"/>
      <c r="GE586" s="4"/>
      <c r="GF586" s="4"/>
      <c r="GG586" s="4"/>
      <c r="GH586" s="4"/>
      <c r="GI586" s="654"/>
      <c r="GJ586" s="655"/>
      <c r="GK586" s="4"/>
      <c r="GL586" s="4"/>
      <c r="GM586" s="4"/>
      <c r="GN586" s="4"/>
      <c r="GO586" s="4"/>
      <c r="GP586" s="4"/>
      <c r="GQ586" s="4"/>
      <c r="GR586" s="4"/>
      <c r="GS586" s="4"/>
      <c r="GT586" s="4"/>
      <c r="GU586" s="722"/>
      <c r="GV586" s="715"/>
    </row>
    <row r="587" spans="1:204" x14ac:dyDescent="0.25">
      <c r="A587" t="s">
        <v>2119</v>
      </c>
      <c r="B587" s="2" t="s">
        <v>2118</v>
      </c>
      <c r="C587" s="619">
        <v>44774</v>
      </c>
      <c r="D587" s="2" t="s">
        <v>2103</v>
      </c>
      <c r="E587" t="s">
        <v>58</v>
      </c>
      <c r="F587" s="2" t="s">
        <v>43</v>
      </c>
      <c r="G587" t="s">
        <v>40</v>
      </c>
      <c r="H587" s="690" t="s">
        <v>84</v>
      </c>
      <c r="I587" s="691" t="s">
        <v>2085</v>
      </c>
      <c r="J587" s="721">
        <v>2207392000190</v>
      </c>
      <c r="K587" s="691" t="s">
        <v>43</v>
      </c>
      <c r="L587" s="721">
        <v>3780401000108</v>
      </c>
      <c r="M587" s="718" t="s">
        <v>5</v>
      </c>
      <c r="N587" s="717" t="s">
        <v>44</v>
      </c>
      <c r="O587" s="719">
        <v>44743</v>
      </c>
      <c r="P587" s="720">
        <v>44773</v>
      </c>
      <c r="Q587" s="718">
        <v>96.62</v>
      </c>
      <c r="R587" s="717">
        <v>19</v>
      </c>
      <c r="S587" s="691" t="s">
        <v>54</v>
      </c>
      <c r="T587" t="s">
        <v>358</v>
      </c>
      <c r="U587" s="673" t="s">
        <v>358</v>
      </c>
      <c r="V587" s="690" t="s">
        <v>358</v>
      </c>
      <c r="W587" s="657" t="s">
        <v>329</v>
      </c>
      <c r="X587" s="723"/>
      <c r="Y587" s="4"/>
      <c r="Z587" s="4"/>
      <c r="AA587" s="4"/>
      <c r="AB587" s="4"/>
      <c r="AC587" s="4"/>
      <c r="AD587" s="4">
        <v>19</v>
      </c>
      <c r="AE587" s="4"/>
      <c r="AF587" s="4"/>
      <c r="AG587" s="4"/>
      <c r="AH587" s="4"/>
      <c r="AI587" s="654"/>
      <c r="AJ587" s="655"/>
      <c r="AK587" s="4"/>
      <c r="AL587" s="4"/>
      <c r="AM587" s="4"/>
      <c r="AN587" s="4"/>
      <c r="AO587" s="4"/>
      <c r="AP587" s="4"/>
      <c r="AQ587" s="4"/>
      <c r="AR587" s="4"/>
      <c r="AS587" s="4"/>
      <c r="AT587" s="4"/>
      <c r="AU587" s="654"/>
      <c r="AV587" s="655"/>
      <c r="AW587" s="4"/>
      <c r="AX587" s="4"/>
      <c r="AY587" s="4"/>
      <c r="AZ587" s="4"/>
      <c r="BA587" s="4"/>
      <c r="BB587" s="4"/>
      <c r="BC587" s="4"/>
      <c r="BD587" s="4"/>
      <c r="BE587" s="4"/>
      <c r="BF587" s="4"/>
      <c r="BG587" s="654"/>
      <c r="BH587" s="655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654"/>
      <c r="BT587" s="655"/>
      <c r="BU587" s="4"/>
      <c r="BV587" s="4"/>
      <c r="BW587" s="4"/>
      <c r="BX587" s="4"/>
      <c r="BY587" s="4"/>
      <c r="BZ587" s="4"/>
      <c r="CA587" s="4"/>
      <c r="CB587" s="4"/>
      <c r="CC587" s="4"/>
      <c r="CD587" s="4"/>
      <c r="CE587" s="693"/>
      <c r="CF587" s="723"/>
      <c r="CG587" s="4"/>
      <c r="CH587" s="4"/>
      <c r="CI587" s="4"/>
      <c r="CJ587" s="4"/>
      <c r="CK587" s="4"/>
      <c r="CL587" s="4">
        <v>96.62</v>
      </c>
      <c r="CM587" s="4"/>
      <c r="CN587" s="4"/>
      <c r="CO587" s="4"/>
      <c r="CP587" s="4"/>
      <c r="CQ587" s="654"/>
      <c r="CR587" s="655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654"/>
      <c r="DD587" s="655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654"/>
      <c r="DP587" s="655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654"/>
      <c r="EB587" s="655"/>
      <c r="EC587" s="4"/>
      <c r="ED587" s="4"/>
      <c r="EE587" s="4"/>
      <c r="EF587" s="4"/>
      <c r="EG587" s="4"/>
      <c r="EH587" s="4"/>
      <c r="EI587" s="4"/>
      <c r="EJ587" s="4"/>
      <c r="EK587" s="4"/>
      <c r="EL587" s="4"/>
      <c r="EM587" s="693"/>
      <c r="EN587" s="723"/>
      <c r="EO587" s="4"/>
      <c r="EP587" s="4"/>
      <c r="EQ587" s="4"/>
      <c r="ER587" s="4"/>
      <c r="ES587" s="4"/>
      <c r="ET587" s="4">
        <v>96.62</v>
      </c>
      <c r="EU587" s="4"/>
      <c r="EV587" s="4"/>
      <c r="EW587" s="4"/>
      <c r="EX587" s="4"/>
      <c r="EY587" s="654"/>
      <c r="EZ587" s="655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654"/>
      <c r="FL587" s="655"/>
      <c r="FM587" s="4"/>
      <c r="FN587" s="4"/>
      <c r="FO587" s="4"/>
      <c r="FP587" s="4"/>
      <c r="FQ587" s="4"/>
      <c r="FR587" s="4"/>
      <c r="FS587" s="4"/>
      <c r="FT587" s="4"/>
      <c r="FU587" s="4"/>
      <c r="FV587" s="4"/>
      <c r="FW587" s="654"/>
      <c r="FX587" s="655"/>
      <c r="FY587" s="4"/>
      <c r="FZ587" s="4"/>
      <c r="GA587" s="4"/>
      <c r="GB587" s="4"/>
      <c r="GC587" s="4"/>
      <c r="GD587" s="4"/>
      <c r="GE587" s="4"/>
      <c r="GF587" s="4"/>
      <c r="GG587" s="4"/>
      <c r="GH587" s="4"/>
      <c r="GI587" s="654"/>
      <c r="GJ587" s="655"/>
      <c r="GK587" s="4"/>
      <c r="GL587" s="4"/>
      <c r="GM587" s="4"/>
      <c r="GN587" s="4"/>
      <c r="GO587" s="4"/>
      <c r="GP587" s="4"/>
      <c r="GQ587" s="4"/>
      <c r="GR587" s="4"/>
      <c r="GS587" s="4"/>
      <c r="GT587" s="4"/>
      <c r="GU587" s="722"/>
      <c r="GV587" s="715"/>
    </row>
    <row r="588" spans="1:204" x14ac:dyDescent="0.25">
      <c r="A588" t="s">
        <v>2123</v>
      </c>
      <c r="B588" s="2" t="s">
        <v>2122</v>
      </c>
      <c r="C588" s="619">
        <v>44775</v>
      </c>
      <c r="D588" s="2" t="s">
        <v>2120</v>
      </c>
      <c r="E588" t="s">
        <v>58</v>
      </c>
      <c r="F588" s="2" t="s">
        <v>43</v>
      </c>
      <c r="G588" t="s">
        <v>40</v>
      </c>
      <c r="H588" s="690" t="s">
        <v>84</v>
      </c>
      <c r="I588" s="691" t="s">
        <v>2121</v>
      </c>
      <c r="J588" s="721">
        <v>15087610000141</v>
      </c>
      <c r="K588" s="691" t="s">
        <v>43</v>
      </c>
      <c r="L588" s="721">
        <v>3780401000108</v>
      </c>
      <c r="M588" s="718" t="s">
        <v>5</v>
      </c>
      <c r="N588" s="717" t="s">
        <v>44</v>
      </c>
      <c r="O588" s="719">
        <v>44743</v>
      </c>
      <c r="P588" s="720">
        <v>44773</v>
      </c>
      <c r="Q588" s="718">
        <v>29</v>
      </c>
      <c r="R588" s="717">
        <v>2</v>
      </c>
      <c r="S588" s="691" t="s">
        <v>92</v>
      </c>
      <c r="T588" t="s">
        <v>358</v>
      </c>
      <c r="U588" s="673" t="s">
        <v>358</v>
      </c>
      <c r="V588" s="690" t="s">
        <v>358</v>
      </c>
      <c r="W588" s="657" t="s">
        <v>329</v>
      </c>
      <c r="X588" s="723"/>
      <c r="Y588" s="4"/>
      <c r="Z588" s="4"/>
      <c r="AA588" s="4"/>
      <c r="AB588" s="4"/>
      <c r="AC588" s="4"/>
      <c r="AD588" s="4">
        <v>2</v>
      </c>
      <c r="AE588" s="4"/>
      <c r="AF588" s="4"/>
      <c r="AG588" s="4"/>
      <c r="AH588" s="4"/>
      <c r="AI588" s="654"/>
      <c r="AJ588" s="655"/>
      <c r="AK588" s="4"/>
      <c r="AL588" s="4"/>
      <c r="AM588" s="4"/>
      <c r="AN588" s="4"/>
      <c r="AO588" s="4"/>
      <c r="AP588" s="4"/>
      <c r="AQ588" s="4"/>
      <c r="AR588" s="4"/>
      <c r="AS588" s="4"/>
      <c r="AT588" s="4"/>
      <c r="AU588" s="654"/>
      <c r="AV588" s="655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654"/>
      <c r="BH588" s="655"/>
      <c r="BI588" s="4"/>
      <c r="BJ588" s="4"/>
      <c r="BK588" s="4"/>
      <c r="BL588" s="4"/>
      <c r="BM588" s="4"/>
      <c r="BN588" s="4"/>
      <c r="BO588" s="4"/>
      <c r="BP588" s="4"/>
      <c r="BQ588" s="4"/>
      <c r="BR588" s="4"/>
      <c r="BS588" s="654"/>
      <c r="BT588" s="655"/>
      <c r="BU588" s="4"/>
      <c r="BV588" s="4"/>
      <c r="BW588" s="4"/>
      <c r="BX588" s="4"/>
      <c r="BY588" s="4"/>
      <c r="BZ588" s="4"/>
      <c r="CA588" s="4"/>
      <c r="CB588" s="4"/>
      <c r="CC588" s="4"/>
      <c r="CD588" s="4"/>
      <c r="CE588" s="693"/>
      <c r="CF588" s="723"/>
      <c r="CG588" s="4"/>
      <c r="CH588" s="4"/>
      <c r="CI588" s="4"/>
      <c r="CJ588" s="4"/>
      <c r="CK588" s="4"/>
      <c r="CL588" s="4">
        <v>29</v>
      </c>
      <c r="CM588" s="4"/>
      <c r="CN588" s="4"/>
      <c r="CO588" s="4"/>
      <c r="CP588" s="4"/>
      <c r="CQ588" s="654"/>
      <c r="CR588" s="655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654"/>
      <c r="DD588" s="655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654"/>
      <c r="DP588" s="655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654"/>
      <c r="EB588" s="655"/>
      <c r="EC588" s="4"/>
      <c r="ED588" s="4"/>
      <c r="EE588" s="4"/>
      <c r="EF588" s="4"/>
      <c r="EG588" s="4"/>
      <c r="EH588" s="4"/>
      <c r="EI588" s="4"/>
      <c r="EJ588" s="4"/>
      <c r="EK588" s="4"/>
      <c r="EL588" s="4"/>
      <c r="EM588" s="693"/>
      <c r="EN588" s="723"/>
      <c r="EO588" s="4"/>
      <c r="EP588" s="4"/>
      <c r="EQ588" s="4"/>
      <c r="ER588" s="4"/>
      <c r="ES588" s="4"/>
      <c r="ET588" s="4">
        <v>95.32</v>
      </c>
      <c r="EU588" s="4"/>
      <c r="EV588" s="4"/>
      <c r="EW588" s="4"/>
      <c r="EX588" s="4"/>
      <c r="EY588" s="654"/>
      <c r="EZ588" s="655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654"/>
      <c r="FL588" s="655"/>
      <c r="FM588" s="4"/>
      <c r="FN588" s="4"/>
      <c r="FO588" s="4"/>
      <c r="FP588" s="4"/>
      <c r="FQ588" s="4"/>
      <c r="FR588" s="4"/>
      <c r="FS588" s="4"/>
      <c r="FT588" s="4"/>
      <c r="FU588" s="4"/>
      <c r="FV588" s="4"/>
      <c r="FW588" s="654"/>
      <c r="FX588" s="655"/>
      <c r="FY588" s="4"/>
      <c r="FZ588" s="4"/>
      <c r="GA588" s="4"/>
      <c r="GB588" s="4"/>
      <c r="GC588" s="4"/>
      <c r="GD588" s="4"/>
      <c r="GE588" s="4"/>
      <c r="GF588" s="4"/>
      <c r="GG588" s="4"/>
      <c r="GH588" s="4"/>
      <c r="GI588" s="654"/>
      <c r="GJ588" s="655"/>
      <c r="GK588" s="4"/>
      <c r="GL588" s="4"/>
      <c r="GM588" s="4"/>
      <c r="GN588" s="4"/>
      <c r="GO588" s="4"/>
      <c r="GP588" s="4"/>
      <c r="GQ588" s="4"/>
      <c r="GR588" s="4"/>
      <c r="GS588" s="4"/>
      <c r="GT588" s="4"/>
      <c r="GU588" s="722"/>
      <c r="GV588" s="715"/>
    </row>
    <row r="589" spans="1:204" x14ac:dyDescent="0.25">
      <c r="A589" t="s">
        <v>2125</v>
      </c>
      <c r="B589" s="2" t="s">
        <v>2124</v>
      </c>
      <c r="C589" s="619">
        <v>44775</v>
      </c>
      <c r="D589" s="2">
        <v>26285</v>
      </c>
      <c r="E589" t="s">
        <v>58</v>
      </c>
      <c r="F589" s="2" t="s">
        <v>43</v>
      </c>
      <c r="G589" t="s">
        <v>40</v>
      </c>
      <c r="H589" s="690" t="s">
        <v>84</v>
      </c>
      <c r="I589" s="691" t="s">
        <v>1919</v>
      </c>
      <c r="J589" s="721">
        <v>2016507000169</v>
      </c>
      <c r="K589" s="691" t="s">
        <v>43</v>
      </c>
      <c r="L589" s="721">
        <v>3780401000108</v>
      </c>
      <c r="M589" s="718" t="s">
        <v>5</v>
      </c>
      <c r="N589" s="717" t="s">
        <v>12</v>
      </c>
      <c r="O589" s="719">
        <v>44743</v>
      </c>
      <c r="P589" s="720">
        <v>44773</v>
      </c>
      <c r="Q589" s="718">
        <v>29.23</v>
      </c>
      <c r="R589" s="717">
        <v>20</v>
      </c>
      <c r="S589" s="691" t="s">
        <v>92</v>
      </c>
      <c r="T589" t="s">
        <v>358</v>
      </c>
      <c r="U589" s="673" t="s">
        <v>358</v>
      </c>
      <c r="V589" s="690" t="s">
        <v>358</v>
      </c>
      <c r="W589" s="657" t="s">
        <v>329</v>
      </c>
      <c r="X589" s="723"/>
      <c r="Y589" s="4"/>
      <c r="Z589" s="4"/>
      <c r="AA589" s="4"/>
      <c r="AB589" s="4"/>
      <c r="AC589" s="4"/>
      <c r="AD589" s="4">
        <v>20</v>
      </c>
      <c r="AE589" s="4"/>
      <c r="AF589" s="4"/>
      <c r="AG589" s="4"/>
      <c r="AH589" s="4"/>
      <c r="AI589" s="654"/>
      <c r="AJ589" s="655"/>
      <c r="AK589" s="4"/>
      <c r="AL589" s="4"/>
      <c r="AM589" s="4"/>
      <c r="AN589" s="4"/>
      <c r="AO589" s="4"/>
      <c r="AP589" s="4"/>
      <c r="AQ589" s="4"/>
      <c r="AR589" s="4"/>
      <c r="AS589" s="4"/>
      <c r="AT589" s="4"/>
      <c r="AU589" s="654"/>
      <c r="AV589" s="655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654"/>
      <c r="BH589" s="655"/>
      <c r="BI589" s="4"/>
      <c r="BJ589" s="4"/>
      <c r="BK589" s="4"/>
      <c r="BL589" s="4"/>
      <c r="BM589" s="4"/>
      <c r="BN589" s="4"/>
      <c r="BO589" s="4"/>
      <c r="BP589" s="4"/>
      <c r="BQ589" s="4"/>
      <c r="BR589" s="4"/>
      <c r="BS589" s="654"/>
      <c r="BT589" s="655"/>
      <c r="BU589" s="4"/>
      <c r="BV589" s="4"/>
      <c r="BW589" s="4"/>
      <c r="BX589" s="4"/>
      <c r="BY589" s="4"/>
      <c r="BZ589" s="4"/>
      <c r="CA589" s="4"/>
      <c r="CB589" s="4"/>
      <c r="CC589" s="4"/>
      <c r="CD589" s="4"/>
      <c r="CE589" s="693"/>
      <c r="CF589" s="723"/>
      <c r="CG589" s="4"/>
      <c r="CH589" s="4"/>
      <c r="CI589" s="4"/>
      <c r="CJ589" s="4"/>
      <c r="CK589" s="4"/>
      <c r="CL589" s="4">
        <v>29.23</v>
      </c>
      <c r="CM589" s="4"/>
      <c r="CN589" s="4"/>
      <c r="CO589" s="4"/>
      <c r="CP589" s="4"/>
      <c r="CQ589" s="654"/>
      <c r="CR589" s="655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654"/>
      <c r="DD589" s="655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654"/>
      <c r="DP589" s="655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654"/>
      <c r="EB589" s="655"/>
      <c r="EC589" s="4"/>
      <c r="ED589" s="4"/>
      <c r="EE589" s="4"/>
      <c r="EF589" s="4"/>
      <c r="EG589" s="4"/>
      <c r="EH589" s="4"/>
      <c r="EI589" s="4"/>
      <c r="EJ589" s="4"/>
      <c r="EK589" s="4"/>
      <c r="EL589" s="4"/>
      <c r="EM589" s="693"/>
      <c r="EN589" s="723"/>
      <c r="EO589" s="4"/>
      <c r="EP589" s="4"/>
      <c r="EQ589" s="4"/>
      <c r="ER589" s="4"/>
      <c r="ES589" s="4"/>
      <c r="ET589" s="4">
        <v>95.55</v>
      </c>
      <c r="EU589" s="4"/>
      <c r="EV589" s="4"/>
      <c r="EW589" s="4"/>
      <c r="EX589" s="4"/>
      <c r="EY589" s="654"/>
      <c r="EZ589" s="655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654"/>
      <c r="FL589" s="655"/>
      <c r="FM589" s="4"/>
      <c r="FN589" s="4"/>
      <c r="FO589" s="4"/>
      <c r="FP589" s="4"/>
      <c r="FQ589" s="4"/>
      <c r="FR589" s="4"/>
      <c r="FS589" s="4"/>
      <c r="FT589" s="4"/>
      <c r="FU589" s="4"/>
      <c r="FV589" s="4"/>
      <c r="FW589" s="654"/>
      <c r="FX589" s="655"/>
      <c r="FY589" s="4"/>
      <c r="FZ589" s="4"/>
      <c r="GA589" s="4"/>
      <c r="GB589" s="4"/>
      <c r="GC589" s="4"/>
      <c r="GD589" s="4"/>
      <c r="GE589" s="4"/>
      <c r="GF589" s="4"/>
      <c r="GG589" s="4"/>
      <c r="GH589" s="4"/>
      <c r="GI589" s="654"/>
      <c r="GJ589" s="655"/>
      <c r="GK589" s="4"/>
      <c r="GL589" s="4"/>
      <c r="GM589" s="4"/>
      <c r="GN589" s="4"/>
      <c r="GO589" s="4"/>
      <c r="GP589" s="4"/>
      <c r="GQ589" s="4"/>
      <c r="GR589" s="4"/>
      <c r="GS589" s="4"/>
      <c r="GT589" s="4"/>
      <c r="GU589" s="722"/>
      <c r="GV589" s="715"/>
    </row>
    <row r="590" spans="1:204" x14ac:dyDescent="0.25">
      <c r="A590" t="s">
        <v>2129</v>
      </c>
      <c r="B590" s="2" t="s">
        <v>2128</v>
      </c>
      <c r="C590" s="619">
        <v>44777</v>
      </c>
      <c r="D590" s="2" t="s">
        <v>2126</v>
      </c>
      <c r="E590" t="s">
        <v>59</v>
      </c>
      <c r="F590" s="2" t="s">
        <v>43</v>
      </c>
      <c r="G590" t="s">
        <v>40</v>
      </c>
      <c r="H590" s="690" t="s">
        <v>85</v>
      </c>
      <c r="I590" s="691" t="s">
        <v>43</v>
      </c>
      <c r="J590" s="721">
        <v>3780401000108</v>
      </c>
      <c r="K590" s="691" t="s">
        <v>2017</v>
      </c>
      <c r="L590" s="721">
        <v>30840548000100</v>
      </c>
      <c r="M590" s="718" t="s">
        <v>3</v>
      </c>
      <c r="N590" s="717" t="s">
        <v>44</v>
      </c>
      <c r="O590" s="719">
        <v>44927</v>
      </c>
      <c r="P590" s="720">
        <v>44957</v>
      </c>
      <c r="Q590" s="718">
        <v>163</v>
      </c>
      <c r="R590" s="717">
        <v>14</v>
      </c>
      <c r="S590" s="691" t="s">
        <v>54</v>
      </c>
      <c r="T590" t="s">
        <v>649</v>
      </c>
      <c r="U590" s="673">
        <v>44777</v>
      </c>
      <c r="V590" s="690">
        <v>1</v>
      </c>
      <c r="W590" s="657" t="s">
        <v>329</v>
      </c>
      <c r="X590" s="723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654"/>
      <c r="AJ590" s="655">
        <v>14</v>
      </c>
      <c r="AK590" s="4"/>
      <c r="AL590" s="4"/>
      <c r="AM590" s="4"/>
      <c r="AN590" s="4"/>
      <c r="AO590" s="4"/>
      <c r="AP590" s="4"/>
      <c r="AQ590" s="4"/>
      <c r="AR590" s="4"/>
      <c r="AS590" s="4"/>
      <c r="AT590" s="4"/>
      <c r="AU590" s="654"/>
      <c r="AV590" s="655"/>
      <c r="AW590" s="4"/>
      <c r="AX590" s="4"/>
      <c r="AY590" s="4"/>
      <c r="AZ590" s="4"/>
      <c r="BA590" s="4"/>
      <c r="BB590" s="4"/>
      <c r="BC590" s="4"/>
      <c r="BD590" s="4"/>
      <c r="BE590" s="4"/>
      <c r="BF590" s="4"/>
      <c r="BG590" s="654"/>
      <c r="BH590" s="655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654"/>
      <c r="BT590" s="655"/>
      <c r="BU590" s="4"/>
      <c r="BV590" s="4"/>
      <c r="BW590" s="4"/>
      <c r="BX590" s="4"/>
      <c r="BY590" s="4"/>
      <c r="BZ590" s="4"/>
      <c r="CA590" s="4"/>
      <c r="CB590" s="4"/>
      <c r="CC590" s="4"/>
      <c r="CD590" s="4"/>
      <c r="CE590" s="693"/>
      <c r="CF590" s="723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654"/>
      <c r="CR590" s="655">
        <v>164.35067691280813</v>
      </c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654"/>
      <c r="DD590" s="655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654"/>
      <c r="DP590" s="655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654"/>
      <c r="EB590" s="655"/>
      <c r="EC590" s="4"/>
      <c r="ED590" s="4"/>
      <c r="EE590" s="4"/>
      <c r="EF590" s="4"/>
      <c r="EG590" s="4"/>
      <c r="EH590" s="4"/>
      <c r="EI590" s="4"/>
      <c r="EJ590" s="4"/>
      <c r="EK590" s="4"/>
      <c r="EL590" s="4"/>
      <c r="EM590" s="693"/>
      <c r="EN590" s="723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654"/>
      <c r="EZ590" s="655">
        <v>164.35067691280813</v>
      </c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654"/>
      <c r="FL590" s="655"/>
      <c r="FM590" s="4"/>
      <c r="FN590" s="4"/>
      <c r="FO590" s="4"/>
      <c r="FP590" s="4"/>
      <c r="FQ590" s="4"/>
      <c r="FR590" s="4"/>
      <c r="FS590" s="4"/>
      <c r="FT590" s="4"/>
      <c r="FU590" s="4"/>
      <c r="FV590" s="4"/>
      <c r="FW590" s="654"/>
      <c r="FX590" s="655"/>
      <c r="FY590" s="4"/>
      <c r="FZ590" s="4"/>
      <c r="GA590" s="4"/>
      <c r="GB590" s="4"/>
      <c r="GC590" s="4"/>
      <c r="GD590" s="4"/>
      <c r="GE590" s="4"/>
      <c r="GF590" s="4"/>
      <c r="GG590" s="4"/>
      <c r="GH590" s="4"/>
      <c r="GI590" s="654"/>
      <c r="GJ590" s="655"/>
      <c r="GK590" s="4"/>
      <c r="GL590" s="4"/>
      <c r="GM590" s="4"/>
      <c r="GN590" s="4"/>
      <c r="GO590" s="4"/>
      <c r="GP590" s="4"/>
      <c r="GQ590" s="4"/>
      <c r="GR590" s="4"/>
      <c r="GS590" s="4"/>
      <c r="GT590" s="4"/>
      <c r="GU590" s="722"/>
      <c r="GV590" s="715"/>
    </row>
    <row r="591" spans="1:204" x14ac:dyDescent="0.25">
      <c r="A591" t="s">
        <v>2131</v>
      </c>
      <c r="B591" s="2" t="s">
        <v>2130</v>
      </c>
      <c r="C591" s="619">
        <v>44777</v>
      </c>
      <c r="D591" s="2" t="s">
        <v>2127</v>
      </c>
      <c r="E591" t="s">
        <v>58</v>
      </c>
      <c r="F591" s="2" t="s">
        <v>43</v>
      </c>
      <c r="G591" t="s">
        <v>40</v>
      </c>
      <c r="H591" s="690" t="s">
        <v>84</v>
      </c>
      <c r="I591" s="691" t="s">
        <v>2017</v>
      </c>
      <c r="J591" s="721">
        <v>30840548000100</v>
      </c>
      <c r="K591" s="691" t="s">
        <v>43</v>
      </c>
      <c r="L591" s="721">
        <v>3780401000108</v>
      </c>
      <c r="M591" s="718" t="s">
        <v>3</v>
      </c>
      <c r="N591" s="717" t="s">
        <v>44</v>
      </c>
      <c r="O591" s="719">
        <v>44958</v>
      </c>
      <c r="P591" s="720">
        <v>44985</v>
      </c>
      <c r="Q591" s="718">
        <v>163</v>
      </c>
      <c r="R591" s="717">
        <v>14</v>
      </c>
      <c r="S591" s="691" t="s">
        <v>54</v>
      </c>
      <c r="T591" t="s">
        <v>649</v>
      </c>
      <c r="U591" s="673">
        <v>44777</v>
      </c>
      <c r="V591" s="690">
        <v>2</v>
      </c>
      <c r="W591" s="657" t="s">
        <v>329</v>
      </c>
      <c r="X591" s="723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654"/>
      <c r="AJ591" s="655"/>
      <c r="AK591" s="4">
        <v>14</v>
      </c>
      <c r="AL591" s="4"/>
      <c r="AM591" s="4"/>
      <c r="AN591" s="4"/>
      <c r="AO591" s="4"/>
      <c r="AP591" s="4"/>
      <c r="AQ591" s="4"/>
      <c r="AR591" s="4"/>
      <c r="AS591" s="4"/>
      <c r="AT591" s="4"/>
      <c r="AU591" s="654"/>
      <c r="AV591" s="655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654"/>
      <c r="BH591" s="655"/>
      <c r="BI591" s="4"/>
      <c r="BJ591" s="4"/>
      <c r="BK591" s="4"/>
      <c r="BL591" s="4"/>
      <c r="BM591" s="4"/>
      <c r="BN591" s="4"/>
      <c r="BO591" s="4"/>
      <c r="BP591" s="4"/>
      <c r="BQ591" s="4"/>
      <c r="BR591" s="4"/>
      <c r="BS591" s="654"/>
      <c r="BT591" s="655"/>
      <c r="BU591" s="4"/>
      <c r="BV591" s="4"/>
      <c r="BW591" s="4"/>
      <c r="BX591" s="4"/>
      <c r="BY591" s="4"/>
      <c r="BZ591" s="4"/>
      <c r="CA591" s="4"/>
      <c r="CB591" s="4"/>
      <c r="CC591" s="4"/>
      <c r="CD591" s="4"/>
      <c r="CE591" s="693"/>
      <c r="CF591" s="723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654"/>
      <c r="CR591" s="655"/>
      <c r="CS591" s="4">
        <v>164.35067691280813</v>
      </c>
      <c r="CT591" s="4"/>
      <c r="CU591" s="4"/>
      <c r="CV591" s="4"/>
      <c r="CW591" s="4"/>
      <c r="CX591" s="4"/>
      <c r="CY591" s="4"/>
      <c r="CZ591" s="4"/>
      <c r="DA591" s="4"/>
      <c r="DB591" s="4"/>
      <c r="DC591" s="654"/>
      <c r="DD591" s="655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654"/>
      <c r="DP591" s="655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654"/>
      <c r="EB591" s="655"/>
      <c r="EC591" s="4"/>
      <c r="ED591" s="4"/>
      <c r="EE591" s="4"/>
      <c r="EF591" s="4"/>
      <c r="EG591" s="4"/>
      <c r="EH591" s="4"/>
      <c r="EI591" s="4"/>
      <c r="EJ591" s="4"/>
      <c r="EK591" s="4"/>
      <c r="EL591" s="4"/>
      <c r="EM591" s="693"/>
      <c r="EN591" s="723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654"/>
      <c r="EZ591" s="655"/>
      <c r="FA591" s="4">
        <v>164.35067691280813</v>
      </c>
      <c r="FB591" s="4"/>
      <c r="FC591" s="4"/>
      <c r="FD591" s="4"/>
      <c r="FE591" s="4"/>
      <c r="FF591" s="4"/>
      <c r="FG591" s="4"/>
      <c r="FH591" s="4"/>
      <c r="FI591" s="4"/>
      <c r="FJ591" s="4"/>
      <c r="FK591" s="654"/>
      <c r="FL591" s="655"/>
      <c r="FM591" s="4"/>
      <c r="FN591" s="4"/>
      <c r="FO591" s="4"/>
      <c r="FP591" s="4"/>
      <c r="FQ591" s="4"/>
      <c r="FR591" s="4"/>
      <c r="FS591" s="4"/>
      <c r="FT591" s="4"/>
      <c r="FU591" s="4"/>
      <c r="FV591" s="4"/>
      <c r="FW591" s="654"/>
      <c r="FX591" s="655"/>
      <c r="FY591" s="4"/>
      <c r="FZ591" s="4"/>
      <c r="GA591" s="4"/>
      <c r="GB591" s="4"/>
      <c r="GC591" s="4"/>
      <c r="GD591" s="4"/>
      <c r="GE591" s="4"/>
      <c r="GF591" s="4"/>
      <c r="GG591" s="4"/>
      <c r="GH591" s="4"/>
      <c r="GI591" s="654"/>
      <c r="GJ591" s="655"/>
      <c r="GK591" s="4"/>
      <c r="GL591" s="4"/>
      <c r="GM591" s="4"/>
      <c r="GN591" s="4"/>
      <c r="GO591" s="4"/>
      <c r="GP591" s="4"/>
      <c r="GQ591" s="4"/>
      <c r="GR591" s="4"/>
      <c r="GS591" s="4"/>
      <c r="GT591" s="4"/>
      <c r="GU591" s="722"/>
      <c r="GV591" s="715"/>
    </row>
    <row r="592" spans="1:204" x14ac:dyDescent="0.25">
      <c r="A592" t="s">
        <v>2134</v>
      </c>
      <c r="B592" s="2" t="s">
        <v>2133</v>
      </c>
      <c r="C592" s="619">
        <v>44783</v>
      </c>
      <c r="D592" s="2" t="s">
        <v>2132</v>
      </c>
      <c r="E592" t="s">
        <v>58</v>
      </c>
      <c r="F592" s="2" t="s">
        <v>43</v>
      </c>
      <c r="G592" t="s">
        <v>40</v>
      </c>
      <c r="H592" s="690" t="s">
        <v>84</v>
      </c>
      <c r="I592" s="691" t="s">
        <v>2105</v>
      </c>
      <c r="J592" s="721">
        <v>12809025000110</v>
      </c>
      <c r="K592" s="691" t="s">
        <v>43</v>
      </c>
      <c r="L592" s="721">
        <v>3780401000108</v>
      </c>
      <c r="M592" s="718" t="s">
        <v>3</v>
      </c>
      <c r="N592" s="717" t="s">
        <v>44</v>
      </c>
      <c r="O592" s="719">
        <v>44805</v>
      </c>
      <c r="P592" s="720">
        <v>44834</v>
      </c>
      <c r="Q592" s="718">
        <v>80</v>
      </c>
      <c r="R592" s="717">
        <v>4</v>
      </c>
      <c r="S592" s="691" t="s">
        <v>54</v>
      </c>
      <c r="T592" t="s">
        <v>358</v>
      </c>
      <c r="U592" s="673" t="s">
        <v>358</v>
      </c>
      <c r="V592" s="690" t="s">
        <v>358</v>
      </c>
      <c r="W592" s="657" t="s">
        <v>329</v>
      </c>
      <c r="X592" s="723"/>
      <c r="Y592" s="4"/>
      <c r="Z592" s="4"/>
      <c r="AA592" s="4"/>
      <c r="AB592" s="4"/>
      <c r="AC592" s="4"/>
      <c r="AD592" s="4"/>
      <c r="AE592" s="4"/>
      <c r="AF592" s="4">
        <v>4</v>
      </c>
      <c r="AG592" s="4"/>
      <c r="AH592" s="4"/>
      <c r="AI592" s="654"/>
      <c r="AJ592" s="655"/>
      <c r="AK592" s="4"/>
      <c r="AL592" s="4"/>
      <c r="AM592" s="4"/>
      <c r="AN592" s="4"/>
      <c r="AO592" s="4"/>
      <c r="AP592" s="4"/>
      <c r="AQ592" s="4"/>
      <c r="AR592" s="4"/>
      <c r="AS592" s="4"/>
      <c r="AT592" s="4"/>
      <c r="AU592" s="654"/>
      <c r="AV592" s="655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654"/>
      <c r="BH592" s="655"/>
      <c r="BI592" s="4"/>
      <c r="BJ592" s="4"/>
      <c r="BK592" s="4"/>
      <c r="BL592" s="4"/>
      <c r="BM592" s="4"/>
      <c r="BN592" s="4"/>
      <c r="BO592" s="4"/>
      <c r="BP592" s="4"/>
      <c r="BQ592" s="4"/>
      <c r="BR592" s="4"/>
      <c r="BS592" s="654"/>
      <c r="BT592" s="655"/>
      <c r="BU592" s="4"/>
      <c r="BV592" s="4"/>
      <c r="BW592" s="4"/>
      <c r="BX592" s="4"/>
      <c r="BY592" s="4"/>
      <c r="BZ592" s="4"/>
      <c r="CA592" s="4"/>
      <c r="CB592" s="4"/>
      <c r="CC592" s="4"/>
      <c r="CD592" s="4"/>
      <c r="CE592" s="693"/>
      <c r="CF592" s="723"/>
      <c r="CG592" s="4"/>
      <c r="CH592" s="4"/>
      <c r="CI592" s="4"/>
      <c r="CJ592" s="4"/>
      <c r="CK592" s="4"/>
      <c r="CL592" s="4"/>
      <c r="CM592" s="4"/>
      <c r="CN592" s="4">
        <v>80</v>
      </c>
      <c r="CO592" s="4"/>
      <c r="CP592" s="4"/>
      <c r="CQ592" s="654"/>
      <c r="CR592" s="655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654"/>
      <c r="DD592" s="655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654"/>
      <c r="DP592" s="655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654"/>
      <c r="EB592" s="655"/>
      <c r="EC592" s="4"/>
      <c r="ED592" s="4"/>
      <c r="EE592" s="4"/>
      <c r="EF592" s="4"/>
      <c r="EG592" s="4"/>
      <c r="EH592" s="4"/>
      <c r="EI592" s="4"/>
      <c r="EJ592" s="4"/>
      <c r="EK592" s="4"/>
      <c r="EL592" s="4"/>
      <c r="EM592" s="693"/>
      <c r="EN592" s="723"/>
      <c r="EO592" s="4"/>
      <c r="EP592" s="4"/>
      <c r="EQ592" s="4"/>
      <c r="ER592" s="4"/>
      <c r="ES592" s="4"/>
      <c r="ET592" s="4"/>
      <c r="EU592" s="4"/>
      <c r="EV592" s="4">
        <v>80</v>
      </c>
      <c r="EW592" s="4"/>
      <c r="EX592" s="4"/>
      <c r="EY592" s="654"/>
      <c r="EZ592" s="655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654"/>
      <c r="FL592" s="655"/>
      <c r="FM592" s="4"/>
      <c r="FN592" s="4"/>
      <c r="FO592" s="4"/>
      <c r="FP592" s="4"/>
      <c r="FQ592" s="4"/>
      <c r="FR592" s="4"/>
      <c r="FS592" s="4"/>
      <c r="FT592" s="4"/>
      <c r="FU592" s="4"/>
      <c r="FV592" s="4"/>
      <c r="FW592" s="654"/>
      <c r="FX592" s="655"/>
      <c r="FY592" s="4"/>
      <c r="FZ592" s="4"/>
      <c r="GA592" s="4"/>
      <c r="GB592" s="4"/>
      <c r="GC592" s="4"/>
      <c r="GD592" s="4"/>
      <c r="GE592" s="4"/>
      <c r="GF592" s="4"/>
      <c r="GG592" s="4"/>
      <c r="GH592" s="4"/>
      <c r="GI592" s="654"/>
      <c r="GJ592" s="655"/>
      <c r="GK592" s="4"/>
      <c r="GL592" s="4"/>
      <c r="GM592" s="4"/>
      <c r="GN592" s="4"/>
      <c r="GO592" s="4"/>
      <c r="GP592" s="4"/>
      <c r="GQ592" s="4"/>
      <c r="GR592" s="4"/>
      <c r="GS592" s="4"/>
      <c r="GT592" s="4"/>
      <c r="GU592" s="722"/>
      <c r="GV592" s="715"/>
    </row>
    <row r="593" spans="1:204" x14ac:dyDescent="0.25">
      <c r="A593" t="s">
        <v>2139</v>
      </c>
      <c r="B593" s="2" t="s">
        <v>2138</v>
      </c>
      <c r="C593" s="619">
        <v>44784</v>
      </c>
      <c r="D593" s="2" t="s">
        <v>2135</v>
      </c>
      <c r="E593" t="s">
        <v>58</v>
      </c>
      <c r="F593" s="2" t="s">
        <v>43</v>
      </c>
      <c r="G593" t="s">
        <v>40</v>
      </c>
      <c r="H593" s="690" t="s">
        <v>84</v>
      </c>
      <c r="I593" s="691" t="s">
        <v>2137</v>
      </c>
      <c r="J593" s="721">
        <v>11315117000180</v>
      </c>
      <c r="K593" s="691" t="s">
        <v>43</v>
      </c>
      <c r="L593" s="721">
        <v>3780401000108</v>
      </c>
      <c r="M593" s="718" t="s">
        <v>3</v>
      </c>
      <c r="N593" s="717" t="s">
        <v>44</v>
      </c>
      <c r="O593" s="719">
        <v>44805</v>
      </c>
      <c r="P593" s="720">
        <v>44834</v>
      </c>
      <c r="Q593" s="718">
        <v>79</v>
      </c>
      <c r="R593" s="717">
        <v>2</v>
      </c>
      <c r="S593" s="691" t="s">
        <v>54</v>
      </c>
      <c r="T593" t="s">
        <v>358</v>
      </c>
      <c r="U593" s="673" t="s">
        <v>358</v>
      </c>
      <c r="V593" s="690" t="s">
        <v>358</v>
      </c>
      <c r="W593" s="657" t="s">
        <v>329</v>
      </c>
      <c r="X593" s="723"/>
      <c r="Y593" s="4"/>
      <c r="Z593" s="4"/>
      <c r="AA593" s="4"/>
      <c r="AB593" s="4"/>
      <c r="AC593" s="4"/>
      <c r="AD593" s="4"/>
      <c r="AE593" s="4"/>
      <c r="AF593" s="4">
        <v>2</v>
      </c>
      <c r="AG593" s="4"/>
      <c r="AH593" s="4"/>
      <c r="AI593" s="654"/>
      <c r="AJ593" s="655"/>
      <c r="AK593" s="4"/>
      <c r="AL593" s="4"/>
      <c r="AM593" s="4"/>
      <c r="AN593" s="4"/>
      <c r="AO593" s="4"/>
      <c r="AP593" s="4"/>
      <c r="AQ593" s="4"/>
      <c r="AR593" s="4"/>
      <c r="AS593" s="4"/>
      <c r="AT593" s="4"/>
      <c r="AU593" s="654"/>
      <c r="AV593" s="655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654"/>
      <c r="BH593" s="655"/>
      <c r="BI593" s="4"/>
      <c r="BJ593" s="4"/>
      <c r="BK593" s="4"/>
      <c r="BL593" s="4"/>
      <c r="BM593" s="4"/>
      <c r="BN593" s="4"/>
      <c r="BO593" s="4"/>
      <c r="BP593" s="4"/>
      <c r="BQ593" s="4"/>
      <c r="BR593" s="4"/>
      <c r="BS593" s="654"/>
      <c r="BT593" s="655"/>
      <c r="BU593" s="4"/>
      <c r="BV593" s="4"/>
      <c r="BW593" s="4"/>
      <c r="BX593" s="4"/>
      <c r="BY593" s="4"/>
      <c r="BZ593" s="4"/>
      <c r="CA593" s="4"/>
      <c r="CB593" s="4"/>
      <c r="CC593" s="4"/>
      <c r="CD593" s="4"/>
      <c r="CE593" s="693"/>
      <c r="CF593" s="723"/>
      <c r="CG593" s="4"/>
      <c r="CH593" s="4"/>
      <c r="CI593" s="4"/>
      <c r="CJ593" s="4"/>
      <c r="CK593" s="4"/>
      <c r="CL593" s="4"/>
      <c r="CM593" s="4"/>
      <c r="CN593" s="4">
        <v>79</v>
      </c>
      <c r="CO593" s="4"/>
      <c r="CP593" s="4"/>
      <c r="CQ593" s="654"/>
      <c r="CR593" s="655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654"/>
      <c r="DD593" s="655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654"/>
      <c r="DP593" s="655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654"/>
      <c r="EB593" s="655"/>
      <c r="EC593" s="4"/>
      <c r="ED593" s="4"/>
      <c r="EE593" s="4"/>
      <c r="EF593" s="4"/>
      <c r="EG593" s="4"/>
      <c r="EH593" s="4"/>
      <c r="EI593" s="4"/>
      <c r="EJ593" s="4"/>
      <c r="EK593" s="4"/>
      <c r="EL593" s="4"/>
      <c r="EM593" s="693"/>
      <c r="EN593" s="723"/>
      <c r="EO593" s="4"/>
      <c r="EP593" s="4"/>
      <c r="EQ593" s="4"/>
      <c r="ER593" s="4"/>
      <c r="ES593" s="4"/>
      <c r="ET593" s="4"/>
      <c r="EU593" s="4"/>
      <c r="EV593" s="4">
        <v>79</v>
      </c>
      <c r="EW593" s="4"/>
      <c r="EX593" s="4"/>
      <c r="EY593" s="654"/>
      <c r="EZ593" s="655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654"/>
      <c r="FL593" s="655"/>
      <c r="FM593" s="4"/>
      <c r="FN593" s="4"/>
      <c r="FO593" s="4"/>
      <c r="FP593" s="4"/>
      <c r="FQ593" s="4"/>
      <c r="FR593" s="4"/>
      <c r="FS593" s="4"/>
      <c r="FT593" s="4"/>
      <c r="FU593" s="4"/>
      <c r="FV593" s="4"/>
      <c r="FW593" s="654"/>
      <c r="FX593" s="655"/>
      <c r="FY593" s="4"/>
      <c r="FZ593" s="4"/>
      <c r="GA593" s="4"/>
      <c r="GB593" s="4"/>
      <c r="GC593" s="4"/>
      <c r="GD593" s="4"/>
      <c r="GE593" s="4"/>
      <c r="GF593" s="4"/>
      <c r="GG593" s="4"/>
      <c r="GH593" s="4"/>
      <c r="GI593" s="654"/>
      <c r="GJ593" s="655"/>
      <c r="GK593" s="4"/>
      <c r="GL593" s="4"/>
      <c r="GM593" s="4"/>
      <c r="GN593" s="4"/>
      <c r="GO593" s="4"/>
      <c r="GP593" s="4"/>
      <c r="GQ593" s="4"/>
      <c r="GR593" s="4"/>
      <c r="GS593" s="4"/>
      <c r="GT593" s="4"/>
      <c r="GU593" s="722"/>
      <c r="GV593" s="715"/>
    </row>
    <row r="594" spans="1:204" x14ac:dyDescent="0.25">
      <c r="A594" t="s">
        <v>2141</v>
      </c>
      <c r="B594" s="2" t="s">
        <v>2140</v>
      </c>
      <c r="C594" s="619">
        <v>44784</v>
      </c>
      <c r="D594" s="2" t="s">
        <v>2136</v>
      </c>
      <c r="E594" t="s">
        <v>58</v>
      </c>
      <c r="F594" s="2" t="s">
        <v>43</v>
      </c>
      <c r="G594" t="s">
        <v>40</v>
      </c>
      <c r="H594" s="690" t="s">
        <v>84</v>
      </c>
      <c r="I594" s="691" t="s">
        <v>2137</v>
      </c>
      <c r="J594" s="721">
        <v>11315117000180</v>
      </c>
      <c r="K594" s="691" t="s">
        <v>43</v>
      </c>
      <c r="L594" s="721">
        <v>3780401000108</v>
      </c>
      <c r="M594" s="718" t="s">
        <v>3</v>
      </c>
      <c r="N594" s="717" t="s">
        <v>44</v>
      </c>
      <c r="O594" s="719">
        <v>44805</v>
      </c>
      <c r="P594" s="720">
        <v>44834</v>
      </c>
      <c r="Q594" s="718">
        <v>79.5</v>
      </c>
      <c r="R594" s="717">
        <v>2</v>
      </c>
      <c r="S594" s="691" t="s">
        <v>54</v>
      </c>
      <c r="T594" t="s">
        <v>358</v>
      </c>
      <c r="U594" s="673" t="s">
        <v>358</v>
      </c>
      <c r="V594" s="690" t="s">
        <v>358</v>
      </c>
      <c r="W594" s="657" t="s">
        <v>329</v>
      </c>
      <c r="X594" s="723"/>
      <c r="Y594" s="4"/>
      <c r="Z594" s="4"/>
      <c r="AA594" s="4"/>
      <c r="AB594" s="4"/>
      <c r="AC594" s="4"/>
      <c r="AD594" s="4"/>
      <c r="AE594" s="4"/>
      <c r="AF594" s="4">
        <v>2</v>
      </c>
      <c r="AG594" s="4"/>
      <c r="AH594" s="4"/>
      <c r="AI594" s="654"/>
      <c r="AJ594" s="655"/>
      <c r="AK594" s="4"/>
      <c r="AL594" s="4"/>
      <c r="AM594" s="4"/>
      <c r="AN594" s="4"/>
      <c r="AO594" s="4"/>
      <c r="AP594" s="4"/>
      <c r="AQ594" s="4"/>
      <c r="AR594" s="4"/>
      <c r="AS594" s="4"/>
      <c r="AT594" s="4"/>
      <c r="AU594" s="654"/>
      <c r="AV594" s="655"/>
      <c r="AW594" s="4"/>
      <c r="AX594" s="4"/>
      <c r="AY594" s="4"/>
      <c r="AZ594" s="4"/>
      <c r="BA594" s="4"/>
      <c r="BB594" s="4"/>
      <c r="BC594" s="4"/>
      <c r="BD594" s="4"/>
      <c r="BE594" s="4"/>
      <c r="BF594" s="4"/>
      <c r="BG594" s="654"/>
      <c r="BH594" s="655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654"/>
      <c r="BT594" s="655"/>
      <c r="BU594" s="4"/>
      <c r="BV594" s="4"/>
      <c r="BW594" s="4"/>
      <c r="BX594" s="4"/>
      <c r="BY594" s="4"/>
      <c r="BZ594" s="4"/>
      <c r="CA594" s="4"/>
      <c r="CB594" s="4"/>
      <c r="CC594" s="4"/>
      <c r="CD594" s="4"/>
      <c r="CE594" s="693"/>
      <c r="CF594" s="723"/>
      <c r="CG594" s="4"/>
      <c r="CH594" s="4"/>
      <c r="CI594" s="4"/>
      <c r="CJ594" s="4"/>
      <c r="CK594" s="4"/>
      <c r="CL594" s="4"/>
      <c r="CM594" s="4"/>
      <c r="CN594" s="4">
        <v>79.5</v>
      </c>
      <c r="CO594" s="4"/>
      <c r="CP594" s="4"/>
      <c r="CQ594" s="654"/>
      <c r="CR594" s="655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654"/>
      <c r="DD594" s="655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654"/>
      <c r="DP594" s="655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654"/>
      <c r="EB594" s="655"/>
      <c r="EC594" s="4"/>
      <c r="ED594" s="4"/>
      <c r="EE594" s="4"/>
      <c r="EF594" s="4"/>
      <c r="EG594" s="4"/>
      <c r="EH594" s="4"/>
      <c r="EI594" s="4"/>
      <c r="EJ594" s="4"/>
      <c r="EK594" s="4"/>
      <c r="EL594" s="4"/>
      <c r="EM594" s="693"/>
      <c r="EN594" s="723"/>
      <c r="EO594" s="4"/>
      <c r="EP594" s="4"/>
      <c r="EQ594" s="4"/>
      <c r="ER594" s="4"/>
      <c r="ES594" s="4"/>
      <c r="ET594" s="4"/>
      <c r="EU594" s="4"/>
      <c r="EV594" s="4">
        <v>79.5</v>
      </c>
      <c r="EW594" s="4"/>
      <c r="EX594" s="4"/>
      <c r="EY594" s="654"/>
      <c r="EZ594" s="655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654"/>
      <c r="FL594" s="655"/>
      <c r="FM594" s="4"/>
      <c r="FN594" s="4"/>
      <c r="FO594" s="4"/>
      <c r="FP594" s="4"/>
      <c r="FQ594" s="4"/>
      <c r="FR594" s="4"/>
      <c r="FS594" s="4"/>
      <c r="FT594" s="4"/>
      <c r="FU594" s="4"/>
      <c r="FV594" s="4"/>
      <c r="FW594" s="654"/>
      <c r="FX594" s="655"/>
      <c r="FY594" s="4"/>
      <c r="FZ594" s="4"/>
      <c r="GA594" s="4"/>
      <c r="GB594" s="4"/>
      <c r="GC594" s="4"/>
      <c r="GD594" s="4"/>
      <c r="GE594" s="4"/>
      <c r="GF594" s="4"/>
      <c r="GG594" s="4"/>
      <c r="GH594" s="4"/>
      <c r="GI594" s="654"/>
      <c r="GJ594" s="655"/>
      <c r="GK594" s="4"/>
      <c r="GL594" s="4"/>
      <c r="GM594" s="4"/>
      <c r="GN594" s="4"/>
      <c r="GO594" s="4"/>
      <c r="GP594" s="4"/>
      <c r="GQ594" s="4"/>
      <c r="GR594" s="4"/>
      <c r="GS594" s="4"/>
      <c r="GT594" s="4"/>
      <c r="GU594" s="722"/>
      <c r="GV594" s="715"/>
    </row>
    <row r="595" spans="1:204" x14ac:dyDescent="0.25">
      <c r="A595" t="s">
        <v>2150</v>
      </c>
      <c r="B595" s="2" t="s">
        <v>2149</v>
      </c>
      <c r="C595" s="619">
        <v>44788</v>
      </c>
      <c r="D595" s="2" t="s">
        <v>2142</v>
      </c>
      <c r="E595" t="s">
        <v>58</v>
      </c>
      <c r="F595" s="2" t="s">
        <v>43</v>
      </c>
      <c r="G595" t="s">
        <v>40</v>
      </c>
      <c r="H595" s="690" t="s">
        <v>84</v>
      </c>
      <c r="I595" s="691" t="s">
        <v>981</v>
      </c>
      <c r="J595" s="721" t="s">
        <v>2145</v>
      </c>
      <c r="K595" s="691" t="s">
        <v>43</v>
      </c>
      <c r="L595" s="721" t="s">
        <v>2146</v>
      </c>
      <c r="M595" s="718" t="s">
        <v>3</v>
      </c>
      <c r="N595" s="717" t="s">
        <v>44</v>
      </c>
      <c r="O595" s="719">
        <v>44774</v>
      </c>
      <c r="P595" s="720">
        <v>44804</v>
      </c>
      <c r="Q595" s="718">
        <v>81.599999999999994</v>
      </c>
      <c r="R595" s="717">
        <v>3</v>
      </c>
      <c r="S595" s="691" t="s">
        <v>54</v>
      </c>
      <c r="T595" t="s">
        <v>358</v>
      </c>
      <c r="U595" s="673" t="s">
        <v>358</v>
      </c>
      <c r="V595" s="690" t="s">
        <v>358</v>
      </c>
      <c r="W595" s="657" t="s">
        <v>329</v>
      </c>
      <c r="X595" s="723"/>
      <c r="Y595" s="4"/>
      <c r="Z595" s="4"/>
      <c r="AA595" s="4"/>
      <c r="AB595" s="4"/>
      <c r="AC595" s="4"/>
      <c r="AD595" s="4"/>
      <c r="AE595" s="4">
        <v>3</v>
      </c>
      <c r="AF595" s="4"/>
      <c r="AG595" s="4"/>
      <c r="AH595" s="4"/>
      <c r="AI595" s="654"/>
      <c r="AJ595" s="655"/>
      <c r="AK595" s="4"/>
      <c r="AL595" s="4"/>
      <c r="AM595" s="4"/>
      <c r="AN595" s="4"/>
      <c r="AO595" s="4"/>
      <c r="AP595" s="4"/>
      <c r="AQ595" s="4"/>
      <c r="AR595" s="4"/>
      <c r="AS595" s="4"/>
      <c r="AT595" s="4"/>
      <c r="AU595" s="654"/>
      <c r="AV595" s="655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654"/>
      <c r="BH595" s="655"/>
      <c r="BI595" s="4"/>
      <c r="BJ595" s="4"/>
      <c r="BK595" s="4"/>
      <c r="BL595" s="4"/>
      <c r="BM595" s="4"/>
      <c r="BN595" s="4"/>
      <c r="BO595" s="4"/>
      <c r="BP595" s="4"/>
      <c r="BQ595" s="4"/>
      <c r="BR595" s="4"/>
      <c r="BS595" s="654"/>
      <c r="BT595" s="655"/>
      <c r="BU595" s="4"/>
      <c r="BV595" s="4"/>
      <c r="BW595" s="4"/>
      <c r="BX595" s="4"/>
      <c r="BY595" s="4"/>
      <c r="BZ595" s="4"/>
      <c r="CA595" s="4"/>
      <c r="CB595" s="4"/>
      <c r="CC595" s="4"/>
      <c r="CD595" s="4"/>
      <c r="CE595" s="693"/>
      <c r="CF595" s="723"/>
      <c r="CG595" s="4"/>
      <c r="CH595" s="4"/>
      <c r="CI595" s="4"/>
      <c r="CJ595" s="4"/>
      <c r="CK595" s="4"/>
      <c r="CL595" s="4"/>
      <c r="CM595" s="4">
        <v>81.599999999999994</v>
      </c>
      <c r="CN595" s="4"/>
      <c r="CO595" s="4"/>
      <c r="CP595" s="4"/>
      <c r="CQ595" s="654"/>
      <c r="CR595" s="655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654"/>
      <c r="DD595" s="655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654"/>
      <c r="DP595" s="655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654"/>
      <c r="EB595" s="655"/>
      <c r="EC595" s="4"/>
      <c r="ED595" s="4"/>
      <c r="EE595" s="4"/>
      <c r="EF595" s="4"/>
      <c r="EG595" s="4"/>
      <c r="EH595" s="4"/>
      <c r="EI595" s="4"/>
      <c r="EJ595" s="4"/>
      <c r="EK595" s="4"/>
      <c r="EL595" s="4"/>
      <c r="EM595" s="693"/>
      <c r="EN595" s="723"/>
      <c r="EO595" s="4"/>
      <c r="EP595" s="4"/>
      <c r="EQ595" s="4"/>
      <c r="ER595" s="4"/>
      <c r="ES595" s="4"/>
      <c r="ET595" s="4"/>
      <c r="EU595" s="4">
        <v>81.599999999999994</v>
      </c>
      <c r="EV595" s="4"/>
      <c r="EW595" s="4"/>
      <c r="EX595" s="4"/>
      <c r="EY595" s="654"/>
      <c r="EZ595" s="655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654"/>
      <c r="FL595" s="655"/>
      <c r="FM595" s="4"/>
      <c r="FN595" s="4"/>
      <c r="FO595" s="4"/>
      <c r="FP595" s="4"/>
      <c r="FQ595" s="4"/>
      <c r="FR595" s="4"/>
      <c r="FS595" s="4"/>
      <c r="FT595" s="4"/>
      <c r="FU595" s="4"/>
      <c r="FV595" s="4"/>
      <c r="FW595" s="654"/>
      <c r="FX595" s="655"/>
      <c r="FY595" s="4"/>
      <c r="FZ595" s="4"/>
      <c r="GA595" s="4"/>
      <c r="GB595" s="4"/>
      <c r="GC595" s="4"/>
      <c r="GD595" s="4"/>
      <c r="GE595" s="4"/>
      <c r="GF595" s="4"/>
      <c r="GG595" s="4"/>
      <c r="GH595" s="4"/>
      <c r="GI595" s="654"/>
      <c r="GJ595" s="655"/>
      <c r="GK595" s="4"/>
      <c r="GL595" s="4"/>
      <c r="GM595" s="4"/>
      <c r="GN595" s="4"/>
      <c r="GO595" s="4"/>
      <c r="GP595" s="4"/>
      <c r="GQ595" s="4"/>
      <c r="GR595" s="4"/>
      <c r="GS595" s="4"/>
      <c r="GT595" s="4"/>
      <c r="GU595" s="722"/>
      <c r="GV595" s="715"/>
    </row>
    <row r="596" spans="1:204" x14ac:dyDescent="0.25">
      <c r="A596" t="s">
        <v>2152</v>
      </c>
      <c r="B596" s="2" t="s">
        <v>2151</v>
      </c>
      <c r="C596" s="619">
        <v>44788</v>
      </c>
      <c r="D596" s="2" t="s">
        <v>2143</v>
      </c>
      <c r="E596" t="s">
        <v>58</v>
      </c>
      <c r="F596" s="2" t="s">
        <v>43</v>
      </c>
      <c r="G596" t="s">
        <v>40</v>
      </c>
      <c r="H596" s="690" t="s">
        <v>84</v>
      </c>
      <c r="I596" s="691" t="s">
        <v>981</v>
      </c>
      <c r="J596" s="721" t="s">
        <v>2145</v>
      </c>
      <c r="K596" s="691" t="s">
        <v>43</v>
      </c>
      <c r="L596" s="721" t="s">
        <v>2146</v>
      </c>
      <c r="M596" s="718" t="s">
        <v>3</v>
      </c>
      <c r="N596" s="717" t="s">
        <v>44</v>
      </c>
      <c r="O596" s="719">
        <v>44774</v>
      </c>
      <c r="P596" s="720">
        <v>44804</v>
      </c>
      <c r="Q596" s="718">
        <v>82</v>
      </c>
      <c r="R596" s="717">
        <v>2</v>
      </c>
      <c r="S596" s="691" t="s">
        <v>54</v>
      </c>
      <c r="T596" t="s">
        <v>358</v>
      </c>
      <c r="U596" s="673" t="s">
        <v>358</v>
      </c>
      <c r="V596" s="690" t="s">
        <v>358</v>
      </c>
      <c r="W596" s="657" t="s">
        <v>329</v>
      </c>
      <c r="X596" s="723"/>
      <c r="Y596" s="4"/>
      <c r="Z596" s="4"/>
      <c r="AA596" s="4"/>
      <c r="AB596" s="4"/>
      <c r="AC596" s="4"/>
      <c r="AD596" s="4"/>
      <c r="AE596" s="4">
        <v>2</v>
      </c>
      <c r="AF596" s="4"/>
      <c r="AG596" s="4"/>
      <c r="AH596" s="4"/>
      <c r="AI596" s="654"/>
      <c r="AJ596" s="655"/>
      <c r="AK596" s="4"/>
      <c r="AL596" s="4"/>
      <c r="AM596" s="4"/>
      <c r="AN596" s="4"/>
      <c r="AO596" s="4"/>
      <c r="AP596" s="4"/>
      <c r="AQ596" s="4"/>
      <c r="AR596" s="4"/>
      <c r="AS596" s="4"/>
      <c r="AT596" s="4"/>
      <c r="AU596" s="654"/>
      <c r="AV596" s="655"/>
      <c r="AW596" s="4"/>
      <c r="AX596" s="4"/>
      <c r="AY596" s="4"/>
      <c r="AZ596" s="4"/>
      <c r="BA596" s="4"/>
      <c r="BB596" s="4"/>
      <c r="BC596" s="4"/>
      <c r="BD596" s="4"/>
      <c r="BE596" s="4"/>
      <c r="BF596" s="4"/>
      <c r="BG596" s="654"/>
      <c r="BH596" s="655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654"/>
      <c r="BT596" s="655"/>
      <c r="BU596" s="4"/>
      <c r="BV596" s="4"/>
      <c r="BW596" s="4"/>
      <c r="BX596" s="4"/>
      <c r="BY596" s="4"/>
      <c r="BZ596" s="4"/>
      <c r="CA596" s="4"/>
      <c r="CB596" s="4"/>
      <c r="CC596" s="4"/>
      <c r="CD596" s="4"/>
      <c r="CE596" s="693"/>
      <c r="CF596" s="723"/>
      <c r="CG596" s="4"/>
      <c r="CH596" s="4"/>
      <c r="CI596" s="4"/>
      <c r="CJ596" s="4"/>
      <c r="CK596" s="4"/>
      <c r="CL596" s="4"/>
      <c r="CM596" s="4">
        <v>82</v>
      </c>
      <c r="CN596" s="4"/>
      <c r="CO596" s="4"/>
      <c r="CP596" s="4"/>
      <c r="CQ596" s="654"/>
      <c r="CR596" s="655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654"/>
      <c r="DD596" s="655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654"/>
      <c r="DP596" s="655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654"/>
      <c r="EB596" s="655"/>
      <c r="EC596" s="4"/>
      <c r="ED596" s="4"/>
      <c r="EE596" s="4"/>
      <c r="EF596" s="4"/>
      <c r="EG596" s="4"/>
      <c r="EH596" s="4"/>
      <c r="EI596" s="4"/>
      <c r="EJ596" s="4"/>
      <c r="EK596" s="4"/>
      <c r="EL596" s="4"/>
      <c r="EM596" s="693"/>
      <c r="EN596" s="723"/>
      <c r="EO596" s="4"/>
      <c r="EP596" s="4"/>
      <c r="EQ596" s="4"/>
      <c r="ER596" s="4"/>
      <c r="ES596" s="4"/>
      <c r="ET596" s="4"/>
      <c r="EU596" s="4">
        <v>82</v>
      </c>
      <c r="EV596" s="4"/>
      <c r="EW596" s="4"/>
      <c r="EX596" s="4"/>
      <c r="EY596" s="654"/>
      <c r="EZ596" s="655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654"/>
      <c r="FL596" s="655"/>
      <c r="FM596" s="4"/>
      <c r="FN596" s="4"/>
      <c r="FO596" s="4"/>
      <c r="FP596" s="4"/>
      <c r="FQ596" s="4"/>
      <c r="FR596" s="4"/>
      <c r="FS596" s="4"/>
      <c r="FT596" s="4"/>
      <c r="FU596" s="4"/>
      <c r="FV596" s="4"/>
      <c r="FW596" s="654"/>
      <c r="FX596" s="655"/>
      <c r="FY596" s="4"/>
      <c r="FZ596" s="4"/>
      <c r="GA596" s="4"/>
      <c r="GB596" s="4"/>
      <c r="GC596" s="4"/>
      <c r="GD596" s="4"/>
      <c r="GE596" s="4"/>
      <c r="GF596" s="4"/>
      <c r="GG596" s="4"/>
      <c r="GH596" s="4"/>
      <c r="GI596" s="654"/>
      <c r="GJ596" s="655"/>
      <c r="GK596" s="4"/>
      <c r="GL596" s="4"/>
      <c r="GM596" s="4"/>
      <c r="GN596" s="4"/>
      <c r="GO596" s="4"/>
      <c r="GP596" s="4"/>
      <c r="GQ596" s="4"/>
      <c r="GR596" s="4"/>
      <c r="GS596" s="4"/>
      <c r="GT596" s="4"/>
      <c r="GU596" s="722"/>
      <c r="GV596" s="715"/>
    </row>
    <row r="597" spans="1:204" x14ac:dyDescent="0.25">
      <c r="A597" t="s">
        <v>2154</v>
      </c>
      <c r="B597" s="2" t="s">
        <v>2153</v>
      </c>
      <c r="C597" s="619">
        <v>44788</v>
      </c>
      <c r="D597" s="2" t="s">
        <v>2144</v>
      </c>
      <c r="E597" t="s">
        <v>58</v>
      </c>
      <c r="F597" s="2" t="s">
        <v>43</v>
      </c>
      <c r="G597" t="s">
        <v>40</v>
      </c>
      <c r="H597" s="690" t="s">
        <v>84</v>
      </c>
      <c r="I597" s="691" t="s">
        <v>2147</v>
      </c>
      <c r="J597" s="721" t="s">
        <v>2148</v>
      </c>
      <c r="K597" s="691" t="s">
        <v>43</v>
      </c>
      <c r="L597" s="721" t="s">
        <v>2146</v>
      </c>
      <c r="M597" s="718" t="s">
        <v>3</v>
      </c>
      <c r="N597" s="717" t="s">
        <v>44</v>
      </c>
      <c r="O597" s="719">
        <v>44774</v>
      </c>
      <c r="P597" s="720">
        <v>44804</v>
      </c>
      <c r="Q597" s="718">
        <v>82</v>
      </c>
      <c r="R597" s="717">
        <v>2</v>
      </c>
      <c r="S597" s="691" t="s">
        <v>54</v>
      </c>
      <c r="T597" t="s">
        <v>358</v>
      </c>
      <c r="U597" s="673" t="s">
        <v>358</v>
      </c>
      <c r="V597" s="690" t="s">
        <v>358</v>
      </c>
      <c r="W597" s="657" t="s">
        <v>329</v>
      </c>
      <c r="X597" s="723"/>
      <c r="Y597" s="4"/>
      <c r="Z597" s="4"/>
      <c r="AA597" s="4"/>
      <c r="AB597" s="4"/>
      <c r="AC597" s="4"/>
      <c r="AD597" s="4"/>
      <c r="AE597" s="4">
        <v>2</v>
      </c>
      <c r="AF597" s="4"/>
      <c r="AG597" s="4"/>
      <c r="AH597" s="4"/>
      <c r="AI597" s="654"/>
      <c r="AJ597" s="655"/>
      <c r="AK597" s="4"/>
      <c r="AL597" s="4"/>
      <c r="AM597" s="4"/>
      <c r="AN597" s="4"/>
      <c r="AO597" s="4"/>
      <c r="AP597" s="4"/>
      <c r="AQ597" s="4"/>
      <c r="AR597" s="4"/>
      <c r="AS597" s="4"/>
      <c r="AT597" s="4"/>
      <c r="AU597" s="654"/>
      <c r="AV597" s="655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654"/>
      <c r="BH597" s="655"/>
      <c r="BI597" s="4"/>
      <c r="BJ597" s="4"/>
      <c r="BK597" s="4"/>
      <c r="BL597" s="4"/>
      <c r="BM597" s="4"/>
      <c r="BN597" s="4"/>
      <c r="BO597" s="4"/>
      <c r="BP597" s="4"/>
      <c r="BQ597" s="4"/>
      <c r="BR597" s="4"/>
      <c r="BS597" s="654"/>
      <c r="BT597" s="655"/>
      <c r="BU597" s="4"/>
      <c r="BV597" s="4"/>
      <c r="BW597" s="4"/>
      <c r="BX597" s="4"/>
      <c r="BY597" s="4"/>
      <c r="BZ597" s="4"/>
      <c r="CA597" s="4"/>
      <c r="CB597" s="4"/>
      <c r="CC597" s="4"/>
      <c r="CD597" s="4"/>
      <c r="CE597" s="693"/>
      <c r="CF597" s="723"/>
      <c r="CG597" s="4"/>
      <c r="CH597" s="4"/>
      <c r="CI597" s="4"/>
      <c r="CJ597" s="4"/>
      <c r="CK597" s="4"/>
      <c r="CL597" s="4"/>
      <c r="CM597" s="4">
        <v>82</v>
      </c>
      <c r="CN597" s="4"/>
      <c r="CO597" s="4"/>
      <c r="CP597" s="4"/>
      <c r="CQ597" s="654"/>
      <c r="CR597" s="655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654"/>
      <c r="DD597" s="655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654"/>
      <c r="DP597" s="655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654"/>
      <c r="EB597" s="655"/>
      <c r="EC597" s="4"/>
      <c r="ED597" s="4"/>
      <c r="EE597" s="4"/>
      <c r="EF597" s="4"/>
      <c r="EG597" s="4"/>
      <c r="EH597" s="4"/>
      <c r="EI597" s="4"/>
      <c r="EJ597" s="4"/>
      <c r="EK597" s="4"/>
      <c r="EL597" s="4"/>
      <c r="EM597" s="693"/>
      <c r="EN597" s="723"/>
      <c r="EO597" s="4"/>
      <c r="EP597" s="4"/>
      <c r="EQ597" s="4"/>
      <c r="ER597" s="4"/>
      <c r="ES597" s="4"/>
      <c r="ET597" s="4"/>
      <c r="EU597" s="4">
        <v>82</v>
      </c>
      <c r="EV597" s="4"/>
      <c r="EW597" s="4"/>
      <c r="EX597" s="4"/>
      <c r="EY597" s="654"/>
      <c r="EZ597" s="655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654"/>
      <c r="FL597" s="655"/>
      <c r="FM597" s="4"/>
      <c r="FN597" s="4"/>
      <c r="FO597" s="4"/>
      <c r="FP597" s="4"/>
      <c r="FQ597" s="4"/>
      <c r="FR597" s="4"/>
      <c r="FS597" s="4"/>
      <c r="FT597" s="4"/>
      <c r="FU597" s="4"/>
      <c r="FV597" s="4"/>
      <c r="FW597" s="654"/>
      <c r="FX597" s="655"/>
      <c r="FY597" s="4"/>
      <c r="FZ597" s="4"/>
      <c r="GA597" s="4"/>
      <c r="GB597" s="4"/>
      <c r="GC597" s="4"/>
      <c r="GD597" s="4"/>
      <c r="GE597" s="4"/>
      <c r="GF597" s="4"/>
      <c r="GG597" s="4"/>
      <c r="GH597" s="4"/>
      <c r="GI597" s="654"/>
      <c r="GJ597" s="655"/>
      <c r="GK597" s="4"/>
      <c r="GL597" s="4"/>
      <c r="GM597" s="4"/>
      <c r="GN597" s="4"/>
      <c r="GO597" s="4"/>
      <c r="GP597" s="4"/>
      <c r="GQ597" s="4"/>
      <c r="GR597" s="4"/>
      <c r="GS597" s="4"/>
      <c r="GT597" s="4"/>
      <c r="GU597" s="722"/>
      <c r="GV597" s="715"/>
    </row>
    <row r="598" spans="1:204" x14ac:dyDescent="0.25">
      <c r="A598" t="s">
        <v>2156</v>
      </c>
      <c r="B598" s="2" t="s">
        <v>2155</v>
      </c>
      <c r="C598" s="619">
        <v>44788</v>
      </c>
      <c r="D598" s="2" t="s">
        <v>2157</v>
      </c>
      <c r="E598" t="s">
        <v>59</v>
      </c>
      <c r="F598" s="2" t="s">
        <v>43</v>
      </c>
      <c r="G598" t="s">
        <v>40</v>
      </c>
      <c r="H598" s="690" t="s">
        <v>85</v>
      </c>
      <c r="I598" s="691" t="s">
        <v>43</v>
      </c>
      <c r="J598" s="721" t="s">
        <v>2146</v>
      </c>
      <c r="K598" s="691" t="s">
        <v>590</v>
      </c>
      <c r="L598" s="721" t="s">
        <v>2160</v>
      </c>
      <c r="M598" s="718" t="s">
        <v>3</v>
      </c>
      <c r="N598" s="717" t="s">
        <v>44</v>
      </c>
      <c r="O598" s="719">
        <v>45017</v>
      </c>
      <c r="P598" s="720">
        <v>45107</v>
      </c>
      <c r="Q598" s="718">
        <v>125</v>
      </c>
      <c r="R598" s="717">
        <v>10</v>
      </c>
      <c r="S598" s="691" t="s">
        <v>54</v>
      </c>
      <c r="T598" t="s">
        <v>649</v>
      </c>
      <c r="U598" s="673">
        <v>44789</v>
      </c>
      <c r="V598" s="690">
        <v>4</v>
      </c>
      <c r="W598" s="657" t="s">
        <v>329</v>
      </c>
      <c r="X598" s="723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654"/>
      <c r="AJ598" s="655"/>
      <c r="AK598" s="4"/>
      <c r="AL598" s="4"/>
      <c r="AM598" s="4">
        <v>10</v>
      </c>
      <c r="AN598" s="4">
        <v>10</v>
      </c>
      <c r="AO598" s="4">
        <v>10</v>
      </c>
      <c r="AP598" s="4"/>
      <c r="AQ598" s="4"/>
      <c r="AR598" s="4"/>
      <c r="AS598" s="4"/>
      <c r="AT598" s="4"/>
      <c r="AU598" s="654"/>
      <c r="AV598" s="655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654"/>
      <c r="BH598" s="655"/>
      <c r="BI598" s="4"/>
      <c r="BJ598" s="4"/>
      <c r="BK598" s="4"/>
      <c r="BL598" s="4"/>
      <c r="BM598" s="4"/>
      <c r="BN598" s="4"/>
      <c r="BO598" s="4"/>
      <c r="BP598" s="4"/>
      <c r="BQ598" s="4"/>
      <c r="BR598" s="4"/>
      <c r="BS598" s="654"/>
      <c r="BT598" s="655"/>
      <c r="BU598" s="4"/>
      <c r="BV598" s="4"/>
      <c r="BW598" s="4"/>
      <c r="BX598" s="4"/>
      <c r="BY598" s="4"/>
      <c r="BZ598" s="4"/>
      <c r="CA598" s="4"/>
      <c r="CB598" s="4"/>
      <c r="CC598" s="4"/>
      <c r="CD598" s="4"/>
      <c r="CE598" s="693"/>
      <c r="CF598" s="723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654"/>
      <c r="CR598" s="655"/>
      <c r="CS598" s="4"/>
      <c r="CT598" s="4"/>
      <c r="CU598" s="4">
        <v>126.03579517853383</v>
      </c>
      <c r="CV598" s="4">
        <v>126.03579517853383</v>
      </c>
      <c r="CW598" s="4">
        <v>126.03579517853383</v>
      </c>
      <c r="CX598" s="4"/>
      <c r="CY598" s="4"/>
      <c r="CZ598" s="4"/>
      <c r="DA598" s="4"/>
      <c r="DB598" s="4"/>
      <c r="DC598" s="654"/>
      <c r="DD598" s="655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654"/>
      <c r="DP598" s="655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654"/>
      <c r="EB598" s="655"/>
      <c r="EC598" s="4"/>
      <c r="ED598" s="4"/>
      <c r="EE598" s="4"/>
      <c r="EF598" s="4"/>
      <c r="EG598" s="4"/>
      <c r="EH598" s="4"/>
      <c r="EI598" s="4"/>
      <c r="EJ598" s="4"/>
      <c r="EK598" s="4"/>
      <c r="EL598" s="4"/>
      <c r="EM598" s="693"/>
      <c r="EN598" s="723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654"/>
      <c r="EZ598" s="655"/>
      <c r="FA598" s="4"/>
      <c r="FB598" s="4"/>
      <c r="FC598" s="4">
        <v>126.03579517853383</v>
      </c>
      <c r="FD598" s="4">
        <v>126.03579517853383</v>
      </c>
      <c r="FE598" s="4">
        <v>126.03579517853383</v>
      </c>
      <c r="FF598" s="4"/>
      <c r="FG598" s="4"/>
      <c r="FH598" s="4"/>
      <c r="FI598" s="4"/>
      <c r="FJ598" s="4"/>
      <c r="FK598" s="654"/>
      <c r="FL598" s="655"/>
      <c r="FM598" s="4"/>
      <c r="FN598" s="4"/>
      <c r="FO598" s="4"/>
      <c r="FP598" s="4"/>
      <c r="FQ598" s="4"/>
      <c r="FR598" s="4"/>
      <c r="FS598" s="4"/>
      <c r="FT598" s="4"/>
      <c r="FU598" s="4"/>
      <c r="FV598" s="4"/>
      <c r="FW598" s="654"/>
      <c r="FX598" s="655"/>
      <c r="FY598" s="4"/>
      <c r="FZ598" s="4"/>
      <c r="GA598" s="4"/>
      <c r="GB598" s="4"/>
      <c r="GC598" s="4"/>
      <c r="GD598" s="4"/>
      <c r="GE598" s="4"/>
      <c r="GF598" s="4"/>
      <c r="GG598" s="4"/>
      <c r="GH598" s="4"/>
      <c r="GI598" s="654"/>
      <c r="GJ598" s="655"/>
      <c r="GK598" s="4"/>
      <c r="GL598" s="4"/>
      <c r="GM598" s="4"/>
      <c r="GN598" s="4"/>
      <c r="GO598" s="4"/>
      <c r="GP598" s="4"/>
      <c r="GQ598" s="4"/>
      <c r="GR598" s="4"/>
      <c r="GS598" s="4"/>
      <c r="GT598" s="4"/>
      <c r="GU598" s="722"/>
      <c r="GV598" s="715"/>
    </row>
    <row r="599" spans="1:204" x14ac:dyDescent="0.25">
      <c r="A599" t="s">
        <v>2162</v>
      </c>
      <c r="B599" s="2" t="s">
        <v>2161</v>
      </c>
      <c r="C599" s="619">
        <v>44789</v>
      </c>
      <c r="D599" s="2" t="s">
        <v>2158</v>
      </c>
      <c r="E599" t="s">
        <v>58</v>
      </c>
      <c r="F599" s="2" t="s">
        <v>43</v>
      </c>
      <c r="G599" t="s">
        <v>40</v>
      </c>
      <c r="H599" s="690" t="s">
        <v>84</v>
      </c>
      <c r="I599" s="691" t="s">
        <v>981</v>
      </c>
      <c r="J599" s="721" t="s">
        <v>2145</v>
      </c>
      <c r="K599" s="691" t="s">
        <v>43</v>
      </c>
      <c r="L599" s="721" t="s">
        <v>2146</v>
      </c>
      <c r="M599" s="718" t="s">
        <v>3</v>
      </c>
      <c r="N599" s="717" t="s">
        <v>44</v>
      </c>
      <c r="O599" s="719">
        <v>44774</v>
      </c>
      <c r="P599" s="720">
        <v>44804</v>
      </c>
      <c r="Q599" s="718">
        <v>80</v>
      </c>
      <c r="R599" s="717">
        <v>6</v>
      </c>
      <c r="S599" s="691" t="s">
        <v>54</v>
      </c>
      <c r="T599" t="s">
        <v>358</v>
      </c>
      <c r="U599" s="673" t="s">
        <v>358</v>
      </c>
      <c r="V599" s="690" t="s">
        <v>358</v>
      </c>
      <c r="W599" s="657" t="s">
        <v>329</v>
      </c>
      <c r="X599" s="723"/>
      <c r="Y599" s="4"/>
      <c r="Z599" s="4"/>
      <c r="AA599" s="4"/>
      <c r="AB599" s="4"/>
      <c r="AC599" s="4"/>
      <c r="AD599" s="4"/>
      <c r="AE599" s="4">
        <v>6</v>
      </c>
      <c r="AF599" s="4"/>
      <c r="AG599" s="4"/>
      <c r="AH599" s="4"/>
      <c r="AI599" s="654"/>
      <c r="AJ599" s="655"/>
      <c r="AK599" s="4"/>
      <c r="AL599" s="4"/>
      <c r="AM599" s="4"/>
      <c r="AN599" s="4"/>
      <c r="AO599" s="4"/>
      <c r="AP599" s="4"/>
      <c r="AQ599" s="4"/>
      <c r="AR599" s="4"/>
      <c r="AS599" s="4"/>
      <c r="AT599" s="4"/>
      <c r="AU599" s="654"/>
      <c r="AV599" s="655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654"/>
      <c r="BH599" s="655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654"/>
      <c r="BT599" s="655"/>
      <c r="BU599" s="4"/>
      <c r="BV599" s="4"/>
      <c r="BW599" s="4"/>
      <c r="BX599" s="4"/>
      <c r="BY599" s="4"/>
      <c r="BZ599" s="4"/>
      <c r="CA599" s="4"/>
      <c r="CB599" s="4"/>
      <c r="CC599" s="4"/>
      <c r="CD599" s="4"/>
      <c r="CE599" s="693"/>
      <c r="CF599" s="723"/>
      <c r="CG599" s="4"/>
      <c r="CH599" s="4"/>
      <c r="CI599" s="4"/>
      <c r="CJ599" s="4"/>
      <c r="CK599" s="4"/>
      <c r="CL599" s="4"/>
      <c r="CM599" s="4">
        <v>80</v>
      </c>
      <c r="CN599" s="4"/>
      <c r="CO599" s="4"/>
      <c r="CP599" s="4"/>
      <c r="CQ599" s="654"/>
      <c r="CR599" s="655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654"/>
      <c r="DD599" s="655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654"/>
      <c r="DP599" s="655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654"/>
      <c r="EB599" s="655"/>
      <c r="EC599" s="4"/>
      <c r="ED599" s="4"/>
      <c r="EE599" s="4"/>
      <c r="EF599" s="4"/>
      <c r="EG599" s="4"/>
      <c r="EH599" s="4"/>
      <c r="EI599" s="4"/>
      <c r="EJ599" s="4"/>
      <c r="EK599" s="4"/>
      <c r="EL599" s="4"/>
      <c r="EM599" s="693"/>
      <c r="EN599" s="723"/>
      <c r="EO599" s="4"/>
      <c r="EP599" s="4"/>
      <c r="EQ599" s="4"/>
      <c r="ER599" s="4"/>
      <c r="ES599" s="4"/>
      <c r="ET599" s="4"/>
      <c r="EU599" s="4">
        <v>80</v>
      </c>
      <c r="EV599" s="4"/>
      <c r="EW599" s="4"/>
      <c r="EX599" s="4"/>
      <c r="EY599" s="654"/>
      <c r="EZ599" s="655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654"/>
      <c r="FL599" s="655"/>
      <c r="FM599" s="4"/>
      <c r="FN599" s="4"/>
      <c r="FO599" s="4"/>
      <c r="FP599" s="4"/>
      <c r="FQ599" s="4"/>
      <c r="FR599" s="4"/>
      <c r="FS599" s="4"/>
      <c r="FT599" s="4"/>
      <c r="FU599" s="4"/>
      <c r="FV599" s="4"/>
      <c r="FW599" s="654"/>
      <c r="FX599" s="655"/>
      <c r="FY599" s="4"/>
      <c r="FZ599" s="4"/>
      <c r="GA599" s="4"/>
      <c r="GB599" s="4"/>
      <c r="GC599" s="4"/>
      <c r="GD599" s="4"/>
      <c r="GE599" s="4"/>
      <c r="GF599" s="4"/>
      <c r="GG599" s="4"/>
      <c r="GH599" s="4"/>
      <c r="GI599" s="654"/>
      <c r="GJ599" s="655"/>
      <c r="GK599" s="4"/>
      <c r="GL599" s="4"/>
      <c r="GM599" s="4"/>
      <c r="GN599" s="4"/>
      <c r="GO599" s="4"/>
      <c r="GP599" s="4"/>
      <c r="GQ599" s="4"/>
      <c r="GR599" s="4"/>
      <c r="GS599" s="4"/>
      <c r="GT599" s="4"/>
      <c r="GU599" s="722"/>
      <c r="GV599" s="715"/>
    </row>
    <row r="600" spans="1:204" x14ac:dyDescent="0.25">
      <c r="A600" t="s">
        <v>2164</v>
      </c>
      <c r="B600" s="2" t="s">
        <v>2163</v>
      </c>
      <c r="C600" s="619">
        <v>44789</v>
      </c>
      <c r="D600" s="2" t="s">
        <v>2159</v>
      </c>
      <c r="E600" t="s">
        <v>58</v>
      </c>
      <c r="F600" s="2" t="s">
        <v>43</v>
      </c>
      <c r="G600" t="s">
        <v>40</v>
      </c>
      <c r="H600" s="690" t="s">
        <v>84</v>
      </c>
      <c r="I600" s="691" t="s">
        <v>2147</v>
      </c>
      <c r="J600" s="721" t="s">
        <v>2148</v>
      </c>
      <c r="K600" s="691" t="s">
        <v>43</v>
      </c>
      <c r="L600" s="721" t="s">
        <v>2146</v>
      </c>
      <c r="M600" s="718" t="s">
        <v>3</v>
      </c>
      <c r="N600" s="717" t="s">
        <v>44</v>
      </c>
      <c r="O600" s="719">
        <v>44774</v>
      </c>
      <c r="P600" s="720">
        <v>44804</v>
      </c>
      <c r="Q600" s="718">
        <v>79</v>
      </c>
      <c r="R600" s="717">
        <v>2</v>
      </c>
      <c r="S600" s="691" t="s">
        <v>54</v>
      </c>
      <c r="T600" t="s">
        <v>358</v>
      </c>
      <c r="U600" s="673" t="s">
        <v>358</v>
      </c>
      <c r="V600" s="690" t="s">
        <v>358</v>
      </c>
      <c r="W600" s="657" t="s">
        <v>329</v>
      </c>
      <c r="X600" s="723"/>
      <c r="Y600" s="4"/>
      <c r="Z600" s="4"/>
      <c r="AA600" s="4"/>
      <c r="AB600" s="4"/>
      <c r="AC600" s="4"/>
      <c r="AD600" s="4"/>
      <c r="AE600" s="4">
        <v>2</v>
      </c>
      <c r="AF600" s="4"/>
      <c r="AG600" s="4"/>
      <c r="AH600" s="4"/>
      <c r="AI600" s="654"/>
      <c r="AJ600" s="655"/>
      <c r="AK600" s="4"/>
      <c r="AL600" s="4"/>
      <c r="AM600" s="4"/>
      <c r="AN600" s="4"/>
      <c r="AO600" s="4"/>
      <c r="AP600" s="4"/>
      <c r="AQ600" s="4"/>
      <c r="AR600" s="4"/>
      <c r="AS600" s="4"/>
      <c r="AT600" s="4"/>
      <c r="AU600" s="654"/>
      <c r="AV600" s="655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654"/>
      <c r="BH600" s="655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654"/>
      <c r="BT600" s="655"/>
      <c r="BU600" s="4"/>
      <c r="BV600" s="4"/>
      <c r="BW600" s="4"/>
      <c r="BX600" s="4"/>
      <c r="BY600" s="4"/>
      <c r="BZ600" s="4"/>
      <c r="CA600" s="4"/>
      <c r="CB600" s="4"/>
      <c r="CC600" s="4"/>
      <c r="CD600" s="4"/>
      <c r="CE600" s="693"/>
      <c r="CF600" s="723"/>
      <c r="CG600" s="4"/>
      <c r="CH600" s="4"/>
      <c r="CI600" s="4"/>
      <c r="CJ600" s="4"/>
      <c r="CK600" s="4"/>
      <c r="CL600" s="4"/>
      <c r="CM600" s="4">
        <v>79</v>
      </c>
      <c r="CN600" s="4"/>
      <c r="CO600" s="4"/>
      <c r="CP600" s="4"/>
      <c r="CQ600" s="654"/>
      <c r="CR600" s="655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654"/>
      <c r="DD600" s="655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654"/>
      <c r="DP600" s="655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654"/>
      <c r="EB600" s="655"/>
      <c r="EC600" s="4"/>
      <c r="ED600" s="4"/>
      <c r="EE600" s="4"/>
      <c r="EF600" s="4"/>
      <c r="EG600" s="4"/>
      <c r="EH600" s="4"/>
      <c r="EI600" s="4"/>
      <c r="EJ600" s="4"/>
      <c r="EK600" s="4"/>
      <c r="EL600" s="4"/>
      <c r="EM600" s="693"/>
      <c r="EN600" s="723"/>
      <c r="EO600" s="4"/>
      <c r="EP600" s="4"/>
      <c r="EQ600" s="4"/>
      <c r="ER600" s="4"/>
      <c r="ES600" s="4"/>
      <c r="ET600" s="4"/>
      <c r="EU600" s="4">
        <v>79</v>
      </c>
      <c r="EV600" s="4"/>
      <c r="EW600" s="4"/>
      <c r="EX600" s="4"/>
      <c r="EY600" s="654"/>
      <c r="EZ600" s="655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654"/>
      <c r="FL600" s="655"/>
      <c r="FM600" s="4"/>
      <c r="FN600" s="4"/>
      <c r="FO600" s="4"/>
      <c r="FP600" s="4"/>
      <c r="FQ600" s="4"/>
      <c r="FR600" s="4"/>
      <c r="FS600" s="4"/>
      <c r="FT600" s="4"/>
      <c r="FU600" s="4"/>
      <c r="FV600" s="4"/>
      <c r="FW600" s="654"/>
      <c r="FX600" s="655"/>
      <c r="FY600" s="4"/>
      <c r="FZ600" s="4"/>
      <c r="GA600" s="4"/>
      <c r="GB600" s="4"/>
      <c r="GC600" s="4"/>
      <c r="GD600" s="4"/>
      <c r="GE600" s="4"/>
      <c r="GF600" s="4"/>
      <c r="GG600" s="4"/>
      <c r="GH600" s="4"/>
      <c r="GI600" s="654"/>
      <c r="GJ600" s="655"/>
      <c r="GK600" s="4"/>
      <c r="GL600" s="4"/>
      <c r="GM600" s="4"/>
      <c r="GN600" s="4"/>
      <c r="GO600" s="4"/>
      <c r="GP600" s="4"/>
      <c r="GQ600" s="4"/>
      <c r="GR600" s="4"/>
      <c r="GS600" s="4"/>
      <c r="GT600" s="4"/>
      <c r="GU600" s="722"/>
      <c r="GV600" s="715"/>
    </row>
    <row r="601" spans="1:204" x14ac:dyDescent="0.25">
      <c r="A601" t="s">
        <v>2165</v>
      </c>
      <c r="B601" s="2" t="s">
        <v>358</v>
      </c>
      <c r="C601" s="619">
        <v>44789</v>
      </c>
      <c r="D601" s="2" t="s">
        <v>2321</v>
      </c>
      <c r="E601" t="s">
        <v>59</v>
      </c>
      <c r="F601" s="2" t="s">
        <v>43</v>
      </c>
      <c r="G601" t="s">
        <v>40</v>
      </c>
      <c r="H601" s="690" t="s">
        <v>85</v>
      </c>
      <c r="I601" s="691" t="s">
        <v>43</v>
      </c>
      <c r="J601" s="721">
        <v>3780401000108</v>
      </c>
      <c r="K601" s="691" t="s">
        <v>346</v>
      </c>
      <c r="L601" s="721" t="e">
        <v>#VALUE!</v>
      </c>
      <c r="M601" s="718" t="s">
        <v>3</v>
      </c>
      <c r="N601" s="717" t="s">
        <v>44</v>
      </c>
      <c r="O601" s="719">
        <v>45292</v>
      </c>
      <c r="P601" s="720">
        <v>45657</v>
      </c>
      <c r="Q601" s="718">
        <v>187</v>
      </c>
      <c r="R601" s="717">
        <v>10</v>
      </c>
      <c r="S601" s="691" t="s">
        <v>54</v>
      </c>
      <c r="T601" t="s">
        <v>649</v>
      </c>
      <c r="U601" s="673">
        <v>44743</v>
      </c>
      <c r="V601" s="690">
        <v>1</v>
      </c>
      <c r="W601" s="657" t="s">
        <v>214</v>
      </c>
      <c r="X601" s="723"/>
      <c r="Y601" s="4"/>
      <c r="Z601" s="4"/>
      <c r="AA601" s="4"/>
      <c r="AB601" s="4"/>
      <c r="AC601" s="4"/>
      <c r="AD601" s="4"/>
      <c r="AE601" s="4"/>
      <c r="AF601" s="4"/>
      <c r="AG601" s="4"/>
      <c r="AH601" s="4"/>
      <c r="AI601" s="654"/>
      <c r="AJ601" s="655"/>
      <c r="AK601" s="4"/>
      <c r="AL601" s="4"/>
      <c r="AM601" s="4"/>
      <c r="AN601" s="4"/>
      <c r="AO601" s="4"/>
      <c r="AP601" s="4"/>
      <c r="AQ601" s="4"/>
      <c r="AR601" s="4"/>
      <c r="AS601" s="4"/>
      <c r="AT601" s="4"/>
      <c r="AU601" s="654"/>
      <c r="AV601" s="655">
        <v>10</v>
      </c>
      <c r="AW601" s="4">
        <v>10</v>
      </c>
      <c r="AX601" s="4">
        <v>10</v>
      </c>
      <c r="AY601" s="4">
        <v>10</v>
      </c>
      <c r="AZ601" s="4">
        <v>10</v>
      </c>
      <c r="BA601" s="4">
        <v>10</v>
      </c>
      <c r="BB601" s="4">
        <v>10</v>
      </c>
      <c r="BC601" s="4">
        <v>10</v>
      </c>
      <c r="BD601" s="4">
        <v>10</v>
      </c>
      <c r="BE601" s="4">
        <v>10</v>
      </c>
      <c r="BF601" s="4">
        <v>10</v>
      </c>
      <c r="BG601" s="654">
        <v>10</v>
      </c>
      <c r="BH601" s="655"/>
      <c r="BI601" s="4"/>
      <c r="BJ601" s="4"/>
      <c r="BK601" s="4"/>
      <c r="BL601" s="4"/>
      <c r="BM601" s="4"/>
      <c r="BN601" s="4"/>
      <c r="BO601" s="4"/>
      <c r="BP601" s="4"/>
      <c r="BQ601" s="4"/>
      <c r="BR601" s="4"/>
      <c r="BS601" s="654"/>
      <c r="BT601" s="655"/>
      <c r="BU601" s="4"/>
      <c r="BV601" s="4"/>
      <c r="BW601" s="4"/>
      <c r="BX601" s="4"/>
      <c r="BY601" s="4"/>
      <c r="BZ601" s="4"/>
      <c r="CA601" s="4"/>
      <c r="CB601" s="4"/>
      <c r="CC601" s="4"/>
      <c r="CD601" s="4"/>
      <c r="CE601" s="693"/>
      <c r="CF601" s="723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654"/>
      <c r="CR601" s="655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654"/>
      <c r="DD601" s="655">
        <v>187.26740622457459</v>
      </c>
      <c r="DE601" s="4">
        <v>187.26740622457459</v>
      </c>
      <c r="DF601" s="4">
        <v>187.26740622457459</v>
      </c>
      <c r="DG601" s="4">
        <v>187.26740622457459</v>
      </c>
      <c r="DH601" s="4">
        <v>187.26740622457459</v>
      </c>
      <c r="DI601" s="4">
        <v>187.26740622457459</v>
      </c>
      <c r="DJ601" s="4">
        <v>187.26740622457459</v>
      </c>
      <c r="DK601" s="4">
        <v>187.26740622457459</v>
      </c>
      <c r="DL601" s="4">
        <v>187.26740622457459</v>
      </c>
      <c r="DM601" s="4">
        <v>187.26740622457459</v>
      </c>
      <c r="DN601" s="4">
        <v>187.26740622457459</v>
      </c>
      <c r="DO601" s="654">
        <v>187.26740622457459</v>
      </c>
      <c r="DP601" s="655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654"/>
      <c r="EB601" s="655"/>
      <c r="EC601" s="4"/>
      <c r="ED601" s="4"/>
      <c r="EE601" s="4"/>
      <c r="EF601" s="4"/>
      <c r="EG601" s="4"/>
      <c r="EH601" s="4"/>
      <c r="EI601" s="4"/>
      <c r="EJ601" s="4"/>
      <c r="EK601" s="4"/>
      <c r="EL601" s="4"/>
      <c r="EM601" s="693"/>
      <c r="EN601" s="723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654"/>
      <c r="EZ601" s="655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654"/>
      <c r="FL601" s="655">
        <v>187.26740622457459</v>
      </c>
      <c r="FM601" s="4">
        <v>187.26740622457459</v>
      </c>
      <c r="FN601" s="4">
        <v>187.26740622457459</v>
      </c>
      <c r="FO601" s="4">
        <v>187.26740622457459</v>
      </c>
      <c r="FP601" s="4">
        <v>187.26740622457459</v>
      </c>
      <c r="FQ601" s="4">
        <v>187.26740622457459</v>
      </c>
      <c r="FR601" s="4">
        <v>187.26740622457459</v>
      </c>
      <c r="FS601" s="4">
        <v>187.26740622457459</v>
      </c>
      <c r="FT601" s="4">
        <v>187.26740622457459</v>
      </c>
      <c r="FU601" s="4">
        <v>187.26740622457459</v>
      </c>
      <c r="FV601" s="4">
        <v>187.26740622457459</v>
      </c>
      <c r="FW601" s="654">
        <v>187.26740622457459</v>
      </c>
      <c r="FX601" s="655"/>
      <c r="FY601" s="4"/>
      <c r="FZ601" s="4"/>
      <c r="GA601" s="4"/>
      <c r="GB601" s="4"/>
      <c r="GC601" s="4"/>
      <c r="GD601" s="4"/>
      <c r="GE601" s="4"/>
      <c r="GF601" s="4"/>
      <c r="GG601" s="4"/>
      <c r="GH601" s="4"/>
      <c r="GI601" s="654"/>
      <c r="GJ601" s="655"/>
      <c r="GK601" s="4"/>
      <c r="GL601" s="4"/>
      <c r="GM601" s="4"/>
      <c r="GN601" s="4"/>
      <c r="GO601" s="4"/>
      <c r="GP601" s="4"/>
      <c r="GQ601" s="4"/>
      <c r="GR601" s="4"/>
      <c r="GS601" s="4"/>
      <c r="GT601" s="4"/>
      <c r="GU601" s="722"/>
      <c r="GV601" s="715"/>
    </row>
    <row r="602" spans="1:204" x14ac:dyDescent="0.25">
      <c r="A602" t="s">
        <v>2178</v>
      </c>
      <c r="B602" s="2" t="s">
        <v>2177</v>
      </c>
      <c r="C602" s="619">
        <v>44790</v>
      </c>
      <c r="D602" s="2" t="s">
        <v>2169</v>
      </c>
      <c r="E602" t="s">
        <v>59</v>
      </c>
      <c r="F602" s="2" t="s">
        <v>43</v>
      </c>
      <c r="G602" t="s">
        <v>40</v>
      </c>
      <c r="H602" s="690" t="s">
        <v>85</v>
      </c>
      <c r="I602" s="691" t="s">
        <v>43</v>
      </c>
      <c r="J602" s="721" t="s">
        <v>2146</v>
      </c>
      <c r="K602" s="691" t="s">
        <v>349</v>
      </c>
      <c r="L602" s="721" t="s">
        <v>2173</v>
      </c>
      <c r="M602" s="718" t="s">
        <v>3</v>
      </c>
      <c r="N602" s="717" t="s">
        <v>44</v>
      </c>
      <c r="O602" s="719">
        <v>45261</v>
      </c>
      <c r="P602" s="720">
        <v>45291</v>
      </c>
      <c r="Q602" s="718">
        <v>163</v>
      </c>
      <c r="R602" s="717">
        <v>12</v>
      </c>
      <c r="S602" s="691" t="s">
        <v>54</v>
      </c>
      <c r="T602" t="s">
        <v>649</v>
      </c>
      <c r="U602" s="673">
        <v>44790</v>
      </c>
      <c r="V602" s="690">
        <v>12</v>
      </c>
      <c r="W602" s="657" t="s">
        <v>329</v>
      </c>
      <c r="X602" s="723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654"/>
      <c r="AJ602" s="655"/>
      <c r="AK602" s="4"/>
      <c r="AL602" s="4"/>
      <c r="AM602" s="4"/>
      <c r="AN602" s="4"/>
      <c r="AO602" s="4"/>
      <c r="AP602" s="4"/>
      <c r="AQ602" s="4"/>
      <c r="AR602" s="4"/>
      <c r="AS602" s="4"/>
      <c r="AT602" s="4"/>
      <c r="AU602" s="654">
        <v>12</v>
      </c>
      <c r="AV602" s="655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654"/>
      <c r="BH602" s="655"/>
      <c r="BI602" s="4"/>
      <c r="BJ602" s="4"/>
      <c r="BK602" s="4"/>
      <c r="BL602" s="4"/>
      <c r="BM602" s="4"/>
      <c r="BN602" s="4"/>
      <c r="BO602" s="4"/>
      <c r="BP602" s="4"/>
      <c r="BQ602" s="4"/>
      <c r="BR602" s="4"/>
      <c r="BS602" s="654"/>
      <c r="BT602" s="655"/>
      <c r="BU602" s="4"/>
      <c r="BV602" s="4"/>
      <c r="BW602" s="4"/>
      <c r="BX602" s="4"/>
      <c r="BY602" s="4"/>
      <c r="BZ602" s="4"/>
      <c r="CA602" s="4"/>
      <c r="CB602" s="4"/>
      <c r="CC602" s="4"/>
      <c r="CD602" s="4"/>
      <c r="CE602" s="693"/>
      <c r="CF602" s="723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654"/>
      <c r="CR602" s="655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654">
        <v>164.35067691280813</v>
      </c>
      <c r="DD602" s="655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654"/>
      <c r="DP602" s="655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654"/>
      <c r="EB602" s="655"/>
      <c r="EC602" s="4"/>
      <c r="ED602" s="4"/>
      <c r="EE602" s="4"/>
      <c r="EF602" s="4"/>
      <c r="EG602" s="4"/>
      <c r="EH602" s="4"/>
      <c r="EI602" s="4"/>
      <c r="EJ602" s="4"/>
      <c r="EK602" s="4"/>
      <c r="EL602" s="4"/>
      <c r="EM602" s="693"/>
      <c r="EN602" s="723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654"/>
      <c r="EZ602" s="655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654">
        <v>164.35067691280813</v>
      </c>
      <c r="FL602" s="655"/>
      <c r="FM602" s="4"/>
      <c r="FN602" s="4"/>
      <c r="FO602" s="4"/>
      <c r="FP602" s="4"/>
      <c r="FQ602" s="4"/>
      <c r="FR602" s="4"/>
      <c r="FS602" s="4"/>
      <c r="FT602" s="4"/>
      <c r="FU602" s="4"/>
      <c r="FV602" s="4"/>
      <c r="FW602" s="654"/>
      <c r="FX602" s="655"/>
      <c r="FY602" s="4"/>
      <c r="FZ602" s="4"/>
      <c r="GA602" s="4"/>
      <c r="GB602" s="4"/>
      <c r="GC602" s="4"/>
      <c r="GD602" s="4"/>
      <c r="GE602" s="4"/>
      <c r="GF602" s="4"/>
      <c r="GG602" s="4"/>
      <c r="GH602" s="4"/>
      <c r="GI602" s="654"/>
      <c r="GJ602" s="655"/>
      <c r="GK602" s="4"/>
      <c r="GL602" s="4"/>
      <c r="GM602" s="4"/>
      <c r="GN602" s="4"/>
      <c r="GO602" s="4"/>
      <c r="GP602" s="4"/>
      <c r="GQ602" s="4"/>
      <c r="GR602" s="4"/>
      <c r="GS602" s="4"/>
      <c r="GT602" s="4"/>
      <c r="GU602" s="722"/>
      <c r="GV602" s="715"/>
    </row>
    <row r="603" spans="1:204" x14ac:dyDescent="0.25">
      <c r="A603" t="s">
        <v>2180</v>
      </c>
      <c r="B603" s="2" t="s">
        <v>2179</v>
      </c>
      <c r="C603" s="619">
        <v>44790</v>
      </c>
      <c r="D603" s="2" t="s">
        <v>2170</v>
      </c>
      <c r="E603" t="s">
        <v>59</v>
      </c>
      <c r="F603" s="2" t="s">
        <v>43</v>
      </c>
      <c r="G603" t="s">
        <v>40</v>
      </c>
      <c r="H603" s="690" t="s">
        <v>85</v>
      </c>
      <c r="I603" s="691" t="s">
        <v>43</v>
      </c>
      <c r="J603" s="721" t="s">
        <v>2146</v>
      </c>
      <c r="K603" s="691" t="s">
        <v>349</v>
      </c>
      <c r="L603" s="721" t="s">
        <v>2173</v>
      </c>
      <c r="M603" s="718" t="s">
        <v>3</v>
      </c>
      <c r="N603" s="717" t="s">
        <v>44</v>
      </c>
      <c r="O603" s="719">
        <v>44927</v>
      </c>
      <c r="P603" s="720">
        <v>45016</v>
      </c>
      <c r="Q603" s="718">
        <v>147</v>
      </c>
      <c r="R603" s="717">
        <v>16</v>
      </c>
      <c r="S603" s="691" t="s">
        <v>54</v>
      </c>
      <c r="T603" t="s">
        <v>649</v>
      </c>
      <c r="U603" s="673">
        <v>44790</v>
      </c>
      <c r="V603" s="690">
        <v>1</v>
      </c>
      <c r="W603" s="657" t="s">
        <v>329</v>
      </c>
      <c r="X603" s="723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654"/>
      <c r="AJ603" s="655">
        <v>16</v>
      </c>
      <c r="AK603" s="4">
        <v>16</v>
      </c>
      <c r="AL603" s="4">
        <v>16</v>
      </c>
      <c r="AM603" s="4"/>
      <c r="AN603" s="4"/>
      <c r="AO603" s="4"/>
      <c r="AP603" s="4"/>
      <c r="AQ603" s="4"/>
      <c r="AR603" s="4"/>
      <c r="AS603" s="4"/>
      <c r="AT603" s="4"/>
      <c r="AU603" s="654"/>
      <c r="AV603" s="655"/>
      <c r="AW603" s="4"/>
      <c r="AX603" s="4"/>
      <c r="AY603" s="4"/>
      <c r="AZ603" s="4"/>
      <c r="BA603" s="4"/>
      <c r="BB603" s="4"/>
      <c r="BC603" s="4"/>
      <c r="BD603" s="4"/>
      <c r="BE603" s="4"/>
      <c r="BF603" s="4"/>
      <c r="BG603" s="654"/>
      <c r="BH603" s="655"/>
      <c r="BI603" s="4"/>
      <c r="BJ603" s="4"/>
      <c r="BK603" s="4"/>
      <c r="BL603" s="4"/>
      <c r="BM603" s="4"/>
      <c r="BN603" s="4"/>
      <c r="BO603" s="4"/>
      <c r="BP603" s="4"/>
      <c r="BQ603" s="4"/>
      <c r="BR603" s="4"/>
      <c r="BS603" s="654"/>
      <c r="BT603" s="655"/>
      <c r="BU603" s="4"/>
      <c r="BV603" s="4"/>
      <c r="BW603" s="4"/>
      <c r="BX603" s="4"/>
      <c r="BY603" s="4"/>
      <c r="BZ603" s="4"/>
      <c r="CA603" s="4"/>
      <c r="CB603" s="4"/>
      <c r="CC603" s="4"/>
      <c r="CD603" s="4"/>
      <c r="CE603" s="693"/>
      <c r="CF603" s="723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654"/>
      <c r="CR603" s="655">
        <v>148.2180951299558</v>
      </c>
      <c r="CS603" s="4">
        <v>148.2180951299558</v>
      </c>
      <c r="CT603" s="4">
        <v>148.2180951299558</v>
      </c>
      <c r="CU603" s="4"/>
      <c r="CV603" s="4"/>
      <c r="CW603" s="4"/>
      <c r="CX603" s="4"/>
      <c r="CY603" s="4"/>
      <c r="CZ603" s="4"/>
      <c r="DA603" s="4"/>
      <c r="DB603" s="4"/>
      <c r="DC603" s="654"/>
      <c r="DD603" s="655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654"/>
      <c r="DP603" s="655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654"/>
      <c r="EB603" s="655"/>
      <c r="EC603" s="4"/>
      <c r="ED603" s="4"/>
      <c r="EE603" s="4"/>
      <c r="EF603" s="4"/>
      <c r="EG603" s="4"/>
      <c r="EH603" s="4"/>
      <c r="EI603" s="4"/>
      <c r="EJ603" s="4"/>
      <c r="EK603" s="4"/>
      <c r="EL603" s="4"/>
      <c r="EM603" s="693"/>
      <c r="EN603" s="723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654"/>
      <c r="EZ603" s="655">
        <v>148.2180951299558</v>
      </c>
      <c r="FA603" s="4">
        <v>148.2180951299558</v>
      </c>
      <c r="FB603" s="4">
        <v>148.2180951299558</v>
      </c>
      <c r="FC603" s="4"/>
      <c r="FD603" s="4"/>
      <c r="FE603" s="4"/>
      <c r="FF603" s="4"/>
      <c r="FG603" s="4"/>
      <c r="FH603" s="4"/>
      <c r="FI603" s="4"/>
      <c r="FJ603" s="4"/>
      <c r="FK603" s="654"/>
      <c r="FL603" s="655"/>
      <c r="FM603" s="4"/>
      <c r="FN603" s="4"/>
      <c r="FO603" s="4"/>
      <c r="FP603" s="4"/>
      <c r="FQ603" s="4"/>
      <c r="FR603" s="4"/>
      <c r="FS603" s="4"/>
      <c r="FT603" s="4"/>
      <c r="FU603" s="4"/>
      <c r="FV603" s="4"/>
      <c r="FW603" s="654"/>
      <c r="FX603" s="655"/>
      <c r="FY603" s="4"/>
      <c r="FZ603" s="4"/>
      <c r="GA603" s="4"/>
      <c r="GB603" s="4"/>
      <c r="GC603" s="4"/>
      <c r="GD603" s="4"/>
      <c r="GE603" s="4"/>
      <c r="GF603" s="4"/>
      <c r="GG603" s="4"/>
      <c r="GH603" s="4"/>
      <c r="GI603" s="654"/>
      <c r="GJ603" s="655"/>
      <c r="GK603" s="4"/>
      <c r="GL603" s="4"/>
      <c r="GM603" s="4"/>
      <c r="GN603" s="4"/>
      <c r="GO603" s="4"/>
      <c r="GP603" s="4"/>
      <c r="GQ603" s="4"/>
      <c r="GR603" s="4"/>
      <c r="GS603" s="4"/>
      <c r="GT603" s="4"/>
      <c r="GU603" s="722"/>
      <c r="GV603" s="715"/>
    </row>
    <row r="604" spans="1:204" x14ac:dyDescent="0.25">
      <c r="A604" t="s">
        <v>2182</v>
      </c>
      <c r="B604" s="2" t="s">
        <v>2181</v>
      </c>
      <c r="C604" s="619">
        <v>44790</v>
      </c>
      <c r="D604" s="2" t="s">
        <v>2171</v>
      </c>
      <c r="E604" t="s">
        <v>59</v>
      </c>
      <c r="F604" s="2" t="s">
        <v>43</v>
      </c>
      <c r="G604" t="s">
        <v>40</v>
      </c>
      <c r="H604" s="690" t="s">
        <v>85</v>
      </c>
      <c r="I604" s="691" t="s">
        <v>43</v>
      </c>
      <c r="J604" s="721" t="s">
        <v>2146</v>
      </c>
      <c r="K604" s="691" t="s">
        <v>478</v>
      </c>
      <c r="L604" s="721" t="s">
        <v>2174</v>
      </c>
      <c r="M604" s="718" t="s">
        <v>3</v>
      </c>
      <c r="N604" s="717" t="s">
        <v>44</v>
      </c>
      <c r="O604" s="719">
        <v>44927</v>
      </c>
      <c r="P604" s="720">
        <v>45016</v>
      </c>
      <c r="Q604" s="718">
        <v>146</v>
      </c>
      <c r="R604" s="717">
        <v>3</v>
      </c>
      <c r="S604" s="691" t="s">
        <v>54</v>
      </c>
      <c r="T604" t="s">
        <v>649</v>
      </c>
      <c r="U604" s="673">
        <v>44790</v>
      </c>
      <c r="V604" s="690">
        <v>1</v>
      </c>
      <c r="W604" s="657" t="s">
        <v>329</v>
      </c>
      <c r="X604" s="723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654"/>
      <c r="AJ604" s="655">
        <v>3</v>
      </c>
      <c r="AK604" s="4">
        <v>3</v>
      </c>
      <c r="AL604" s="4">
        <v>3</v>
      </c>
      <c r="AM604" s="4"/>
      <c r="AN604" s="4"/>
      <c r="AO604" s="4"/>
      <c r="AP604" s="4"/>
      <c r="AQ604" s="4"/>
      <c r="AR604" s="4"/>
      <c r="AS604" s="4"/>
      <c r="AT604" s="4"/>
      <c r="AU604" s="654"/>
      <c r="AV604" s="655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654"/>
      <c r="BH604" s="655"/>
      <c r="BI604" s="4"/>
      <c r="BJ604" s="4"/>
      <c r="BK604" s="4"/>
      <c r="BL604" s="4"/>
      <c r="BM604" s="4"/>
      <c r="BN604" s="4"/>
      <c r="BO604" s="4"/>
      <c r="BP604" s="4"/>
      <c r="BQ604" s="4"/>
      <c r="BR604" s="4"/>
      <c r="BS604" s="654"/>
      <c r="BT604" s="655"/>
      <c r="BU604" s="4"/>
      <c r="BV604" s="4"/>
      <c r="BW604" s="4"/>
      <c r="BX604" s="4"/>
      <c r="BY604" s="4"/>
      <c r="BZ604" s="4"/>
      <c r="CA604" s="4"/>
      <c r="CB604" s="4"/>
      <c r="CC604" s="4"/>
      <c r="CD604" s="4"/>
      <c r="CE604" s="693"/>
      <c r="CF604" s="723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654"/>
      <c r="CR604" s="655">
        <v>147.20980876852752</v>
      </c>
      <c r="CS604" s="4">
        <v>147.20980876852752</v>
      </c>
      <c r="CT604" s="4">
        <v>147.20980876852752</v>
      </c>
      <c r="CU604" s="4"/>
      <c r="CV604" s="4"/>
      <c r="CW604" s="4"/>
      <c r="CX604" s="4"/>
      <c r="CY604" s="4"/>
      <c r="CZ604" s="4"/>
      <c r="DA604" s="4"/>
      <c r="DB604" s="4"/>
      <c r="DC604" s="654"/>
      <c r="DD604" s="655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654"/>
      <c r="DP604" s="655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654"/>
      <c r="EB604" s="655"/>
      <c r="EC604" s="4"/>
      <c r="ED604" s="4"/>
      <c r="EE604" s="4"/>
      <c r="EF604" s="4"/>
      <c r="EG604" s="4"/>
      <c r="EH604" s="4"/>
      <c r="EI604" s="4"/>
      <c r="EJ604" s="4"/>
      <c r="EK604" s="4"/>
      <c r="EL604" s="4"/>
      <c r="EM604" s="693"/>
      <c r="EN604" s="723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654"/>
      <c r="EZ604" s="655">
        <v>147.20980876852752</v>
      </c>
      <c r="FA604" s="4">
        <v>147.20980876852752</v>
      </c>
      <c r="FB604" s="4">
        <v>147.20980876852752</v>
      </c>
      <c r="FC604" s="4"/>
      <c r="FD604" s="4"/>
      <c r="FE604" s="4"/>
      <c r="FF604" s="4"/>
      <c r="FG604" s="4"/>
      <c r="FH604" s="4"/>
      <c r="FI604" s="4"/>
      <c r="FJ604" s="4"/>
      <c r="FK604" s="654"/>
      <c r="FL604" s="655"/>
      <c r="FM604" s="4"/>
      <c r="FN604" s="4"/>
      <c r="FO604" s="4"/>
      <c r="FP604" s="4"/>
      <c r="FQ604" s="4"/>
      <c r="FR604" s="4"/>
      <c r="FS604" s="4"/>
      <c r="FT604" s="4"/>
      <c r="FU604" s="4"/>
      <c r="FV604" s="4"/>
      <c r="FW604" s="654"/>
      <c r="FX604" s="655"/>
      <c r="FY604" s="4"/>
      <c r="FZ604" s="4"/>
      <c r="GA604" s="4"/>
      <c r="GB604" s="4"/>
      <c r="GC604" s="4"/>
      <c r="GD604" s="4"/>
      <c r="GE604" s="4"/>
      <c r="GF604" s="4"/>
      <c r="GG604" s="4"/>
      <c r="GH604" s="4"/>
      <c r="GI604" s="654"/>
      <c r="GJ604" s="655"/>
      <c r="GK604" s="4"/>
      <c r="GL604" s="4"/>
      <c r="GM604" s="4"/>
      <c r="GN604" s="4"/>
      <c r="GO604" s="4"/>
      <c r="GP604" s="4"/>
      <c r="GQ604" s="4"/>
      <c r="GR604" s="4"/>
      <c r="GS604" s="4"/>
      <c r="GT604" s="4"/>
      <c r="GU604" s="722"/>
      <c r="GV604" s="715"/>
    </row>
    <row r="605" spans="1:204" x14ac:dyDescent="0.25">
      <c r="A605" t="s">
        <v>2184</v>
      </c>
      <c r="B605" s="2" t="s">
        <v>2183</v>
      </c>
      <c r="C605" s="619">
        <v>44790</v>
      </c>
      <c r="D605" s="2" t="s">
        <v>2172</v>
      </c>
      <c r="E605" t="s">
        <v>59</v>
      </c>
      <c r="F605" s="2" t="s">
        <v>43</v>
      </c>
      <c r="G605" t="s">
        <v>40</v>
      </c>
      <c r="H605" s="690" t="s">
        <v>85</v>
      </c>
      <c r="I605" s="691" t="s">
        <v>43</v>
      </c>
      <c r="J605" s="721" t="s">
        <v>2146</v>
      </c>
      <c r="K605" s="691" t="s">
        <v>2175</v>
      </c>
      <c r="L605" s="721" t="s">
        <v>2176</v>
      </c>
      <c r="M605" s="718" t="s">
        <v>3</v>
      </c>
      <c r="N605" s="717" t="s">
        <v>44</v>
      </c>
      <c r="O605" s="719">
        <v>44927</v>
      </c>
      <c r="P605" s="720">
        <v>45016</v>
      </c>
      <c r="Q605" s="718">
        <v>145.5</v>
      </c>
      <c r="R605" s="717">
        <v>20</v>
      </c>
      <c r="S605" s="691" t="s">
        <v>54</v>
      </c>
      <c r="T605" t="s">
        <v>649</v>
      </c>
      <c r="U605" s="673">
        <v>44790</v>
      </c>
      <c r="V605" s="690">
        <v>1</v>
      </c>
      <c r="W605" s="657" t="s">
        <v>329</v>
      </c>
      <c r="X605" s="723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654"/>
      <c r="AJ605" s="655">
        <v>20</v>
      </c>
      <c r="AK605" s="4">
        <v>20</v>
      </c>
      <c r="AL605" s="4">
        <v>20</v>
      </c>
      <c r="AM605" s="4"/>
      <c r="AN605" s="4"/>
      <c r="AO605" s="4"/>
      <c r="AP605" s="4"/>
      <c r="AQ605" s="4"/>
      <c r="AR605" s="4"/>
      <c r="AS605" s="4"/>
      <c r="AT605" s="4"/>
      <c r="AU605" s="654"/>
      <c r="AV605" s="655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654"/>
      <c r="BH605" s="655"/>
      <c r="BI605" s="4"/>
      <c r="BJ605" s="4"/>
      <c r="BK605" s="4"/>
      <c r="BL605" s="4"/>
      <c r="BM605" s="4"/>
      <c r="BN605" s="4"/>
      <c r="BO605" s="4"/>
      <c r="BP605" s="4"/>
      <c r="BQ605" s="4"/>
      <c r="BR605" s="4"/>
      <c r="BS605" s="654"/>
      <c r="BT605" s="655"/>
      <c r="BU605" s="4"/>
      <c r="BV605" s="4"/>
      <c r="BW605" s="4"/>
      <c r="BX605" s="4"/>
      <c r="BY605" s="4"/>
      <c r="BZ605" s="4"/>
      <c r="CA605" s="4"/>
      <c r="CB605" s="4"/>
      <c r="CC605" s="4"/>
      <c r="CD605" s="4"/>
      <c r="CE605" s="693"/>
      <c r="CF605" s="723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654"/>
      <c r="CR605" s="655">
        <v>146.70566558781337</v>
      </c>
      <c r="CS605" s="4">
        <v>146.70566558781337</v>
      </c>
      <c r="CT605" s="4">
        <v>146.70566558781337</v>
      </c>
      <c r="CU605" s="4"/>
      <c r="CV605" s="4"/>
      <c r="CW605" s="4"/>
      <c r="CX605" s="4"/>
      <c r="CY605" s="4"/>
      <c r="CZ605" s="4"/>
      <c r="DA605" s="4"/>
      <c r="DB605" s="4"/>
      <c r="DC605" s="654"/>
      <c r="DD605" s="655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654"/>
      <c r="DP605" s="655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654"/>
      <c r="EB605" s="655"/>
      <c r="EC605" s="4"/>
      <c r="ED605" s="4"/>
      <c r="EE605" s="4"/>
      <c r="EF605" s="4"/>
      <c r="EG605" s="4"/>
      <c r="EH605" s="4"/>
      <c r="EI605" s="4"/>
      <c r="EJ605" s="4"/>
      <c r="EK605" s="4"/>
      <c r="EL605" s="4"/>
      <c r="EM605" s="693"/>
      <c r="EN605" s="723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654"/>
      <c r="EZ605" s="655">
        <v>146.70566558781337</v>
      </c>
      <c r="FA605" s="4">
        <v>146.70566558781337</v>
      </c>
      <c r="FB605" s="4">
        <v>146.70566558781337</v>
      </c>
      <c r="FC605" s="4"/>
      <c r="FD605" s="4"/>
      <c r="FE605" s="4"/>
      <c r="FF605" s="4"/>
      <c r="FG605" s="4"/>
      <c r="FH605" s="4"/>
      <c r="FI605" s="4"/>
      <c r="FJ605" s="4"/>
      <c r="FK605" s="654"/>
      <c r="FL605" s="655"/>
      <c r="FM605" s="4"/>
      <c r="FN605" s="4"/>
      <c r="FO605" s="4"/>
      <c r="FP605" s="4"/>
      <c r="FQ605" s="4"/>
      <c r="FR605" s="4"/>
      <c r="FS605" s="4"/>
      <c r="FT605" s="4"/>
      <c r="FU605" s="4"/>
      <c r="FV605" s="4"/>
      <c r="FW605" s="654"/>
      <c r="FX605" s="655"/>
      <c r="FY605" s="4"/>
      <c r="FZ605" s="4"/>
      <c r="GA605" s="4"/>
      <c r="GB605" s="4"/>
      <c r="GC605" s="4"/>
      <c r="GD605" s="4"/>
      <c r="GE605" s="4"/>
      <c r="GF605" s="4"/>
      <c r="GG605" s="4"/>
      <c r="GH605" s="4"/>
      <c r="GI605" s="654"/>
      <c r="GJ605" s="655"/>
      <c r="GK605" s="4"/>
      <c r="GL605" s="4"/>
      <c r="GM605" s="4"/>
      <c r="GN605" s="4"/>
      <c r="GO605" s="4"/>
      <c r="GP605" s="4"/>
      <c r="GQ605" s="4"/>
      <c r="GR605" s="4"/>
      <c r="GS605" s="4"/>
      <c r="GT605" s="4"/>
      <c r="GU605" s="722"/>
      <c r="GV605" s="715"/>
    </row>
    <row r="606" spans="1:204" x14ac:dyDescent="0.25">
      <c r="A606" t="s">
        <v>2191</v>
      </c>
      <c r="B606" s="2" t="s">
        <v>358</v>
      </c>
      <c r="C606" s="619">
        <v>44791</v>
      </c>
      <c r="D606" s="2" t="s">
        <v>2185</v>
      </c>
      <c r="E606" t="s">
        <v>58</v>
      </c>
      <c r="F606" s="2" t="s">
        <v>43</v>
      </c>
      <c r="G606" t="s">
        <v>40</v>
      </c>
      <c r="H606" s="690" t="s">
        <v>84</v>
      </c>
      <c r="I606" s="691" t="s">
        <v>2147</v>
      </c>
      <c r="J606" s="721" t="s">
        <v>2148</v>
      </c>
      <c r="K606" s="691" t="s">
        <v>43</v>
      </c>
      <c r="L606" s="721" t="s">
        <v>2146</v>
      </c>
      <c r="M606" s="718" t="s">
        <v>3</v>
      </c>
      <c r="N606" s="717" t="s">
        <v>44</v>
      </c>
      <c r="O606" s="719">
        <v>44805</v>
      </c>
      <c r="P606" s="720">
        <v>44834</v>
      </c>
      <c r="Q606" s="718">
        <v>71</v>
      </c>
      <c r="R606" s="717">
        <v>1</v>
      </c>
      <c r="S606" s="691" t="s">
        <v>54</v>
      </c>
      <c r="T606" t="s">
        <v>358</v>
      </c>
      <c r="U606" s="673" t="s">
        <v>358</v>
      </c>
      <c r="V606" s="690" t="s">
        <v>358</v>
      </c>
      <c r="W606" s="657" t="s">
        <v>214</v>
      </c>
      <c r="X606" s="723"/>
      <c r="Y606" s="4"/>
      <c r="Z606" s="4"/>
      <c r="AA606" s="4"/>
      <c r="AB606" s="4"/>
      <c r="AC606" s="4"/>
      <c r="AD606" s="4"/>
      <c r="AE606" s="4"/>
      <c r="AF606" s="4">
        <v>1</v>
      </c>
      <c r="AG606" s="4"/>
      <c r="AH606" s="4"/>
      <c r="AI606" s="654"/>
      <c r="AJ606" s="655"/>
      <c r="AK606" s="4"/>
      <c r="AL606" s="4"/>
      <c r="AM606" s="4"/>
      <c r="AN606" s="4"/>
      <c r="AO606" s="4"/>
      <c r="AP606" s="4"/>
      <c r="AQ606" s="4"/>
      <c r="AR606" s="4"/>
      <c r="AS606" s="4"/>
      <c r="AT606" s="4"/>
      <c r="AU606" s="654"/>
      <c r="AV606" s="655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654"/>
      <c r="BH606" s="655"/>
      <c r="BI606" s="4"/>
      <c r="BJ606" s="4"/>
      <c r="BK606" s="4"/>
      <c r="BL606" s="4"/>
      <c r="BM606" s="4"/>
      <c r="BN606" s="4"/>
      <c r="BO606" s="4"/>
      <c r="BP606" s="4"/>
      <c r="BQ606" s="4"/>
      <c r="BR606" s="4"/>
      <c r="BS606" s="654"/>
      <c r="BT606" s="655"/>
      <c r="BU606" s="4"/>
      <c r="BV606" s="4"/>
      <c r="BW606" s="4"/>
      <c r="BX606" s="4"/>
      <c r="BY606" s="4"/>
      <c r="BZ606" s="4"/>
      <c r="CA606" s="4"/>
      <c r="CB606" s="4"/>
      <c r="CC606" s="4"/>
      <c r="CD606" s="4"/>
      <c r="CE606" s="693"/>
      <c r="CF606" s="723"/>
      <c r="CG606" s="4"/>
      <c r="CH606" s="4"/>
      <c r="CI606" s="4"/>
      <c r="CJ606" s="4"/>
      <c r="CK606" s="4"/>
      <c r="CL606" s="4"/>
      <c r="CM606" s="4"/>
      <c r="CN606" s="4">
        <v>71</v>
      </c>
      <c r="CO606" s="4"/>
      <c r="CP606" s="4"/>
      <c r="CQ606" s="654"/>
      <c r="CR606" s="655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654"/>
      <c r="DD606" s="655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654"/>
      <c r="DP606" s="655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654"/>
      <c r="EB606" s="655"/>
      <c r="EC606" s="4"/>
      <c r="ED606" s="4"/>
      <c r="EE606" s="4"/>
      <c r="EF606" s="4"/>
      <c r="EG606" s="4"/>
      <c r="EH606" s="4"/>
      <c r="EI606" s="4"/>
      <c r="EJ606" s="4"/>
      <c r="EK606" s="4"/>
      <c r="EL606" s="4"/>
      <c r="EM606" s="693"/>
      <c r="EN606" s="723"/>
      <c r="EO606" s="4"/>
      <c r="EP606" s="4"/>
      <c r="EQ606" s="4"/>
      <c r="ER606" s="4"/>
      <c r="ES606" s="4"/>
      <c r="ET606" s="4"/>
      <c r="EU606" s="4"/>
      <c r="EV606" s="4">
        <v>71</v>
      </c>
      <c r="EW606" s="4"/>
      <c r="EX606" s="4"/>
      <c r="EY606" s="654"/>
      <c r="EZ606" s="655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654"/>
      <c r="FL606" s="655"/>
      <c r="FM606" s="4"/>
      <c r="FN606" s="4"/>
      <c r="FO606" s="4"/>
      <c r="FP606" s="4"/>
      <c r="FQ606" s="4"/>
      <c r="FR606" s="4"/>
      <c r="FS606" s="4"/>
      <c r="FT606" s="4"/>
      <c r="FU606" s="4"/>
      <c r="FV606" s="4"/>
      <c r="FW606" s="654"/>
      <c r="FX606" s="655"/>
      <c r="FY606" s="4"/>
      <c r="FZ606" s="4"/>
      <c r="GA606" s="4"/>
      <c r="GB606" s="4"/>
      <c r="GC606" s="4"/>
      <c r="GD606" s="4"/>
      <c r="GE606" s="4"/>
      <c r="GF606" s="4"/>
      <c r="GG606" s="4"/>
      <c r="GH606" s="4"/>
      <c r="GI606" s="654"/>
      <c r="GJ606" s="655"/>
      <c r="GK606" s="4"/>
      <c r="GL606" s="4"/>
      <c r="GM606" s="4"/>
      <c r="GN606" s="4"/>
      <c r="GO606" s="4"/>
      <c r="GP606" s="4"/>
      <c r="GQ606" s="4"/>
      <c r="GR606" s="4"/>
      <c r="GS606" s="4"/>
      <c r="GT606" s="4"/>
      <c r="GU606" s="722"/>
      <c r="GV606" s="715"/>
    </row>
    <row r="607" spans="1:204" x14ac:dyDescent="0.25">
      <c r="A607" t="s">
        <v>2192</v>
      </c>
      <c r="B607" s="2" t="s">
        <v>358</v>
      </c>
      <c r="C607" s="619">
        <v>44791</v>
      </c>
      <c r="D607" s="2" t="s">
        <v>2186</v>
      </c>
      <c r="E607" t="s">
        <v>58</v>
      </c>
      <c r="F607" s="2" t="s">
        <v>43</v>
      </c>
      <c r="G607" t="s">
        <v>40</v>
      </c>
      <c r="H607" s="690" t="s">
        <v>84</v>
      </c>
      <c r="I607" s="691" t="s">
        <v>513</v>
      </c>
      <c r="J607" s="721" t="s">
        <v>2189</v>
      </c>
      <c r="K607" s="691" t="s">
        <v>43</v>
      </c>
      <c r="L607" s="721" t="s">
        <v>2146</v>
      </c>
      <c r="M607" s="718" t="s">
        <v>3</v>
      </c>
      <c r="N607" s="717" t="s">
        <v>44</v>
      </c>
      <c r="O607" s="719">
        <v>44805</v>
      </c>
      <c r="P607" s="720">
        <v>44834</v>
      </c>
      <c r="Q607" s="718">
        <v>73</v>
      </c>
      <c r="R607" s="717">
        <v>2</v>
      </c>
      <c r="S607" s="691" t="s">
        <v>54</v>
      </c>
      <c r="T607" t="s">
        <v>358</v>
      </c>
      <c r="U607" s="673" t="s">
        <v>358</v>
      </c>
      <c r="V607" s="690" t="s">
        <v>358</v>
      </c>
      <c r="W607" s="657" t="s">
        <v>214</v>
      </c>
      <c r="X607" s="723"/>
      <c r="Y607" s="4"/>
      <c r="Z607" s="4"/>
      <c r="AA607" s="4"/>
      <c r="AB607" s="4"/>
      <c r="AC607" s="4"/>
      <c r="AD607" s="4"/>
      <c r="AE607" s="4"/>
      <c r="AF607" s="4">
        <v>2</v>
      </c>
      <c r="AG607" s="4"/>
      <c r="AH607" s="4"/>
      <c r="AI607" s="654"/>
      <c r="AJ607" s="655"/>
      <c r="AK607" s="4"/>
      <c r="AL607" s="4"/>
      <c r="AM607" s="4"/>
      <c r="AN607" s="4"/>
      <c r="AO607" s="4"/>
      <c r="AP607" s="4"/>
      <c r="AQ607" s="4"/>
      <c r="AR607" s="4"/>
      <c r="AS607" s="4"/>
      <c r="AT607" s="4"/>
      <c r="AU607" s="654"/>
      <c r="AV607" s="655"/>
      <c r="AW607" s="4"/>
      <c r="AX607" s="4"/>
      <c r="AY607" s="4"/>
      <c r="AZ607" s="4"/>
      <c r="BA607" s="4"/>
      <c r="BB607" s="4"/>
      <c r="BC607" s="4"/>
      <c r="BD607" s="4"/>
      <c r="BE607" s="4"/>
      <c r="BF607" s="4"/>
      <c r="BG607" s="654"/>
      <c r="BH607" s="655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654"/>
      <c r="BT607" s="655"/>
      <c r="BU607" s="4"/>
      <c r="BV607" s="4"/>
      <c r="BW607" s="4"/>
      <c r="BX607" s="4"/>
      <c r="BY607" s="4"/>
      <c r="BZ607" s="4"/>
      <c r="CA607" s="4"/>
      <c r="CB607" s="4"/>
      <c r="CC607" s="4"/>
      <c r="CD607" s="4"/>
      <c r="CE607" s="693"/>
      <c r="CF607" s="723"/>
      <c r="CG607" s="4"/>
      <c r="CH607" s="4"/>
      <c r="CI607" s="4"/>
      <c r="CJ607" s="4"/>
      <c r="CK607" s="4"/>
      <c r="CL607" s="4"/>
      <c r="CM607" s="4"/>
      <c r="CN607" s="4">
        <v>73</v>
      </c>
      <c r="CO607" s="4"/>
      <c r="CP607" s="4"/>
      <c r="CQ607" s="654"/>
      <c r="CR607" s="655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654"/>
      <c r="DD607" s="655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654"/>
      <c r="DP607" s="655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654"/>
      <c r="EB607" s="655"/>
      <c r="EC607" s="4"/>
      <c r="ED607" s="4"/>
      <c r="EE607" s="4"/>
      <c r="EF607" s="4"/>
      <c r="EG607" s="4"/>
      <c r="EH607" s="4"/>
      <c r="EI607" s="4"/>
      <c r="EJ607" s="4"/>
      <c r="EK607" s="4"/>
      <c r="EL607" s="4"/>
      <c r="EM607" s="693"/>
      <c r="EN607" s="723"/>
      <c r="EO607" s="4"/>
      <c r="EP607" s="4"/>
      <c r="EQ607" s="4"/>
      <c r="ER607" s="4"/>
      <c r="ES607" s="4"/>
      <c r="ET607" s="4"/>
      <c r="EU607" s="4"/>
      <c r="EV607" s="4">
        <v>73</v>
      </c>
      <c r="EW607" s="4"/>
      <c r="EX607" s="4"/>
      <c r="EY607" s="654"/>
      <c r="EZ607" s="655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654"/>
      <c r="FL607" s="655"/>
      <c r="FM607" s="4"/>
      <c r="FN607" s="4"/>
      <c r="FO607" s="4"/>
      <c r="FP607" s="4"/>
      <c r="FQ607" s="4"/>
      <c r="FR607" s="4"/>
      <c r="FS607" s="4"/>
      <c r="FT607" s="4"/>
      <c r="FU607" s="4"/>
      <c r="FV607" s="4"/>
      <c r="FW607" s="654"/>
      <c r="FX607" s="655"/>
      <c r="FY607" s="4"/>
      <c r="FZ607" s="4"/>
      <c r="GA607" s="4"/>
      <c r="GB607" s="4"/>
      <c r="GC607" s="4"/>
      <c r="GD607" s="4"/>
      <c r="GE607" s="4"/>
      <c r="GF607" s="4"/>
      <c r="GG607" s="4"/>
      <c r="GH607" s="4"/>
      <c r="GI607" s="654"/>
      <c r="GJ607" s="655"/>
      <c r="GK607" s="4"/>
      <c r="GL607" s="4"/>
      <c r="GM607" s="4"/>
      <c r="GN607" s="4"/>
      <c r="GO607" s="4"/>
      <c r="GP607" s="4"/>
      <c r="GQ607" s="4"/>
      <c r="GR607" s="4"/>
      <c r="GS607" s="4"/>
      <c r="GT607" s="4"/>
      <c r="GU607" s="722"/>
      <c r="GV607" s="715"/>
    </row>
    <row r="608" spans="1:204" x14ac:dyDescent="0.25">
      <c r="A608" t="s">
        <v>2194</v>
      </c>
      <c r="B608" s="2" t="s">
        <v>2193</v>
      </c>
      <c r="C608" s="619">
        <v>44791</v>
      </c>
      <c r="D608" s="2" t="s">
        <v>2187</v>
      </c>
      <c r="E608" t="s">
        <v>58</v>
      </c>
      <c r="F608" s="2" t="s">
        <v>43</v>
      </c>
      <c r="G608" t="s">
        <v>40</v>
      </c>
      <c r="H608" s="690" t="s">
        <v>84</v>
      </c>
      <c r="I608" s="691" t="s">
        <v>2017</v>
      </c>
      <c r="J608" s="721" t="s">
        <v>2190</v>
      </c>
      <c r="K608" s="691" t="s">
        <v>43</v>
      </c>
      <c r="L608" s="721" t="s">
        <v>2146</v>
      </c>
      <c r="M608" s="718" t="s">
        <v>3</v>
      </c>
      <c r="N608" s="717" t="s">
        <v>44</v>
      </c>
      <c r="O608" s="719">
        <v>44774</v>
      </c>
      <c r="P608" s="720">
        <v>44804</v>
      </c>
      <c r="Q608" s="718">
        <v>79</v>
      </c>
      <c r="R608" s="717">
        <v>5</v>
      </c>
      <c r="S608" s="691" t="s">
        <v>54</v>
      </c>
      <c r="T608" t="s">
        <v>358</v>
      </c>
      <c r="U608" s="673" t="s">
        <v>358</v>
      </c>
      <c r="V608" s="690" t="s">
        <v>358</v>
      </c>
      <c r="W608" s="657" t="s">
        <v>329</v>
      </c>
      <c r="X608" s="723"/>
      <c r="Y608" s="4"/>
      <c r="Z608" s="4"/>
      <c r="AA608" s="4"/>
      <c r="AB608" s="4"/>
      <c r="AC608" s="4"/>
      <c r="AD608" s="4"/>
      <c r="AE608" s="4">
        <v>5</v>
      </c>
      <c r="AF608" s="4"/>
      <c r="AG608" s="4"/>
      <c r="AH608" s="4"/>
      <c r="AI608" s="654"/>
      <c r="AJ608" s="655"/>
      <c r="AK608" s="4"/>
      <c r="AL608" s="4"/>
      <c r="AM608" s="4"/>
      <c r="AN608" s="4"/>
      <c r="AO608" s="4"/>
      <c r="AP608" s="4"/>
      <c r="AQ608" s="4"/>
      <c r="AR608" s="4"/>
      <c r="AS608" s="4"/>
      <c r="AT608" s="4"/>
      <c r="AU608" s="654"/>
      <c r="AV608" s="655"/>
      <c r="AW608" s="4"/>
      <c r="AX608" s="4"/>
      <c r="AY608" s="4"/>
      <c r="AZ608" s="4"/>
      <c r="BA608" s="4"/>
      <c r="BB608" s="4"/>
      <c r="BC608" s="4"/>
      <c r="BD608" s="4"/>
      <c r="BE608" s="4"/>
      <c r="BF608" s="4"/>
      <c r="BG608" s="654"/>
      <c r="BH608" s="655"/>
      <c r="BI608" s="4"/>
      <c r="BJ608" s="4"/>
      <c r="BK608" s="4"/>
      <c r="BL608" s="4"/>
      <c r="BM608" s="4"/>
      <c r="BN608" s="4"/>
      <c r="BO608" s="4"/>
      <c r="BP608" s="4"/>
      <c r="BQ608" s="4"/>
      <c r="BR608" s="4"/>
      <c r="BS608" s="654"/>
      <c r="BT608" s="655"/>
      <c r="BU608" s="4"/>
      <c r="BV608" s="4"/>
      <c r="BW608" s="4"/>
      <c r="BX608" s="4"/>
      <c r="BY608" s="4"/>
      <c r="BZ608" s="4"/>
      <c r="CA608" s="4"/>
      <c r="CB608" s="4"/>
      <c r="CC608" s="4"/>
      <c r="CD608" s="4"/>
      <c r="CE608" s="693"/>
      <c r="CF608" s="723"/>
      <c r="CG608" s="4"/>
      <c r="CH608" s="4"/>
      <c r="CI608" s="4"/>
      <c r="CJ608" s="4"/>
      <c r="CK608" s="4"/>
      <c r="CL608" s="4"/>
      <c r="CM608" s="4">
        <v>79</v>
      </c>
      <c r="CN608" s="4"/>
      <c r="CO608" s="4"/>
      <c r="CP608" s="4"/>
      <c r="CQ608" s="654"/>
      <c r="CR608" s="655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654"/>
      <c r="DD608" s="655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654"/>
      <c r="DP608" s="655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654"/>
      <c r="EB608" s="655"/>
      <c r="EC608" s="4"/>
      <c r="ED608" s="4"/>
      <c r="EE608" s="4"/>
      <c r="EF608" s="4"/>
      <c r="EG608" s="4"/>
      <c r="EH608" s="4"/>
      <c r="EI608" s="4"/>
      <c r="EJ608" s="4"/>
      <c r="EK608" s="4"/>
      <c r="EL608" s="4"/>
      <c r="EM608" s="693"/>
      <c r="EN608" s="723"/>
      <c r="EO608" s="4"/>
      <c r="EP608" s="4"/>
      <c r="EQ608" s="4"/>
      <c r="ER608" s="4"/>
      <c r="ES608" s="4"/>
      <c r="ET608" s="4"/>
      <c r="EU608" s="4">
        <v>79</v>
      </c>
      <c r="EV608" s="4"/>
      <c r="EW608" s="4"/>
      <c r="EX608" s="4"/>
      <c r="EY608" s="654"/>
      <c r="EZ608" s="655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654"/>
      <c r="FL608" s="655"/>
      <c r="FM608" s="4"/>
      <c r="FN608" s="4"/>
      <c r="FO608" s="4"/>
      <c r="FP608" s="4"/>
      <c r="FQ608" s="4"/>
      <c r="FR608" s="4"/>
      <c r="FS608" s="4"/>
      <c r="FT608" s="4"/>
      <c r="FU608" s="4"/>
      <c r="FV608" s="4"/>
      <c r="FW608" s="654"/>
      <c r="FX608" s="655"/>
      <c r="FY608" s="4"/>
      <c r="FZ608" s="4"/>
      <c r="GA608" s="4"/>
      <c r="GB608" s="4"/>
      <c r="GC608" s="4"/>
      <c r="GD608" s="4"/>
      <c r="GE608" s="4"/>
      <c r="GF608" s="4"/>
      <c r="GG608" s="4"/>
      <c r="GH608" s="4"/>
      <c r="GI608" s="654"/>
      <c r="GJ608" s="655"/>
      <c r="GK608" s="4"/>
      <c r="GL608" s="4"/>
      <c r="GM608" s="4"/>
      <c r="GN608" s="4"/>
      <c r="GO608" s="4"/>
      <c r="GP608" s="4"/>
      <c r="GQ608" s="4"/>
      <c r="GR608" s="4"/>
      <c r="GS608" s="4"/>
      <c r="GT608" s="4"/>
      <c r="GU608" s="722"/>
      <c r="GV608" s="715"/>
    </row>
    <row r="609" spans="1:204" x14ac:dyDescent="0.25">
      <c r="A609" t="s">
        <v>2195</v>
      </c>
      <c r="B609" s="2" t="s">
        <v>358</v>
      </c>
      <c r="C609" s="619">
        <v>44791</v>
      </c>
      <c r="D609" s="2" t="s">
        <v>2188</v>
      </c>
      <c r="E609" t="s">
        <v>58</v>
      </c>
      <c r="F609" s="2" t="s">
        <v>43</v>
      </c>
      <c r="G609" t="s">
        <v>40</v>
      </c>
      <c r="H609" s="690" t="s">
        <v>84</v>
      </c>
      <c r="I609" s="691" t="s">
        <v>2147</v>
      </c>
      <c r="J609" s="721" t="s">
        <v>2148</v>
      </c>
      <c r="K609" s="691" t="s">
        <v>43</v>
      </c>
      <c r="L609" s="721" t="s">
        <v>2146</v>
      </c>
      <c r="M609" s="718" t="s">
        <v>3</v>
      </c>
      <c r="N609" s="717" t="s">
        <v>44</v>
      </c>
      <c r="O609" s="719">
        <v>44805</v>
      </c>
      <c r="P609" s="720">
        <v>44834</v>
      </c>
      <c r="Q609" s="718">
        <v>73</v>
      </c>
      <c r="R609" s="717">
        <v>1</v>
      </c>
      <c r="S609" s="691" t="s">
        <v>54</v>
      </c>
      <c r="T609" t="s">
        <v>358</v>
      </c>
      <c r="U609" s="673" t="s">
        <v>358</v>
      </c>
      <c r="V609" s="690" t="s">
        <v>358</v>
      </c>
      <c r="W609" s="657" t="s">
        <v>214</v>
      </c>
      <c r="X609" s="723"/>
      <c r="Y609" s="4"/>
      <c r="Z609" s="4"/>
      <c r="AA609" s="4"/>
      <c r="AB609" s="4"/>
      <c r="AC609" s="4"/>
      <c r="AD609" s="4"/>
      <c r="AE609" s="4"/>
      <c r="AF609" s="4">
        <v>1</v>
      </c>
      <c r="AG609" s="4"/>
      <c r="AH609" s="4"/>
      <c r="AI609" s="654"/>
      <c r="AJ609" s="655"/>
      <c r="AK609" s="4"/>
      <c r="AL609" s="4"/>
      <c r="AM609" s="4"/>
      <c r="AN609" s="4"/>
      <c r="AO609" s="4"/>
      <c r="AP609" s="4"/>
      <c r="AQ609" s="4"/>
      <c r="AR609" s="4"/>
      <c r="AS609" s="4"/>
      <c r="AT609" s="4"/>
      <c r="AU609" s="654"/>
      <c r="AV609" s="655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654"/>
      <c r="BH609" s="655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654"/>
      <c r="BT609" s="655"/>
      <c r="BU609" s="4"/>
      <c r="BV609" s="4"/>
      <c r="BW609" s="4"/>
      <c r="BX609" s="4"/>
      <c r="BY609" s="4"/>
      <c r="BZ609" s="4"/>
      <c r="CA609" s="4"/>
      <c r="CB609" s="4"/>
      <c r="CC609" s="4"/>
      <c r="CD609" s="4"/>
      <c r="CE609" s="693"/>
      <c r="CF609" s="723"/>
      <c r="CG609" s="4"/>
      <c r="CH609" s="4"/>
      <c r="CI609" s="4"/>
      <c r="CJ609" s="4"/>
      <c r="CK609" s="4"/>
      <c r="CL609" s="4"/>
      <c r="CM609" s="4"/>
      <c r="CN609" s="4">
        <v>73</v>
      </c>
      <c r="CO609" s="4"/>
      <c r="CP609" s="4"/>
      <c r="CQ609" s="654"/>
      <c r="CR609" s="655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654"/>
      <c r="DD609" s="655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654"/>
      <c r="DP609" s="655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654"/>
      <c r="EB609" s="655"/>
      <c r="EC609" s="4"/>
      <c r="ED609" s="4"/>
      <c r="EE609" s="4"/>
      <c r="EF609" s="4"/>
      <c r="EG609" s="4"/>
      <c r="EH609" s="4"/>
      <c r="EI609" s="4"/>
      <c r="EJ609" s="4"/>
      <c r="EK609" s="4"/>
      <c r="EL609" s="4"/>
      <c r="EM609" s="693"/>
      <c r="EN609" s="723"/>
      <c r="EO609" s="4"/>
      <c r="EP609" s="4"/>
      <c r="EQ609" s="4"/>
      <c r="ER609" s="4"/>
      <c r="ES609" s="4"/>
      <c r="ET609" s="4"/>
      <c r="EU609" s="4"/>
      <c r="EV609" s="4">
        <v>73</v>
      </c>
      <c r="EW609" s="4"/>
      <c r="EX609" s="4"/>
      <c r="EY609" s="654"/>
      <c r="EZ609" s="655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654"/>
      <c r="FL609" s="655"/>
      <c r="FM609" s="4"/>
      <c r="FN609" s="4"/>
      <c r="FO609" s="4"/>
      <c r="FP609" s="4"/>
      <c r="FQ609" s="4"/>
      <c r="FR609" s="4"/>
      <c r="FS609" s="4"/>
      <c r="FT609" s="4"/>
      <c r="FU609" s="4"/>
      <c r="FV609" s="4"/>
      <c r="FW609" s="654"/>
      <c r="FX609" s="655"/>
      <c r="FY609" s="4"/>
      <c r="FZ609" s="4"/>
      <c r="GA609" s="4"/>
      <c r="GB609" s="4"/>
      <c r="GC609" s="4"/>
      <c r="GD609" s="4"/>
      <c r="GE609" s="4"/>
      <c r="GF609" s="4"/>
      <c r="GG609" s="4"/>
      <c r="GH609" s="4"/>
      <c r="GI609" s="654"/>
      <c r="GJ609" s="655"/>
      <c r="GK609" s="4"/>
      <c r="GL609" s="4"/>
      <c r="GM609" s="4"/>
      <c r="GN609" s="4"/>
      <c r="GO609" s="4"/>
      <c r="GP609" s="4"/>
      <c r="GQ609" s="4"/>
      <c r="GR609" s="4"/>
      <c r="GS609" s="4"/>
      <c r="GT609" s="4"/>
      <c r="GU609" s="722"/>
      <c r="GV609" s="715"/>
    </row>
    <row r="610" spans="1:204" x14ac:dyDescent="0.25">
      <c r="A610" t="s">
        <v>2199</v>
      </c>
      <c r="B610" s="2" t="s">
        <v>358</v>
      </c>
      <c r="C610" s="619">
        <v>44792</v>
      </c>
      <c r="D610" s="2" t="s">
        <v>2196</v>
      </c>
      <c r="E610" t="s">
        <v>58</v>
      </c>
      <c r="F610" s="2" t="s">
        <v>43</v>
      </c>
      <c r="G610" t="s">
        <v>40</v>
      </c>
      <c r="H610" s="690" t="s">
        <v>84</v>
      </c>
      <c r="I610" s="691" t="s">
        <v>2175</v>
      </c>
      <c r="J610" s="721" t="s">
        <v>2176</v>
      </c>
      <c r="K610" s="691" t="s">
        <v>43</v>
      </c>
      <c r="L610" s="721" t="s">
        <v>2146</v>
      </c>
      <c r="M610" s="718" t="s">
        <v>3</v>
      </c>
      <c r="N610" s="717" t="s">
        <v>44</v>
      </c>
      <c r="O610" s="719">
        <v>44805</v>
      </c>
      <c r="P610" s="720">
        <v>44834</v>
      </c>
      <c r="Q610" s="718">
        <v>69</v>
      </c>
      <c r="R610" s="717">
        <v>5</v>
      </c>
      <c r="S610" s="691" t="s">
        <v>54</v>
      </c>
      <c r="T610" t="s">
        <v>358</v>
      </c>
      <c r="U610" s="673" t="s">
        <v>358</v>
      </c>
      <c r="V610" s="690" t="s">
        <v>358</v>
      </c>
      <c r="W610" s="657" t="s">
        <v>214</v>
      </c>
      <c r="X610" s="723"/>
      <c r="Y610" s="4"/>
      <c r="Z610" s="4"/>
      <c r="AA610" s="4"/>
      <c r="AB610" s="4"/>
      <c r="AC610" s="4"/>
      <c r="AD610" s="4"/>
      <c r="AE610" s="4"/>
      <c r="AF610" s="4">
        <v>5</v>
      </c>
      <c r="AG610" s="4"/>
      <c r="AH610" s="4"/>
      <c r="AI610" s="654"/>
      <c r="AJ610" s="655"/>
      <c r="AK610" s="4"/>
      <c r="AL610" s="4"/>
      <c r="AM610" s="4"/>
      <c r="AN610" s="4"/>
      <c r="AO610" s="4"/>
      <c r="AP610" s="4"/>
      <c r="AQ610" s="4"/>
      <c r="AR610" s="4"/>
      <c r="AS610" s="4"/>
      <c r="AT610" s="4"/>
      <c r="AU610" s="654"/>
      <c r="AV610" s="655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654"/>
      <c r="BH610" s="655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654"/>
      <c r="BT610" s="655"/>
      <c r="BU610" s="4"/>
      <c r="BV610" s="4"/>
      <c r="BW610" s="4"/>
      <c r="BX610" s="4"/>
      <c r="BY610" s="4"/>
      <c r="BZ610" s="4"/>
      <c r="CA610" s="4"/>
      <c r="CB610" s="4"/>
      <c r="CC610" s="4"/>
      <c r="CD610" s="4"/>
      <c r="CE610" s="693"/>
      <c r="CF610" s="723"/>
      <c r="CG610" s="4"/>
      <c r="CH610" s="4"/>
      <c r="CI610" s="4"/>
      <c r="CJ610" s="4"/>
      <c r="CK610" s="4"/>
      <c r="CL610" s="4"/>
      <c r="CM610" s="4"/>
      <c r="CN610" s="4">
        <v>69</v>
      </c>
      <c r="CO610" s="4"/>
      <c r="CP610" s="4"/>
      <c r="CQ610" s="654"/>
      <c r="CR610" s="655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654"/>
      <c r="DD610" s="655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654"/>
      <c r="DP610" s="655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654"/>
      <c r="EB610" s="655"/>
      <c r="EC610" s="4"/>
      <c r="ED610" s="4"/>
      <c r="EE610" s="4"/>
      <c r="EF610" s="4"/>
      <c r="EG610" s="4"/>
      <c r="EH610" s="4"/>
      <c r="EI610" s="4"/>
      <c r="EJ610" s="4"/>
      <c r="EK610" s="4"/>
      <c r="EL610" s="4"/>
      <c r="EM610" s="693"/>
      <c r="EN610" s="723"/>
      <c r="EO610" s="4"/>
      <c r="EP610" s="4"/>
      <c r="EQ610" s="4"/>
      <c r="ER610" s="4"/>
      <c r="ES610" s="4"/>
      <c r="ET610" s="4"/>
      <c r="EU610" s="4"/>
      <c r="EV610" s="4">
        <v>69</v>
      </c>
      <c r="EW610" s="4"/>
      <c r="EX610" s="4"/>
      <c r="EY610" s="654"/>
      <c r="EZ610" s="655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654"/>
      <c r="FL610" s="655"/>
      <c r="FM610" s="4"/>
      <c r="FN610" s="4"/>
      <c r="FO610" s="4"/>
      <c r="FP610" s="4"/>
      <c r="FQ610" s="4"/>
      <c r="FR610" s="4"/>
      <c r="FS610" s="4"/>
      <c r="FT610" s="4"/>
      <c r="FU610" s="4"/>
      <c r="FV610" s="4"/>
      <c r="FW610" s="654"/>
      <c r="FX610" s="655"/>
      <c r="FY610" s="4"/>
      <c r="FZ610" s="4"/>
      <c r="GA610" s="4"/>
      <c r="GB610" s="4"/>
      <c r="GC610" s="4"/>
      <c r="GD610" s="4"/>
      <c r="GE610" s="4"/>
      <c r="GF610" s="4"/>
      <c r="GG610" s="4"/>
      <c r="GH610" s="4"/>
      <c r="GI610" s="654"/>
      <c r="GJ610" s="655"/>
      <c r="GK610" s="4"/>
      <c r="GL610" s="4"/>
      <c r="GM610" s="4"/>
      <c r="GN610" s="4"/>
      <c r="GO610" s="4"/>
      <c r="GP610" s="4"/>
      <c r="GQ610" s="4"/>
      <c r="GR610" s="4"/>
      <c r="GS610" s="4"/>
      <c r="GT610" s="4"/>
      <c r="GU610" s="722"/>
      <c r="GV610" s="715"/>
    </row>
    <row r="611" spans="1:204" x14ac:dyDescent="0.25">
      <c r="A611" t="s">
        <v>2200</v>
      </c>
      <c r="B611" s="2" t="s">
        <v>358</v>
      </c>
      <c r="C611" s="619">
        <v>44792</v>
      </c>
      <c r="D611" s="2" t="s">
        <v>2197</v>
      </c>
      <c r="E611" t="s">
        <v>59</v>
      </c>
      <c r="F611" s="2" t="s">
        <v>43</v>
      </c>
      <c r="G611" t="s">
        <v>40</v>
      </c>
      <c r="H611" s="690" t="s">
        <v>85</v>
      </c>
      <c r="I611" s="691" t="s">
        <v>43</v>
      </c>
      <c r="J611" s="721" t="s">
        <v>2146</v>
      </c>
      <c r="K611" s="691" t="s">
        <v>404</v>
      </c>
      <c r="L611" s="721" t="s">
        <v>2198</v>
      </c>
      <c r="M611" s="718" t="s">
        <v>3</v>
      </c>
      <c r="N611" s="717" t="s">
        <v>44</v>
      </c>
      <c r="O611" s="719">
        <v>44927</v>
      </c>
      <c r="P611" s="720">
        <v>45107</v>
      </c>
      <c r="Q611" s="718">
        <v>131</v>
      </c>
      <c r="R611" s="717">
        <v>5</v>
      </c>
      <c r="S611" s="691" t="s">
        <v>54</v>
      </c>
      <c r="T611" t="s">
        <v>649</v>
      </c>
      <c r="U611" s="673">
        <v>44792</v>
      </c>
      <c r="V611" s="690">
        <v>1</v>
      </c>
      <c r="W611" s="657" t="s">
        <v>214</v>
      </c>
      <c r="X611" s="723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654"/>
      <c r="AJ611" s="655">
        <v>5</v>
      </c>
      <c r="AK611" s="4">
        <v>5</v>
      </c>
      <c r="AL611" s="4">
        <v>5</v>
      </c>
      <c r="AM611" s="4">
        <v>5</v>
      </c>
      <c r="AN611" s="4">
        <v>5</v>
      </c>
      <c r="AO611" s="4">
        <v>5</v>
      </c>
      <c r="AP611" s="4"/>
      <c r="AQ611" s="4"/>
      <c r="AR611" s="4"/>
      <c r="AS611" s="4"/>
      <c r="AT611" s="4"/>
      <c r="AU611" s="654"/>
      <c r="AV611" s="655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654"/>
      <c r="BH611" s="655"/>
      <c r="BI611" s="4"/>
      <c r="BJ611" s="4"/>
      <c r="BK611" s="4"/>
      <c r="BL611" s="4"/>
      <c r="BM611" s="4"/>
      <c r="BN611" s="4"/>
      <c r="BO611" s="4"/>
      <c r="BP611" s="4"/>
      <c r="BQ611" s="4"/>
      <c r="BR611" s="4"/>
      <c r="BS611" s="654"/>
      <c r="BT611" s="655"/>
      <c r="BU611" s="4"/>
      <c r="BV611" s="4"/>
      <c r="BW611" s="4"/>
      <c r="BX611" s="4"/>
      <c r="BY611" s="4"/>
      <c r="BZ611" s="4"/>
      <c r="CA611" s="4"/>
      <c r="CB611" s="4"/>
      <c r="CC611" s="4"/>
      <c r="CD611" s="4"/>
      <c r="CE611" s="693"/>
      <c r="CF611" s="723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654"/>
      <c r="CR611" s="655">
        <v>132.08551334710344</v>
      </c>
      <c r="CS611" s="4">
        <v>132.08551334710344</v>
      </c>
      <c r="CT611" s="4">
        <v>132.08551334710344</v>
      </c>
      <c r="CU611" s="4">
        <v>132.08551334710344</v>
      </c>
      <c r="CV611" s="4">
        <v>132.08551334710344</v>
      </c>
      <c r="CW611" s="4">
        <v>132.08551334710344</v>
      </c>
      <c r="CX611" s="4"/>
      <c r="CY611" s="4"/>
      <c r="CZ611" s="4"/>
      <c r="DA611" s="4"/>
      <c r="DB611" s="4"/>
      <c r="DC611" s="654"/>
      <c r="DD611" s="655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654"/>
      <c r="DP611" s="655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654"/>
      <c r="EB611" s="655"/>
      <c r="EC611" s="4"/>
      <c r="ED611" s="4"/>
      <c r="EE611" s="4"/>
      <c r="EF611" s="4"/>
      <c r="EG611" s="4"/>
      <c r="EH611" s="4"/>
      <c r="EI611" s="4"/>
      <c r="EJ611" s="4"/>
      <c r="EK611" s="4"/>
      <c r="EL611" s="4"/>
      <c r="EM611" s="693"/>
      <c r="EN611" s="723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654"/>
      <c r="EZ611" s="655">
        <v>132.08551334710344</v>
      </c>
      <c r="FA611" s="4">
        <v>132.08551334710344</v>
      </c>
      <c r="FB611" s="4">
        <v>132.08551334710344</v>
      </c>
      <c r="FC611" s="4">
        <v>132.08551334710344</v>
      </c>
      <c r="FD611" s="4">
        <v>132.08551334710344</v>
      </c>
      <c r="FE611" s="4">
        <v>132.08551334710344</v>
      </c>
      <c r="FF611" s="4"/>
      <c r="FG611" s="4"/>
      <c r="FH611" s="4"/>
      <c r="FI611" s="4"/>
      <c r="FJ611" s="4"/>
      <c r="FK611" s="654"/>
      <c r="FL611" s="655"/>
      <c r="FM611" s="4"/>
      <c r="FN611" s="4"/>
      <c r="FO611" s="4"/>
      <c r="FP611" s="4"/>
      <c r="FQ611" s="4"/>
      <c r="FR611" s="4"/>
      <c r="FS611" s="4"/>
      <c r="FT611" s="4"/>
      <c r="FU611" s="4"/>
      <c r="FV611" s="4"/>
      <c r="FW611" s="654"/>
      <c r="FX611" s="655"/>
      <c r="FY611" s="4"/>
      <c r="FZ611" s="4"/>
      <c r="GA611" s="4"/>
      <c r="GB611" s="4"/>
      <c r="GC611" s="4"/>
      <c r="GD611" s="4"/>
      <c r="GE611" s="4"/>
      <c r="GF611" s="4"/>
      <c r="GG611" s="4"/>
      <c r="GH611" s="4"/>
      <c r="GI611" s="654"/>
      <c r="GJ611" s="655"/>
      <c r="GK611" s="4"/>
      <c r="GL611" s="4"/>
      <c r="GM611" s="4"/>
      <c r="GN611" s="4"/>
      <c r="GO611" s="4"/>
      <c r="GP611" s="4"/>
      <c r="GQ611" s="4"/>
      <c r="GR611" s="4"/>
      <c r="GS611" s="4"/>
      <c r="GT611" s="4"/>
      <c r="GU611" s="722"/>
      <c r="GV611" s="715"/>
    </row>
    <row r="612" spans="1:204" x14ac:dyDescent="0.25">
      <c r="A612" t="s">
        <v>2211</v>
      </c>
      <c r="B612" s="2" t="s">
        <v>358</v>
      </c>
      <c r="C612" s="619">
        <v>44795</v>
      </c>
      <c r="D612" s="2" t="s">
        <v>2201</v>
      </c>
      <c r="E612" t="s">
        <v>59</v>
      </c>
      <c r="F612" s="2" t="s">
        <v>43</v>
      </c>
      <c r="G612" t="s">
        <v>40</v>
      </c>
      <c r="H612" s="690" t="s">
        <v>85</v>
      </c>
      <c r="I612" s="691" t="s">
        <v>43</v>
      </c>
      <c r="J612" s="721" t="s">
        <v>2146</v>
      </c>
      <c r="K612" s="691" t="s">
        <v>1132</v>
      </c>
      <c r="L612" s="721" t="s">
        <v>2206</v>
      </c>
      <c r="M612" s="718" t="s">
        <v>3</v>
      </c>
      <c r="N612" s="717" t="s">
        <v>44</v>
      </c>
      <c r="O612" s="719">
        <v>44866</v>
      </c>
      <c r="P612" s="720">
        <v>44895</v>
      </c>
      <c r="Q612" s="718">
        <v>96</v>
      </c>
      <c r="R612" s="717">
        <v>1</v>
      </c>
      <c r="S612" s="691" t="s">
        <v>54</v>
      </c>
      <c r="T612" t="s">
        <v>358</v>
      </c>
      <c r="U612" s="673" t="s">
        <v>358</v>
      </c>
      <c r="V612" s="690" t="s">
        <v>358</v>
      </c>
      <c r="W612" s="657" t="s">
        <v>214</v>
      </c>
      <c r="X612" s="723"/>
      <c r="Y612" s="4"/>
      <c r="Z612" s="4"/>
      <c r="AA612" s="4"/>
      <c r="AB612" s="4"/>
      <c r="AC612" s="4"/>
      <c r="AD612" s="4"/>
      <c r="AE612" s="4"/>
      <c r="AF612" s="4"/>
      <c r="AG612" s="4"/>
      <c r="AH612" s="4">
        <v>1</v>
      </c>
      <c r="AI612" s="654"/>
      <c r="AJ612" s="655"/>
      <c r="AK612" s="4"/>
      <c r="AL612" s="4"/>
      <c r="AM612" s="4"/>
      <c r="AN612" s="4"/>
      <c r="AO612" s="4"/>
      <c r="AP612" s="4"/>
      <c r="AQ612" s="4"/>
      <c r="AR612" s="4"/>
      <c r="AS612" s="4"/>
      <c r="AT612" s="4"/>
      <c r="AU612" s="654"/>
      <c r="AV612" s="655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654"/>
      <c r="BH612" s="655"/>
      <c r="BI612" s="4"/>
      <c r="BJ612" s="4"/>
      <c r="BK612" s="4"/>
      <c r="BL612" s="4"/>
      <c r="BM612" s="4"/>
      <c r="BN612" s="4"/>
      <c r="BO612" s="4"/>
      <c r="BP612" s="4"/>
      <c r="BQ612" s="4"/>
      <c r="BR612" s="4"/>
      <c r="BS612" s="654"/>
      <c r="BT612" s="655"/>
      <c r="BU612" s="4"/>
      <c r="BV612" s="4"/>
      <c r="BW612" s="4"/>
      <c r="BX612" s="4"/>
      <c r="BY612" s="4"/>
      <c r="BZ612" s="4"/>
      <c r="CA612" s="4"/>
      <c r="CB612" s="4"/>
      <c r="CC612" s="4"/>
      <c r="CD612" s="4"/>
      <c r="CE612" s="693"/>
      <c r="CF612" s="723"/>
      <c r="CG612" s="4"/>
      <c r="CH612" s="4"/>
      <c r="CI612" s="4"/>
      <c r="CJ612" s="4"/>
      <c r="CK612" s="4"/>
      <c r="CL612" s="4"/>
      <c r="CM612" s="4"/>
      <c r="CN612" s="4"/>
      <c r="CO612" s="4"/>
      <c r="CP612" s="4">
        <v>96</v>
      </c>
      <c r="CQ612" s="654"/>
      <c r="CR612" s="655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654"/>
      <c r="DD612" s="655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654"/>
      <c r="DP612" s="655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654"/>
      <c r="EB612" s="655"/>
      <c r="EC612" s="4"/>
      <c r="ED612" s="4"/>
      <c r="EE612" s="4"/>
      <c r="EF612" s="4"/>
      <c r="EG612" s="4"/>
      <c r="EH612" s="4"/>
      <c r="EI612" s="4"/>
      <c r="EJ612" s="4"/>
      <c r="EK612" s="4"/>
      <c r="EL612" s="4"/>
      <c r="EM612" s="693"/>
      <c r="EN612" s="723"/>
      <c r="EO612" s="4"/>
      <c r="EP612" s="4"/>
      <c r="EQ612" s="4"/>
      <c r="ER612" s="4"/>
      <c r="ES612" s="4"/>
      <c r="ET612" s="4"/>
      <c r="EU612" s="4"/>
      <c r="EV612" s="4"/>
      <c r="EW612" s="4"/>
      <c r="EX612" s="4">
        <v>96</v>
      </c>
      <c r="EY612" s="654"/>
      <c r="EZ612" s="655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654"/>
      <c r="FL612" s="655"/>
      <c r="FM612" s="4"/>
      <c r="FN612" s="4"/>
      <c r="FO612" s="4"/>
      <c r="FP612" s="4"/>
      <c r="FQ612" s="4"/>
      <c r="FR612" s="4"/>
      <c r="FS612" s="4"/>
      <c r="FT612" s="4"/>
      <c r="FU612" s="4"/>
      <c r="FV612" s="4"/>
      <c r="FW612" s="654"/>
      <c r="FX612" s="655"/>
      <c r="FY612" s="4"/>
      <c r="FZ612" s="4"/>
      <c r="GA612" s="4"/>
      <c r="GB612" s="4"/>
      <c r="GC612" s="4"/>
      <c r="GD612" s="4"/>
      <c r="GE612" s="4"/>
      <c r="GF612" s="4"/>
      <c r="GG612" s="4"/>
      <c r="GH612" s="4"/>
      <c r="GI612" s="654"/>
      <c r="GJ612" s="655"/>
      <c r="GK612" s="4"/>
      <c r="GL612" s="4"/>
      <c r="GM612" s="4"/>
      <c r="GN612" s="4"/>
      <c r="GO612" s="4"/>
      <c r="GP612" s="4"/>
      <c r="GQ612" s="4"/>
      <c r="GR612" s="4"/>
      <c r="GS612" s="4"/>
      <c r="GT612" s="4"/>
      <c r="GU612" s="722"/>
      <c r="GV612" s="715"/>
    </row>
    <row r="613" spans="1:204" x14ac:dyDescent="0.25">
      <c r="A613" t="s">
        <v>2212</v>
      </c>
      <c r="B613" s="2" t="s">
        <v>358</v>
      </c>
      <c r="C613" s="619">
        <v>44795</v>
      </c>
      <c r="D613" s="2" t="s">
        <v>2202</v>
      </c>
      <c r="E613" t="s">
        <v>58</v>
      </c>
      <c r="F613" s="2" t="s">
        <v>43</v>
      </c>
      <c r="G613" t="s">
        <v>40</v>
      </c>
      <c r="H613" s="690" t="s">
        <v>84</v>
      </c>
      <c r="I613" s="691" t="s">
        <v>2207</v>
      </c>
      <c r="J613" s="721" t="s">
        <v>2208</v>
      </c>
      <c r="K613" s="691" t="s">
        <v>43</v>
      </c>
      <c r="L613" s="721" t="s">
        <v>2146</v>
      </c>
      <c r="M613" s="718" t="s">
        <v>3</v>
      </c>
      <c r="N613" s="717" t="s">
        <v>44</v>
      </c>
      <c r="O613" s="719">
        <v>44805</v>
      </c>
      <c r="P613" s="720">
        <v>44834</v>
      </c>
      <c r="Q613" s="718">
        <v>69</v>
      </c>
      <c r="R613" s="717">
        <v>3</v>
      </c>
      <c r="S613" s="691" t="s">
        <v>54</v>
      </c>
      <c r="T613" t="s">
        <v>358</v>
      </c>
      <c r="U613" s="673" t="s">
        <v>358</v>
      </c>
      <c r="V613" s="690" t="s">
        <v>358</v>
      </c>
      <c r="W613" s="657" t="s">
        <v>214</v>
      </c>
      <c r="X613" s="723"/>
      <c r="Y613" s="4"/>
      <c r="Z613" s="4"/>
      <c r="AA613" s="4"/>
      <c r="AB613" s="4"/>
      <c r="AC613" s="4"/>
      <c r="AD613" s="4"/>
      <c r="AE613" s="4"/>
      <c r="AF613" s="4">
        <v>3</v>
      </c>
      <c r="AG613" s="4"/>
      <c r="AH613" s="4"/>
      <c r="AI613" s="654"/>
      <c r="AJ613" s="655"/>
      <c r="AK613" s="4"/>
      <c r="AL613" s="4"/>
      <c r="AM613" s="4"/>
      <c r="AN613" s="4"/>
      <c r="AO613" s="4"/>
      <c r="AP613" s="4"/>
      <c r="AQ613" s="4"/>
      <c r="AR613" s="4"/>
      <c r="AS613" s="4"/>
      <c r="AT613" s="4"/>
      <c r="AU613" s="654"/>
      <c r="AV613" s="655"/>
      <c r="AW613" s="4"/>
      <c r="AX613" s="4"/>
      <c r="AY613" s="4"/>
      <c r="AZ613" s="4"/>
      <c r="BA613" s="4"/>
      <c r="BB613" s="4"/>
      <c r="BC613" s="4"/>
      <c r="BD613" s="4"/>
      <c r="BE613" s="4"/>
      <c r="BF613" s="4"/>
      <c r="BG613" s="654"/>
      <c r="BH613" s="655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654"/>
      <c r="BT613" s="655"/>
      <c r="BU613" s="4"/>
      <c r="BV613" s="4"/>
      <c r="BW613" s="4"/>
      <c r="BX613" s="4"/>
      <c r="BY613" s="4"/>
      <c r="BZ613" s="4"/>
      <c r="CA613" s="4"/>
      <c r="CB613" s="4"/>
      <c r="CC613" s="4"/>
      <c r="CD613" s="4"/>
      <c r="CE613" s="693"/>
      <c r="CF613" s="723"/>
      <c r="CG613" s="4"/>
      <c r="CH613" s="4"/>
      <c r="CI613" s="4"/>
      <c r="CJ613" s="4"/>
      <c r="CK613" s="4"/>
      <c r="CL613" s="4"/>
      <c r="CM613" s="4"/>
      <c r="CN613" s="4">
        <v>69</v>
      </c>
      <c r="CO613" s="4"/>
      <c r="CP613" s="4"/>
      <c r="CQ613" s="654"/>
      <c r="CR613" s="655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654"/>
      <c r="DD613" s="655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654"/>
      <c r="DP613" s="655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654"/>
      <c r="EB613" s="655"/>
      <c r="EC613" s="4"/>
      <c r="ED613" s="4"/>
      <c r="EE613" s="4"/>
      <c r="EF613" s="4"/>
      <c r="EG613" s="4"/>
      <c r="EH613" s="4"/>
      <c r="EI613" s="4"/>
      <c r="EJ613" s="4"/>
      <c r="EK613" s="4"/>
      <c r="EL613" s="4"/>
      <c r="EM613" s="693"/>
      <c r="EN613" s="723"/>
      <c r="EO613" s="4"/>
      <c r="EP613" s="4"/>
      <c r="EQ613" s="4"/>
      <c r="ER613" s="4"/>
      <c r="ES613" s="4"/>
      <c r="ET613" s="4"/>
      <c r="EU613" s="4"/>
      <c r="EV613" s="4">
        <v>69</v>
      </c>
      <c r="EW613" s="4"/>
      <c r="EX613" s="4"/>
      <c r="EY613" s="654"/>
      <c r="EZ613" s="655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654"/>
      <c r="FL613" s="655"/>
      <c r="FM613" s="4"/>
      <c r="FN613" s="4"/>
      <c r="FO613" s="4"/>
      <c r="FP613" s="4"/>
      <c r="FQ613" s="4"/>
      <c r="FR613" s="4"/>
      <c r="FS613" s="4"/>
      <c r="FT613" s="4"/>
      <c r="FU613" s="4"/>
      <c r="FV613" s="4"/>
      <c r="FW613" s="654"/>
      <c r="FX613" s="655"/>
      <c r="FY613" s="4"/>
      <c r="FZ613" s="4"/>
      <c r="GA613" s="4"/>
      <c r="GB613" s="4"/>
      <c r="GC613" s="4"/>
      <c r="GD613" s="4"/>
      <c r="GE613" s="4"/>
      <c r="GF613" s="4"/>
      <c r="GG613" s="4"/>
      <c r="GH613" s="4"/>
      <c r="GI613" s="654"/>
      <c r="GJ613" s="655"/>
      <c r="GK613" s="4"/>
      <c r="GL613" s="4"/>
      <c r="GM613" s="4"/>
      <c r="GN613" s="4"/>
      <c r="GO613" s="4"/>
      <c r="GP613" s="4"/>
      <c r="GQ613" s="4"/>
      <c r="GR613" s="4"/>
      <c r="GS613" s="4"/>
      <c r="GT613" s="4"/>
      <c r="GU613" s="722"/>
      <c r="GV613" s="715"/>
    </row>
    <row r="614" spans="1:204" x14ac:dyDescent="0.25">
      <c r="A614" t="s">
        <v>2214</v>
      </c>
      <c r="B614" s="2" t="s">
        <v>2213</v>
      </c>
      <c r="C614" s="619">
        <v>44795</v>
      </c>
      <c r="D614" s="2" t="s">
        <v>2203</v>
      </c>
      <c r="E614" t="s">
        <v>59</v>
      </c>
      <c r="F614" s="2" t="s">
        <v>43</v>
      </c>
      <c r="G614" t="s">
        <v>40</v>
      </c>
      <c r="H614" s="690" t="s">
        <v>85</v>
      </c>
      <c r="I614" s="691" t="s">
        <v>43</v>
      </c>
      <c r="J614" s="721" t="s">
        <v>2146</v>
      </c>
      <c r="K614" s="691" t="s">
        <v>590</v>
      </c>
      <c r="L614" s="721" t="s">
        <v>2160</v>
      </c>
      <c r="M614" s="718" t="s">
        <v>3</v>
      </c>
      <c r="N614" s="717" t="s">
        <v>44</v>
      </c>
      <c r="O614" s="719">
        <v>45017</v>
      </c>
      <c r="P614" s="720">
        <v>45107</v>
      </c>
      <c r="Q614" s="718">
        <v>121</v>
      </c>
      <c r="R614" s="717">
        <v>5</v>
      </c>
      <c r="S614" s="691" t="s">
        <v>54</v>
      </c>
      <c r="T614" t="s">
        <v>649</v>
      </c>
      <c r="U614" s="673">
        <v>44795</v>
      </c>
      <c r="V614" s="690">
        <v>4</v>
      </c>
      <c r="W614" s="657" t="s">
        <v>329</v>
      </c>
      <c r="X614" s="723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654"/>
      <c r="AJ614" s="655"/>
      <c r="AK614" s="4"/>
      <c r="AL614" s="4"/>
      <c r="AM614" s="4">
        <v>5</v>
      </c>
      <c r="AN614" s="4">
        <v>5</v>
      </c>
      <c r="AO614" s="4">
        <v>5</v>
      </c>
      <c r="AP614" s="4"/>
      <c r="AQ614" s="4"/>
      <c r="AR614" s="4"/>
      <c r="AS614" s="4"/>
      <c r="AT614" s="4"/>
      <c r="AU614" s="654"/>
      <c r="AV614" s="655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654"/>
      <c r="BH614" s="655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654"/>
      <c r="BT614" s="655"/>
      <c r="BU614" s="4"/>
      <c r="BV614" s="4"/>
      <c r="BW614" s="4"/>
      <c r="BX614" s="4"/>
      <c r="BY614" s="4"/>
      <c r="BZ614" s="4"/>
      <c r="CA614" s="4"/>
      <c r="CB614" s="4"/>
      <c r="CC614" s="4"/>
      <c r="CD614" s="4"/>
      <c r="CE614" s="693"/>
      <c r="CF614" s="723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654"/>
      <c r="CR614" s="655"/>
      <c r="CS614" s="4"/>
      <c r="CT614" s="4"/>
      <c r="CU614" s="4">
        <v>122.00264973282076</v>
      </c>
      <c r="CV614" s="4">
        <v>122.00264973282076</v>
      </c>
      <c r="CW614" s="4">
        <v>122.00264973282076</v>
      </c>
      <c r="CX614" s="4"/>
      <c r="CY614" s="4"/>
      <c r="CZ614" s="4"/>
      <c r="DA614" s="4"/>
      <c r="DB614" s="4"/>
      <c r="DC614" s="654"/>
      <c r="DD614" s="655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654"/>
      <c r="DP614" s="655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654"/>
      <c r="EB614" s="655"/>
      <c r="EC614" s="4"/>
      <c r="ED614" s="4"/>
      <c r="EE614" s="4"/>
      <c r="EF614" s="4"/>
      <c r="EG614" s="4"/>
      <c r="EH614" s="4"/>
      <c r="EI614" s="4"/>
      <c r="EJ614" s="4"/>
      <c r="EK614" s="4"/>
      <c r="EL614" s="4"/>
      <c r="EM614" s="693"/>
      <c r="EN614" s="723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654"/>
      <c r="EZ614" s="655"/>
      <c r="FA614" s="4"/>
      <c r="FB614" s="4"/>
      <c r="FC614" s="4">
        <v>122.00264973282076</v>
      </c>
      <c r="FD614" s="4">
        <v>122.00264973282076</v>
      </c>
      <c r="FE614" s="4">
        <v>122.00264973282076</v>
      </c>
      <c r="FF614" s="4"/>
      <c r="FG614" s="4"/>
      <c r="FH614" s="4"/>
      <c r="FI614" s="4"/>
      <c r="FJ614" s="4"/>
      <c r="FK614" s="654"/>
      <c r="FL614" s="655"/>
      <c r="FM614" s="4"/>
      <c r="FN614" s="4"/>
      <c r="FO614" s="4"/>
      <c r="FP614" s="4"/>
      <c r="FQ614" s="4"/>
      <c r="FR614" s="4"/>
      <c r="FS614" s="4"/>
      <c r="FT614" s="4"/>
      <c r="FU614" s="4"/>
      <c r="FV614" s="4"/>
      <c r="FW614" s="654"/>
      <c r="FX614" s="655"/>
      <c r="FY614" s="4"/>
      <c r="FZ614" s="4"/>
      <c r="GA614" s="4"/>
      <c r="GB614" s="4"/>
      <c r="GC614" s="4"/>
      <c r="GD614" s="4"/>
      <c r="GE614" s="4"/>
      <c r="GF614" s="4"/>
      <c r="GG614" s="4"/>
      <c r="GH614" s="4"/>
      <c r="GI614" s="654"/>
      <c r="GJ614" s="655"/>
      <c r="GK614" s="4"/>
      <c r="GL614" s="4"/>
      <c r="GM614" s="4"/>
      <c r="GN614" s="4"/>
      <c r="GO614" s="4"/>
      <c r="GP614" s="4"/>
      <c r="GQ614" s="4"/>
      <c r="GR614" s="4"/>
      <c r="GS614" s="4"/>
      <c r="GT614" s="4"/>
      <c r="GU614" s="722"/>
      <c r="GV614" s="715"/>
    </row>
    <row r="615" spans="1:204" x14ac:dyDescent="0.25">
      <c r="A615" t="s">
        <v>2216</v>
      </c>
      <c r="B615" s="2" t="s">
        <v>2215</v>
      </c>
      <c r="C615" s="619">
        <v>44795</v>
      </c>
      <c r="D615" s="2" t="s">
        <v>2204</v>
      </c>
      <c r="E615" t="s">
        <v>59</v>
      </c>
      <c r="F615" s="2" t="s">
        <v>43</v>
      </c>
      <c r="G615" t="s">
        <v>40</v>
      </c>
      <c r="H615" s="690" t="s">
        <v>85</v>
      </c>
      <c r="I615" s="691" t="s">
        <v>43</v>
      </c>
      <c r="J615" s="721" t="s">
        <v>2146</v>
      </c>
      <c r="K615" s="691" t="s">
        <v>508</v>
      </c>
      <c r="L615" s="721" t="s">
        <v>2209</v>
      </c>
      <c r="M615" s="718" t="s">
        <v>3</v>
      </c>
      <c r="N615" s="717" t="s">
        <v>44</v>
      </c>
      <c r="O615" s="719">
        <v>45017</v>
      </c>
      <c r="P615" s="720">
        <v>45107</v>
      </c>
      <c r="Q615" s="718">
        <v>120</v>
      </c>
      <c r="R615" s="717">
        <v>3</v>
      </c>
      <c r="S615" s="691" t="s">
        <v>54</v>
      </c>
      <c r="T615" t="s">
        <v>649</v>
      </c>
      <c r="U615" s="673">
        <v>44795</v>
      </c>
      <c r="V615" s="690">
        <v>4</v>
      </c>
      <c r="W615" s="657" t="s">
        <v>329</v>
      </c>
      <c r="X615" s="723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654"/>
      <c r="AJ615" s="655"/>
      <c r="AK615" s="4"/>
      <c r="AL615" s="4"/>
      <c r="AM615" s="4">
        <v>3</v>
      </c>
      <c r="AN615" s="4">
        <v>3</v>
      </c>
      <c r="AO615" s="4">
        <v>3</v>
      </c>
      <c r="AP615" s="4"/>
      <c r="AQ615" s="4"/>
      <c r="AR615" s="4"/>
      <c r="AS615" s="4"/>
      <c r="AT615" s="4"/>
      <c r="AU615" s="654"/>
      <c r="AV615" s="655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654"/>
      <c r="BH615" s="655"/>
      <c r="BI615" s="4"/>
      <c r="BJ615" s="4"/>
      <c r="BK615" s="4"/>
      <c r="BL615" s="4"/>
      <c r="BM615" s="4"/>
      <c r="BN615" s="4"/>
      <c r="BO615" s="4"/>
      <c r="BP615" s="4"/>
      <c r="BQ615" s="4"/>
      <c r="BR615" s="4"/>
      <c r="BS615" s="654"/>
      <c r="BT615" s="655"/>
      <c r="BU615" s="4"/>
      <c r="BV615" s="4"/>
      <c r="BW615" s="4"/>
      <c r="BX615" s="4"/>
      <c r="BY615" s="4"/>
      <c r="BZ615" s="4"/>
      <c r="CA615" s="4"/>
      <c r="CB615" s="4"/>
      <c r="CC615" s="4"/>
      <c r="CD615" s="4"/>
      <c r="CE615" s="693"/>
      <c r="CF615" s="723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654"/>
      <c r="CR615" s="655"/>
      <c r="CS615" s="4"/>
      <c r="CT615" s="4"/>
      <c r="CU615" s="4">
        <v>120.99436337139248</v>
      </c>
      <c r="CV615" s="4">
        <v>120.99436337139248</v>
      </c>
      <c r="CW615" s="4">
        <v>120.99436337139248</v>
      </c>
      <c r="CX615" s="4"/>
      <c r="CY615" s="4"/>
      <c r="CZ615" s="4"/>
      <c r="DA615" s="4"/>
      <c r="DB615" s="4"/>
      <c r="DC615" s="654"/>
      <c r="DD615" s="655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654"/>
      <c r="DP615" s="655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654"/>
      <c r="EB615" s="655"/>
      <c r="EC615" s="4"/>
      <c r="ED615" s="4"/>
      <c r="EE615" s="4"/>
      <c r="EF615" s="4"/>
      <c r="EG615" s="4"/>
      <c r="EH615" s="4"/>
      <c r="EI615" s="4"/>
      <c r="EJ615" s="4"/>
      <c r="EK615" s="4"/>
      <c r="EL615" s="4"/>
      <c r="EM615" s="693"/>
      <c r="EN615" s="723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654"/>
      <c r="EZ615" s="655"/>
      <c r="FA615" s="4"/>
      <c r="FB615" s="4"/>
      <c r="FC615" s="4">
        <v>120.99436337139248</v>
      </c>
      <c r="FD615" s="4">
        <v>120.99436337139248</v>
      </c>
      <c r="FE615" s="4">
        <v>120.99436337139248</v>
      </c>
      <c r="FF615" s="4"/>
      <c r="FG615" s="4"/>
      <c r="FH615" s="4"/>
      <c r="FI615" s="4"/>
      <c r="FJ615" s="4"/>
      <c r="FK615" s="654"/>
      <c r="FL615" s="655"/>
      <c r="FM615" s="4"/>
      <c r="FN615" s="4"/>
      <c r="FO615" s="4"/>
      <c r="FP615" s="4"/>
      <c r="FQ615" s="4"/>
      <c r="FR615" s="4"/>
      <c r="FS615" s="4"/>
      <c r="FT615" s="4"/>
      <c r="FU615" s="4"/>
      <c r="FV615" s="4"/>
      <c r="FW615" s="654"/>
      <c r="FX615" s="655"/>
      <c r="FY615" s="4"/>
      <c r="FZ615" s="4"/>
      <c r="GA615" s="4"/>
      <c r="GB615" s="4"/>
      <c r="GC615" s="4"/>
      <c r="GD615" s="4"/>
      <c r="GE615" s="4"/>
      <c r="GF615" s="4"/>
      <c r="GG615" s="4"/>
      <c r="GH615" s="4"/>
      <c r="GI615" s="654"/>
      <c r="GJ615" s="655"/>
      <c r="GK615" s="4"/>
      <c r="GL615" s="4"/>
      <c r="GM615" s="4"/>
      <c r="GN615" s="4"/>
      <c r="GO615" s="4"/>
      <c r="GP615" s="4"/>
      <c r="GQ615" s="4"/>
      <c r="GR615" s="4"/>
      <c r="GS615" s="4"/>
      <c r="GT615" s="4"/>
      <c r="GU615" s="722"/>
      <c r="GV615" s="715"/>
    </row>
    <row r="616" spans="1:204" x14ac:dyDescent="0.25">
      <c r="A616" t="s">
        <v>2218</v>
      </c>
      <c r="B616" s="2" t="s">
        <v>2217</v>
      </c>
      <c r="C616" s="619">
        <v>44795</v>
      </c>
      <c r="D616" s="2" t="s">
        <v>2205</v>
      </c>
      <c r="E616" t="s">
        <v>59</v>
      </c>
      <c r="F616" s="2" t="s">
        <v>43</v>
      </c>
      <c r="G616" t="s">
        <v>40</v>
      </c>
      <c r="H616" s="690" t="s">
        <v>85</v>
      </c>
      <c r="I616" s="691" t="s">
        <v>43</v>
      </c>
      <c r="J616" s="721" t="s">
        <v>2146</v>
      </c>
      <c r="K616" s="691" t="s">
        <v>1620</v>
      </c>
      <c r="L616" s="721" t="s">
        <v>2210</v>
      </c>
      <c r="M616" s="718" t="s">
        <v>3</v>
      </c>
      <c r="N616" s="717" t="s">
        <v>44</v>
      </c>
      <c r="O616" s="719">
        <v>44927</v>
      </c>
      <c r="P616" s="720">
        <v>45016</v>
      </c>
      <c r="Q616" s="718">
        <v>140</v>
      </c>
      <c r="R616" s="717">
        <v>5</v>
      </c>
      <c r="S616" s="691" t="s">
        <v>54</v>
      </c>
      <c r="T616" t="s">
        <v>649</v>
      </c>
      <c r="U616" s="673">
        <v>44795</v>
      </c>
      <c r="V616" s="690">
        <v>1</v>
      </c>
      <c r="W616" s="657" t="s">
        <v>329</v>
      </c>
      <c r="X616" s="723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654"/>
      <c r="AJ616" s="655">
        <v>5</v>
      </c>
      <c r="AK616" s="4">
        <v>5</v>
      </c>
      <c r="AL616" s="4">
        <v>5</v>
      </c>
      <c r="AM616" s="4"/>
      <c r="AN616" s="4"/>
      <c r="AO616" s="4"/>
      <c r="AP616" s="4"/>
      <c r="AQ616" s="4"/>
      <c r="AR616" s="4"/>
      <c r="AS616" s="4"/>
      <c r="AT616" s="4"/>
      <c r="AU616" s="654"/>
      <c r="AV616" s="655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654"/>
      <c r="BH616" s="655"/>
      <c r="BI616" s="4"/>
      <c r="BJ616" s="4"/>
      <c r="BK616" s="4"/>
      <c r="BL616" s="4"/>
      <c r="BM616" s="4"/>
      <c r="BN616" s="4"/>
      <c r="BO616" s="4"/>
      <c r="BP616" s="4"/>
      <c r="BQ616" s="4"/>
      <c r="BR616" s="4"/>
      <c r="BS616" s="654"/>
      <c r="BT616" s="655"/>
      <c r="BU616" s="4"/>
      <c r="BV616" s="4"/>
      <c r="BW616" s="4"/>
      <c r="BX616" s="4"/>
      <c r="BY616" s="4"/>
      <c r="BZ616" s="4"/>
      <c r="CA616" s="4"/>
      <c r="CB616" s="4"/>
      <c r="CC616" s="4"/>
      <c r="CD616" s="4"/>
      <c r="CE616" s="693"/>
      <c r="CF616" s="723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654"/>
      <c r="CR616" s="655">
        <v>141.1600905999579</v>
      </c>
      <c r="CS616" s="4">
        <v>141.1600905999579</v>
      </c>
      <c r="CT616" s="4">
        <v>141.1600905999579</v>
      </c>
      <c r="CU616" s="4"/>
      <c r="CV616" s="4"/>
      <c r="CW616" s="4"/>
      <c r="CX616" s="4"/>
      <c r="CY616" s="4"/>
      <c r="CZ616" s="4"/>
      <c r="DA616" s="4"/>
      <c r="DB616" s="4"/>
      <c r="DC616" s="654"/>
      <c r="DD616" s="655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654"/>
      <c r="DP616" s="655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654"/>
      <c r="EB616" s="655"/>
      <c r="EC616" s="4"/>
      <c r="ED616" s="4"/>
      <c r="EE616" s="4"/>
      <c r="EF616" s="4"/>
      <c r="EG616" s="4"/>
      <c r="EH616" s="4"/>
      <c r="EI616" s="4"/>
      <c r="EJ616" s="4"/>
      <c r="EK616" s="4"/>
      <c r="EL616" s="4"/>
      <c r="EM616" s="693"/>
      <c r="EN616" s="723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654"/>
      <c r="EZ616" s="655">
        <v>141.1600905999579</v>
      </c>
      <c r="FA616" s="4">
        <v>141.1600905999579</v>
      </c>
      <c r="FB616" s="4">
        <v>141.1600905999579</v>
      </c>
      <c r="FC616" s="4"/>
      <c r="FD616" s="4"/>
      <c r="FE616" s="4"/>
      <c r="FF616" s="4"/>
      <c r="FG616" s="4"/>
      <c r="FH616" s="4"/>
      <c r="FI616" s="4"/>
      <c r="FJ616" s="4"/>
      <c r="FK616" s="654"/>
      <c r="FL616" s="655"/>
      <c r="FM616" s="4"/>
      <c r="FN616" s="4"/>
      <c r="FO616" s="4"/>
      <c r="FP616" s="4"/>
      <c r="FQ616" s="4"/>
      <c r="FR616" s="4"/>
      <c r="FS616" s="4"/>
      <c r="FT616" s="4"/>
      <c r="FU616" s="4"/>
      <c r="FV616" s="4"/>
      <c r="FW616" s="654"/>
      <c r="FX616" s="655"/>
      <c r="FY616" s="4"/>
      <c r="FZ616" s="4"/>
      <c r="GA616" s="4"/>
      <c r="GB616" s="4"/>
      <c r="GC616" s="4"/>
      <c r="GD616" s="4"/>
      <c r="GE616" s="4"/>
      <c r="GF616" s="4"/>
      <c r="GG616" s="4"/>
      <c r="GH616" s="4"/>
      <c r="GI616" s="654"/>
      <c r="GJ616" s="655"/>
      <c r="GK616" s="4"/>
      <c r="GL616" s="4"/>
      <c r="GM616" s="4"/>
      <c r="GN616" s="4"/>
      <c r="GO616" s="4"/>
      <c r="GP616" s="4"/>
      <c r="GQ616" s="4"/>
      <c r="GR616" s="4"/>
      <c r="GS616" s="4"/>
      <c r="GT616" s="4"/>
      <c r="GU616" s="722"/>
      <c r="GV616" s="715"/>
    </row>
    <row r="617" spans="1:204" x14ac:dyDescent="0.25">
      <c r="A617" t="s">
        <v>2221</v>
      </c>
      <c r="B617" s="2" t="s">
        <v>358</v>
      </c>
      <c r="C617" s="619">
        <v>44797</v>
      </c>
      <c r="D617" s="2" t="s">
        <v>2219</v>
      </c>
      <c r="E617" t="s">
        <v>59</v>
      </c>
      <c r="F617" s="2" t="s">
        <v>43</v>
      </c>
      <c r="G617" t="s">
        <v>40</v>
      </c>
      <c r="H617" s="690" t="s">
        <v>85</v>
      </c>
      <c r="I617" s="691" t="s">
        <v>43</v>
      </c>
      <c r="J617" s="721" t="s">
        <v>2146</v>
      </c>
      <c r="K617" s="691" t="s">
        <v>1195</v>
      </c>
      <c r="L617" s="721" t="s">
        <v>2220</v>
      </c>
      <c r="M617" s="718" t="s">
        <v>3</v>
      </c>
      <c r="N617" s="717" t="s">
        <v>44</v>
      </c>
      <c r="O617" s="719">
        <v>45108</v>
      </c>
      <c r="P617" s="720">
        <v>45291</v>
      </c>
      <c r="Q617" s="718">
        <v>173.25</v>
      </c>
      <c r="R617" s="717">
        <v>5</v>
      </c>
      <c r="S617" s="691" t="s">
        <v>54</v>
      </c>
      <c r="T617" t="s">
        <v>649</v>
      </c>
      <c r="U617" s="673">
        <v>44805</v>
      </c>
      <c r="V617" s="690">
        <v>7</v>
      </c>
      <c r="W617" s="657" t="s">
        <v>214</v>
      </c>
      <c r="X617" s="723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654"/>
      <c r="AJ617" s="655"/>
      <c r="AK617" s="4"/>
      <c r="AL617" s="4"/>
      <c r="AM617" s="4"/>
      <c r="AN617" s="4"/>
      <c r="AO617" s="4"/>
      <c r="AP617" s="4">
        <v>5</v>
      </c>
      <c r="AQ617" s="4">
        <v>5</v>
      </c>
      <c r="AR617" s="4">
        <v>5</v>
      </c>
      <c r="AS617" s="4">
        <v>5</v>
      </c>
      <c r="AT617" s="4">
        <v>5</v>
      </c>
      <c r="AU617" s="654">
        <v>5</v>
      </c>
      <c r="AV617" s="655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654"/>
      <c r="BH617" s="655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654"/>
      <c r="BT617" s="655"/>
      <c r="BU617" s="4"/>
      <c r="BV617" s="4"/>
      <c r="BW617" s="4"/>
      <c r="BX617" s="4"/>
      <c r="BY617" s="4"/>
      <c r="BZ617" s="4"/>
      <c r="CA617" s="4"/>
      <c r="CB617" s="4"/>
      <c r="CC617" s="4"/>
      <c r="CD617" s="4"/>
      <c r="CE617" s="693"/>
      <c r="CF617" s="723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654"/>
      <c r="CR617" s="655"/>
      <c r="CS617" s="4"/>
      <c r="CT617" s="4"/>
      <c r="CU617" s="4"/>
      <c r="CV617" s="4"/>
      <c r="CW617" s="4"/>
      <c r="CX617" s="4">
        <v>175.31666955447051</v>
      </c>
      <c r="CY617" s="4">
        <v>175.31666955447051</v>
      </c>
      <c r="CZ617" s="4">
        <v>175.31666955447051</v>
      </c>
      <c r="DA617" s="4">
        <v>175.31666955447051</v>
      </c>
      <c r="DB617" s="4">
        <v>175.31666955447051</v>
      </c>
      <c r="DC617" s="654">
        <v>175.31666955447051</v>
      </c>
      <c r="DD617" s="655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654"/>
      <c r="DP617" s="655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654"/>
      <c r="EB617" s="655"/>
      <c r="EC617" s="4"/>
      <c r="ED617" s="4"/>
      <c r="EE617" s="4"/>
      <c r="EF617" s="4"/>
      <c r="EG617" s="4"/>
      <c r="EH617" s="4"/>
      <c r="EI617" s="4"/>
      <c r="EJ617" s="4"/>
      <c r="EK617" s="4"/>
      <c r="EL617" s="4"/>
      <c r="EM617" s="693"/>
      <c r="EN617" s="723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654"/>
      <c r="EZ617" s="655"/>
      <c r="FA617" s="4"/>
      <c r="FB617" s="4"/>
      <c r="FC617" s="4"/>
      <c r="FD617" s="4"/>
      <c r="FE617" s="4"/>
      <c r="FF617" s="4">
        <v>175.31666955447051</v>
      </c>
      <c r="FG617" s="4">
        <v>175.31666955447051</v>
      </c>
      <c r="FH617" s="4">
        <v>175.31666955447051</v>
      </c>
      <c r="FI617" s="4">
        <v>175.31666955447051</v>
      </c>
      <c r="FJ617" s="4">
        <v>175.31666955447051</v>
      </c>
      <c r="FK617" s="654">
        <v>175.31666955447051</v>
      </c>
      <c r="FL617" s="655"/>
      <c r="FM617" s="4"/>
      <c r="FN617" s="4"/>
      <c r="FO617" s="4"/>
      <c r="FP617" s="4"/>
      <c r="FQ617" s="4"/>
      <c r="FR617" s="4"/>
      <c r="FS617" s="4"/>
      <c r="FT617" s="4"/>
      <c r="FU617" s="4"/>
      <c r="FV617" s="4"/>
      <c r="FW617" s="654"/>
      <c r="FX617" s="655"/>
      <c r="FY617" s="4"/>
      <c r="FZ617" s="4"/>
      <c r="GA617" s="4"/>
      <c r="GB617" s="4"/>
      <c r="GC617" s="4"/>
      <c r="GD617" s="4"/>
      <c r="GE617" s="4"/>
      <c r="GF617" s="4"/>
      <c r="GG617" s="4"/>
      <c r="GH617" s="4"/>
      <c r="GI617" s="654"/>
      <c r="GJ617" s="655"/>
      <c r="GK617" s="4"/>
      <c r="GL617" s="4"/>
      <c r="GM617" s="4"/>
      <c r="GN617" s="4"/>
      <c r="GO617" s="4"/>
      <c r="GP617" s="4"/>
      <c r="GQ617" s="4"/>
      <c r="GR617" s="4"/>
      <c r="GS617" s="4"/>
      <c r="GT617" s="4"/>
      <c r="GU617" s="722"/>
      <c r="GV617" s="715"/>
    </row>
    <row r="618" spans="1:204" x14ac:dyDescent="0.25">
      <c r="A618" t="s">
        <v>2227</v>
      </c>
      <c r="B618" s="2" t="s">
        <v>2226</v>
      </c>
      <c r="C618" s="619">
        <v>44798</v>
      </c>
      <c r="D618" s="2" t="s">
        <v>2222</v>
      </c>
      <c r="E618" t="s">
        <v>59</v>
      </c>
      <c r="F618" s="2" t="s">
        <v>43</v>
      </c>
      <c r="G618" t="s">
        <v>40</v>
      </c>
      <c r="H618" s="690" t="s">
        <v>85</v>
      </c>
      <c r="I618" s="691" t="s">
        <v>43</v>
      </c>
      <c r="J618" s="721" t="s">
        <v>2146</v>
      </c>
      <c r="K618" s="691" t="s">
        <v>981</v>
      </c>
      <c r="L618" s="721" t="s">
        <v>2145</v>
      </c>
      <c r="M618" s="718" t="s">
        <v>3</v>
      </c>
      <c r="N618" s="717" t="s">
        <v>44</v>
      </c>
      <c r="O618" s="719">
        <v>45017</v>
      </c>
      <c r="P618" s="720">
        <v>45107</v>
      </c>
      <c r="Q618" s="718">
        <v>120</v>
      </c>
      <c r="R618" s="717">
        <v>12</v>
      </c>
      <c r="S618" s="691" t="s">
        <v>54</v>
      </c>
      <c r="T618" t="s">
        <v>649</v>
      </c>
      <c r="U618" s="673">
        <v>44798</v>
      </c>
      <c r="V618" s="690">
        <v>4</v>
      </c>
      <c r="W618" s="657" t="s">
        <v>329</v>
      </c>
      <c r="X618" s="723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654"/>
      <c r="AJ618" s="655"/>
      <c r="AK618" s="4"/>
      <c r="AL618" s="4"/>
      <c r="AM618" s="4">
        <v>12</v>
      </c>
      <c r="AN618" s="4">
        <v>12</v>
      </c>
      <c r="AO618" s="4">
        <v>12</v>
      </c>
      <c r="AP618" s="4"/>
      <c r="AQ618" s="4"/>
      <c r="AR618" s="4"/>
      <c r="AS618" s="4"/>
      <c r="AT618" s="4"/>
      <c r="AU618" s="654"/>
      <c r="AV618" s="655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654"/>
      <c r="BH618" s="655"/>
      <c r="BI618" s="4"/>
      <c r="BJ618" s="4"/>
      <c r="BK618" s="4"/>
      <c r="BL618" s="4"/>
      <c r="BM618" s="4"/>
      <c r="BN618" s="4"/>
      <c r="BO618" s="4"/>
      <c r="BP618" s="4"/>
      <c r="BQ618" s="4"/>
      <c r="BR618" s="4"/>
      <c r="BS618" s="654"/>
      <c r="BT618" s="655"/>
      <c r="BU618" s="4"/>
      <c r="BV618" s="4"/>
      <c r="BW618" s="4"/>
      <c r="BX618" s="4"/>
      <c r="BY618" s="4"/>
      <c r="BZ618" s="4"/>
      <c r="CA618" s="4"/>
      <c r="CB618" s="4"/>
      <c r="CC618" s="4"/>
      <c r="CD618" s="4"/>
      <c r="CE618" s="693"/>
      <c r="CF618" s="723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654"/>
      <c r="CR618" s="655"/>
      <c r="CS618" s="4"/>
      <c r="CT618" s="4"/>
      <c r="CU618" s="4">
        <v>120.99436337139248</v>
      </c>
      <c r="CV618" s="4">
        <v>120.99436337139248</v>
      </c>
      <c r="CW618" s="4">
        <v>120.99436337139248</v>
      </c>
      <c r="CX618" s="4"/>
      <c r="CY618" s="4"/>
      <c r="CZ618" s="4"/>
      <c r="DA618" s="4"/>
      <c r="DB618" s="4"/>
      <c r="DC618" s="654"/>
      <c r="DD618" s="655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654"/>
      <c r="DP618" s="655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654"/>
      <c r="EB618" s="655"/>
      <c r="EC618" s="4"/>
      <c r="ED618" s="4"/>
      <c r="EE618" s="4"/>
      <c r="EF618" s="4"/>
      <c r="EG618" s="4"/>
      <c r="EH618" s="4"/>
      <c r="EI618" s="4"/>
      <c r="EJ618" s="4"/>
      <c r="EK618" s="4"/>
      <c r="EL618" s="4"/>
      <c r="EM618" s="693"/>
      <c r="EN618" s="723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654"/>
      <c r="EZ618" s="655"/>
      <c r="FA618" s="4"/>
      <c r="FB618" s="4"/>
      <c r="FC618" s="4">
        <v>120.99436337139248</v>
      </c>
      <c r="FD618" s="4">
        <v>120.99436337139248</v>
      </c>
      <c r="FE618" s="4">
        <v>120.99436337139248</v>
      </c>
      <c r="FF618" s="4"/>
      <c r="FG618" s="4"/>
      <c r="FH618" s="4"/>
      <c r="FI618" s="4"/>
      <c r="FJ618" s="4"/>
      <c r="FK618" s="654"/>
      <c r="FL618" s="655"/>
      <c r="FM618" s="4"/>
      <c r="FN618" s="4"/>
      <c r="FO618" s="4"/>
      <c r="FP618" s="4"/>
      <c r="FQ618" s="4"/>
      <c r="FR618" s="4"/>
      <c r="FS618" s="4"/>
      <c r="FT618" s="4"/>
      <c r="FU618" s="4"/>
      <c r="FV618" s="4"/>
      <c r="FW618" s="654"/>
      <c r="FX618" s="655"/>
      <c r="FY618" s="4"/>
      <c r="FZ618" s="4"/>
      <c r="GA618" s="4"/>
      <c r="GB618" s="4"/>
      <c r="GC618" s="4"/>
      <c r="GD618" s="4"/>
      <c r="GE618" s="4"/>
      <c r="GF618" s="4"/>
      <c r="GG618" s="4"/>
      <c r="GH618" s="4"/>
      <c r="GI618" s="654"/>
      <c r="GJ618" s="655"/>
      <c r="GK618" s="4"/>
      <c r="GL618" s="4"/>
      <c r="GM618" s="4"/>
      <c r="GN618" s="4"/>
      <c r="GO618" s="4"/>
      <c r="GP618" s="4"/>
      <c r="GQ618" s="4"/>
      <c r="GR618" s="4"/>
      <c r="GS618" s="4"/>
      <c r="GT618" s="4"/>
      <c r="GU618" s="722"/>
      <c r="GV618" s="715"/>
    </row>
    <row r="619" spans="1:204" x14ac:dyDescent="0.25">
      <c r="A619" t="s">
        <v>2229</v>
      </c>
      <c r="B619" s="2" t="s">
        <v>2228</v>
      </c>
      <c r="C619" s="619">
        <v>44798</v>
      </c>
      <c r="D619" s="2" t="s">
        <v>2223</v>
      </c>
      <c r="E619" t="s">
        <v>59</v>
      </c>
      <c r="F619" s="2" t="s">
        <v>43</v>
      </c>
      <c r="G619" t="s">
        <v>40</v>
      </c>
      <c r="H619" s="690" t="s">
        <v>85</v>
      </c>
      <c r="I619" s="691" t="s">
        <v>43</v>
      </c>
      <c r="J619" s="721" t="s">
        <v>2146</v>
      </c>
      <c r="K619" s="691" t="s">
        <v>2224</v>
      </c>
      <c r="L619" s="721" t="s">
        <v>2225</v>
      </c>
      <c r="M619" s="718" t="s">
        <v>3</v>
      </c>
      <c r="N619" s="717" t="s">
        <v>44</v>
      </c>
      <c r="O619" s="719">
        <v>45017</v>
      </c>
      <c r="P619" s="720">
        <v>45077</v>
      </c>
      <c r="Q619" s="718">
        <v>111.5</v>
      </c>
      <c r="R619" s="717">
        <v>5</v>
      </c>
      <c r="S619" s="691" t="s">
        <v>54</v>
      </c>
      <c r="T619" t="s">
        <v>649</v>
      </c>
      <c r="U619" s="673">
        <v>44798</v>
      </c>
      <c r="V619" s="690">
        <v>4</v>
      </c>
      <c r="W619" s="657" t="s">
        <v>329</v>
      </c>
      <c r="X619" s="723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654"/>
      <c r="AJ619" s="655"/>
      <c r="AK619" s="4"/>
      <c r="AL619" s="4"/>
      <c r="AM619" s="4">
        <v>5</v>
      </c>
      <c r="AN619" s="4">
        <v>5</v>
      </c>
      <c r="AO619" s="4"/>
      <c r="AP619" s="4"/>
      <c r="AQ619" s="4"/>
      <c r="AR619" s="4"/>
      <c r="AS619" s="4"/>
      <c r="AT619" s="4"/>
      <c r="AU619" s="654"/>
      <c r="AV619" s="655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654"/>
      <c r="BH619" s="655"/>
      <c r="BI619" s="4"/>
      <c r="BJ619" s="4"/>
      <c r="BK619" s="4"/>
      <c r="BL619" s="4"/>
      <c r="BM619" s="4"/>
      <c r="BN619" s="4"/>
      <c r="BO619" s="4"/>
      <c r="BP619" s="4"/>
      <c r="BQ619" s="4"/>
      <c r="BR619" s="4"/>
      <c r="BS619" s="654"/>
      <c r="BT619" s="655"/>
      <c r="BU619" s="4"/>
      <c r="BV619" s="4"/>
      <c r="BW619" s="4"/>
      <c r="BX619" s="4"/>
      <c r="BY619" s="4"/>
      <c r="BZ619" s="4"/>
      <c r="CA619" s="4"/>
      <c r="CB619" s="4"/>
      <c r="CC619" s="4"/>
      <c r="CD619" s="4"/>
      <c r="CE619" s="693"/>
      <c r="CF619" s="723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654"/>
      <c r="CR619" s="655"/>
      <c r="CS619" s="4"/>
      <c r="CT619" s="4"/>
      <c r="CU619" s="4">
        <v>112.42392929925218</v>
      </c>
      <c r="CV619" s="4">
        <v>112.42392929925218</v>
      </c>
      <c r="CW619" s="4"/>
      <c r="CX619" s="4"/>
      <c r="CY619" s="4"/>
      <c r="CZ619" s="4"/>
      <c r="DA619" s="4"/>
      <c r="DB619" s="4"/>
      <c r="DC619" s="654"/>
      <c r="DD619" s="655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654"/>
      <c r="DP619" s="655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654"/>
      <c r="EB619" s="655"/>
      <c r="EC619" s="4"/>
      <c r="ED619" s="4"/>
      <c r="EE619" s="4"/>
      <c r="EF619" s="4"/>
      <c r="EG619" s="4"/>
      <c r="EH619" s="4"/>
      <c r="EI619" s="4"/>
      <c r="EJ619" s="4"/>
      <c r="EK619" s="4"/>
      <c r="EL619" s="4"/>
      <c r="EM619" s="693"/>
      <c r="EN619" s="723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654"/>
      <c r="EZ619" s="655"/>
      <c r="FA619" s="4"/>
      <c r="FB619" s="4"/>
      <c r="FC619" s="4">
        <v>112.42392929925218</v>
      </c>
      <c r="FD619" s="4">
        <v>112.42392929925218</v>
      </c>
      <c r="FE619" s="4"/>
      <c r="FF619" s="4"/>
      <c r="FG619" s="4"/>
      <c r="FH619" s="4"/>
      <c r="FI619" s="4"/>
      <c r="FJ619" s="4"/>
      <c r="FK619" s="654"/>
      <c r="FL619" s="655"/>
      <c r="FM619" s="4"/>
      <c r="FN619" s="4"/>
      <c r="FO619" s="4"/>
      <c r="FP619" s="4"/>
      <c r="FQ619" s="4"/>
      <c r="FR619" s="4"/>
      <c r="FS619" s="4"/>
      <c r="FT619" s="4"/>
      <c r="FU619" s="4"/>
      <c r="FV619" s="4"/>
      <c r="FW619" s="654"/>
      <c r="FX619" s="655"/>
      <c r="FY619" s="4"/>
      <c r="FZ619" s="4"/>
      <c r="GA619" s="4"/>
      <c r="GB619" s="4"/>
      <c r="GC619" s="4"/>
      <c r="GD619" s="4"/>
      <c r="GE619" s="4"/>
      <c r="GF619" s="4"/>
      <c r="GG619" s="4"/>
      <c r="GH619" s="4"/>
      <c r="GI619" s="654"/>
      <c r="GJ619" s="655"/>
      <c r="GK619" s="4"/>
      <c r="GL619" s="4"/>
      <c r="GM619" s="4"/>
      <c r="GN619" s="4"/>
      <c r="GO619" s="4"/>
      <c r="GP619" s="4"/>
      <c r="GQ619" s="4"/>
      <c r="GR619" s="4"/>
      <c r="GS619" s="4"/>
      <c r="GT619" s="4"/>
      <c r="GU619" s="722"/>
      <c r="GV619" s="715"/>
    </row>
    <row r="620" spans="1:204" x14ac:dyDescent="0.25">
      <c r="A620" t="s">
        <v>2235</v>
      </c>
      <c r="B620" s="2" t="s">
        <v>358</v>
      </c>
      <c r="C620" s="619">
        <v>44799</v>
      </c>
      <c r="D620" s="2" t="s">
        <v>2230</v>
      </c>
      <c r="E620" t="s">
        <v>58</v>
      </c>
      <c r="F620" s="2" t="s">
        <v>43</v>
      </c>
      <c r="G620" t="s">
        <v>40</v>
      </c>
      <c r="H620" s="690" t="s">
        <v>84</v>
      </c>
      <c r="I620" s="691" t="s">
        <v>467</v>
      </c>
      <c r="J620" s="721" t="s">
        <v>2233</v>
      </c>
      <c r="K620" s="691" t="s">
        <v>43</v>
      </c>
      <c r="L620" s="721" t="s">
        <v>2146</v>
      </c>
      <c r="M620" s="718" t="s">
        <v>3</v>
      </c>
      <c r="N620" s="717" t="s">
        <v>44</v>
      </c>
      <c r="O620" s="719">
        <v>44835</v>
      </c>
      <c r="P620" s="720">
        <v>44865</v>
      </c>
      <c r="Q620" s="718">
        <v>94.5</v>
      </c>
      <c r="R620" s="717">
        <v>2</v>
      </c>
      <c r="S620" s="691" t="s">
        <v>54</v>
      </c>
      <c r="T620" t="s">
        <v>358</v>
      </c>
      <c r="U620" s="673" t="s">
        <v>358</v>
      </c>
      <c r="V620" s="690" t="s">
        <v>358</v>
      </c>
      <c r="W620" s="657" t="s">
        <v>214</v>
      </c>
      <c r="X620" s="723"/>
      <c r="Y620" s="4"/>
      <c r="Z620" s="4"/>
      <c r="AA620" s="4"/>
      <c r="AB620" s="4"/>
      <c r="AC620" s="4"/>
      <c r="AD620" s="4"/>
      <c r="AE620" s="4"/>
      <c r="AF620" s="4"/>
      <c r="AG620" s="4">
        <v>2</v>
      </c>
      <c r="AH620" s="4"/>
      <c r="AI620" s="654"/>
      <c r="AJ620" s="655"/>
      <c r="AK620" s="4"/>
      <c r="AL620" s="4"/>
      <c r="AM620" s="4"/>
      <c r="AN620" s="4"/>
      <c r="AO620" s="4"/>
      <c r="AP620" s="4"/>
      <c r="AQ620" s="4"/>
      <c r="AR620" s="4"/>
      <c r="AS620" s="4"/>
      <c r="AT620" s="4"/>
      <c r="AU620" s="654"/>
      <c r="AV620" s="655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654"/>
      <c r="BH620" s="655"/>
      <c r="BI620" s="4"/>
      <c r="BJ620" s="4"/>
      <c r="BK620" s="4"/>
      <c r="BL620" s="4"/>
      <c r="BM620" s="4"/>
      <c r="BN620" s="4"/>
      <c r="BO620" s="4"/>
      <c r="BP620" s="4"/>
      <c r="BQ620" s="4"/>
      <c r="BR620" s="4"/>
      <c r="BS620" s="654"/>
      <c r="BT620" s="655"/>
      <c r="BU620" s="4"/>
      <c r="BV620" s="4"/>
      <c r="BW620" s="4"/>
      <c r="BX620" s="4"/>
      <c r="BY620" s="4"/>
      <c r="BZ620" s="4"/>
      <c r="CA620" s="4"/>
      <c r="CB620" s="4"/>
      <c r="CC620" s="4"/>
      <c r="CD620" s="4"/>
      <c r="CE620" s="693"/>
      <c r="CF620" s="723"/>
      <c r="CG620" s="4"/>
      <c r="CH620" s="4"/>
      <c r="CI620" s="4"/>
      <c r="CJ620" s="4"/>
      <c r="CK620" s="4"/>
      <c r="CL620" s="4"/>
      <c r="CM620" s="4"/>
      <c r="CN620" s="4"/>
      <c r="CO620" s="4">
        <v>94.5</v>
      </c>
      <c r="CP620" s="4"/>
      <c r="CQ620" s="654"/>
      <c r="CR620" s="655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654"/>
      <c r="DD620" s="655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654"/>
      <c r="DP620" s="655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654"/>
      <c r="EB620" s="655"/>
      <c r="EC620" s="4"/>
      <c r="ED620" s="4"/>
      <c r="EE620" s="4"/>
      <c r="EF620" s="4"/>
      <c r="EG620" s="4"/>
      <c r="EH620" s="4"/>
      <c r="EI620" s="4"/>
      <c r="EJ620" s="4"/>
      <c r="EK620" s="4"/>
      <c r="EL620" s="4"/>
      <c r="EM620" s="693"/>
      <c r="EN620" s="723"/>
      <c r="EO620" s="4"/>
      <c r="EP620" s="4"/>
      <c r="EQ620" s="4"/>
      <c r="ER620" s="4"/>
      <c r="ES620" s="4"/>
      <c r="ET620" s="4"/>
      <c r="EU620" s="4"/>
      <c r="EV620" s="4"/>
      <c r="EW620" s="4">
        <v>94.5</v>
      </c>
      <c r="EX620" s="4"/>
      <c r="EY620" s="654"/>
      <c r="EZ620" s="655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654"/>
      <c r="FL620" s="655"/>
      <c r="FM620" s="4"/>
      <c r="FN620" s="4"/>
      <c r="FO620" s="4"/>
      <c r="FP620" s="4"/>
      <c r="FQ620" s="4"/>
      <c r="FR620" s="4"/>
      <c r="FS620" s="4"/>
      <c r="FT620" s="4"/>
      <c r="FU620" s="4"/>
      <c r="FV620" s="4"/>
      <c r="FW620" s="654"/>
      <c r="FX620" s="655"/>
      <c r="FY620" s="4"/>
      <c r="FZ620" s="4"/>
      <c r="GA620" s="4"/>
      <c r="GB620" s="4"/>
      <c r="GC620" s="4"/>
      <c r="GD620" s="4"/>
      <c r="GE620" s="4"/>
      <c r="GF620" s="4"/>
      <c r="GG620" s="4"/>
      <c r="GH620" s="4"/>
      <c r="GI620" s="654"/>
      <c r="GJ620" s="655"/>
      <c r="GK620" s="4"/>
      <c r="GL620" s="4"/>
      <c r="GM620" s="4"/>
      <c r="GN620" s="4"/>
      <c r="GO620" s="4"/>
      <c r="GP620" s="4"/>
      <c r="GQ620" s="4"/>
      <c r="GR620" s="4"/>
      <c r="GS620" s="4"/>
      <c r="GT620" s="4"/>
      <c r="GU620" s="722"/>
      <c r="GV620" s="715"/>
    </row>
    <row r="621" spans="1:204" x14ac:dyDescent="0.25">
      <c r="A621" t="s">
        <v>2236</v>
      </c>
      <c r="B621" s="2" t="s">
        <v>358</v>
      </c>
      <c r="C621" s="619">
        <v>44799</v>
      </c>
      <c r="D621" s="2" t="s">
        <v>2231</v>
      </c>
      <c r="E621" t="s">
        <v>58</v>
      </c>
      <c r="F621" s="2" t="s">
        <v>43</v>
      </c>
      <c r="G621" t="s">
        <v>40</v>
      </c>
      <c r="H621" s="690" t="s">
        <v>84</v>
      </c>
      <c r="I621" s="691" t="s">
        <v>473</v>
      </c>
      <c r="J621" s="721" t="s">
        <v>2234</v>
      </c>
      <c r="K621" s="691" t="s">
        <v>43</v>
      </c>
      <c r="L621" s="721" t="s">
        <v>2146</v>
      </c>
      <c r="M621" s="718" t="s">
        <v>3</v>
      </c>
      <c r="N621" s="717" t="s">
        <v>44</v>
      </c>
      <c r="O621" s="719">
        <v>44835</v>
      </c>
      <c r="P621" s="720">
        <v>44865</v>
      </c>
      <c r="Q621" s="718">
        <v>95</v>
      </c>
      <c r="R621" s="717">
        <v>4</v>
      </c>
      <c r="S621" s="691" t="s">
        <v>54</v>
      </c>
      <c r="T621" t="s">
        <v>358</v>
      </c>
      <c r="U621" s="673" t="s">
        <v>358</v>
      </c>
      <c r="V621" s="690" t="s">
        <v>358</v>
      </c>
      <c r="W621" s="657" t="s">
        <v>214</v>
      </c>
      <c r="X621" s="723"/>
      <c r="Y621" s="4"/>
      <c r="Z621" s="4"/>
      <c r="AA621" s="4"/>
      <c r="AB621" s="4"/>
      <c r="AC621" s="4"/>
      <c r="AD621" s="4"/>
      <c r="AE621" s="4"/>
      <c r="AF621" s="4"/>
      <c r="AG621" s="4">
        <v>4</v>
      </c>
      <c r="AH621" s="4"/>
      <c r="AI621" s="654"/>
      <c r="AJ621" s="655"/>
      <c r="AK621" s="4"/>
      <c r="AL621" s="4"/>
      <c r="AM621" s="4"/>
      <c r="AN621" s="4"/>
      <c r="AO621" s="4"/>
      <c r="AP621" s="4"/>
      <c r="AQ621" s="4"/>
      <c r="AR621" s="4"/>
      <c r="AS621" s="4"/>
      <c r="AT621" s="4"/>
      <c r="AU621" s="654"/>
      <c r="AV621" s="655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654"/>
      <c r="BH621" s="655"/>
      <c r="BI621" s="4"/>
      <c r="BJ621" s="4"/>
      <c r="BK621" s="4"/>
      <c r="BL621" s="4"/>
      <c r="BM621" s="4"/>
      <c r="BN621" s="4"/>
      <c r="BO621" s="4"/>
      <c r="BP621" s="4"/>
      <c r="BQ621" s="4"/>
      <c r="BR621" s="4"/>
      <c r="BS621" s="654"/>
      <c r="BT621" s="655"/>
      <c r="BU621" s="4"/>
      <c r="BV621" s="4"/>
      <c r="BW621" s="4"/>
      <c r="BX621" s="4"/>
      <c r="BY621" s="4"/>
      <c r="BZ621" s="4"/>
      <c r="CA621" s="4"/>
      <c r="CB621" s="4"/>
      <c r="CC621" s="4"/>
      <c r="CD621" s="4"/>
      <c r="CE621" s="693"/>
      <c r="CF621" s="723"/>
      <c r="CG621" s="4"/>
      <c r="CH621" s="4"/>
      <c r="CI621" s="4"/>
      <c r="CJ621" s="4"/>
      <c r="CK621" s="4"/>
      <c r="CL621" s="4"/>
      <c r="CM621" s="4"/>
      <c r="CN621" s="4"/>
      <c r="CO621" s="4">
        <v>95</v>
      </c>
      <c r="CP621" s="4"/>
      <c r="CQ621" s="654"/>
      <c r="CR621" s="655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654"/>
      <c r="DD621" s="655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654"/>
      <c r="DP621" s="655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654"/>
      <c r="EB621" s="655"/>
      <c r="EC621" s="4"/>
      <c r="ED621" s="4"/>
      <c r="EE621" s="4"/>
      <c r="EF621" s="4"/>
      <c r="EG621" s="4"/>
      <c r="EH621" s="4"/>
      <c r="EI621" s="4"/>
      <c r="EJ621" s="4"/>
      <c r="EK621" s="4"/>
      <c r="EL621" s="4"/>
      <c r="EM621" s="693"/>
      <c r="EN621" s="723"/>
      <c r="EO621" s="4"/>
      <c r="EP621" s="4"/>
      <c r="EQ621" s="4"/>
      <c r="ER621" s="4"/>
      <c r="ES621" s="4"/>
      <c r="ET621" s="4"/>
      <c r="EU621" s="4"/>
      <c r="EV621" s="4"/>
      <c r="EW621" s="4">
        <v>95</v>
      </c>
      <c r="EX621" s="4"/>
      <c r="EY621" s="654"/>
      <c r="EZ621" s="655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654"/>
      <c r="FL621" s="655"/>
      <c r="FM621" s="4"/>
      <c r="FN621" s="4"/>
      <c r="FO621" s="4"/>
      <c r="FP621" s="4"/>
      <c r="FQ621" s="4"/>
      <c r="FR621" s="4"/>
      <c r="FS621" s="4"/>
      <c r="FT621" s="4"/>
      <c r="FU621" s="4"/>
      <c r="FV621" s="4"/>
      <c r="FW621" s="654"/>
      <c r="FX621" s="655"/>
      <c r="FY621" s="4"/>
      <c r="FZ621" s="4"/>
      <c r="GA621" s="4"/>
      <c r="GB621" s="4"/>
      <c r="GC621" s="4"/>
      <c r="GD621" s="4"/>
      <c r="GE621" s="4"/>
      <c r="GF621" s="4"/>
      <c r="GG621" s="4"/>
      <c r="GH621" s="4"/>
      <c r="GI621" s="654"/>
      <c r="GJ621" s="655"/>
      <c r="GK621" s="4"/>
      <c r="GL621" s="4"/>
      <c r="GM621" s="4"/>
      <c r="GN621" s="4"/>
      <c r="GO621" s="4"/>
      <c r="GP621" s="4"/>
      <c r="GQ621" s="4"/>
      <c r="GR621" s="4"/>
      <c r="GS621" s="4"/>
      <c r="GT621" s="4"/>
      <c r="GU621" s="722"/>
      <c r="GV621" s="715"/>
    </row>
    <row r="622" spans="1:204" x14ac:dyDescent="0.25">
      <c r="A622" t="s">
        <v>2237</v>
      </c>
      <c r="B622" s="2" t="s">
        <v>358</v>
      </c>
      <c r="C622" s="619">
        <v>44799</v>
      </c>
      <c r="D622" s="2" t="s">
        <v>2232</v>
      </c>
      <c r="E622" t="s">
        <v>58</v>
      </c>
      <c r="F622" s="2" t="s">
        <v>43</v>
      </c>
      <c r="G622" t="s">
        <v>40</v>
      </c>
      <c r="H622" s="690" t="s">
        <v>84</v>
      </c>
      <c r="I622" s="691" t="s">
        <v>2147</v>
      </c>
      <c r="J622" s="721" t="s">
        <v>2148</v>
      </c>
      <c r="K622" s="691" t="s">
        <v>43</v>
      </c>
      <c r="L622" s="721" t="s">
        <v>2146</v>
      </c>
      <c r="M622" s="718" t="s">
        <v>3</v>
      </c>
      <c r="N622" s="717" t="s">
        <v>44</v>
      </c>
      <c r="O622" s="719">
        <v>44835</v>
      </c>
      <c r="P622" s="720">
        <v>44865</v>
      </c>
      <c r="Q622" s="718">
        <v>95</v>
      </c>
      <c r="R622" s="717">
        <v>2</v>
      </c>
      <c r="S622" s="691" t="s">
        <v>54</v>
      </c>
      <c r="T622" t="s">
        <v>358</v>
      </c>
      <c r="U622" s="673" t="s">
        <v>358</v>
      </c>
      <c r="V622" s="690" t="s">
        <v>358</v>
      </c>
      <c r="W622" s="657" t="s">
        <v>214</v>
      </c>
      <c r="X622" s="723"/>
      <c r="Y622" s="4"/>
      <c r="Z622" s="4"/>
      <c r="AA622" s="4"/>
      <c r="AB622" s="4"/>
      <c r="AC622" s="4"/>
      <c r="AD622" s="4"/>
      <c r="AE622" s="4"/>
      <c r="AF622" s="4"/>
      <c r="AG622" s="4">
        <v>2</v>
      </c>
      <c r="AH622" s="4"/>
      <c r="AI622" s="654"/>
      <c r="AJ622" s="655"/>
      <c r="AK622" s="4"/>
      <c r="AL622" s="4"/>
      <c r="AM622" s="4"/>
      <c r="AN622" s="4"/>
      <c r="AO622" s="4"/>
      <c r="AP622" s="4"/>
      <c r="AQ622" s="4"/>
      <c r="AR622" s="4"/>
      <c r="AS622" s="4"/>
      <c r="AT622" s="4"/>
      <c r="AU622" s="654"/>
      <c r="AV622" s="655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654"/>
      <c r="BH622" s="655"/>
      <c r="BI622" s="4"/>
      <c r="BJ622" s="4"/>
      <c r="BK622" s="4"/>
      <c r="BL622" s="4"/>
      <c r="BM622" s="4"/>
      <c r="BN622" s="4"/>
      <c r="BO622" s="4"/>
      <c r="BP622" s="4"/>
      <c r="BQ622" s="4"/>
      <c r="BR622" s="4"/>
      <c r="BS622" s="654"/>
      <c r="BT622" s="655"/>
      <c r="BU622" s="4"/>
      <c r="BV622" s="4"/>
      <c r="BW622" s="4"/>
      <c r="BX622" s="4"/>
      <c r="BY622" s="4"/>
      <c r="BZ622" s="4"/>
      <c r="CA622" s="4"/>
      <c r="CB622" s="4"/>
      <c r="CC622" s="4"/>
      <c r="CD622" s="4"/>
      <c r="CE622" s="693"/>
      <c r="CF622" s="723"/>
      <c r="CG622" s="4"/>
      <c r="CH622" s="4"/>
      <c r="CI622" s="4"/>
      <c r="CJ622" s="4"/>
      <c r="CK622" s="4"/>
      <c r="CL622" s="4"/>
      <c r="CM622" s="4"/>
      <c r="CN622" s="4"/>
      <c r="CO622" s="4">
        <v>95</v>
      </c>
      <c r="CP622" s="4"/>
      <c r="CQ622" s="654"/>
      <c r="CR622" s="655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654"/>
      <c r="DD622" s="655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654"/>
      <c r="DP622" s="655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654"/>
      <c r="EB622" s="655"/>
      <c r="EC622" s="4"/>
      <c r="ED622" s="4"/>
      <c r="EE622" s="4"/>
      <c r="EF622" s="4"/>
      <c r="EG622" s="4"/>
      <c r="EH622" s="4"/>
      <c r="EI622" s="4"/>
      <c r="EJ622" s="4"/>
      <c r="EK622" s="4"/>
      <c r="EL622" s="4"/>
      <c r="EM622" s="693"/>
      <c r="EN622" s="723"/>
      <c r="EO622" s="4"/>
      <c r="EP622" s="4"/>
      <c r="EQ622" s="4"/>
      <c r="ER622" s="4"/>
      <c r="ES622" s="4"/>
      <c r="ET622" s="4"/>
      <c r="EU622" s="4"/>
      <c r="EV622" s="4"/>
      <c r="EW622" s="4">
        <v>95</v>
      </c>
      <c r="EX622" s="4"/>
      <c r="EY622" s="654"/>
      <c r="EZ622" s="655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654"/>
      <c r="FL622" s="655"/>
      <c r="FM622" s="4"/>
      <c r="FN622" s="4"/>
      <c r="FO622" s="4"/>
      <c r="FP622" s="4"/>
      <c r="FQ622" s="4"/>
      <c r="FR622" s="4"/>
      <c r="FS622" s="4"/>
      <c r="FT622" s="4"/>
      <c r="FU622" s="4"/>
      <c r="FV622" s="4"/>
      <c r="FW622" s="654"/>
      <c r="FX622" s="655"/>
      <c r="FY622" s="4"/>
      <c r="FZ622" s="4"/>
      <c r="GA622" s="4"/>
      <c r="GB622" s="4"/>
      <c r="GC622" s="4"/>
      <c r="GD622" s="4"/>
      <c r="GE622" s="4"/>
      <c r="GF622" s="4"/>
      <c r="GG622" s="4"/>
      <c r="GH622" s="4"/>
      <c r="GI622" s="654"/>
      <c r="GJ622" s="655"/>
      <c r="GK622" s="4"/>
      <c r="GL622" s="4"/>
      <c r="GM622" s="4"/>
      <c r="GN622" s="4"/>
      <c r="GO622" s="4"/>
      <c r="GP622" s="4"/>
      <c r="GQ622" s="4"/>
      <c r="GR622" s="4"/>
      <c r="GS622" s="4"/>
      <c r="GT622" s="4"/>
      <c r="GU622" s="722"/>
      <c r="GV622" s="715"/>
    </row>
    <row r="623" spans="1:204" x14ac:dyDescent="0.25">
      <c r="A623" t="s">
        <v>2248</v>
      </c>
      <c r="B623" s="2" t="s">
        <v>2247</v>
      </c>
      <c r="C623" s="619">
        <v>44802</v>
      </c>
      <c r="D623" s="2" t="s">
        <v>2238</v>
      </c>
      <c r="E623" t="s">
        <v>58</v>
      </c>
      <c r="F623" s="2" t="s">
        <v>43</v>
      </c>
      <c r="G623" t="s">
        <v>40</v>
      </c>
      <c r="H623" s="690" t="s">
        <v>84</v>
      </c>
      <c r="I623" s="691" t="s">
        <v>471</v>
      </c>
      <c r="J623" s="721" t="s">
        <v>2244</v>
      </c>
      <c r="K623" s="691" t="s">
        <v>43</v>
      </c>
      <c r="L623" s="721" t="s">
        <v>2146</v>
      </c>
      <c r="M623" s="718" t="s">
        <v>5</v>
      </c>
      <c r="N623" s="717" t="s">
        <v>44</v>
      </c>
      <c r="O623" s="719">
        <v>44774</v>
      </c>
      <c r="P623" s="720">
        <v>44804</v>
      </c>
      <c r="Q623" s="718">
        <v>29</v>
      </c>
      <c r="R623" s="717">
        <v>3</v>
      </c>
      <c r="S623" s="691" t="s">
        <v>92</v>
      </c>
      <c r="T623" t="s">
        <v>358</v>
      </c>
      <c r="U623" s="673" t="s">
        <v>358</v>
      </c>
      <c r="V623" s="690" t="s">
        <v>358</v>
      </c>
      <c r="W623" s="657" t="s">
        <v>329</v>
      </c>
      <c r="X623" s="723"/>
      <c r="Y623" s="4"/>
      <c r="Z623" s="4"/>
      <c r="AA623" s="4"/>
      <c r="AB623" s="4"/>
      <c r="AC623" s="4"/>
      <c r="AD623" s="4"/>
      <c r="AE623" s="4">
        <v>3</v>
      </c>
      <c r="AF623" s="4"/>
      <c r="AG623" s="4"/>
      <c r="AH623" s="4"/>
      <c r="AI623" s="654"/>
      <c r="AJ623" s="655"/>
      <c r="AK623" s="4"/>
      <c r="AL623" s="4"/>
      <c r="AM623" s="4"/>
      <c r="AN623" s="4"/>
      <c r="AO623" s="4"/>
      <c r="AP623" s="4"/>
      <c r="AQ623" s="4"/>
      <c r="AR623" s="4"/>
      <c r="AS623" s="4"/>
      <c r="AT623" s="4"/>
      <c r="AU623" s="654"/>
      <c r="AV623" s="655"/>
      <c r="AW623" s="4"/>
      <c r="AX623" s="4"/>
      <c r="AY623" s="4"/>
      <c r="AZ623" s="4"/>
      <c r="BA623" s="4"/>
      <c r="BB623" s="4"/>
      <c r="BC623" s="4"/>
      <c r="BD623" s="4"/>
      <c r="BE623" s="4"/>
      <c r="BF623" s="4"/>
      <c r="BG623" s="654"/>
      <c r="BH623" s="655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654"/>
      <c r="BT623" s="655"/>
      <c r="BU623" s="4"/>
      <c r="BV623" s="4"/>
      <c r="BW623" s="4"/>
      <c r="BX623" s="4"/>
      <c r="BY623" s="4"/>
      <c r="BZ623" s="4"/>
      <c r="CA623" s="4"/>
      <c r="CB623" s="4"/>
      <c r="CC623" s="4"/>
      <c r="CD623" s="4"/>
      <c r="CE623" s="693"/>
      <c r="CF623" s="723"/>
      <c r="CG623" s="4"/>
      <c r="CH623" s="4"/>
      <c r="CI623" s="4"/>
      <c r="CJ623" s="4"/>
      <c r="CK623" s="4"/>
      <c r="CL623" s="4"/>
      <c r="CM623" s="4">
        <v>29</v>
      </c>
      <c r="CN623" s="4"/>
      <c r="CO623" s="4"/>
      <c r="CP623" s="4"/>
      <c r="CQ623" s="654"/>
      <c r="CR623" s="655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654"/>
      <c r="DD623" s="655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654"/>
      <c r="DP623" s="655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654"/>
      <c r="EB623" s="655"/>
      <c r="EC623" s="4"/>
      <c r="ED623" s="4"/>
      <c r="EE623" s="4"/>
      <c r="EF623" s="4"/>
      <c r="EG623" s="4"/>
      <c r="EH623" s="4"/>
      <c r="EI623" s="4"/>
      <c r="EJ623" s="4"/>
      <c r="EK623" s="4"/>
      <c r="EL623" s="4"/>
      <c r="EM623" s="693"/>
      <c r="EN623" s="723"/>
      <c r="EO623" s="4"/>
      <c r="EP623" s="4"/>
      <c r="EQ623" s="4"/>
      <c r="ER623" s="4"/>
      <c r="ES623" s="4"/>
      <c r="ET623" s="4"/>
      <c r="EU623" s="4">
        <v>105.9</v>
      </c>
      <c r="EV623" s="4"/>
      <c r="EW623" s="4"/>
      <c r="EX623" s="4"/>
      <c r="EY623" s="654"/>
      <c r="EZ623" s="655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654"/>
      <c r="FL623" s="655"/>
      <c r="FM623" s="4"/>
      <c r="FN623" s="4"/>
      <c r="FO623" s="4"/>
      <c r="FP623" s="4"/>
      <c r="FQ623" s="4"/>
      <c r="FR623" s="4"/>
      <c r="FS623" s="4"/>
      <c r="FT623" s="4"/>
      <c r="FU623" s="4"/>
      <c r="FV623" s="4"/>
      <c r="FW623" s="654"/>
      <c r="FX623" s="655"/>
      <c r="FY623" s="4"/>
      <c r="FZ623" s="4"/>
      <c r="GA623" s="4"/>
      <c r="GB623" s="4"/>
      <c r="GC623" s="4"/>
      <c r="GD623" s="4"/>
      <c r="GE623" s="4"/>
      <c r="GF623" s="4"/>
      <c r="GG623" s="4"/>
      <c r="GH623" s="4"/>
      <c r="GI623" s="654"/>
      <c r="GJ623" s="655"/>
      <c r="GK623" s="4"/>
      <c r="GL623" s="4"/>
      <c r="GM623" s="4"/>
      <c r="GN623" s="4"/>
      <c r="GO623" s="4"/>
      <c r="GP623" s="4"/>
      <c r="GQ623" s="4"/>
      <c r="GR623" s="4"/>
      <c r="GS623" s="4"/>
      <c r="GT623" s="4"/>
      <c r="GU623" s="722"/>
      <c r="GV623" s="715"/>
    </row>
    <row r="624" spans="1:204" x14ac:dyDescent="0.25">
      <c r="A624" t="s">
        <v>2249</v>
      </c>
      <c r="B624" s="2" t="s">
        <v>358</v>
      </c>
      <c r="C624" s="619">
        <v>44802</v>
      </c>
      <c r="D624" s="2" t="s">
        <v>2239</v>
      </c>
      <c r="E624" t="s">
        <v>58</v>
      </c>
      <c r="F624" s="2" t="s">
        <v>43</v>
      </c>
      <c r="G624" t="s">
        <v>40</v>
      </c>
      <c r="H624" s="690" t="s">
        <v>84</v>
      </c>
      <c r="I624" s="691" t="s">
        <v>467</v>
      </c>
      <c r="J624" s="721" t="s">
        <v>2233</v>
      </c>
      <c r="K624" s="691" t="s">
        <v>43</v>
      </c>
      <c r="L624" s="721" t="s">
        <v>2146</v>
      </c>
      <c r="M624" s="718" t="s">
        <v>3</v>
      </c>
      <c r="N624" s="717" t="s">
        <v>44</v>
      </c>
      <c r="O624" s="719">
        <v>44835</v>
      </c>
      <c r="P624" s="720">
        <v>44865</v>
      </c>
      <c r="Q624" s="718">
        <v>85.01</v>
      </c>
      <c r="R624" s="717">
        <v>2</v>
      </c>
      <c r="S624" s="691" t="s">
        <v>54</v>
      </c>
      <c r="T624" t="s">
        <v>358</v>
      </c>
      <c r="U624" s="673" t="s">
        <v>358</v>
      </c>
      <c r="V624" s="690" t="s">
        <v>358</v>
      </c>
      <c r="W624" s="657" t="s">
        <v>214</v>
      </c>
      <c r="X624" s="723"/>
      <c r="Y624" s="4"/>
      <c r="Z624" s="4"/>
      <c r="AA624" s="4"/>
      <c r="AB624" s="4"/>
      <c r="AC624" s="4"/>
      <c r="AD624" s="4"/>
      <c r="AE624" s="4"/>
      <c r="AF624" s="4"/>
      <c r="AG624" s="4">
        <v>2</v>
      </c>
      <c r="AH624" s="4"/>
      <c r="AI624" s="654"/>
      <c r="AJ624" s="655"/>
      <c r="AK624" s="4"/>
      <c r="AL624" s="4"/>
      <c r="AM624" s="4"/>
      <c r="AN624" s="4"/>
      <c r="AO624" s="4"/>
      <c r="AP624" s="4"/>
      <c r="AQ624" s="4"/>
      <c r="AR624" s="4"/>
      <c r="AS624" s="4"/>
      <c r="AT624" s="4"/>
      <c r="AU624" s="654"/>
      <c r="AV624" s="655"/>
      <c r="AW624" s="4"/>
      <c r="AX624" s="4"/>
      <c r="AY624" s="4"/>
      <c r="AZ624" s="4"/>
      <c r="BA624" s="4"/>
      <c r="BB624" s="4"/>
      <c r="BC624" s="4"/>
      <c r="BD624" s="4"/>
      <c r="BE624" s="4"/>
      <c r="BF624" s="4"/>
      <c r="BG624" s="654"/>
      <c r="BH624" s="655"/>
      <c r="BI624" s="4"/>
      <c r="BJ624" s="4"/>
      <c r="BK624" s="4"/>
      <c r="BL624" s="4"/>
      <c r="BM624" s="4"/>
      <c r="BN624" s="4"/>
      <c r="BO624" s="4"/>
      <c r="BP624" s="4"/>
      <c r="BQ624" s="4"/>
      <c r="BR624" s="4"/>
      <c r="BS624" s="654"/>
      <c r="BT624" s="655"/>
      <c r="BU624" s="4"/>
      <c r="BV624" s="4"/>
      <c r="BW624" s="4"/>
      <c r="BX624" s="4"/>
      <c r="BY624" s="4"/>
      <c r="BZ624" s="4"/>
      <c r="CA624" s="4"/>
      <c r="CB624" s="4"/>
      <c r="CC624" s="4"/>
      <c r="CD624" s="4"/>
      <c r="CE624" s="693"/>
      <c r="CF624" s="723"/>
      <c r="CG624" s="4"/>
      <c r="CH624" s="4"/>
      <c r="CI624" s="4"/>
      <c r="CJ624" s="4"/>
      <c r="CK624" s="4"/>
      <c r="CL624" s="4"/>
      <c r="CM624" s="4"/>
      <c r="CN624" s="4"/>
      <c r="CO624" s="4">
        <v>85.01</v>
      </c>
      <c r="CP624" s="4"/>
      <c r="CQ624" s="654"/>
      <c r="CR624" s="655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654"/>
      <c r="DD624" s="655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654"/>
      <c r="DP624" s="655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654"/>
      <c r="EB624" s="655"/>
      <c r="EC624" s="4"/>
      <c r="ED624" s="4"/>
      <c r="EE624" s="4"/>
      <c r="EF624" s="4"/>
      <c r="EG624" s="4"/>
      <c r="EH624" s="4"/>
      <c r="EI624" s="4"/>
      <c r="EJ624" s="4"/>
      <c r="EK624" s="4"/>
      <c r="EL624" s="4"/>
      <c r="EM624" s="693"/>
      <c r="EN624" s="723"/>
      <c r="EO624" s="4"/>
      <c r="EP624" s="4"/>
      <c r="EQ624" s="4"/>
      <c r="ER624" s="4"/>
      <c r="ES624" s="4"/>
      <c r="ET624" s="4"/>
      <c r="EU624" s="4"/>
      <c r="EV624" s="4"/>
      <c r="EW624" s="4">
        <v>85.01</v>
      </c>
      <c r="EX624" s="4"/>
      <c r="EY624" s="654"/>
      <c r="EZ624" s="655"/>
      <c r="FA624" s="4"/>
      <c r="FB624" s="4"/>
      <c r="FC624" s="4"/>
      <c r="FD624" s="4"/>
      <c r="FE624" s="4"/>
      <c r="FF624" s="4"/>
      <c r="FG624" s="4"/>
      <c r="FH624" s="4"/>
      <c r="FI624" s="4"/>
      <c r="FJ624" s="4"/>
      <c r="FK624" s="654"/>
      <c r="FL624" s="655"/>
      <c r="FM624" s="4"/>
      <c r="FN624" s="4"/>
      <c r="FO624" s="4"/>
      <c r="FP624" s="4"/>
      <c r="FQ624" s="4"/>
      <c r="FR624" s="4"/>
      <c r="FS624" s="4"/>
      <c r="FT624" s="4"/>
      <c r="FU624" s="4"/>
      <c r="FV624" s="4"/>
      <c r="FW624" s="654"/>
      <c r="FX624" s="655"/>
      <c r="FY624" s="4"/>
      <c r="FZ624" s="4"/>
      <c r="GA624" s="4"/>
      <c r="GB624" s="4"/>
      <c r="GC624" s="4"/>
      <c r="GD624" s="4"/>
      <c r="GE624" s="4"/>
      <c r="GF624" s="4"/>
      <c r="GG624" s="4"/>
      <c r="GH624" s="4"/>
      <c r="GI624" s="654"/>
      <c r="GJ624" s="655"/>
      <c r="GK624" s="4"/>
      <c r="GL624" s="4"/>
      <c r="GM624" s="4"/>
      <c r="GN624" s="4"/>
      <c r="GO624" s="4"/>
      <c r="GP624" s="4"/>
      <c r="GQ624" s="4"/>
      <c r="GR624" s="4"/>
      <c r="GS624" s="4"/>
      <c r="GT624" s="4"/>
      <c r="GU624" s="722"/>
      <c r="GV624" s="715"/>
    </row>
    <row r="625" spans="1:204" x14ac:dyDescent="0.25">
      <c r="A625" t="s">
        <v>2250</v>
      </c>
      <c r="B625" s="2" t="s">
        <v>358</v>
      </c>
      <c r="C625" s="619">
        <v>44802</v>
      </c>
      <c r="D625" s="2" t="s">
        <v>2240</v>
      </c>
      <c r="E625" t="s">
        <v>58</v>
      </c>
      <c r="F625" s="2" t="s">
        <v>43</v>
      </c>
      <c r="G625" t="s">
        <v>40</v>
      </c>
      <c r="H625" s="690" t="s">
        <v>84</v>
      </c>
      <c r="I625" s="691" t="s">
        <v>2121</v>
      </c>
      <c r="J625" s="721" t="s">
        <v>2245</v>
      </c>
      <c r="K625" s="691" t="s">
        <v>43</v>
      </c>
      <c r="L625" s="721" t="s">
        <v>2146</v>
      </c>
      <c r="M625" s="718" t="s">
        <v>3</v>
      </c>
      <c r="N625" s="717" t="s">
        <v>44</v>
      </c>
      <c r="O625" s="719">
        <v>44835</v>
      </c>
      <c r="P625" s="720">
        <v>44865</v>
      </c>
      <c r="Q625" s="718">
        <v>86</v>
      </c>
      <c r="R625" s="717">
        <v>2</v>
      </c>
      <c r="S625" s="691" t="s">
        <v>54</v>
      </c>
      <c r="T625" t="s">
        <v>358</v>
      </c>
      <c r="U625" s="673" t="s">
        <v>358</v>
      </c>
      <c r="V625" s="690" t="s">
        <v>358</v>
      </c>
      <c r="W625" s="657" t="s">
        <v>214</v>
      </c>
      <c r="X625" s="723"/>
      <c r="Y625" s="4"/>
      <c r="Z625" s="4"/>
      <c r="AA625" s="4"/>
      <c r="AB625" s="4"/>
      <c r="AC625" s="4"/>
      <c r="AD625" s="4"/>
      <c r="AE625" s="4"/>
      <c r="AF625" s="4"/>
      <c r="AG625" s="4">
        <v>2</v>
      </c>
      <c r="AH625" s="4"/>
      <c r="AI625" s="654"/>
      <c r="AJ625" s="655"/>
      <c r="AK625" s="4"/>
      <c r="AL625" s="4"/>
      <c r="AM625" s="4"/>
      <c r="AN625" s="4"/>
      <c r="AO625" s="4"/>
      <c r="AP625" s="4"/>
      <c r="AQ625" s="4"/>
      <c r="AR625" s="4"/>
      <c r="AS625" s="4"/>
      <c r="AT625" s="4"/>
      <c r="AU625" s="654"/>
      <c r="AV625" s="655"/>
      <c r="AW625" s="4"/>
      <c r="AX625" s="4"/>
      <c r="AY625" s="4"/>
      <c r="AZ625" s="4"/>
      <c r="BA625" s="4"/>
      <c r="BB625" s="4"/>
      <c r="BC625" s="4"/>
      <c r="BD625" s="4"/>
      <c r="BE625" s="4"/>
      <c r="BF625" s="4"/>
      <c r="BG625" s="654"/>
      <c r="BH625" s="655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654"/>
      <c r="BT625" s="655"/>
      <c r="BU625" s="4"/>
      <c r="BV625" s="4"/>
      <c r="BW625" s="4"/>
      <c r="BX625" s="4"/>
      <c r="BY625" s="4"/>
      <c r="BZ625" s="4"/>
      <c r="CA625" s="4"/>
      <c r="CB625" s="4"/>
      <c r="CC625" s="4"/>
      <c r="CD625" s="4"/>
      <c r="CE625" s="693"/>
      <c r="CF625" s="723"/>
      <c r="CG625" s="4"/>
      <c r="CH625" s="4"/>
      <c r="CI625" s="4"/>
      <c r="CJ625" s="4"/>
      <c r="CK625" s="4"/>
      <c r="CL625" s="4"/>
      <c r="CM625" s="4"/>
      <c r="CN625" s="4"/>
      <c r="CO625" s="4">
        <v>86</v>
      </c>
      <c r="CP625" s="4"/>
      <c r="CQ625" s="654"/>
      <c r="CR625" s="655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654"/>
      <c r="DD625" s="655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654"/>
      <c r="DP625" s="655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654"/>
      <c r="EB625" s="655"/>
      <c r="EC625" s="4"/>
      <c r="ED625" s="4"/>
      <c r="EE625" s="4"/>
      <c r="EF625" s="4"/>
      <c r="EG625" s="4"/>
      <c r="EH625" s="4"/>
      <c r="EI625" s="4"/>
      <c r="EJ625" s="4"/>
      <c r="EK625" s="4"/>
      <c r="EL625" s="4"/>
      <c r="EM625" s="693"/>
      <c r="EN625" s="723"/>
      <c r="EO625" s="4"/>
      <c r="EP625" s="4"/>
      <c r="EQ625" s="4"/>
      <c r="ER625" s="4"/>
      <c r="ES625" s="4"/>
      <c r="ET625" s="4"/>
      <c r="EU625" s="4"/>
      <c r="EV625" s="4"/>
      <c r="EW625" s="4">
        <v>86</v>
      </c>
      <c r="EX625" s="4"/>
      <c r="EY625" s="654"/>
      <c r="EZ625" s="655"/>
      <c r="FA625" s="4"/>
      <c r="FB625" s="4"/>
      <c r="FC625" s="4"/>
      <c r="FD625" s="4"/>
      <c r="FE625" s="4"/>
      <c r="FF625" s="4"/>
      <c r="FG625" s="4"/>
      <c r="FH625" s="4"/>
      <c r="FI625" s="4"/>
      <c r="FJ625" s="4"/>
      <c r="FK625" s="654"/>
      <c r="FL625" s="655"/>
      <c r="FM625" s="4"/>
      <c r="FN625" s="4"/>
      <c r="FO625" s="4"/>
      <c r="FP625" s="4"/>
      <c r="FQ625" s="4"/>
      <c r="FR625" s="4"/>
      <c r="FS625" s="4"/>
      <c r="FT625" s="4"/>
      <c r="FU625" s="4"/>
      <c r="FV625" s="4"/>
      <c r="FW625" s="654"/>
      <c r="FX625" s="655"/>
      <c r="FY625" s="4"/>
      <c r="FZ625" s="4"/>
      <c r="GA625" s="4"/>
      <c r="GB625" s="4"/>
      <c r="GC625" s="4"/>
      <c r="GD625" s="4"/>
      <c r="GE625" s="4"/>
      <c r="GF625" s="4"/>
      <c r="GG625" s="4"/>
      <c r="GH625" s="4"/>
      <c r="GI625" s="654"/>
      <c r="GJ625" s="655"/>
      <c r="GK625" s="4"/>
      <c r="GL625" s="4"/>
      <c r="GM625" s="4"/>
      <c r="GN625" s="4"/>
      <c r="GO625" s="4"/>
      <c r="GP625" s="4"/>
      <c r="GQ625" s="4"/>
      <c r="GR625" s="4"/>
      <c r="GS625" s="4"/>
      <c r="GT625" s="4"/>
      <c r="GU625" s="722"/>
      <c r="GV625" s="715"/>
    </row>
    <row r="626" spans="1:204" x14ac:dyDescent="0.25">
      <c r="A626" t="s">
        <v>2251</v>
      </c>
      <c r="B626" s="2" t="s">
        <v>358</v>
      </c>
      <c r="C626" s="619">
        <v>44802</v>
      </c>
      <c r="D626" s="2" t="s">
        <v>2241</v>
      </c>
      <c r="E626" t="s">
        <v>58</v>
      </c>
      <c r="F626" s="2" t="s">
        <v>43</v>
      </c>
      <c r="G626" t="s">
        <v>40</v>
      </c>
      <c r="H626" s="690" t="s">
        <v>84</v>
      </c>
      <c r="I626" s="691" t="s">
        <v>1917</v>
      </c>
      <c r="J626" s="721" t="s">
        <v>2246</v>
      </c>
      <c r="K626" s="691" t="s">
        <v>43</v>
      </c>
      <c r="L626" s="721" t="s">
        <v>2146</v>
      </c>
      <c r="M626" s="718" t="s">
        <v>3</v>
      </c>
      <c r="N626" s="717" t="s">
        <v>44</v>
      </c>
      <c r="O626" s="719">
        <v>44835</v>
      </c>
      <c r="P626" s="720">
        <v>44865</v>
      </c>
      <c r="Q626" s="718">
        <v>86</v>
      </c>
      <c r="R626" s="717">
        <v>2</v>
      </c>
      <c r="S626" s="691" t="s">
        <v>54</v>
      </c>
      <c r="T626" t="s">
        <v>358</v>
      </c>
      <c r="U626" s="673" t="s">
        <v>358</v>
      </c>
      <c r="V626" s="690" t="s">
        <v>358</v>
      </c>
      <c r="W626" s="657" t="s">
        <v>214</v>
      </c>
      <c r="X626" s="723"/>
      <c r="Y626" s="4"/>
      <c r="Z626" s="4"/>
      <c r="AA626" s="4"/>
      <c r="AB626" s="4"/>
      <c r="AC626" s="4"/>
      <c r="AD626" s="4"/>
      <c r="AE626" s="4"/>
      <c r="AF626" s="4"/>
      <c r="AG626" s="4">
        <v>2</v>
      </c>
      <c r="AH626" s="4"/>
      <c r="AI626" s="654"/>
      <c r="AJ626" s="655"/>
      <c r="AK626" s="4"/>
      <c r="AL626" s="4"/>
      <c r="AM626" s="4"/>
      <c r="AN626" s="4"/>
      <c r="AO626" s="4"/>
      <c r="AP626" s="4"/>
      <c r="AQ626" s="4"/>
      <c r="AR626" s="4"/>
      <c r="AS626" s="4"/>
      <c r="AT626" s="4"/>
      <c r="AU626" s="654"/>
      <c r="AV626" s="655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654"/>
      <c r="BH626" s="655"/>
      <c r="BI626" s="4"/>
      <c r="BJ626" s="4"/>
      <c r="BK626" s="4"/>
      <c r="BL626" s="4"/>
      <c r="BM626" s="4"/>
      <c r="BN626" s="4"/>
      <c r="BO626" s="4"/>
      <c r="BP626" s="4"/>
      <c r="BQ626" s="4"/>
      <c r="BR626" s="4"/>
      <c r="BS626" s="654"/>
      <c r="BT626" s="655"/>
      <c r="BU626" s="4"/>
      <c r="BV626" s="4"/>
      <c r="BW626" s="4"/>
      <c r="BX626" s="4"/>
      <c r="BY626" s="4"/>
      <c r="BZ626" s="4"/>
      <c r="CA626" s="4"/>
      <c r="CB626" s="4"/>
      <c r="CC626" s="4"/>
      <c r="CD626" s="4"/>
      <c r="CE626" s="693"/>
      <c r="CF626" s="723"/>
      <c r="CG626" s="4"/>
      <c r="CH626" s="4"/>
      <c r="CI626" s="4"/>
      <c r="CJ626" s="4"/>
      <c r="CK626" s="4"/>
      <c r="CL626" s="4"/>
      <c r="CM626" s="4"/>
      <c r="CN626" s="4"/>
      <c r="CO626" s="4">
        <v>86</v>
      </c>
      <c r="CP626" s="4"/>
      <c r="CQ626" s="654"/>
      <c r="CR626" s="655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654"/>
      <c r="DD626" s="655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654"/>
      <c r="DP626" s="655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654"/>
      <c r="EB626" s="655"/>
      <c r="EC626" s="4"/>
      <c r="ED626" s="4"/>
      <c r="EE626" s="4"/>
      <c r="EF626" s="4"/>
      <c r="EG626" s="4"/>
      <c r="EH626" s="4"/>
      <c r="EI626" s="4"/>
      <c r="EJ626" s="4"/>
      <c r="EK626" s="4"/>
      <c r="EL626" s="4"/>
      <c r="EM626" s="693"/>
      <c r="EN626" s="723"/>
      <c r="EO626" s="4"/>
      <c r="EP626" s="4"/>
      <c r="EQ626" s="4"/>
      <c r="ER626" s="4"/>
      <c r="ES626" s="4"/>
      <c r="ET626" s="4"/>
      <c r="EU626" s="4"/>
      <c r="EV626" s="4"/>
      <c r="EW626" s="4">
        <v>86</v>
      </c>
      <c r="EX626" s="4"/>
      <c r="EY626" s="654"/>
      <c r="EZ626" s="655"/>
      <c r="FA626" s="4"/>
      <c r="FB626" s="4"/>
      <c r="FC626" s="4"/>
      <c r="FD626" s="4"/>
      <c r="FE626" s="4"/>
      <c r="FF626" s="4"/>
      <c r="FG626" s="4"/>
      <c r="FH626" s="4"/>
      <c r="FI626" s="4"/>
      <c r="FJ626" s="4"/>
      <c r="FK626" s="654"/>
      <c r="FL626" s="655"/>
      <c r="FM626" s="4"/>
      <c r="FN626" s="4"/>
      <c r="FO626" s="4"/>
      <c r="FP626" s="4"/>
      <c r="FQ626" s="4"/>
      <c r="FR626" s="4"/>
      <c r="FS626" s="4"/>
      <c r="FT626" s="4"/>
      <c r="FU626" s="4"/>
      <c r="FV626" s="4"/>
      <c r="FW626" s="654"/>
      <c r="FX626" s="655"/>
      <c r="FY626" s="4"/>
      <c r="FZ626" s="4"/>
      <c r="GA626" s="4"/>
      <c r="GB626" s="4"/>
      <c r="GC626" s="4"/>
      <c r="GD626" s="4"/>
      <c r="GE626" s="4"/>
      <c r="GF626" s="4"/>
      <c r="GG626" s="4"/>
      <c r="GH626" s="4"/>
      <c r="GI626" s="654"/>
      <c r="GJ626" s="655"/>
      <c r="GK626" s="4"/>
      <c r="GL626" s="4"/>
      <c r="GM626" s="4"/>
      <c r="GN626" s="4"/>
      <c r="GO626" s="4"/>
      <c r="GP626" s="4"/>
      <c r="GQ626" s="4"/>
      <c r="GR626" s="4"/>
      <c r="GS626" s="4"/>
      <c r="GT626" s="4"/>
      <c r="GU626" s="722"/>
      <c r="GV626" s="715"/>
    </row>
    <row r="627" spans="1:204" x14ac:dyDescent="0.25">
      <c r="A627" t="s">
        <v>2252</v>
      </c>
      <c r="B627" s="2" t="s">
        <v>358</v>
      </c>
      <c r="C627" s="619">
        <v>44802</v>
      </c>
      <c r="D627" s="2" t="s">
        <v>2242</v>
      </c>
      <c r="E627" t="s">
        <v>58</v>
      </c>
      <c r="F627" s="2" t="s">
        <v>43</v>
      </c>
      <c r="G627" t="s">
        <v>40</v>
      </c>
      <c r="H627" s="690" t="s">
        <v>84</v>
      </c>
      <c r="I627" s="691" t="s">
        <v>2147</v>
      </c>
      <c r="J627" s="721" t="s">
        <v>2148</v>
      </c>
      <c r="K627" s="691" t="s">
        <v>43</v>
      </c>
      <c r="L627" s="721" t="s">
        <v>2146</v>
      </c>
      <c r="M627" s="718" t="s">
        <v>3</v>
      </c>
      <c r="N627" s="717" t="s">
        <v>44</v>
      </c>
      <c r="O627" s="719">
        <v>44805</v>
      </c>
      <c r="P627" s="720">
        <v>44834</v>
      </c>
      <c r="Q627" s="718">
        <v>62</v>
      </c>
      <c r="R627" s="717">
        <v>1.2</v>
      </c>
      <c r="S627" s="691" t="s">
        <v>54</v>
      </c>
      <c r="T627" t="s">
        <v>358</v>
      </c>
      <c r="U627" s="673" t="s">
        <v>358</v>
      </c>
      <c r="V627" s="690" t="s">
        <v>358</v>
      </c>
      <c r="W627" s="657" t="s">
        <v>214</v>
      </c>
      <c r="X627" s="723"/>
      <c r="Y627" s="4"/>
      <c r="Z627" s="4"/>
      <c r="AA627" s="4"/>
      <c r="AB627" s="4"/>
      <c r="AC627" s="4"/>
      <c r="AD627" s="4"/>
      <c r="AE627" s="4"/>
      <c r="AF627" s="4">
        <v>1.2</v>
      </c>
      <c r="AG627" s="4"/>
      <c r="AH627" s="4"/>
      <c r="AI627" s="654"/>
      <c r="AJ627" s="655"/>
      <c r="AK627" s="4"/>
      <c r="AL627" s="4"/>
      <c r="AM627" s="4"/>
      <c r="AN627" s="4"/>
      <c r="AO627" s="4"/>
      <c r="AP627" s="4"/>
      <c r="AQ627" s="4"/>
      <c r="AR627" s="4"/>
      <c r="AS627" s="4"/>
      <c r="AT627" s="4"/>
      <c r="AU627" s="654"/>
      <c r="AV627" s="655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654"/>
      <c r="BH627" s="655"/>
      <c r="BI627" s="4"/>
      <c r="BJ627" s="4"/>
      <c r="BK627" s="4"/>
      <c r="BL627" s="4"/>
      <c r="BM627" s="4"/>
      <c r="BN627" s="4"/>
      <c r="BO627" s="4"/>
      <c r="BP627" s="4"/>
      <c r="BQ627" s="4"/>
      <c r="BR627" s="4"/>
      <c r="BS627" s="654"/>
      <c r="BT627" s="655"/>
      <c r="BU627" s="4"/>
      <c r="BV627" s="4"/>
      <c r="BW627" s="4"/>
      <c r="BX627" s="4"/>
      <c r="BY627" s="4"/>
      <c r="BZ627" s="4"/>
      <c r="CA627" s="4"/>
      <c r="CB627" s="4"/>
      <c r="CC627" s="4"/>
      <c r="CD627" s="4"/>
      <c r="CE627" s="693"/>
      <c r="CF627" s="723"/>
      <c r="CG627" s="4"/>
      <c r="CH627" s="4"/>
      <c r="CI627" s="4"/>
      <c r="CJ627" s="4"/>
      <c r="CK627" s="4"/>
      <c r="CL627" s="4"/>
      <c r="CM627" s="4"/>
      <c r="CN627" s="4">
        <v>62</v>
      </c>
      <c r="CO627" s="4"/>
      <c r="CP627" s="4"/>
      <c r="CQ627" s="654"/>
      <c r="CR627" s="655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654"/>
      <c r="DD627" s="655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654"/>
      <c r="DP627" s="655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654"/>
      <c r="EB627" s="655"/>
      <c r="EC627" s="4"/>
      <c r="ED627" s="4"/>
      <c r="EE627" s="4"/>
      <c r="EF627" s="4"/>
      <c r="EG627" s="4"/>
      <c r="EH627" s="4"/>
      <c r="EI627" s="4"/>
      <c r="EJ627" s="4"/>
      <c r="EK627" s="4"/>
      <c r="EL627" s="4"/>
      <c r="EM627" s="693"/>
      <c r="EN627" s="723"/>
      <c r="EO627" s="4"/>
      <c r="EP627" s="4"/>
      <c r="EQ627" s="4"/>
      <c r="ER627" s="4"/>
      <c r="ES627" s="4"/>
      <c r="ET627" s="4"/>
      <c r="EU627" s="4"/>
      <c r="EV627" s="4">
        <v>62</v>
      </c>
      <c r="EW627" s="4"/>
      <c r="EX627" s="4"/>
      <c r="EY627" s="654"/>
      <c r="EZ627" s="655"/>
      <c r="FA627" s="4"/>
      <c r="FB627" s="4"/>
      <c r="FC627" s="4"/>
      <c r="FD627" s="4"/>
      <c r="FE627" s="4"/>
      <c r="FF627" s="4"/>
      <c r="FG627" s="4"/>
      <c r="FH627" s="4"/>
      <c r="FI627" s="4"/>
      <c r="FJ627" s="4"/>
      <c r="FK627" s="654"/>
      <c r="FL627" s="655"/>
      <c r="FM627" s="4"/>
      <c r="FN627" s="4"/>
      <c r="FO627" s="4"/>
      <c r="FP627" s="4"/>
      <c r="FQ627" s="4"/>
      <c r="FR627" s="4"/>
      <c r="FS627" s="4"/>
      <c r="FT627" s="4"/>
      <c r="FU627" s="4"/>
      <c r="FV627" s="4"/>
      <c r="FW627" s="654"/>
      <c r="FX627" s="655"/>
      <c r="FY627" s="4"/>
      <c r="FZ627" s="4"/>
      <c r="GA627" s="4"/>
      <c r="GB627" s="4"/>
      <c r="GC627" s="4"/>
      <c r="GD627" s="4"/>
      <c r="GE627" s="4"/>
      <c r="GF627" s="4"/>
      <c r="GG627" s="4"/>
      <c r="GH627" s="4"/>
      <c r="GI627" s="654"/>
      <c r="GJ627" s="655"/>
      <c r="GK627" s="4"/>
      <c r="GL627" s="4"/>
      <c r="GM627" s="4"/>
      <c r="GN627" s="4"/>
      <c r="GO627" s="4"/>
      <c r="GP627" s="4"/>
      <c r="GQ627" s="4"/>
      <c r="GR627" s="4"/>
      <c r="GS627" s="4"/>
      <c r="GT627" s="4"/>
      <c r="GU627" s="722"/>
      <c r="GV627" s="715"/>
    </row>
    <row r="628" spans="1:204" x14ac:dyDescent="0.25">
      <c r="A628" t="s">
        <v>2253</v>
      </c>
      <c r="B628" s="2" t="s">
        <v>358</v>
      </c>
      <c r="C628" s="619">
        <v>44802</v>
      </c>
      <c r="D628" s="2" t="s">
        <v>2243</v>
      </c>
      <c r="E628" t="s">
        <v>58</v>
      </c>
      <c r="F628" s="2" t="s">
        <v>43</v>
      </c>
      <c r="G628" t="s">
        <v>40</v>
      </c>
      <c r="H628" s="690" t="s">
        <v>84</v>
      </c>
      <c r="I628" s="691" t="s">
        <v>1132</v>
      </c>
      <c r="J628" s="721" t="s">
        <v>2206</v>
      </c>
      <c r="K628" s="691" t="s">
        <v>43</v>
      </c>
      <c r="L628" s="721" t="s">
        <v>2146</v>
      </c>
      <c r="M628" s="718" t="s">
        <v>3</v>
      </c>
      <c r="N628" s="717" t="s">
        <v>44</v>
      </c>
      <c r="O628" s="719">
        <v>44835</v>
      </c>
      <c r="P628" s="720">
        <v>44865</v>
      </c>
      <c r="Q628" s="718">
        <v>86</v>
      </c>
      <c r="R628" s="717">
        <v>2</v>
      </c>
      <c r="S628" s="691" t="s">
        <v>54</v>
      </c>
      <c r="T628" t="s">
        <v>358</v>
      </c>
      <c r="U628" s="673" t="s">
        <v>358</v>
      </c>
      <c r="V628" s="690" t="s">
        <v>358</v>
      </c>
      <c r="W628" s="657" t="s">
        <v>214</v>
      </c>
      <c r="X628" s="723"/>
      <c r="Y628" s="4"/>
      <c r="Z628" s="4"/>
      <c r="AA628" s="4"/>
      <c r="AB628" s="4"/>
      <c r="AC628" s="4"/>
      <c r="AD628" s="4"/>
      <c r="AE628" s="4"/>
      <c r="AF628" s="4"/>
      <c r="AG628" s="4">
        <v>2</v>
      </c>
      <c r="AH628" s="4"/>
      <c r="AI628" s="654"/>
      <c r="AJ628" s="655"/>
      <c r="AK628" s="4"/>
      <c r="AL628" s="4"/>
      <c r="AM628" s="4"/>
      <c r="AN628" s="4"/>
      <c r="AO628" s="4"/>
      <c r="AP628" s="4"/>
      <c r="AQ628" s="4"/>
      <c r="AR628" s="4"/>
      <c r="AS628" s="4"/>
      <c r="AT628" s="4"/>
      <c r="AU628" s="654"/>
      <c r="AV628" s="655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654"/>
      <c r="BH628" s="655"/>
      <c r="BI628" s="4"/>
      <c r="BJ628" s="4"/>
      <c r="BK628" s="4"/>
      <c r="BL628" s="4"/>
      <c r="BM628" s="4"/>
      <c r="BN628" s="4"/>
      <c r="BO628" s="4"/>
      <c r="BP628" s="4"/>
      <c r="BQ628" s="4"/>
      <c r="BR628" s="4"/>
      <c r="BS628" s="654"/>
      <c r="BT628" s="655"/>
      <c r="BU628" s="4"/>
      <c r="BV628" s="4"/>
      <c r="BW628" s="4"/>
      <c r="BX628" s="4"/>
      <c r="BY628" s="4"/>
      <c r="BZ628" s="4"/>
      <c r="CA628" s="4"/>
      <c r="CB628" s="4"/>
      <c r="CC628" s="4"/>
      <c r="CD628" s="4"/>
      <c r="CE628" s="693"/>
      <c r="CF628" s="723"/>
      <c r="CG628" s="4"/>
      <c r="CH628" s="4"/>
      <c r="CI628" s="4"/>
      <c r="CJ628" s="4"/>
      <c r="CK628" s="4"/>
      <c r="CL628" s="4"/>
      <c r="CM628" s="4"/>
      <c r="CN628" s="4"/>
      <c r="CO628" s="4">
        <v>86</v>
      </c>
      <c r="CP628" s="4"/>
      <c r="CQ628" s="654"/>
      <c r="CR628" s="655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654"/>
      <c r="DD628" s="655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654"/>
      <c r="DP628" s="655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654"/>
      <c r="EB628" s="655"/>
      <c r="EC628" s="4"/>
      <c r="ED628" s="4"/>
      <c r="EE628" s="4"/>
      <c r="EF628" s="4"/>
      <c r="EG628" s="4"/>
      <c r="EH628" s="4"/>
      <c r="EI628" s="4"/>
      <c r="EJ628" s="4"/>
      <c r="EK628" s="4"/>
      <c r="EL628" s="4"/>
      <c r="EM628" s="693"/>
      <c r="EN628" s="723"/>
      <c r="EO628" s="4"/>
      <c r="EP628" s="4"/>
      <c r="EQ628" s="4"/>
      <c r="ER628" s="4"/>
      <c r="ES628" s="4"/>
      <c r="ET628" s="4"/>
      <c r="EU628" s="4"/>
      <c r="EV628" s="4"/>
      <c r="EW628" s="4">
        <v>86</v>
      </c>
      <c r="EX628" s="4"/>
      <c r="EY628" s="654"/>
      <c r="EZ628" s="655"/>
      <c r="FA628" s="4"/>
      <c r="FB628" s="4"/>
      <c r="FC628" s="4"/>
      <c r="FD628" s="4"/>
      <c r="FE628" s="4"/>
      <c r="FF628" s="4"/>
      <c r="FG628" s="4"/>
      <c r="FH628" s="4"/>
      <c r="FI628" s="4"/>
      <c r="FJ628" s="4"/>
      <c r="FK628" s="654"/>
      <c r="FL628" s="655"/>
      <c r="FM628" s="4"/>
      <c r="FN628" s="4"/>
      <c r="FO628" s="4"/>
      <c r="FP628" s="4"/>
      <c r="FQ628" s="4"/>
      <c r="FR628" s="4"/>
      <c r="FS628" s="4"/>
      <c r="FT628" s="4"/>
      <c r="FU628" s="4"/>
      <c r="FV628" s="4"/>
      <c r="FW628" s="654"/>
      <c r="FX628" s="655"/>
      <c r="FY628" s="4"/>
      <c r="FZ628" s="4"/>
      <c r="GA628" s="4"/>
      <c r="GB628" s="4"/>
      <c r="GC628" s="4"/>
      <c r="GD628" s="4"/>
      <c r="GE628" s="4"/>
      <c r="GF628" s="4"/>
      <c r="GG628" s="4"/>
      <c r="GH628" s="4"/>
      <c r="GI628" s="654"/>
      <c r="GJ628" s="655"/>
      <c r="GK628" s="4"/>
      <c r="GL628" s="4"/>
      <c r="GM628" s="4"/>
      <c r="GN628" s="4"/>
      <c r="GO628" s="4"/>
      <c r="GP628" s="4"/>
      <c r="GQ628" s="4"/>
      <c r="GR628" s="4"/>
      <c r="GS628" s="4"/>
      <c r="GT628" s="4"/>
      <c r="GU628" s="722"/>
      <c r="GV628" s="715"/>
    </row>
    <row r="629" spans="1:204" x14ac:dyDescent="0.25">
      <c r="A629" t="s">
        <v>2260</v>
      </c>
      <c r="B629" s="2" t="s">
        <v>2259</v>
      </c>
      <c r="C629" s="619">
        <v>44803</v>
      </c>
      <c r="D629" s="2" t="s">
        <v>2254</v>
      </c>
      <c r="E629" t="s">
        <v>58</v>
      </c>
      <c r="F629" s="2" t="s">
        <v>43</v>
      </c>
      <c r="G629" t="s">
        <v>40</v>
      </c>
      <c r="H629" s="690" t="s">
        <v>84</v>
      </c>
      <c r="I629" s="691" t="s">
        <v>471</v>
      </c>
      <c r="J629" s="721" t="s">
        <v>2244</v>
      </c>
      <c r="K629" s="691" t="s">
        <v>43</v>
      </c>
      <c r="L629" s="721" t="s">
        <v>2146</v>
      </c>
      <c r="M629" s="718" t="s">
        <v>5</v>
      </c>
      <c r="N629" s="717" t="s">
        <v>44</v>
      </c>
      <c r="O629" s="719">
        <v>44774</v>
      </c>
      <c r="P629" s="720">
        <v>44804</v>
      </c>
      <c r="Q629" s="718">
        <v>29</v>
      </c>
      <c r="R629" s="717">
        <v>3</v>
      </c>
      <c r="S629" s="691" t="s">
        <v>92</v>
      </c>
      <c r="T629" t="s">
        <v>358</v>
      </c>
      <c r="U629" s="673" t="s">
        <v>358</v>
      </c>
      <c r="V629" s="690" t="s">
        <v>358</v>
      </c>
      <c r="W629" s="657" t="s">
        <v>329</v>
      </c>
      <c r="X629" s="723"/>
      <c r="Y629" s="4"/>
      <c r="Z629" s="4"/>
      <c r="AA629" s="4"/>
      <c r="AB629" s="4"/>
      <c r="AC629" s="4"/>
      <c r="AD629" s="4"/>
      <c r="AE629" s="4">
        <v>3</v>
      </c>
      <c r="AF629" s="4"/>
      <c r="AG629" s="4"/>
      <c r="AH629" s="4"/>
      <c r="AI629" s="654"/>
      <c r="AJ629" s="655"/>
      <c r="AK629" s="4"/>
      <c r="AL629" s="4"/>
      <c r="AM629" s="4"/>
      <c r="AN629" s="4"/>
      <c r="AO629" s="4"/>
      <c r="AP629" s="4"/>
      <c r="AQ629" s="4"/>
      <c r="AR629" s="4"/>
      <c r="AS629" s="4"/>
      <c r="AT629" s="4"/>
      <c r="AU629" s="654"/>
      <c r="AV629" s="655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654"/>
      <c r="BH629" s="655"/>
      <c r="BI629" s="4"/>
      <c r="BJ629" s="4"/>
      <c r="BK629" s="4"/>
      <c r="BL629" s="4"/>
      <c r="BM629" s="4"/>
      <c r="BN629" s="4"/>
      <c r="BO629" s="4"/>
      <c r="BP629" s="4"/>
      <c r="BQ629" s="4"/>
      <c r="BR629" s="4"/>
      <c r="BS629" s="654"/>
      <c r="BT629" s="655"/>
      <c r="BU629" s="4"/>
      <c r="BV629" s="4"/>
      <c r="BW629" s="4"/>
      <c r="BX629" s="4"/>
      <c r="BY629" s="4"/>
      <c r="BZ629" s="4"/>
      <c r="CA629" s="4"/>
      <c r="CB629" s="4"/>
      <c r="CC629" s="4"/>
      <c r="CD629" s="4"/>
      <c r="CE629" s="693"/>
      <c r="CF629" s="723"/>
      <c r="CG629" s="4"/>
      <c r="CH629" s="4"/>
      <c r="CI629" s="4"/>
      <c r="CJ629" s="4"/>
      <c r="CK629" s="4"/>
      <c r="CL629" s="4"/>
      <c r="CM629" s="4">
        <v>29</v>
      </c>
      <c r="CN629" s="4"/>
      <c r="CO629" s="4"/>
      <c r="CP629" s="4"/>
      <c r="CQ629" s="654"/>
      <c r="CR629" s="655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654"/>
      <c r="DD629" s="655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654"/>
      <c r="DP629" s="655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654"/>
      <c r="EB629" s="655"/>
      <c r="EC629" s="4"/>
      <c r="ED629" s="4"/>
      <c r="EE629" s="4"/>
      <c r="EF629" s="4"/>
      <c r="EG629" s="4"/>
      <c r="EH629" s="4"/>
      <c r="EI629" s="4"/>
      <c r="EJ629" s="4"/>
      <c r="EK629" s="4"/>
      <c r="EL629" s="4"/>
      <c r="EM629" s="693"/>
      <c r="EN629" s="723"/>
      <c r="EO629" s="4"/>
      <c r="EP629" s="4"/>
      <c r="EQ629" s="4"/>
      <c r="ER629" s="4"/>
      <c r="ES629" s="4"/>
      <c r="ET629" s="4"/>
      <c r="EU629" s="4">
        <v>105.9</v>
      </c>
      <c r="EV629" s="4"/>
      <c r="EW629" s="4"/>
      <c r="EX629" s="4"/>
      <c r="EY629" s="654"/>
      <c r="EZ629" s="655"/>
      <c r="FA629" s="4"/>
      <c r="FB629" s="4"/>
      <c r="FC629" s="4"/>
      <c r="FD629" s="4"/>
      <c r="FE629" s="4"/>
      <c r="FF629" s="4"/>
      <c r="FG629" s="4"/>
      <c r="FH629" s="4"/>
      <c r="FI629" s="4"/>
      <c r="FJ629" s="4"/>
      <c r="FK629" s="654"/>
      <c r="FL629" s="655"/>
      <c r="FM629" s="4"/>
      <c r="FN629" s="4"/>
      <c r="FO629" s="4"/>
      <c r="FP629" s="4"/>
      <c r="FQ629" s="4"/>
      <c r="FR629" s="4"/>
      <c r="FS629" s="4"/>
      <c r="FT629" s="4"/>
      <c r="FU629" s="4"/>
      <c r="FV629" s="4"/>
      <c r="FW629" s="654"/>
      <c r="FX629" s="655"/>
      <c r="FY629" s="4"/>
      <c r="FZ629" s="4"/>
      <c r="GA629" s="4"/>
      <c r="GB629" s="4"/>
      <c r="GC629" s="4"/>
      <c r="GD629" s="4"/>
      <c r="GE629" s="4"/>
      <c r="GF629" s="4"/>
      <c r="GG629" s="4"/>
      <c r="GH629" s="4"/>
      <c r="GI629" s="654"/>
      <c r="GJ629" s="655"/>
      <c r="GK629" s="4"/>
      <c r="GL629" s="4"/>
      <c r="GM629" s="4"/>
      <c r="GN629" s="4"/>
      <c r="GO629" s="4"/>
      <c r="GP629" s="4"/>
      <c r="GQ629" s="4"/>
      <c r="GR629" s="4"/>
      <c r="GS629" s="4"/>
      <c r="GT629" s="4"/>
      <c r="GU629" s="722"/>
      <c r="GV629" s="715"/>
    </row>
    <row r="630" spans="1:204" x14ac:dyDescent="0.25">
      <c r="A630" t="s">
        <v>2262</v>
      </c>
      <c r="B630" s="2" t="s">
        <v>2261</v>
      </c>
      <c r="C630" s="619">
        <v>44803</v>
      </c>
      <c r="D630" s="2" t="s">
        <v>2255</v>
      </c>
      <c r="E630" t="s">
        <v>58</v>
      </c>
      <c r="F630" s="2" t="s">
        <v>43</v>
      </c>
      <c r="G630" t="s">
        <v>40</v>
      </c>
      <c r="H630" s="690" t="s">
        <v>84</v>
      </c>
      <c r="I630" s="691" t="s">
        <v>2050</v>
      </c>
      <c r="J630" s="721" t="s">
        <v>2257</v>
      </c>
      <c r="K630" s="691" t="s">
        <v>43</v>
      </c>
      <c r="L630" s="721" t="s">
        <v>2146</v>
      </c>
      <c r="M630" s="718" t="s">
        <v>5</v>
      </c>
      <c r="N630" s="717" t="s">
        <v>44</v>
      </c>
      <c r="O630" s="719">
        <v>44774</v>
      </c>
      <c r="P630" s="720">
        <v>44804</v>
      </c>
      <c r="Q630" s="718">
        <v>29</v>
      </c>
      <c r="R630" s="717">
        <v>10</v>
      </c>
      <c r="S630" s="691" t="s">
        <v>92</v>
      </c>
      <c r="T630" t="s">
        <v>358</v>
      </c>
      <c r="U630" s="673" t="s">
        <v>358</v>
      </c>
      <c r="V630" s="690" t="s">
        <v>358</v>
      </c>
      <c r="W630" s="657" t="s">
        <v>329</v>
      </c>
      <c r="X630" s="723"/>
      <c r="Y630" s="4"/>
      <c r="Z630" s="4"/>
      <c r="AA630" s="4"/>
      <c r="AB630" s="4"/>
      <c r="AC630" s="4"/>
      <c r="AD630" s="4"/>
      <c r="AE630" s="4">
        <v>10</v>
      </c>
      <c r="AF630" s="4"/>
      <c r="AG630" s="4"/>
      <c r="AH630" s="4"/>
      <c r="AI630" s="654"/>
      <c r="AJ630" s="655"/>
      <c r="AK630" s="4"/>
      <c r="AL630" s="4"/>
      <c r="AM630" s="4"/>
      <c r="AN630" s="4"/>
      <c r="AO630" s="4"/>
      <c r="AP630" s="4"/>
      <c r="AQ630" s="4"/>
      <c r="AR630" s="4"/>
      <c r="AS630" s="4"/>
      <c r="AT630" s="4"/>
      <c r="AU630" s="654"/>
      <c r="AV630" s="655"/>
      <c r="AW630" s="4"/>
      <c r="AX630" s="4"/>
      <c r="AY630" s="4"/>
      <c r="AZ630" s="4"/>
      <c r="BA630" s="4"/>
      <c r="BB630" s="4"/>
      <c r="BC630" s="4"/>
      <c r="BD630" s="4"/>
      <c r="BE630" s="4"/>
      <c r="BF630" s="4"/>
      <c r="BG630" s="654"/>
      <c r="BH630" s="655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654"/>
      <c r="BT630" s="655"/>
      <c r="BU630" s="4"/>
      <c r="BV630" s="4"/>
      <c r="BW630" s="4"/>
      <c r="BX630" s="4"/>
      <c r="BY630" s="4"/>
      <c r="BZ630" s="4"/>
      <c r="CA630" s="4"/>
      <c r="CB630" s="4"/>
      <c r="CC630" s="4"/>
      <c r="CD630" s="4"/>
      <c r="CE630" s="693"/>
      <c r="CF630" s="723"/>
      <c r="CG630" s="4"/>
      <c r="CH630" s="4"/>
      <c r="CI630" s="4"/>
      <c r="CJ630" s="4"/>
      <c r="CK630" s="4"/>
      <c r="CL630" s="4"/>
      <c r="CM630" s="4">
        <v>29</v>
      </c>
      <c r="CN630" s="4"/>
      <c r="CO630" s="4"/>
      <c r="CP630" s="4"/>
      <c r="CQ630" s="654"/>
      <c r="CR630" s="655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654"/>
      <c r="DD630" s="655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654"/>
      <c r="DP630" s="655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654"/>
      <c r="EB630" s="655"/>
      <c r="EC630" s="4"/>
      <c r="ED630" s="4"/>
      <c r="EE630" s="4"/>
      <c r="EF630" s="4"/>
      <c r="EG630" s="4"/>
      <c r="EH630" s="4"/>
      <c r="EI630" s="4"/>
      <c r="EJ630" s="4"/>
      <c r="EK630" s="4"/>
      <c r="EL630" s="4"/>
      <c r="EM630" s="693"/>
      <c r="EN630" s="723"/>
      <c r="EO630" s="4"/>
      <c r="EP630" s="4"/>
      <c r="EQ630" s="4"/>
      <c r="ER630" s="4"/>
      <c r="ES630" s="4"/>
      <c r="ET630" s="4"/>
      <c r="EU630" s="4">
        <v>105.9</v>
      </c>
      <c r="EV630" s="4"/>
      <c r="EW630" s="4"/>
      <c r="EX630" s="4"/>
      <c r="EY630" s="654"/>
      <c r="EZ630" s="655"/>
      <c r="FA630" s="4"/>
      <c r="FB630" s="4"/>
      <c r="FC630" s="4"/>
      <c r="FD630" s="4"/>
      <c r="FE630" s="4"/>
      <c r="FF630" s="4"/>
      <c r="FG630" s="4"/>
      <c r="FH630" s="4"/>
      <c r="FI630" s="4"/>
      <c r="FJ630" s="4"/>
      <c r="FK630" s="654"/>
      <c r="FL630" s="655"/>
      <c r="FM630" s="4"/>
      <c r="FN630" s="4"/>
      <c r="FO630" s="4"/>
      <c r="FP630" s="4"/>
      <c r="FQ630" s="4"/>
      <c r="FR630" s="4"/>
      <c r="FS630" s="4"/>
      <c r="FT630" s="4"/>
      <c r="FU630" s="4"/>
      <c r="FV630" s="4"/>
      <c r="FW630" s="654"/>
      <c r="FX630" s="655"/>
      <c r="FY630" s="4"/>
      <c r="FZ630" s="4"/>
      <c r="GA630" s="4"/>
      <c r="GB630" s="4"/>
      <c r="GC630" s="4"/>
      <c r="GD630" s="4"/>
      <c r="GE630" s="4"/>
      <c r="GF630" s="4"/>
      <c r="GG630" s="4"/>
      <c r="GH630" s="4"/>
      <c r="GI630" s="654"/>
      <c r="GJ630" s="655"/>
      <c r="GK630" s="4"/>
      <c r="GL630" s="4"/>
      <c r="GM630" s="4"/>
      <c r="GN630" s="4"/>
      <c r="GO630" s="4"/>
      <c r="GP630" s="4"/>
      <c r="GQ630" s="4"/>
      <c r="GR630" s="4"/>
      <c r="GS630" s="4"/>
      <c r="GT630" s="4"/>
      <c r="GU630" s="722"/>
      <c r="GV630" s="715"/>
    </row>
    <row r="631" spans="1:204" x14ac:dyDescent="0.25">
      <c r="A631" t="s">
        <v>2264</v>
      </c>
      <c r="B631" s="2" t="s">
        <v>2263</v>
      </c>
      <c r="C631" s="619">
        <v>44803</v>
      </c>
      <c r="D631" s="2" t="s">
        <v>2256</v>
      </c>
      <c r="E631" t="s">
        <v>58</v>
      </c>
      <c r="F631" s="2" t="s">
        <v>43</v>
      </c>
      <c r="G631" t="s">
        <v>40</v>
      </c>
      <c r="H631" s="690" t="s">
        <v>84</v>
      </c>
      <c r="I631" s="691" t="s">
        <v>2085</v>
      </c>
      <c r="J631" s="721" t="s">
        <v>2258</v>
      </c>
      <c r="K631" s="691" t="s">
        <v>43</v>
      </c>
      <c r="L631" s="721" t="s">
        <v>2146</v>
      </c>
      <c r="M631" s="718" t="s">
        <v>5</v>
      </c>
      <c r="N631" s="717" t="s">
        <v>44</v>
      </c>
      <c r="O631" s="719">
        <v>44774</v>
      </c>
      <c r="P631" s="720">
        <v>44804</v>
      </c>
      <c r="Q631" s="718">
        <v>106</v>
      </c>
      <c r="R631" s="717">
        <v>9</v>
      </c>
      <c r="S631" s="691" t="s">
        <v>54</v>
      </c>
      <c r="T631" t="s">
        <v>358</v>
      </c>
      <c r="U631" s="673" t="s">
        <v>358</v>
      </c>
      <c r="V631" s="690" t="s">
        <v>358</v>
      </c>
      <c r="W631" s="657" t="s">
        <v>329</v>
      </c>
      <c r="X631" s="723"/>
      <c r="Y631" s="4"/>
      <c r="Z631" s="4"/>
      <c r="AA631" s="4"/>
      <c r="AB631" s="4"/>
      <c r="AC631" s="4"/>
      <c r="AD631" s="4"/>
      <c r="AE631" s="4">
        <v>9</v>
      </c>
      <c r="AF631" s="4"/>
      <c r="AG631" s="4"/>
      <c r="AH631" s="4"/>
      <c r="AI631" s="654"/>
      <c r="AJ631" s="655"/>
      <c r="AK631" s="4"/>
      <c r="AL631" s="4"/>
      <c r="AM631" s="4"/>
      <c r="AN631" s="4"/>
      <c r="AO631" s="4"/>
      <c r="AP631" s="4"/>
      <c r="AQ631" s="4"/>
      <c r="AR631" s="4"/>
      <c r="AS631" s="4"/>
      <c r="AT631" s="4"/>
      <c r="AU631" s="654"/>
      <c r="AV631" s="655"/>
      <c r="AW631" s="4"/>
      <c r="AX631" s="4"/>
      <c r="AY631" s="4"/>
      <c r="AZ631" s="4"/>
      <c r="BA631" s="4"/>
      <c r="BB631" s="4"/>
      <c r="BC631" s="4"/>
      <c r="BD631" s="4"/>
      <c r="BE631" s="4"/>
      <c r="BF631" s="4"/>
      <c r="BG631" s="654"/>
      <c r="BH631" s="655"/>
      <c r="BI631" s="4"/>
      <c r="BJ631" s="4"/>
      <c r="BK631" s="4"/>
      <c r="BL631" s="4"/>
      <c r="BM631" s="4"/>
      <c r="BN631" s="4"/>
      <c r="BO631" s="4"/>
      <c r="BP631" s="4"/>
      <c r="BQ631" s="4"/>
      <c r="BR631" s="4"/>
      <c r="BS631" s="654"/>
      <c r="BT631" s="655"/>
      <c r="BU631" s="4"/>
      <c r="BV631" s="4"/>
      <c r="BW631" s="4"/>
      <c r="BX631" s="4"/>
      <c r="BY631" s="4"/>
      <c r="BZ631" s="4"/>
      <c r="CA631" s="4"/>
      <c r="CB631" s="4"/>
      <c r="CC631" s="4"/>
      <c r="CD631" s="4"/>
      <c r="CE631" s="693"/>
      <c r="CF631" s="723"/>
      <c r="CG631" s="4"/>
      <c r="CH631" s="4"/>
      <c r="CI631" s="4"/>
      <c r="CJ631" s="4"/>
      <c r="CK631" s="4"/>
      <c r="CL631" s="4"/>
      <c r="CM631" s="4">
        <v>106</v>
      </c>
      <c r="CN631" s="4"/>
      <c r="CO631" s="4"/>
      <c r="CP631" s="4"/>
      <c r="CQ631" s="654"/>
      <c r="CR631" s="655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654"/>
      <c r="DD631" s="655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654"/>
      <c r="DP631" s="655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654"/>
      <c r="EB631" s="655"/>
      <c r="EC631" s="4"/>
      <c r="ED631" s="4"/>
      <c r="EE631" s="4"/>
      <c r="EF631" s="4"/>
      <c r="EG631" s="4"/>
      <c r="EH631" s="4"/>
      <c r="EI631" s="4"/>
      <c r="EJ631" s="4"/>
      <c r="EK631" s="4"/>
      <c r="EL631" s="4"/>
      <c r="EM631" s="693"/>
      <c r="EN631" s="723"/>
      <c r="EO631" s="4"/>
      <c r="EP631" s="4"/>
      <c r="EQ631" s="4"/>
      <c r="ER631" s="4"/>
      <c r="ES631" s="4"/>
      <c r="ET631" s="4"/>
      <c r="EU631" s="4">
        <v>106</v>
      </c>
      <c r="EV631" s="4"/>
      <c r="EW631" s="4"/>
      <c r="EX631" s="4"/>
      <c r="EY631" s="654"/>
      <c r="EZ631" s="655"/>
      <c r="FA631" s="4"/>
      <c r="FB631" s="4"/>
      <c r="FC631" s="4"/>
      <c r="FD631" s="4"/>
      <c r="FE631" s="4"/>
      <c r="FF631" s="4"/>
      <c r="FG631" s="4"/>
      <c r="FH631" s="4"/>
      <c r="FI631" s="4"/>
      <c r="FJ631" s="4"/>
      <c r="FK631" s="654"/>
      <c r="FL631" s="655"/>
      <c r="FM631" s="4"/>
      <c r="FN631" s="4"/>
      <c r="FO631" s="4"/>
      <c r="FP631" s="4"/>
      <c r="FQ631" s="4"/>
      <c r="FR631" s="4"/>
      <c r="FS631" s="4"/>
      <c r="FT631" s="4"/>
      <c r="FU631" s="4"/>
      <c r="FV631" s="4"/>
      <c r="FW631" s="654"/>
      <c r="FX631" s="655"/>
      <c r="FY631" s="4"/>
      <c r="FZ631" s="4"/>
      <c r="GA631" s="4"/>
      <c r="GB631" s="4"/>
      <c r="GC631" s="4"/>
      <c r="GD631" s="4"/>
      <c r="GE631" s="4"/>
      <c r="GF631" s="4"/>
      <c r="GG631" s="4"/>
      <c r="GH631" s="4"/>
      <c r="GI631" s="654"/>
      <c r="GJ631" s="655"/>
      <c r="GK631" s="4"/>
      <c r="GL631" s="4"/>
      <c r="GM631" s="4"/>
      <c r="GN631" s="4"/>
      <c r="GO631" s="4"/>
      <c r="GP631" s="4"/>
      <c r="GQ631" s="4"/>
      <c r="GR631" s="4"/>
      <c r="GS631" s="4"/>
      <c r="GT631" s="4"/>
      <c r="GU631" s="722"/>
      <c r="GV631" s="715"/>
    </row>
    <row r="632" spans="1:204" x14ac:dyDescent="0.25">
      <c r="A632" t="s">
        <v>2269</v>
      </c>
      <c r="B632" s="2" t="s">
        <v>358</v>
      </c>
      <c r="C632" s="619">
        <v>44804</v>
      </c>
      <c r="D632" s="2" t="s">
        <v>2265</v>
      </c>
      <c r="E632" t="s">
        <v>58</v>
      </c>
      <c r="F632" s="2" t="s">
        <v>2473</v>
      </c>
      <c r="G632" t="s">
        <v>40</v>
      </c>
      <c r="H632" s="690" t="s">
        <v>84</v>
      </c>
      <c r="I632" s="691" t="s">
        <v>478</v>
      </c>
      <c r="J632" s="721" t="s">
        <v>2174</v>
      </c>
      <c r="K632" s="691" t="s">
        <v>2473</v>
      </c>
      <c r="L632" s="721" t="s">
        <v>2146</v>
      </c>
      <c r="M632" s="718" t="s">
        <v>3</v>
      </c>
      <c r="N632" s="717" t="s">
        <v>44</v>
      </c>
      <c r="O632" s="719">
        <v>44835</v>
      </c>
      <c r="P632" s="720">
        <v>44865</v>
      </c>
      <c r="Q632" s="718">
        <v>83.5</v>
      </c>
      <c r="R632" s="717">
        <v>3</v>
      </c>
      <c r="S632" s="691" t="s">
        <v>54</v>
      </c>
      <c r="T632" t="s">
        <v>358</v>
      </c>
      <c r="U632" s="673" t="s">
        <v>358</v>
      </c>
      <c r="V632" s="690" t="s">
        <v>358</v>
      </c>
      <c r="W632" s="657" t="s">
        <v>214</v>
      </c>
      <c r="X632" s="723"/>
      <c r="Y632" s="4"/>
      <c r="Z632" s="4"/>
      <c r="AA632" s="4"/>
      <c r="AB632" s="4"/>
      <c r="AC632" s="4"/>
      <c r="AD632" s="4"/>
      <c r="AE632" s="4"/>
      <c r="AF632" s="4"/>
      <c r="AG632" s="4">
        <v>3</v>
      </c>
      <c r="AH632" s="4"/>
      <c r="AI632" s="654"/>
      <c r="AJ632" s="655"/>
      <c r="AK632" s="4"/>
      <c r="AL632" s="4"/>
      <c r="AM632" s="4"/>
      <c r="AN632" s="4"/>
      <c r="AO632" s="4"/>
      <c r="AP632" s="4"/>
      <c r="AQ632" s="4"/>
      <c r="AR632" s="4"/>
      <c r="AS632" s="4"/>
      <c r="AT632" s="4"/>
      <c r="AU632" s="654"/>
      <c r="AV632" s="655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654"/>
      <c r="BH632" s="655"/>
      <c r="BI632" s="4"/>
      <c r="BJ632" s="4"/>
      <c r="BK632" s="4"/>
      <c r="BL632" s="4"/>
      <c r="BM632" s="4"/>
      <c r="BN632" s="4"/>
      <c r="BO632" s="4"/>
      <c r="BP632" s="4"/>
      <c r="BQ632" s="4"/>
      <c r="BR632" s="4"/>
      <c r="BS632" s="654"/>
      <c r="BT632" s="655"/>
      <c r="BU632" s="4"/>
      <c r="BV632" s="4"/>
      <c r="BW632" s="4"/>
      <c r="BX632" s="4"/>
      <c r="BY632" s="4"/>
      <c r="BZ632" s="4"/>
      <c r="CA632" s="4"/>
      <c r="CB632" s="4"/>
      <c r="CC632" s="4"/>
      <c r="CD632" s="4"/>
      <c r="CE632" s="693"/>
      <c r="CF632" s="723"/>
      <c r="CG632" s="4"/>
      <c r="CH632" s="4"/>
      <c r="CI632" s="4"/>
      <c r="CJ632" s="4"/>
      <c r="CK632" s="4"/>
      <c r="CL632" s="4"/>
      <c r="CM632" s="4"/>
      <c r="CN632" s="4"/>
      <c r="CO632" s="4">
        <v>83.5</v>
      </c>
      <c r="CP632" s="4"/>
      <c r="CQ632" s="654"/>
      <c r="CR632" s="655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654"/>
      <c r="DD632" s="655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654"/>
      <c r="DP632" s="655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654"/>
      <c r="EB632" s="655"/>
      <c r="EC632" s="4"/>
      <c r="ED632" s="4"/>
      <c r="EE632" s="4"/>
      <c r="EF632" s="4"/>
      <c r="EG632" s="4"/>
      <c r="EH632" s="4"/>
      <c r="EI632" s="4"/>
      <c r="EJ632" s="4"/>
      <c r="EK632" s="4"/>
      <c r="EL632" s="4"/>
      <c r="EM632" s="693"/>
      <c r="EN632" s="723"/>
      <c r="EO632" s="4"/>
      <c r="EP632" s="4"/>
      <c r="EQ632" s="4"/>
      <c r="ER632" s="4"/>
      <c r="ES632" s="4"/>
      <c r="ET632" s="4"/>
      <c r="EU632" s="4"/>
      <c r="EV632" s="4"/>
      <c r="EW632" s="4">
        <v>83.5</v>
      </c>
      <c r="EX632" s="4"/>
      <c r="EY632" s="654"/>
      <c r="EZ632" s="655"/>
      <c r="FA632" s="4"/>
      <c r="FB632" s="4"/>
      <c r="FC632" s="4"/>
      <c r="FD632" s="4"/>
      <c r="FE632" s="4"/>
      <c r="FF632" s="4"/>
      <c r="FG632" s="4"/>
      <c r="FH632" s="4"/>
      <c r="FI632" s="4"/>
      <c r="FJ632" s="4"/>
      <c r="FK632" s="654"/>
      <c r="FL632" s="655"/>
      <c r="FM632" s="4"/>
      <c r="FN632" s="4"/>
      <c r="FO632" s="4"/>
      <c r="FP632" s="4"/>
      <c r="FQ632" s="4"/>
      <c r="FR632" s="4"/>
      <c r="FS632" s="4"/>
      <c r="FT632" s="4"/>
      <c r="FU632" s="4"/>
      <c r="FV632" s="4"/>
      <c r="FW632" s="654"/>
      <c r="FX632" s="655"/>
      <c r="FY632" s="4"/>
      <c r="FZ632" s="4"/>
      <c r="GA632" s="4"/>
      <c r="GB632" s="4"/>
      <c r="GC632" s="4"/>
      <c r="GD632" s="4"/>
      <c r="GE632" s="4"/>
      <c r="GF632" s="4"/>
      <c r="GG632" s="4"/>
      <c r="GH632" s="4"/>
      <c r="GI632" s="654"/>
      <c r="GJ632" s="655"/>
      <c r="GK632" s="4"/>
      <c r="GL632" s="4"/>
      <c r="GM632" s="4"/>
      <c r="GN632" s="4"/>
      <c r="GO632" s="4"/>
      <c r="GP632" s="4"/>
      <c r="GQ632" s="4"/>
      <c r="GR632" s="4"/>
      <c r="GS632" s="4"/>
      <c r="GT632" s="4"/>
      <c r="GU632" s="722"/>
      <c r="GV632" s="715"/>
    </row>
    <row r="633" spans="1:204" x14ac:dyDescent="0.25">
      <c r="A633" t="s">
        <v>2270</v>
      </c>
      <c r="B633" s="2" t="s">
        <v>358</v>
      </c>
      <c r="C633" s="619">
        <v>44804</v>
      </c>
      <c r="D633" s="2" t="s">
        <v>2266</v>
      </c>
      <c r="E633" t="s">
        <v>58</v>
      </c>
      <c r="F633" s="2" t="s">
        <v>2473</v>
      </c>
      <c r="G633" t="s">
        <v>40</v>
      </c>
      <c r="H633" s="690" t="s">
        <v>84</v>
      </c>
      <c r="I633" s="691" t="s">
        <v>2267</v>
      </c>
      <c r="J633" s="721" t="s">
        <v>2268</v>
      </c>
      <c r="K633" s="691" t="s">
        <v>2473</v>
      </c>
      <c r="L633" s="721" t="s">
        <v>2146</v>
      </c>
      <c r="M633" s="718" t="s">
        <v>3</v>
      </c>
      <c r="N633" s="717" t="s">
        <v>44</v>
      </c>
      <c r="O633" s="719">
        <v>44835</v>
      </c>
      <c r="P633" s="720">
        <v>44865</v>
      </c>
      <c r="Q633" s="718">
        <v>84</v>
      </c>
      <c r="R633" s="717">
        <v>1</v>
      </c>
      <c r="S633" s="691" t="s">
        <v>54</v>
      </c>
      <c r="T633" t="s">
        <v>358</v>
      </c>
      <c r="U633" s="673" t="s">
        <v>358</v>
      </c>
      <c r="V633" s="690" t="s">
        <v>358</v>
      </c>
      <c r="W633" s="657" t="s">
        <v>214</v>
      </c>
      <c r="X633" s="723"/>
      <c r="Y633" s="4"/>
      <c r="Z633" s="4"/>
      <c r="AA633" s="4"/>
      <c r="AB633" s="4"/>
      <c r="AC633" s="4"/>
      <c r="AD633" s="4"/>
      <c r="AE633" s="4"/>
      <c r="AF633" s="4"/>
      <c r="AG633" s="4">
        <v>1</v>
      </c>
      <c r="AH633" s="4"/>
      <c r="AI633" s="654"/>
      <c r="AJ633" s="655"/>
      <c r="AK633" s="4"/>
      <c r="AL633" s="4"/>
      <c r="AM633" s="4"/>
      <c r="AN633" s="4"/>
      <c r="AO633" s="4"/>
      <c r="AP633" s="4"/>
      <c r="AQ633" s="4"/>
      <c r="AR633" s="4"/>
      <c r="AS633" s="4"/>
      <c r="AT633" s="4"/>
      <c r="AU633" s="654"/>
      <c r="AV633" s="655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654"/>
      <c r="BH633" s="655"/>
      <c r="BI633" s="4"/>
      <c r="BJ633" s="4"/>
      <c r="BK633" s="4"/>
      <c r="BL633" s="4"/>
      <c r="BM633" s="4"/>
      <c r="BN633" s="4"/>
      <c r="BO633" s="4"/>
      <c r="BP633" s="4"/>
      <c r="BQ633" s="4"/>
      <c r="BR633" s="4"/>
      <c r="BS633" s="654"/>
      <c r="BT633" s="655"/>
      <c r="BU633" s="4"/>
      <c r="BV633" s="4"/>
      <c r="BW633" s="4"/>
      <c r="BX633" s="4"/>
      <c r="BY633" s="4"/>
      <c r="BZ633" s="4"/>
      <c r="CA633" s="4"/>
      <c r="CB633" s="4"/>
      <c r="CC633" s="4"/>
      <c r="CD633" s="4"/>
      <c r="CE633" s="693"/>
      <c r="CF633" s="723"/>
      <c r="CG633" s="4"/>
      <c r="CH633" s="4"/>
      <c r="CI633" s="4"/>
      <c r="CJ633" s="4"/>
      <c r="CK633" s="4"/>
      <c r="CL633" s="4"/>
      <c r="CM633" s="4"/>
      <c r="CN633" s="4"/>
      <c r="CO633" s="4">
        <v>84</v>
      </c>
      <c r="CP633" s="4"/>
      <c r="CQ633" s="654"/>
      <c r="CR633" s="655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654"/>
      <c r="DD633" s="655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654"/>
      <c r="DP633" s="655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654"/>
      <c r="EB633" s="655"/>
      <c r="EC633" s="4"/>
      <c r="ED633" s="4"/>
      <c r="EE633" s="4"/>
      <c r="EF633" s="4"/>
      <c r="EG633" s="4"/>
      <c r="EH633" s="4"/>
      <c r="EI633" s="4"/>
      <c r="EJ633" s="4"/>
      <c r="EK633" s="4"/>
      <c r="EL633" s="4"/>
      <c r="EM633" s="693"/>
      <c r="EN633" s="723"/>
      <c r="EO633" s="4"/>
      <c r="EP633" s="4"/>
      <c r="EQ633" s="4"/>
      <c r="ER633" s="4"/>
      <c r="ES633" s="4"/>
      <c r="ET633" s="4"/>
      <c r="EU633" s="4"/>
      <c r="EV633" s="4"/>
      <c r="EW633" s="4">
        <v>84</v>
      </c>
      <c r="EX633" s="4"/>
      <c r="EY633" s="654"/>
      <c r="EZ633" s="655"/>
      <c r="FA633" s="4"/>
      <c r="FB633" s="4"/>
      <c r="FC633" s="4"/>
      <c r="FD633" s="4"/>
      <c r="FE633" s="4"/>
      <c r="FF633" s="4"/>
      <c r="FG633" s="4"/>
      <c r="FH633" s="4"/>
      <c r="FI633" s="4"/>
      <c r="FJ633" s="4"/>
      <c r="FK633" s="654"/>
      <c r="FL633" s="655"/>
      <c r="FM633" s="4"/>
      <c r="FN633" s="4"/>
      <c r="FO633" s="4"/>
      <c r="FP633" s="4"/>
      <c r="FQ633" s="4"/>
      <c r="FR633" s="4"/>
      <c r="FS633" s="4"/>
      <c r="FT633" s="4"/>
      <c r="FU633" s="4"/>
      <c r="FV633" s="4"/>
      <c r="FW633" s="654"/>
      <c r="FX633" s="655"/>
      <c r="FY633" s="4"/>
      <c r="FZ633" s="4"/>
      <c r="GA633" s="4"/>
      <c r="GB633" s="4"/>
      <c r="GC633" s="4"/>
      <c r="GD633" s="4"/>
      <c r="GE633" s="4"/>
      <c r="GF633" s="4"/>
      <c r="GG633" s="4"/>
      <c r="GH633" s="4"/>
      <c r="GI633" s="654"/>
      <c r="GJ633" s="655"/>
      <c r="GK633" s="4"/>
      <c r="GL633" s="4"/>
      <c r="GM633" s="4"/>
      <c r="GN633" s="4"/>
      <c r="GO633" s="4"/>
      <c r="GP633" s="4"/>
      <c r="GQ633" s="4"/>
      <c r="GR633" s="4"/>
      <c r="GS633" s="4"/>
      <c r="GT633" s="4"/>
      <c r="GU633" s="722"/>
      <c r="GV633" s="715"/>
    </row>
    <row r="634" spans="1:204" x14ac:dyDescent="0.25">
      <c r="A634" t="s">
        <v>2277</v>
      </c>
      <c r="B634" s="2" t="s">
        <v>2276</v>
      </c>
      <c r="C634" s="619">
        <v>44805</v>
      </c>
      <c r="D634" s="2" t="s">
        <v>2271</v>
      </c>
      <c r="E634" t="s">
        <v>58</v>
      </c>
      <c r="F634" s="2" t="s">
        <v>2473</v>
      </c>
      <c r="G634" t="s">
        <v>40</v>
      </c>
      <c r="H634" s="690" t="s">
        <v>84</v>
      </c>
      <c r="I634" s="691" t="s">
        <v>471</v>
      </c>
      <c r="J634" s="721" t="s">
        <v>2244</v>
      </c>
      <c r="K634" s="691" t="s">
        <v>2473</v>
      </c>
      <c r="L634" s="721" t="s">
        <v>2146</v>
      </c>
      <c r="M634" s="718" t="s">
        <v>5</v>
      </c>
      <c r="N634" s="717" t="s">
        <v>44</v>
      </c>
      <c r="O634" s="719">
        <v>44774</v>
      </c>
      <c r="P634" s="720">
        <v>44804</v>
      </c>
      <c r="Q634" s="718">
        <v>28</v>
      </c>
      <c r="R634" s="717">
        <v>1.9</v>
      </c>
      <c r="S634" s="691" t="s">
        <v>92</v>
      </c>
      <c r="T634" t="s">
        <v>358</v>
      </c>
      <c r="U634" s="673" t="s">
        <v>358</v>
      </c>
      <c r="V634" s="690" t="s">
        <v>358</v>
      </c>
      <c r="W634" s="657" t="s">
        <v>329</v>
      </c>
      <c r="X634" s="723"/>
      <c r="Y634" s="4"/>
      <c r="Z634" s="4"/>
      <c r="AA634" s="4"/>
      <c r="AB634" s="4"/>
      <c r="AC634" s="4"/>
      <c r="AD634" s="4"/>
      <c r="AE634" s="4">
        <v>1.9</v>
      </c>
      <c r="AF634" s="4"/>
      <c r="AG634" s="4"/>
      <c r="AH634" s="4"/>
      <c r="AI634" s="654"/>
      <c r="AJ634" s="655"/>
      <c r="AK634" s="4"/>
      <c r="AL634" s="4"/>
      <c r="AM634" s="4"/>
      <c r="AN634" s="4"/>
      <c r="AO634" s="4"/>
      <c r="AP634" s="4"/>
      <c r="AQ634" s="4"/>
      <c r="AR634" s="4"/>
      <c r="AS634" s="4"/>
      <c r="AT634" s="4"/>
      <c r="AU634" s="654"/>
      <c r="AV634" s="655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654"/>
      <c r="BH634" s="655"/>
      <c r="BI634" s="4"/>
      <c r="BJ634" s="4"/>
      <c r="BK634" s="4"/>
      <c r="BL634" s="4"/>
      <c r="BM634" s="4"/>
      <c r="BN634" s="4"/>
      <c r="BO634" s="4"/>
      <c r="BP634" s="4"/>
      <c r="BQ634" s="4"/>
      <c r="BR634" s="4"/>
      <c r="BS634" s="654"/>
      <c r="BT634" s="655"/>
      <c r="BU634" s="4"/>
      <c r="BV634" s="4"/>
      <c r="BW634" s="4"/>
      <c r="BX634" s="4"/>
      <c r="BY634" s="4"/>
      <c r="BZ634" s="4"/>
      <c r="CA634" s="4"/>
      <c r="CB634" s="4"/>
      <c r="CC634" s="4"/>
      <c r="CD634" s="4"/>
      <c r="CE634" s="693"/>
      <c r="CF634" s="723"/>
      <c r="CG634" s="4"/>
      <c r="CH634" s="4"/>
      <c r="CI634" s="4"/>
      <c r="CJ634" s="4"/>
      <c r="CK634" s="4"/>
      <c r="CL634" s="4"/>
      <c r="CM634" s="4">
        <v>28</v>
      </c>
      <c r="CN634" s="4"/>
      <c r="CO634" s="4"/>
      <c r="CP634" s="4"/>
      <c r="CQ634" s="654"/>
      <c r="CR634" s="655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654"/>
      <c r="DD634" s="655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654"/>
      <c r="DP634" s="655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654"/>
      <c r="EB634" s="655"/>
      <c r="EC634" s="4"/>
      <c r="ED634" s="4"/>
      <c r="EE634" s="4"/>
      <c r="EF634" s="4"/>
      <c r="EG634" s="4"/>
      <c r="EH634" s="4"/>
      <c r="EI634" s="4"/>
      <c r="EJ634" s="4"/>
      <c r="EK634" s="4"/>
      <c r="EL634" s="4"/>
      <c r="EM634" s="693"/>
      <c r="EN634" s="723"/>
      <c r="EO634" s="4"/>
      <c r="EP634" s="4"/>
      <c r="EQ634" s="4"/>
      <c r="ER634" s="4"/>
      <c r="ES634" s="4"/>
      <c r="ET634" s="4"/>
      <c r="EU634" s="4">
        <v>104.9</v>
      </c>
      <c r="EV634" s="4"/>
      <c r="EW634" s="4"/>
      <c r="EX634" s="4"/>
      <c r="EY634" s="654"/>
      <c r="EZ634" s="655"/>
      <c r="FA634" s="4"/>
      <c r="FB634" s="4"/>
      <c r="FC634" s="4"/>
      <c r="FD634" s="4"/>
      <c r="FE634" s="4"/>
      <c r="FF634" s="4"/>
      <c r="FG634" s="4"/>
      <c r="FH634" s="4"/>
      <c r="FI634" s="4"/>
      <c r="FJ634" s="4"/>
      <c r="FK634" s="654"/>
      <c r="FL634" s="655"/>
      <c r="FM634" s="4"/>
      <c r="FN634" s="4"/>
      <c r="FO634" s="4"/>
      <c r="FP634" s="4"/>
      <c r="FQ634" s="4"/>
      <c r="FR634" s="4"/>
      <c r="FS634" s="4"/>
      <c r="FT634" s="4"/>
      <c r="FU634" s="4"/>
      <c r="FV634" s="4"/>
      <c r="FW634" s="654"/>
      <c r="FX634" s="655"/>
      <c r="FY634" s="4"/>
      <c r="FZ634" s="4"/>
      <c r="GA634" s="4"/>
      <c r="GB634" s="4"/>
      <c r="GC634" s="4"/>
      <c r="GD634" s="4"/>
      <c r="GE634" s="4"/>
      <c r="GF634" s="4"/>
      <c r="GG634" s="4"/>
      <c r="GH634" s="4"/>
      <c r="GI634" s="654"/>
      <c r="GJ634" s="655"/>
      <c r="GK634" s="4"/>
      <c r="GL634" s="4"/>
      <c r="GM634" s="4"/>
      <c r="GN634" s="4"/>
      <c r="GO634" s="4"/>
      <c r="GP634" s="4"/>
      <c r="GQ634" s="4"/>
      <c r="GR634" s="4"/>
      <c r="GS634" s="4"/>
      <c r="GT634" s="4"/>
      <c r="GU634" s="722"/>
      <c r="GV634" s="715"/>
    </row>
    <row r="635" spans="1:204" x14ac:dyDescent="0.25">
      <c r="A635" t="s">
        <v>2278</v>
      </c>
      <c r="B635" s="2" t="s">
        <v>358</v>
      </c>
      <c r="C635" s="619">
        <v>44805</v>
      </c>
      <c r="D635" s="2" t="s">
        <v>2272</v>
      </c>
      <c r="E635" t="s">
        <v>58</v>
      </c>
      <c r="F635" s="2" t="s">
        <v>2473</v>
      </c>
      <c r="G635" t="s">
        <v>40</v>
      </c>
      <c r="H635" s="690" t="s">
        <v>84</v>
      </c>
      <c r="I635" s="691" t="s">
        <v>2147</v>
      </c>
      <c r="J635" s="721" t="s">
        <v>2148</v>
      </c>
      <c r="K635" s="691" t="s">
        <v>2473</v>
      </c>
      <c r="L635" s="721" t="s">
        <v>2146</v>
      </c>
      <c r="M635" s="718" t="s">
        <v>3</v>
      </c>
      <c r="N635" s="717" t="s">
        <v>44</v>
      </c>
      <c r="O635" s="719">
        <v>44835</v>
      </c>
      <c r="P635" s="720">
        <v>44865</v>
      </c>
      <c r="Q635" s="718">
        <v>76</v>
      </c>
      <c r="R635" s="717">
        <v>2</v>
      </c>
      <c r="S635" s="691" t="s">
        <v>54</v>
      </c>
      <c r="T635" t="s">
        <v>358</v>
      </c>
      <c r="U635" s="673" t="s">
        <v>358</v>
      </c>
      <c r="V635" s="690" t="s">
        <v>358</v>
      </c>
      <c r="W635" s="657" t="s">
        <v>214</v>
      </c>
      <c r="X635" s="723"/>
      <c r="Y635" s="4"/>
      <c r="Z635" s="4"/>
      <c r="AA635" s="4"/>
      <c r="AB635" s="4"/>
      <c r="AC635" s="4"/>
      <c r="AD635" s="4"/>
      <c r="AE635" s="4"/>
      <c r="AF635" s="4"/>
      <c r="AG635" s="4">
        <v>2</v>
      </c>
      <c r="AH635" s="4"/>
      <c r="AI635" s="654"/>
      <c r="AJ635" s="655"/>
      <c r="AK635" s="4"/>
      <c r="AL635" s="4"/>
      <c r="AM635" s="4"/>
      <c r="AN635" s="4"/>
      <c r="AO635" s="4"/>
      <c r="AP635" s="4"/>
      <c r="AQ635" s="4"/>
      <c r="AR635" s="4"/>
      <c r="AS635" s="4"/>
      <c r="AT635" s="4"/>
      <c r="AU635" s="654"/>
      <c r="AV635" s="655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654"/>
      <c r="BH635" s="655"/>
      <c r="BI635" s="4"/>
      <c r="BJ635" s="4"/>
      <c r="BK635" s="4"/>
      <c r="BL635" s="4"/>
      <c r="BM635" s="4"/>
      <c r="BN635" s="4"/>
      <c r="BO635" s="4"/>
      <c r="BP635" s="4"/>
      <c r="BQ635" s="4"/>
      <c r="BR635" s="4"/>
      <c r="BS635" s="654"/>
      <c r="BT635" s="655"/>
      <c r="BU635" s="4"/>
      <c r="BV635" s="4"/>
      <c r="BW635" s="4"/>
      <c r="BX635" s="4"/>
      <c r="BY635" s="4"/>
      <c r="BZ635" s="4"/>
      <c r="CA635" s="4"/>
      <c r="CB635" s="4"/>
      <c r="CC635" s="4"/>
      <c r="CD635" s="4"/>
      <c r="CE635" s="693"/>
      <c r="CF635" s="723"/>
      <c r="CG635" s="4"/>
      <c r="CH635" s="4"/>
      <c r="CI635" s="4"/>
      <c r="CJ635" s="4"/>
      <c r="CK635" s="4"/>
      <c r="CL635" s="4"/>
      <c r="CM635" s="4"/>
      <c r="CN635" s="4"/>
      <c r="CO635" s="4">
        <v>76</v>
      </c>
      <c r="CP635" s="4"/>
      <c r="CQ635" s="654"/>
      <c r="CR635" s="655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654"/>
      <c r="DD635" s="655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654"/>
      <c r="DP635" s="655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654"/>
      <c r="EB635" s="655"/>
      <c r="EC635" s="4"/>
      <c r="ED635" s="4"/>
      <c r="EE635" s="4"/>
      <c r="EF635" s="4"/>
      <c r="EG635" s="4"/>
      <c r="EH635" s="4"/>
      <c r="EI635" s="4"/>
      <c r="EJ635" s="4"/>
      <c r="EK635" s="4"/>
      <c r="EL635" s="4"/>
      <c r="EM635" s="693"/>
      <c r="EN635" s="723"/>
      <c r="EO635" s="4"/>
      <c r="EP635" s="4"/>
      <c r="EQ635" s="4"/>
      <c r="ER635" s="4"/>
      <c r="ES635" s="4"/>
      <c r="ET635" s="4"/>
      <c r="EU635" s="4"/>
      <c r="EV635" s="4"/>
      <c r="EW635" s="4">
        <v>76</v>
      </c>
      <c r="EX635" s="4"/>
      <c r="EY635" s="654"/>
      <c r="EZ635" s="655"/>
      <c r="FA635" s="4"/>
      <c r="FB635" s="4"/>
      <c r="FC635" s="4"/>
      <c r="FD635" s="4"/>
      <c r="FE635" s="4"/>
      <c r="FF635" s="4"/>
      <c r="FG635" s="4"/>
      <c r="FH635" s="4"/>
      <c r="FI635" s="4"/>
      <c r="FJ635" s="4"/>
      <c r="FK635" s="654"/>
      <c r="FL635" s="655"/>
      <c r="FM635" s="4"/>
      <c r="FN635" s="4"/>
      <c r="FO635" s="4"/>
      <c r="FP635" s="4"/>
      <c r="FQ635" s="4"/>
      <c r="FR635" s="4"/>
      <c r="FS635" s="4"/>
      <c r="FT635" s="4"/>
      <c r="FU635" s="4"/>
      <c r="FV635" s="4"/>
      <c r="FW635" s="654"/>
      <c r="FX635" s="655"/>
      <c r="FY635" s="4"/>
      <c r="FZ635" s="4"/>
      <c r="GA635" s="4"/>
      <c r="GB635" s="4"/>
      <c r="GC635" s="4"/>
      <c r="GD635" s="4"/>
      <c r="GE635" s="4"/>
      <c r="GF635" s="4"/>
      <c r="GG635" s="4"/>
      <c r="GH635" s="4"/>
      <c r="GI635" s="654"/>
      <c r="GJ635" s="655"/>
      <c r="GK635" s="4"/>
      <c r="GL635" s="4"/>
      <c r="GM635" s="4"/>
      <c r="GN635" s="4"/>
      <c r="GO635" s="4"/>
      <c r="GP635" s="4"/>
      <c r="GQ635" s="4"/>
      <c r="GR635" s="4"/>
      <c r="GS635" s="4"/>
      <c r="GT635" s="4"/>
      <c r="GU635" s="722"/>
      <c r="GV635" s="715"/>
    </row>
    <row r="636" spans="1:204" x14ac:dyDescent="0.25">
      <c r="A636" t="s">
        <v>2279</v>
      </c>
      <c r="B636" s="2" t="s">
        <v>358</v>
      </c>
      <c r="C636" s="619">
        <v>44805</v>
      </c>
      <c r="D636" s="2" t="s">
        <v>2273</v>
      </c>
      <c r="E636" t="s">
        <v>58</v>
      </c>
      <c r="F636" s="2" t="s">
        <v>2473</v>
      </c>
      <c r="G636" t="s">
        <v>40</v>
      </c>
      <c r="H636" s="690" t="s">
        <v>84</v>
      </c>
      <c r="I636" s="691" t="s">
        <v>2147</v>
      </c>
      <c r="J636" s="721" t="s">
        <v>2148</v>
      </c>
      <c r="K636" s="691" t="s">
        <v>2473</v>
      </c>
      <c r="L636" s="721" t="s">
        <v>2146</v>
      </c>
      <c r="M636" s="718" t="s">
        <v>3</v>
      </c>
      <c r="N636" s="717" t="s">
        <v>44</v>
      </c>
      <c r="O636" s="719">
        <v>44866</v>
      </c>
      <c r="P636" s="720">
        <v>44895</v>
      </c>
      <c r="Q636" s="718">
        <v>81.5</v>
      </c>
      <c r="R636" s="717">
        <v>2</v>
      </c>
      <c r="S636" s="691" t="s">
        <v>54</v>
      </c>
      <c r="T636" t="s">
        <v>358</v>
      </c>
      <c r="U636" s="673" t="s">
        <v>358</v>
      </c>
      <c r="V636" s="690" t="s">
        <v>358</v>
      </c>
      <c r="W636" s="657" t="s">
        <v>214</v>
      </c>
      <c r="X636" s="723"/>
      <c r="Y636" s="4"/>
      <c r="Z636" s="4"/>
      <c r="AA636" s="4"/>
      <c r="AB636" s="4"/>
      <c r="AC636" s="4"/>
      <c r="AD636" s="4"/>
      <c r="AE636" s="4"/>
      <c r="AF636" s="4"/>
      <c r="AG636" s="4"/>
      <c r="AH636" s="4">
        <v>2</v>
      </c>
      <c r="AI636" s="654"/>
      <c r="AJ636" s="655"/>
      <c r="AK636" s="4"/>
      <c r="AL636" s="4"/>
      <c r="AM636" s="4"/>
      <c r="AN636" s="4"/>
      <c r="AO636" s="4"/>
      <c r="AP636" s="4"/>
      <c r="AQ636" s="4"/>
      <c r="AR636" s="4"/>
      <c r="AS636" s="4"/>
      <c r="AT636" s="4"/>
      <c r="AU636" s="654"/>
      <c r="AV636" s="655"/>
      <c r="AW636" s="4"/>
      <c r="AX636" s="4"/>
      <c r="AY636" s="4"/>
      <c r="AZ636" s="4"/>
      <c r="BA636" s="4"/>
      <c r="BB636" s="4"/>
      <c r="BC636" s="4"/>
      <c r="BD636" s="4"/>
      <c r="BE636" s="4"/>
      <c r="BF636" s="4"/>
      <c r="BG636" s="654"/>
      <c r="BH636" s="655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654"/>
      <c r="BT636" s="655"/>
      <c r="BU636" s="4"/>
      <c r="BV636" s="4"/>
      <c r="BW636" s="4"/>
      <c r="BX636" s="4"/>
      <c r="BY636" s="4"/>
      <c r="BZ636" s="4"/>
      <c r="CA636" s="4"/>
      <c r="CB636" s="4"/>
      <c r="CC636" s="4"/>
      <c r="CD636" s="4"/>
      <c r="CE636" s="693"/>
      <c r="CF636" s="723"/>
      <c r="CG636" s="4"/>
      <c r="CH636" s="4"/>
      <c r="CI636" s="4"/>
      <c r="CJ636" s="4"/>
      <c r="CK636" s="4"/>
      <c r="CL636" s="4"/>
      <c r="CM636" s="4"/>
      <c r="CN636" s="4"/>
      <c r="CO636" s="4"/>
      <c r="CP636" s="4">
        <v>81.5</v>
      </c>
      <c r="CQ636" s="654"/>
      <c r="CR636" s="655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654"/>
      <c r="DD636" s="655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654"/>
      <c r="DP636" s="655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654"/>
      <c r="EB636" s="655"/>
      <c r="EC636" s="4"/>
      <c r="ED636" s="4"/>
      <c r="EE636" s="4"/>
      <c r="EF636" s="4"/>
      <c r="EG636" s="4"/>
      <c r="EH636" s="4"/>
      <c r="EI636" s="4"/>
      <c r="EJ636" s="4"/>
      <c r="EK636" s="4"/>
      <c r="EL636" s="4"/>
      <c r="EM636" s="693"/>
      <c r="EN636" s="723"/>
      <c r="EO636" s="4"/>
      <c r="EP636" s="4"/>
      <c r="EQ636" s="4"/>
      <c r="ER636" s="4"/>
      <c r="ES636" s="4"/>
      <c r="ET636" s="4"/>
      <c r="EU636" s="4"/>
      <c r="EV636" s="4"/>
      <c r="EW636" s="4"/>
      <c r="EX636" s="4">
        <v>81.5</v>
      </c>
      <c r="EY636" s="654"/>
      <c r="EZ636" s="655"/>
      <c r="FA636" s="4"/>
      <c r="FB636" s="4"/>
      <c r="FC636" s="4"/>
      <c r="FD636" s="4"/>
      <c r="FE636" s="4"/>
      <c r="FF636" s="4"/>
      <c r="FG636" s="4"/>
      <c r="FH636" s="4"/>
      <c r="FI636" s="4"/>
      <c r="FJ636" s="4"/>
      <c r="FK636" s="654"/>
      <c r="FL636" s="655"/>
      <c r="FM636" s="4"/>
      <c r="FN636" s="4"/>
      <c r="FO636" s="4"/>
      <c r="FP636" s="4"/>
      <c r="FQ636" s="4"/>
      <c r="FR636" s="4"/>
      <c r="FS636" s="4"/>
      <c r="FT636" s="4"/>
      <c r="FU636" s="4"/>
      <c r="FV636" s="4"/>
      <c r="FW636" s="654"/>
      <c r="FX636" s="655"/>
      <c r="FY636" s="4"/>
      <c r="FZ636" s="4"/>
      <c r="GA636" s="4"/>
      <c r="GB636" s="4"/>
      <c r="GC636" s="4"/>
      <c r="GD636" s="4"/>
      <c r="GE636" s="4"/>
      <c r="GF636" s="4"/>
      <c r="GG636" s="4"/>
      <c r="GH636" s="4"/>
      <c r="GI636" s="654"/>
      <c r="GJ636" s="655"/>
      <c r="GK636" s="4"/>
      <c r="GL636" s="4"/>
      <c r="GM636" s="4"/>
      <c r="GN636" s="4"/>
      <c r="GO636" s="4"/>
      <c r="GP636" s="4"/>
      <c r="GQ636" s="4"/>
      <c r="GR636" s="4"/>
      <c r="GS636" s="4"/>
      <c r="GT636" s="4"/>
      <c r="GU636" s="722"/>
      <c r="GV636" s="715"/>
    </row>
    <row r="637" spans="1:204" x14ac:dyDescent="0.25">
      <c r="A637" t="s">
        <v>2280</v>
      </c>
      <c r="B637" s="2" t="s">
        <v>358</v>
      </c>
      <c r="C637" s="619">
        <v>44805</v>
      </c>
      <c r="D637" s="2" t="s">
        <v>2274</v>
      </c>
      <c r="E637" t="s">
        <v>58</v>
      </c>
      <c r="F637" s="2" t="s">
        <v>2473</v>
      </c>
      <c r="G637" t="s">
        <v>40</v>
      </c>
      <c r="H637" s="690" t="s">
        <v>84</v>
      </c>
      <c r="I637" s="691" t="s">
        <v>404</v>
      </c>
      <c r="J637" s="721" t="s">
        <v>2198</v>
      </c>
      <c r="K637" s="691" t="s">
        <v>2473</v>
      </c>
      <c r="L637" s="721" t="s">
        <v>2146</v>
      </c>
      <c r="M637" s="718" t="s">
        <v>3</v>
      </c>
      <c r="N637" s="717" t="s">
        <v>44</v>
      </c>
      <c r="O637" s="719">
        <v>44835</v>
      </c>
      <c r="P637" s="720">
        <v>44865</v>
      </c>
      <c r="Q637" s="718">
        <v>76.5</v>
      </c>
      <c r="R637" s="717">
        <v>3</v>
      </c>
      <c r="S637" s="691" t="s">
        <v>54</v>
      </c>
      <c r="T637" t="s">
        <v>358</v>
      </c>
      <c r="U637" s="673" t="s">
        <v>358</v>
      </c>
      <c r="V637" s="690" t="s">
        <v>358</v>
      </c>
      <c r="W637" s="657" t="s">
        <v>214</v>
      </c>
      <c r="X637" s="723"/>
      <c r="Y637" s="4"/>
      <c r="Z637" s="4"/>
      <c r="AA637" s="4"/>
      <c r="AB637" s="4"/>
      <c r="AC637" s="4"/>
      <c r="AD637" s="4"/>
      <c r="AE637" s="4"/>
      <c r="AF637" s="4"/>
      <c r="AG637" s="4">
        <v>3</v>
      </c>
      <c r="AH637" s="4"/>
      <c r="AI637" s="654"/>
      <c r="AJ637" s="655"/>
      <c r="AK637" s="4"/>
      <c r="AL637" s="4"/>
      <c r="AM637" s="4"/>
      <c r="AN637" s="4"/>
      <c r="AO637" s="4"/>
      <c r="AP637" s="4"/>
      <c r="AQ637" s="4"/>
      <c r="AR637" s="4"/>
      <c r="AS637" s="4"/>
      <c r="AT637" s="4"/>
      <c r="AU637" s="654"/>
      <c r="AV637" s="655"/>
      <c r="AW637" s="4"/>
      <c r="AX637" s="4"/>
      <c r="AY637" s="4"/>
      <c r="AZ637" s="4"/>
      <c r="BA637" s="4"/>
      <c r="BB637" s="4"/>
      <c r="BC637" s="4"/>
      <c r="BD637" s="4"/>
      <c r="BE637" s="4"/>
      <c r="BF637" s="4"/>
      <c r="BG637" s="654"/>
      <c r="BH637" s="655"/>
      <c r="BI637" s="4"/>
      <c r="BJ637" s="4"/>
      <c r="BK637" s="4"/>
      <c r="BL637" s="4"/>
      <c r="BM637" s="4"/>
      <c r="BN637" s="4"/>
      <c r="BO637" s="4"/>
      <c r="BP637" s="4"/>
      <c r="BQ637" s="4"/>
      <c r="BR637" s="4"/>
      <c r="BS637" s="654"/>
      <c r="BT637" s="655"/>
      <c r="BU637" s="4"/>
      <c r="BV637" s="4"/>
      <c r="BW637" s="4"/>
      <c r="BX637" s="4"/>
      <c r="BY637" s="4"/>
      <c r="BZ637" s="4"/>
      <c r="CA637" s="4"/>
      <c r="CB637" s="4"/>
      <c r="CC637" s="4"/>
      <c r="CD637" s="4"/>
      <c r="CE637" s="693"/>
      <c r="CF637" s="723"/>
      <c r="CG637" s="4"/>
      <c r="CH637" s="4"/>
      <c r="CI637" s="4"/>
      <c r="CJ637" s="4"/>
      <c r="CK637" s="4"/>
      <c r="CL637" s="4"/>
      <c r="CM637" s="4"/>
      <c r="CN637" s="4"/>
      <c r="CO637" s="4">
        <v>76.5</v>
      </c>
      <c r="CP637" s="4"/>
      <c r="CQ637" s="654"/>
      <c r="CR637" s="655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654"/>
      <c r="DD637" s="655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654"/>
      <c r="DP637" s="655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654"/>
      <c r="EB637" s="655"/>
      <c r="EC637" s="4"/>
      <c r="ED637" s="4"/>
      <c r="EE637" s="4"/>
      <c r="EF637" s="4"/>
      <c r="EG637" s="4"/>
      <c r="EH637" s="4"/>
      <c r="EI637" s="4"/>
      <c r="EJ637" s="4"/>
      <c r="EK637" s="4"/>
      <c r="EL637" s="4"/>
      <c r="EM637" s="693"/>
      <c r="EN637" s="723"/>
      <c r="EO637" s="4"/>
      <c r="EP637" s="4"/>
      <c r="EQ637" s="4"/>
      <c r="ER637" s="4"/>
      <c r="ES637" s="4"/>
      <c r="ET637" s="4"/>
      <c r="EU637" s="4"/>
      <c r="EV637" s="4"/>
      <c r="EW637" s="4">
        <v>76.5</v>
      </c>
      <c r="EX637" s="4"/>
      <c r="EY637" s="654"/>
      <c r="EZ637" s="655"/>
      <c r="FA637" s="4"/>
      <c r="FB637" s="4"/>
      <c r="FC637" s="4"/>
      <c r="FD637" s="4"/>
      <c r="FE637" s="4"/>
      <c r="FF637" s="4"/>
      <c r="FG637" s="4"/>
      <c r="FH637" s="4"/>
      <c r="FI637" s="4"/>
      <c r="FJ637" s="4"/>
      <c r="FK637" s="654"/>
      <c r="FL637" s="655"/>
      <c r="FM637" s="4"/>
      <c r="FN637" s="4"/>
      <c r="FO637" s="4"/>
      <c r="FP637" s="4"/>
      <c r="FQ637" s="4"/>
      <c r="FR637" s="4"/>
      <c r="FS637" s="4"/>
      <c r="FT637" s="4"/>
      <c r="FU637" s="4"/>
      <c r="FV637" s="4"/>
      <c r="FW637" s="654"/>
      <c r="FX637" s="655"/>
      <c r="FY637" s="4"/>
      <c r="FZ637" s="4"/>
      <c r="GA637" s="4"/>
      <c r="GB637" s="4"/>
      <c r="GC637" s="4"/>
      <c r="GD637" s="4"/>
      <c r="GE637" s="4"/>
      <c r="GF637" s="4"/>
      <c r="GG637" s="4"/>
      <c r="GH637" s="4"/>
      <c r="GI637" s="654"/>
      <c r="GJ637" s="655"/>
      <c r="GK637" s="4"/>
      <c r="GL637" s="4"/>
      <c r="GM637" s="4"/>
      <c r="GN637" s="4"/>
      <c r="GO637" s="4"/>
      <c r="GP637" s="4"/>
      <c r="GQ637" s="4"/>
      <c r="GR637" s="4"/>
      <c r="GS637" s="4"/>
      <c r="GT637" s="4"/>
      <c r="GU637" s="722"/>
      <c r="GV637" s="715"/>
    </row>
    <row r="638" spans="1:204" x14ac:dyDescent="0.25">
      <c r="A638" t="s">
        <v>2281</v>
      </c>
      <c r="B638" s="2" t="s">
        <v>358</v>
      </c>
      <c r="C638" s="619">
        <v>44805</v>
      </c>
      <c r="D638" s="2" t="s">
        <v>2275</v>
      </c>
      <c r="E638" t="s">
        <v>58</v>
      </c>
      <c r="F638" s="2" t="s">
        <v>2473</v>
      </c>
      <c r="G638" t="s">
        <v>40</v>
      </c>
      <c r="H638" s="690" t="s">
        <v>84</v>
      </c>
      <c r="I638" s="691" t="s">
        <v>1132</v>
      </c>
      <c r="J638" s="721" t="s">
        <v>2206</v>
      </c>
      <c r="K638" s="691" t="s">
        <v>2473</v>
      </c>
      <c r="L638" s="721" t="s">
        <v>2146</v>
      </c>
      <c r="M638" s="718" t="s">
        <v>3</v>
      </c>
      <c r="N638" s="717" t="s">
        <v>44</v>
      </c>
      <c r="O638" s="719">
        <v>44866</v>
      </c>
      <c r="P638" s="720">
        <v>44895</v>
      </c>
      <c r="Q638" s="718">
        <v>83.1</v>
      </c>
      <c r="R638" s="717">
        <v>2</v>
      </c>
      <c r="S638" s="691" t="s">
        <v>54</v>
      </c>
      <c r="T638" t="s">
        <v>358</v>
      </c>
      <c r="U638" s="673" t="s">
        <v>358</v>
      </c>
      <c r="V638" s="690" t="s">
        <v>358</v>
      </c>
      <c r="W638" s="657" t="s">
        <v>214</v>
      </c>
      <c r="X638" s="723"/>
      <c r="Y638" s="4"/>
      <c r="Z638" s="4"/>
      <c r="AA638" s="4"/>
      <c r="AB638" s="4"/>
      <c r="AC638" s="4"/>
      <c r="AD638" s="4"/>
      <c r="AE638" s="4"/>
      <c r="AF638" s="4"/>
      <c r="AG638" s="4"/>
      <c r="AH638" s="4">
        <v>2</v>
      </c>
      <c r="AI638" s="654"/>
      <c r="AJ638" s="655"/>
      <c r="AK638" s="4"/>
      <c r="AL638" s="4"/>
      <c r="AM638" s="4"/>
      <c r="AN638" s="4"/>
      <c r="AO638" s="4"/>
      <c r="AP638" s="4"/>
      <c r="AQ638" s="4"/>
      <c r="AR638" s="4"/>
      <c r="AS638" s="4"/>
      <c r="AT638" s="4"/>
      <c r="AU638" s="654"/>
      <c r="AV638" s="655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654"/>
      <c r="BH638" s="655"/>
      <c r="BI638" s="4"/>
      <c r="BJ638" s="4"/>
      <c r="BK638" s="4"/>
      <c r="BL638" s="4"/>
      <c r="BM638" s="4"/>
      <c r="BN638" s="4"/>
      <c r="BO638" s="4"/>
      <c r="BP638" s="4"/>
      <c r="BQ638" s="4"/>
      <c r="BR638" s="4"/>
      <c r="BS638" s="654"/>
      <c r="BT638" s="655"/>
      <c r="BU638" s="4"/>
      <c r="BV638" s="4"/>
      <c r="BW638" s="4"/>
      <c r="BX638" s="4"/>
      <c r="BY638" s="4"/>
      <c r="BZ638" s="4"/>
      <c r="CA638" s="4"/>
      <c r="CB638" s="4"/>
      <c r="CC638" s="4"/>
      <c r="CD638" s="4"/>
      <c r="CE638" s="693"/>
      <c r="CF638" s="723"/>
      <c r="CG638" s="4"/>
      <c r="CH638" s="4"/>
      <c r="CI638" s="4"/>
      <c r="CJ638" s="4"/>
      <c r="CK638" s="4"/>
      <c r="CL638" s="4"/>
      <c r="CM638" s="4"/>
      <c r="CN638" s="4"/>
      <c r="CO638" s="4"/>
      <c r="CP638" s="4">
        <v>83.1</v>
      </c>
      <c r="CQ638" s="654"/>
      <c r="CR638" s="655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654"/>
      <c r="DD638" s="655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654"/>
      <c r="DP638" s="655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654"/>
      <c r="EB638" s="655"/>
      <c r="EC638" s="4"/>
      <c r="ED638" s="4"/>
      <c r="EE638" s="4"/>
      <c r="EF638" s="4"/>
      <c r="EG638" s="4"/>
      <c r="EH638" s="4"/>
      <c r="EI638" s="4"/>
      <c r="EJ638" s="4"/>
      <c r="EK638" s="4"/>
      <c r="EL638" s="4"/>
      <c r="EM638" s="693"/>
      <c r="EN638" s="723"/>
      <c r="EO638" s="4"/>
      <c r="EP638" s="4"/>
      <c r="EQ638" s="4"/>
      <c r="ER638" s="4"/>
      <c r="ES638" s="4"/>
      <c r="ET638" s="4"/>
      <c r="EU638" s="4"/>
      <c r="EV638" s="4"/>
      <c r="EW638" s="4"/>
      <c r="EX638" s="4">
        <v>83.1</v>
      </c>
      <c r="EY638" s="654"/>
      <c r="EZ638" s="655"/>
      <c r="FA638" s="4"/>
      <c r="FB638" s="4"/>
      <c r="FC638" s="4"/>
      <c r="FD638" s="4"/>
      <c r="FE638" s="4"/>
      <c r="FF638" s="4"/>
      <c r="FG638" s="4"/>
      <c r="FH638" s="4"/>
      <c r="FI638" s="4"/>
      <c r="FJ638" s="4"/>
      <c r="FK638" s="654"/>
      <c r="FL638" s="655"/>
      <c r="FM638" s="4"/>
      <c r="FN638" s="4"/>
      <c r="FO638" s="4"/>
      <c r="FP638" s="4"/>
      <c r="FQ638" s="4"/>
      <c r="FR638" s="4"/>
      <c r="FS638" s="4"/>
      <c r="FT638" s="4"/>
      <c r="FU638" s="4"/>
      <c r="FV638" s="4"/>
      <c r="FW638" s="654"/>
      <c r="FX638" s="655"/>
      <c r="FY638" s="4"/>
      <c r="FZ638" s="4"/>
      <c r="GA638" s="4"/>
      <c r="GB638" s="4"/>
      <c r="GC638" s="4"/>
      <c r="GD638" s="4"/>
      <c r="GE638" s="4"/>
      <c r="GF638" s="4"/>
      <c r="GG638" s="4"/>
      <c r="GH638" s="4"/>
      <c r="GI638" s="654"/>
      <c r="GJ638" s="655"/>
      <c r="GK638" s="4"/>
      <c r="GL638" s="4"/>
      <c r="GM638" s="4"/>
      <c r="GN638" s="4"/>
      <c r="GO638" s="4"/>
      <c r="GP638" s="4"/>
      <c r="GQ638" s="4"/>
      <c r="GR638" s="4"/>
      <c r="GS638" s="4"/>
      <c r="GT638" s="4"/>
      <c r="GU638" s="722"/>
      <c r="GV638" s="715"/>
    </row>
    <row r="639" spans="1:204" x14ac:dyDescent="0.25">
      <c r="A639" t="s">
        <v>2285</v>
      </c>
      <c r="B639" s="2" t="s">
        <v>358</v>
      </c>
      <c r="C639" s="619">
        <v>44809</v>
      </c>
      <c r="D639" s="2" t="s">
        <v>2282</v>
      </c>
      <c r="E639" t="s">
        <v>59</v>
      </c>
      <c r="F639" s="2" t="s">
        <v>2473</v>
      </c>
      <c r="G639" t="s">
        <v>40</v>
      </c>
      <c r="H639" s="690" t="s">
        <v>85</v>
      </c>
      <c r="I639" s="691" t="s">
        <v>2473</v>
      </c>
      <c r="J639" s="721" t="s">
        <v>2146</v>
      </c>
      <c r="K639" s="691" t="s">
        <v>1854</v>
      </c>
      <c r="L639" s="721" t="s">
        <v>2284</v>
      </c>
      <c r="M639" s="718" t="s">
        <v>3</v>
      </c>
      <c r="N639" s="717" t="s">
        <v>44</v>
      </c>
      <c r="O639" s="719">
        <v>44866</v>
      </c>
      <c r="P639" s="720">
        <v>44895</v>
      </c>
      <c r="Q639" s="718">
        <v>76</v>
      </c>
      <c r="R639" s="717">
        <v>4</v>
      </c>
      <c r="S639" s="691" t="s">
        <v>54</v>
      </c>
      <c r="T639" t="s">
        <v>358</v>
      </c>
      <c r="U639" s="673" t="s">
        <v>358</v>
      </c>
      <c r="V639" s="690" t="s">
        <v>358</v>
      </c>
      <c r="W639" s="657" t="s">
        <v>214</v>
      </c>
      <c r="X639" s="723"/>
      <c r="Y639" s="4"/>
      <c r="Z639" s="4"/>
      <c r="AA639" s="4"/>
      <c r="AB639" s="4"/>
      <c r="AC639" s="4"/>
      <c r="AD639" s="4"/>
      <c r="AE639" s="4"/>
      <c r="AF639" s="4"/>
      <c r="AG639" s="4"/>
      <c r="AH639" s="4">
        <v>4</v>
      </c>
      <c r="AI639" s="654"/>
      <c r="AJ639" s="655"/>
      <c r="AK639" s="4"/>
      <c r="AL639" s="4"/>
      <c r="AM639" s="4"/>
      <c r="AN639" s="4"/>
      <c r="AO639" s="4"/>
      <c r="AP639" s="4"/>
      <c r="AQ639" s="4"/>
      <c r="AR639" s="4"/>
      <c r="AS639" s="4"/>
      <c r="AT639" s="4"/>
      <c r="AU639" s="654"/>
      <c r="AV639" s="655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654"/>
      <c r="BH639" s="655"/>
      <c r="BI639" s="4"/>
      <c r="BJ639" s="4"/>
      <c r="BK639" s="4"/>
      <c r="BL639" s="4"/>
      <c r="BM639" s="4"/>
      <c r="BN639" s="4"/>
      <c r="BO639" s="4"/>
      <c r="BP639" s="4"/>
      <c r="BQ639" s="4"/>
      <c r="BR639" s="4"/>
      <c r="BS639" s="654"/>
      <c r="BT639" s="655"/>
      <c r="BU639" s="4"/>
      <c r="BV639" s="4"/>
      <c r="BW639" s="4"/>
      <c r="BX639" s="4"/>
      <c r="BY639" s="4"/>
      <c r="BZ639" s="4"/>
      <c r="CA639" s="4"/>
      <c r="CB639" s="4"/>
      <c r="CC639" s="4"/>
      <c r="CD639" s="4"/>
      <c r="CE639" s="693"/>
      <c r="CF639" s="723"/>
      <c r="CG639" s="4"/>
      <c r="CH639" s="4"/>
      <c r="CI639" s="4"/>
      <c r="CJ639" s="4"/>
      <c r="CK639" s="4"/>
      <c r="CL639" s="4"/>
      <c r="CM639" s="4"/>
      <c r="CN639" s="4"/>
      <c r="CO639" s="4"/>
      <c r="CP639" s="4">
        <v>76</v>
      </c>
      <c r="CQ639" s="654"/>
      <c r="CR639" s="655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654"/>
      <c r="DD639" s="655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654"/>
      <c r="DP639" s="655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654"/>
      <c r="EB639" s="655"/>
      <c r="EC639" s="4"/>
      <c r="ED639" s="4"/>
      <c r="EE639" s="4"/>
      <c r="EF639" s="4"/>
      <c r="EG639" s="4"/>
      <c r="EH639" s="4"/>
      <c r="EI639" s="4"/>
      <c r="EJ639" s="4"/>
      <c r="EK639" s="4"/>
      <c r="EL639" s="4"/>
      <c r="EM639" s="693"/>
      <c r="EN639" s="723"/>
      <c r="EO639" s="4"/>
      <c r="EP639" s="4"/>
      <c r="EQ639" s="4"/>
      <c r="ER639" s="4"/>
      <c r="ES639" s="4"/>
      <c r="ET639" s="4"/>
      <c r="EU639" s="4"/>
      <c r="EV639" s="4"/>
      <c r="EW639" s="4"/>
      <c r="EX639" s="4">
        <v>76</v>
      </c>
      <c r="EY639" s="654"/>
      <c r="EZ639" s="655"/>
      <c r="FA639" s="4"/>
      <c r="FB639" s="4"/>
      <c r="FC639" s="4"/>
      <c r="FD639" s="4"/>
      <c r="FE639" s="4"/>
      <c r="FF639" s="4"/>
      <c r="FG639" s="4"/>
      <c r="FH639" s="4"/>
      <c r="FI639" s="4"/>
      <c r="FJ639" s="4"/>
      <c r="FK639" s="654"/>
      <c r="FL639" s="655"/>
      <c r="FM639" s="4"/>
      <c r="FN639" s="4"/>
      <c r="FO639" s="4"/>
      <c r="FP639" s="4"/>
      <c r="FQ639" s="4"/>
      <c r="FR639" s="4"/>
      <c r="FS639" s="4"/>
      <c r="FT639" s="4"/>
      <c r="FU639" s="4"/>
      <c r="FV639" s="4"/>
      <c r="FW639" s="654"/>
      <c r="FX639" s="655"/>
      <c r="FY639" s="4"/>
      <c r="FZ639" s="4"/>
      <c r="GA639" s="4"/>
      <c r="GB639" s="4"/>
      <c r="GC639" s="4"/>
      <c r="GD639" s="4"/>
      <c r="GE639" s="4"/>
      <c r="GF639" s="4"/>
      <c r="GG639" s="4"/>
      <c r="GH639" s="4"/>
      <c r="GI639" s="654"/>
      <c r="GJ639" s="655"/>
      <c r="GK639" s="4"/>
      <c r="GL639" s="4"/>
      <c r="GM639" s="4"/>
      <c r="GN639" s="4"/>
      <c r="GO639" s="4"/>
      <c r="GP639" s="4"/>
      <c r="GQ639" s="4"/>
      <c r="GR639" s="4"/>
      <c r="GS639" s="4"/>
      <c r="GT639" s="4"/>
      <c r="GU639" s="722"/>
      <c r="GV639" s="715"/>
    </row>
    <row r="640" spans="1:204" x14ac:dyDescent="0.25">
      <c r="A640" t="s">
        <v>2286</v>
      </c>
      <c r="B640" s="2" t="s">
        <v>358</v>
      </c>
      <c r="C640" s="619">
        <v>44809</v>
      </c>
      <c r="D640" s="2" t="s">
        <v>2283</v>
      </c>
      <c r="E640" t="s">
        <v>59</v>
      </c>
      <c r="F640" s="2" t="s">
        <v>2473</v>
      </c>
      <c r="G640" t="s">
        <v>40</v>
      </c>
      <c r="H640" s="690" t="s">
        <v>85</v>
      </c>
      <c r="I640" s="691" t="s">
        <v>2473</v>
      </c>
      <c r="J640" s="721" t="s">
        <v>2146</v>
      </c>
      <c r="K640" s="691" t="s">
        <v>2267</v>
      </c>
      <c r="L640" s="721" t="s">
        <v>2268</v>
      </c>
      <c r="M640" s="718" t="s">
        <v>3</v>
      </c>
      <c r="N640" s="717" t="s">
        <v>44</v>
      </c>
      <c r="O640" s="719">
        <v>45047</v>
      </c>
      <c r="P640" s="720">
        <v>45077</v>
      </c>
      <c r="Q640" s="718">
        <v>109</v>
      </c>
      <c r="R640" s="717">
        <v>15</v>
      </c>
      <c r="S640" s="691" t="s">
        <v>54</v>
      </c>
      <c r="T640" t="s">
        <v>649</v>
      </c>
      <c r="U640" s="673">
        <v>44809</v>
      </c>
      <c r="V640" s="690">
        <v>5</v>
      </c>
      <c r="W640" s="657" t="s">
        <v>214</v>
      </c>
      <c r="X640" s="723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654"/>
      <c r="AJ640" s="655"/>
      <c r="AK640" s="4"/>
      <c r="AL640" s="4"/>
      <c r="AM640" s="4"/>
      <c r="AN640" s="4">
        <v>15</v>
      </c>
      <c r="AO640" s="4"/>
      <c r="AP640" s="4"/>
      <c r="AQ640" s="4"/>
      <c r="AR640" s="4"/>
      <c r="AS640" s="4"/>
      <c r="AT640" s="4"/>
      <c r="AU640" s="654"/>
      <c r="AV640" s="655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654"/>
      <c r="BH640" s="655"/>
      <c r="BI640" s="4"/>
      <c r="BJ640" s="4"/>
      <c r="BK640" s="4"/>
      <c r="BL640" s="4"/>
      <c r="BM640" s="4"/>
      <c r="BN640" s="4"/>
      <c r="BO640" s="4"/>
      <c r="BP640" s="4"/>
      <c r="BQ640" s="4"/>
      <c r="BR640" s="4"/>
      <c r="BS640" s="654"/>
      <c r="BT640" s="655"/>
      <c r="BU640" s="4"/>
      <c r="BV640" s="4"/>
      <c r="BW640" s="4"/>
      <c r="BX640" s="4"/>
      <c r="BY640" s="4"/>
      <c r="BZ640" s="4"/>
      <c r="CA640" s="4"/>
      <c r="CB640" s="4"/>
      <c r="CC640" s="4"/>
      <c r="CD640" s="4"/>
      <c r="CE640" s="693"/>
      <c r="CF640" s="723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654"/>
      <c r="CR640" s="655"/>
      <c r="CS640" s="4"/>
      <c r="CT640" s="4"/>
      <c r="CU640" s="4"/>
      <c r="CV640" s="4">
        <v>110.30024231709832</v>
      </c>
      <c r="CW640" s="4"/>
      <c r="CX640" s="4"/>
      <c r="CY640" s="4"/>
      <c r="CZ640" s="4"/>
      <c r="DA640" s="4"/>
      <c r="DB640" s="4"/>
      <c r="DC640" s="654"/>
      <c r="DD640" s="655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654"/>
      <c r="DP640" s="655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654"/>
      <c r="EB640" s="655"/>
      <c r="EC640" s="4"/>
      <c r="ED640" s="4"/>
      <c r="EE640" s="4"/>
      <c r="EF640" s="4"/>
      <c r="EG640" s="4"/>
      <c r="EH640" s="4"/>
      <c r="EI640" s="4"/>
      <c r="EJ640" s="4"/>
      <c r="EK640" s="4"/>
      <c r="EL640" s="4"/>
      <c r="EM640" s="693"/>
      <c r="EN640" s="723"/>
      <c r="EO640" s="4"/>
      <c r="EP640" s="4"/>
      <c r="EQ640" s="4"/>
      <c r="ER640" s="4"/>
      <c r="ES640" s="4"/>
      <c r="ET640" s="4"/>
      <c r="EU640" s="4"/>
      <c r="EV640" s="4"/>
      <c r="EW640" s="4"/>
      <c r="EX640" s="4"/>
      <c r="EY640" s="654"/>
      <c r="EZ640" s="655"/>
      <c r="FA640" s="4"/>
      <c r="FB640" s="4"/>
      <c r="FC640" s="4"/>
      <c r="FD640" s="4">
        <v>110.30024231709832</v>
      </c>
      <c r="FE640" s="4"/>
      <c r="FF640" s="4"/>
      <c r="FG640" s="4"/>
      <c r="FH640" s="4"/>
      <c r="FI640" s="4"/>
      <c r="FJ640" s="4"/>
      <c r="FK640" s="654"/>
      <c r="FL640" s="655"/>
      <c r="FM640" s="4"/>
      <c r="FN640" s="4"/>
      <c r="FO640" s="4"/>
      <c r="FP640" s="4"/>
      <c r="FQ640" s="4"/>
      <c r="FR640" s="4"/>
      <c r="FS640" s="4"/>
      <c r="FT640" s="4"/>
      <c r="FU640" s="4"/>
      <c r="FV640" s="4"/>
      <c r="FW640" s="654"/>
      <c r="FX640" s="655"/>
      <c r="FY640" s="4"/>
      <c r="FZ640" s="4"/>
      <c r="GA640" s="4"/>
      <c r="GB640" s="4"/>
      <c r="GC640" s="4"/>
      <c r="GD640" s="4"/>
      <c r="GE640" s="4"/>
      <c r="GF640" s="4"/>
      <c r="GG640" s="4"/>
      <c r="GH640" s="4"/>
      <c r="GI640" s="654"/>
      <c r="GJ640" s="655"/>
      <c r="GK640" s="4"/>
      <c r="GL640" s="4"/>
      <c r="GM640" s="4"/>
      <c r="GN640" s="4"/>
      <c r="GO640" s="4"/>
      <c r="GP640" s="4"/>
      <c r="GQ640" s="4"/>
      <c r="GR640" s="4"/>
      <c r="GS640" s="4"/>
      <c r="GT640" s="4"/>
      <c r="GU640" s="722"/>
      <c r="GV640" s="715"/>
    </row>
    <row r="641" spans="1:204" x14ac:dyDescent="0.25">
      <c r="A641" t="s">
        <v>2287</v>
      </c>
      <c r="B641" s="2" t="s">
        <v>358</v>
      </c>
      <c r="C641" s="619">
        <v>44809</v>
      </c>
      <c r="D641" s="2" t="s">
        <v>2322</v>
      </c>
      <c r="E641" t="s">
        <v>58</v>
      </c>
      <c r="F641" s="2" t="s">
        <v>2473</v>
      </c>
      <c r="G641" t="s">
        <v>40</v>
      </c>
      <c r="H641" s="690" t="s">
        <v>84</v>
      </c>
      <c r="I641" s="691" t="s">
        <v>346</v>
      </c>
      <c r="J641" s="721">
        <v>0</v>
      </c>
      <c r="K641" s="691" t="s">
        <v>2473</v>
      </c>
      <c r="L641" s="721" t="s">
        <v>2146</v>
      </c>
      <c r="M641" s="718" t="s">
        <v>3</v>
      </c>
      <c r="N641" s="717" t="s">
        <v>44</v>
      </c>
      <c r="O641" s="719">
        <v>45047</v>
      </c>
      <c r="P641" s="720">
        <v>45077</v>
      </c>
      <c r="Q641" s="718">
        <v>109</v>
      </c>
      <c r="R641" s="717">
        <v>11</v>
      </c>
      <c r="S641" s="691" t="s">
        <v>54</v>
      </c>
      <c r="T641" t="s">
        <v>649</v>
      </c>
      <c r="U641" s="673">
        <v>44809</v>
      </c>
      <c r="V641" s="690">
        <v>5</v>
      </c>
      <c r="W641" s="657" t="s">
        <v>214</v>
      </c>
      <c r="X641" s="723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654"/>
      <c r="AJ641" s="655"/>
      <c r="AK641" s="4"/>
      <c r="AL641" s="4"/>
      <c r="AM641" s="4"/>
      <c r="AN641" s="4">
        <v>11</v>
      </c>
      <c r="AO641" s="4"/>
      <c r="AP641" s="4"/>
      <c r="AQ641" s="4"/>
      <c r="AR641" s="4"/>
      <c r="AS641" s="4"/>
      <c r="AT641" s="4"/>
      <c r="AU641" s="654"/>
      <c r="AV641" s="655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654"/>
      <c r="BH641" s="655"/>
      <c r="BI641" s="4"/>
      <c r="BJ641" s="4"/>
      <c r="BK641" s="4"/>
      <c r="BL641" s="4"/>
      <c r="BM641" s="4"/>
      <c r="BN641" s="4"/>
      <c r="BO641" s="4"/>
      <c r="BP641" s="4"/>
      <c r="BQ641" s="4"/>
      <c r="BR641" s="4"/>
      <c r="BS641" s="654"/>
      <c r="BT641" s="655"/>
      <c r="BU641" s="4"/>
      <c r="BV641" s="4"/>
      <c r="BW641" s="4"/>
      <c r="BX641" s="4"/>
      <c r="BY641" s="4"/>
      <c r="BZ641" s="4"/>
      <c r="CA641" s="4"/>
      <c r="CB641" s="4"/>
      <c r="CC641" s="4"/>
      <c r="CD641" s="4"/>
      <c r="CE641" s="693"/>
      <c r="CF641" s="723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654"/>
      <c r="CR641" s="655"/>
      <c r="CS641" s="4"/>
      <c r="CT641" s="4"/>
      <c r="CU641" s="4"/>
      <c r="CV641" s="4">
        <v>110.30024231709832</v>
      </c>
      <c r="CW641" s="4"/>
      <c r="CX641" s="4"/>
      <c r="CY641" s="4"/>
      <c r="CZ641" s="4"/>
      <c r="DA641" s="4"/>
      <c r="DB641" s="4"/>
      <c r="DC641" s="654"/>
      <c r="DD641" s="655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654"/>
      <c r="DP641" s="655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654"/>
      <c r="EB641" s="655"/>
      <c r="EC641" s="4"/>
      <c r="ED641" s="4"/>
      <c r="EE641" s="4"/>
      <c r="EF641" s="4"/>
      <c r="EG641" s="4"/>
      <c r="EH641" s="4"/>
      <c r="EI641" s="4"/>
      <c r="EJ641" s="4"/>
      <c r="EK641" s="4"/>
      <c r="EL641" s="4"/>
      <c r="EM641" s="693"/>
      <c r="EN641" s="723"/>
      <c r="EO641" s="4"/>
      <c r="EP641" s="4"/>
      <c r="EQ641" s="4"/>
      <c r="ER641" s="4"/>
      <c r="ES641" s="4"/>
      <c r="ET641" s="4"/>
      <c r="EU641" s="4"/>
      <c r="EV641" s="4"/>
      <c r="EW641" s="4"/>
      <c r="EX641" s="4"/>
      <c r="EY641" s="654"/>
      <c r="EZ641" s="655"/>
      <c r="FA641" s="4"/>
      <c r="FB641" s="4"/>
      <c r="FC641" s="4"/>
      <c r="FD641" s="4">
        <v>110.30024231709832</v>
      </c>
      <c r="FE641" s="4"/>
      <c r="FF641" s="4"/>
      <c r="FG641" s="4"/>
      <c r="FH641" s="4"/>
      <c r="FI641" s="4"/>
      <c r="FJ641" s="4"/>
      <c r="FK641" s="654"/>
      <c r="FL641" s="655"/>
      <c r="FM641" s="4"/>
      <c r="FN641" s="4"/>
      <c r="FO641" s="4"/>
      <c r="FP641" s="4"/>
      <c r="FQ641" s="4"/>
      <c r="FR641" s="4"/>
      <c r="FS641" s="4"/>
      <c r="FT641" s="4"/>
      <c r="FU641" s="4"/>
      <c r="FV641" s="4"/>
      <c r="FW641" s="654"/>
      <c r="FX641" s="655"/>
      <c r="FY641" s="4"/>
      <c r="FZ641" s="4"/>
      <c r="GA641" s="4"/>
      <c r="GB641" s="4"/>
      <c r="GC641" s="4"/>
      <c r="GD641" s="4"/>
      <c r="GE641" s="4"/>
      <c r="GF641" s="4"/>
      <c r="GG641" s="4"/>
      <c r="GH641" s="4"/>
      <c r="GI641" s="654"/>
      <c r="GJ641" s="655"/>
      <c r="GK641" s="4"/>
      <c r="GL641" s="4"/>
      <c r="GM641" s="4"/>
      <c r="GN641" s="4"/>
      <c r="GO641" s="4"/>
      <c r="GP641" s="4"/>
      <c r="GQ641" s="4"/>
      <c r="GR641" s="4"/>
      <c r="GS641" s="4"/>
      <c r="GT641" s="4"/>
      <c r="GU641" s="722"/>
      <c r="GV641" s="715"/>
    </row>
    <row r="642" spans="1:204" x14ac:dyDescent="0.25">
      <c r="A642" t="s">
        <v>2291</v>
      </c>
      <c r="B642" s="2" t="s">
        <v>358</v>
      </c>
      <c r="C642" s="619">
        <v>44810</v>
      </c>
      <c r="D642" s="2" t="s">
        <v>2288</v>
      </c>
      <c r="E642" t="s">
        <v>59</v>
      </c>
      <c r="F642" s="2" t="s">
        <v>2473</v>
      </c>
      <c r="G642" t="s">
        <v>40</v>
      </c>
      <c r="H642" s="690" t="s">
        <v>85</v>
      </c>
      <c r="I642" s="691" t="s">
        <v>2473</v>
      </c>
      <c r="J642" s="721" t="s">
        <v>2146</v>
      </c>
      <c r="K642" s="691" t="s">
        <v>508</v>
      </c>
      <c r="L642" s="721" t="s">
        <v>2209</v>
      </c>
      <c r="M642" s="718" t="s">
        <v>3</v>
      </c>
      <c r="N642" s="717" t="s">
        <v>44</v>
      </c>
      <c r="O642" s="719">
        <v>44927</v>
      </c>
      <c r="P642" s="720">
        <v>44957</v>
      </c>
      <c r="Q642" s="718">
        <v>120</v>
      </c>
      <c r="R642" s="717">
        <v>3</v>
      </c>
      <c r="S642" s="691" t="s">
        <v>54</v>
      </c>
      <c r="T642" t="s">
        <v>649</v>
      </c>
      <c r="U642" s="673">
        <v>44810</v>
      </c>
      <c r="V642" s="690">
        <v>1</v>
      </c>
      <c r="W642" s="657" t="s">
        <v>214</v>
      </c>
      <c r="X642" s="723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654"/>
      <c r="AJ642" s="655">
        <v>3</v>
      </c>
      <c r="AK642" s="4"/>
      <c r="AL642" s="4"/>
      <c r="AM642" s="4"/>
      <c r="AN642" s="4"/>
      <c r="AO642" s="4"/>
      <c r="AP642" s="4"/>
      <c r="AQ642" s="4"/>
      <c r="AR642" s="4"/>
      <c r="AS642" s="4"/>
      <c r="AT642" s="4"/>
      <c r="AU642" s="654"/>
      <c r="AV642" s="655"/>
      <c r="AW642" s="4"/>
      <c r="AX642" s="4"/>
      <c r="AY642" s="4"/>
      <c r="AZ642" s="4"/>
      <c r="BA642" s="4"/>
      <c r="BB642" s="4"/>
      <c r="BC642" s="4"/>
      <c r="BD642" s="4"/>
      <c r="BE642" s="4"/>
      <c r="BF642" s="4"/>
      <c r="BG642" s="654"/>
      <c r="BH642" s="655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654"/>
      <c r="BT642" s="655"/>
      <c r="BU642" s="4"/>
      <c r="BV642" s="4"/>
      <c r="BW642" s="4"/>
      <c r="BX642" s="4"/>
      <c r="BY642" s="4"/>
      <c r="BZ642" s="4"/>
      <c r="CA642" s="4"/>
      <c r="CB642" s="4"/>
      <c r="CC642" s="4"/>
      <c r="CD642" s="4"/>
      <c r="CE642" s="693"/>
      <c r="CF642" s="723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654"/>
      <c r="CR642" s="655">
        <v>121.43145943166788</v>
      </c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654"/>
      <c r="DD642" s="655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654"/>
      <c r="DP642" s="655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654"/>
      <c r="EB642" s="655"/>
      <c r="EC642" s="4"/>
      <c r="ED642" s="4"/>
      <c r="EE642" s="4"/>
      <c r="EF642" s="4"/>
      <c r="EG642" s="4"/>
      <c r="EH642" s="4"/>
      <c r="EI642" s="4"/>
      <c r="EJ642" s="4"/>
      <c r="EK642" s="4"/>
      <c r="EL642" s="4"/>
      <c r="EM642" s="693"/>
      <c r="EN642" s="723"/>
      <c r="EO642" s="4"/>
      <c r="EP642" s="4"/>
      <c r="EQ642" s="4"/>
      <c r="ER642" s="4"/>
      <c r="ES642" s="4"/>
      <c r="ET642" s="4"/>
      <c r="EU642" s="4"/>
      <c r="EV642" s="4"/>
      <c r="EW642" s="4"/>
      <c r="EX642" s="4"/>
      <c r="EY642" s="654"/>
      <c r="EZ642" s="655">
        <v>121.43145943166788</v>
      </c>
      <c r="FA642" s="4"/>
      <c r="FB642" s="4"/>
      <c r="FC642" s="4"/>
      <c r="FD642" s="4"/>
      <c r="FE642" s="4"/>
      <c r="FF642" s="4"/>
      <c r="FG642" s="4"/>
      <c r="FH642" s="4"/>
      <c r="FI642" s="4"/>
      <c r="FJ642" s="4"/>
      <c r="FK642" s="654"/>
      <c r="FL642" s="655"/>
      <c r="FM642" s="4"/>
      <c r="FN642" s="4"/>
      <c r="FO642" s="4"/>
      <c r="FP642" s="4"/>
      <c r="FQ642" s="4"/>
      <c r="FR642" s="4"/>
      <c r="FS642" s="4"/>
      <c r="FT642" s="4"/>
      <c r="FU642" s="4"/>
      <c r="FV642" s="4"/>
      <c r="FW642" s="654"/>
      <c r="FX642" s="655"/>
      <c r="FY642" s="4"/>
      <c r="FZ642" s="4"/>
      <c r="GA642" s="4"/>
      <c r="GB642" s="4"/>
      <c r="GC642" s="4"/>
      <c r="GD642" s="4"/>
      <c r="GE642" s="4"/>
      <c r="GF642" s="4"/>
      <c r="GG642" s="4"/>
      <c r="GH642" s="4"/>
      <c r="GI642" s="654"/>
      <c r="GJ642" s="655"/>
      <c r="GK642" s="4"/>
      <c r="GL642" s="4"/>
      <c r="GM642" s="4"/>
      <c r="GN642" s="4"/>
      <c r="GO642" s="4"/>
      <c r="GP642" s="4"/>
      <c r="GQ642" s="4"/>
      <c r="GR642" s="4"/>
      <c r="GS642" s="4"/>
      <c r="GT642" s="4"/>
      <c r="GU642" s="722"/>
      <c r="GV642" s="715"/>
    </row>
    <row r="643" spans="1:204" x14ac:dyDescent="0.25">
      <c r="A643" t="s">
        <v>2292</v>
      </c>
      <c r="B643" s="2" t="s">
        <v>358</v>
      </c>
      <c r="C643" s="619">
        <v>44810</v>
      </c>
      <c r="D643" s="2" t="s">
        <v>2289</v>
      </c>
      <c r="E643" t="s">
        <v>59</v>
      </c>
      <c r="F643" s="2" t="s">
        <v>2473</v>
      </c>
      <c r="G643" t="s">
        <v>40</v>
      </c>
      <c r="H643" s="690" t="s">
        <v>85</v>
      </c>
      <c r="I643" s="691" t="s">
        <v>2473</v>
      </c>
      <c r="J643" s="721" t="s">
        <v>2146</v>
      </c>
      <c r="K643" s="691" t="s">
        <v>467</v>
      </c>
      <c r="L643" s="721" t="s">
        <v>2233</v>
      </c>
      <c r="M643" s="718" t="s">
        <v>3</v>
      </c>
      <c r="N643" s="717" t="s">
        <v>44</v>
      </c>
      <c r="O643" s="719">
        <v>44866</v>
      </c>
      <c r="P643" s="720">
        <v>44895</v>
      </c>
      <c r="Q643" s="718">
        <v>81.5</v>
      </c>
      <c r="R643" s="717">
        <v>5</v>
      </c>
      <c r="S643" s="691" t="s">
        <v>54</v>
      </c>
      <c r="T643" t="s">
        <v>358</v>
      </c>
      <c r="U643" s="673" t="s">
        <v>358</v>
      </c>
      <c r="V643" s="690" t="s">
        <v>358</v>
      </c>
      <c r="W643" s="657" t="s">
        <v>214</v>
      </c>
      <c r="X643" s="723"/>
      <c r="Y643" s="4"/>
      <c r="Z643" s="4"/>
      <c r="AA643" s="4"/>
      <c r="AB643" s="4"/>
      <c r="AC643" s="4"/>
      <c r="AD643" s="4"/>
      <c r="AE643" s="4"/>
      <c r="AF643" s="4"/>
      <c r="AG643" s="4"/>
      <c r="AH643" s="4">
        <v>5</v>
      </c>
      <c r="AI643" s="654"/>
      <c r="AJ643" s="655"/>
      <c r="AK643" s="4"/>
      <c r="AL643" s="4"/>
      <c r="AM643" s="4"/>
      <c r="AN643" s="4"/>
      <c r="AO643" s="4"/>
      <c r="AP643" s="4"/>
      <c r="AQ643" s="4"/>
      <c r="AR643" s="4"/>
      <c r="AS643" s="4"/>
      <c r="AT643" s="4"/>
      <c r="AU643" s="654"/>
      <c r="AV643" s="655"/>
      <c r="AW643" s="4"/>
      <c r="AX643" s="4"/>
      <c r="AY643" s="4"/>
      <c r="AZ643" s="4"/>
      <c r="BA643" s="4"/>
      <c r="BB643" s="4"/>
      <c r="BC643" s="4"/>
      <c r="BD643" s="4"/>
      <c r="BE643" s="4"/>
      <c r="BF643" s="4"/>
      <c r="BG643" s="654"/>
      <c r="BH643" s="655"/>
      <c r="BI643" s="4"/>
      <c r="BJ643" s="4"/>
      <c r="BK643" s="4"/>
      <c r="BL643" s="4"/>
      <c r="BM643" s="4"/>
      <c r="BN643" s="4"/>
      <c r="BO643" s="4"/>
      <c r="BP643" s="4"/>
      <c r="BQ643" s="4"/>
      <c r="BR643" s="4"/>
      <c r="BS643" s="654"/>
      <c r="BT643" s="655"/>
      <c r="BU643" s="4"/>
      <c r="BV643" s="4"/>
      <c r="BW643" s="4"/>
      <c r="BX643" s="4"/>
      <c r="BY643" s="4"/>
      <c r="BZ643" s="4"/>
      <c r="CA643" s="4"/>
      <c r="CB643" s="4"/>
      <c r="CC643" s="4"/>
      <c r="CD643" s="4"/>
      <c r="CE643" s="693"/>
      <c r="CF643" s="723"/>
      <c r="CG643" s="4"/>
      <c r="CH643" s="4"/>
      <c r="CI643" s="4"/>
      <c r="CJ643" s="4"/>
      <c r="CK643" s="4"/>
      <c r="CL643" s="4"/>
      <c r="CM643" s="4"/>
      <c r="CN643" s="4"/>
      <c r="CO643" s="4"/>
      <c r="CP643" s="4">
        <v>81.5</v>
      </c>
      <c r="CQ643" s="654"/>
      <c r="CR643" s="655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654"/>
      <c r="DD643" s="655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654"/>
      <c r="DP643" s="655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654"/>
      <c r="EB643" s="655"/>
      <c r="EC643" s="4"/>
      <c r="ED643" s="4"/>
      <c r="EE643" s="4"/>
      <c r="EF643" s="4"/>
      <c r="EG643" s="4"/>
      <c r="EH643" s="4"/>
      <c r="EI643" s="4"/>
      <c r="EJ643" s="4"/>
      <c r="EK643" s="4"/>
      <c r="EL643" s="4"/>
      <c r="EM643" s="693"/>
      <c r="EN643" s="723"/>
      <c r="EO643" s="4"/>
      <c r="EP643" s="4"/>
      <c r="EQ643" s="4"/>
      <c r="ER643" s="4"/>
      <c r="ES643" s="4"/>
      <c r="ET643" s="4"/>
      <c r="EU643" s="4"/>
      <c r="EV643" s="4"/>
      <c r="EW643" s="4"/>
      <c r="EX643" s="4">
        <v>81.5</v>
      </c>
      <c r="EY643" s="654"/>
      <c r="EZ643" s="655"/>
      <c r="FA643" s="4"/>
      <c r="FB643" s="4"/>
      <c r="FC643" s="4"/>
      <c r="FD643" s="4"/>
      <c r="FE643" s="4"/>
      <c r="FF643" s="4"/>
      <c r="FG643" s="4"/>
      <c r="FH643" s="4"/>
      <c r="FI643" s="4"/>
      <c r="FJ643" s="4"/>
      <c r="FK643" s="654"/>
      <c r="FL643" s="655"/>
      <c r="FM643" s="4"/>
      <c r="FN643" s="4"/>
      <c r="FO643" s="4"/>
      <c r="FP643" s="4"/>
      <c r="FQ643" s="4"/>
      <c r="FR643" s="4"/>
      <c r="FS643" s="4"/>
      <c r="FT643" s="4"/>
      <c r="FU643" s="4"/>
      <c r="FV643" s="4"/>
      <c r="FW643" s="654"/>
      <c r="FX643" s="655"/>
      <c r="FY643" s="4"/>
      <c r="FZ643" s="4"/>
      <c r="GA643" s="4"/>
      <c r="GB643" s="4"/>
      <c r="GC643" s="4"/>
      <c r="GD643" s="4"/>
      <c r="GE643" s="4"/>
      <c r="GF643" s="4"/>
      <c r="GG643" s="4"/>
      <c r="GH643" s="4"/>
      <c r="GI643" s="654"/>
      <c r="GJ643" s="655"/>
      <c r="GK643" s="4"/>
      <c r="GL643" s="4"/>
      <c r="GM643" s="4"/>
      <c r="GN643" s="4"/>
      <c r="GO643" s="4"/>
      <c r="GP643" s="4"/>
      <c r="GQ643" s="4"/>
      <c r="GR643" s="4"/>
      <c r="GS643" s="4"/>
      <c r="GT643" s="4"/>
      <c r="GU643" s="722"/>
      <c r="GV643" s="715"/>
    </row>
    <row r="644" spans="1:204" x14ac:dyDescent="0.25">
      <c r="A644" t="s">
        <v>2293</v>
      </c>
      <c r="B644" s="2" t="s">
        <v>358</v>
      </c>
      <c r="C644" s="619">
        <v>44810</v>
      </c>
      <c r="D644" s="2" t="s">
        <v>2290</v>
      </c>
      <c r="E644" t="s">
        <v>58</v>
      </c>
      <c r="F644" s="2" t="s">
        <v>2473</v>
      </c>
      <c r="G644" t="s">
        <v>40</v>
      </c>
      <c r="H644" s="690" t="s">
        <v>84</v>
      </c>
      <c r="I644" s="691" t="s">
        <v>471</v>
      </c>
      <c r="J644" s="721" t="s">
        <v>2244</v>
      </c>
      <c r="K644" s="691" t="s">
        <v>2473</v>
      </c>
      <c r="L644" s="721" t="s">
        <v>2146</v>
      </c>
      <c r="M644" s="718" t="s">
        <v>5</v>
      </c>
      <c r="N644" s="717" t="s">
        <v>44</v>
      </c>
      <c r="O644" s="719">
        <v>44774</v>
      </c>
      <c r="P644" s="720">
        <v>44804</v>
      </c>
      <c r="Q644" s="718">
        <v>24.5</v>
      </c>
      <c r="R644" s="717">
        <v>10</v>
      </c>
      <c r="S644" s="691" t="s">
        <v>92</v>
      </c>
      <c r="T644" t="s">
        <v>358</v>
      </c>
      <c r="U644" s="673" t="s">
        <v>358</v>
      </c>
      <c r="V644" s="690" t="s">
        <v>358</v>
      </c>
      <c r="W644" s="657" t="s">
        <v>214</v>
      </c>
      <c r="X644" s="723"/>
      <c r="Y644" s="4"/>
      <c r="Z644" s="4"/>
      <c r="AA644" s="4"/>
      <c r="AB644" s="4"/>
      <c r="AC644" s="4"/>
      <c r="AD644" s="4"/>
      <c r="AE644" s="4">
        <v>10</v>
      </c>
      <c r="AF644" s="4"/>
      <c r="AG644" s="4"/>
      <c r="AH644" s="4"/>
      <c r="AI644" s="654"/>
      <c r="AJ644" s="655"/>
      <c r="AK644" s="4"/>
      <c r="AL644" s="4"/>
      <c r="AM644" s="4"/>
      <c r="AN644" s="4"/>
      <c r="AO644" s="4"/>
      <c r="AP644" s="4"/>
      <c r="AQ644" s="4"/>
      <c r="AR644" s="4"/>
      <c r="AS644" s="4"/>
      <c r="AT644" s="4"/>
      <c r="AU644" s="654"/>
      <c r="AV644" s="655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654"/>
      <c r="BH644" s="655"/>
      <c r="BI644" s="4"/>
      <c r="BJ644" s="4"/>
      <c r="BK644" s="4"/>
      <c r="BL644" s="4"/>
      <c r="BM644" s="4"/>
      <c r="BN644" s="4"/>
      <c r="BO644" s="4"/>
      <c r="BP644" s="4"/>
      <c r="BQ644" s="4"/>
      <c r="BR644" s="4"/>
      <c r="BS644" s="654"/>
      <c r="BT644" s="655"/>
      <c r="BU644" s="4"/>
      <c r="BV644" s="4"/>
      <c r="BW644" s="4"/>
      <c r="BX644" s="4"/>
      <c r="BY644" s="4"/>
      <c r="BZ644" s="4"/>
      <c r="CA644" s="4"/>
      <c r="CB644" s="4"/>
      <c r="CC644" s="4"/>
      <c r="CD644" s="4"/>
      <c r="CE644" s="693"/>
      <c r="CF644" s="723"/>
      <c r="CG644" s="4"/>
      <c r="CH644" s="4"/>
      <c r="CI644" s="4"/>
      <c r="CJ644" s="4"/>
      <c r="CK644" s="4"/>
      <c r="CL644" s="4"/>
      <c r="CM644" s="4">
        <v>24.5</v>
      </c>
      <c r="CN644" s="4"/>
      <c r="CO644" s="4"/>
      <c r="CP644" s="4"/>
      <c r="CQ644" s="654"/>
      <c r="CR644" s="655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654"/>
      <c r="DD644" s="655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654"/>
      <c r="DP644" s="655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654"/>
      <c r="EB644" s="655"/>
      <c r="EC644" s="4"/>
      <c r="ED644" s="4"/>
      <c r="EE644" s="4"/>
      <c r="EF644" s="4"/>
      <c r="EG644" s="4"/>
      <c r="EH644" s="4"/>
      <c r="EI644" s="4"/>
      <c r="EJ644" s="4"/>
      <c r="EK644" s="4"/>
      <c r="EL644" s="4"/>
      <c r="EM644" s="693"/>
      <c r="EN644" s="723"/>
      <c r="EO644" s="4"/>
      <c r="EP644" s="4"/>
      <c r="EQ644" s="4"/>
      <c r="ER644" s="4"/>
      <c r="ES644" s="4"/>
      <c r="ET644" s="4"/>
      <c r="EU644" s="4">
        <v>101.4</v>
      </c>
      <c r="EV644" s="4"/>
      <c r="EW644" s="4"/>
      <c r="EX644" s="4"/>
      <c r="EY644" s="654"/>
      <c r="EZ644" s="655"/>
      <c r="FA644" s="4"/>
      <c r="FB644" s="4"/>
      <c r="FC644" s="4"/>
      <c r="FD644" s="4"/>
      <c r="FE644" s="4"/>
      <c r="FF644" s="4"/>
      <c r="FG644" s="4"/>
      <c r="FH644" s="4"/>
      <c r="FI644" s="4"/>
      <c r="FJ644" s="4"/>
      <c r="FK644" s="654"/>
      <c r="FL644" s="655"/>
      <c r="FM644" s="4"/>
      <c r="FN644" s="4"/>
      <c r="FO644" s="4"/>
      <c r="FP644" s="4"/>
      <c r="FQ644" s="4"/>
      <c r="FR644" s="4"/>
      <c r="FS644" s="4"/>
      <c r="FT644" s="4"/>
      <c r="FU644" s="4"/>
      <c r="FV644" s="4"/>
      <c r="FW644" s="654"/>
      <c r="FX644" s="655"/>
      <c r="FY644" s="4"/>
      <c r="FZ644" s="4"/>
      <c r="GA644" s="4"/>
      <c r="GB644" s="4"/>
      <c r="GC644" s="4"/>
      <c r="GD644" s="4"/>
      <c r="GE644" s="4"/>
      <c r="GF644" s="4"/>
      <c r="GG644" s="4"/>
      <c r="GH644" s="4"/>
      <c r="GI644" s="654"/>
      <c r="GJ644" s="655"/>
      <c r="GK644" s="4"/>
      <c r="GL644" s="4"/>
      <c r="GM644" s="4"/>
      <c r="GN644" s="4"/>
      <c r="GO644" s="4"/>
      <c r="GP644" s="4"/>
      <c r="GQ644" s="4"/>
      <c r="GR644" s="4"/>
      <c r="GS644" s="4"/>
      <c r="GT644" s="4"/>
      <c r="GU644" s="722"/>
      <c r="GV644" s="715"/>
    </row>
    <row r="645" spans="1:204" x14ac:dyDescent="0.25">
      <c r="A645" t="s">
        <v>2296</v>
      </c>
      <c r="B645" s="2" t="s">
        <v>358</v>
      </c>
      <c r="C645" s="619">
        <v>44817</v>
      </c>
      <c r="D645" s="2" t="s">
        <v>2294</v>
      </c>
      <c r="E645" t="s">
        <v>59</v>
      </c>
      <c r="F645" s="2" t="s">
        <v>2473</v>
      </c>
      <c r="G645" t="s">
        <v>40</v>
      </c>
      <c r="H645" s="690" t="s">
        <v>85</v>
      </c>
      <c r="I645" s="691" t="s">
        <v>2473</v>
      </c>
      <c r="J645" s="721" t="s">
        <v>2146</v>
      </c>
      <c r="K645" s="691" t="s">
        <v>2267</v>
      </c>
      <c r="L645" s="721" t="s">
        <v>2268</v>
      </c>
      <c r="M645" s="718" t="s">
        <v>3</v>
      </c>
      <c r="N645" s="717" t="s">
        <v>44</v>
      </c>
      <c r="O645" s="719">
        <v>45017</v>
      </c>
      <c r="P645" s="720">
        <v>45046</v>
      </c>
      <c r="Q645" s="718">
        <v>104</v>
      </c>
      <c r="R645" s="717">
        <v>10</v>
      </c>
      <c r="S645" s="691" t="s">
        <v>54</v>
      </c>
      <c r="T645" t="s">
        <v>649</v>
      </c>
      <c r="U645" s="673">
        <v>44817</v>
      </c>
      <c r="V645" s="690">
        <v>4</v>
      </c>
      <c r="W645" s="657" t="s">
        <v>214</v>
      </c>
      <c r="X645" s="723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654"/>
      <c r="AJ645" s="655"/>
      <c r="AK645" s="4"/>
      <c r="AL645" s="4"/>
      <c r="AM645" s="4">
        <v>10</v>
      </c>
      <c r="AN645" s="4"/>
      <c r="AO645" s="4"/>
      <c r="AP645" s="4"/>
      <c r="AQ645" s="4"/>
      <c r="AR645" s="4"/>
      <c r="AS645" s="4"/>
      <c r="AT645" s="4"/>
      <c r="AU645" s="654"/>
      <c r="AV645" s="655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654"/>
      <c r="BH645" s="655"/>
      <c r="BI645" s="4"/>
      <c r="BJ645" s="4"/>
      <c r="BK645" s="4"/>
      <c r="BL645" s="4"/>
      <c r="BM645" s="4"/>
      <c r="BN645" s="4"/>
      <c r="BO645" s="4"/>
      <c r="BP645" s="4"/>
      <c r="BQ645" s="4"/>
      <c r="BR645" s="4"/>
      <c r="BS645" s="654"/>
      <c r="BT645" s="655"/>
      <c r="BU645" s="4"/>
      <c r="BV645" s="4"/>
      <c r="BW645" s="4"/>
      <c r="BX645" s="4"/>
      <c r="BY645" s="4"/>
      <c r="BZ645" s="4"/>
      <c r="CA645" s="4"/>
      <c r="CB645" s="4"/>
      <c r="CC645" s="4"/>
      <c r="CD645" s="4"/>
      <c r="CE645" s="693"/>
      <c r="CF645" s="723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654"/>
      <c r="CR645" s="655"/>
      <c r="CS645" s="4"/>
      <c r="CT645" s="4"/>
      <c r="CU645" s="4">
        <v>105.24059817411216</v>
      </c>
      <c r="CV645" s="4"/>
      <c r="CW645" s="4"/>
      <c r="CX645" s="4"/>
      <c r="CY645" s="4"/>
      <c r="CZ645" s="4"/>
      <c r="DA645" s="4"/>
      <c r="DB645" s="4"/>
      <c r="DC645" s="654"/>
      <c r="DD645" s="655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654"/>
      <c r="DP645" s="655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654"/>
      <c r="EB645" s="655"/>
      <c r="EC645" s="4"/>
      <c r="ED645" s="4"/>
      <c r="EE645" s="4"/>
      <c r="EF645" s="4"/>
      <c r="EG645" s="4"/>
      <c r="EH645" s="4"/>
      <c r="EI645" s="4"/>
      <c r="EJ645" s="4"/>
      <c r="EK645" s="4"/>
      <c r="EL645" s="4"/>
      <c r="EM645" s="693"/>
      <c r="EN645" s="723"/>
      <c r="EO645" s="4"/>
      <c r="EP645" s="4"/>
      <c r="EQ645" s="4"/>
      <c r="ER645" s="4"/>
      <c r="ES645" s="4"/>
      <c r="ET645" s="4"/>
      <c r="EU645" s="4"/>
      <c r="EV645" s="4"/>
      <c r="EW645" s="4"/>
      <c r="EX645" s="4"/>
      <c r="EY645" s="654"/>
      <c r="EZ645" s="655"/>
      <c r="FA645" s="4"/>
      <c r="FB645" s="4"/>
      <c r="FC645" s="4">
        <v>105.24059817411216</v>
      </c>
      <c r="FD645" s="4"/>
      <c r="FE645" s="4"/>
      <c r="FF645" s="4"/>
      <c r="FG645" s="4"/>
      <c r="FH645" s="4"/>
      <c r="FI645" s="4"/>
      <c r="FJ645" s="4"/>
      <c r="FK645" s="654"/>
      <c r="FL645" s="655"/>
      <c r="FM645" s="4"/>
      <c r="FN645" s="4"/>
      <c r="FO645" s="4"/>
      <c r="FP645" s="4"/>
      <c r="FQ645" s="4"/>
      <c r="FR645" s="4"/>
      <c r="FS645" s="4"/>
      <c r="FT645" s="4"/>
      <c r="FU645" s="4"/>
      <c r="FV645" s="4"/>
      <c r="FW645" s="654"/>
      <c r="FX645" s="655"/>
      <c r="FY645" s="4"/>
      <c r="FZ645" s="4"/>
      <c r="GA645" s="4"/>
      <c r="GB645" s="4"/>
      <c r="GC645" s="4"/>
      <c r="GD645" s="4"/>
      <c r="GE645" s="4"/>
      <c r="GF645" s="4"/>
      <c r="GG645" s="4"/>
      <c r="GH645" s="4"/>
      <c r="GI645" s="654"/>
      <c r="GJ645" s="655"/>
      <c r="GK645" s="4"/>
      <c r="GL645" s="4"/>
      <c r="GM645" s="4"/>
      <c r="GN645" s="4"/>
      <c r="GO645" s="4"/>
      <c r="GP645" s="4"/>
      <c r="GQ645" s="4"/>
      <c r="GR645" s="4"/>
      <c r="GS645" s="4"/>
      <c r="GT645" s="4"/>
      <c r="GU645" s="722"/>
      <c r="GV645" s="715"/>
    </row>
    <row r="646" spans="1:204" x14ac:dyDescent="0.25">
      <c r="A646" t="s">
        <v>2297</v>
      </c>
      <c r="B646" s="2" t="s">
        <v>358</v>
      </c>
      <c r="C646" s="619">
        <v>44817</v>
      </c>
      <c r="D646" s="2" t="s">
        <v>2295</v>
      </c>
      <c r="E646" t="s">
        <v>59</v>
      </c>
      <c r="F646" s="2" t="s">
        <v>2473</v>
      </c>
      <c r="G646" t="s">
        <v>40</v>
      </c>
      <c r="H646" s="690" t="s">
        <v>85</v>
      </c>
      <c r="I646" s="691" t="s">
        <v>2473</v>
      </c>
      <c r="J646" s="721" t="s">
        <v>2146</v>
      </c>
      <c r="K646" s="691" t="s">
        <v>349</v>
      </c>
      <c r="L646" s="721" t="s">
        <v>2173</v>
      </c>
      <c r="M646" s="718" t="s">
        <v>3</v>
      </c>
      <c r="N646" s="717" t="s">
        <v>44</v>
      </c>
      <c r="O646" s="719">
        <v>45047</v>
      </c>
      <c r="P646" s="720">
        <v>45077</v>
      </c>
      <c r="Q646" s="718">
        <v>108</v>
      </c>
      <c r="R646" s="717">
        <v>20</v>
      </c>
      <c r="S646" s="691" t="s">
        <v>54</v>
      </c>
      <c r="T646" t="s">
        <v>649</v>
      </c>
      <c r="U646" s="673">
        <v>44817</v>
      </c>
      <c r="V646" s="690">
        <v>5</v>
      </c>
      <c r="W646" s="657" t="s">
        <v>214</v>
      </c>
      <c r="X646" s="723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654"/>
      <c r="AJ646" s="655"/>
      <c r="AK646" s="4"/>
      <c r="AL646" s="4"/>
      <c r="AM646" s="4"/>
      <c r="AN646" s="4">
        <v>20</v>
      </c>
      <c r="AO646" s="4"/>
      <c r="AP646" s="4"/>
      <c r="AQ646" s="4"/>
      <c r="AR646" s="4"/>
      <c r="AS646" s="4"/>
      <c r="AT646" s="4"/>
      <c r="AU646" s="654"/>
      <c r="AV646" s="655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654"/>
      <c r="BH646" s="655"/>
      <c r="BI646" s="4"/>
      <c r="BJ646" s="4"/>
      <c r="BK646" s="4"/>
      <c r="BL646" s="4"/>
      <c r="BM646" s="4"/>
      <c r="BN646" s="4"/>
      <c r="BO646" s="4"/>
      <c r="BP646" s="4"/>
      <c r="BQ646" s="4"/>
      <c r="BR646" s="4"/>
      <c r="BS646" s="654"/>
      <c r="BT646" s="655"/>
      <c r="BU646" s="4"/>
      <c r="BV646" s="4"/>
      <c r="BW646" s="4"/>
      <c r="BX646" s="4"/>
      <c r="BY646" s="4"/>
      <c r="BZ646" s="4"/>
      <c r="CA646" s="4"/>
      <c r="CB646" s="4"/>
      <c r="CC646" s="4"/>
      <c r="CD646" s="4"/>
      <c r="CE646" s="693"/>
      <c r="CF646" s="723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654"/>
      <c r="CR646" s="655"/>
      <c r="CS646" s="4"/>
      <c r="CT646" s="4"/>
      <c r="CU646" s="4"/>
      <c r="CV646" s="4">
        <v>109.28831348850109</v>
      </c>
      <c r="CW646" s="4"/>
      <c r="CX646" s="4"/>
      <c r="CY646" s="4"/>
      <c r="CZ646" s="4"/>
      <c r="DA646" s="4"/>
      <c r="DB646" s="4"/>
      <c r="DC646" s="654"/>
      <c r="DD646" s="655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654"/>
      <c r="DP646" s="655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654"/>
      <c r="EB646" s="655"/>
      <c r="EC646" s="4"/>
      <c r="ED646" s="4"/>
      <c r="EE646" s="4"/>
      <c r="EF646" s="4"/>
      <c r="EG646" s="4"/>
      <c r="EH646" s="4"/>
      <c r="EI646" s="4"/>
      <c r="EJ646" s="4"/>
      <c r="EK646" s="4"/>
      <c r="EL646" s="4"/>
      <c r="EM646" s="693"/>
      <c r="EN646" s="723"/>
      <c r="EO646" s="4"/>
      <c r="EP646" s="4"/>
      <c r="EQ646" s="4"/>
      <c r="ER646" s="4"/>
      <c r="ES646" s="4"/>
      <c r="ET646" s="4"/>
      <c r="EU646" s="4"/>
      <c r="EV646" s="4"/>
      <c r="EW646" s="4"/>
      <c r="EX646" s="4"/>
      <c r="EY646" s="654"/>
      <c r="EZ646" s="655"/>
      <c r="FA646" s="4"/>
      <c r="FB646" s="4"/>
      <c r="FC646" s="4"/>
      <c r="FD646" s="4">
        <v>109.28831348850109</v>
      </c>
      <c r="FE646" s="4"/>
      <c r="FF646" s="4"/>
      <c r="FG646" s="4"/>
      <c r="FH646" s="4"/>
      <c r="FI646" s="4"/>
      <c r="FJ646" s="4"/>
      <c r="FK646" s="654"/>
      <c r="FL646" s="655"/>
      <c r="FM646" s="4"/>
      <c r="FN646" s="4"/>
      <c r="FO646" s="4"/>
      <c r="FP646" s="4"/>
      <c r="FQ646" s="4"/>
      <c r="FR646" s="4"/>
      <c r="FS646" s="4"/>
      <c r="FT646" s="4"/>
      <c r="FU646" s="4"/>
      <c r="FV646" s="4"/>
      <c r="FW646" s="654"/>
      <c r="FX646" s="655"/>
      <c r="FY646" s="4"/>
      <c r="FZ646" s="4"/>
      <c r="GA646" s="4"/>
      <c r="GB646" s="4"/>
      <c r="GC646" s="4"/>
      <c r="GD646" s="4"/>
      <c r="GE646" s="4"/>
      <c r="GF646" s="4"/>
      <c r="GG646" s="4"/>
      <c r="GH646" s="4"/>
      <c r="GI646" s="654"/>
      <c r="GJ646" s="655"/>
      <c r="GK646" s="4"/>
      <c r="GL646" s="4"/>
      <c r="GM646" s="4"/>
      <c r="GN646" s="4"/>
      <c r="GO646" s="4"/>
      <c r="GP646" s="4"/>
      <c r="GQ646" s="4"/>
      <c r="GR646" s="4"/>
      <c r="GS646" s="4"/>
      <c r="GT646" s="4"/>
      <c r="GU646" s="722"/>
      <c r="GV646" s="715"/>
    </row>
    <row r="647" spans="1:204" x14ac:dyDescent="0.25">
      <c r="A647" t="s">
        <v>2304</v>
      </c>
      <c r="B647" s="2" t="s">
        <v>358</v>
      </c>
      <c r="C647" s="619">
        <v>44818</v>
      </c>
      <c r="D647" s="2" t="s">
        <v>2298</v>
      </c>
      <c r="E647" t="s">
        <v>58</v>
      </c>
      <c r="F647" s="2" t="s">
        <v>2473</v>
      </c>
      <c r="G647" t="s">
        <v>40</v>
      </c>
      <c r="H647" s="690" t="s">
        <v>84</v>
      </c>
      <c r="I647" s="691" t="s">
        <v>2267</v>
      </c>
      <c r="J647" s="721" t="s">
        <v>2268</v>
      </c>
      <c r="K647" s="691" t="s">
        <v>2473</v>
      </c>
      <c r="L647" s="721" t="s">
        <v>2146</v>
      </c>
      <c r="M647" s="718" t="s">
        <v>3</v>
      </c>
      <c r="N647" s="717" t="s">
        <v>44</v>
      </c>
      <c r="O647" s="719">
        <v>44835</v>
      </c>
      <c r="P647" s="720">
        <v>44865</v>
      </c>
      <c r="Q647" s="718">
        <v>70.5</v>
      </c>
      <c r="R647" s="717">
        <v>2</v>
      </c>
      <c r="S647" s="691" t="s">
        <v>54</v>
      </c>
      <c r="T647" t="s">
        <v>358</v>
      </c>
      <c r="U647" s="673" t="s">
        <v>358</v>
      </c>
      <c r="V647" s="690" t="s">
        <v>358</v>
      </c>
      <c r="W647" s="657" t="s">
        <v>214</v>
      </c>
      <c r="X647" s="723"/>
      <c r="Y647" s="4"/>
      <c r="Z647" s="4"/>
      <c r="AA647" s="4"/>
      <c r="AB647" s="4"/>
      <c r="AC647" s="4"/>
      <c r="AD647" s="4"/>
      <c r="AE647" s="4"/>
      <c r="AF647" s="4"/>
      <c r="AG647" s="4">
        <v>2</v>
      </c>
      <c r="AH647" s="4"/>
      <c r="AI647" s="654"/>
      <c r="AJ647" s="655"/>
      <c r="AK647" s="4"/>
      <c r="AL647" s="4"/>
      <c r="AM647" s="4"/>
      <c r="AN647" s="4"/>
      <c r="AO647" s="4"/>
      <c r="AP647" s="4"/>
      <c r="AQ647" s="4"/>
      <c r="AR647" s="4"/>
      <c r="AS647" s="4"/>
      <c r="AT647" s="4"/>
      <c r="AU647" s="654"/>
      <c r="AV647" s="655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654"/>
      <c r="BH647" s="655"/>
      <c r="BI647" s="4"/>
      <c r="BJ647" s="4"/>
      <c r="BK647" s="4"/>
      <c r="BL647" s="4"/>
      <c r="BM647" s="4"/>
      <c r="BN647" s="4"/>
      <c r="BO647" s="4"/>
      <c r="BP647" s="4"/>
      <c r="BQ647" s="4"/>
      <c r="BR647" s="4"/>
      <c r="BS647" s="654"/>
      <c r="BT647" s="655"/>
      <c r="BU647" s="4"/>
      <c r="BV647" s="4"/>
      <c r="BW647" s="4"/>
      <c r="BX647" s="4"/>
      <c r="BY647" s="4"/>
      <c r="BZ647" s="4"/>
      <c r="CA647" s="4"/>
      <c r="CB647" s="4"/>
      <c r="CC647" s="4"/>
      <c r="CD647" s="4"/>
      <c r="CE647" s="693"/>
      <c r="CF647" s="723"/>
      <c r="CG647" s="4"/>
      <c r="CH647" s="4"/>
      <c r="CI647" s="4"/>
      <c r="CJ647" s="4"/>
      <c r="CK647" s="4"/>
      <c r="CL647" s="4"/>
      <c r="CM647" s="4"/>
      <c r="CN647" s="4"/>
      <c r="CO647" s="4">
        <v>70.5</v>
      </c>
      <c r="CP647" s="4"/>
      <c r="CQ647" s="654"/>
      <c r="CR647" s="655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654"/>
      <c r="DD647" s="655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654"/>
      <c r="DP647" s="655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654"/>
      <c r="EB647" s="655"/>
      <c r="EC647" s="4"/>
      <c r="ED647" s="4"/>
      <c r="EE647" s="4"/>
      <c r="EF647" s="4"/>
      <c r="EG647" s="4"/>
      <c r="EH647" s="4"/>
      <c r="EI647" s="4"/>
      <c r="EJ647" s="4"/>
      <c r="EK647" s="4"/>
      <c r="EL647" s="4"/>
      <c r="EM647" s="693"/>
      <c r="EN647" s="723"/>
      <c r="EO647" s="4"/>
      <c r="EP647" s="4"/>
      <c r="EQ647" s="4"/>
      <c r="ER647" s="4"/>
      <c r="ES647" s="4"/>
      <c r="ET647" s="4"/>
      <c r="EU647" s="4"/>
      <c r="EV647" s="4"/>
      <c r="EW647" s="4">
        <v>70.5</v>
      </c>
      <c r="EX647" s="4"/>
      <c r="EY647" s="654"/>
      <c r="EZ647" s="655"/>
      <c r="FA647" s="4"/>
      <c r="FB647" s="4"/>
      <c r="FC647" s="4"/>
      <c r="FD647" s="4"/>
      <c r="FE647" s="4"/>
      <c r="FF647" s="4"/>
      <c r="FG647" s="4"/>
      <c r="FH647" s="4"/>
      <c r="FI647" s="4"/>
      <c r="FJ647" s="4"/>
      <c r="FK647" s="654"/>
      <c r="FL647" s="655"/>
      <c r="FM647" s="4"/>
      <c r="FN647" s="4"/>
      <c r="FO647" s="4"/>
      <c r="FP647" s="4"/>
      <c r="FQ647" s="4"/>
      <c r="FR647" s="4"/>
      <c r="FS647" s="4"/>
      <c r="FT647" s="4"/>
      <c r="FU647" s="4"/>
      <c r="FV647" s="4"/>
      <c r="FW647" s="654"/>
      <c r="FX647" s="655"/>
      <c r="FY647" s="4"/>
      <c r="FZ647" s="4"/>
      <c r="GA647" s="4"/>
      <c r="GB647" s="4"/>
      <c r="GC647" s="4"/>
      <c r="GD647" s="4"/>
      <c r="GE647" s="4"/>
      <c r="GF647" s="4"/>
      <c r="GG647" s="4"/>
      <c r="GH647" s="4"/>
      <c r="GI647" s="654"/>
      <c r="GJ647" s="655"/>
      <c r="GK647" s="4"/>
      <c r="GL647" s="4"/>
      <c r="GM647" s="4"/>
      <c r="GN647" s="4"/>
      <c r="GO647" s="4"/>
      <c r="GP647" s="4"/>
      <c r="GQ647" s="4"/>
      <c r="GR647" s="4"/>
      <c r="GS647" s="4"/>
      <c r="GT647" s="4"/>
      <c r="GU647" s="722"/>
      <c r="GV647" s="715"/>
    </row>
    <row r="648" spans="1:204" x14ac:dyDescent="0.25">
      <c r="A648" t="s">
        <v>2305</v>
      </c>
      <c r="B648" s="2" t="s">
        <v>358</v>
      </c>
      <c r="C648" s="619">
        <v>44818</v>
      </c>
      <c r="D648" s="2" t="s">
        <v>2299</v>
      </c>
      <c r="E648" t="s">
        <v>58</v>
      </c>
      <c r="F648" s="2" t="s">
        <v>2473</v>
      </c>
      <c r="G648" t="s">
        <v>40</v>
      </c>
      <c r="H648" s="690" t="s">
        <v>84</v>
      </c>
      <c r="I648" s="691" t="s">
        <v>2267</v>
      </c>
      <c r="J648" s="721" t="s">
        <v>2268</v>
      </c>
      <c r="K648" s="691" t="s">
        <v>2473</v>
      </c>
      <c r="L648" s="721" t="s">
        <v>2146</v>
      </c>
      <c r="M648" s="718" t="s">
        <v>3</v>
      </c>
      <c r="N648" s="717" t="s">
        <v>44</v>
      </c>
      <c r="O648" s="719">
        <v>44835</v>
      </c>
      <c r="P648" s="720">
        <v>44865</v>
      </c>
      <c r="Q648" s="718">
        <v>70.5</v>
      </c>
      <c r="R648" s="717">
        <v>3</v>
      </c>
      <c r="S648" s="691" t="s">
        <v>54</v>
      </c>
      <c r="T648" t="s">
        <v>358</v>
      </c>
      <c r="U648" s="673" t="s">
        <v>358</v>
      </c>
      <c r="V648" s="690" t="s">
        <v>358</v>
      </c>
      <c r="W648" s="657" t="s">
        <v>214</v>
      </c>
      <c r="X648" s="723"/>
      <c r="Y648" s="4"/>
      <c r="Z648" s="4"/>
      <c r="AA648" s="4"/>
      <c r="AB648" s="4"/>
      <c r="AC648" s="4"/>
      <c r="AD648" s="4"/>
      <c r="AE648" s="4"/>
      <c r="AF648" s="4"/>
      <c r="AG648" s="4">
        <v>3</v>
      </c>
      <c r="AH648" s="4"/>
      <c r="AI648" s="654"/>
      <c r="AJ648" s="655"/>
      <c r="AK648" s="4"/>
      <c r="AL648" s="4"/>
      <c r="AM648" s="4"/>
      <c r="AN648" s="4"/>
      <c r="AO648" s="4"/>
      <c r="AP648" s="4"/>
      <c r="AQ648" s="4"/>
      <c r="AR648" s="4"/>
      <c r="AS648" s="4"/>
      <c r="AT648" s="4"/>
      <c r="AU648" s="654"/>
      <c r="AV648" s="655"/>
      <c r="AW648" s="4"/>
      <c r="AX648" s="4"/>
      <c r="AY648" s="4"/>
      <c r="AZ648" s="4"/>
      <c r="BA648" s="4"/>
      <c r="BB648" s="4"/>
      <c r="BC648" s="4"/>
      <c r="BD648" s="4"/>
      <c r="BE648" s="4"/>
      <c r="BF648" s="4"/>
      <c r="BG648" s="654"/>
      <c r="BH648" s="655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654"/>
      <c r="BT648" s="655"/>
      <c r="BU648" s="4"/>
      <c r="BV648" s="4"/>
      <c r="BW648" s="4"/>
      <c r="BX648" s="4"/>
      <c r="BY648" s="4"/>
      <c r="BZ648" s="4"/>
      <c r="CA648" s="4"/>
      <c r="CB648" s="4"/>
      <c r="CC648" s="4"/>
      <c r="CD648" s="4"/>
      <c r="CE648" s="693"/>
      <c r="CF648" s="723"/>
      <c r="CG648" s="4"/>
      <c r="CH648" s="4"/>
      <c r="CI648" s="4"/>
      <c r="CJ648" s="4"/>
      <c r="CK648" s="4"/>
      <c r="CL648" s="4"/>
      <c r="CM648" s="4"/>
      <c r="CN648" s="4"/>
      <c r="CO648" s="4">
        <v>70.5</v>
      </c>
      <c r="CP648" s="4"/>
      <c r="CQ648" s="654"/>
      <c r="CR648" s="655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654"/>
      <c r="DD648" s="655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654"/>
      <c r="DP648" s="655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654"/>
      <c r="EB648" s="655"/>
      <c r="EC648" s="4"/>
      <c r="ED648" s="4"/>
      <c r="EE648" s="4"/>
      <c r="EF648" s="4"/>
      <c r="EG648" s="4"/>
      <c r="EH648" s="4"/>
      <c r="EI648" s="4"/>
      <c r="EJ648" s="4"/>
      <c r="EK648" s="4"/>
      <c r="EL648" s="4"/>
      <c r="EM648" s="693"/>
      <c r="EN648" s="723"/>
      <c r="EO648" s="4"/>
      <c r="EP648" s="4"/>
      <c r="EQ648" s="4"/>
      <c r="ER648" s="4"/>
      <c r="ES648" s="4"/>
      <c r="ET648" s="4"/>
      <c r="EU648" s="4"/>
      <c r="EV648" s="4"/>
      <c r="EW648" s="4">
        <v>70.5</v>
      </c>
      <c r="EX648" s="4"/>
      <c r="EY648" s="654"/>
      <c r="EZ648" s="655"/>
      <c r="FA648" s="4"/>
      <c r="FB648" s="4"/>
      <c r="FC648" s="4"/>
      <c r="FD648" s="4"/>
      <c r="FE648" s="4"/>
      <c r="FF648" s="4"/>
      <c r="FG648" s="4"/>
      <c r="FH648" s="4"/>
      <c r="FI648" s="4"/>
      <c r="FJ648" s="4"/>
      <c r="FK648" s="654"/>
      <c r="FL648" s="655"/>
      <c r="FM648" s="4"/>
      <c r="FN648" s="4"/>
      <c r="FO648" s="4"/>
      <c r="FP648" s="4"/>
      <c r="FQ648" s="4"/>
      <c r="FR648" s="4"/>
      <c r="FS648" s="4"/>
      <c r="FT648" s="4"/>
      <c r="FU648" s="4"/>
      <c r="FV648" s="4"/>
      <c r="FW648" s="654"/>
      <c r="FX648" s="655"/>
      <c r="FY648" s="4"/>
      <c r="FZ648" s="4"/>
      <c r="GA648" s="4"/>
      <c r="GB648" s="4"/>
      <c r="GC648" s="4"/>
      <c r="GD648" s="4"/>
      <c r="GE648" s="4"/>
      <c r="GF648" s="4"/>
      <c r="GG648" s="4"/>
      <c r="GH648" s="4"/>
      <c r="GI648" s="654"/>
      <c r="GJ648" s="655"/>
      <c r="GK648" s="4"/>
      <c r="GL648" s="4"/>
      <c r="GM648" s="4"/>
      <c r="GN648" s="4"/>
      <c r="GO648" s="4"/>
      <c r="GP648" s="4"/>
      <c r="GQ648" s="4"/>
      <c r="GR648" s="4"/>
      <c r="GS648" s="4"/>
      <c r="GT648" s="4"/>
      <c r="GU648" s="722"/>
      <c r="GV648" s="715"/>
    </row>
    <row r="649" spans="1:204" x14ac:dyDescent="0.25">
      <c r="A649" t="s">
        <v>2306</v>
      </c>
      <c r="B649" s="2" t="s">
        <v>358</v>
      </c>
      <c r="C649" s="619">
        <v>44818</v>
      </c>
      <c r="D649" s="2" t="s">
        <v>2300</v>
      </c>
      <c r="E649" t="s">
        <v>58</v>
      </c>
      <c r="F649" s="2" t="s">
        <v>2473</v>
      </c>
      <c r="G649" t="s">
        <v>40</v>
      </c>
      <c r="H649" s="690" t="s">
        <v>84</v>
      </c>
      <c r="I649" s="691" t="s">
        <v>2147</v>
      </c>
      <c r="J649" s="721" t="s">
        <v>2148</v>
      </c>
      <c r="K649" s="691" t="s">
        <v>2473</v>
      </c>
      <c r="L649" s="721" t="s">
        <v>2146</v>
      </c>
      <c r="M649" s="718" t="s">
        <v>3</v>
      </c>
      <c r="N649" s="717" t="s">
        <v>44</v>
      </c>
      <c r="O649" s="719">
        <v>44866</v>
      </c>
      <c r="P649" s="720">
        <v>44895</v>
      </c>
      <c r="Q649" s="718">
        <v>74</v>
      </c>
      <c r="R649" s="717">
        <v>2</v>
      </c>
      <c r="S649" s="691" t="s">
        <v>54</v>
      </c>
      <c r="T649" t="s">
        <v>358</v>
      </c>
      <c r="U649" s="673" t="s">
        <v>358</v>
      </c>
      <c r="V649" s="690" t="s">
        <v>358</v>
      </c>
      <c r="W649" s="657" t="s">
        <v>214</v>
      </c>
      <c r="X649" s="723"/>
      <c r="Y649" s="4"/>
      <c r="Z649" s="4"/>
      <c r="AA649" s="4"/>
      <c r="AB649" s="4"/>
      <c r="AC649" s="4"/>
      <c r="AD649" s="4"/>
      <c r="AE649" s="4"/>
      <c r="AF649" s="4"/>
      <c r="AG649" s="4"/>
      <c r="AH649" s="4">
        <v>2</v>
      </c>
      <c r="AI649" s="654"/>
      <c r="AJ649" s="655"/>
      <c r="AK649" s="4"/>
      <c r="AL649" s="4"/>
      <c r="AM649" s="4"/>
      <c r="AN649" s="4"/>
      <c r="AO649" s="4"/>
      <c r="AP649" s="4"/>
      <c r="AQ649" s="4"/>
      <c r="AR649" s="4"/>
      <c r="AS649" s="4"/>
      <c r="AT649" s="4"/>
      <c r="AU649" s="654"/>
      <c r="AV649" s="655"/>
      <c r="AW649" s="4"/>
      <c r="AX649" s="4"/>
      <c r="AY649" s="4"/>
      <c r="AZ649" s="4"/>
      <c r="BA649" s="4"/>
      <c r="BB649" s="4"/>
      <c r="BC649" s="4"/>
      <c r="BD649" s="4"/>
      <c r="BE649" s="4"/>
      <c r="BF649" s="4"/>
      <c r="BG649" s="654"/>
      <c r="BH649" s="655"/>
      <c r="BI649" s="4"/>
      <c r="BJ649" s="4"/>
      <c r="BK649" s="4"/>
      <c r="BL649" s="4"/>
      <c r="BM649" s="4"/>
      <c r="BN649" s="4"/>
      <c r="BO649" s="4"/>
      <c r="BP649" s="4"/>
      <c r="BQ649" s="4"/>
      <c r="BR649" s="4"/>
      <c r="BS649" s="654"/>
      <c r="BT649" s="655"/>
      <c r="BU649" s="4"/>
      <c r="BV649" s="4"/>
      <c r="BW649" s="4"/>
      <c r="BX649" s="4"/>
      <c r="BY649" s="4"/>
      <c r="BZ649" s="4"/>
      <c r="CA649" s="4"/>
      <c r="CB649" s="4"/>
      <c r="CC649" s="4"/>
      <c r="CD649" s="4"/>
      <c r="CE649" s="693"/>
      <c r="CF649" s="723"/>
      <c r="CG649" s="4"/>
      <c r="CH649" s="4"/>
      <c r="CI649" s="4"/>
      <c r="CJ649" s="4"/>
      <c r="CK649" s="4"/>
      <c r="CL649" s="4"/>
      <c r="CM649" s="4"/>
      <c r="CN649" s="4"/>
      <c r="CO649" s="4"/>
      <c r="CP649" s="4">
        <v>74</v>
      </c>
      <c r="CQ649" s="654"/>
      <c r="CR649" s="655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654"/>
      <c r="DD649" s="655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654"/>
      <c r="DP649" s="655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654"/>
      <c r="EB649" s="655"/>
      <c r="EC649" s="4"/>
      <c r="ED649" s="4"/>
      <c r="EE649" s="4"/>
      <c r="EF649" s="4"/>
      <c r="EG649" s="4"/>
      <c r="EH649" s="4"/>
      <c r="EI649" s="4"/>
      <c r="EJ649" s="4"/>
      <c r="EK649" s="4"/>
      <c r="EL649" s="4"/>
      <c r="EM649" s="693"/>
      <c r="EN649" s="723"/>
      <c r="EO649" s="4"/>
      <c r="EP649" s="4"/>
      <c r="EQ649" s="4"/>
      <c r="ER649" s="4"/>
      <c r="ES649" s="4"/>
      <c r="ET649" s="4"/>
      <c r="EU649" s="4"/>
      <c r="EV649" s="4"/>
      <c r="EW649" s="4"/>
      <c r="EX649" s="4">
        <v>74</v>
      </c>
      <c r="EY649" s="654"/>
      <c r="EZ649" s="655"/>
      <c r="FA649" s="4"/>
      <c r="FB649" s="4"/>
      <c r="FC649" s="4"/>
      <c r="FD649" s="4"/>
      <c r="FE649" s="4"/>
      <c r="FF649" s="4"/>
      <c r="FG649" s="4"/>
      <c r="FH649" s="4"/>
      <c r="FI649" s="4"/>
      <c r="FJ649" s="4"/>
      <c r="FK649" s="654"/>
      <c r="FL649" s="655"/>
      <c r="FM649" s="4"/>
      <c r="FN649" s="4"/>
      <c r="FO649" s="4"/>
      <c r="FP649" s="4"/>
      <c r="FQ649" s="4"/>
      <c r="FR649" s="4"/>
      <c r="FS649" s="4"/>
      <c r="FT649" s="4"/>
      <c r="FU649" s="4"/>
      <c r="FV649" s="4"/>
      <c r="FW649" s="654"/>
      <c r="FX649" s="655"/>
      <c r="FY649" s="4"/>
      <c r="FZ649" s="4"/>
      <c r="GA649" s="4"/>
      <c r="GB649" s="4"/>
      <c r="GC649" s="4"/>
      <c r="GD649" s="4"/>
      <c r="GE649" s="4"/>
      <c r="GF649" s="4"/>
      <c r="GG649" s="4"/>
      <c r="GH649" s="4"/>
      <c r="GI649" s="654"/>
      <c r="GJ649" s="655"/>
      <c r="GK649" s="4"/>
      <c r="GL649" s="4"/>
      <c r="GM649" s="4"/>
      <c r="GN649" s="4"/>
      <c r="GO649" s="4"/>
      <c r="GP649" s="4"/>
      <c r="GQ649" s="4"/>
      <c r="GR649" s="4"/>
      <c r="GS649" s="4"/>
      <c r="GT649" s="4"/>
      <c r="GU649" s="722"/>
      <c r="GV649" s="715"/>
    </row>
    <row r="650" spans="1:204" x14ac:dyDescent="0.25">
      <c r="A650" t="s">
        <v>2307</v>
      </c>
      <c r="B650" s="2" t="s">
        <v>358</v>
      </c>
      <c r="C650" s="619">
        <v>44818</v>
      </c>
      <c r="D650" s="2" t="s">
        <v>2301</v>
      </c>
      <c r="E650" t="s">
        <v>58</v>
      </c>
      <c r="F650" s="2" t="s">
        <v>2473</v>
      </c>
      <c r="G650" t="s">
        <v>40</v>
      </c>
      <c r="H650" s="690" t="s">
        <v>84</v>
      </c>
      <c r="I650" s="691" t="s">
        <v>2147</v>
      </c>
      <c r="J650" s="721" t="s">
        <v>2148</v>
      </c>
      <c r="K650" s="691" t="s">
        <v>2473</v>
      </c>
      <c r="L650" s="721" t="s">
        <v>2146</v>
      </c>
      <c r="M650" s="718" t="s">
        <v>3</v>
      </c>
      <c r="N650" s="717" t="s">
        <v>44</v>
      </c>
      <c r="O650" s="719">
        <v>44866</v>
      </c>
      <c r="P650" s="720">
        <v>44895</v>
      </c>
      <c r="Q650" s="718">
        <v>74.099999999999994</v>
      </c>
      <c r="R650" s="717">
        <v>2</v>
      </c>
      <c r="S650" s="691" t="s">
        <v>54</v>
      </c>
      <c r="T650" t="s">
        <v>358</v>
      </c>
      <c r="U650" s="673" t="s">
        <v>358</v>
      </c>
      <c r="V650" s="690" t="s">
        <v>358</v>
      </c>
      <c r="W650" s="657" t="s">
        <v>214</v>
      </c>
      <c r="X650" s="723"/>
      <c r="Y650" s="4"/>
      <c r="Z650" s="4"/>
      <c r="AA650" s="4"/>
      <c r="AB650" s="4"/>
      <c r="AC650" s="4"/>
      <c r="AD650" s="4"/>
      <c r="AE650" s="4"/>
      <c r="AF650" s="4"/>
      <c r="AG650" s="4"/>
      <c r="AH650" s="4">
        <v>2</v>
      </c>
      <c r="AI650" s="654"/>
      <c r="AJ650" s="655"/>
      <c r="AK650" s="4"/>
      <c r="AL650" s="4"/>
      <c r="AM650" s="4"/>
      <c r="AN650" s="4"/>
      <c r="AO650" s="4"/>
      <c r="AP650" s="4"/>
      <c r="AQ650" s="4"/>
      <c r="AR650" s="4"/>
      <c r="AS650" s="4"/>
      <c r="AT650" s="4"/>
      <c r="AU650" s="654"/>
      <c r="AV650" s="655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654"/>
      <c r="BH650" s="655"/>
      <c r="BI650" s="4"/>
      <c r="BJ650" s="4"/>
      <c r="BK650" s="4"/>
      <c r="BL650" s="4"/>
      <c r="BM650" s="4"/>
      <c r="BN650" s="4"/>
      <c r="BO650" s="4"/>
      <c r="BP650" s="4"/>
      <c r="BQ650" s="4"/>
      <c r="BR650" s="4"/>
      <c r="BS650" s="654"/>
      <c r="BT650" s="655"/>
      <c r="BU650" s="4"/>
      <c r="BV650" s="4"/>
      <c r="BW650" s="4"/>
      <c r="BX650" s="4"/>
      <c r="BY650" s="4"/>
      <c r="BZ650" s="4"/>
      <c r="CA650" s="4"/>
      <c r="CB650" s="4"/>
      <c r="CC650" s="4"/>
      <c r="CD650" s="4"/>
      <c r="CE650" s="693"/>
      <c r="CF650" s="723"/>
      <c r="CG650" s="4"/>
      <c r="CH650" s="4"/>
      <c r="CI650" s="4"/>
      <c r="CJ650" s="4"/>
      <c r="CK650" s="4"/>
      <c r="CL650" s="4"/>
      <c r="CM650" s="4"/>
      <c r="CN650" s="4"/>
      <c r="CO650" s="4"/>
      <c r="CP650" s="4">
        <v>74.099999999999994</v>
      </c>
      <c r="CQ650" s="654"/>
      <c r="CR650" s="655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654"/>
      <c r="DD650" s="655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654"/>
      <c r="DP650" s="655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654"/>
      <c r="EB650" s="655"/>
      <c r="EC650" s="4"/>
      <c r="ED650" s="4"/>
      <c r="EE650" s="4"/>
      <c r="EF650" s="4"/>
      <c r="EG650" s="4"/>
      <c r="EH650" s="4"/>
      <c r="EI650" s="4"/>
      <c r="EJ650" s="4"/>
      <c r="EK650" s="4"/>
      <c r="EL650" s="4"/>
      <c r="EM650" s="693"/>
      <c r="EN650" s="723"/>
      <c r="EO650" s="4"/>
      <c r="EP650" s="4"/>
      <c r="EQ650" s="4"/>
      <c r="ER650" s="4"/>
      <c r="ES650" s="4"/>
      <c r="ET650" s="4"/>
      <c r="EU650" s="4"/>
      <c r="EV650" s="4"/>
      <c r="EW650" s="4"/>
      <c r="EX650" s="4">
        <v>74.099999999999994</v>
      </c>
      <c r="EY650" s="654"/>
      <c r="EZ650" s="655"/>
      <c r="FA650" s="4"/>
      <c r="FB650" s="4"/>
      <c r="FC650" s="4"/>
      <c r="FD650" s="4"/>
      <c r="FE650" s="4"/>
      <c r="FF650" s="4"/>
      <c r="FG650" s="4"/>
      <c r="FH650" s="4"/>
      <c r="FI650" s="4"/>
      <c r="FJ650" s="4"/>
      <c r="FK650" s="654"/>
      <c r="FL650" s="655"/>
      <c r="FM650" s="4"/>
      <c r="FN650" s="4"/>
      <c r="FO650" s="4"/>
      <c r="FP650" s="4"/>
      <c r="FQ650" s="4"/>
      <c r="FR650" s="4"/>
      <c r="FS650" s="4"/>
      <c r="FT650" s="4"/>
      <c r="FU650" s="4"/>
      <c r="FV650" s="4"/>
      <c r="FW650" s="654"/>
      <c r="FX650" s="655"/>
      <c r="FY650" s="4"/>
      <c r="FZ650" s="4"/>
      <c r="GA650" s="4"/>
      <c r="GB650" s="4"/>
      <c r="GC650" s="4"/>
      <c r="GD650" s="4"/>
      <c r="GE650" s="4"/>
      <c r="GF650" s="4"/>
      <c r="GG650" s="4"/>
      <c r="GH650" s="4"/>
      <c r="GI650" s="654"/>
      <c r="GJ650" s="655"/>
      <c r="GK650" s="4"/>
      <c r="GL650" s="4"/>
      <c r="GM650" s="4"/>
      <c r="GN650" s="4"/>
      <c r="GO650" s="4"/>
      <c r="GP650" s="4"/>
      <c r="GQ650" s="4"/>
      <c r="GR650" s="4"/>
      <c r="GS650" s="4"/>
      <c r="GT650" s="4"/>
      <c r="GU650" s="722"/>
      <c r="GV650" s="715"/>
    </row>
    <row r="651" spans="1:204" x14ac:dyDescent="0.25">
      <c r="A651" t="s">
        <v>2308</v>
      </c>
      <c r="B651" s="2" t="s">
        <v>358</v>
      </c>
      <c r="C651" s="619">
        <v>44818</v>
      </c>
      <c r="D651" s="2" t="s">
        <v>2302</v>
      </c>
      <c r="E651" t="s">
        <v>58</v>
      </c>
      <c r="F651" s="2" t="s">
        <v>2473</v>
      </c>
      <c r="G651" t="s">
        <v>40</v>
      </c>
      <c r="H651" s="690" t="s">
        <v>84</v>
      </c>
      <c r="I651" s="691" t="s">
        <v>478</v>
      </c>
      <c r="J651" s="721" t="s">
        <v>2174</v>
      </c>
      <c r="K651" s="691" t="s">
        <v>2473</v>
      </c>
      <c r="L651" s="721" t="s">
        <v>2146</v>
      </c>
      <c r="M651" s="718" t="s">
        <v>3</v>
      </c>
      <c r="N651" s="717" t="s">
        <v>44</v>
      </c>
      <c r="O651" s="719">
        <v>44866</v>
      </c>
      <c r="P651" s="720">
        <v>44895</v>
      </c>
      <c r="Q651" s="718">
        <v>75</v>
      </c>
      <c r="R651" s="717">
        <v>3</v>
      </c>
      <c r="S651" s="691" t="s">
        <v>54</v>
      </c>
      <c r="T651" t="s">
        <v>358</v>
      </c>
      <c r="U651" s="673" t="s">
        <v>358</v>
      </c>
      <c r="V651" s="690" t="s">
        <v>358</v>
      </c>
      <c r="W651" s="657" t="s">
        <v>214</v>
      </c>
      <c r="X651" s="723"/>
      <c r="Y651" s="4"/>
      <c r="Z651" s="4"/>
      <c r="AA651" s="4"/>
      <c r="AB651" s="4"/>
      <c r="AC651" s="4"/>
      <c r="AD651" s="4"/>
      <c r="AE651" s="4"/>
      <c r="AF651" s="4"/>
      <c r="AG651" s="4"/>
      <c r="AH651" s="4">
        <v>3</v>
      </c>
      <c r="AI651" s="654"/>
      <c r="AJ651" s="655"/>
      <c r="AK651" s="4"/>
      <c r="AL651" s="4"/>
      <c r="AM651" s="4"/>
      <c r="AN651" s="4"/>
      <c r="AO651" s="4"/>
      <c r="AP651" s="4"/>
      <c r="AQ651" s="4"/>
      <c r="AR651" s="4"/>
      <c r="AS651" s="4"/>
      <c r="AT651" s="4"/>
      <c r="AU651" s="654"/>
      <c r="AV651" s="655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654"/>
      <c r="BH651" s="655"/>
      <c r="BI651" s="4"/>
      <c r="BJ651" s="4"/>
      <c r="BK651" s="4"/>
      <c r="BL651" s="4"/>
      <c r="BM651" s="4"/>
      <c r="BN651" s="4"/>
      <c r="BO651" s="4"/>
      <c r="BP651" s="4"/>
      <c r="BQ651" s="4"/>
      <c r="BR651" s="4"/>
      <c r="BS651" s="654"/>
      <c r="BT651" s="655"/>
      <c r="BU651" s="4"/>
      <c r="BV651" s="4"/>
      <c r="BW651" s="4"/>
      <c r="BX651" s="4"/>
      <c r="BY651" s="4"/>
      <c r="BZ651" s="4"/>
      <c r="CA651" s="4"/>
      <c r="CB651" s="4"/>
      <c r="CC651" s="4"/>
      <c r="CD651" s="4"/>
      <c r="CE651" s="693"/>
      <c r="CF651" s="723"/>
      <c r="CG651" s="4"/>
      <c r="CH651" s="4"/>
      <c r="CI651" s="4"/>
      <c r="CJ651" s="4"/>
      <c r="CK651" s="4"/>
      <c r="CL651" s="4"/>
      <c r="CM651" s="4"/>
      <c r="CN651" s="4"/>
      <c r="CO651" s="4"/>
      <c r="CP651" s="4">
        <v>75</v>
      </c>
      <c r="CQ651" s="654"/>
      <c r="CR651" s="655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654"/>
      <c r="DD651" s="655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654"/>
      <c r="DP651" s="655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654"/>
      <c r="EB651" s="655"/>
      <c r="EC651" s="4"/>
      <c r="ED651" s="4"/>
      <c r="EE651" s="4"/>
      <c r="EF651" s="4"/>
      <c r="EG651" s="4"/>
      <c r="EH651" s="4"/>
      <c r="EI651" s="4"/>
      <c r="EJ651" s="4"/>
      <c r="EK651" s="4"/>
      <c r="EL651" s="4"/>
      <c r="EM651" s="693"/>
      <c r="EN651" s="723"/>
      <c r="EO651" s="4"/>
      <c r="EP651" s="4"/>
      <c r="EQ651" s="4"/>
      <c r="ER651" s="4"/>
      <c r="ES651" s="4"/>
      <c r="ET651" s="4"/>
      <c r="EU651" s="4"/>
      <c r="EV651" s="4"/>
      <c r="EW651" s="4"/>
      <c r="EX651" s="4">
        <v>75</v>
      </c>
      <c r="EY651" s="654"/>
      <c r="EZ651" s="655"/>
      <c r="FA651" s="4"/>
      <c r="FB651" s="4"/>
      <c r="FC651" s="4"/>
      <c r="FD651" s="4"/>
      <c r="FE651" s="4"/>
      <c r="FF651" s="4"/>
      <c r="FG651" s="4"/>
      <c r="FH651" s="4"/>
      <c r="FI651" s="4"/>
      <c r="FJ651" s="4"/>
      <c r="FK651" s="654"/>
      <c r="FL651" s="655"/>
      <c r="FM651" s="4"/>
      <c r="FN651" s="4"/>
      <c r="FO651" s="4"/>
      <c r="FP651" s="4"/>
      <c r="FQ651" s="4"/>
      <c r="FR651" s="4"/>
      <c r="FS651" s="4"/>
      <c r="FT651" s="4"/>
      <c r="FU651" s="4"/>
      <c r="FV651" s="4"/>
      <c r="FW651" s="654"/>
      <c r="FX651" s="655"/>
      <c r="FY651" s="4"/>
      <c r="FZ651" s="4"/>
      <c r="GA651" s="4"/>
      <c r="GB651" s="4"/>
      <c r="GC651" s="4"/>
      <c r="GD651" s="4"/>
      <c r="GE651" s="4"/>
      <c r="GF651" s="4"/>
      <c r="GG651" s="4"/>
      <c r="GH651" s="4"/>
      <c r="GI651" s="654"/>
      <c r="GJ651" s="655"/>
      <c r="GK651" s="4"/>
      <c r="GL651" s="4"/>
      <c r="GM651" s="4"/>
      <c r="GN651" s="4"/>
      <c r="GO651" s="4"/>
      <c r="GP651" s="4"/>
      <c r="GQ651" s="4"/>
      <c r="GR651" s="4"/>
      <c r="GS651" s="4"/>
      <c r="GT651" s="4"/>
      <c r="GU651" s="722"/>
      <c r="GV651" s="715"/>
    </row>
    <row r="652" spans="1:204" x14ac:dyDescent="0.25">
      <c r="A652" t="s">
        <v>2309</v>
      </c>
      <c r="B652" s="2" t="s">
        <v>358</v>
      </c>
      <c r="C652" s="619">
        <v>44818</v>
      </c>
      <c r="D652" s="2" t="s">
        <v>2303</v>
      </c>
      <c r="E652" t="s">
        <v>59</v>
      </c>
      <c r="F652" s="2" t="s">
        <v>2473</v>
      </c>
      <c r="G652" t="s">
        <v>40</v>
      </c>
      <c r="H652" s="690" t="s">
        <v>85</v>
      </c>
      <c r="I652" s="691" t="s">
        <v>2473</v>
      </c>
      <c r="J652" s="721" t="s">
        <v>2146</v>
      </c>
      <c r="K652" s="691" t="s">
        <v>2267</v>
      </c>
      <c r="L652" s="721" t="s">
        <v>2268</v>
      </c>
      <c r="M652" s="718" t="s">
        <v>3</v>
      </c>
      <c r="N652" s="717" t="s">
        <v>44</v>
      </c>
      <c r="O652" s="719">
        <v>44805</v>
      </c>
      <c r="P652" s="720">
        <v>44834</v>
      </c>
      <c r="Q652" s="718">
        <v>57.5</v>
      </c>
      <c r="R652" s="717">
        <v>1</v>
      </c>
      <c r="S652" s="691" t="s">
        <v>54</v>
      </c>
      <c r="T652" t="s">
        <v>358</v>
      </c>
      <c r="U652" s="673" t="s">
        <v>358</v>
      </c>
      <c r="V652" s="690" t="s">
        <v>358</v>
      </c>
      <c r="W652" s="657" t="s">
        <v>214</v>
      </c>
      <c r="X652" s="723"/>
      <c r="Y652" s="4"/>
      <c r="Z652" s="4"/>
      <c r="AA652" s="4"/>
      <c r="AB652" s="4"/>
      <c r="AC652" s="4"/>
      <c r="AD652" s="4"/>
      <c r="AE652" s="4"/>
      <c r="AF652" s="4">
        <v>1</v>
      </c>
      <c r="AG652" s="4"/>
      <c r="AH652" s="4"/>
      <c r="AI652" s="654"/>
      <c r="AJ652" s="655"/>
      <c r="AK652" s="4"/>
      <c r="AL652" s="4"/>
      <c r="AM652" s="4"/>
      <c r="AN652" s="4"/>
      <c r="AO652" s="4"/>
      <c r="AP652" s="4"/>
      <c r="AQ652" s="4"/>
      <c r="AR652" s="4"/>
      <c r="AS652" s="4"/>
      <c r="AT652" s="4"/>
      <c r="AU652" s="654"/>
      <c r="AV652" s="655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654"/>
      <c r="BH652" s="655"/>
      <c r="BI652" s="4"/>
      <c r="BJ652" s="4"/>
      <c r="BK652" s="4"/>
      <c r="BL652" s="4"/>
      <c r="BM652" s="4"/>
      <c r="BN652" s="4"/>
      <c r="BO652" s="4"/>
      <c r="BP652" s="4"/>
      <c r="BQ652" s="4"/>
      <c r="BR652" s="4"/>
      <c r="BS652" s="654"/>
      <c r="BT652" s="655"/>
      <c r="BU652" s="4"/>
      <c r="BV652" s="4"/>
      <c r="BW652" s="4"/>
      <c r="BX652" s="4"/>
      <c r="BY652" s="4"/>
      <c r="BZ652" s="4"/>
      <c r="CA652" s="4"/>
      <c r="CB652" s="4"/>
      <c r="CC652" s="4"/>
      <c r="CD652" s="4"/>
      <c r="CE652" s="693"/>
      <c r="CF652" s="723"/>
      <c r="CG652" s="4"/>
      <c r="CH652" s="4"/>
      <c r="CI652" s="4"/>
      <c r="CJ652" s="4"/>
      <c r="CK652" s="4"/>
      <c r="CL652" s="4"/>
      <c r="CM652" s="4"/>
      <c r="CN652" s="4">
        <v>57.5</v>
      </c>
      <c r="CO652" s="4"/>
      <c r="CP652" s="4"/>
      <c r="CQ652" s="654"/>
      <c r="CR652" s="655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654"/>
      <c r="DD652" s="655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654"/>
      <c r="DP652" s="655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654"/>
      <c r="EB652" s="655"/>
      <c r="EC652" s="4"/>
      <c r="ED652" s="4"/>
      <c r="EE652" s="4"/>
      <c r="EF652" s="4"/>
      <c r="EG652" s="4"/>
      <c r="EH652" s="4"/>
      <c r="EI652" s="4"/>
      <c r="EJ652" s="4"/>
      <c r="EK652" s="4"/>
      <c r="EL652" s="4"/>
      <c r="EM652" s="693"/>
      <c r="EN652" s="723"/>
      <c r="EO652" s="4"/>
      <c r="EP652" s="4"/>
      <c r="EQ652" s="4"/>
      <c r="ER652" s="4"/>
      <c r="ES652" s="4"/>
      <c r="ET652" s="4"/>
      <c r="EU652" s="4"/>
      <c r="EV652" s="4">
        <v>57.5</v>
      </c>
      <c r="EW652" s="4"/>
      <c r="EX652" s="4"/>
      <c r="EY652" s="654"/>
      <c r="EZ652" s="655"/>
      <c r="FA652" s="4"/>
      <c r="FB652" s="4"/>
      <c r="FC652" s="4"/>
      <c r="FD652" s="4"/>
      <c r="FE652" s="4"/>
      <c r="FF652" s="4"/>
      <c r="FG652" s="4"/>
      <c r="FH652" s="4"/>
      <c r="FI652" s="4"/>
      <c r="FJ652" s="4"/>
      <c r="FK652" s="654"/>
      <c r="FL652" s="655"/>
      <c r="FM652" s="4"/>
      <c r="FN652" s="4"/>
      <c r="FO652" s="4"/>
      <c r="FP652" s="4"/>
      <c r="FQ652" s="4"/>
      <c r="FR652" s="4"/>
      <c r="FS652" s="4"/>
      <c r="FT652" s="4"/>
      <c r="FU652" s="4"/>
      <c r="FV652" s="4"/>
      <c r="FW652" s="654"/>
      <c r="FX652" s="655"/>
      <c r="FY652" s="4"/>
      <c r="FZ652" s="4"/>
      <c r="GA652" s="4"/>
      <c r="GB652" s="4"/>
      <c r="GC652" s="4"/>
      <c r="GD652" s="4"/>
      <c r="GE652" s="4"/>
      <c r="GF652" s="4"/>
      <c r="GG652" s="4"/>
      <c r="GH652" s="4"/>
      <c r="GI652" s="654"/>
      <c r="GJ652" s="655"/>
      <c r="GK652" s="4"/>
      <c r="GL652" s="4"/>
      <c r="GM652" s="4"/>
      <c r="GN652" s="4"/>
      <c r="GO652" s="4"/>
      <c r="GP652" s="4"/>
      <c r="GQ652" s="4"/>
      <c r="GR652" s="4"/>
      <c r="GS652" s="4"/>
      <c r="GT652" s="4"/>
      <c r="GU652" s="722"/>
      <c r="GV652" s="715"/>
    </row>
    <row r="653" spans="1:204" x14ac:dyDescent="0.25">
      <c r="A653" t="s">
        <v>2317</v>
      </c>
      <c r="B653" s="2" t="s">
        <v>358</v>
      </c>
      <c r="C653" s="619">
        <v>44819</v>
      </c>
      <c r="D653" s="2" t="s">
        <v>2310</v>
      </c>
      <c r="E653" t="s">
        <v>58</v>
      </c>
      <c r="F653" s="2" t="s">
        <v>2473</v>
      </c>
      <c r="G653" t="s">
        <v>40</v>
      </c>
      <c r="H653" s="690" t="s">
        <v>84</v>
      </c>
      <c r="I653" s="691" t="s">
        <v>501</v>
      </c>
      <c r="J653" s="721" t="s">
        <v>2314</v>
      </c>
      <c r="K653" s="691" t="s">
        <v>2473</v>
      </c>
      <c r="L653" s="721" t="s">
        <v>2146</v>
      </c>
      <c r="M653" s="718" t="s">
        <v>3</v>
      </c>
      <c r="N653" s="717" t="s">
        <v>44</v>
      </c>
      <c r="O653" s="719">
        <v>44927</v>
      </c>
      <c r="P653" s="720">
        <v>45016</v>
      </c>
      <c r="Q653" s="718">
        <v>118</v>
      </c>
      <c r="R653" s="717">
        <v>1</v>
      </c>
      <c r="S653" s="691" t="s">
        <v>54</v>
      </c>
      <c r="T653" t="s">
        <v>649</v>
      </c>
      <c r="U653" s="673">
        <v>44819</v>
      </c>
      <c r="V653" s="690">
        <v>1</v>
      </c>
      <c r="W653" s="657" t="s">
        <v>214</v>
      </c>
      <c r="X653" s="723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654"/>
      <c r="AJ653" s="655">
        <v>1</v>
      </c>
      <c r="AK653" s="4">
        <v>1</v>
      </c>
      <c r="AL653" s="4">
        <v>1</v>
      </c>
      <c r="AM653" s="4"/>
      <c r="AN653" s="4"/>
      <c r="AO653" s="4"/>
      <c r="AP653" s="4"/>
      <c r="AQ653" s="4"/>
      <c r="AR653" s="4"/>
      <c r="AS653" s="4"/>
      <c r="AT653" s="4"/>
      <c r="AU653" s="654"/>
      <c r="AV653" s="655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654"/>
      <c r="BH653" s="655"/>
      <c r="BI653" s="4"/>
      <c r="BJ653" s="4"/>
      <c r="BK653" s="4"/>
      <c r="BL653" s="4"/>
      <c r="BM653" s="4"/>
      <c r="BN653" s="4"/>
      <c r="BO653" s="4"/>
      <c r="BP653" s="4"/>
      <c r="BQ653" s="4"/>
      <c r="BR653" s="4"/>
      <c r="BS653" s="654"/>
      <c r="BT653" s="655"/>
      <c r="BU653" s="4"/>
      <c r="BV653" s="4"/>
      <c r="BW653" s="4"/>
      <c r="BX653" s="4"/>
      <c r="BY653" s="4"/>
      <c r="BZ653" s="4"/>
      <c r="CA653" s="4"/>
      <c r="CB653" s="4"/>
      <c r="CC653" s="4"/>
      <c r="CD653" s="4"/>
      <c r="CE653" s="693"/>
      <c r="CF653" s="723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654"/>
      <c r="CR653" s="655">
        <v>119.40760177447342</v>
      </c>
      <c r="CS653" s="4">
        <v>119.40760177447342</v>
      </c>
      <c r="CT653" s="4">
        <v>119.40760177447342</v>
      </c>
      <c r="CU653" s="4"/>
      <c r="CV653" s="4"/>
      <c r="CW653" s="4"/>
      <c r="CX653" s="4"/>
      <c r="CY653" s="4"/>
      <c r="CZ653" s="4"/>
      <c r="DA653" s="4"/>
      <c r="DB653" s="4"/>
      <c r="DC653" s="654"/>
      <c r="DD653" s="655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654"/>
      <c r="DP653" s="655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654"/>
      <c r="EB653" s="655"/>
      <c r="EC653" s="4"/>
      <c r="ED653" s="4"/>
      <c r="EE653" s="4"/>
      <c r="EF653" s="4"/>
      <c r="EG653" s="4"/>
      <c r="EH653" s="4"/>
      <c r="EI653" s="4"/>
      <c r="EJ653" s="4"/>
      <c r="EK653" s="4"/>
      <c r="EL653" s="4"/>
      <c r="EM653" s="693"/>
      <c r="EN653" s="723"/>
      <c r="EO653" s="4"/>
      <c r="EP653" s="4"/>
      <c r="EQ653" s="4"/>
      <c r="ER653" s="4"/>
      <c r="ES653" s="4"/>
      <c r="ET653" s="4"/>
      <c r="EU653" s="4"/>
      <c r="EV653" s="4"/>
      <c r="EW653" s="4"/>
      <c r="EX653" s="4"/>
      <c r="EY653" s="654"/>
      <c r="EZ653" s="655">
        <v>119.40760177447342</v>
      </c>
      <c r="FA653" s="4">
        <v>119.40760177447342</v>
      </c>
      <c r="FB653" s="4">
        <v>119.40760177447342</v>
      </c>
      <c r="FC653" s="4"/>
      <c r="FD653" s="4"/>
      <c r="FE653" s="4"/>
      <c r="FF653" s="4"/>
      <c r="FG653" s="4"/>
      <c r="FH653" s="4"/>
      <c r="FI653" s="4"/>
      <c r="FJ653" s="4"/>
      <c r="FK653" s="654"/>
      <c r="FL653" s="655"/>
      <c r="FM653" s="4"/>
      <c r="FN653" s="4"/>
      <c r="FO653" s="4"/>
      <c r="FP653" s="4"/>
      <c r="FQ653" s="4"/>
      <c r="FR653" s="4"/>
      <c r="FS653" s="4"/>
      <c r="FT653" s="4"/>
      <c r="FU653" s="4"/>
      <c r="FV653" s="4"/>
      <c r="FW653" s="654"/>
      <c r="FX653" s="655"/>
      <c r="FY653" s="4"/>
      <c r="FZ653" s="4"/>
      <c r="GA653" s="4"/>
      <c r="GB653" s="4"/>
      <c r="GC653" s="4"/>
      <c r="GD653" s="4"/>
      <c r="GE653" s="4"/>
      <c r="GF653" s="4"/>
      <c r="GG653" s="4"/>
      <c r="GH653" s="4"/>
      <c r="GI653" s="654"/>
      <c r="GJ653" s="655"/>
      <c r="GK653" s="4"/>
      <c r="GL653" s="4"/>
      <c r="GM653" s="4"/>
      <c r="GN653" s="4"/>
      <c r="GO653" s="4"/>
      <c r="GP653" s="4"/>
      <c r="GQ653" s="4"/>
      <c r="GR653" s="4"/>
      <c r="GS653" s="4"/>
      <c r="GT653" s="4"/>
      <c r="GU653" s="722"/>
      <c r="GV653" s="715"/>
    </row>
    <row r="654" spans="1:204" x14ac:dyDescent="0.25">
      <c r="A654" t="s">
        <v>2318</v>
      </c>
      <c r="B654" s="2" t="s">
        <v>358</v>
      </c>
      <c r="C654" s="619">
        <v>44819</v>
      </c>
      <c r="D654" s="2" t="s">
        <v>2311</v>
      </c>
      <c r="E654" t="s">
        <v>59</v>
      </c>
      <c r="F654" s="2" t="s">
        <v>2473</v>
      </c>
      <c r="G654" t="s">
        <v>40</v>
      </c>
      <c r="H654" s="690" t="s">
        <v>85</v>
      </c>
      <c r="I654" s="691" t="s">
        <v>2473</v>
      </c>
      <c r="J654" s="721" t="s">
        <v>2146</v>
      </c>
      <c r="K654" s="691" t="s">
        <v>1854</v>
      </c>
      <c r="L654" s="721" t="s">
        <v>2284</v>
      </c>
      <c r="M654" s="718" t="s">
        <v>3</v>
      </c>
      <c r="N654" s="717" t="s">
        <v>44</v>
      </c>
      <c r="O654" s="719">
        <v>44927</v>
      </c>
      <c r="P654" s="720">
        <v>44957</v>
      </c>
      <c r="Q654" s="718">
        <v>111</v>
      </c>
      <c r="R654" s="717">
        <v>7</v>
      </c>
      <c r="S654" s="691" t="s">
        <v>54</v>
      </c>
      <c r="T654" t="s">
        <v>649</v>
      </c>
      <c r="U654" s="673">
        <v>44819</v>
      </c>
      <c r="V654" s="690">
        <v>1</v>
      </c>
      <c r="W654" s="657" t="s">
        <v>214</v>
      </c>
      <c r="X654" s="723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654"/>
      <c r="AJ654" s="655">
        <v>7</v>
      </c>
      <c r="AK654" s="4"/>
      <c r="AL654" s="4"/>
      <c r="AM654" s="4"/>
      <c r="AN654" s="4"/>
      <c r="AO654" s="4"/>
      <c r="AP654" s="4"/>
      <c r="AQ654" s="4"/>
      <c r="AR654" s="4"/>
      <c r="AS654" s="4"/>
      <c r="AT654" s="4"/>
      <c r="AU654" s="654"/>
      <c r="AV654" s="655"/>
      <c r="AW654" s="4"/>
      <c r="AX654" s="4"/>
      <c r="AY654" s="4"/>
      <c r="AZ654" s="4"/>
      <c r="BA654" s="4"/>
      <c r="BB654" s="4"/>
      <c r="BC654" s="4"/>
      <c r="BD654" s="4"/>
      <c r="BE654" s="4"/>
      <c r="BF654" s="4"/>
      <c r="BG654" s="654"/>
      <c r="BH654" s="655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654"/>
      <c r="BT654" s="655"/>
      <c r="BU654" s="4"/>
      <c r="BV654" s="4"/>
      <c r="BW654" s="4"/>
      <c r="BX654" s="4"/>
      <c r="BY654" s="4"/>
      <c r="BZ654" s="4"/>
      <c r="CA654" s="4"/>
      <c r="CB654" s="4"/>
      <c r="CC654" s="4"/>
      <c r="CD654" s="4"/>
      <c r="CE654" s="693"/>
      <c r="CF654" s="723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654"/>
      <c r="CR654" s="655">
        <v>112.32409997429279</v>
      </c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654"/>
      <c r="DD654" s="655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654"/>
      <c r="DP654" s="655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654"/>
      <c r="EB654" s="655"/>
      <c r="EC654" s="4"/>
      <c r="ED654" s="4"/>
      <c r="EE654" s="4"/>
      <c r="EF654" s="4"/>
      <c r="EG654" s="4"/>
      <c r="EH654" s="4"/>
      <c r="EI654" s="4"/>
      <c r="EJ654" s="4"/>
      <c r="EK654" s="4"/>
      <c r="EL654" s="4"/>
      <c r="EM654" s="693"/>
      <c r="EN654" s="723"/>
      <c r="EO654" s="4"/>
      <c r="EP654" s="4"/>
      <c r="EQ654" s="4"/>
      <c r="ER654" s="4"/>
      <c r="ES654" s="4"/>
      <c r="ET654" s="4"/>
      <c r="EU654" s="4"/>
      <c r="EV654" s="4"/>
      <c r="EW654" s="4"/>
      <c r="EX654" s="4"/>
      <c r="EY654" s="654"/>
      <c r="EZ654" s="655">
        <v>112.32409997429279</v>
      </c>
      <c r="FA654" s="4"/>
      <c r="FB654" s="4"/>
      <c r="FC654" s="4"/>
      <c r="FD654" s="4"/>
      <c r="FE654" s="4"/>
      <c r="FF654" s="4"/>
      <c r="FG654" s="4"/>
      <c r="FH654" s="4"/>
      <c r="FI654" s="4"/>
      <c r="FJ654" s="4"/>
      <c r="FK654" s="654"/>
      <c r="FL654" s="655"/>
      <c r="FM654" s="4"/>
      <c r="FN654" s="4"/>
      <c r="FO654" s="4"/>
      <c r="FP654" s="4"/>
      <c r="FQ654" s="4"/>
      <c r="FR654" s="4"/>
      <c r="FS654" s="4"/>
      <c r="FT654" s="4"/>
      <c r="FU654" s="4"/>
      <c r="FV654" s="4"/>
      <c r="FW654" s="654"/>
      <c r="FX654" s="655"/>
      <c r="FY654" s="4"/>
      <c r="FZ654" s="4"/>
      <c r="GA654" s="4"/>
      <c r="GB654" s="4"/>
      <c r="GC654" s="4"/>
      <c r="GD654" s="4"/>
      <c r="GE654" s="4"/>
      <c r="GF654" s="4"/>
      <c r="GG654" s="4"/>
      <c r="GH654" s="4"/>
      <c r="GI654" s="654"/>
      <c r="GJ654" s="655"/>
      <c r="GK654" s="4"/>
      <c r="GL654" s="4"/>
      <c r="GM654" s="4"/>
      <c r="GN654" s="4"/>
      <c r="GO654" s="4"/>
      <c r="GP654" s="4"/>
      <c r="GQ654" s="4"/>
      <c r="GR654" s="4"/>
      <c r="GS654" s="4"/>
      <c r="GT654" s="4"/>
      <c r="GU654" s="722"/>
      <c r="GV654" s="715"/>
    </row>
    <row r="655" spans="1:204" x14ac:dyDescent="0.25">
      <c r="A655" t="s">
        <v>2319</v>
      </c>
      <c r="B655" s="2" t="s">
        <v>358</v>
      </c>
      <c r="C655" s="619">
        <v>44819</v>
      </c>
      <c r="D655" s="2" t="s">
        <v>2312</v>
      </c>
      <c r="E655" t="s">
        <v>59</v>
      </c>
      <c r="F655" s="2" t="s">
        <v>2473</v>
      </c>
      <c r="G655" t="s">
        <v>40</v>
      </c>
      <c r="H655" s="690" t="s">
        <v>85</v>
      </c>
      <c r="I655" s="691" t="s">
        <v>2473</v>
      </c>
      <c r="J655" s="721" t="s">
        <v>2146</v>
      </c>
      <c r="K655" s="691" t="s">
        <v>2315</v>
      </c>
      <c r="L655" s="721" t="s">
        <v>2316</v>
      </c>
      <c r="M655" s="718" t="s">
        <v>3</v>
      </c>
      <c r="N655" s="717" t="s">
        <v>44</v>
      </c>
      <c r="O655" s="719">
        <v>44927</v>
      </c>
      <c r="P655" s="720">
        <v>44957</v>
      </c>
      <c r="Q655" s="718">
        <v>112</v>
      </c>
      <c r="R655" s="717">
        <v>1.5</v>
      </c>
      <c r="S655" s="691" t="s">
        <v>54</v>
      </c>
      <c r="T655" t="s">
        <v>649</v>
      </c>
      <c r="U655" s="673">
        <v>44819</v>
      </c>
      <c r="V655" s="690">
        <v>1</v>
      </c>
      <c r="W655" s="657" t="s">
        <v>214</v>
      </c>
      <c r="X655" s="723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654"/>
      <c r="AJ655" s="655">
        <v>1.5</v>
      </c>
      <c r="AK655" s="4"/>
      <c r="AL655" s="4"/>
      <c r="AM655" s="4"/>
      <c r="AN655" s="4"/>
      <c r="AO655" s="4"/>
      <c r="AP655" s="4"/>
      <c r="AQ655" s="4"/>
      <c r="AR655" s="4"/>
      <c r="AS655" s="4"/>
      <c r="AT655" s="4"/>
      <c r="AU655" s="654"/>
      <c r="AV655" s="655"/>
      <c r="AW655" s="4"/>
      <c r="AX655" s="4"/>
      <c r="AY655" s="4"/>
      <c r="AZ655" s="4"/>
      <c r="BA655" s="4"/>
      <c r="BB655" s="4"/>
      <c r="BC655" s="4"/>
      <c r="BD655" s="4"/>
      <c r="BE655" s="4"/>
      <c r="BF655" s="4"/>
      <c r="BG655" s="654"/>
      <c r="BH655" s="655"/>
      <c r="BI655" s="4"/>
      <c r="BJ655" s="4"/>
      <c r="BK655" s="4"/>
      <c r="BL655" s="4"/>
      <c r="BM655" s="4"/>
      <c r="BN655" s="4"/>
      <c r="BO655" s="4"/>
      <c r="BP655" s="4"/>
      <c r="BQ655" s="4"/>
      <c r="BR655" s="4"/>
      <c r="BS655" s="654"/>
      <c r="BT655" s="655"/>
      <c r="BU655" s="4"/>
      <c r="BV655" s="4"/>
      <c r="BW655" s="4"/>
      <c r="BX655" s="4"/>
      <c r="BY655" s="4"/>
      <c r="BZ655" s="4"/>
      <c r="CA655" s="4"/>
      <c r="CB655" s="4"/>
      <c r="CC655" s="4"/>
      <c r="CD655" s="4"/>
      <c r="CE655" s="693"/>
      <c r="CF655" s="723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654"/>
      <c r="CR655" s="655">
        <v>113.33602880289001</v>
      </c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654"/>
      <c r="DD655" s="655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654"/>
      <c r="DP655" s="655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654"/>
      <c r="EB655" s="655"/>
      <c r="EC655" s="4"/>
      <c r="ED655" s="4"/>
      <c r="EE655" s="4"/>
      <c r="EF655" s="4"/>
      <c r="EG655" s="4"/>
      <c r="EH655" s="4"/>
      <c r="EI655" s="4"/>
      <c r="EJ655" s="4"/>
      <c r="EK655" s="4"/>
      <c r="EL655" s="4"/>
      <c r="EM655" s="693"/>
      <c r="EN655" s="723"/>
      <c r="EO655" s="4"/>
      <c r="EP655" s="4"/>
      <c r="EQ655" s="4"/>
      <c r="ER655" s="4"/>
      <c r="ES655" s="4"/>
      <c r="ET655" s="4"/>
      <c r="EU655" s="4"/>
      <c r="EV655" s="4"/>
      <c r="EW655" s="4"/>
      <c r="EX655" s="4"/>
      <c r="EY655" s="654"/>
      <c r="EZ655" s="655">
        <v>113.33602880289001</v>
      </c>
      <c r="FA655" s="4"/>
      <c r="FB655" s="4"/>
      <c r="FC655" s="4"/>
      <c r="FD655" s="4"/>
      <c r="FE655" s="4"/>
      <c r="FF655" s="4"/>
      <c r="FG655" s="4"/>
      <c r="FH655" s="4"/>
      <c r="FI655" s="4"/>
      <c r="FJ655" s="4"/>
      <c r="FK655" s="654"/>
      <c r="FL655" s="655"/>
      <c r="FM655" s="4"/>
      <c r="FN655" s="4"/>
      <c r="FO655" s="4"/>
      <c r="FP655" s="4"/>
      <c r="FQ655" s="4"/>
      <c r="FR655" s="4"/>
      <c r="FS655" s="4"/>
      <c r="FT655" s="4"/>
      <c r="FU655" s="4"/>
      <c r="FV655" s="4"/>
      <c r="FW655" s="654"/>
      <c r="FX655" s="655"/>
      <c r="FY655" s="4"/>
      <c r="FZ655" s="4"/>
      <c r="GA655" s="4"/>
      <c r="GB655" s="4"/>
      <c r="GC655" s="4"/>
      <c r="GD655" s="4"/>
      <c r="GE655" s="4"/>
      <c r="GF655" s="4"/>
      <c r="GG655" s="4"/>
      <c r="GH655" s="4"/>
      <c r="GI655" s="654"/>
      <c r="GJ655" s="655"/>
      <c r="GK655" s="4"/>
      <c r="GL655" s="4"/>
      <c r="GM655" s="4"/>
      <c r="GN655" s="4"/>
      <c r="GO655" s="4"/>
      <c r="GP655" s="4"/>
      <c r="GQ655" s="4"/>
      <c r="GR655" s="4"/>
      <c r="GS655" s="4"/>
      <c r="GT655" s="4"/>
      <c r="GU655" s="722"/>
      <c r="GV655" s="715"/>
    </row>
    <row r="656" spans="1:204" x14ac:dyDescent="0.25">
      <c r="A656" t="s">
        <v>2320</v>
      </c>
      <c r="B656" s="2" t="s">
        <v>358</v>
      </c>
      <c r="C656" s="619">
        <v>44819</v>
      </c>
      <c r="D656" s="2" t="s">
        <v>2313</v>
      </c>
      <c r="E656" t="s">
        <v>59</v>
      </c>
      <c r="F656" s="2" t="s">
        <v>2473</v>
      </c>
      <c r="G656" t="s">
        <v>40</v>
      </c>
      <c r="H656" s="690" t="s">
        <v>85</v>
      </c>
      <c r="I656" s="691" t="s">
        <v>2473</v>
      </c>
      <c r="J656" s="721" t="s">
        <v>2146</v>
      </c>
      <c r="K656" s="691" t="s">
        <v>902</v>
      </c>
      <c r="L656" s="721" t="s">
        <v>1680</v>
      </c>
      <c r="M656" s="718" t="s">
        <v>3</v>
      </c>
      <c r="N656" s="717" t="s">
        <v>44</v>
      </c>
      <c r="O656" s="719">
        <v>44927</v>
      </c>
      <c r="P656" s="720">
        <v>45016</v>
      </c>
      <c r="Q656" s="718">
        <v>119</v>
      </c>
      <c r="R656" s="717">
        <v>2</v>
      </c>
      <c r="S656" s="691" t="s">
        <v>54</v>
      </c>
      <c r="T656" t="s">
        <v>649</v>
      </c>
      <c r="U656" s="673">
        <v>44819</v>
      </c>
      <c r="V656" s="690">
        <v>1</v>
      </c>
      <c r="W656" s="657" t="s">
        <v>214</v>
      </c>
      <c r="X656" s="723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654"/>
      <c r="AJ656" s="655">
        <v>2</v>
      </c>
      <c r="AK656" s="4">
        <v>2</v>
      </c>
      <c r="AL656" s="4">
        <v>2</v>
      </c>
      <c r="AM656" s="4"/>
      <c r="AN656" s="4"/>
      <c r="AO656" s="4"/>
      <c r="AP656" s="4"/>
      <c r="AQ656" s="4"/>
      <c r="AR656" s="4"/>
      <c r="AS656" s="4"/>
      <c r="AT656" s="4"/>
      <c r="AU656" s="654"/>
      <c r="AV656" s="655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654"/>
      <c r="BH656" s="655"/>
      <c r="BI656" s="4"/>
      <c r="BJ656" s="4"/>
      <c r="BK656" s="4"/>
      <c r="BL656" s="4"/>
      <c r="BM656" s="4"/>
      <c r="BN656" s="4"/>
      <c r="BO656" s="4"/>
      <c r="BP656" s="4"/>
      <c r="BQ656" s="4"/>
      <c r="BR656" s="4"/>
      <c r="BS656" s="654"/>
      <c r="BT656" s="655"/>
      <c r="BU656" s="4"/>
      <c r="BV656" s="4"/>
      <c r="BW656" s="4"/>
      <c r="BX656" s="4"/>
      <c r="BY656" s="4"/>
      <c r="BZ656" s="4"/>
      <c r="CA656" s="4"/>
      <c r="CB656" s="4"/>
      <c r="CC656" s="4"/>
      <c r="CD656" s="4"/>
      <c r="CE656" s="693"/>
      <c r="CF656" s="723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654"/>
      <c r="CR656" s="655">
        <v>120.41953060307064</v>
      </c>
      <c r="CS656" s="4">
        <v>120.41953060307064</v>
      </c>
      <c r="CT656" s="4">
        <v>120.41953060307064</v>
      </c>
      <c r="CU656" s="4"/>
      <c r="CV656" s="4"/>
      <c r="CW656" s="4"/>
      <c r="CX656" s="4"/>
      <c r="CY656" s="4"/>
      <c r="CZ656" s="4"/>
      <c r="DA656" s="4"/>
      <c r="DB656" s="4"/>
      <c r="DC656" s="654"/>
      <c r="DD656" s="655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654"/>
      <c r="DP656" s="655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654"/>
      <c r="EB656" s="655"/>
      <c r="EC656" s="4"/>
      <c r="ED656" s="4"/>
      <c r="EE656" s="4"/>
      <c r="EF656" s="4"/>
      <c r="EG656" s="4"/>
      <c r="EH656" s="4"/>
      <c r="EI656" s="4"/>
      <c r="EJ656" s="4"/>
      <c r="EK656" s="4"/>
      <c r="EL656" s="4"/>
      <c r="EM656" s="693"/>
      <c r="EN656" s="723"/>
      <c r="EO656" s="4"/>
      <c r="EP656" s="4"/>
      <c r="EQ656" s="4"/>
      <c r="ER656" s="4"/>
      <c r="ES656" s="4"/>
      <c r="ET656" s="4"/>
      <c r="EU656" s="4"/>
      <c r="EV656" s="4"/>
      <c r="EW656" s="4"/>
      <c r="EX656" s="4"/>
      <c r="EY656" s="654"/>
      <c r="EZ656" s="655">
        <v>120.41953060307064</v>
      </c>
      <c r="FA656" s="4">
        <v>120.41953060307064</v>
      </c>
      <c r="FB656" s="4">
        <v>120.41953060307064</v>
      </c>
      <c r="FC656" s="4"/>
      <c r="FD656" s="4"/>
      <c r="FE656" s="4"/>
      <c r="FF656" s="4"/>
      <c r="FG656" s="4"/>
      <c r="FH656" s="4"/>
      <c r="FI656" s="4"/>
      <c r="FJ656" s="4"/>
      <c r="FK656" s="654"/>
      <c r="FL656" s="655"/>
      <c r="FM656" s="4"/>
      <c r="FN656" s="4"/>
      <c r="FO656" s="4"/>
      <c r="FP656" s="4"/>
      <c r="FQ656" s="4"/>
      <c r="FR656" s="4"/>
      <c r="FS656" s="4"/>
      <c r="FT656" s="4"/>
      <c r="FU656" s="4"/>
      <c r="FV656" s="4"/>
      <c r="FW656" s="654"/>
      <c r="FX656" s="655"/>
      <c r="FY656" s="4"/>
      <c r="FZ656" s="4"/>
      <c r="GA656" s="4"/>
      <c r="GB656" s="4"/>
      <c r="GC656" s="4"/>
      <c r="GD656" s="4"/>
      <c r="GE656" s="4"/>
      <c r="GF656" s="4"/>
      <c r="GG656" s="4"/>
      <c r="GH656" s="4"/>
      <c r="GI656" s="654"/>
      <c r="GJ656" s="655"/>
      <c r="GK656" s="4"/>
      <c r="GL656" s="4"/>
      <c r="GM656" s="4"/>
      <c r="GN656" s="4"/>
      <c r="GO656" s="4"/>
      <c r="GP656" s="4"/>
      <c r="GQ656" s="4"/>
      <c r="GR656" s="4"/>
      <c r="GS656" s="4"/>
      <c r="GT656" s="4"/>
      <c r="GU656" s="722"/>
      <c r="GV656" s="715"/>
    </row>
    <row r="657" spans="1:204" x14ac:dyDescent="0.25">
      <c r="A657" t="s">
        <v>2330</v>
      </c>
      <c r="B657" s="2" t="s">
        <v>358</v>
      </c>
      <c r="C657" s="619">
        <v>44823</v>
      </c>
      <c r="D657" s="2" t="s">
        <v>2323</v>
      </c>
      <c r="E657" t="s">
        <v>59</v>
      </c>
      <c r="F657" s="2" t="s">
        <v>2473</v>
      </c>
      <c r="G657" t="s">
        <v>40</v>
      </c>
      <c r="H657" s="690" t="s">
        <v>85</v>
      </c>
      <c r="I657" s="691" t="s">
        <v>2473</v>
      </c>
      <c r="J657" s="721" t="s">
        <v>2146</v>
      </c>
      <c r="K657" s="691" t="s">
        <v>405</v>
      </c>
      <c r="L657" s="721" t="s">
        <v>2327</v>
      </c>
      <c r="M657" s="718" t="s">
        <v>3</v>
      </c>
      <c r="N657" s="717" t="s">
        <v>44</v>
      </c>
      <c r="O657" s="719">
        <v>45108</v>
      </c>
      <c r="P657" s="720">
        <v>45291</v>
      </c>
      <c r="Q657" s="718">
        <v>160</v>
      </c>
      <c r="R657" s="717">
        <v>5</v>
      </c>
      <c r="S657" s="691" t="s">
        <v>54</v>
      </c>
      <c r="T657" t="s">
        <v>649</v>
      </c>
      <c r="U657" s="673">
        <v>44823</v>
      </c>
      <c r="V657" s="690">
        <v>7</v>
      </c>
      <c r="W657" s="657" t="s">
        <v>214</v>
      </c>
      <c r="X657" s="723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654"/>
      <c r="AJ657" s="655"/>
      <c r="AK657" s="4"/>
      <c r="AL657" s="4"/>
      <c r="AM657" s="4"/>
      <c r="AN657" s="4"/>
      <c r="AO657" s="4"/>
      <c r="AP657" s="4">
        <v>5</v>
      </c>
      <c r="AQ657" s="4">
        <v>5</v>
      </c>
      <c r="AR657" s="4">
        <v>5</v>
      </c>
      <c r="AS657" s="4">
        <v>5</v>
      </c>
      <c r="AT657" s="4">
        <v>5</v>
      </c>
      <c r="AU657" s="654">
        <v>5</v>
      </c>
      <c r="AV657" s="655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654"/>
      <c r="BH657" s="655"/>
      <c r="BI657" s="4"/>
      <c r="BJ657" s="4"/>
      <c r="BK657" s="4"/>
      <c r="BL657" s="4"/>
      <c r="BM657" s="4"/>
      <c r="BN657" s="4"/>
      <c r="BO657" s="4"/>
      <c r="BP657" s="4"/>
      <c r="BQ657" s="4"/>
      <c r="BR657" s="4"/>
      <c r="BS657" s="654"/>
      <c r="BT657" s="655"/>
      <c r="BU657" s="4"/>
      <c r="BV657" s="4"/>
      <c r="BW657" s="4"/>
      <c r="BX657" s="4"/>
      <c r="BY657" s="4"/>
      <c r="BZ657" s="4"/>
      <c r="CA657" s="4"/>
      <c r="CB657" s="4"/>
      <c r="CC657" s="4"/>
      <c r="CD657" s="4"/>
      <c r="CE657" s="693"/>
      <c r="CF657" s="723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654"/>
      <c r="CR657" s="655"/>
      <c r="CS657" s="4"/>
      <c r="CT657" s="4"/>
      <c r="CU657" s="4"/>
      <c r="CV657" s="4"/>
      <c r="CW657" s="4"/>
      <c r="CX657" s="4">
        <v>161.90861257555719</v>
      </c>
      <c r="CY657" s="4">
        <v>161.90861257555719</v>
      </c>
      <c r="CZ657" s="4">
        <v>161.90861257555719</v>
      </c>
      <c r="DA657" s="4">
        <v>161.90861257555719</v>
      </c>
      <c r="DB657" s="4">
        <v>161.90861257555719</v>
      </c>
      <c r="DC657" s="654">
        <v>161.90861257555719</v>
      </c>
      <c r="DD657" s="655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654"/>
      <c r="DP657" s="655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654"/>
      <c r="EB657" s="655"/>
      <c r="EC657" s="4"/>
      <c r="ED657" s="4"/>
      <c r="EE657" s="4"/>
      <c r="EF657" s="4"/>
      <c r="EG657" s="4"/>
      <c r="EH657" s="4"/>
      <c r="EI657" s="4"/>
      <c r="EJ657" s="4"/>
      <c r="EK657" s="4"/>
      <c r="EL657" s="4"/>
      <c r="EM657" s="693"/>
      <c r="EN657" s="723"/>
      <c r="EO657" s="4"/>
      <c r="EP657" s="4"/>
      <c r="EQ657" s="4"/>
      <c r="ER657" s="4"/>
      <c r="ES657" s="4"/>
      <c r="ET657" s="4"/>
      <c r="EU657" s="4"/>
      <c r="EV657" s="4"/>
      <c r="EW657" s="4"/>
      <c r="EX657" s="4"/>
      <c r="EY657" s="654"/>
      <c r="EZ657" s="655"/>
      <c r="FA657" s="4"/>
      <c r="FB657" s="4"/>
      <c r="FC657" s="4"/>
      <c r="FD657" s="4"/>
      <c r="FE657" s="4"/>
      <c r="FF657" s="4">
        <v>161.90861257555719</v>
      </c>
      <c r="FG657" s="4">
        <v>161.90861257555719</v>
      </c>
      <c r="FH657" s="4">
        <v>161.90861257555719</v>
      </c>
      <c r="FI657" s="4">
        <v>161.90861257555719</v>
      </c>
      <c r="FJ657" s="4">
        <v>161.90861257555719</v>
      </c>
      <c r="FK657" s="654">
        <v>161.90861257555719</v>
      </c>
      <c r="FL657" s="655"/>
      <c r="FM657" s="4"/>
      <c r="FN657" s="4"/>
      <c r="FO657" s="4"/>
      <c r="FP657" s="4"/>
      <c r="FQ657" s="4"/>
      <c r="FR657" s="4"/>
      <c r="FS657" s="4"/>
      <c r="FT657" s="4"/>
      <c r="FU657" s="4"/>
      <c r="FV657" s="4"/>
      <c r="FW657" s="654"/>
      <c r="FX657" s="655"/>
      <c r="FY657" s="4"/>
      <c r="FZ657" s="4"/>
      <c r="GA657" s="4"/>
      <c r="GB657" s="4"/>
      <c r="GC657" s="4"/>
      <c r="GD657" s="4"/>
      <c r="GE657" s="4"/>
      <c r="GF657" s="4"/>
      <c r="GG657" s="4"/>
      <c r="GH657" s="4"/>
      <c r="GI657" s="654"/>
      <c r="GJ657" s="655"/>
      <c r="GK657" s="4"/>
      <c r="GL657" s="4"/>
      <c r="GM657" s="4"/>
      <c r="GN657" s="4"/>
      <c r="GO657" s="4"/>
      <c r="GP657" s="4"/>
      <c r="GQ657" s="4"/>
      <c r="GR657" s="4"/>
      <c r="GS657" s="4"/>
      <c r="GT657" s="4"/>
      <c r="GU657" s="722"/>
      <c r="GV657" s="715"/>
    </row>
    <row r="658" spans="1:204" x14ac:dyDescent="0.25">
      <c r="A658" t="s">
        <v>2331</v>
      </c>
      <c r="B658" s="2" t="s">
        <v>358</v>
      </c>
      <c r="C658" s="619">
        <v>44823</v>
      </c>
      <c r="D658" s="2" t="s">
        <v>2324</v>
      </c>
      <c r="E658" t="s">
        <v>58</v>
      </c>
      <c r="F658" s="2" t="s">
        <v>2473</v>
      </c>
      <c r="G658" t="s">
        <v>40</v>
      </c>
      <c r="H658" s="690" t="s">
        <v>84</v>
      </c>
      <c r="I658" s="691" t="s">
        <v>981</v>
      </c>
      <c r="J658" s="721" t="s">
        <v>2145</v>
      </c>
      <c r="K658" s="691" t="s">
        <v>2473</v>
      </c>
      <c r="L658" s="721" t="s">
        <v>2146</v>
      </c>
      <c r="M658" s="718" t="s">
        <v>3</v>
      </c>
      <c r="N658" s="717" t="s">
        <v>44</v>
      </c>
      <c r="O658" s="719">
        <v>44927</v>
      </c>
      <c r="P658" s="720">
        <v>44957</v>
      </c>
      <c r="Q658" s="718">
        <v>102</v>
      </c>
      <c r="R658" s="717">
        <v>3</v>
      </c>
      <c r="S658" s="691" t="s">
        <v>54</v>
      </c>
      <c r="T658" t="s">
        <v>649</v>
      </c>
      <c r="U658" s="673">
        <v>44823</v>
      </c>
      <c r="V658" s="690">
        <v>1</v>
      </c>
      <c r="W658" s="657" t="s">
        <v>214</v>
      </c>
      <c r="X658" s="723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654"/>
      <c r="AJ658" s="655">
        <v>3</v>
      </c>
      <c r="AK658" s="4"/>
      <c r="AL658" s="4"/>
      <c r="AM658" s="4"/>
      <c r="AN658" s="4"/>
      <c r="AO658" s="4"/>
      <c r="AP658" s="4"/>
      <c r="AQ658" s="4"/>
      <c r="AR658" s="4"/>
      <c r="AS658" s="4"/>
      <c r="AT658" s="4"/>
      <c r="AU658" s="654"/>
      <c r="AV658" s="655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654"/>
      <c r="BH658" s="655"/>
      <c r="BI658" s="4"/>
      <c r="BJ658" s="4"/>
      <c r="BK658" s="4"/>
      <c r="BL658" s="4"/>
      <c r="BM658" s="4"/>
      <c r="BN658" s="4"/>
      <c r="BO658" s="4"/>
      <c r="BP658" s="4"/>
      <c r="BQ658" s="4"/>
      <c r="BR658" s="4"/>
      <c r="BS658" s="654"/>
      <c r="BT658" s="655"/>
      <c r="BU658" s="4"/>
      <c r="BV658" s="4"/>
      <c r="BW658" s="4"/>
      <c r="BX658" s="4"/>
      <c r="BY658" s="4"/>
      <c r="BZ658" s="4"/>
      <c r="CA658" s="4"/>
      <c r="CB658" s="4"/>
      <c r="CC658" s="4"/>
      <c r="CD658" s="4"/>
      <c r="CE658" s="693"/>
      <c r="CF658" s="723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654"/>
      <c r="CR658" s="655">
        <v>103.2167405169177</v>
      </c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654"/>
      <c r="DD658" s="655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654"/>
      <c r="DP658" s="655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654"/>
      <c r="EB658" s="655"/>
      <c r="EC658" s="4"/>
      <c r="ED658" s="4"/>
      <c r="EE658" s="4"/>
      <c r="EF658" s="4"/>
      <c r="EG658" s="4"/>
      <c r="EH658" s="4"/>
      <c r="EI658" s="4"/>
      <c r="EJ658" s="4"/>
      <c r="EK658" s="4"/>
      <c r="EL658" s="4"/>
      <c r="EM658" s="693"/>
      <c r="EN658" s="723"/>
      <c r="EO658" s="4"/>
      <c r="EP658" s="4"/>
      <c r="EQ658" s="4"/>
      <c r="ER658" s="4"/>
      <c r="ES658" s="4"/>
      <c r="ET658" s="4"/>
      <c r="EU658" s="4"/>
      <c r="EV658" s="4"/>
      <c r="EW658" s="4"/>
      <c r="EX658" s="4"/>
      <c r="EY658" s="654"/>
      <c r="EZ658" s="655">
        <v>103.2167405169177</v>
      </c>
      <c r="FA658" s="4"/>
      <c r="FB658" s="4"/>
      <c r="FC658" s="4"/>
      <c r="FD658" s="4"/>
      <c r="FE658" s="4"/>
      <c r="FF658" s="4"/>
      <c r="FG658" s="4"/>
      <c r="FH658" s="4"/>
      <c r="FI658" s="4"/>
      <c r="FJ658" s="4"/>
      <c r="FK658" s="654"/>
      <c r="FL658" s="655"/>
      <c r="FM658" s="4"/>
      <c r="FN658" s="4"/>
      <c r="FO658" s="4"/>
      <c r="FP658" s="4"/>
      <c r="FQ658" s="4"/>
      <c r="FR658" s="4"/>
      <c r="FS658" s="4"/>
      <c r="FT658" s="4"/>
      <c r="FU658" s="4"/>
      <c r="FV658" s="4"/>
      <c r="FW658" s="654"/>
      <c r="FX658" s="655"/>
      <c r="FY658" s="4"/>
      <c r="FZ658" s="4"/>
      <c r="GA658" s="4"/>
      <c r="GB658" s="4"/>
      <c r="GC658" s="4"/>
      <c r="GD658" s="4"/>
      <c r="GE658" s="4"/>
      <c r="GF658" s="4"/>
      <c r="GG658" s="4"/>
      <c r="GH658" s="4"/>
      <c r="GI658" s="654"/>
      <c r="GJ658" s="655"/>
      <c r="GK658" s="4"/>
      <c r="GL658" s="4"/>
      <c r="GM658" s="4"/>
      <c r="GN658" s="4"/>
      <c r="GO658" s="4"/>
      <c r="GP658" s="4"/>
      <c r="GQ658" s="4"/>
      <c r="GR658" s="4"/>
      <c r="GS658" s="4"/>
      <c r="GT658" s="4"/>
      <c r="GU658" s="722"/>
      <c r="GV658" s="715"/>
    </row>
    <row r="659" spans="1:204" x14ac:dyDescent="0.25">
      <c r="A659" t="s">
        <v>2332</v>
      </c>
      <c r="B659" s="2" t="s">
        <v>358</v>
      </c>
      <c r="C659" s="619">
        <v>44823</v>
      </c>
      <c r="D659" s="2" t="s">
        <v>2325</v>
      </c>
      <c r="E659" t="s">
        <v>58</v>
      </c>
      <c r="F659" s="2" t="s">
        <v>2473</v>
      </c>
      <c r="G659" t="s">
        <v>40</v>
      </c>
      <c r="H659" s="690" t="s">
        <v>84</v>
      </c>
      <c r="I659" s="691" t="s">
        <v>968</v>
      </c>
      <c r="J659" s="721" t="s">
        <v>1178</v>
      </c>
      <c r="K659" s="691" t="s">
        <v>2473</v>
      </c>
      <c r="L659" s="721" t="s">
        <v>2146</v>
      </c>
      <c r="M659" s="718" t="s">
        <v>3</v>
      </c>
      <c r="N659" s="717" t="s">
        <v>44</v>
      </c>
      <c r="O659" s="719">
        <v>44866</v>
      </c>
      <c r="P659" s="720">
        <v>44895</v>
      </c>
      <c r="Q659" s="718">
        <v>65</v>
      </c>
      <c r="R659" s="717">
        <v>3.5</v>
      </c>
      <c r="S659" s="691" t="s">
        <v>54</v>
      </c>
      <c r="T659" t="s">
        <v>358</v>
      </c>
      <c r="U659" s="673" t="s">
        <v>358</v>
      </c>
      <c r="V659" s="690" t="s">
        <v>358</v>
      </c>
      <c r="W659" s="657" t="s">
        <v>214</v>
      </c>
      <c r="X659" s="723"/>
      <c r="Y659" s="4"/>
      <c r="Z659" s="4"/>
      <c r="AA659" s="4"/>
      <c r="AB659" s="4"/>
      <c r="AC659" s="4"/>
      <c r="AD659" s="4"/>
      <c r="AE659" s="4"/>
      <c r="AF659" s="4"/>
      <c r="AG659" s="4"/>
      <c r="AH659" s="4">
        <v>3.5</v>
      </c>
      <c r="AI659" s="654"/>
      <c r="AJ659" s="655"/>
      <c r="AK659" s="4"/>
      <c r="AL659" s="4"/>
      <c r="AM659" s="4"/>
      <c r="AN659" s="4"/>
      <c r="AO659" s="4"/>
      <c r="AP659" s="4"/>
      <c r="AQ659" s="4"/>
      <c r="AR659" s="4"/>
      <c r="AS659" s="4"/>
      <c r="AT659" s="4"/>
      <c r="AU659" s="654"/>
      <c r="AV659" s="655"/>
      <c r="AW659" s="4"/>
      <c r="AX659" s="4"/>
      <c r="AY659" s="4"/>
      <c r="AZ659" s="4"/>
      <c r="BA659" s="4"/>
      <c r="BB659" s="4"/>
      <c r="BC659" s="4"/>
      <c r="BD659" s="4"/>
      <c r="BE659" s="4"/>
      <c r="BF659" s="4"/>
      <c r="BG659" s="654"/>
      <c r="BH659" s="655"/>
      <c r="BI659" s="4"/>
      <c r="BJ659" s="4"/>
      <c r="BK659" s="4"/>
      <c r="BL659" s="4"/>
      <c r="BM659" s="4"/>
      <c r="BN659" s="4"/>
      <c r="BO659" s="4"/>
      <c r="BP659" s="4"/>
      <c r="BQ659" s="4"/>
      <c r="BR659" s="4"/>
      <c r="BS659" s="654"/>
      <c r="BT659" s="655"/>
      <c r="BU659" s="4"/>
      <c r="BV659" s="4"/>
      <c r="BW659" s="4"/>
      <c r="BX659" s="4"/>
      <c r="BY659" s="4"/>
      <c r="BZ659" s="4"/>
      <c r="CA659" s="4"/>
      <c r="CB659" s="4"/>
      <c r="CC659" s="4"/>
      <c r="CD659" s="4"/>
      <c r="CE659" s="693"/>
      <c r="CF659" s="723"/>
      <c r="CG659" s="4"/>
      <c r="CH659" s="4"/>
      <c r="CI659" s="4"/>
      <c r="CJ659" s="4"/>
      <c r="CK659" s="4"/>
      <c r="CL659" s="4"/>
      <c r="CM659" s="4"/>
      <c r="CN659" s="4"/>
      <c r="CO659" s="4"/>
      <c r="CP659" s="4">
        <v>65</v>
      </c>
      <c r="CQ659" s="654"/>
      <c r="CR659" s="655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654"/>
      <c r="DD659" s="655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654"/>
      <c r="DP659" s="655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654"/>
      <c r="EB659" s="655"/>
      <c r="EC659" s="4"/>
      <c r="ED659" s="4"/>
      <c r="EE659" s="4"/>
      <c r="EF659" s="4"/>
      <c r="EG659" s="4"/>
      <c r="EH659" s="4"/>
      <c r="EI659" s="4"/>
      <c r="EJ659" s="4"/>
      <c r="EK659" s="4"/>
      <c r="EL659" s="4"/>
      <c r="EM659" s="693"/>
      <c r="EN659" s="723"/>
      <c r="EO659" s="4"/>
      <c r="EP659" s="4"/>
      <c r="EQ659" s="4"/>
      <c r="ER659" s="4"/>
      <c r="ES659" s="4"/>
      <c r="ET659" s="4"/>
      <c r="EU659" s="4"/>
      <c r="EV659" s="4"/>
      <c r="EW659" s="4"/>
      <c r="EX659" s="4">
        <v>65</v>
      </c>
      <c r="EY659" s="654"/>
      <c r="EZ659" s="655"/>
      <c r="FA659" s="4"/>
      <c r="FB659" s="4"/>
      <c r="FC659" s="4"/>
      <c r="FD659" s="4"/>
      <c r="FE659" s="4"/>
      <c r="FF659" s="4"/>
      <c r="FG659" s="4"/>
      <c r="FH659" s="4"/>
      <c r="FI659" s="4"/>
      <c r="FJ659" s="4"/>
      <c r="FK659" s="654"/>
      <c r="FL659" s="655"/>
      <c r="FM659" s="4"/>
      <c r="FN659" s="4"/>
      <c r="FO659" s="4"/>
      <c r="FP659" s="4"/>
      <c r="FQ659" s="4"/>
      <c r="FR659" s="4"/>
      <c r="FS659" s="4"/>
      <c r="FT659" s="4"/>
      <c r="FU659" s="4"/>
      <c r="FV659" s="4"/>
      <c r="FW659" s="654"/>
      <c r="FX659" s="655"/>
      <c r="FY659" s="4"/>
      <c r="FZ659" s="4"/>
      <c r="GA659" s="4"/>
      <c r="GB659" s="4"/>
      <c r="GC659" s="4"/>
      <c r="GD659" s="4"/>
      <c r="GE659" s="4"/>
      <c r="GF659" s="4"/>
      <c r="GG659" s="4"/>
      <c r="GH659" s="4"/>
      <c r="GI659" s="654"/>
      <c r="GJ659" s="655"/>
      <c r="GK659" s="4"/>
      <c r="GL659" s="4"/>
      <c r="GM659" s="4"/>
      <c r="GN659" s="4"/>
      <c r="GO659" s="4"/>
      <c r="GP659" s="4"/>
      <c r="GQ659" s="4"/>
      <c r="GR659" s="4"/>
      <c r="GS659" s="4"/>
      <c r="GT659" s="4"/>
      <c r="GU659" s="722"/>
      <c r="GV659" s="715"/>
    </row>
    <row r="660" spans="1:204" x14ac:dyDescent="0.25">
      <c r="A660" t="s">
        <v>2333</v>
      </c>
      <c r="B660" s="2" t="s">
        <v>358</v>
      </c>
      <c r="C660" s="619">
        <v>44823</v>
      </c>
      <c r="D660" s="2" t="s">
        <v>2326</v>
      </c>
      <c r="E660" t="s">
        <v>58</v>
      </c>
      <c r="F660" s="2" t="s">
        <v>2473</v>
      </c>
      <c r="G660" t="s">
        <v>40</v>
      </c>
      <c r="H660" s="690" t="s">
        <v>84</v>
      </c>
      <c r="I660" s="691" t="s">
        <v>2328</v>
      </c>
      <c r="J660" s="721" t="s">
        <v>2329</v>
      </c>
      <c r="K660" s="691" t="s">
        <v>2473</v>
      </c>
      <c r="L660" s="721" t="s">
        <v>2146</v>
      </c>
      <c r="M660" s="718" t="s">
        <v>3</v>
      </c>
      <c r="N660" s="717" t="s">
        <v>44</v>
      </c>
      <c r="O660" s="719">
        <v>44866</v>
      </c>
      <c r="P660" s="720">
        <v>44895</v>
      </c>
      <c r="Q660" s="718">
        <v>65.5</v>
      </c>
      <c r="R660" s="717">
        <v>5</v>
      </c>
      <c r="S660" s="691" t="s">
        <v>54</v>
      </c>
      <c r="T660" t="s">
        <v>358</v>
      </c>
      <c r="U660" s="673" t="s">
        <v>358</v>
      </c>
      <c r="V660" s="690" t="s">
        <v>358</v>
      </c>
      <c r="W660" s="657" t="s">
        <v>214</v>
      </c>
      <c r="X660" s="723"/>
      <c r="Y660" s="4"/>
      <c r="Z660" s="4"/>
      <c r="AA660" s="4"/>
      <c r="AB660" s="4"/>
      <c r="AC660" s="4"/>
      <c r="AD660" s="4"/>
      <c r="AE660" s="4"/>
      <c r="AF660" s="4"/>
      <c r="AG660" s="4"/>
      <c r="AH660" s="4">
        <v>5</v>
      </c>
      <c r="AI660" s="654"/>
      <c r="AJ660" s="655"/>
      <c r="AK660" s="4"/>
      <c r="AL660" s="4"/>
      <c r="AM660" s="4"/>
      <c r="AN660" s="4"/>
      <c r="AO660" s="4"/>
      <c r="AP660" s="4"/>
      <c r="AQ660" s="4"/>
      <c r="AR660" s="4"/>
      <c r="AS660" s="4"/>
      <c r="AT660" s="4"/>
      <c r="AU660" s="654"/>
      <c r="AV660" s="655"/>
      <c r="AW660" s="4"/>
      <c r="AX660" s="4"/>
      <c r="AY660" s="4"/>
      <c r="AZ660" s="4"/>
      <c r="BA660" s="4"/>
      <c r="BB660" s="4"/>
      <c r="BC660" s="4"/>
      <c r="BD660" s="4"/>
      <c r="BE660" s="4"/>
      <c r="BF660" s="4"/>
      <c r="BG660" s="654"/>
      <c r="BH660" s="655"/>
      <c r="BI660" s="4"/>
      <c r="BJ660" s="4"/>
      <c r="BK660" s="4"/>
      <c r="BL660" s="4"/>
      <c r="BM660" s="4"/>
      <c r="BN660" s="4"/>
      <c r="BO660" s="4"/>
      <c r="BP660" s="4"/>
      <c r="BQ660" s="4"/>
      <c r="BR660" s="4"/>
      <c r="BS660" s="654"/>
      <c r="BT660" s="655"/>
      <c r="BU660" s="4"/>
      <c r="BV660" s="4"/>
      <c r="BW660" s="4"/>
      <c r="BX660" s="4"/>
      <c r="BY660" s="4"/>
      <c r="BZ660" s="4"/>
      <c r="CA660" s="4"/>
      <c r="CB660" s="4"/>
      <c r="CC660" s="4"/>
      <c r="CD660" s="4"/>
      <c r="CE660" s="693"/>
      <c r="CF660" s="723"/>
      <c r="CG660" s="4"/>
      <c r="CH660" s="4"/>
      <c r="CI660" s="4"/>
      <c r="CJ660" s="4"/>
      <c r="CK660" s="4"/>
      <c r="CL660" s="4"/>
      <c r="CM660" s="4"/>
      <c r="CN660" s="4"/>
      <c r="CO660" s="4"/>
      <c r="CP660" s="4">
        <v>65.5</v>
      </c>
      <c r="CQ660" s="654"/>
      <c r="CR660" s="655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654"/>
      <c r="DD660" s="655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654"/>
      <c r="DP660" s="655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654"/>
      <c r="EB660" s="655"/>
      <c r="EC660" s="4"/>
      <c r="ED660" s="4"/>
      <c r="EE660" s="4"/>
      <c r="EF660" s="4"/>
      <c r="EG660" s="4"/>
      <c r="EH660" s="4"/>
      <c r="EI660" s="4"/>
      <c r="EJ660" s="4"/>
      <c r="EK660" s="4"/>
      <c r="EL660" s="4"/>
      <c r="EM660" s="693"/>
      <c r="EN660" s="723"/>
      <c r="EO660" s="4"/>
      <c r="EP660" s="4"/>
      <c r="EQ660" s="4"/>
      <c r="ER660" s="4"/>
      <c r="ES660" s="4"/>
      <c r="ET660" s="4"/>
      <c r="EU660" s="4"/>
      <c r="EV660" s="4"/>
      <c r="EW660" s="4"/>
      <c r="EX660" s="4">
        <v>65.5</v>
      </c>
      <c r="EY660" s="654"/>
      <c r="EZ660" s="655"/>
      <c r="FA660" s="4"/>
      <c r="FB660" s="4"/>
      <c r="FC660" s="4"/>
      <c r="FD660" s="4"/>
      <c r="FE660" s="4"/>
      <c r="FF660" s="4"/>
      <c r="FG660" s="4"/>
      <c r="FH660" s="4"/>
      <c r="FI660" s="4"/>
      <c r="FJ660" s="4"/>
      <c r="FK660" s="654"/>
      <c r="FL660" s="655"/>
      <c r="FM660" s="4"/>
      <c r="FN660" s="4"/>
      <c r="FO660" s="4"/>
      <c r="FP660" s="4"/>
      <c r="FQ660" s="4"/>
      <c r="FR660" s="4"/>
      <c r="FS660" s="4"/>
      <c r="FT660" s="4"/>
      <c r="FU660" s="4"/>
      <c r="FV660" s="4"/>
      <c r="FW660" s="654"/>
      <c r="FX660" s="655"/>
      <c r="FY660" s="4"/>
      <c r="FZ660" s="4"/>
      <c r="GA660" s="4"/>
      <c r="GB660" s="4"/>
      <c r="GC660" s="4"/>
      <c r="GD660" s="4"/>
      <c r="GE660" s="4"/>
      <c r="GF660" s="4"/>
      <c r="GG660" s="4"/>
      <c r="GH660" s="4"/>
      <c r="GI660" s="654"/>
      <c r="GJ660" s="655"/>
      <c r="GK660" s="4"/>
      <c r="GL660" s="4"/>
      <c r="GM660" s="4"/>
      <c r="GN660" s="4"/>
      <c r="GO660" s="4"/>
      <c r="GP660" s="4"/>
      <c r="GQ660" s="4"/>
      <c r="GR660" s="4"/>
      <c r="GS660" s="4"/>
      <c r="GT660" s="4"/>
      <c r="GU660" s="722"/>
      <c r="GV660" s="715"/>
    </row>
    <row r="661" spans="1:204" x14ac:dyDescent="0.25">
      <c r="A661" t="s">
        <v>2342</v>
      </c>
      <c r="B661" s="2" t="s">
        <v>358</v>
      </c>
      <c r="C661" s="619">
        <v>44826</v>
      </c>
      <c r="D661" s="2" t="s">
        <v>2334</v>
      </c>
      <c r="E661" t="s">
        <v>59</v>
      </c>
      <c r="F661" s="2" t="s">
        <v>2473</v>
      </c>
      <c r="G661" t="s">
        <v>40</v>
      </c>
      <c r="H661" s="690" t="s">
        <v>85</v>
      </c>
      <c r="I661" s="691" t="s">
        <v>2473</v>
      </c>
      <c r="J661" s="721" t="s">
        <v>2146</v>
      </c>
      <c r="K661" s="691" t="s">
        <v>2340</v>
      </c>
      <c r="L661" s="721" t="s">
        <v>2341</v>
      </c>
      <c r="M661" s="718" t="s">
        <v>3</v>
      </c>
      <c r="N661" s="717" t="s">
        <v>44</v>
      </c>
      <c r="O661" s="719">
        <v>44866</v>
      </c>
      <c r="P661" s="720">
        <v>44895</v>
      </c>
      <c r="Q661" s="718">
        <v>65</v>
      </c>
      <c r="R661" s="717">
        <v>3</v>
      </c>
      <c r="S661" s="691" t="s">
        <v>54</v>
      </c>
      <c r="T661" t="s">
        <v>358</v>
      </c>
      <c r="U661" s="673" t="s">
        <v>358</v>
      </c>
      <c r="V661" s="690" t="s">
        <v>358</v>
      </c>
      <c r="W661" s="657" t="s">
        <v>214</v>
      </c>
      <c r="X661" s="723"/>
      <c r="Y661" s="4"/>
      <c r="Z661" s="4"/>
      <c r="AA661" s="4"/>
      <c r="AB661" s="4"/>
      <c r="AC661" s="4"/>
      <c r="AD661" s="4"/>
      <c r="AE661" s="4"/>
      <c r="AF661" s="4"/>
      <c r="AG661" s="4"/>
      <c r="AH661" s="4">
        <v>3</v>
      </c>
      <c r="AI661" s="654"/>
      <c r="AJ661" s="655"/>
      <c r="AK661" s="4"/>
      <c r="AL661" s="4"/>
      <c r="AM661" s="4"/>
      <c r="AN661" s="4"/>
      <c r="AO661" s="4"/>
      <c r="AP661" s="4"/>
      <c r="AQ661" s="4"/>
      <c r="AR661" s="4"/>
      <c r="AS661" s="4"/>
      <c r="AT661" s="4"/>
      <c r="AU661" s="654"/>
      <c r="AV661" s="655"/>
      <c r="AW661" s="4"/>
      <c r="AX661" s="4"/>
      <c r="AY661" s="4"/>
      <c r="AZ661" s="4"/>
      <c r="BA661" s="4"/>
      <c r="BB661" s="4"/>
      <c r="BC661" s="4"/>
      <c r="BD661" s="4"/>
      <c r="BE661" s="4"/>
      <c r="BF661" s="4"/>
      <c r="BG661" s="654"/>
      <c r="BH661" s="655"/>
      <c r="BI661" s="4"/>
      <c r="BJ661" s="4"/>
      <c r="BK661" s="4"/>
      <c r="BL661" s="4"/>
      <c r="BM661" s="4"/>
      <c r="BN661" s="4"/>
      <c r="BO661" s="4"/>
      <c r="BP661" s="4"/>
      <c r="BQ661" s="4"/>
      <c r="BR661" s="4"/>
      <c r="BS661" s="654"/>
      <c r="BT661" s="655"/>
      <c r="BU661" s="4"/>
      <c r="BV661" s="4"/>
      <c r="BW661" s="4"/>
      <c r="BX661" s="4"/>
      <c r="BY661" s="4"/>
      <c r="BZ661" s="4"/>
      <c r="CA661" s="4"/>
      <c r="CB661" s="4"/>
      <c r="CC661" s="4"/>
      <c r="CD661" s="4"/>
      <c r="CE661" s="693"/>
      <c r="CF661" s="723"/>
      <c r="CG661" s="4"/>
      <c r="CH661" s="4"/>
      <c r="CI661" s="4"/>
      <c r="CJ661" s="4"/>
      <c r="CK661" s="4"/>
      <c r="CL661" s="4"/>
      <c r="CM661" s="4"/>
      <c r="CN661" s="4"/>
      <c r="CO661" s="4"/>
      <c r="CP661" s="4">
        <v>65</v>
      </c>
      <c r="CQ661" s="654"/>
      <c r="CR661" s="655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654"/>
      <c r="DD661" s="655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654"/>
      <c r="DP661" s="655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654"/>
      <c r="EB661" s="655"/>
      <c r="EC661" s="4"/>
      <c r="ED661" s="4"/>
      <c r="EE661" s="4"/>
      <c r="EF661" s="4"/>
      <c r="EG661" s="4"/>
      <c r="EH661" s="4"/>
      <c r="EI661" s="4"/>
      <c r="EJ661" s="4"/>
      <c r="EK661" s="4"/>
      <c r="EL661" s="4"/>
      <c r="EM661" s="693"/>
      <c r="EN661" s="723"/>
      <c r="EO661" s="4"/>
      <c r="EP661" s="4"/>
      <c r="EQ661" s="4"/>
      <c r="ER661" s="4"/>
      <c r="ES661" s="4"/>
      <c r="ET661" s="4"/>
      <c r="EU661" s="4"/>
      <c r="EV661" s="4"/>
      <c r="EW661" s="4"/>
      <c r="EX661" s="4">
        <v>65</v>
      </c>
      <c r="EY661" s="654"/>
      <c r="EZ661" s="655"/>
      <c r="FA661" s="4"/>
      <c r="FB661" s="4"/>
      <c r="FC661" s="4"/>
      <c r="FD661" s="4"/>
      <c r="FE661" s="4"/>
      <c r="FF661" s="4"/>
      <c r="FG661" s="4"/>
      <c r="FH661" s="4"/>
      <c r="FI661" s="4"/>
      <c r="FJ661" s="4"/>
      <c r="FK661" s="654"/>
      <c r="FL661" s="655"/>
      <c r="FM661" s="4"/>
      <c r="FN661" s="4"/>
      <c r="FO661" s="4"/>
      <c r="FP661" s="4"/>
      <c r="FQ661" s="4"/>
      <c r="FR661" s="4"/>
      <c r="FS661" s="4"/>
      <c r="FT661" s="4"/>
      <c r="FU661" s="4"/>
      <c r="FV661" s="4"/>
      <c r="FW661" s="654"/>
      <c r="FX661" s="655"/>
      <c r="FY661" s="4"/>
      <c r="FZ661" s="4"/>
      <c r="GA661" s="4"/>
      <c r="GB661" s="4"/>
      <c r="GC661" s="4"/>
      <c r="GD661" s="4"/>
      <c r="GE661" s="4"/>
      <c r="GF661" s="4"/>
      <c r="GG661" s="4"/>
      <c r="GH661" s="4"/>
      <c r="GI661" s="654"/>
      <c r="GJ661" s="655"/>
      <c r="GK661" s="4"/>
      <c r="GL661" s="4"/>
      <c r="GM661" s="4"/>
      <c r="GN661" s="4"/>
      <c r="GO661" s="4"/>
      <c r="GP661" s="4"/>
      <c r="GQ661" s="4"/>
      <c r="GR661" s="4"/>
      <c r="GS661" s="4"/>
      <c r="GT661" s="4"/>
      <c r="GU661" s="722"/>
      <c r="GV661" s="715"/>
    </row>
    <row r="662" spans="1:204" x14ac:dyDescent="0.25">
      <c r="A662" t="s">
        <v>2343</v>
      </c>
      <c r="B662" s="2" t="s">
        <v>358</v>
      </c>
      <c r="C662" s="619">
        <v>44826</v>
      </c>
      <c r="D662" s="2" t="s">
        <v>2335</v>
      </c>
      <c r="E662" t="s">
        <v>59</v>
      </c>
      <c r="F662" s="2" t="s">
        <v>2473</v>
      </c>
      <c r="G662" t="s">
        <v>40</v>
      </c>
      <c r="H662" s="690" t="s">
        <v>85</v>
      </c>
      <c r="I662" s="691" t="s">
        <v>2473</v>
      </c>
      <c r="J662" s="721" t="s">
        <v>2146</v>
      </c>
      <c r="K662" s="691" t="s">
        <v>2340</v>
      </c>
      <c r="L662" s="721" t="s">
        <v>2341</v>
      </c>
      <c r="M662" s="718" t="s">
        <v>3</v>
      </c>
      <c r="N662" s="717" t="s">
        <v>44</v>
      </c>
      <c r="O662" s="719">
        <v>44866</v>
      </c>
      <c r="P662" s="720">
        <v>44895</v>
      </c>
      <c r="Q662" s="718">
        <v>65</v>
      </c>
      <c r="R662" s="717">
        <v>2</v>
      </c>
      <c r="S662" s="691" t="s">
        <v>54</v>
      </c>
      <c r="T662" t="s">
        <v>358</v>
      </c>
      <c r="U662" s="673" t="s">
        <v>358</v>
      </c>
      <c r="V662" s="690" t="s">
        <v>358</v>
      </c>
      <c r="W662" s="657" t="s">
        <v>214</v>
      </c>
      <c r="X662" s="723"/>
      <c r="Y662" s="4"/>
      <c r="Z662" s="4"/>
      <c r="AA662" s="4"/>
      <c r="AB662" s="4"/>
      <c r="AC662" s="4"/>
      <c r="AD662" s="4"/>
      <c r="AE662" s="4"/>
      <c r="AF662" s="4"/>
      <c r="AG662" s="4"/>
      <c r="AH662" s="4">
        <v>2</v>
      </c>
      <c r="AI662" s="654"/>
      <c r="AJ662" s="655"/>
      <c r="AK662" s="4"/>
      <c r="AL662" s="4"/>
      <c r="AM662" s="4"/>
      <c r="AN662" s="4"/>
      <c r="AO662" s="4"/>
      <c r="AP662" s="4"/>
      <c r="AQ662" s="4"/>
      <c r="AR662" s="4"/>
      <c r="AS662" s="4"/>
      <c r="AT662" s="4"/>
      <c r="AU662" s="654"/>
      <c r="AV662" s="655"/>
      <c r="AW662" s="4"/>
      <c r="AX662" s="4"/>
      <c r="AY662" s="4"/>
      <c r="AZ662" s="4"/>
      <c r="BA662" s="4"/>
      <c r="BB662" s="4"/>
      <c r="BC662" s="4"/>
      <c r="BD662" s="4"/>
      <c r="BE662" s="4"/>
      <c r="BF662" s="4"/>
      <c r="BG662" s="654"/>
      <c r="BH662" s="655"/>
      <c r="BI662" s="4"/>
      <c r="BJ662" s="4"/>
      <c r="BK662" s="4"/>
      <c r="BL662" s="4"/>
      <c r="BM662" s="4"/>
      <c r="BN662" s="4"/>
      <c r="BO662" s="4"/>
      <c r="BP662" s="4"/>
      <c r="BQ662" s="4"/>
      <c r="BR662" s="4"/>
      <c r="BS662" s="654"/>
      <c r="BT662" s="655"/>
      <c r="BU662" s="4"/>
      <c r="BV662" s="4"/>
      <c r="BW662" s="4"/>
      <c r="BX662" s="4"/>
      <c r="BY662" s="4"/>
      <c r="BZ662" s="4"/>
      <c r="CA662" s="4"/>
      <c r="CB662" s="4"/>
      <c r="CC662" s="4"/>
      <c r="CD662" s="4"/>
      <c r="CE662" s="693"/>
      <c r="CF662" s="723"/>
      <c r="CG662" s="4"/>
      <c r="CH662" s="4"/>
      <c r="CI662" s="4"/>
      <c r="CJ662" s="4"/>
      <c r="CK662" s="4"/>
      <c r="CL662" s="4"/>
      <c r="CM662" s="4"/>
      <c r="CN662" s="4"/>
      <c r="CO662" s="4"/>
      <c r="CP662" s="4">
        <v>65</v>
      </c>
      <c r="CQ662" s="654"/>
      <c r="CR662" s="655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654"/>
      <c r="DD662" s="655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654"/>
      <c r="DP662" s="655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654"/>
      <c r="EB662" s="655"/>
      <c r="EC662" s="4"/>
      <c r="ED662" s="4"/>
      <c r="EE662" s="4"/>
      <c r="EF662" s="4"/>
      <c r="EG662" s="4"/>
      <c r="EH662" s="4"/>
      <c r="EI662" s="4"/>
      <c r="EJ662" s="4"/>
      <c r="EK662" s="4"/>
      <c r="EL662" s="4"/>
      <c r="EM662" s="693"/>
      <c r="EN662" s="723"/>
      <c r="EO662" s="4"/>
      <c r="EP662" s="4"/>
      <c r="EQ662" s="4"/>
      <c r="ER662" s="4"/>
      <c r="ES662" s="4"/>
      <c r="ET662" s="4"/>
      <c r="EU662" s="4"/>
      <c r="EV662" s="4"/>
      <c r="EW662" s="4"/>
      <c r="EX662" s="4">
        <v>65</v>
      </c>
      <c r="EY662" s="654"/>
      <c r="EZ662" s="655"/>
      <c r="FA662" s="4"/>
      <c r="FB662" s="4"/>
      <c r="FC662" s="4"/>
      <c r="FD662" s="4"/>
      <c r="FE662" s="4"/>
      <c r="FF662" s="4"/>
      <c r="FG662" s="4"/>
      <c r="FH662" s="4"/>
      <c r="FI662" s="4"/>
      <c r="FJ662" s="4"/>
      <c r="FK662" s="654"/>
      <c r="FL662" s="655"/>
      <c r="FM662" s="4"/>
      <c r="FN662" s="4"/>
      <c r="FO662" s="4"/>
      <c r="FP662" s="4"/>
      <c r="FQ662" s="4"/>
      <c r="FR662" s="4"/>
      <c r="FS662" s="4"/>
      <c r="FT662" s="4"/>
      <c r="FU662" s="4"/>
      <c r="FV662" s="4"/>
      <c r="FW662" s="654"/>
      <c r="FX662" s="655"/>
      <c r="FY662" s="4"/>
      <c r="FZ662" s="4"/>
      <c r="GA662" s="4"/>
      <c r="GB662" s="4"/>
      <c r="GC662" s="4"/>
      <c r="GD662" s="4"/>
      <c r="GE662" s="4"/>
      <c r="GF662" s="4"/>
      <c r="GG662" s="4"/>
      <c r="GH662" s="4"/>
      <c r="GI662" s="654"/>
      <c r="GJ662" s="655"/>
      <c r="GK662" s="4"/>
      <c r="GL662" s="4"/>
      <c r="GM662" s="4"/>
      <c r="GN662" s="4"/>
      <c r="GO662" s="4"/>
      <c r="GP662" s="4"/>
      <c r="GQ662" s="4"/>
      <c r="GR662" s="4"/>
      <c r="GS662" s="4"/>
      <c r="GT662" s="4"/>
      <c r="GU662" s="722"/>
      <c r="GV662" s="715"/>
    </row>
    <row r="663" spans="1:204" x14ac:dyDescent="0.25">
      <c r="A663" t="s">
        <v>2344</v>
      </c>
      <c r="B663" s="2" t="s">
        <v>358</v>
      </c>
      <c r="C663" s="619">
        <v>44826</v>
      </c>
      <c r="D663" s="2" t="s">
        <v>2336</v>
      </c>
      <c r="E663" t="s">
        <v>58</v>
      </c>
      <c r="F663" s="2" t="s">
        <v>2473</v>
      </c>
      <c r="G663" t="s">
        <v>40</v>
      </c>
      <c r="H663" s="690" t="s">
        <v>84</v>
      </c>
      <c r="I663" s="691" t="s">
        <v>945</v>
      </c>
      <c r="J663" s="721" t="s">
        <v>1681</v>
      </c>
      <c r="K663" s="691" t="s">
        <v>2473</v>
      </c>
      <c r="L663" s="721" t="s">
        <v>2146</v>
      </c>
      <c r="M663" s="718" t="s">
        <v>3</v>
      </c>
      <c r="N663" s="717" t="s">
        <v>44</v>
      </c>
      <c r="O663" s="719">
        <v>44835</v>
      </c>
      <c r="P663" s="720">
        <v>44865</v>
      </c>
      <c r="Q663" s="718">
        <v>59.5</v>
      </c>
      <c r="R663" s="717">
        <v>3</v>
      </c>
      <c r="S663" s="691" t="s">
        <v>54</v>
      </c>
      <c r="T663" t="s">
        <v>358</v>
      </c>
      <c r="U663" s="673" t="s">
        <v>358</v>
      </c>
      <c r="V663" s="690" t="s">
        <v>358</v>
      </c>
      <c r="W663" s="657" t="s">
        <v>214</v>
      </c>
      <c r="X663" s="723"/>
      <c r="Y663" s="4"/>
      <c r="Z663" s="4"/>
      <c r="AA663" s="4"/>
      <c r="AB663" s="4"/>
      <c r="AC663" s="4"/>
      <c r="AD663" s="4"/>
      <c r="AE663" s="4"/>
      <c r="AF663" s="4"/>
      <c r="AG663" s="4">
        <v>3</v>
      </c>
      <c r="AH663" s="4"/>
      <c r="AI663" s="654"/>
      <c r="AJ663" s="655"/>
      <c r="AK663" s="4"/>
      <c r="AL663" s="4"/>
      <c r="AM663" s="4"/>
      <c r="AN663" s="4"/>
      <c r="AO663" s="4"/>
      <c r="AP663" s="4"/>
      <c r="AQ663" s="4"/>
      <c r="AR663" s="4"/>
      <c r="AS663" s="4"/>
      <c r="AT663" s="4"/>
      <c r="AU663" s="654"/>
      <c r="AV663" s="655"/>
      <c r="AW663" s="4"/>
      <c r="AX663" s="4"/>
      <c r="AY663" s="4"/>
      <c r="AZ663" s="4"/>
      <c r="BA663" s="4"/>
      <c r="BB663" s="4"/>
      <c r="BC663" s="4"/>
      <c r="BD663" s="4"/>
      <c r="BE663" s="4"/>
      <c r="BF663" s="4"/>
      <c r="BG663" s="654"/>
      <c r="BH663" s="655"/>
      <c r="BI663" s="4"/>
      <c r="BJ663" s="4"/>
      <c r="BK663" s="4"/>
      <c r="BL663" s="4"/>
      <c r="BM663" s="4"/>
      <c r="BN663" s="4"/>
      <c r="BO663" s="4"/>
      <c r="BP663" s="4"/>
      <c r="BQ663" s="4"/>
      <c r="BR663" s="4"/>
      <c r="BS663" s="654"/>
      <c r="BT663" s="655"/>
      <c r="BU663" s="4"/>
      <c r="BV663" s="4"/>
      <c r="BW663" s="4"/>
      <c r="BX663" s="4"/>
      <c r="BY663" s="4"/>
      <c r="BZ663" s="4"/>
      <c r="CA663" s="4"/>
      <c r="CB663" s="4"/>
      <c r="CC663" s="4"/>
      <c r="CD663" s="4"/>
      <c r="CE663" s="693"/>
      <c r="CF663" s="723"/>
      <c r="CG663" s="4"/>
      <c r="CH663" s="4"/>
      <c r="CI663" s="4"/>
      <c r="CJ663" s="4"/>
      <c r="CK663" s="4"/>
      <c r="CL663" s="4"/>
      <c r="CM663" s="4"/>
      <c r="CN663" s="4"/>
      <c r="CO663" s="4">
        <v>59.5</v>
      </c>
      <c r="CP663" s="4"/>
      <c r="CQ663" s="654"/>
      <c r="CR663" s="655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654"/>
      <c r="DD663" s="655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654"/>
      <c r="DP663" s="655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654"/>
      <c r="EB663" s="655"/>
      <c r="EC663" s="4"/>
      <c r="ED663" s="4"/>
      <c r="EE663" s="4"/>
      <c r="EF663" s="4"/>
      <c r="EG663" s="4"/>
      <c r="EH663" s="4"/>
      <c r="EI663" s="4"/>
      <c r="EJ663" s="4"/>
      <c r="EK663" s="4"/>
      <c r="EL663" s="4"/>
      <c r="EM663" s="693"/>
      <c r="EN663" s="723"/>
      <c r="EO663" s="4"/>
      <c r="EP663" s="4"/>
      <c r="EQ663" s="4"/>
      <c r="ER663" s="4"/>
      <c r="ES663" s="4"/>
      <c r="ET663" s="4"/>
      <c r="EU663" s="4"/>
      <c r="EV663" s="4"/>
      <c r="EW663" s="4">
        <v>59.5</v>
      </c>
      <c r="EX663" s="4"/>
      <c r="EY663" s="654"/>
      <c r="EZ663" s="655"/>
      <c r="FA663" s="4"/>
      <c r="FB663" s="4"/>
      <c r="FC663" s="4"/>
      <c r="FD663" s="4"/>
      <c r="FE663" s="4"/>
      <c r="FF663" s="4"/>
      <c r="FG663" s="4"/>
      <c r="FH663" s="4"/>
      <c r="FI663" s="4"/>
      <c r="FJ663" s="4"/>
      <c r="FK663" s="654"/>
      <c r="FL663" s="655"/>
      <c r="FM663" s="4"/>
      <c r="FN663" s="4"/>
      <c r="FO663" s="4"/>
      <c r="FP663" s="4"/>
      <c r="FQ663" s="4"/>
      <c r="FR663" s="4"/>
      <c r="FS663" s="4"/>
      <c r="FT663" s="4"/>
      <c r="FU663" s="4"/>
      <c r="FV663" s="4"/>
      <c r="FW663" s="654"/>
      <c r="FX663" s="655"/>
      <c r="FY663" s="4"/>
      <c r="FZ663" s="4"/>
      <c r="GA663" s="4"/>
      <c r="GB663" s="4"/>
      <c r="GC663" s="4"/>
      <c r="GD663" s="4"/>
      <c r="GE663" s="4"/>
      <c r="GF663" s="4"/>
      <c r="GG663" s="4"/>
      <c r="GH663" s="4"/>
      <c r="GI663" s="654"/>
      <c r="GJ663" s="655"/>
      <c r="GK663" s="4"/>
      <c r="GL663" s="4"/>
      <c r="GM663" s="4"/>
      <c r="GN663" s="4"/>
      <c r="GO663" s="4"/>
      <c r="GP663" s="4"/>
      <c r="GQ663" s="4"/>
      <c r="GR663" s="4"/>
      <c r="GS663" s="4"/>
      <c r="GT663" s="4"/>
      <c r="GU663" s="722"/>
      <c r="GV663" s="715"/>
    </row>
    <row r="664" spans="1:204" x14ac:dyDescent="0.25">
      <c r="A664" t="s">
        <v>2345</v>
      </c>
      <c r="B664" s="2" t="s">
        <v>358</v>
      </c>
      <c r="C664" s="619">
        <v>44826</v>
      </c>
      <c r="D664" s="2" t="s">
        <v>2337</v>
      </c>
      <c r="E664" t="s">
        <v>58</v>
      </c>
      <c r="F664" s="2" t="s">
        <v>2473</v>
      </c>
      <c r="G664" t="s">
        <v>40</v>
      </c>
      <c r="H664" s="690" t="s">
        <v>84</v>
      </c>
      <c r="I664" s="691" t="s">
        <v>2147</v>
      </c>
      <c r="J664" s="721" t="s">
        <v>2148</v>
      </c>
      <c r="K664" s="691" t="s">
        <v>2473</v>
      </c>
      <c r="L664" s="721" t="s">
        <v>2146</v>
      </c>
      <c r="M664" s="718" t="s">
        <v>3</v>
      </c>
      <c r="N664" s="717" t="s">
        <v>44</v>
      </c>
      <c r="O664" s="719">
        <v>44866</v>
      </c>
      <c r="P664" s="720">
        <v>44895</v>
      </c>
      <c r="Q664" s="718">
        <v>63.5</v>
      </c>
      <c r="R664" s="717">
        <v>2</v>
      </c>
      <c r="S664" s="691" t="s">
        <v>54</v>
      </c>
      <c r="T664" t="s">
        <v>358</v>
      </c>
      <c r="U664" s="673" t="s">
        <v>358</v>
      </c>
      <c r="V664" s="690" t="s">
        <v>358</v>
      </c>
      <c r="W664" s="657" t="s">
        <v>214</v>
      </c>
      <c r="X664" s="723"/>
      <c r="Y664" s="4"/>
      <c r="Z664" s="4"/>
      <c r="AA664" s="4"/>
      <c r="AB664" s="4"/>
      <c r="AC664" s="4"/>
      <c r="AD664" s="4"/>
      <c r="AE664" s="4"/>
      <c r="AF664" s="4"/>
      <c r="AG664" s="4"/>
      <c r="AH664" s="4">
        <v>2</v>
      </c>
      <c r="AI664" s="654"/>
      <c r="AJ664" s="655"/>
      <c r="AK664" s="4"/>
      <c r="AL664" s="4"/>
      <c r="AM664" s="4"/>
      <c r="AN664" s="4"/>
      <c r="AO664" s="4"/>
      <c r="AP664" s="4"/>
      <c r="AQ664" s="4"/>
      <c r="AR664" s="4"/>
      <c r="AS664" s="4"/>
      <c r="AT664" s="4"/>
      <c r="AU664" s="654"/>
      <c r="AV664" s="655"/>
      <c r="AW664" s="4"/>
      <c r="AX664" s="4"/>
      <c r="AY664" s="4"/>
      <c r="AZ664" s="4"/>
      <c r="BA664" s="4"/>
      <c r="BB664" s="4"/>
      <c r="BC664" s="4"/>
      <c r="BD664" s="4"/>
      <c r="BE664" s="4"/>
      <c r="BF664" s="4"/>
      <c r="BG664" s="654"/>
      <c r="BH664" s="655"/>
      <c r="BI664" s="4"/>
      <c r="BJ664" s="4"/>
      <c r="BK664" s="4"/>
      <c r="BL664" s="4"/>
      <c r="BM664" s="4"/>
      <c r="BN664" s="4"/>
      <c r="BO664" s="4"/>
      <c r="BP664" s="4"/>
      <c r="BQ664" s="4"/>
      <c r="BR664" s="4"/>
      <c r="BS664" s="654"/>
      <c r="BT664" s="655"/>
      <c r="BU664" s="4"/>
      <c r="BV664" s="4"/>
      <c r="BW664" s="4"/>
      <c r="BX664" s="4"/>
      <c r="BY664" s="4"/>
      <c r="BZ664" s="4"/>
      <c r="CA664" s="4"/>
      <c r="CB664" s="4"/>
      <c r="CC664" s="4"/>
      <c r="CD664" s="4"/>
      <c r="CE664" s="693"/>
      <c r="CF664" s="723"/>
      <c r="CG664" s="4"/>
      <c r="CH664" s="4"/>
      <c r="CI664" s="4"/>
      <c r="CJ664" s="4"/>
      <c r="CK664" s="4"/>
      <c r="CL664" s="4"/>
      <c r="CM664" s="4"/>
      <c r="CN664" s="4"/>
      <c r="CO664" s="4"/>
      <c r="CP664" s="4">
        <v>63.5</v>
      </c>
      <c r="CQ664" s="654"/>
      <c r="CR664" s="655"/>
      <c r="CS664" s="4"/>
      <c r="CT664" s="4"/>
      <c r="CU664" s="4"/>
      <c r="CV664" s="4"/>
      <c r="CW664" s="4"/>
      <c r="CX664" s="4"/>
      <c r="CY664" s="4"/>
      <c r="CZ664" s="4"/>
      <c r="DA664" s="4"/>
      <c r="DB664" s="4"/>
      <c r="DC664" s="654"/>
      <c r="DD664" s="655"/>
      <c r="DE664" s="4"/>
      <c r="DF664" s="4"/>
      <c r="DG664" s="4"/>
      <c r="DH664" s="4"/>
      <c r="DI664" s="4"/>
      <c r="DJ664" s="4"/>
      <c r="DK664" s="4"/>
      <c r="DL664" s="4"/>
      <c r="DM664" s="4"/>
      <c r="DN664" s="4"/>
      <c r="DO664" s="654"/>
      <c r="DP664" s="655"/>
      <c r="DQ664" s="4"/>
      <c r="DR664" s="4"/>
      <c r="DS664" s="4"/>
      <c r="DT664" s="4"/>
      <c r="DU664" s="4"/>
      <c r="DV664" s="4"/>
      <c r="DW664" s="4"/>
      <c r="DX664" s="4"/>
      <c r="DY664" s="4"/>
      <c r="DZ664" s="4"/>
      <c r="EA664" s="654"/>
      <c r="EB664" s="655"/>
      <c r="EC664" s="4"/>
      <c r="ED664" s="4"/>
      <c r="EE664" s="4"/>
      <c r="EF664" s="4"/>
      <c r="EG664" s="4"/>
      <c r="EH664" s="4"/>
      <c r="EI664" s="4"/>
      <c r="EJ664" s="4"/>
      <c r="EK664" s="4"/>
      <c r="EL664" s="4"/>
      <c r="EM664" s="693"/>
      <c r="EN664" s="723"/>
      <c r="EO664" s="4"/>
      <c r="EP664" s="4"/>
      <c r="EQ664" s="4"/>
      <c r="ER664" s="4"/>
      <c r="ES664" s="4"/>
      <c r="ET664" s="4"/>
      <c r="EU664" s="4"/>
      <c r="EV664" s="4"/>
      <c r="EW664" s="4"/>
      <c r="EX664" s="4">
        <v>63.5</v>
      </c>
      <c r="EY664" s="654"/>
      <c r="EZ664" s="655"/>
      <c r="FA664" s="4"/>
      <c r="FB664" s="4"/>
      <c r="FC664" s="4"/>
      <c r="FD664" s="4"/>
      <c r="FE664" s="4"/>
      <c r="FF664" s="4"/>
      <c r="FG664" s="4"/>
      <c r="FH664" s="4"/>
      <c r="FI664" s="4"/>
      <c r="FJ664" s="4"/>
      <c r="FK664" s="654"/>
      <c r="FL664" s="655"/>
      <c r="FM664" s="4"/>
      <c r="FN664" s="4"/>
      <c r="FO664" s="4"/>
      <c r="FP664" s="4"/>
      <c r="FQ664" s="4"/>
      <c r="FR664" s="4"/>
      <c r="FS664" s="4"/>
      <c r="FT664" s="4"/>
      <c r="FU664" s="4"/>
      <c r="FV664" s="4"/>
      <c r="FW664" s="654"/>
      <c r="FX664" s="655"/>
      <c r="FY664" s="4"/>
      <c r="FZ664" s="4"/>
      <c r="GA664" s="4"/>
      <c r="GB664" s="4"/>
      <c r="GC664" s="4"/>
      <c r="GD664" s="4"/>
      <c r="GE664" s="4"/>
      <c r="GF664" s="4"/>
      <c r="GG664" s="4"/>
      <c r="GH664" s="4"/>
      <c r="GI664" s="654"/>
      <c r="GJ664" s="655"/>
      <c r="GK664" s="4"/>
      <c r="GL664" s="4"/>
      <c r="GM664" s="4"/>
      <c r="GN664" s="4"/>
      <c r="GO664" s="4"/>
      <c r="GP664" s="4"/>
      <c r="GQ664" s="4"/>
      <c r="GR664" s="4"/>
      <c r="GS664" s="4"/>
      <c r="GT664" s="4"/>
      <c r="GU664" s="722"/>
      <c r="GV664" s="715"/>
    </row>
    <row r="665" spans="1:204" x14ac:dyDescent="0.25">
      <c r="A665" t="s">
        <v>2346</v>
      </c>
      <c r="B665" s="2" t="s">
        <v>358</v>
      </c>
      <c r="C665" s="619">
        <v>44826</v>
      </c>
      <c r="D665" s="2" t="s">
        <v>2338</v>
      </c>
      <c r="E665" t="s">
        <v>58</v>
      </c>
      <c r="F665" s="2" t="s">
        <v>2473</v>
      </c>
      <c r="G665" t="s">
        <v>40</v>
      </c>
      <c r="H665" s="690" t="s">
        <v>84</v>
      </c>
      <c r="I665" s="691" t="s">
        <v>2017</v>
      </c>
      <c r="J665" s="721" t="s">
        <v>2190</v>
      </c>
      <c r="K665" s="691" t="s">
        <v>2473</v>
      </c>
      <c r="L665" s="721" t="s">
        <v>2146</v>
      </c>
      <c r="M665" s="718" t="s">
        <v>3</v>
      </c>
      <c r="N665" s="717" t="s">
        <v>44</v>
      </c>
      <c r="O665" s="719">
        <v>44835</v>
      </c>
      <c r="P665" s="720">
        <v>44865</v>
      </c>
      <c r="Q665" s="718">
        <v>60</v>
      </c>
      <c r="R665" s="717">
        <v>5</v>
      </c>
      <c r="S665" s="691" t="s">
        <v>54</v>
      </c>
      <c r="T665" t="s">
        <v>358</v>
      </c>
      <c r="U665" s="673" t="s">
        <v>358</v>
      </c>
      <c r="V665" s="690" t="s">
        <v>358</v>
      </c>
      <c r="W665" s="657" t="s">
        <v>214</v>
      </c>
      <c r="X665" s="723"/>
      <c r="Y665" s="4"/>
      <c r="Z665" s="4"/>
      <c r="AA665" s="4"/>
      <c r="AB665" s="4"/>
      <c r="AC665" s="4"/>
      <c r="AD665" s="4"/>
      <c r="AE665" s="4"/>
      <c r="AF665" s="4"/>
      <c r="AG665" s="4">
        <v>5</v>
      </c>
      <c r="AH665" s="4"/>
      <c r="AI665" s="654"/>
      <c r="AJ665" s="655"/>
      <c r="AK665" s="4"/>
      <c r="AL665" s="4"/>
      <c r="AM665" s="4"/>
      <c r="AN665" s="4"/>
      <c r="AO665" s="4"/>
      <c r="AP665" s="4"/>
      <c r="AQ665" s="4"/>
      <c r="AR665" s="4"/>
      <c r="AS665" s="4"/>
      <c r="AT665" s="4"/>
      <c r="AU665" s="654"/>
      <c r="AV665" s="655"/>
      <c r="AW665" s="4"/>
      <c r="AX665" s="4"/>
      <c r="AY665" s="4"/>
      <c r="AZ665" s="4"/>
      <c r="BA665" s="4"/>
      <c r="BB665" s="4"/>
      <c r="BC665" s="4"/>
      <c r="BD665" s="4"/>
      <c r="BE665" s="4"/>
      <c r="BF665" s="4"/>
      <c r="BG665" s="654"/>
      <c r="BH665" s="655"/>
      <c r="BI665" s="4"/>
      <c r="BJ665" s="4"/>
      <c r="BK665" s="4"/>
      <c r="BL665" s="4"/>
      <c r="BM665" s="4"/>
      <c r="BN665" s="4"/>
      <c r="BO665" s="4"/>
      <c r="BP665" s="4"/>
      <c r="BQ665" s="4"/>
      <c r="BR665" s="4"/>
      <c r="BS665" s="654"/>
      <c r="BT665" s="655"/>
      <c r="BU665" s="4"/>
      <c r="BV665" s="4"/>
      <c r="BW665" s="4"/>
      <c r="BX665" s="4"/>
      <c r="BY665" s="4"/>
      <c r="BZ665" s="4"/>
      <c r="CA665" s="4"/>
      <c r="CB665" s="4"/>
      <c r="CC665" s="4"/>
      <c r="CD665" s="4"/>
      <c r="CE665" s="693"/>
      <c r="CF665" s="723"/>
      <c r="CG665" s="4"/>
      <c r="CH665" s="4"/>
      <c r="CI665" s="4"/>
      <c r="CJ665" s="4"/>
      <c r="CK665" s="4"/>
      <c r="CL665" s="4"/>
      <c r="CM665" s="4"/>
      <c r="CN665" s="4"/>
      <c r="CO665" s="4">
        <v>60</v>
      </c>
      <c r="CP665" s="4"/>
      <c r="CQ665" s="654"/>
      <c r="CR665" s="655"/>
      <c r="CS665" s="4"/>
      <c r="CT665" s="4"/>
      <c r="CU665" s="4"/>
      <c r="CV665" s="4"/>
      <c r="CW665" s="4"/>
      <c r="CX665" s="4"/>
      <c r="CY665" s="4"/>
      <c r="CZ665" s="4"/>
      <c r="DA665" s="4"/>
      <c r="DB665" s="4"/>
      <c r="DC665" s="654"/>
      <c r="DD665" s="655"/>
      <c r="DE665" s="4"/>
      <c r="DF665" s="4"/>
      <c r="DG665" s="4"/>
      <c r="DH665" s="4"/>
      <c r="DI665" s="4"/>
      <c r="DJ665" s="4"/>
      <c r="DK665" s="4"/>
      <c r="DL665" s="4"/>
      <c r="DM665" s="4"/>
      <c r="DN665" s="4"/>
      <c r="DO665" s="654"/>
      <c r="DP665" s="655"/>
      <c r="DQ665" s="4"/>
      <c r="DR665" s="4"/>
      <c r="DS665" s="4"/>
      <c r="DT665" s="4"/>
      <c r="DU665" s="4"/>
      <c r="DV665" s="4"/>
      <c r="DW665" s="4"/>
      <c r="DX665" s="4"/>
      <c r="DY665" s="4"/>
      <c r="DZ665" s="4"/>
      <c r="EA665" s="654"/>
      <c r="EB665" s="655"/>
      <c r="EC665" s="4"/>
      <c r="ED665" s="4"/>
      <c r="EE665" s="4"/>
      <c r="EF665" s="4"/>
      <c r="EG665" s="4"/>
      <c r="EH665" s="4"/>
      <c r="EI665" s="4"/>
      <c r="EJ665" s="4"/>
      <c r="EK665" s="4"/>
      <c r="EL665" s="4"/>
      <c r="EM665" s="693"/>
      <c r="EN665" s="723"/>
      <c r="EO665" s="4"/>
      <c r="EP665" s="4"/>
      <c r="EQ665" s="4"/>
      <c r="ER665" s="4"/>
      <c r="ES665" s="4"/>
      <c r="ET665" s="4"/>
      <c r="EU665" s="4"/>
      <c r="EV665" s="4"/>
      <c r="EW665" s="4">
        <v>60</v>
      </c>
      <c r="EX665" s="4"/>
      <c r="EY665" s="654"/>
      <c r="EZ665" s="655"/>
      <c r="FA665" s="4"/>
      <c r="FB665" s="4"/>
      <c r="FC665" s="4"/>
      <c r="FD665" s="4"/>
      <c r="FE665" s="4"/>
      <c r="FF665" s="4"/>
      <c r="FG665" s="4"/>
      <c r="FH665" s="4"/>
      <c r="FI665" s="4"/>
      <c r="FJ665" s="4"/>
      <c r="FK665" s="654"/>
      <c r="FL665" s="655"/>
      <c r="FM665" s="4"/>
      <c r="FN665" s="4"/>
      <c r="FO665" s="4"/>
      <c r="FP665" s="4"/>
      <c r="FQ665" s="4"/>
      <c r="FR665" s="4"/>
      <c r="FS665" s="4"/>
      <c r="FT665" s="4"/>
      <c r="FU665" s="4"/>
      <c r="FV665" s="4"/>
      <c r="FW665" s="654"/>
      <c r="FX665" s="655"/>
      <c r="FY665" s="4"/>
      <c r="FZ665" s="4"/>
      <c r="GA665" s="4"/>
      <c r="GB665" s="4"/>
      <c r="GC665" s="4"/>
      <c r="GD665" s="4"/>
      <c r="GE665" s="4"/>
      <c r="GF665" s="4"/>
      <c r="GG665" s="4"/>
      <c r="GH665" s="4"/>
      <c r="GI665" s="654"/>
      <c r="GJ665" s="655"/>
      <c r="GK665" s="4"/>
      <c r="GL665" s="4"/>
      <c r="GM665" s="4"/>
      <c r="GN665" s="4"/>
      <c r="GO665" s="4"/>
      <c r="GP665" s="4"/>
      <c r="GQ665" s="4"/>
      <c r="GR665" s="4"/>
      <c r="GS665" s="4"/>
      <c r="GT665" s="4"/>
      <c r="GU665" s="722"/>
      <c r="GV665" s="715"/>
    </row>
    <row r="666" spans="1:204" x14ac:dyDescent="0.25">
      <c r="A666" t="s">
        <v>2347</v>
      </c>
      <c r="B666" s="2" t="s">
        <v>358</v>
      </c>
      <c r="C666" s="619">
        <v>44826</v>
      </c>
      <c r="D666" s="2" t="s">
        <v>2339</v>
      </c>
      <c r="E666" t="s">
        <v>58</v>
      </c>
      <c r="F666" s="2" t="s">
        <v>2473</v>
      </c>
      <c r="G666" t="s">
        <v>40</v>
      </c>
      <c r="H666" s="690" t="s">
        <v>84</v>
      </c>
      <c r="I666" s="691" t="s">
        <v>2017</v>
      </c>
      <c r="J666" s="721" t="s">
        <v>2190</v>
      </c>
      <c r="K666" s="691" t="s">
        <v>2473</v>
      </c>
      <c r="L666" s="721" t="s">
        <v>2146</v>
      </c>
      <c r="M666" s="718" t="s">
        <v>3</v>
      </c>
      <c r="N666" s="717" t="s">
        <v>44</v>
      </c>
      <c r="O666" s="719">
        <v>44835</v>
      </c>
      <c r="P666" s="720">
        <v>44865</v>
      </c>
      <c r="Q666" s="718">
        <v>60</v>
      </c>
      <c r="R666" s="717">
        <v>1</v>
      </c>
      <c r="S666" s="691" t="s">
        <v>54</v>
      </c>
      <c r="T666" t="s">
        <v>358</v>
      </c>
      <c r="U666" s="673" t="s">
        <v>358</v>
      </c>
      <c r="V666" s="690" t="s">
        <v>358</v>
      </c>
      <c r="W666" s="657" t="s">
        <v>214</v>
      </c>
      <c r="X666" s="723"/>
      <c r="Y666" s="4"/>
      <c r="Z666" s="4"/>
      <c r="AA666" s="4"/>
      <c r="AB666" s="4"/>
      <c r="AC666" s="4"/>
      <c r="AD666" s="4"/>
      <c r="AE666" s="4"/>
      <c r="AF666" s="4"/>
      <c r="AG666" s="4">
        <v>1</v>
      </c>
      <c r="AH666" s="4"/>
      <c r="AI666" s="654"/>
      <c r="AJ666" s="655"/>
      <c r="AK666" s="4"/>
      <c r="AL666" s="4"/>
      <c r="AM666" s="4"/>
      <c r="AN666" s="4"/>
      <c r="AO666" s="4"/>
      <c r="AP666" s="4"/>
      <c r="AQ666" s="4"/>
      <c r="AR666" s="4"/>
      <c r="AS666" s="4"/>
      <c r="AT666" s="4"/>
      <c r="AU666" s="654"/>
      <c r="AV666" s="655"/>
      <c r="AW666" s="4"/>
      <c r="AX666" s="4"/>
      <c r="AY666" s="4"/>
      <c r="AZ666" s="4"/>
      <c r="BA666" s="4"/>
      <c r="BB666" s="4"/>
      <c r="BC666" s="4"/>
      <c r="BD666" s="4"/>
      <c r="BE666" s="4"/>
      <c r="BF666" s="4"/>
      <c r="BG666" s="654"/>
      <c r="BH666" s="655"/>
      <c r="BI666" s="4"/>
      <c r="BJ666" s="4"/>
      <c r="BK666" s="4"/>
      <c r="BL666" s="4"/>
      <c r="BM666" s="4"/>
      <c r="BN666" s="4"/>
      <c r="BO666" s="4"/>
      <c r="BP666" s="4"/>
      <c r="BQ666" s="4"/>
      <c r="BR666" s="4"/>
      <c r="BS666" s="654"/>
      <c r="BT666" s="655"/>
      <c r="BU666" s="4"/>
      <c r="BV666" s="4"/>
      <c r="BW666" s="4"/>
      <c r="BX666" s="4"/>
      <c r="BY666" s="4"/>
      <c r="BZ666" s="4"/>
      <c r="CA666" s="4"/>
      <c r="CB666" s="4"/>
      <c r="CC666" s="4"/>
      <c r="CD666" s="4"/>
      <c r="CE666" s="693"/>
      <c r="CF666" s="723"/>
      <c r="CG666" s="4"/>
      <c r="CH666" s="4"/>
      <c r="CI666" s="4"/>
      <c r="CJ666" s="4"/>
      <c r="CK666" s="4"/>
      <c r="CL666" s="4"/>
      <c r="CM666" s="4"/>
      <c r="CN666" s="4"/>
      <c r="CO666" s="4">
        <v>60</v>
      </c>
      <c r="CP666" s="4"/>
      <c r="CQ666" s="654"/>
      <c r="CR666" s="655"/>
      <c r="CS666" s="4"/>
      <c r="CT666" s="4"/>
      <c r="CU666" s="4"/>
      <c r="CV666" s="4"/>
      <c r="CW666" s="4"/>
      <c r="CX666" s="4"/>
      <c r="CY666" s="4"/>
      <c r="CZ666" s="4"/>
      <c r="DA666" s="4"/>
      <c r="DB666" s="4"/>
      <c r="DC666" s="654"/>
      <c r="DD666" s="655"/>
      <c r="DE666" s="4"/>
      <c r="DF666" s="4"/>
      <c r="DG666" s="4"/>
      <c r="DH666" s="4"/>
      <c r="DI666" s="4"/>
      <c r="DJ666" s="4"/>
      <c r="DK666" s="4"/>
      <c r="DL666" s="4"/>
      <c r="DM666" s="4"/>
      <c r="DN666" s="4"/>
      <c r="DO666" s="654"/>
      <c r="DP666" s="655"/>
      <c r="DQ666" s="4"/>
      <c r="DR666" s="4"/>
      <c r="DS666" s="4"/>
      <c r="DT666" s="4"/>
      <c r="DU666" s="4"/>
      <c r="DV666" s="4"/>
      <c r="DW666" s="4"/>
      <c r="DX666" s="4"/>
      <c r="DY666" s="4"/>
      <c r="DZ666" s="4"/>
      <c r="EA666" s="654"/>
      <c r="EB666" s="655"/>
      <c r="EC666" s="4"/>
      <c r="ED666" s="4"/>
      <c r="EE666" s="4"/>
      <c r="EF666" s="4"/>
      <c r="EG666" s="4"/>
      <c r="EH666" s="4"/>
      <c r="EI666" s="4"/>
      <c r="EJ666" s="4"/>
      <c r="EK666" s="4"/>
      <c r="EL666" s="4"/>
      <c r="EM666" s="693"/>
      <c r="EN666" s="723"/>
      <c r="EO666" s="4"/>
      <c r="EP666" s="4"/>
      <c r="EQ666" s="4"/>
      <c r="ER666" s="4"/>
      <c r="ES666" s="4"/>
      <c r="ET666" s="4"/>
      <c r="EU666" s="4"/>
      <c r="EV666" s="4"/>
      <c r="EW666" s="4">
        <v>60</v>
      </c>
      <c r="EX666" s="4"/>
      <c r="EY666" s="654"/>
      <c r="EZ666" s="655"/>
      <c r="FA666" s="4"/>
      <c r="FB666" s="4"/>
      <c r="FC666" s="4"/>
      <c r="FD666" s="4"/>
      <c r="FE666" s="4"/>
      <c r="FF666" s="4"/>
      <c r="FG666" s="4"/>
      <c r="FH666" s="4"/>
      <c r="FI666" s="4"/>
      <c r="FJ666" s="4"/>
      <c r="FK666" s="654"/>
      <c r="FL666" s="655"/>
      <c r="FM666" s="4"/>
      <c r="FN666" s="4"/>
      <c r="FO666" s="4"/>
      <c r="FP666" s="4"/>
      <c r="FQ666" s="4"/>
      <c r="FR666" s="4"/>
      <c r="FS666" s="4"/>
      <c r="FT666" s="4"/>
      <c r="FU666" s="4"/>
      <c r="FV666" s="4"/>
      <c r="FW666" s="654"/>
      <c r="FX666" s="655"/>
      <c r="FY666" s="4"/>
      <c r="FZ666" s="4"/>
      <c r="GA666" s="4"/>
      <c r="GB666" s="4"/>
      <c r="GC666" s="4"/>
      <c r="GD666" s="4"/>
      <c r="GE666" s="4"/>
      <c r="GF666" s="4"/>
      <c r="GG666" s="4"/>
      <c r="GH666" s="4"/>
      <c r="GI666" s="654"/>
      <c r="GJ666" s="655"/>
      <c r="GK666" s="4"/>
      <c r="GL666" s="4"/>
      <c r="GM666" s="4"/>
      <c r="GN666" s="4"/>
      <c r="GO666" s="4"/>
      <c r="GP666" s="4"/>
      <c r="GQ666" s="4"/>
      <c r="GR666" s="4"/>
      <c r="GS666" s="4"/>
      <c r="GT666" s="4"/>
      <c r="GU666" s="722"/>
      <c r="GV666" s="715"/>
    </row>
    <row r="667" spans="1:204" x14ac:dyDescent="0.25">
      <c r="A667" t="s">
        <v>2353</v>
      </c>
      <c r="B667" s="2" t="s">
        <v>358</v>
      </c>
      <c r="C667" s="619">
        <v>44827</v>
      </c>
      <c r="D667" s="2" t="s">
        <v>2348</v>
      </c>
      <c r="E667" t="s">
        <v>59</v>
      </c>
      <c r="F667" s="2" t="s">
        <v>2473</v>
      </c>
      <c r="G667" t="s">
        <v>40</v>
      </c>
      <c r="H667" s="690" t="s">
        <v>85</v>
      </c>
      <c r="I667" s="691" t="s">
        <v>2473</v>
      </c>
      <c r="J667" s="721" t="s">
        <v>2146</v>
      </c>
      <c r="K667" s="691" t="s">
        <v>2351</v>
      </c>
      <c r="L667" s="721" t="s">
        <v>2352</v>
      </c>
      <c r="M667" s="718" t="s">
        <v>3</v>
      </c>
      <c r="N667" s="717" t="s">
        <v>44</v>
      </c>
      <c r="O667" s="719">
        <v>44927</v>
      </c>
      <c r="P667" s="720">
        <v>44957</v>
      </c>
      <c r="Q667" s="718">
        <v>90</v>
      </c>
      <c r="R667" s="717">
        <v>5</v>
      </c>
      <c r="S667" s="691" t="s">
        <v>54</v>
      </c>
      <c r="T667" t="s">
        <v>649</v>
      </c>
      <c r="U667" s="673">
        <v>44827</v>
      </c>
      <c r="V667" s="690">
        <v>1</v>
      </c>
      <c r="W667" s="657" t="s">
        <v>214</v>
      </c>
      <c r="X667" s="723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654"/>
      <c r="AJ667" s="655">
        <v>5</v>
      </c>
      <c r="AK667" s="4"/>
      <c r="AL667" s="4"/>
      <c r="AM667" s="4"/>
      <c r="AN667" s="4"/>
      <c r="AO667" s="4"/>
      <c r="AP667" s="4"/>
      <c r="AQ667" s="4"/>
      <c r="AR667" s="4"/>
      <c r="AS667" s="4"/>
      <c r="AT667" s="4"/>
      <c r="AU667" s="654"/>
      <c r="AV667" s="655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654"/>
      <c r="BH667" s="655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654"/>
      <c r="BT667" s="655"/>
      <c r="BU667" s="4"/>
      <c r="BV667" s="4"/>
      <c r="BW667" s="4"/>
      <c r="BX667" s="4"/>
      <c r="BY667" s="4"/>
      <c r="BZ667" s="4"/>
      <c r="CA667" s="4"/>
      <c r="CB667" s="4"/>
      <c r="CC667" s="4"/>
      <c r="CD667" s="4"/>
      <c r="CE667" s="693"/>
      <c r="CF667" s="723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654"/>
      <c r="CR667" s="655">
        <v>91.07359457375091</v>
      </c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654"/>
      <c r="DD667" s="655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654"/>
      <c r="DP667" s="655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654"/>
      <c r="EB667" s="655"/>
      <c r="EC667" s="4"/>
      <c r="ED667" s="4"/>
      <c r="EE667" s="4"/>
      <c r="EF667" s="4"/>
      <c r="EG667" s="4"/>
      <c r="EH667" s="4"/>
      <c r="EI667" s="4"/>
      <c r="EJ667" s="4"/>
      <c r="EK667" s="4"/>
      <c r="EL667" s="4"/>
      <c r="EM667" s="693"/>
      <c r="EN667" s="723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654"/>
      <c r="EZ667" s="655">
        <v>91.07359457375091</v>
      </c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654"/>
      <c r="FL667" s="655"/>
      <c r="FM667" s="4"/>
      <c r="FN667" s="4"/>
      <c r="FO667" s="4"/>
      <c r="FP667" s="4"/>
      <c r="FQ667" s="4"/>
      <c r="FR667" s="4"/>
      <c r="FS667" s="4"/>
      <c r="FT667" s="4"/>
      <c r="FU667" s="4"/>
      <c r="FV667" s="4"/>
      <c r="FW667" s="654"/>
      <c r="FX667" s="655"/>
      <c r="FY667" s="4"/>
      <c r="FZ667" s="4"/>
      <c r="GA667" s="4"/>
      <c r="GB667" s="4"/>
      <c r="GC667" s="4"/>
      <c r="GD667" s="4"/>
      <c r="GE667" s="4"/>
      <c r="GF667" s="4"/>
      <c r="GG667" s="4"/>
      <c r="GH667" s="4"/>
      <c r="GI667" s="654"/>
      <c r="GJ667" s="655"/>
      <c r="GK667" s="4"/>
      <c r="GL667" s="4"/>
      <c r="GM667" s="4"/>
      <c r="GN667" s="4"/>
      <c r="GO667" s="4"/>
      <c r="GP667" s="4"/>
      <c r="GQ667" s="4"/>
      <c r="GR667" s="4"/>
      <c r="GS667" s="4"/>
      <c r="GT667" s="4"/>
      <c r="GU667" s="722"/>
      <c r="GV667" s="715"/>
    </row>
    <row r="668" spans="1:204" x14ac:dyDescent="0.25">
      <c r="A668" t="s">
        <v>2354</v>
      </c>
      <c r="B668" s="2" t="s">
        <v>358</v>
      </c>
      <c r="C668" s="619">
        <v>44827</v>
      </c>
      <c r="D668" s="2" t="s">
        <v>2349</v>
      </c>
      <c r="E668" t="s">
        <v>59</v>
      </c>
      <c r="F668" s="2" t="s">
        <v>2473</v>
      </c>
      <c r="G668" t="s">
        <v>40</v>
      </c>
      <c r="H668" s="690" t="s">
        <v>85</v>
      </c>
      <c r="I668" s="691" t="s">
        <v>2473</v>
      </c>
      <c r="J668" s="721" t="s">
        <v>2146</v>
      </c>
      <c r="K668" s="691" t="s">
        <v>2351</v>
      </c>
      <c r="L668" s="721" t="s">
        <v>2352</v>
      </c>
      <c r="M668" s="718" t="s">
        <v>3</v>
      </c>
      <c r="N668" s="717" t="s">
        <v>44</v>
      </c>
      <c r="O668" s="719">
        <v>44927</v>
      </c>
      <c r="P668" s="720">
        <v>44957</v>
      </c>
      <c r="Q668" s="718">
        <v>90</v>
      </c>
      <c r="R668" s="717">
        <v>5</v>
      </c>
      <c r="S668" s="691" t="s">
        <v>54</v>
      </c>
      <c r="T668" t="s">
        <v>649</v>
      </c>
      <c r="U668" s="673">
        <v>44827</v>
      </c>
      <c r="V668" s="690">
        <v>1</v>
      </c>
      <c r="W668" s="657" t="s">
        <v>214</v>
      </c>
      <c r="X668" s="723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654"/>
      <c r="AJ668" s="655">
        <v>5</v>
      </c>
      <c r="AK668" s="4"/>
      <c r="AL668" s="4"/>
      <c r="AM668" s="4"/>
      <c r="AN668" s="4"/>
      <c r="AO668" s="4"/>
      <c r="AP668" s="4"/>
      <c r="AQ668" s="4"/>
      <c r="AR668" s="4"/>
      <c r="AS668" s="4"/>
      <c r="AT668" s="4"/>
      <c r="AU668" s="654"/>
      <c r="AV668" s="655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654"/>
      <c r="BH668" s="655"/>
      <c r="BI668" s="4"/>
      <c r="BJ668" s="4"/>
      <c r="BK668" s="4"/>
      <c r="BL668" s="4"/>
      <c r="BM668" s="4"/>
      <c r="BN668" s="4"/>
      <c r="BO668" s="4"/>
      <c r="BP668" s="4"/>
      <c r="BQ668" s="4"/>
      <c r="BR668" s="4"/>
      <c r="BS668" s="654"/>
      <c r="BT668" s="655"/>
      <c r="BU668" s="4"/>
      <c r="BV668" s="4"/>
      <c r="BW668" s="4"/>
      <c r="BX668" s="4"/>
      <c r="BY668" s="4"/>
      <c r="BZ668" s="4"/>
      <c r="CA668" s="4"/>
      <c r="CB668" s="4"/>
      <c r="CC668" s="4"/>
      <c r="CD668" s="4"/>
      <c r="CE668" s="693"/>
      <c r="CF668" s="723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654"/>
      <c r="CR668" s="655">
        <v>91.07359457375091</v>
      </c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654"/>
      <c r="DD668" s="655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654"/>
      <c r="DP668" s="655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654"/>
      <c r="EB668" s="655"/>
      <c r="EC668" s="4"/>
      <c r="ED668" s="4"/>
      <c r="EE668" s="4"/>
      <c r="EF668" s="4"/>
      <c r="EG668" s="4"/>
      <c r="EH668" s="4"/>
      <c r="EI668" s="4"/>
      <c r="EJ668" s="4"/>
      <c r="EK668" s="4"/>
      <c r="EL668" s="4"/>
      <c r="EM668" s="693"/>
      <c r="EN668" s="723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654"/>
      <c r="EZ668" s="655">
        <v>91.07359457375091</v>
      </c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654"/>
      <c r="FL668" s="655"/>
      <c r="FM668" s="4"/>
      <c r="FN668" s="4"/>
      <c r="FO668" s="4"/>
      <c r="FP668" s="4"/>
      <c r="FQ668" s="4"/>
      <c r="FR668" s="4"/>
      <c r="FS668" s="4"/>
      <c r="FT668" s="4"/>
      <c r="FU668" s="4"/>
      <c r="FV668" s="4"/>
      <c r="FW668" s="654"/>
      <c r="FX668" s="655"/>
      <c r="FY668" s="4"/>
      <c r="FZ668" s="4"/>
      <c r="GA668" s="4"/>
      <c r="GB668" s="4"/>
      <c r="GC668" s="4"/>
      <c r="GD668" s="4"/>
      <c r="GE668" s="4"/>
      <c r="GF668" s="4"/>
      <c r="GG668" s="4"/>
      <c r="GH668" s="4"/>
      <c r="GI668" s="654"/>
      <c r="GJ668" s="655"/>
      <c r="GK668" s="4"/>
      <c r="GL668" s="4"/>
      <c r="GM668" s="4"/>
      <c r="GN668" s="4"/>
      <c r="GO668" s="4"/>
      <c r="GP668" s="4"/>
      <c r="GQ668" s="4"/>
      <c r="GR668" s="4"/>
      <c r="GS668" s="4"/>
      <c r="GT668" s="4"/>
      <c r="GU668" s="722"/>
      <c r="GV668" s="715"/>
    </row>
    <row r="669" spans="1:204" x14ac:dyDescent="0.25">
      <c r="A669" t="s">
        <v>2355</v>
      </c>
      <c r="B669" s="2" t="s">
        <v>358</v>
      </c>
      <c r="C669" s="619">
        <v>44827</v>
      </c>
      <c r="D669" s="2" t="s">
        <v>2350</v>
      </c>
      <c r="E669" t="s">
        <v>59</v>
      </c>
      <c r="F669" s="2" t="s">
        <v>2473</v>
      </c>
      <c r="G669" t="s">
        <v>40</v>
      </c>
      <c r="H669" s="690" t="s">
        <v>85</v>
      </c>
      <c r="I669" s="691" t="s">
        <v>2473</v>
      </c>
      <c r="J669" s="721" t="s">
        <v>2146</v>
      </c>
      <c r="K669" s="691" t="s">
        <v>478</v>
      </c>
      <c r="L669" s="721" t="s">
        <v>2174</v>
      </c>
      <c r="M669" s="718" t="s">
        <v>3</v>
      </c>
      <c r="N669" s="717" t="s">
        <v>44</v>
      </c>
      <c r="O669" s="719">
        <v>45017</v>
      </c>
      <c r="P669" s="720">
        <v>45107</v>
      </c>
      <c r="Q669" s="718">
        <v>94.5</v>
      </c>
      <c r="R669" s="717">
        <v>3</v>
      </c>
      <c r="S669" s="691" t="s">
        <v>54</v>
      </c>
      <c r="T669" t="s">
        <v>649</v>
      </c>
      <c r="U669" s="673">
        <v>44827</v>
      </c>
      <c r="V669" s="690">
        <v>4</v>
      </c>
      <c r="W669" s="657" t="s">
        <v>214</v>
      </c>
      <c r="X669" s="723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654"/>
      <c r="AJ669" s="655"/>
      <c r="AK669" s="4"/>
      <c r="AL669" s="4"/>
      <c r="AM669" s="4">
        <v>3</v>
      </c>
      <c r="AN669" s="4">
        <v>3</v>
      </c>
      <c r="AO669" s="4">
        <v>3</v>
      </c>
      <c r="AP669" s="4"/>
      <c r="AQ669" s="4"/>
      <c r="AR669" s="4"/>
      <c r="AS669" s="4"/>
      <c r="AT669" s="4"/>
      <c r="AU669" s="654"/>
      <c r="AV669" s="655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654"/>
      <c r="BH669" s="655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654"/>
      <c r="BT669" s="655"/>
      <c r="BU669" s="4"/>
      <c r="BV669" s="4"/>
      <c r="BW669" s="4"/>
      <c r="BX669" s="4"/>
      <c r="BY669" s="4"/>
      <c r="BZ669" s="4"/>
      <c r="CA669" s="4"/>
      <c r="CB669" s="4"/>
      <c r="CC669" s="4"/>
      <c r="CD669" s="4"/>
      <c r="CE669" s="693"/>
      <c r="CF669" s="723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654"/>
      <c r="CR669" s="655"/>
      <c r="CS669" s="4"/>
      <c r="CT669" s="4"/>
      <c r="CU669" s="4">
        <v>95.627274302438451</v>
      </c>
      <c r="CV669" s="4">
        <v>95.627274302438451</v>
      </c>
      <c r="CW669" s="4">
        <v>95.627274302438451</v>
      </c>
      <c r="CX669" s="4"/>
      <c r="CY669" s="4"/>
      <c r="CZ669" s="4"/>
      <c r="DA669" s="4"/>
      <c r="DB669" s="4"/>
      <c r="DC669" s="654"/>
      <c r="DD669" s="655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654"/>
      <c r="DP669" s="655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654"/>
      <c r="EB669" s="655"/>
      <c r="EC669" s="4"/>
      <c r="ED669" s="4"/>
      <c r="EE669" s="4"/>
      <c r="EF669" s="4"/>
      <c r="EG669" s="4"/>
      <c r="EH669" s="4"/>
      <c r="EI669" s="4"/>
      <c r="EJ669" s="4"/>
      <c r="EK669" s="4"/>
      <c r="EL669" s="4"/>
      <c r="EM669" s="693"/>
      <c r="EN669" s="723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654"/>
      <c r="EZ669" s="655"/>
      <c r="FA669" s="4"/>
      <c r="FB669" s="4"/>
      <c r="FC669" s="4">
        <v>95.627274302438451</v>
      </c>
      <c r="FD669" s="4">
        <v>95.627274302438451</v>
      </c>
      <c r="FE669" s="4">
        <v>95.627274302438451</v>
      </c>
      <c r="FF669" s="4"/>
      <c r="FG669" s="4"/>
      <c r="FH669" s="4"/>
      <c r="FI669" s="4"/>
      <c r="FJ669" s="4"/>
      <c r="FK669" s="654"/>
      <c r="FL669" s="655"/>
      <c r="FM669" s="4"/>
      <c r="FN669" s="4"/>
      <c r="FO669" s="4"/>
      <c r="FP669" s="4"/>
      <c r="FQ669" s="4"/>
      <c r="FR669" s="4"/>
      <c r="FS669" s="4"/>
      <c r="FT669" s="4"/>
      <c r="FU669" s="4"/>
      <c r="FV669" s="4"/>
      <c r="FW669" s="654"/>
      <c r="FX669" s="655"/>
      <c r="FY669" s="4"/>
      <c r="FZ669" s="4"/>
      <c r="GA669" s="4"/>
      <c r="GB669" s="4"/>
      <c r="GC669" s="4"/>
      <c r="GD669" s="4"/>
      <c r="GE669" s="4"/>
      <c r="GF669" s="4"/>
      <c r="GG669" s="4"/>
      <c r="GH669" s="4"/>
      <c r="GI669" s="654"/>
      <c r="GJ669" s="655"/>
      <c r="GK669" s="4"/>
      <c r="GL669" s="4"/>
      <c r="GM669" s="4"/>
      <c r="GN669" s="4"/>
      <c r="GO669" s="4"/>
      <c r="GP669" s="4"/>
      <c r="GQ669" s="4"/>
      <c r="GR669" s="4"/>
      <c r="GS669" s="4"/>
      <c r="GT669" s="4"/>
      <c r="GU669" s="722"/>
      <c r="GV669" s="715"/>
    </row>
    <row r="670" spans="1:204" x14ac:dyDescent="0.25">
      <c r="A670" t="s">
        <v>2357</v>
      </c>
      <c r="B670" s="2" t="s">
        <v>358</v>
      </c>
      <c r="C670" s="619">
        <v>44833</v>
      </c>
      <c r="D670" s="2" t="s">
        <v>2356</v>
      </c>
      <c r="E670" t="s">
        <v>59</v>
      </c>
      <c r="F670" s="2" t="s">
        <v>2473</v>
      </c>
      <c r="G670" t="s">
        <v>40</v>
      </c>
      <c r="H670" s="690" t="s">
        <v>85</v>
      </c>
      <c r="I670" s="691" t="s">
        <v>2473</v>
      </c>
      <c r="J670" s="721" t="s">
        <v>2146</v>
      </c>
      <c r="K670" s="691" t="s">
        <v>1195</v>
      </c>
      <c r="L670" s="721" t="s">
        <v>2220</v>
      </c>
      <c r="M670" s="718" t="s">
        <v>3</v>
      </c>
      <c r="N670" s="717" t="s">
        <v>44</v>
      </c>
      <c r="O670" s="719">
        <v>44896</v>
      </c>
      <c r="P670" s="720">
        <v>44926</v>
      </c>
      <c r="Q670" s="718">
        <v>62</v>
      </c>
      <c r="R670" s="717">
        <v>5</v>
      </c>
      <c r="S670" s="691" t="s">
        <v>54</v>
      </c>
      <c r="T670" t="s">
        <v>358</v>
      </c>
      <c r="U670" s="673" t="s">
        <v>358</v>
      </c>
      <c r="V670" s="690" t="s">
        <v>358</v>
      </c>
      <c r="W670" s="657" t="s">
        <v>214</v>
      </c>
      <c r="X670" s="723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654">
        <v>5</v>
      </c>
      <c r="AJ670" s="655"/>
      <c r="AK670" s="4"/>
      <c r="AL670" s="4"/>
      <c r="AM670" s="4"/>
      <c r="AN670" s="4"/>
      <c r="AO670" s="4"/>
      <c r="AP670" s="4"/>
      <c r="AQ670" s="4"/>
      <c r="AR670" s="4"/>
      <c r="AS670" s="4"/>
      <c r="AT670" s="4"/>
      <c r="AU670" s="654"/>
      <c r="AV670" s="655"/>
      <c r="AW670" s="4"/>
      <c r="AX670" s="4"/>
      <c r="AY670" s="4"/>
      <c r="AZ670" s="4"/>
      <c r="BA670" s="4"/>
      <c r="BB670" s="4"/>
      <c r="BC670" s="4"/>
      <c r="BD670" s="4"/>
      <c r="BE670" s="4"/>
      <c r="BF670" s="4"/>
      <c r="BG670" s="654"/>
      <c r="BH670" s="655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654"/>
      <c r="BT670" s="655"/>
      <c r="BU670" s="4"/>
      <c r="BV670" s="4"/>
      <c r="BW670" s="4"/>
      <c r="BX670" s="4"/>
      <c r="BY670" s="4"/>
      <c r="BZ670" s="4"/>
      <c r="CA670" s="4"/>
      <c r="CB670" s="4"/>
      <c r="CC670" s="4"/>
      <c r="CD670" s="4"/>
      <c r="CE670" s="693"/>
      <c r="CF670" s="723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654">
        <v>62</v>
      </c>
      <c r="CR670" s="655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654"/>
      <c r="DD670" s="655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654"/>
      <c r="DP670" s="655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654"/>
      <c r="EB670" s="655"/>
      <c r="EC670" s="4"/>
      <c r="ED670" s="4"/>
      <c r="EE670" s="4"/>
      <c r="EF670" s="4"/>
      <c r="EG670" s="4"/>
      <c r="EH670" s="4"/>
      <c r="EI670" s="4"/>
      <c r="EJ670" s="4"/>
      <c r="EK670" s="4"/>
      <c r="EL670" s="4"/>
      <c r="EM670" s="693"/>
      <c r="EN670" s="723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654">
        <v>62</v>
      </c>
      <c r="EZ670" s="655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654"/>
      <c r="FL670" s="655"/>
      <c r="FM670" s="4"/>
      <c r="FN670" s="4"/>
      <c r="FO670" s="4"/>
      <c r="FP670" s="4"/>
      <c r="FQ670" s="4"/>
      <c r="FR670" s="4"/>
      <c r="FS670" s="4"/>
      <c r="FT670" s="4"/>
      <c r="FU670" s="4"/>
      <c r="FV670" s="4"/>
      <c r="FW670" s="654"/>
      <c r="FX670" s="655"/>
      <c r="FY670" s="4"/>
      <c r="FZ670" s="4"/>
      <c r="GA670" s="4"/>
      <c r="GB670" s="4"/>
      <c r="GC670" s="4"/>
      <c r="GD670" s="4"/>
      <c r="GE670" s="4"/>
      <c r="GF670" s="4"/>
      <c r="GG670" s="4"/>
      <c r="GH670" s="4"/>
      <c r="GI670" s="654"/>
      <c r="GJ670" s="655"/>
      <c r="GK670" s="4"/>
      <c r="GL670" s="4"/>
      <c r="GM670" s="4"/>
      <c r="GN670" s="4"/>
      <c r="GO670" s="4"/>
      <c r="GP670" s="4"/>
      <c r="GQ670" s="4"/>
      <c r="GR670" s="4"/>
      <c r="GS670" s="4"/>
      <c r="GT670" s="4"/>
      <c r="GU670" s="722"/>
      <c r="GV670" s="715"/>
    </row>
    <row r="671" spans="1:204" x14ac:dyDescent="0.25">
      <c r="A671" t="s">
        <v>2359</v>
      </c>
      <c r="B671" s="2" t="s">
        <v>358</v>
      </c>
      <c r="C671" s="619">
        <v>44837</v>
      </c>
      <c r="D671" s="2" t="s">
        <v>2358</v>
      </c>
      <c r="E671" t="s">
        <v>58</v>
      </c>
      <c r="F671" s="2" t="s">
        <v>2473</v>
      </c>
      <c r="G671" t="s">
        <v>40</v>
      </c>
      <c r="H671" s="690" t="s">
        <v>84</v>
      </c>
      <c r="I671" s="691" t="s">
        <v>2267</v>
      </c>
      <c r="J671" s="721" t="s">
        <v>2268</v>
      </c>
      <c r="K671" s="691" t="s">
        <v>2473</v>
      </c>
      <c r="L671" s="721" t="s">
        <v>2146</v>
      </c>
      <c r="M671" s="718" t="s">
        <v>3</v>
      </c>
      <c r="N671" s="717" t="s">
        <v>44</v>
      </c>
      <c r="O671" s="719">
        <v>44805</v>
      </c>
      <c r="P671" s="720">
        <v>44834</v>
      </c>
      <c r="Q671" s="718">
        <v>-0.35</v>
      </c>
      <c r="R671" s="717">
        <v>1</v>
      </c>
      <c r="S671" s="691" t="s">
        <v>92</v>
      </c>
      <c r="T671" t="s">
        <v>358</v>
      </c>
      <c r="U671" s="673" t="s">
        <v>358</v>
      </c>
      <c r="V671" s="690" t="s">
        <v>358</v>
      </c>
      <c r="W671" s="657" t="s">
        <v>214</v>
      </c>
      <c r="X671" s="723"/>
      <c r="Y671" s="4"/>
      <c r="Z671" s="4"/>
      <c r="AA671" s="4"/>
      <c r="AB671" s="4"/>
      <c r="AC671" s="4"/>
      <c r="AD671" s="4"/>
      <c r="AE671" s="4"/>
      <c r="AF671" s="4">
        <v>1</v>
      </c>
      <c r="AG671" s="4"/>
      <c r="AH671" s="4"/>
      <c r="AI671" s="654"/>
      <c r="AJ671" s="655"/>
      <c r="AK671" s="4"/>
      <c r="AL671" s="4"/>
      <c r="AM671" s="4"/>
      <c r="AN671" s="4"/>
      <c r="AO671" s="4"/>
      <c r="AP671" s="4"/>
      <c r="AQ671" s="4"/>
      <c r="AR671" s="4"/>
      <c r="AS671" s="4"/>
      <c r="AT671" s="4"/>
      <c r="AU671" s="654"/>
      <c r="AV671" s="655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654"/>
      <c r="BH671" s="655"/>
      <c r="BI671" s="4"/>
      <c r="BJ671" s="4"/>
      <c r="BK671" s="4"/>
      <c r="BL671" s="4"/>
      <c r="BM671" s="4"/>
      <c r="BN671" s="4"/>
      <c r="BO671" s="4"/>
      <c r="BP671" s="4"/>
      <c r="BQ671" s="4"/>
      <c r="BR671" s="4"/>
      <c r="BS671" s="654"/>
      <c r="BT671" s="655"/>
      <c r="BU671" s="4"/>
      <c r="BV671" s="4"/>
      <c r="BW671" s="4"/>
      <c r="BX671" s="4"/>
      <c r="BY671" s="4"/>
      <c r="BZ671" s="4"/>
      <c r="CA671" s="4"/>
      <c r="CB671" s="4"/>
      <c r="CC671" s="4"/>
      <c r="CD671" s="4"/>
      <c r="CE671" s="693"/>
      <c r="CF671" s="723"/>
      <c r="CG671" s="4"/>
      <c r="CH671" s="4"/>
      <c r="CI671" s="4"/>
      <c r="CJ671" s="4"/>
      <c r="CK671" s="4"/>
      <c r="CL671" s="4"/>
      <c r="CM671" s="4"/>
      <c r="CN671" s="4">
        <v>-0.35</v>
      </c>
      <c r="CO671" s="4"/>
      <c r="CP671" s="4"/>
      <c r="CQ671" s="654"/>
      <c r="CR671" s="655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654"/>
      <c r="DD671" s="655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654"/>
      <c r="DP671" s="655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654"/>
      <c r="EB671" s="655"/>
      <c r="EC671" s="4"/>
      <c r="ED671" s="4"/>
      <c r="EE671" s="4"/>
      <c r="EF671" s="4"/>
      <c r="EG671" s="4"/>
      <c r="EH671" s="4"/>
      <c r="EI671" s="4"/>
      <c r="EJ671" s="4"/>
      <c r="EK671" s="4"/>
      <c r="EL671" s="4"/>
      <c r="EM671" s="693"/>
      <c r="EN671" s="723"/>
      <c r="EO671" s="4"/>
      <c r="EP671" s="4"/>
      <c r="EQ671" s="4"/>
      <c r="ER671" s="4"/>
      <c r="ES671" s="4"/>
      <c r="ET671" s="4"/>
      <c r="EU671" s="4"/>
      <c r="EV671" s="4">
        <v>55.73</v>
      </c>
      <c r="EW671" s="4"/>
      <c r="EX671" s="4"/>
      <c r="EY671" s="654"/>
      <c r="EZ671" s="655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654"/>
      <c r="FL671" s="655"/>
      <c r="FM671" s="4"/>
      <c r="FN671" s="4"/>
      <c r="FO671" s="4"/>
      <c r="FP671" s="4"/>
      <c r="FQ671" s="4"/>
      <c r="FR671" s="4"/>
      <c r="FS671" s="4"/>
      <c r="FT671" s="4"/>
      <c r="FU671" s="4"/>
      <c r="FV671" s="4"/>
      <c r="FW671" s="654"/>
      <c r="FX671" s="655"/>
      <c r="FY671" s="4"/>
      <c r="FZ671" s="4"/>
      <c r="GA671" s="4"/>
      <c r="GB671" s="4"/>
      <c r="GC671" s="4"/>
      <c r="GD671" s="4"/>
      <c r="GE671" s="4"/>
      <c r="GF671" s="4"/>
      <c r="GG671" s="4"/>
      <c r="GH671" s="4"/>
      <c r="GI671" s="654"/>
      <c r="GJ671" s="655"/>
      <c r="GK671" s="4"/>
      <c r="GL671" s="4"/>
      <c r="GM671" s="4"/>
      <c r="GN671" s="4"/>
      <c r="GO671" s="4"/>
      <c r="GP671" s="4"/>
      <c r="GQ671" s="4"/>
      <c r="GR671" s="4"/>
      <c r="GS671" s="4"/>
      <c r="GT671" s="4"/>
      <c r="GU671" s="722"/>
      <c r="GV671" s="715"/>
    </row>
    <row r="672" spans="1:204" x14ac:dyDescent="0.25">
      <c r="A672" t="s">
        <v>2362</v>
      </c>
      <c r="B672" s="2" t="s">
        <v>358</v>
      </c>
      <c r="C672" s="619">
        <v>44838</v>
      </c>
      <c r="D672" s="2" t="s">
        <v>2360</v>
      </c>
      <c r="E672" t="s">
        <v>58</v>
      </c>
      <c r="F672" s="2" t="s">
        <v>2473</v>
      </c>
      <c r="G672" t="s">
        <v>40</v>
      </c>
      <c r="H672" s="690" t="s">
        <v>84</v>
      </c>
      <c r="I672" s="691" t="s">
        <v>464</v>
      </c>
      <c r="J672" s="721" t="s">
        <v>2361</v>
      </c>
      <c r="K672" s="691" t="s">
        <v>2473</v>
      </c>
      <c r="L672" s="721" t="s">
        <v>2146</v>
      </c>
      <c r="M672" s="718" t="s">
        <v>3</v>
      </c>
      <c r="N672" s="717" t="s">
        <v>44</v>
      </c>
      <c r="O672" s="719">
        <v>44805</v>
      </c>
      <c r="P672" s="720">
        <v>44834</v>
      </c>
      <c r="Q672" s="718">
        <v>-0.1</v>
      </c>
      <c r="R672" s="717">
        <v>5</v>
      </c>
      <c r="S672" s="691" t="s">
        <v>92</v>
      </c>
      <c r="T672" t="s">
        <v>358</v>
      </c>
      <c r="U672" s="673" t="s">
        <v>358</v>
      </c>
      <c r="V672" s="690" t="s">
        <v>358</v>
      </c>
      <c r="W672" s="657" t="s">
        <v>214</v>
      </c>
      <c r="X672" s="723"/>
      <c r="Y672" s="4"/>
      <c r="Z672" s="4"/>
      <c r="AA672" s="4"/>
      <c r="AB672" s="4"/>
      <c r="AC672" s="4"/>
      <c r="AD672" s="4"/>
      <c r="AE672" s="4"/>
      <c r="AF672" s="4">
        <v>5</v>
      </c>
      <c r="AG672" s="4"/>
      <c r="AH672" s="4"/>
      <c r="AI672" s="654"/>
      <c r="AJ672" s="655"/>
      <c r="AK672" s="4"/>
      <c r="AL672" s="4"/>
      <c r="AM672" s="4"/>
      <c r="AN672" s="4"/>
      <c r="AO672" s="4"/>
      <c r="AP672" s="4"/>
      <c r="AQ672" s="4"/>
      <c r="AR672" s="4"/>
      <c r="AS672" s="4"/>
      <c r="AT672" s="4"/>
      <c r="AU672" s="654"/>
      <c r="AV672" s="655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654"/>
      <c r="BH672" s="655"/>
      <c r="BI672" s="4"/>
      <c r="BJ672" s="4"/>
      <c r="BK672" s="4"/>
      <c r="BL672" s="4"/>
      <c r="BM672" s="4"/>
      <c r="BN672" s="4"/>
      <c r="BO672" s="4"/>
      <c r="BP672" s="4"/>
      <c r="BQ672" s="4"/>
      <c r="BR672" s="4"/>
      <c r="BS672" s="654"/>
      <c r="BT672" s="655"/>
      <c r="BU672" s="4"/>
      <c r="BV672" s="4"/>
      <c r="BW672" s="4"/>
      <c r="BX672" s="4"/>
      <c r="BY672" s="4"/>
      <c r="BZ672" s="4"/>
      <c r="CA672" s="4"/>
      <c r="CB672" s="4"/>
      <c r="CC672" s="4"/>
      <c r="CD672" s="4"/>
      <c r="CE672" s="693"/>
      <c r="CF672" s="723"/>
      <c r="CG672" s="4"/>
      <c r="CH672" s="4"/>
      <c r="CI672" s="4"/>
      <c r="CJ672" s="4"/>
      <c r="CK672" s="4"/>
      <c r="CL672" s="4"/>
      <c r="CM672" s="4"/>
      <c r="CN672" s="4">
        <v>-0.1</v>
      </c>
      <c r="CO672" s="4"/>
      <c r="CP672" s="4"/>
      <c r="CQ672" s="654"/>
      <c r="CR672" s="655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654"/>
      <c r="DD672" s="655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654"/>
      <c r="DP672" s="655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654"/>
      <c r="EB672" s="655"/>
      <c r="EC672" s="4"/>
      <c r="ED672" s="4"/>
      <c r="EE672" s="4"/>
      <c r="EF672" s="4"/>
      <c r="EG672" s="4"/>
      <c r="EH672" s="4"/>
      <c r="EI672" s="4"/>
      <c r="EJ672" s="4"/>
      <c r="EK672" s="4"/>
      <c r="EL672" s="4"/>
      <c r="EM672" s="693"/>
      <c r="EN672" s="723"/>
      <c r="EO672" s="4"/>
      <c r="EP672" s="4"/>
      <c r="EQ672" s="4"/>
      <c r="ER672" s="4"/>
      <c r="ES672" s="4"/>
      <c r="ET672" s="4"/>
      <c r="EU672" s="4"/>
      <c r="EV672" s="4">
        <v>55.98</v>
      </c>
      <c r="EW672" s="4"/>
      <c r="EX672" s="4"/>
      <c r="EY672" s="654"/>
      <c r="EZ672" s="655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654"/>
      <c r="FL672" s="655"/>
      <c r="FM672" s="4"/>
      <c r="FN672" s="4"/>
      <c r="FO672" s="4"/>
      <c r="FP672" s="4"/>
      <c r="FQ672" s="4"/>
      <c r="FR672" s="4"/>
      <c r="FS672" s="4"/>
      <c r="FT672" s="4"/>
      <c r="FU672" s="4"/>
      <c r="FV672" s="4"/>
      <c r="FW672" s="654"/>
      <c r="FX672" s="655"/>
      <c r="FY672" s="4"/>
      <c r="FZ672" s="4"/>
      <c r="GA672" s="4"/>
      <c r="GB672" s="4"/>
      <c r="GC672" s="4"/>
      <c r="GD672" s="4"/>
      <c r="GE672" s="4"/>
      <c r="GF672" s="4"/>
      <c r="GG672" s="4"/>
      <c r="GH672" s="4"/>
      <c r="GI672" s="654"/>
      <c r="GJ672" s="655"/>
      <c r="GK672" s="4"/>
      <c r="GL672" s="4"/>
      <c r="GM672" s="4"/>
      <c r="GN672" s="4"/>
      <c r="GO672" s="4"/>
      <c r="GP672" s="4"/>
      <c r="GQ672" s="4"/>
      <c r="GR672" s="4"/>
      <c r="GS672" s="4"/>
      <c r="GT672" s="4"/>
      <c r="GU672" s="722"/>
      <c r="GV672" s="715"/>
    </row>
    <row r="673" spans="1:204" x14ac:dyDescent="0.25">
      <c r="A673" t="s">
        <v>2372</v>
      </c>
      <c r="B673" s="2" t="s">
        <v>2371</v>
      </c>
      <c r="C673" s="619">
        <v>44840</v>
      </c>
      <c r="D673" s="2" t="s">
        <v>2363</v>
      </c>
      <c r="E673" t="s">
        <v>58</v>
      </c>
      <c r="F673" s="2" t="s">
        <v>2473</v>
      </c>
      <c r="G673" t="s">
        <v>40</v>
      </c>
      <c r="H673" s="690" t="s">
        <v>84</v>
      </c>
      <c r="I673" s="691" t="s">
        <v>876</v>
      </c>
      <c r="J673" s="721" t="s">
        <v>2368</v>
      </c>
      <c r="K673" s="691" t="s">
        <v>2473</v>
      </c>
      <c r="L673" s="721" t="s">
        <v>2146</v>
      </c>
      <c r="M673" s="718" t="s">
        <v>3</v>
      </c>
      <c r="N673" s="717" t="s">
        <v>44</v>
      </c>
      <c r="O673" s="719">
        <v>45017</v>
      </c>
      <c r="P673" s="720">
        <v>45107</v>
      </c>
      <c r="Q673" s="718">
        <v>75</v>
      </c>
      <c r="R673" s="717">
        <v>1.7</v>
      </c>
      <c r="S673" s="691" t="s">
        <v>54</v>
      </c>
      <c r="T673" t="s">
        <v>358</v>
      </c>
      <c r="U673" s="673" t="s">
        <v>358</v>
      </c>
      <c r="V673" s="690" t="s">
        <v>358</v>
      </c>
      <c r="W673" s="657" t="s">
        <v>329</v>
      </c>
      <c r="X673" s="723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654"/>
      <c r="AJ673" s="655"/>
      <c r="AK673" s="4"/>
      <c r="AL673" s="4"/>
      <c r="AM673" s="4">
        <v>1.7</v>
      </c>
      <c r="AN673" s="4">
        <v>1.7</v>
      </c>
      <c r="AO673" s="4">
        <v>1.7</v>
      </c>
      <c r="AP673" s="4"/>
      <c r="AQ673" s="4"/>
      <c r="AR673" s="4"/>
      <c r="AS673" s="4"/>
      <c r="AT673" s="4"/>
      <c r="AU673" s="654"/>
      <c r="AV673" s="655"/>
      <c r="AW673" s="4"/>
      <c r="AX673" s="4"/>
      <c r="AY673" s="4"/>
      <c r="AZ673" s="4"/>
      <c r="BA673" s="4"/>
      <c r="BB673" s="4"/>
      <c r="BC673" s="4"/>
      <c r="BD673" s="4"/>
      <c r="BE673" s="4"/>
      <c r="BF673" s="4"/>
      <c r="BG673" s="654"/>
      <c r="BH673" s="655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654"/>
      <c r="BT673" s="655"/>
      <c r="BU673" s="4"/>
      <c r="BV673" s="4"/>
      <c r="BW673" s="4"/>
      <c r="BX673" s="4"/>
      <c r="BY673" s="4"/>
      <c r="BZ673" s="4"/>
      <c r="CA673" s="4"/>
      <c r="CB673" s="4"/>
      <c r="CC673" s="4"/>
      <c r="CD673" s="4"/>
      <c r="CE673" s="693"/>
      <c r="CF673" s="723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654"/>
      <c r="CR673" s="655"/>
      <c r="CS673" s="4"/>
      <c r="CT673" s="4"/>
      <c r="CU673" s="4">
        <v>75</v>
      </c>
      <c r="CV673" s="4">
        <v>75</v>
      </c>
      <c r="CW673" s="4">
        <v>75</v>
      </c>
      <c r="CX673" s="4"/>
      <c r="CY673" s="4"/>
      <c r="CZ673" s="4"/>
      <c r="DA673" s="4"/>
      <c r="DB673" s="4"/>
      <c r="DC673" s="654"/>
      <c r="DD673" s="655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654"/>
      <c r="DP673" s="655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654"/>
      <c r="EB673" s="655"/>
      <c r="EC673" s="4"/>
      <c r="ED673" s="4"/>
      <c r="EE673" s="4"/>
      <c r="EF673" s="4"/>
      <c r="EG673" s="4"/>
      <c r="EH673" s="4"/>
      <c r="EI673" s="4"/>
      <c r="EJ673" s="4"/>
      <c r="EK673" s="4"/>
      <c r="EL673" s="4"/>
      <c r="EM673" s="693"/>
      <c r="EN673" s="723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654"/>
      <c r="EZ673" s="655"/>
      <c r="FA673" s="4"/>
      <c r="FB673" s="4"/>
      <c r="FC673" s="4">
        <v>75</v>
      </c>
      <c r="FD673" s="4">
        <v>75</v>
      </c>
      <c r="FE673" s="4">
        <v>75</v>
      </c>
      <c r="FF673" s="4"/>
      <c r="FG673" s="4"/>
      <c r="FH673" s="4"/>
      <c r="FI673" s="4"/>
      <c r="FJ673" s="4"/>
      <c r="FK673" s="654"/>
      <c r="FL673" s="655"/>
      <c r="FM673" s="4"/>
      <c r="FN673" s="4"/>
      <c r="FO673" s="4"/>
      <c r="FP673" s="4"/>
      <c r="FQ673" s="4"/>
      <c r="FR673" s="4"/>
      <c r="FS673" s="4"/>
      <c r="FT673" s="4"/>
      <c r="FU673" s="4"/>
      <c r="FV673" s="4"/>
      <c r="FW673" s="654"/>
      <c r="FX673" s="655"/>
      <c r="FY673" s="4"/>
      <c r="FZ673" s="4"/>
      <c r="GA673" s="4"/>
      <c r="GB673" s="4"/>
      <c r="GC673" s="4"/>
      <c r="GD673" s="4"/>
      <c r="GE673" s="4"/>
      <c r="GF673" s="4"/>
      <c r="GG673" s="4"/>
      <c r="GH673" s="4"/>
      <c r="GI673" s="654"/>
      <c r="GJ673" s="655"/>
      <c r="GK673" s="4"/>
      <c r="GL673" s="4"/>
      <c r="GM673" s="4"/>
      <c r="GN673" s="4"/>
      <c r="GO673" s="4"/>
      <c r="GP673" s="4"/>
      <c r="GQ673" s="4"/>
      <c r="GR673" s="4"/>
      <c r="GS673" s="4"/>
      <c r="GT673" s="4"/>
      <c r="GU673" s="722"/>
      <c r="GV673" s="715"/>
    </row>
    <row r="674" spans="1:204" x14ac:dyDescent="0.25">
      <c r="A674" t="s">
        <v>2374</v>
      </c>
      <c r="B674" s="2" t="s">
        <v>2373</v>
      </c>
      <c r="C674" s="619">
        <v>44840</v>
      </c>
      <c r="D674" s="2" t="s">
        <v>2364</v>
      </c>
      <c r="E674" t="s">
        <v>58</v>
      </c>
      <c r="F674" s="2" t="s">
        <v>2473</v>
      </c>
      <c r="G674" t="s">
        <v>40</v>
      </c>
      <c r="H674" s="690" t="s">
        <v>84</v>
      </c>
      <c r="I674" s="691" t="s">
        <v>2369</v>
      </c>
      <c r="J674" s="721" t="s">
        <v>2370</v>
      </c>
      <c r="K674" s="691" t="s">
        <v>2473</v>
      </c>
      <c r="L674" s="721" t="s">
        <v>2146</v>
      </c>
      <c r="M674" s="718" t="s">
        <v>3</v>
      </c>
      <c r="N674" s="717" t="s">
        <v>44</v>
      </c>
      <c r="O674" s="719">
        <v>44927</v>
      </c>
      <c r="P674" s="720">
        <v>45016</v>
      </c>
      <c r="Q674" s="718">
        <v>74</v>
      </c>
      <c r="R674" s="717">
        <v>5</v>
      </c>
      <c r="S674" s="691" t="s">
        <v>54</v>
      </c>
      <c r="T674" t="s">
        <v>358</v>
      </c>
      <c r="U674" s="673" t="s">
        <v>358</v>
      </c>
      <c r="V674" s="690" t="s">
        <v>358</v>
      </c>
      <c r="W674" s="657" t="s">
        <v>329</v>
      </c>
      <c r="X674" s="723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654"/>
      <c r="AJ674" s="655">
        <v>5</v>
      </c>
      <c r="AK674" s="4">
        <v>5</v>
      </c>
      <c r="AL674" s="4">
        <v>5</v>
      </c>
      <c r="AM674" s="4"/>
      <c r="AN674" s="4"/>
      <c r="AO674" s="4"/>
      <c r="AP674" s="4"/>
      <c r="AQ674" s="4"/>
      <c r="AR674" s="4"/>
      <c r="AS674" s="4"/>
      <c r="AT674" s="4"/>
      <c r="AU674" s="654"/>
      <c r="AV674" s="655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654"/>
      <c r="BH674" s="655"/>
      <c r="BI674" s="4"/>
      <c r="BJ674" s="4"/>
      <c r="BK674" s="4"/>
      <c r="BL674" s="4"/>
      <c r="BM674" s="4"/>
      <c r="BN674" s="4"/>
      <c r="BO674" s="4"/>
      <c r="BP674" s="4"/>
      <c r="BQ674" s="4"/>
      <c r="BR674" s="4"/>
      <c r="BS674" s="654"/>
      <c r="BT674" s="655"/>
      <c r="BU674" s="4"/>
      <c r="BV674" s="4"/>
      <c r="BW674" s="4"/>
      <c r="BX674" s="4"/>
      <c r="BY674" s="4"/>
      <c r="BZ674" s="4"/>
      <c r="CA674" s="4"/>
      <c r="CB674" s="4"/>
      <c r="CC674" s="4"/>
      <c r="CD674" s="4"/>
      <c r="CE674" s="693"/>
      <c r="CF674" s="723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654"/>
      <c r="CR674" s="655">
        <v>74</v>
      </c>
      <c r="CS674" s="4">
        <v>74</v>
      </c>
      <c r="CT674" s="4">
        <v>74</v>
      </c>
      <c r="CU674" s="4"/>
      <c r="CV674" s="4"/>
      <c r="CW674" s="4"/>
      <c r="CX674" s="4"/>
      <c r="CY674" s="4"/>
      <c r="CZ674" s="4"/>
      <c r="DA674" s="4"/>
      <c r="DB674" s="4"/>
      <c r="DC674" s="654"/>
      <c r="DD674" s="655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654"/>
      <c r="DP674" s="655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654"/>
      <c r="EB674" s="655"/>
      <c r="EC674" s="4"/>
      <c r="ED674" s="4"/>
      <c r="EE674" s="4"/>
      <c r="EF674" s="4"/>
      <c r="EG674" s="4"/>
      <c r="EH674" s="4"/>
      <c r="EI674" s="4"/>
      <c r="EJ674" s="4"/>
      <c r="EK674" s="4"/>
      <c r="EL674" s="4"/>
      <c r="EM674" s="693"/>
      <c r="EN674" s="723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654"/>
      <c r="EZ674" s="655">
        <v>74</v>
      </c>
      <c r="FA674" s="4">
        <v>74</v>
      </c>
      <c r="FB674" s="4">
        <v>74</v>
      </c>
      <c r="FC674" s="4"/>
      <c r="FD674" s="4"/>
      <c r="FE674" s="4"/>
      <c r="FF674" s="4"/>
      <c r="FG674" s="4"/>
      <c r="FH674" s="4"/>
      <c r="FI674" s="4"/>
      <c r="FJ674" s="4"/>
      <c r="FK674" s="654"/>
      <c r="FL674" s="655"/>
      <c r="FM674" s="4"/>
      <c r="FN674" s="4"/>
      <c r="FO674" s="4"/>
      <c r="FP674" s="4"/>
      <c r="FQ674" s="4"/>
      <c r="FR674" s="4"/>
      <c r="FS674" s="4"/>
      <c r="FT674" s="4"/>
      <c r="FU674" s="4"/>
      <c r="FV674" s="4"/>
      <c r="FW674" s="654"/>
      <c r="FX674" s="655"/>
      <c r="FY674" s="4"/>
      <c r="FZ674" s="4"/>
      <c r="GA674" s="4"/>
      <c r="GB674" s="4"/>
      <c r="GC674" s="4"/>
      <c r="GD674" s="4"/>
      <c r="GE674" s="4"/>
      <c r="GF674" s="4"/>
      <c r="GG674" s="4"/>
      <c r="GH674" s="4"/>
      <c r="GI674" s="654"/>
      <c r="GJ674" s="655"/>
      <c r="GK674" s="4"/>
      <c r="GL674" s="4"/>
      <c r="GM674" s="4"/>
      <c r="GN674" s="4"/>
      <c r="GO674" s="4"/>
      <c r="GP674" s="4"/>
      <c r="GQ674" s="4"/>
      <c r="GR674" s="4"/>
      <c r="GS674" s="4"/>
      <c r="GT674" s="4"/>
      <c r="GU674" s="722"/>
      <c r="GV674" s="715"/>
    </row>
    <row r="675" spans="1:204" x14ac:dyDescent="0.25">
      <c r="A675" t="s">
        <v>2376</v>
      </c>
      <c r="B675" s="2" t="s">
        <v>2375</v>
      </c>
      <c r="C675" s="619">
        <v>44840</v>
      </c>
      <c r="D675" s="2" t="s">
        <v>2365</v>
      </c>
      <c r="E675" t="s">
        <v>58</v>
      </c>
      <c r="F675" s="2" t="s">
        <v>2473</v>
      </c>
      <c r="G675" t="s">
        <v>40</v>
      </c>
      <c r="H675" s="690" t="s">
        <v>84</v>
      </c>
      <c r="I675" s="691" t="s">
        <v>1917</v>
      </c>
      <c r="J675" s="721" t="s">
        <v>2246</v>
      </c>
      <c r="K675" s="691" t="s">
        <v>2473</v>
      </c>
      <c r="L675" s="721" t="s">
        <v>2146</v>
      </c>
      <c r="M675" s="718" t="s">
        <v>3</v>
      </c>
      <c r="N675" s="717" t="s">
        <v>44</v>
      </c>
      <c r="O675" s="719">
        <v>45017</v>
      </c>
      <c r="P675" s="720">
        <v>45107</v>
      </c>
      <c r="Q675" s="718">
        <v>75</v>
      </c>
      <c r="R675" s="717">
        <v>1</v>
      </c>
      <c r="S675" s="691" t="s">
        <v>54</v>
      </c>
      <c r="T675" t="s">
        <v>358</v>
      </c>
      <c r="U675" s="673" t="s">
        <v>358</v>
      </c>
      <c r="V675" s="690" t="s">
        <v>358</v>
      </c>
      <c r="W675" s="657" t="s">
        <v>329</v>
      </c>
      <c r="X675" s="723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654"/>
      <c r="AJ675" s="655"/>
      <c r="AK675" s="4"/>
      <c r="AL675" s="4"/>
      <c r="AM675" s="4">
        <v>1</v>
      </c>
      <c r="AN675" s="4">
        <v>1</v>
      </c>
      <c r="AO675" s="4">
        <v>1</v>
      </c>
      <c r="AP675" s="4"/>
      <c r="AQ675" s="4"/>
      <c r="AR675" s="4"/>
      <c r="AS675" s="4"/>
      <c r="AT675" s="4"/>
      <c r="AU675" s="654"/>
      <c r="AV675" s="655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654"/>
      <c r="BH675" s="655"/>
      <c r="BI675" s="4"/>
      <c r="BJ675" s="4"/>
      <c r="BK675" s="4"/>
      <c r="BL675" s="4"/>
      <c r="BM675" s="4"/>
      <c r="BN675" s="4"/>
      <c r="BO675" s="4"/>
      <c r="BP675" s="4"/>
      <c r="BQ675" s="4"/>
      <c r="BR675" s="4"/>
      <c r="BS675" s="654"/>
      <c r="BT675" s="655"/>
      <c r="BU675" s="4"/>
      <c r="BV675" s="4"/>
      <c r="BW675" s="4"/>
      <c r="BX675" s="4"/>
      <c r="BY675" s="4"/>
      <c r="BZ675" s="4"/>
      <c r="CA675" s="4"/>
      <c r="CB675" s="4"/>
      <c r="CC675" s="4"/>
      <c r="CD675" s="4"/>
      <c r="CE675" s="693"/>
      <c r="CF675" s="723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654"/>
      <c r="CR675" s="655"/>
      <c r="CS675" s="4"/>
      <c r="CT675" s="4"/>
      <c r="CU675" s="4">
        <v>75</v>
      </c>
      <c r="CV675" s="4">
        <v>75</v>
      </c>
      <c r="CW675" s="4">
        <v>75</v>
      </c>
      <c r="CX675" s="4"/>
      <c r="CY675" s="4"/>
      <c r="CZ675" s="4"/>
      <c r="DA675" s="4"/>
      <c r="DB675" s="4"/>
      <c r="DC675" s="654"/>
      <c r="DD675" s="655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654"/>
      <c r="DP675" s="655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654"/>
      <c r="EB675" s="655"/>
      <c r="EC675" s="4"/>
      <c r="ED675" s="4"/>
      <c r="EE675" s="4"/>
      <c r="EF675" s="4"/>
      <c r="EG675" s="4"/>
      <c r="EH675" s="4"/>
      <c r="EI675" s="4"/>
      <c r="EJ675" s="4"/>
      <c r="EK675" s="4"/>
      <c r="EL675" s="4"/>
      <c r="EM675" s="693"/>
      <c r="EN675" s="723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654"/>
      <c r="EZ675" s="655"/>
      <c r="FA675" s="4"/>
      <c r="FB675" s="4"/>
      <c r="FC675" s="4">
        <v>75</v>
      </c>
      <c r="FD675" s="4">
        <v>75</v>
      </c>
      <c r="FE675" s="4">
        <v>75</v>
      </c>
      <c r="FF675" s="4"/>
      <c r="FG675" s="4"/>
      <c r="FH675" s="4"/>
      <c r="FI675" s="4"/>
      <c r="FJ675" s="4"/>
      <c r="FK675" s="654"/>
      <c r="FL675" s="655"/>
      <c r="FM675" s="4"/>
      <c r="FN675" s="4"/>
      <c r="FO675" s="4"/>
      <c r="FP675" s="4"/>
      <c r="FQ675" s="4"/>
      <c r="FR675" s="4"/>
      <c r="FS675" s="4"/>
      <c r="FT675" s="4"/>
      <c r="FU675" s="4"/>
      <c r="FV675" s="4"/>
      <c r="FW675" s="654"/>
      <c r="FX675" s="655"/>
      <c r="FY675" s="4"/>
      <c r="FZ675" s="4"/>
      <c r="GA675" s="4"/>
      <c r="GB675" s="4"/>
      <c r="GC675" s="4"/>
      <c r="GD675" s="4"/>
      <c r="GE675" s="4"/>
      <c r="GF675" s="4"/>
      <c r="GG675" s="4"/>
      <c r="GH675" s="4"/>
      <c r="GI675" s="654"/>
      <c r="GJ675" s="655"/>
      <c r="GK675" s="4"/>
      <c r="GL675" s="4"/>
      <c r="GM675" s="4"/>
      <c r="GN675" s="4"/>
      <c r="GO675" s="4"/>
      <c r="GP675" s="4"/>
      <c r="GQ675" s="4"/>
      <c r="GR675" s="4"/>
      <c r="GS675" s="4"/>
      <c r="GT675" s="4"/>
      <c r="GU675" s="722"/>
      <c r="GV675" s="715"/>
    </row>
    <row r="676" spans="1:204" x14ac:dyDescent="0.25">
      <c r="A676" t="s">
        <v>2378</v>
      </c>
      <c r="B676" s="2" t="s">
        <v>2377</v>
      </c>
      <c r="C676" s="619">
        <v>44840</v>
      </c>
      <c r="D676" s="2" t="s">
        <v>2366</v>
      </c>
      <c r="E676" t="s">
        <v>58</v>
      </c>
      <c r="F676" s="2" t="s">
        <v>2473</v>
      </c>
      <c r="G676" t="s">
        <v>40</v>
      </c>
      <c r="H676" s="690" t="s">
        <v>84</v>
      </c>
      <c r="I676" s="691" t="s">
        <v>876</v>
      </c>
      <c r="J676" s="721" t="s">
        <v>2368</v>
      </c>
      <c r="K676" s="691" t="s">
        <v>2473</v>
      </c>
      <c r="L676" s="721" t="s">
        <v>2146</v>
      </c>
      <c r="M676" s="718" t="s">
        <v>3</v>
      </c>
      <c r="N676" s="717" t="s">
        <v>44</v>
      </c>
      <c r="O676" s="719">
        <v>45017</v>
      </c>
      <c r="P676" s="720">
        <v>45107</v>
      </c>
      <c r="Q676" s="718">
        <v>75</v>
      </c>
      <c r="R676" s="717">
        <v>1.3</v>
      </c>
      <c r="S676" s="691" t="s">
        <v>54</v>
      </c>
      <c r="T676" t="s">
        <v>358</v>
      </c>
      <c r="U676" s="673" t="s">
        <v>358</v>
      </c>
      <c r="V676" s="690" t="s">
        <v>358</v>
      </c>
      <c r="W676" s="657" t="s">
        <v>329</v>
      </c>
      <c r="X676" s="723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654"/>
      <c r="AJ676" s="655"/>
      <c r="AK676" s="4"/>
      <c r="AL676" s="4"/>
      <c r="AM676" s="4">
        <v>1.3</v>
      </c>
      <c r="AN676" s="4">
        <v>1.3</v>
      </c>
      <c r="AO676" s="4">
        <v>1.3</v>
      </c>
      <c r="AP676" s="4"/>
      <c r="AQ676" s="4"/>
      <c r="AR676" s="4"/>
      <c r="AS676" s="4"/>
      <c r="AT676" s="4"/>
      <c r="AU676" s="654"/>
      <c r="AV676" s="655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654"/>
      <c r="BH676" s="655"/>
      <c r="BI676" s="4"/>
      <c r="BJ676" s="4"/>
      <c r="BK676" s="4"/>
      <c r="BL676" s="4"/>
      <c r="BM676" s="4"/>
      <c r="BN676" s="4"/>
      <c r="BO676" s="4"/>
      <c r="BP676" s="4"/>
      <c r="BQ676" s="4"/>
      <c r="BR676" s="4"/>
      <c r="BS676" s="654"/>
      <c r="BT676" s="655"/>
      <c r="BU676" s="4"/>
      <c r="BV676" s="4"/>
      <c r="BW676" s="4"/>
      <c r="BX676" s="4"/>
      <c r="BY676" s="4"/>
      <c r="BZ676" s="4"/>
      <c r="CA676" s="4"/>
      <c r="CB676" s="4"/>
      <c r="CC676" s="4"/>
      <c r="CD676" s="4"/>
      <c r="CE676" s="693"/>
      <c r="CF676" s="723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654"/>
      <c r="CR676" s="655"/>
      <c r="CS676" s="4"/>
      <c r="CT676" s="4"/>
      <c r="CU676" s="4">
        <v>75</v>
      </c>
      <c r="CV676" s="4">
        <v>75</v>
      </c>
      <c r="CW676" s="4">
        <v>75</v>
      </c>
      <c r="CX676" s="4"/>
      <c r="CY676" s="4"/>
      <c r="CZ676" s="4"/>
      <c r="DA676" s="4"/>
      <c r="DB676" s="4"/>
      <c r="DC676" s="654"/>
      <c r="DD676" s="655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654"/>
      <c r="DP676" s="655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654"/>
      <c r="EB676" s="655"/>
      <c r="EC676" s="4"/>
      <c r="ED676" s="4"/>
      <c r="EE676" s="4"/>
      <c r="EF676" s="4"/>
      <c r="EG676" s="4"/>
      <c r="EH676" s="4"/>
      <c r="EI676" s="4"/>
      <c r="EJ676" s="4"/>
      <c r="EK676" s="4"/>
      <c r="EL676" s="4"/>
      <c r="EM676" s="693"/>
      <c r="EN676" s="723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654"/>
      <c r="EZ676" s="655"/>
      <c r="FA676" s="4"/>
      <c r="FB676" s="4"/>
      <c r="FC676" s="4">
        <v>75</v>
      </c>
      <c r="FD676" s="4">
        <v>75</v>
      </c>
      <c r="FE676" s="4">
        <v>75</v>
      </c>
      <c r="FF676" s="4"/>
      <c r="FG676" s="4"/>
      <c r="FH676" s="4"/>
      <c r="FI676" s="4"/>
      <c r="FJ676" s="4"/>
      <c r="FK676" s="654"/>
      <c r="FL676" s="655"/>
      <c r="FM676" s="4"/>
      <c r="FN676" s="4"/>
      <c r="FO676" s="4"/>
      <c r="FP676" s="4"/>
      <c r="FQ676" s="4"/>
      <c r="FR676" s="4"/>
      <c r="FS676" s="4"/>
      <c r="FT676" s="4"/>
      <c r="FU676" s="4"/>
      <c r="FV676" s="4"/>
      <c r="FW676" s="654"/>
      <c r="FX676" s="655"/>
      <c r="FY676" s="4"/>
      <c r="FZ676" s="4"/>
      <c r="GA676" s="4"/>
      <c r="GB676" s="4"/>
      <c r="GC676" s="4"/>
      <c r="GD676" s="4"/>
      <c r="GE676" s="4"/>
      <c r="GF676" s="4"/>
      <c r="GG676" s="4"/>
      <c r="GH676" s="4"/>
      <c r="GI676" s="654"/>
      <c r="GJ676" s="655"/>
      <c r="GK676" s="4"/>
      <c r="GL676" s="4"/>
      <c r="GM676" s="4"/>
      <c r="GN676" s="4"/>
      <c r="GO676" s="4"/>
      <c r="GP676" s="4"/>
      <c r="GQ676" s="4"/>
      <c r="GR676" s="4"/>
      <c r="GS676" s="4"/>
      <c r="GT676" s="4"/>
      <c r="GU676" s="722"/>
      <c r="GV676" s="715"/>
    </row>
    <row r="677" spans="1:204" x14ac:dyDescent="0.25">
      <c r="A677" t="s">
        <v>2379</v>
      </c>
      <c r="B677" s="2" t="s">
        <v>358</v>
      </c>
      <c r="C677" s="619">
        <v>44840</v>
      </c>
      <c r="D677" s="2" t="s">
        <v>2367</v>
      </c>
      <c r="E677" t="s">
        <v>59</v>
      </c>
      <c r="F677" s="2" t="s">
        <v>2473</v>
      </c>
      <c r="G677" t="s">
        <v>40</v>
      </c>
      <c r="H677" s="690" t="s">
        <v>85</v>
      </c>
      <c r="I677" s="691" t="s">
        <v>2473</v>
      </c>
      <c r="J677" s="721" t="s">
        <v>2146</v>
      </c>
      <c r="K677" s="691" t="s">
        <v>464</v>
      </c>
      <c r="L677" s="721" t="s">
        <v>2361</v>
      </c>
      <c r="M677" s="718" t="s">
        <v>3</v>
      </c>
      <c r="N677" s="717" t="s">
        <v>44</v>
      </c>
      <c r="O677" s="719">
        <v>44958</v>
      </c>
      <c r="P677" s="720">
        <v>44985</v>
      </c>
      <c r="Q677" s="718">
        <v>76</v>
      </c>
      <c r="R677" s="717">
        <v>3</v>
      </c>
      <c r="S677" s="691" t="s">
        <v>54</v>
      </c>
      <c r="T677" t="s">
        <v>358</v>
      </c>
      <c r="U677" s="673" t="s">
        <v>358</v>
      </c>
      <c r="V677" s="690" t="s">
        <v>358</v>
      </c>
      <c r="W677" s="657" t="s">
        <v>214</v>
      </c>
      <c r="X677" s="723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654"/>
      <c r="AJ677" s="655"/>
      <c r="AK677" s="4">
        <v>3</v>
      </c>
      <c r="AL677" s="4"/>
      <c r="AM677" s="4"/>
      <c r="AN677" s="4"/>
      <c r="AO677" s="4"/>
      <c r="AP677" s="4"/>
      <c r="AQ677" s="4"/>
      <c r="AR677" s="4"/>
      <c r="AS677" s="4"/>
      <c r="AT677" s="4"/>
      <c r="AU677" s="654"/>
      <c r="AV677" s="655"/>
      <c r="AW677" s="4"/>
      <c r="AX677" s="4"/>
      <c r="AY677" s="4"/>
      <c r="AZ677" s="4"/>
      <c r="BA677" s="4"/>
      <c r="BB677" s="4"/>
      <c r="BC677" s="4"/>
      <c r="BD677" s="4"/>
      <c r="BE677" s="4"/>
      <c r="BF677" s="4"/>
      <c r="BG677" s="654"/>
      <c r="BH677" s="655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654"/>
      <c r="BT677" s="655"/>
      <c r="BU677" s="4"/>
      <c r="BV677" s="4"/>
      <c r="BW677" s="4"/>
      <c r="BX677" s="4"/>
      <c r="BY677" s="4"/>
      <c r="BZ677" s="4"/>
      <c r="CA677" s="4"/>
      <c r="CB677" s="4"/>
      <c r="CC677" s="4"/>
      <c r="CD677" s="4"/>
      <c r="CE677" s="693"/>
      <c r="CF677" s="723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654"/>
      <c r="CR677" s="655"/>
      <c r="CS677" s="4">
        <v>76</v>
      </c>
      <c r="CT677" s="4"/>
      <c r="CU677" s="4"/>
      <c r="CV677" s="4"/>
      <c r="CW677" s="4"/>
      <c r="CX677" s="4"/>
      <c r="CY677" s="4"/>
      <c r="CZ677" s="4"/>
      <c r="DA677" s="4"/>
      <c r="DB677" s="4"/>
      <c r="DC677" s="654"/>
      <c r="DD677" s="655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654"/>
      <c r="DP677" s="655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654"/>
      <c r="EB677" s="655"/>
      <c r="EC677" s="4"/>
      <c r="ED677" s="4"/>
      <c r="EE677" s="4"/>
      <c r="EF677" s="4"/>
      <c r="EG677" s="4"/>
      <c r="EH677" s="4"/>
      <c r="EI677" s="4"/>
      <c r="EJ677" s="4"/>
      <c r="EK677" s="4"/>
      <c r="EL677" s="4"/>
      <c r="EM677" s="693"/>
      <c r="EN677" s="723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654"/>
      <c r="EZ677" s="655"/>
      <c r="FA677" s="4">
        <v>76</v>
      </c>
      <c r="FB677" s="4"/>
      <c r="FC677" s="4"/>
      <c r="FD677" s="4"/>
      <c r="FE677" s="4"/>
      <c r="FF677" s="4"/>
      <c r="FG677" s="4"/>
      <c r="FH677" s="4"/>
      <c r="FI677" s="4"/>
      <c r="FJ677" s="4"/>
      <c r="FK677" s="654"/>
      <c r="FL677" s="655"/>
      <c r="FM677" s="4"/>
      <c r="FN677" s="4"/>
      <c r="FO677" s="4"/>
      <c r="FP677" s="4"/>
      <c r="FQ677" s="4"/>
      <c r="FR677" s="4"/>
      <c r="FS677" s="4"/>
      <c r="FT677" s="4"/>
      <c r="FU677" s="4"/>
      <c r="FV677" s="4"/>
      <c r="FW677" s="654"/>
      <c r="FX677" s="655"/>
      <c r="FY677" s="4"/>
      <c r="FZ677" s="4"/>
      <c r="GA677" s="4"/>
      <c r="GB677" s="4"/>
      <c r="GC677" s="4"/>
      <c r="GD677" s="4"/>
      <c r="GE677" s="4"/>
      <c r="GF677" s="4"/>
      <c r="GG677" s="4"/>
      <c r="GH677" s="4"/>
      <c r="GI677" s="654"/>
      <c r="GJ677" s="655"/>
      <c r="GK677" s="4"/>
      <c r="GL677" s="4"/>
      <c r="GM677" s="4"/>
      <c r="GN677" s="4"/>
      <c r="GO677" s="4"/>
      <c r="GP677" s="4"/>
      <c r="GQ677" s="4"/>
      <c r="GR677" s="4"/>
      <c r="GS677" s="4"/>
      <c r="GT677" s="4"/>
      <c r="GU677" s="722"/>
      <c r="GV677" s="715"/>
    </row>
    <row r="678" spans="1:204" x14ac:dyDescent="0.25">
      <c r="A678" t="s">
        <v>2381</v>
      </c>
      <c r="B678" s="2" t="s">
        <v>2380</v>
      </c>
      <c r="C678" s="619">
        <v>44840</v>
      </c>
      <c r="D678" s="2">
        <v>27907</v>
      </c>
      <c r="E678" t="s">
        <v>59</v>
      </c>
      <c r="F678" s="2" t="s">
        <v>2473</v>
      </c>
      <c r="G678" t="s">
        <v>40</v>
      </c>
      <c r="H678" s="690" t="s">
        <v>85</v>
      </c>
      <c r="I678" s="691" t="s">
        <v>2473</v>
      </c>
      <c r="J678" s="721" t="s">
        <v>2146</v>
      </c>
      <c r="K678" s="691" t="s">
        <v>876</v>
      </c>
      <c r="L678" s="721" t="s">
        <v>2368</v>
      </c>
      <c r="M678" s="718" t="s">
        <v>3</v>
      </c>
      <c r="N678" s="717" t="s">
        <v>44</v>
      </c>
      <c r="O678" s="719">
        <v>45108</v>
      </c>
      <c r="P678" s="720">
        <v>45291</v>
      </c>
      <c r="Q678" s="718">
        <v>127</v>
      </c>
      <c r="R678" s="717">
        <v>30</v>
      </c>
      <c r="S678" s="691" t="s">
        <v>54</v>
      </c>
      <c r="T678" t="s">
        <v>358</v>
      </c>
      <c r="U678" s="673" t="s">
        <v>358</v>
      </c>
      <c r="V678" s="690" t="s">
        <v>358</v>
      </c>
      <c r="W678" s="657" t="s">
        <v>329</v>
      </c>
      <c r="X678" s="723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654"/>
      <c r="AJ678" s="655"/>
      <c r="AK678" s="4"/>
      <c r="AL678" s="4"/>
      <c r="AM678" s="4"/>
      <c r="AN678" s="4"/>
      <c r="AO678" s="4"/>
      <c r="AP678" s="4">
        <v>30</v>
      </c>
      <c r="AQ678" s="4">
        <v>30</v>
      </c>
      <c r="AR678" s="4">
        <v>30</v>
      </c>
      <c r="AS678" s="4">
        <v>30</v>
      </c>
      <c r="AT678" s="4">
        <v>30</v>
      </c>
      <c r="AU678" s="654">
        <v>30</v>
      </c>
      <c r="AV678" s="655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654"/>
      <c r="BH678" s="655"/>
      <c r="BI678" s="4"/>
      <c r="BJ678" s="4"/>
      <c r="BK678" s="4"/>
      <c r="BL678" s="4"/>
      <c r="BM678" s="4"/>
      <c r="BN678" s="4"/>
      <c r="BO678" s="4"/>
      <c r="BP678" s="4"/>
      <c r="BQ678" s="4"/>
      <c r="BR678" s="4"/>
      <c r="BS678" s="654"/>
      <c r="BT678" s="655"/>
      <c r="BU678" s="4"/>
      <c r="BV678" s="4"/>
      <c r="BW678" s="4"/>
      <c r="BX678" s="4"/>
      <c r="BY678" s="4"/>
      <c r="BZ678" s="4"/>
      <c r="CA678" s="4"/>
      <c r="CB678" s="4"/>
      <c r="CC678" s="4"/>
      <c r="CD678" s="4"/>
      <c r="CE678" s="693"/>
      <c r="CF678" s="723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654"/>
      <c r="CR678" s="655"/>
      <c r="CS678" s="4"/>
      <c r="CT678" s="4"/>
      <c r="CU678" s="4"/>
      <c r="CV678" s="4"/>
      <c r="CW678" s="4"/>
      <c r="CX678" s="4">
        <v>127</v>
      </c>
      <c r="CY678" s="4">
        <v>127</v>
      </c>
      <c r="CZ678" s="4">
        <v>127</v>
      </c>
      <c r="DA678" s="4">
        <v>127</v>
      </c>
      <c r="DB678" s="4">
        <v>127</v>
      </c>
      <c r="DC678" s="654">
        <v>127</v>
      </c>
      <c r="DD678" s="655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654"/>
      <c r="DP678" s="655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654"/>
      <c r="EB678" s="655"/>
      <c r="EC678" s="4"/>
      <c r="ED678" s="4"/>
      <c r="EE678" s="4"/>
      <c r="EF678" s="4"/>
      <c r="EG678" s="4"/>
      <c r="EH678" s="4"/>
      <c r="EI678" s="4"/>
      <c r="EJ678" s="4"/>
      <c r="EK678" s="4"/>
      <c r="EL678" s="4"/>
      <c r="EM678" s="693"/>
      <c r="EN678" s="723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654"/>
      <c r="EZ678" s="655"/>
      <c r="FA678" s="4"/>
      <c r="FB678" s="4"/>
      <c r="FC678" s="4"/>
      <c r="FD678" s="4"/>
      <c r="FE678" s="4"/>
      <c r="FF678" s="4">
        <v>127</v>
      </c>
      <c r="FG678" s="4">
        <v>127</v>
      </c>
      <c r="FH678" s="4">
        <v>127</v>
      </c>
      <c r="FI678" s="4">
        <v>127</v>
      </c>
      <c r="FJ678" s="4">
        <v>127</v>
      </c>
      <c r="FK678" s="654">
        <v>127</v>
      </c>
      <c r="FL678" s="655"/>
      <c r="FM678" s="4"/>
      <c r="FN678" s="4"/>
      <c r="FO678" s="4"/>
      <c r="FP678" s="4"/>
      <c r="FQ678" s="4"/>
      <c r="FR678" s="4"/>
      <c r="FS678" s="4"/>
      <c r="FT678" s="4"/>
      <c r="FU678" s="4"/>
      <c r="FV678" s="4"/>
      <c r="FW678" s="654"/>
      <c r="FX678" s="655"/>
      <c r="FY678" s="4"/>
      <c r="FZ678" s="4"/>
      <c r="GA678" s="4"/>
      <c r="GB678" s="4"/>
      <c r="GC678" s="4"/>
      <c r="GD678" s="4"/>
      <c r="GE678" s="4"/>
      <c r="GF678" s="4"/>
      <c r="GG678" s="4"/>
      <c r="GH678" s="4"/>
      <c r="GI678" s="654"/>
      <c r="GJ678" s="655"/>
      <c r="GK678" s="4"/>
      <c r="GL678" s="4"/>
      <c r="GM678" s="4"/>
      <c r="GN678" s="4"/>
      <c r="GO678" s="4"/>
      <c r="GP678" s="4"/>
      <c r="GQ678" s="4"/>
      <c r="GR678" s="4"/>
      <c r="GS678" s="4"/>
      <c r="GT678" s="4"/>
      <c r="GU678" s="722"/>
      <c r="GV678" s="715"/>
    </row>
    <row r="679" spans="1:204" x14ac:dyDescent="0.25">
      <c r="A679" t="s">
        <v>2382</v>
      </c>
      <c r="B679" s="2" t="s">
        <v>358</v>
      </c>
      <c r="C679" s="619">
        <v>44840</v>
      </c>
      <c r="D679" s="2" t="s">
        <v>2479</v>
      </c>
      <c r="E679" t="s">
        <v>59</v>
      </c>
      <c r="F679" s="2" t="s">
        <v>2473</v>
      </c>
      <c r="G679" t="s">
        <v>40</v>
      </c>
      <c r="H679" s="690" t="s">
        <v>85</v>
      </c>
      <c r="I679" s="691" t="s">
        <v>2473</v>
      </c>
      <c r="J679" s="721" t="s">
        <v>2146</v>
      </c>
      <c r="K679" s="691" t="s">
        <v>346</v>
      </c>
      <c r="L679" s="721"/>
      <c r="M679" s="718" t="s">
        <v>3</v>
      </c>
      <c r="N679" s="717" t="s">
        <v>44</v>
      </c>
      <c r="O679" s="719">
        <v>45017</v>
      </c>
      <c r="P679" s="720">
        <v>45107</v>
      </c>
      <c r="Q679" s="718">
        <v>76.64</v>
      </c>
      <c r="R679" s="717">
        <v>7</v>
      </c>
      <c r="S679" s="691" t="s">
        <v>54</v>
      </c>
      <c r="T679" t="s">
        <v>358</v>
      </c>
      <c r="U679" s="673" t="s">
        <v>358</v>
      </c>
      <c r="V679" s="690" t="s">
        <v>358</v>
      </c>
      <c r="W679" s="657" t="s">
        <v>214</v>
      </c>
      <c r="X679" s="723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654"/>
      <c r="AJ679" s="655"/>
      <c r="AK679" s="4"/>
      <c r="AL679" s="4"/>
      <c r="AM679" s="4">
        <v>7</v>
      </c>
      <c r="AN679" s="4">
        <v>7</v>
      </c>
      <c r="AO679" s="4">
        <v>7</v>
      </c>
      <c r="AP679" s="4"/>
      <c r="AQ679" s="4"/>
      <c r="AR679" s="4"/>
      <c r="AS679" s="4"/>
      <c r="AT679" s="4"/>
      <c r="AU679" s="654"/>
      <c r="AV679" s="655"/>
      <c r="AW679" s="4"/>
      <c r="AX679" s="4"/>
      <c r="AY679" s="4"/>
      <c r="AZ679" s="4"/>
      <c r="BA679" s="4"/>
      <c r="BB679" s="4"/>
      <c r="BC679" s="4"/>
      <c r="BD679" s="4"/>
      <c r="BE679" s="4"/>
      <c r="BF679" s="4"/>
      <c r="BG679" s="654"/>
      <c r="BH679" s="655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654"/>
      <c r="BT679" s="655"/>
      <c r="BU679" s="4"/>
      <c r="BV679" s="4"/>
      <c r="BW679" s="4"/>
      <c r="BX679" s="4"/>
      <c r="BY679" s="4"/>
      <c r="BZ679" s="4"/>
      <c r="CA679" s="4"/>
      <c r="CB679" s="4"/>
      <c r="CC679" s="4"/>
      <c r="CD679" s="4"/>
      <c r="CE679" s="693"/>
      <c r="CF679" s="723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654"/>
      <c r="CR679" s="655"/>
      <c r="CS679" s="4"/>
      <c r="CT679" s="4"/>
      <c r="CU679" s="4">
        <v>76.64</v>
      </c>
      <c r="CV679" s="4">
        <v>76.64</v>
      </c>
      <c r="CW679" s="4">
        <v>76.64</v>
      </c>
      <c r="CX679" s="4"/>
      <c r="CY679" s="4"/>
      <c r="CZ679" s="4"/>
      <c r="DA679" s="4"/>
      <c r="DB679" s="4"/>
      <c r="DC679" s="654"/>
      <c r="DD679" s="655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654"/>
      <c r="DP679" s="655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654"/>
      <c r="EB679" s="655"/>
      <c r="EC679" s="4"/>
      <c r="ED679" s="4"/>
      <c r="EE679" s="4"/>
      <c r="EF679" s="4"/>
      <c r="EG679" s="4"/>
      <c r="EH679" s="4"/>
      <c r="EI679" s="4"/>
      <c r="EJ679" s="4"/>
      <c r="EK679" s="4"/>
      <c r="EL679" s="4"/>
      <c r="EM679" s="693"/>
      <c r="EN679" s="723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654"/>
      <c r="EZ679" s="655"/>
      <c r="FA679" s="4"/>
      <c r="FB679" s="4"/>
      <c r="FC679" s="4">
        <v>76.64</v>
      </c>
      <c r="FD679" s="4">
        <v>76.64</v>
      </c>
      <c r="FE679" s="4">
        <v>76.64</v>
      </c>
      <c r="FF679" s="4"/>
      <c r="FG679" s="4"/>
      <c r="FH679" s="4"/>
      <c r="FI679" s="4"/>
      <c r="FJ679" s="4"/>
      <c r="FK679" s="654"/>
      <c r="FL679" s="655"/>
      <c r="FM679" s="4"/>
      <c r="FN679" s="4"/>
      <c r="FO679" s="4"/>
      <c r="FP679" s="4"/>
      <c r="FQ679" s="4"/>
      <c r="FR679" s="4"/>
      <c r="FS679" s="4"/>
      <c r="FT679" s="4"/>
      <c r="FU679" s="4"/>
      <c r="FV679" s="4"/>
      <c r="FW679" s="654"/>
      <c r="FX679" s="655"/>
      <c r="FY679" s="4"/>
      <c r="FZ679" s="4"/>
      <c r="GA679" s="4"/>
      <c r="GB679" s="4"/>
      <c r="GC679" s="4"/>
      <c r="GD679" s="4"/>
      <c r="GE679" s="4"/>
      <c r="GF679" s="4"/>
      <c r="GG679" s="4"/>
      <c r="GH679" s="4"/>
      <c r="GI679" s="654"/>
      <c r="GJ679" s="655"/>
      <c r="GK679" s="4"/>
      <c r="GL679" s="4"/>
      <c r="GM679" s="4"/>
      <c r="GN679" s="4"/>
      <c r="GO679" s="4"/>
      <c r="GP679" s="4"/>
      <c r="GQ679" s="4"/>
      <c r="GR679" s="4"/>
      <c r="GS679" s="4"/>
      <c r="GT679" s="4"/>
      <c r="GU679" s="722"/>
      <c r="GV679" s="715"/>
    </row>
    <row r="680" spans="1:204" x14ac:dyDescent="0.25">
      <c r="A680" t="s">
        <v>2386</v>
      </c>
      <c r="B680" s="2" t="s">
        <v>2385</v>
      </c>
      <c r="C680" s="619">
        <v>44841</v>
      </c>
      <c r="D680" s="2" t="s">
        <v>2383</v>
      </c>
      <c r="E680" t="s">
        <v>58</v>
      </c>
      <c r="F680" s="2" t="s">
        <v>2473</v>
      </c>
      <c r="G680" t="s">
        <v>40</v>
      </c>
      <c r="H680" s="690" t="s">
        <v>84</v>
      </c>
      <c r="I680" s="691" t="s">
        <v>590</v>
      </c>
      <c r="J680" s="721" t="s">
        <v>2160</v>
      </c>
      <c r="K680" s="691" t="s">
        <v>2473</v>
      </c>
      <c r="L680" s="721" t="s">
        <v>2146</v>
      </c>
      <c r="M680" s="718" t="s">
        <v>3</v>
      </c>
      <c r="N680" s="717" t="s">
        <v>44</v>
      </c>
      <c r="O680" s="719">
        <v>45261</v>
      </c>
      <c r="P680" s="720">
        <v>45291</v>
      </c>
      <c r="Q680" s="718">
        <v>110</v>
      </c>
      <c r="R680" s="717">
        <v>20</v>
      </c>
      <c r="S680" s="691" t="s">
        <v>54</v>
      </c>
      <c r="T680" t="s">
        <v>358</v>
      </c>
      <c r="U680" s="673" t="s">
        <v>358</v>
      </c>
      <c r="V680" s="690" t="s">
        <v>358</v>
      </c>
      <c r="W680" s="657" t="s">
        <v>329</v>
      </c>
      <c r="X680" s="723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654"/>
      <c r="AJ680" s="655"/>
      <c r="AK680" s="4"/>
      <c r="AL680" s="4"/>
      <c r="AM680" s="4"/>
      <c r="AN680" s="4"/>
      <c r="AO680" s="4"/>
      <c r="AP680" s="4"/>
      <c r="AQ680" s="4"/>
      <c r="AR680" s="4"/>
      <c r="AS680" s="4"/>
      <c r="AT680" s="4"/>
      <c r="AU680" s="654">
        <v>20</v>
      </c>
      <c r="AV680" s="655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654"/>
      <c r="BH680" s="655"/>
      <c r="BI680" s="4"/>
      <c r="BJ680" s="4"/>
      <c r="BK680" s="4"/>
      <c r="BL680" s="4"/>
      <c r="BM680" s="4"/>
      <c r="BN680" s="4"/>
      <c r="BO680" s="4"/>
      <c r="BP680" s="4"/>
      <c r="BQ680" s="4"/>
      <c r="BR680" s="4"/>
      <c r="BS680" s="654"/>
      <c r="BT680" s="655"/>
      <c r="BU680" s="4"/>
      <c r="BV680" s="4"/>
      <c r="BW680" s="4"/>
      <c r="BX680" s="4"/>
      <c r="BY680" s="4"/>
      <c r="BZ680" s="4"/>
      <c r="CA680" s="4"/>
      <c r="CB680" s="4"/>
      <c r="CC680" s="4"/>
      <c r="CD680" s="4"/>
      <c r="CE680" s="693"/>
      <c r="CF680" s="723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654"/>
      <c r="CR680" s="655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654">
        <v>110</v>
      </c>
      <c r="DD680" s="655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654"/>
      <c r="DP680" s="655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654"/>
      <c r="EB680" s="655"/>
      <c r="EC680" s="4"/>
      <c r="ED680" s="4"/>
      <c r="EE680" s="4"/>
      <c r="EF680" s="4"/>
      <c r="EG680" s="4"/>
      <c r="EH680" s="4"/>
      <c r="EI680" s="4"/>
      <c r="EJ680" s="4"/>
      <c r="EK680" s="4"/>
      <c r="EL680" s="4"/>
      <c r="EM680" s="693"/>
      <c r="EN680" s="723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654"/>
      <c r="EZ680" s="655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654">
        <v>110</v>
      </c>
      <c r="FL680" s="655"/>
      <c r="FM680" s="4"/>
      <c r="FN680" s="4"/>
      <c r="FO680" s="4"/>
      <c r="FP680" s="4"/>
      <c r="FQ680" s="4"/>
      <c r="FR680" s="4"/>
      <c r="FS680" s="4"/>
      <c r="FT680" s="4"/>
      <c r="FU680" s="4"/>
      <c r="FV680" s="4"/>
      <c r="FW680" s="654"/>
      <c r="FX680" s="655"/>
      <c r="FY680" s="4"/>
      <c r="FZ680" s="4"/>
      <c r="GA680" s="4"/>
      <c r="GB680" s="4"/>
      <c r="GC680" s="4"/>
      <c r="GD680" s="4"/>
      <c r="GE680" s="4"/>
      <c r="GF680" s="4"/>
      <c r="GG680" s="4"/>
      <c r="GH680" s="4"/>
      <c r="GI680" s="654"/>
      <c r="GJ680" s="655"/>
      <c r="GK680" s="4"/>
      <c r="GL680" s="4"/>
      <c r="GM680" s="4"/>
      <c r="GN680" s="4"/>
      <c r="GO680" s="4"/>
      <c r="GP680" s="4"/>
      <c r="GQ680" s="4"/>
      <c r="GR680" s="4"/>
      <c r="GS680" s="4"/>
      <c r="GT680" s="4"/>
      <c r="GU680" s="722"/>
      <c r="GV680" s="715"/>
    </row>
    <row r="681" spans="1:204" x14ac:dyDescent="0.25">
      <c r="A681" t="s">
        <v>2388</v>
      </c>
      <c r="B681" s="2" t="s">
        <v>2387</v>
      </c>
      <c r="C681" s="619">
        <v>44841</v>
      </c>
      <c r="D681" s="2" t="s">
        <v>2384</v>
      </c>
      <c r="E681" t="s">
        <v>58</v>
      </c>
      <c r="F681" s="2" t="s">
        <v>2473</v>
      </c>
      <c r="G681" t="s">
        <v>40</v>
      </c>
      <c r="H681" s="690" t="s">
        <v>84</v>
      </c>
      <c r="I681" s="691" t="s">
        <v>508</v>
      </c>
      <c r="J681" s="721" t="s">
        <v>2209</v>
      </c>
      <c r="K681" s="691" t="s">
        <v>2473</v>
      </c>
      <c r="L681" s="721" t="s">
        <v>2146</v>
      </c>
      <c r="M681" s="718" t="s">
        <v>3</v>
      </c>
      <c r="N681" s="717" t="s">
        <v>44</v>
      </c>
      <c r="O681" s="719">
        <v>44927</v>
      </c>
      <c r="P681" s="720">
        <v>45107</v>
      </c>
      <c r="Q681" s="718">
        <v>73</v>
      </c>
      <c r="R681" s="717">
        <v>2</v>
      </c>
      <c r="S681" s="691" t="s">
        <v>54</v>
      </c>
      <c r="T681" t="s">
        <v>358</v>
      </c>
      <c r="U681" s="673" t="s">
        <v>358</v>
      </c>
      <c r="V681" s="690" t="s">
        <v>358</v>
      </c>
      <c r="W681" s="657" t="s">
        <v>329</v>
      </c>
      <c r="X681" s="723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654"/>
      <c r="AJ681" s="655">
        <v>2</v>
      </c>
      <c r="AK681" s="4">
        <v>2</v>
      </c>
      <c r="AL681" s="4">
        <v>2</v>
      </c>
      <c r="AM681" s="4">
        <v>2</v>
      </c>
      <c r="AN681" s="4">
        <v>2</v>
      </c>
      <c r="AO681" s="4">
        <v>2</v>
      </c>
      <c r="AP681" s="4"/>
      <c r="AQ681" s="4"/>
      <c r="AR681" s="4"/>
      <c r="AS681" s="4"/>
      <c r="AT681" s="4"/>
      <c r="AU681" s="654"/>
      <c r="AV681" s="655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654"/>
      <c r="BH681" s="655"/>
      <c r="BI681" s="4"/>
      <c r="BJ681" s="4"/>
      <c r="BK681" s="4"/>
      <c r="BL681" s="4"/>
      <c r="BM681" s="4"/>
      <c r="BN681" s="4"/>
      <c r="BO681" s="4"/>
      <c r="BP681" s="4"/>
      <c r="BQ681" s="4"/>
      <c r="BR681" s="4"/>
      <c r="BS681" s="654"/>
      <c r="BT681" s="655"/>
      <c r="BU681" s="4"/>
      <c r="BV681" s="4"/>
      <c r="BW681" s="4"/>
      <c r="BX681" s="4"/>
      <c r="BY681" s="4"/>
      <c r="BZ681" s="4"/>
      <c r="CA681" s="4"/>
      <c r="CB681" s="4"/>
      <c r="CC681" s="4"/>
      <c r="CD681" s="4"/>
      <c r="CE681" s="693"/>
      <c r="CF681" s="723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654"/>
      <c r="CR681" s="655">
        <v>73</v>
      </c>
      <c r="CS681" s="4">
        <v>73</v>
      </c>
      <c r="CT681" s="4">
        <v>73</v>
      </c>
      <c r="CU681" s="4">
        <v>73</v>
      </c>
      <c r="CV681" s="4">
        <v>73</v>
      </c>
      <c r="CW681" s="4">
        <v>73</v>
      </c>
      <c r="CX681" s="4"/>
      <c r="CY681" s="4"/>
      <c r="CZ681" s="4"/>
      <c r="DA681" s="4"/>
      <c r="DB681" s="4"/>
      <c r="DC681" s="654"/>
      <c r="DD681" s="655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654"/>
      <c r="DP681" s="655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654"/>
      <c r="EB681" s="655"/>
      <c r="EC681" s="4"/>
      <c r="ED681" s="4"/>
      <c r="EE681" s="4"/>
      <c r="EF681" s="4"/>
      <c r="EG681" s="4"/>
      <c r="EH681" s="4"/>
      <c r="EI681" s="4"/>
      <c r="EJ681" s="4"/>
      <c r="EK681" s="4"/>
      <c r="EL681" s="4"/>
      <c r="EM681" s="693"/>
      <c r="EN681" s="723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654"/>
      <c r="EZ681" s="655">
        <v>73</v>
      </c>
      <c r="FA681" s="4">
        <v>73</v>
      </c>
      <c r="FB681" s="4">
        <v>73</v>
      </c>
      <c r="FC681" s="4">
        <v>73</v>
      </c>
      <c r="FD681" s="4">
        <v>73</v>
      </c>
      <c r="FE681" s="4">
        <v>73</v>
      </c>
      <c r="FF681" s="4"/>
      <c r="FG681" s="4"/>
      <c r="FH681" s="4"/>
      <c r="FI681" s="4"/>
      <c r="FJ681" s="4"/>
      <c r="FK681" s="654"/>
      <c r="FL681" s="655"/>
      <c r="FM681" s="4"/>
      <c r="FN681" s="4"/>
      <c r="FO681" s="4"/>
      <c r="FP681" s="4"/>
      <c r="FQ681" s="4"/>
      <c r="FR681" s="4"/>
      <c r="FS681" s="4"/>
      <c r="FT681" s="4"/>
      <c r="FU681" s="4"/>
      <c r="FV681" s="4"/>
      <c r="FW681" s="654"/>
      <c r="FX681" s="655"/>
      <c r="FY681" s="4"/>
      <c r="FZ681" s="4"/>
      <c r="GA681" s="4"/>
      <c r="GB681" s="4"/>
      <c r="GC681" s="4"/>
      <c r="GD681" s="4"/>
      <c r="GE681" s="4"/>
      <c r="GF681" s="4"/>
      <c r="GG681" s="4"/>
      <c r="GH681" s="4"/>
      <c r="GI681" s="654"/>
      <c r="GJ681" s="655"/>
      <c r="GK681" s="4"/>
      <c r="GL681" s="4"/>
      <c r="GM681" s="4"/>
      <c r="GN681" s="4"/>
      <c r="GO681" s="4"/>
      <c r="GP681" s="4"/>
      <c r="GQ681" s="4"/>
      <c r="GR681" s="4"/>
      <c r="GS681" s="4"/>
      <c r="GT681" s="4"/>
      <c r="GU681" s="722"/>
      <c r="GV681" s="715"/>
    </row>
    <row r="682" spans="1:204" x14ac:dyDescent="0.25">
      <c r="A682" t="s">
        <v>2389</v>
      </c>
      <c r="B682" s="2" t="s">
        <v>358</v>
      </c>
      <c r="C682" s="619">
        <v>44841</v>
      </c>
      <c r="D682" s="2" t="s">
        <v>2480</v>
      </c>
      <c r="E682" t="s">
        <v>59</v>
      </c>
      <c r="F682" s="2" t="s">
        <v>2473</v>
      </c>
      <c r="G682" t="s">
        <v>40</v>
      </c>
      <c r="H682" s="690" t="s">
        <v>85</v>
      </c>
      <c r="I682" s="691" t="s">
        <v>2473</v>
      </c>
      <c r="J682" s="721" t="s">
        <v>2146</v>
      </c>
      <c r="K682" s="691" t="s">
        <v>346</v>
      </c>
      <c r="L682" s="721"/>
      <c r="M682" s="718" t="s">
        <v>3</v>
      </c>
      <c r="N682" s="717" t="s">
        <v>44</v>
      </c>
      <c r="O682" s="719">
        <v>44927</v>
      </c>
      <c r="P682" s="720">
        <v>45016</v>
      </c>
      <c r="Q682" s="718">
        <v>74</v>
      </c>
      <c r="R682" s="717">
        <v>10</v>
      </c>
      <c r="S682" s="691" t="s">
        <v>54</v>
      </c>
      <c r="T682" t="s">
        <v>358</v>
      </c>
      <c r="U682" s="673" t="s">
        <v>358</v>
      </c>
      <c r="V682" s="690" t="s">
        <v>358</v>
      </c>
      <c r="W682" s="657" t="s">
        <v>214</v>
      </c>
      <c r="X682" s="723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654"/>
      <c r="AJ682" s="655">
        <v>10</v>
      </c>
      <c r="AK682" s="4">
        <v>10</v>
      </c>
      <c r="AL682" s="4">
        <v>10</v>
      </c>
      <c r="AM682" s="4"/>
      <c r="AN682" s="4"/>
      <c r="AO682" s="4"/>
      <c r="AP682" s="4"/>
      <c r="AQ682" s="4"/>
      <c r="AR682" s="4"/>
      <c r="AS682" s="4"/>
      <c r="AT682" s="4"/>
      <c r="AU682" s="654"/>
      <c r="AV682" s="655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654"/>
      <c r="BH682" s="655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654"/>
      <c r="BT682" s="655"/>
      <c r="BU682" s="4"/>
      <c r="BV682" s="4"/>
      <c r="BW682" s="4"/>
      <c r="BX682" s="4"/>
      <c r="BY682" s="4"/>
      <c r="BZ682" s="4"/>
      <c r="CA682" s="4"/>
      <c r="CB682" s="4"/>
      <c r="CC682" s="4"/>
      <c r="CD682" s="4"/>
      <c r="CE682" s="693"/>
      <c r="CF682" s="723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654"/>
      <c r="CR682" s="655">
        <v>74</v>
      </c>
      <c r="CS682" s="4">
        <v>74</v>
      </c>
      <c r="CT682" s="4">
        <v>74</v>
      </c>
      <c r="CU682" s="4"/>
      <c r="CV682" s="4"/>
      <c r="CW682" s="4"/>
      <c r="CX682" s="4"/>
      <c r="CY682" s="4"/>
      <c r="CZ682" s="4"/>
      <c r="DA682" s="4"/>
      <c r="DB682" s="4"/>
      <c r="DC682" s="654"/>
      <c r="DD682" s="655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654"/>
      <c r="DP682" s="655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654"/>
      <c r="EB682" s="655"/>
      <c r="EC682" s="4"/>
      <c r="ED682" s="4"/>
      <c r="EE682" s="4"/>
      <c r="EF682" s="4"/>
      <c r="EG682" s="4"/>
      <c r="EH682" s="4"/>
      <c r="EI682" s="4"/>
      <c r="EJ682" s="4"/>
      <c r="EK682" s="4"/>
      <c r="EL682" s="4"/>
      <c r="EM682" s="693"/>
      <c r="EN682" s="723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654"/>
      <c r="EZ682" s="655">
        <v>74</v>
      </c>
      <c r="FA682" s="4">
        <v>74</v>
      </c>
      <c r="FB682" s="4">
        <v>74</v>
      </c>
      <c r="FC682" s="4"/>
      <c r="FD682" s="4"/>
      <c r="FE682" s="4"/>
      <c r="FF682" s="4"/>
      <c r="FG682" s="4"/>
      <c r="FH682" s="4"/>
      <c r="FI682" s="4"/>
      <c r="FJ682" s="4"/>
      <c r="FK682" s="654"/>
      <c r="FL682" s="655"/>
      <c r="FM682" s="4"/>
      <c r="FN682" s="4"/>
      <c r="FO682" s="4"/>
      <c r="FP682" s="4"/>
      <c r="FQ682" s="4"/>
      <c r="FR682" s="4"/>
      <c r="FS682" s="4"/>
      <c r="FT682" s="4"/>
      <c r="FU682" s="4"/>
      <c r="FV682" s="4"/>
      <c r="FW682" s="654"/>
      <c r="FX682" s="655"/>
      <c r="FY682" s="4"/>
      <c r="FZ682" s="4"/>
      <c r="GA682" s="4"/>
      <c r="GB682" s="4"/>
      <c r="GC682" s="4"/>
      <c r="GD682" s="4"/>
      <c r="GE682" s="4"/>
      <c r="GF682" s="4"/>
      <c r="GG682" s="4"/>
      <c r="GH682" s="4"/>
      <c r="GI682" s="654"/>
      <c r="GJ682" s="655"/>
      <c r="GK682" s="4"/>
      <c r="GL682" s="4"/>
      <c r="GM682" s="4"/>
      <c r="GN682" s="4"/>
      <c r="GO682" s="4"/>
      <c r="GP682" s="4"/>
      <c r="GQ682" s="4"/>
      <c r="GR682" s="4"/>
      <c r="GS682" s="4"/>
      <c r="GT682" s="4"/>
      <c r="GU682" s="722"/>
      <c r="GV682" s="715"/>
    </row>
    <row r="683" spans="1:204" x14ac:dyDescent="0.25">
      <c r="A683" t="s">
        <v>2395</v>
      </c>
      <c r="B683" s="2" t="s">
        <v>2394</v>
      </c>
      <c r="C683" s="619">
        <v>44844</v>
      </c>
      <c r="D683" s="2" t="s">
        <v>2390</v>
      </c>
      <c r="E683" t="s">
        <v>58</v>
      </c>
      <c r="F683" s="2" t="s">
        <v>2473</v>
      </c>
      <c r="G683" t="s">
        <v>40</v>
      </c>
      <c r="H683" s="690" t="s">
        <v>84</v>
      </c>
      <c r="I683" s="691" t="s">
        <v>2017</v>
      </c>
      <c r="J683" s="721" t="s">
        <v>2190</v>
      </c>
      <c r="K683" s="691" t="s">
        <v>2473</v>
      </c>
      <c r="L683" s="721" t="s">
        <v>2146</v>
      </c>
      <c r="M683" s="718" t="s">
        <v>3</v>
      </c>
      <c r="N683" s="717" t="s">
        <v>44</v>
      </c>
      <c r="O683" s="719">
        <v>44927</v>
      </c>
      <c r="P683" s="720">
        <v>45016</v>
      </c>
      <c r="Q683" s="718">
        <v>72</v>
      </c>
      <c r="R683" s="717">
        <v>5</v>
      </c>
      <c r="S683" s="691" t="s">
        <v>54</v>
      </c>
      <c r="T683" t="s">
        <v>358</v>
      </c>
      <c r="U683" s="673" t="s">
        <v>358</v>
      </c>
      <c r="V683" s="690" t="s">
        <v>358</v>
      </c>
      <c r="W683" s="657" t="s">
        <v>329</v>
      </c>
      <c r="X683" s="723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654"/>
      <c r="AJ683" s="655">
        <v>5</v>
      </c>
      <c r="AK683" s="4">
        <v>5</v>
      </c>
      <c r="AL683" s="4">
        <v>5</v>
      </c>
      <c r="AM683" s="4"/>
      <c r="AN683" s="4"/>
      <c r="AO683" s="4"/>
      <c r="AP683" s="4"/>
      <c r="AQ683" s="4"/>
      <c r="AR683" s="4"/>
      <c r="AS683" s="4"/>
      <c r="AT683" s="4"/>
      <c r="AU683" s="654"/>
      <c r="AV683" s="655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654"/>
      <c r="BH683" s="655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654"/>
      <c r="BT683" s="655"/>
      <c r="BU683" s="4"/>
      <c r="BV683" s="4"/>
      <c r="BW683" s="4"/>
      <c r="BX683" s="4"/>
      <c r="BY683" s="4"/>
      <c r="BZ683" s="4"/>
      <c r="CA683" s="4"/>
      <c r="CB683" s="4"/>
      <c r="CC683" s="4"/>
      <c r="CD683" s="4"/>
      <c r="CE683" s="693"/>
      <c r="CF683" s="723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654"/>
      <c r="CR683" s="655">
        <v>72</v>
      </c>
      <c r="CS683" s="4">
        <v>72</v>
      </c>
      <c r="CT683" s="4">
        <v>72</v>
      </c>
      <c r="CU683" s="4"/>
      <c r="CV683" s="4"/>
      <c r="CW683" s="4"/>
      <c r="CX683" s="4"/>
      <c r="CY683" s="4"/>
      <c r="CZ683" s="4"/>
      <c r="DA683" s="4"/>
      <c r="DB683" s="4"/>
      <c r="DC683" s="654"/>
      <c r="DD683" s="655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654"/>
      <c r="DP683" s="655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654"/>
      <c r="EB683" s="655"/>
      <c r="EC683" s="4"/>
      <c r="ED683" s="4"/>
      <c r="EE683" s="4"/>
      <c r="EF683" s="4"/>
      <c r="EG683" s="4"/>
      <c r="EH683" s="4"/>
      <c r="EI683" s="4"/>
      <c r="EJ683" s="4"/>
      <c r="EK683" s="4"/>
      <c r="EL683" s="4"/>
      <c r="EM683" s="693"/>
      <c r="EN683" s="723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654"/>
      <c r="EZ683" s="655">
        <v>72</v>
      </c>
      <c r="FA683" s="4">
        <v>72</v>
      </c>
      <c r="FB683" s="4">
        <v>72</v>
      </c>
      <c r="FC683" s="4"/>
      <c r="FD683" s="4"/>
      <c r="FE683" s="4"/>
      <c r="FF683" s="4"/>
      <c r="FG683" s="4"/>
      <c r="FH683" s="4"/>
      <c r="FI683" s="4"/>
      <c r="FJ683" s="4"/>
      <c r="FK683" s="654"/>
      <c r="FL683" s="655"/>
      <c r="FM683" s="4"/>
      <c r="FN683" s="4"/>
      <c r="FO683" s="4"/>
      <c r="FP683" s="4"/>
      <c r="FQ683" s="4"/>
      <c r="FR683" s="4"/>
      <c r="FS683" s="4"/>
      <c r="FT683" s="4"/>
      <c r="FU683" s="4"/>
      <c r="FV683" s="4"/>
      <c r="FW683" s="654"/>
      <c r="FX683" s="655"/>
      <c r="FY683" s="4"/>
      <c r="FZ683" s="4"/>
      <c r="GA683" s="4"/>
      <c r="GB683" s="4"/>
      <c r="GC683" s="4"/>
      <c r="GD683" s="4"/>
      <c r="GE683" s="4"/>
      <c r="GF683" s="4"/>
      <c r="GG683" s="4"/>
      <c r="GH683" s="4"/>
      <c r="GI683" s="654"/>
      <c r="GJ683" s="655"/>
      <c r="GK683" s="4"/>
      <c r="GL683" s="4"/>
      <c r="GM683" s="4"/>
      <c r="GN683" s="4"/>
      <c r="GO683" s="4"/>
      <c r="GP683" s="4"/>
      <c r="GQ683" s="4"/>
      <c r="GR683" s="4"/>
      <c r="GS683" s="4"/>
      <c r="GT683" s="4"/>
      <c r="GU683" s="722"/>
      <c r="GV683" s="715"/>
    </row>
    <row r="684" spans="1:204" x14ac:dyDescent="0.25">
      <c r="A684" t="s">
        <v>2397</v>
      </c>
      <c r="B684" s="2" t="s">
        <v>2396</v>
      </c>
      <c r="C684" s="619">
        <v>44844</v>
      </c>
      <c r="D684" s="2" t="s">
        <v>2391</v>
      </c>
      <c r="E684" t="s">
        <v>58</v>
      </c>
      <c r="F684" s="2" t="s">
        <v>2473</v>
      </c>
      <c r="G684" t="s">
        <v>40</v>
      </c>
      <c r="H684" s="690" t="s">
        <v>84</v>
      </c>
      <c r="I684" s="691" t="s">
        <v>478</v>
      </c>
      <c r="J684" s="721" t="s">
        <v>2174</v>
      </c>
      <c r="K684" s="691" t="s">
        <v>2473</v>
      </c>
      <c r="L684" s="721" t="s">
        <v>2146</v>
      </c>
      <c r="M684" s="718" t="s">
        <v>3</v>
      </c>
      <c r="N684" s="717" t="s">
        <v>44</v>
      </c>
      <c r="O684" s="719">
        <v>44927</v>
      </c>
      <c r="P684" s="720">
        <v>45016</v>
      </c>
      <c r="Q684" s="718">
        <v>72.2</v>
      </c>
      <c r="R684" s="717">
        <v>10</v>
      </c>
      <c r="S684" s="691" t="s">
        <v>54</v>
      </c>
      <c r="T684" t="s">
        <v>358</v>
      </c>
      <c r="U684" s="673" t="s">
        <v>358</v>
      </c>
      <c r="V684" s="690" t="s">
        <v>358</v>
      </c>
      <c r="W684" s="657" t="s">
        <v>329</v>
      </c>
      <c r="X684" s="723"/>
      <c r="Y684" s="4"/>
      <c r="Z684" s="4"/>
      <c r="AA684" s="4"/>
      <c r="AB684" s="4"/>
      <c r="AC684" s="4"/>
      <c r="AD684" s="4"/>
      <c r="AE684" s="4"/>
      <c r="AF684" s="4"/>
      <c r="AG684" s="4"/>
      <c r="AH684" s="4"/>
      <c r="AI684" s="654"/>
      <c r="AJ684" s="655">
        <v>10</v>
      </c>
      <c r="AK684" s="4">
        <v>10</v>
      </c>
      <c r="AL684" s="4">
        <v>10</v>
      </c>
      <c r="AM684" s="4"/>
      <c r="AN684" s="4"/>
      <c r="AO684" s="4"/>
      <c r="AP684" s="4"/>
      <c r="AQ684" s="4"/>
      <c r="AR684" s="4"/>
      <c r="AS684" s="4"/>
      <c r="AT684" s="4"/>
      <c r="AU684" s="654"/>
      <c r="AV684" s="655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654"/>
      <c r="BH684" s="655"/>
      <c r="BI684" s="4"/>
      <c r="BJ684" s="4"/>
      <c r="BK684" s="4"/>
      <c r="BL684" s="4"/>
      <c r="BM684" s="4"/>
      <c r="BN684" s="4"/>
      <c r="BO684" s="4"/>
      <c r="BP684" s="4"/>
      <c r="BQ684" s="4"/>
      <c r="BR684" s="4"/>
      <c r="BS684" s="654"/>
      <c r="BT684" s="655"/>
      <c r="BU684" s="4"/>
      <c r="BV684" s="4"/>
      <c r="BW684" s="4"/>
      <c r="BX684" s="4"/>
      <c r="BY684" s="4"/>
      <c r="BZ684" s="4"/>
      <c r="CA684" s="4"/>
      <c r="CB684" s="4"/>
      <c r="CC684" s="4"/>
      <c r="CD684" s="4"/>
      <c r="CE684" s="693"/>
      <c r="CF684" s="723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654"/>
      <c r="CR684" s="655">
        <v>72.2</v>
      </c>
      <c r="CS684" s="4">
        <v>72.2</v>
      </c>
      <c r="CT684" s="4">
        <v>72.2</v>
      </c>
      <c r="CU684" s="4"/>
      <c r="CV684" s="4"/>
      <c r="CW684" s="4"/>
      <c r="CX684" s="4"/>
      <c r="CY684" s="4"/>
      <c r="CZ684" s="4"/>
      <c r="DA684" s="4"/>
      <c r="DB684" s="4"/>
      <c r="DC684" s="654"/>
      <c r="DD684" s="655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654"/>
      <c r="DP684" s="655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654"/>
      <c r="EB684" s="655"/>
      <c r="EC684" s="4"/>
      <c r="ED684" s="4"/>
      <c r="EE684" s="4"/>
      <c r="EF684" s="4"/>
      <c r="EG684" s="4"/>
      <c r="EH684" s="4"/>
      <c r="EI684" s="4"/>
      <c r="EJ684" s="4"/>
      <c r="EK684" s="4"/>
      <c r="EL684" s="4"/>
      <c r="EM684" s="693"/>
      <c r="EN684" s="723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654"/>
      <c r="EZ684" s="655">
        <v>72.2</v>
      </c>
      <c r="FA684" s="4">
        <v>72.2</v>
      </c>
      <c r="FB684" s="4">
        <v>72.2</v>
      </c>
      <c r="FC684" s="4"/>
      <c r="FD684" s="4"/>
      <c r="FE684" s="4"/>
      <c r="FF684" s="4"/>
      <c r="FG684" s="4"/>
      <c r="FH684" s="4"/>
      <c r="FI684" s="4"/>
      <c r="FJ684" s="4"/>
      <c r="FK684" s="654"/>
      <c r="FL684" s="655"/>
      <c r="FM684" s="4"/>
      <c r="FN684" s="4"/>
      <c r="FO684" s="4"/>
      <c r="FP684" s="4"/>
      <c r="FQ684" s="4"/>
      <c r="FR684" s="4"/>
      <c r="FS684" s="4"/>
      <c r="FT684" s="4"/>
      <c r="FU684" s="4"/>
      <c r="FV684" s="4"/>
      <c r="FW684" s="654"/>
      <c r="FX684" s="655"/>
      <c r="FY684" s="4"/>
      <c r="FZ684" s="4"/>
      <c r="GA684" s="4"/>
      <c r="GB684" s="4"/>
      <c r="GC684" s="4"/>
      <c r="GD684" s="4"/>
      <c r="GE684" s="4"/>
      <c r="GF684" s="4"/>
      <c r="GG684" s="4"/>
      <c r="GH684" s="4"/>
      <c r="GI684" s="654"/>
      <c r="GJ684" s="655"/>
      <c r="GK684" s="4"/>
      <c r="GL684" s="4"/>
      <c r="GM684" s="4"/>
      <c r="GN684" s="4"/>
      <c r="GO684" s="4"/>
      <c r="GP684" s="4"/>
      <c r="GQ684" s="4"/>
      <c r="GR684" s="4"/>
      <c r="GS684" s="4"/>
      <c r="GT684" s="4"/>
      <c r="GU684" s="722"/>
      <c r="GV684" s="715"/>
    </row>
    <row r="685" spans="1:204" x14ac:dyDescent="0.25">
      <c r="A685" t="s">
        <v>2398</v>
      </c>
      <c r="B685" s="2" t="s">
        <v>358</v>
      </c>
      <c r="C685" s="619">
        <v>44844</v>
      </c>
      <c r="D685" s="2" t="s">
        <v>2392</v>
      </c>
      <c r="E685" t="s">
        <v>58</v>
      </c>
      <c r="F685" s="2" t="s">
        <v>2473</v>
      </c>
      <c r="G685" t="s">
        <v>40</v>
      </c>
      <c r="H685" s="690" t="s">
        <v>84</v>
      </c>
      <c r="I685" s="691" t="s">
        <v>1920</v>
      </c>
      <c r="J685" s="721" t="s">
        <v>2393</v>
      </c>
      <c r="K685" s="691" t="s">
        <v>2473</v>
      </c>
      <c r="L685" s="721" t="s">
        <v>2146</v>
      </c>
      <c r="M685" s="718" t="s">
        <v>3</v>
      </c>
      <c r="N685" s="717" t="s">
        <v>44</v>
      </c>
      <c r="O685" s="719">
        <v>44958</v>
      </c>
      <c r="P685" s="720">
        <v>44985</v>
      </c>
      <c r="Q685" s="718">
        <v>73</v>
      </c>
      <c r="R685" s="717">
        <v>0.3</v>
      </c>
      <c r="S685" s="691" t="s">
        <v>54</v>
      </c>
      <c r="T685" t="s">
        <v>358</v>
      </c>
      <c r="U685" s="673" t="s">
        <v>358</v>
      </c>
      <c r="V685" s="690" t="s">
        <v>358</v>
      </c>
      <c r="W685" s="657" t="s">
        <v>214</v>
      </c>
      <c r="X685" s="723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654"/>
      <c r="AJ685" s="655"/>
      <c r="AK685" s="4">
        <v>0.3</v>
      </c>
      <c r="AL685" s="4"/>
      <c r="AM685" s="4"/>
      <c r="AN685" s="4"/>
      <c r="AO685" s="4"/>
      <c r="AP685" s="4"/>
      <c r="AQ685" s="4"/>
      <c r="AR685" s="4"/>
      <c r="AS685" s="4"/>
      <c r="AT685" s="4"/>
      <c r="AU685" s="654"/>
      <c r="AV685" s="655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654"/>
      <c r="BH685" s="655"/>
      <c r="BI685" s="4"/>
      <c r="BJ685" s="4"/>
      <c r="BK685" s="4"/>
      <c r="BL685" s="4"/>
      <c r="BM685" s="4"/>
      <c r="BN685" s="4"/>
      <c r="BO685" s="4"/>
      <c r="BP685" s="4"/>
      <c r="BQ685" s="4"/>
      <c r="BR685" s="4"/>
      <c r="BS685" s="654"/>
      <c r="BT685" s="655"/>
      <c r="BU685" s="4"/>
      <c r="BV685" s="4"/>
      <c r="BW685" s="4"/>
      <c r="BX685" s="4"/>
      <c r="BY685" s="4"/>
      <c r="BZ685" s="4"/>
      <c r="CA685" s="4"/>
      <c r="CB685" s="4"/>
      <c r="CC685" s="4"/>
      <c r="CD685" s="4"/>
      <c r="CE685" s="693"/>
      <c r="CF685" s="723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654"/>
      <c r="CR685" s="655"/>
      <c r="CS685" s="4">
        <v>73</v>
      </c>
      <c r="CT685" s="4"/>
      <c r="CU685" s="4"/>
      <c r="CV685" s="4"/>
      <c r="CW685" s="4"/>
      <c r="CX685" s="4"/>
      <c r="CY685" s="4"/>
      <c r="CZ685" s="4"/>
      <c r="DA685" s="4"/>
      <c r="DB685" s="4"/>
      <c r="DC685" s="654"/>
      <c r="DD685" s="655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654"/>
      <c r="DP685" s="655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654"/>
      <c r="EB685" s="655"/>
      <c r="EC685" s="4"/>
      <c r="ED685" s="4"/>
      <c r="EE685" s="4"/>
      <c r="EF685" s="4"/>
      <c r="EG685" s="4"/>
      <c r="EH685" s="4"/>
      <c r="EI685" s="4"/>
      <c r="EJ685" s="4"/>
      <c r="EK685" s="4"/>
      <c r="EL685" s="4"/>
      <c r="EM685" s="693"/>
      <c r="EN685" s="723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654"/>
      <c r="EZ685" s="655"/>
      <c r="FA685" s="4">
        <v>73</v>
      </c>
      <c r="FB685" s="4"/>
      <c r="FC685" s="4"/>
      <c r="FD685" s="4"/>
      <c r="FE685" s="4"/>
      <c r="FF685" s="4"/>
      <c r="FG685" s="4"/>
      <c r="FH685" s="4"/>
      <c r="FI685" s="4"/>
      <c r="FJ685" s="4"/>
      <c r="FK685" s="654"/>
      <c r="FL685" s="655"/>
      <c r="FM685" s="4"/>
      <c r="FN685" s="4"/>
      <c r="FO685" s="4"/>
      <c r="FP685" s="4"/>
      <c r="FQ685" s="4"/>
      <c r="FR685" s="4"/>
      <c r="FS685" s="4"/>
      <c r="FT685" s="4"/>
      <c r="FU685" s="4"/>
      <c r="FV685" s="4"/>
      <c r="FW685" s="654"/>
      <c r="FX685" s="655"/>
      <c r="FY685" s="4"/>
      <c r="FZ685" s="4"/>
      <c r="GA685" s="4"/>
      <c r="GB685" s="4"/>
      <c r="GC685" s="4"/>
      <c r="GD685" s="4"/>
      <c r="GE685" s="4"/>
      <c r="GF685" s="4"/>
      <c r="GG685" s="4"/>
      <c r="GH685" s="4"/>
      <c r="GI685" s="654"/>
      <c r="GJ685" s="655"/>
      <c r="GK685" s="4"/>
      <c r="GL685" s="4"/>
      <c r="GM685" s="4"/>
      <c r="GN685" s="4"/>
      <c r="GO685" s="4"/>
      <c r="GP685" s="4"/>
      <c r="GQ685" s="4"/>
      <c r="GR685" s="4"/>
      <c r="GS685" s="4"/>
      <c r="GT685" s="4"/>
      <c r="GU685" s="722"/>
      <c r="GV685" s="715"/>
    </row>
    <row r="686" spans="1:204" x14ac:dyDescent="0.25">
      <c r="A686" t="s">
        <v>2403</v>
      </c>
      <c r="B686" s="2" t="s">
        <v>2402</v>
      </c>
      <c r="C686" s="619">
        <v>44847</v>
      </c>
      <c r="D686" s="2" t="s">
        <v>2399</v>
      </c>
      <c r="E686" t="s">
        <v>59</v>
      </c>
      <c r="F686" s="2" t="s">
        <v>2473</v>
      </c>
      <c r="G686" t="s">
        <v>40</v>
      </c>
      <c r="H686" s="690" t="s">
        <v>85</v>
      </c>
      <c r="I686" s="691" t="s">
        <v>2473</v>
      </c>
      <c r="J686" s="721" t="s">
        <v>2146</v>
      </c>
      <c r="K686" s="691" t="s">
        <v>2121</v>
      </c>
      <c r="L686" s="721" t="s">
        <v>2245</v>
      </c>
      <c r="M686" s="718" t="s">
        <v>3</v>
      </c>
      <c r="N686" s="717" t="s">
        <v>44</v>
      </c>
      <c r="O686" s="719">
        <v>45108</v>
      </c>
      <c r="P686" s="720">
        <v>45291</v>
      </c>
      <c r="Q686" s="718">
        <v>115</v>
      </c>
      <c r="R686" s="717">
        <v>10</v>
      </c>
      <c r="S686" s="691" t="s">
        <v>54</v>
      </c>
      <c r="T686" t="s">
        <v>358</v>
      </c>
      <c r="U686" s="673" t="s">
        <v>358</v>
      </c>
      <c r="V686" s="690" t="s">
        <v>358</v>
      </c>
      <c r="W686" s="657" t="s">
        <v>329</v>
      </c>
      <c r="X686" s="723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654"/>
      <c r="AJ686" s="655"/>
      <c r="AK686" s="4"/>
      <c r="AL686" s="4"/>
      <c r="AM686" s="4"/>
      <c r="AN686" s="4"/>
      <c r="AO686" s="4"/>
      <c r="AP686" s="4">
        <v>10</v>
      </c>
      <c r="AQ686" s="4">
        <v>10</v>
      </c>
      <c r="AR686" s="4">
        <v>10</v>
      </c>
      <c r="AS686" s="4">
        <v>10</v>
      </c>
      <c r="AT686" s="4">
        <v>10</v>
      </c>
      <c r="AU686" s="654">
        <v>10</v>
      </c>
      <c r="AV686" s="655"/>
      <c r="AW686" s="4"/>
      <c r="AX686" s="4"/>
      <c r="AY686" s="4"/>
      <c r="AZ686" s="4"/>
      <c r="BA686" s="4"/>
      <c r="BB686" s="4"/>
      <c r="BC686" s="4"/>
      <c r="BD686" s="4"/>
      <c r="BE686" s="4"/>
      <c r="BF686" s="4"/>
      <c r="BG686" s="654"/>
      <c r="BH686" s="655"/>
      <c r="BI686" s="4"/>
      <c r="BJ686" s="4"/>
      <c r="BK686" s="4"/>
      <c r="BL686" s="4"/>
      <c r="BM686" s="4"/>
      <c r="BN686" s="4"/>
      <c r="BO686" s="4"/>
      <c r="BP686" s="4"/>
      <c r="BQ686" s="4"/>
      <c r="BR686" s="4"/>
      <c r="BS686" s="654"/>
      <c r="BT686" s="655"/>
      <c r="BU686" s="4"/>
      <c r="BV686" s="4"/>
      <c r="BW686" s="4"/>
      <c r="BX686" s="4"/>
      <c r="BY686" s="4"/>
      <c r="BZ686" s="4"/>
      <c r="CA686" s="4"/>
      <c r="CB686" s="4"/>
      <c r="CC686" s="4"/>
      <c r="CD686" s="4"/>
      <c r="CE686" s="693"/>
      <c r="CF686" s="723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654"/>
      <c r="CR686" s="655"/>
      <c r="CS686" s="4"/>
      <c r="CT686" s="4"/>
      <c r="CU686" s="4"/>
      <c r="CV686" s="4"/>
      <c r="CW686" s="4"/>
      <c r="CX686" s="4">
        <v>115</v>
      </c>
      <c r="CY686" s="4">
        <v>115</v>
      </c>
      <c r="CZ686" s="4">
        <v>115</v>
      </c>
      <c r="DA686" s="4">
        <v>115</v>
      </c>
      <c r="DB686" s="4">
        <v>115</v>
      </c>
      <c r="DC686" s="654">
        <v>115</v>
      </c>
      <c r="DD686" s="655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654"/>
      <c r="DP686" s="655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654"/>
      <c r="EB686" s="655"/>
      <c r="EC686" s="4"/>
      <c r="ED686" s="4"/>
      <c r="EE686" s="4"/>
      <c r="EF686" s="4"/>
      <c r="EG686" s="4"/>
      <c r="EH686" s="4"/>
      <c r="EI686" s="4"/>
      <c r="EJ686" s="4"/>
      <c r="EK686" s="4"/>
      <c r="EL686" s="4"/>
      <c r="EM686" s="693"/>
      <c r="EN686" s="723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654"/>
      <c r="EZ686" s="655"/>
      <c r="FA686" s="4"/>
      <c r="FB686" s="4"/>
      <c r="FC686" s="4"/>
      <c r="FD686" s="4"/>
      <c r="FE686" s="4"/>
      <c r="FF686" s="4">
        <v>115</v>
      </c>
      <c r="FG686" s="4">
        <v>115</v>
      </c>
      <c r="FH686" s="4">
        <v>115</v>
      </c>
      <c r="FI686" s="4">
        <v>115</v>
      </c>
      <c r="FJ686" s="4">
        <v>115</v>
      </c>
      <c r="FK686" s="654">
        <v>115</v>
      </c>
      <c r="FL686" s="655"/>
      <c r="FM686" s="4"/>
      <c r="FN686" s="4"/>
      <c r="FO686" s="4"/>
      <c r="FP686" s="4"/>
      <c r="FQ686" s="4"/>
      <c r="FR686" s="4"/>
      <c r="FS686" s="4"/>
      <c r="FT686" s="4"/>
      <c r="FU686" s="4"/>
      <c r="FV686" s="4"/>
      <c r="FW686" s="654"/>
      <c r="FX686" s="655"/>
      <c r="FY686" s="4"/>
      <c r="FZ686" s="4"/>
      <c r="GA686" s="4"/>
      <c r="GB686" s="4"/>
      <c r="GC686" s="4"/>
      <c r="GD686" s="4"/>
      <c r="GE686" s="4"/>
      <c r="GF686" s="4"/>
      <c r="GG686" s="4"/>
      <c r="GH686" s="4"/>
      <c r="GI686" s="654"/>
      <c r="GJ686" s="655"/>
      <c r="GK686" s="4"/>
      <c r="GL686" s="4"/>
      <c r="GM686" s="4"/>
      <c r="GN686" s="4"/>
      <c r="GO686" s="4"/>
      <c r="GP686" s="4"/>
      <c r="GQ686" s="4"/>
      <c r="GR686" s="4"/>
      <c r="GS686" s="4"/>
      <c r="GT686" s="4"/>
      <c r="GU686" s="722"/>
      <c r="GV686" s="715"/>
    </row>
    <row r="687" spans="1:204" x14ac:dyDescent="0.25">
      <c r="A687" t="s">
        <v>2405</v>
      </c>
      <c r="B687" s="2" t="s">
        <v>2404</v>
      </c>
      <c r="C687" s="619">
        <v>44847</v>
      </c>
      <c r="D687" s="2" t="s">
        <v>2400</v>
      </c>
      <c r="E687" t="s">
        <v>59</v>
      </c>
      <c r="F687" s="2" t="s">
        <v>2473</v>
      </c>
      <c r="G687" t="s">
        <v>40</v>
      </c>
      <c r="H687" s="690" t="s">
        <v>85</v>
      </c>
      <c r="I687" s="691" t="s">
        <v>2473</v>
      </c>
      <c r="J687" s="721" t="s">
        <v>2146</v>
      </c>
      <c r="K687" s="691" t="s">
        <v>2351</v>
      </c>
      <c r="L687" s="721" t="s">
        <v>2352</v>
      </c>
      <c r="M687" s="718" t="s">
        <v>3</v>
      </c>
      <c r="N687" s="717" t="s">
        <v>44</v>
      </c>
      <c r="O687" s="719">
        <v>45108</v>
      </c>
      <c r="P687" s="720">
        <v>45291</v>
      </c>
      <c r="Q687" s="718">
        <v>115</v>
      </c>
      <c r="R687" s="717">
        <v>4</v>
      </c>
      <c r="S687" s="691" t="s">
        <v>54</v>
      </c>
      <c r="T687" t="s">
        <v>358</v>
      </c>
      <c r="U687" s="673" t="s">
        <v>358</v>
      </c>
      <c r="V687" s="690" t="s">
        <v>358</v>
      </c>
      <c r="W687" s="657" t="s">
        <v>329</v>
      </c>
      <c r="X687" s="723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654"/>
      <c r="AJ687" s="655"/>
      <c r="AK687" s="4"/>
      <c r="AL687" s="4"/>
      <c r="AM687" s="4"/>
      <c r="AN687" s="4"/>
      <c r="AO687" s="4"/>
      <c r="AP687" s="4">
        <v>4</v>
      </c>
      <c r="AQ687" s="4">
        <v>4</v>
      </c>
      <c r="AR687" s="4">
        <v>4</v>
      </c>
      <c r="AS687" s="4">
        <v>4</v>
      </c>
      <c r="AT687" s="4">
        <v>4</v>
      </c>
      <c r="AU687" s="654">
        <v>4</v>
      </c>
      <c r="AV687" s="655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654"/>
      <c r="BH687" s="655"/>
      <c r="BI687" s="4"/>
      <c r="BJ687" s="4"/>
      <c r="BK687" s="4"/>
      <c r="BL687" s="4"/>
      <c r="BM687" s="4"/>
      <c r="BN687" s="4"/>
      <c r="BO687" s="4"/>
      <c r="BP687" s="4"/>
      <c r="BQ687" s="4"/>
      <c r="BR687" s="4"/>
      <c r="BS687" s="654"/>
      <c r="BT687" s="655"/>
      <c r="BU687" s="4"/>
      <c r="BV687" s="4"/>
      <c r="BW687" s="4"/>
      <c r="BX687" s="4"/>
      <c r="BY687" s="4"/>
      <c r="BZ687" s="4"/>
      <c r="CA687" s="4"/>
      <c r="CB687" s="4"/>
      <c r="CC687" s="4"/>
      <c r="CD687" s="4"/>
      <c r="CE687" s="693"/>
      <c r="CF687" s="723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654"/>
      <c r="CR687" s="655"/>
      <c r="CS687" s="4"/>
      <c r="CT687" s="4"/>
      <c r="CU687" s="4"/>
      <c r="CV687" s="4"/>
      <c r="CW687" s="4"/>
      <c r="CX687" s="4">
        <v>115</v>
      </c>
      <c r="CY687" s="4">
        <v>115</v>
      </c>
      <c r="CZ687" s="4">
        <v>115</v>
      </c>
      <c r="DA687" s="4">
        <v>115</v>
      </c>
      <c r="DB687" s="4">
        <v>115</v>
      </c>
      <c r="DC687" s="654">
        <v>115</v>
      </c>
      <c r="DD687" s="655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654"/>
      <c r="DP687" s="655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654"/>
      <c r="EB687" s="655"/>
      <c r="EC687" s="4"/>
      <c r="ED687" s="4"/>
      <c r="EE687" s="4"/>
      <c r="EF687" s="4"/>
      <c r="EG687" s="4"/>
      <c r="EH687" s="4"/>
      <c r="EI687" s="4"/>
      <c r="EJ687" s="4"/>
      <c r="EK687" s="4"/>
      <c r="EL687" s="4"/>
      <c r="EM687" s="693"/>
      <c r="EN687" s="723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654"/>
      <c r="EZ687" s="655"/>
      <c r="FA687" s="4"/>
      <c r="FB687" s="4"/>
      <c r="FC687" s="4"/>
      <c r="FD687" s="4"/>
      <c r="FE687" s="4"/>
      <c r="FF687" s="4">
        <v>115</v>
      </c>
      <c r="FG687" s="4">
        <v>115</v>
      </c>
      <c r="FH687" s="4">
        <v>115</v>
      </c>
      <c r="FI687" s="4">
        <v>115</v>
      </c>
      <c r="FJ687" s="4">
        <v>115</v>
      </c>
      <c r="FK687" s="654">
        <v>115</v>
      </c>
      <c r="FL687" s="655"/>
      <c r="FM687" s="4"/>
      <c r="FN687" s="4"/>
      <c r="FO687" s="4"/>
      <c r="FP687" s="4"/>
      <c r="FQ687" s="4"/>
      <c r="FR687" s="4"/>
      <c r="FS687" s="4"/>
      <c r="FT687" s="4"/>
      <c r="FU687" s="4"/>
      <c r="FV687" s="4"/>
      <c r="FW687" s="654"/>
      <c r="FX687" s="655"/>
      <c r="FY687" s="4"/>
      <c r="FZ687" s="4"/>
      <c r="GA687" s="4"/>
      <c r="GB687" s="4"/>
      <c r="GC687" s="4"/>
      <c r="GD687" s="4"/>
      <c r="GE687" s="4"/>
      <c r="GF687" s="4"/>
      <c r="GG687" s="4"/>
      <c r="GH687" s="4"/>
      <c r="GI687" s="654"/>
      <c r="GJ687" s="655"/>
      <c r="GK687" s="4"/>
      <c r="GL687" s="4"/>
      <c r="GM687" s="4"/>
      <c r="GN687" s="4"/>
      <c r="GO687" s="4"/>
      <c r="GP687" s="4"/>
      <c r="GQ687" s="4"/>
      <c r="GR687" s="4"/>
      <c r="GS687" s="4"/>
      <c r="GT687" s="4"/>
      <c r="GU687" s="722"/>
      <c r="GV687" s="715"/>
    </row>
    <row r="688" spans="1:204" x14ac:dyDescent="0.25">
      <c r="A688" t="s">
        <v>2407</v>
      </c>
      <c r="B688" s="2" t="s">
        <v>2406</v>
      </c>
      <c r="C688" s="619">
        <v>44847</v>
      </c>
      <c r="D688" s="2" t="s">
        <v>2401</v>
      </c>
      <c r="E688" t="s">
        <v>59</v>
      </c>
      <c r="F688" s="2" t="s">
        <v>2473</v>
      </c>
      <c r="G688" t="s">
        <v>40</v>
      </c>
      <c r="H688" s="690" t="s">
        <v>85</v>
      </c>
      <c r="I688" s="691" t="s">
        <v>2473</v>
      </c>
      <c r="J688" s="721" t="s">
        <v>2146</v>
      </c>
      <c r="K688" s="691" t="s">
        <v>471</v>
      </c>
      <c r="L688" s="721" t="s">
        <v>2244</v>
      </c>
      <c r="M688" s="718" t="s">
        <v>3</v>
      </c>
      <c r="N688" s="717" t="s">
        <v>44</v>
      </c>
      <c r="O688" s="719">
        <v>45108</v>
      </c>
      <c r="P688" s="720">
        <v>45291</v>
      </c>
      <c r="Q688" s="718">
        <v>115.5</v>
      </c>
      <c r="R688" s="717">
        <v>1</v>
      </c>
      <c r="S688" s="691" t="s">
        <v>54</v>
      </c>
      <c r="T688" t="s">
        <v>358</v>
      </c>
      <c r="U688" s="673" t="s">
        <v>358</v>
      </c>
      <c r="V688" s="690" t="s">
        <v>358</v>
      </c>
      <c r="W688" s="657" t="s">
        <v>329</v>
      </c>
      <c r="X688" s="723"/>
      <c r="Y688" s="4"/>
      <c r="Z688" s="4"/>
      <c r="AA688" s="4"/>
      <c r="AB688" s="4"/>
      <c r="AC688" s="4"/>
      <c r="AD688" s="4"/>
      <c r="AE688" s="4"/>
      <c r="AF688" s="4"/>
      <c r="AG688" s="4"/>
      <c r="AH688" s="4"/>
      <c r="AI688" s="654"/>
      <c r="AJ688" s="655"/>
      <c r="AK688" s="4"/>
      <c r="AL688" s="4"/>
      <c r="AM688" s="4"/>
      <c r="AN688" s="4"/>
      <c r="AO688" s="4"/>
      <c r="AP688" s="4">
        <v>1</v>
      </c>
      <c r="AQ688" s="4">
        <v>1</v>
      </c>
      <c r="AR688" s="4">
        <v>1</v>
      </c>
      <c r="AS688" s="4">
        <v>1</v>
      </c>
      <c r="AT688" s="4">
        <v>1</v>
      </c>
      <c r="AU688" s="654">
        <v>1</v>
      </c>
      <c r="AV688" s="655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654"/>
      <c r="BH688" s="655"/>
      <c r="BI688" s="4"/>
      <c r="BJ688" s="4"/>
      <c r="BK688" s="4"/>
      <c r="BL688" s="4"/>
      <c r="BM688" s="4"/>
      <c r="BN688" s="4"/>
      <c r="BO688" s="4"/>
      <c r="BP688" s="4"/>
      <c r="BQ688" s="4"/>
      <c r="BR688" s="4"/>
      <c r="BS688" s="654"/>
      <c r="BT688" s="655"/>
      <c r="BU688" s="4"/>
      <c r="BV688" s="4"/>
      <c r="BW688" s="4"/>
      <c r="BX688" s="4"/>
      <c r="BY688" s="4"/>
      <c r="BZ688" s="4"/>
      <c r="CA688" s="4"/>
      <c r="CB688" s="4"/>
      <c r="CC688" s="4"/>
      <c r="CD688" s="4"/>
      <c r="CE688" s="693"/>
      <c r="CF688" s="723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654"/>
      <c r="CR688" s="655"/>
      <c r="CS688" s="4"/>
      <c r="CT688" s="4"/>
      <c r="CU688" s="4"/>
      <c r="CV688" s="4"/>
      <c r="CW688" s="4"/>
      <c r="CX688" s="4">
        <v>115.5</v>
      </c>
      <c r="CY688" s="4">
        <v>115.5</v>
      </c>
      <c r="CZ688" s="4">
        <v>115.5</v>
      </c>
      <c r="DA688" s="4">
        <v>115.5</v>
      </c>
      <c r="DB688" s="4">
        <v>115.5</v>
      </c>
      <c r="DC688" s="654">
        <v>115.5</v>
      </c>
      <c r="DD688" s="655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654"/>
      <c r="DP688" s="655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654"/>
      <c r="EB688" s="655"/>
      <c r="EC688" s="4"/>
      <c r="ED688" s="4"/>
      <c r="EE688" s="4"/>
      <c r="EF688" s="4"/>
      <c r="EG688" s="4"/>
      <c r="EH688" s="4"/>
      <c r="EI688" s="4"/>
      <c r="EJ688" s="4"/>
      <c r="EK688" s="4"/>
      <c r="EL688" s="4"/>
      <c r="EM688" s="693"/>
      <c r="EN688" s="723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654"/>
      <c r="EZ688" s="655"/>
      <c r="FA688" s="4"/>
      <c r="FB688" s="4"/>
      <c r="FC688" s="4"/>
      <c r="FD688" s="4"/>
      <c r="FE688" s="4"/>
      <c r="FF688" s="4">
        <v>115.5</v>
      </c>
      <c r="FG688" s="4">
        <v>115.5</v>
      </c>
      <c r="FH688" s="4">
        <v>115.5</v>
      </c>
      <c r="FI688" s="4">
        <v>115.5</v>
      </c>
      <c r="FJ688" s="4">
        <v>115.5</v>
      </c>
      <c r="FK688" s="654">
        <v>115.5</v>
      </c>
      <c r="FL688" s="655"/>
      <c r="FM688" s="4"/>
      <c r="FN688" s="4"/>
      <c r="FO688" s="4"/>
      <c r="FP688" s="4"/>
      <c r="FQ688" s="4"/>
      <c r="FR688" s="4"/>
      <c r="FS688" s="4"/>
      <c r="FT688" s="4"/>
      <c r="FU688" s="4"/>
      <c r="FV688" s="4"/>
      <c r="FW688" s="654"/>
      <c r="FX688" s="655"/>
      <c r="FY688" s="4"/>
      <c r="FZ688" s="4"/>
      <c r="GA688" s="4"/>
      <c r="GB688" s="4"/>
      <c r="GC688" s="4"/>
      <c r="GD688" s="4"/>
      <c r="GE688" s="4"/>
      <c r="GF688" s="4"/>
      <c r="GG688" s="4"/>
      <c r="GH688" s="4"/>
      <c r="GI688" s="654"/>
      <c r="GJ688" s="655"/>
      <c r="GK688" s="4"/>
      <c r="GL688" s="4"/>
      <c r="GM688" s="4"/>
      <c r="GN688" s="4"/>
      <c r="GO688" s="4"/>
      <c r="GP688" s="4"/>
      <c r="GQ688" s="4"/>
      <c r="GR688" s="4"/>
      <c r="GS688" s="4"/>
      <c r="GT688" s="4"/>
      <c r="GU688" s="722"/>
      <c r="GV688" s="715"/>
    </row>
    <row r="689" spans="1:204" x14ac:dyDescent="0.25">
      <c r="A689" t="s">
        <v>2408</v>
      </c>
      <c r="B689" s="2" t="s">
        <v>358</v>
      </c>
      <c r="C689" s="619">
        <v>44847</v>
      </c>
      <c r="D689" s="2" t="s">
        <v>2481</v>
      </c>
      <c r="E689" t="s">
        <v>58</v>
      </c>
      <c r="F689" s="2" t="s">
        <v>2473</v>
      </c>
      <c r="G689" t="s">
        <v>40</v>
      </c>
      <c r="H689" s="690" t="s">
        <v>84</v>
      </c>
      <c r="I689" s="691" t="s">
        <v>346</v>
      </c>
      <c r="J689" s="721"/>
      <c r="K689" s="691" t="s">
        <v>2473</v>
      </c>
      <c r="L689" s="721"/>
      <c r="M689" s="718" t="s">
        <v>3</v>
      </c>
      <c r="N689" s="717" t="s">
        <v>44</v>
      </c>
      <c r="O689" s="719">
        <v>45108</v>
      </c>
      <c r="P689" s="720">
        <v>45291</v>
      </c>
      <c r="Q689" s="718">
        <v>114.65</v>
      </c>
      <c r="R689" s="717">
        <v>5</v>
      </c>
      <c r="S689" s="691" t="s">
        <v>54</v>
      </c>
      <c r="T689" t="s">
        <v>358</v>
      </c>
      <c r="U689" s="673" t="s">
        <v>358</v>
      </c>
      <c r="V689" s="690" t="s">
        <v>358</v>
      </c>
      <c r="W689" s="657" t="s">
        <v>214</v>
      </c>
      <c r="X689" s="723"/>
      <c r="Y689" s="4"/>
      <c r="Z689" s="4"/>
      <c r="AA689" s="4"/>
      <c r="AB689" s="4"/>
      <c r="AC689" s="4"/>
      <c r="AD689" s="4"/>
      <c r="AE689" s="4"/>
      <c r="AF689" s="4"/>
      <c r="AG689" s="4"/>
      <c r="AH689" s="4"/>
      <c r="AI689" s="654"/>
      <c r="AJ689" s="655"/>
      <c r="AK689" s="4"/>
      <c r="AL689" s="4"/>
      <c r="AM689" s="4"/>
      <c r="AN689" s="4"/>
      <c r="AO689" s="4"/>
      <c r="AP689" s="4">
        <v>5</v>
      </c>
      <c r="AQ689" s="4">
        <v>5</v>
      </c>
      <c r="AR689" s="4">
        <v>5</v>
      </c>
      <c r="AS689" s="4">
        <v>5</v>
      </c>
      <c r="AT689" s="4">
        <v>5</v>
      </c>
      <c r="AU689" s="654">
        <v>5</v>
      </c>
      <c r="AV689" s="655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654"/>
      <c r="BH689" s="655"/>
      <c r="BI689" s="4"/>
      <c r="BJ689" s="4"/>
      <c r="BK689" s="4"/>
      <c r="BL689" s="4"/>
      <c r="BM689" s="4"/>
      <c r="BN689" s="4"/>
      <c r="BO689" s="4"/>
      <c r="BP689" s="4"/>
      <c r="BQ689" s="4"/>
      <c r="BR689" s="4"/>
      <c r="BS689" s="654"/>
      <c r="BT689" s="655"/>
      <c r="BU689" s="4"/>
      <c r="BV689" s="4"/>
      <c r="BW689" s="4"/>
      <c r="BX689" s="4"/>
      <c r="BY689" s="4"/>
      <c r="BZ689" s="4"/>
      <c r="CA689" s="4"/>
      <c r="CB689" s="4"/>
      <c r="CC689" s="4"/>
      <c r="CD689" s="4"/>
      <c r="CE689" s="693"/>
      <c r="CF689" s="723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654"/>
      <c r="CR689" s="655"/>
      <c r="CS689" s="4"/>
      <c r="CT689" s="4"/>
      <c r="CU689" s="4"/>
      <c r="CV689" s="4"/>
      <c r="CW689" s="4"/>
      <c r="CX689" s="4">
        <v>114.67</v>
      </c>
      <c r="CY689" s="4">
        <v>114.67</v>
      </c>
      <c r="CZ689" s="4">
        <v>114.67</v>
      </c>
      <c r="DA689" s="4">
        <v>114.67</v>
      </c>
      <c r="DB689" s="4">
        <v>114.67</v>
      </c>
      <c r="DC689" s="654">
        <v>114.67</v>
      </c>
      <c r="DD689" s="655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654"/>
      <c r="DP689" s="655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654"/>
      <c r="EB689" s="655"/>
      <c r="EC689" s="4"/>
      <c r="ED689" s="4"/>
      <c r="EE689" s="4"/>
      <c r="EF689" s="4"/>
      <c r="EG689" s="4"/>
      <c r="EH689" s="4"/>
      <c r="EI689" s="4"/>
      <c r="EJ689" s="4"/>
      <c r="EK689" s="4"/>
      <c r="EL689" s="4"/>
      <c r="EM689" s="693"/>
      <c r="EN689" s="723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654"/>
      <c r="EZ689" s="655"/>
      <c r="FA689" s="4"/>
      <c r="FB689" s="4"/>
      <c r="FC689" s="4"/>
      <c r="FD689" s="4"/>
      <c r="FE689" s="4"/>
      <c r="FF689" s="4">
        <v>114.67</v>
      </c>
      <c r="FG689" s="4">
        <v>114.67</v>
      </c>
      <c r="FH689" s="4">
        <v>114.67</v>
      </c>
      <c r="FI689" s="4">
        <v>114.67</v>
      </c>
      <c r="FJ689" s="4">
        <v>114.67</v>
      </c>
      <c r="FK689" s="654">
        <v>114.67</v>
      </c>
      <c r="FL689" s="655"/>
      <c r="FM689" s="4"/>
      <c r="FN689" s="4"/>
      <c r="FO689" s="4"/>
      <c r="FP689" s="4"/>
      <c r="FQ689" s="4"/>
      <c r="FR689" s="4"/>
      <c r="FS689" s="4"/>
      <c r="FT689" s="4"/>
      <c r="FU689" s="4"/>
      <c r="FV689" s="4"/>
      <c r="FW689" s="654"/>
      <c r="FX689" s="655"/>
      <c r="FY689" s="4"/>
      <c r="FZ689" s="4"/>
      <c r="GA689" s="4"/>
      <c r="GB689" s="4"/>
      <c r="GC689" s="4"/>
      <c r="GD689" s="4"/>
      <c r="GE689" s="4"/>
      <c r="GF689" s="4"/>
      <c r="GG689" s="4"/>
      <c r="GH689" s="4"/>
      <c r="GI689" s="654"/>
      <c r="GJ689" s="655"/>
      <c r="GK689" s="4"/>
      <c r="GL689" s="4"/>
      <c r="GM689" s="4"/>
      <c r="GN689" s="4"/>
      <c r="GO689" s="4"/>
      <c r="GP689" s="4"/>
      <c r="GQ689" s="4"/>
      <c r="GR689" s="4"/>
      <c r="GS689" s="4"/>
      <c r="GT689" s="4"/>
      <c r="GU689" s="722"/>
      <c r="GV689" s="715"/>
    </row>
    <row r="690" spans="1:204" x14ac:dyDescent="0.25">
      <c r="A690" t="s">
        <v>2409</v>
      </c>
      <c r="B690" s="2" t="s">
        <v>358</v>
      </c>
      <c r="C690" s="619">
        <v>44847</v>
      </c>
      <c r="D690" s="2" t="s">
        <v>2482</v>
      </c>
      <c r="E690" t="s">
        <v>59</v>
      </c>
      <c r="F690" s="2" t="s">
        <v>2473</v>
      </c>
      <c r="G690" t="s">
        <v>40</v>
      </c>
      <c r="H690" s="690" t="s">
        <v>85</v>
      </c>
      <c r="I690" s="691" t="s">
        <v>2473</v>
      </c>
      <c r="J690" s="721"/>
      <c r="K690" s="691" t="s">
        <v>346</v>
      </c>
      <c r="L690" s="721"/>
      <c r="M690" s="718" t="s">
        <v>3</v>
      </c>
      <c r="N690" s="717" t="s">
        <v>44</v>
      </c>
      <c r="O690" s="719">
        <v>45017</v>
      </c>
      <c r="P690" s="720">
        <v>45107</v>
      </c>
      <c r="Q690" s="718">
        <v>72.2</v>
      </c>
      <c r="R690" s="717">
        <v>4</v>
      </c>
      <c r="S690" s="691" t="s">
        <v>54</v>
      </c>
      <c r="T690" t="s">
        <v>358</v>
      </c>
      <c r="U690" s="673" t="s">
        <v>358</v>
      </c>
      <c r="V690" s="690" t="s">
        <v>358</v>
      </c>
      <c r="W690" s="657" t="s">
        <v>214</v>
      </c>
      <c r="X690" s="723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654"/>
      <c r="AJ690" s="655"/>
      <c r="AK690" s="4"/>
      <c r="AL690" s="4"/>
      <c r="AM690" s="4">
        <v>4</v>
      </c>
      <c r="AN690" s="4">
        <v>4</v>
      </c>
      <c r="AO690" s="4">
        <v>4</v>
      </c>
      <c r="AP690" s="4"/>
      <c r="AQ690" s="4"/>
      <c r="AR690" s="4"/>
      <c r="AS690" s="4"/>
      <c r="AT690" s="4"/>
      <c r="AU690" s="654"/>
      <c r="AV690" s="655"/>
      <c r="AW690" s="4"/>
      <c r="AX690" s="4"/>
      <c r="AY690" s="4"/>
      <c r="AZ690" s="4"/>
      <c r="BA690" s="4"/>
      <c r="BB690" s="4"/>
      <c r="BC690" s="4"/>
      <c r="BD690" s="4"/>
      <c r="BE690" s="4"/>
      <c r="BF690" s="4"/>
      <c r="BG690" s="654"/>
      <c r="BH690" s="655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654"/>
      <c r="BT690" s="655"/>
      <c r="BU690" s="4"/>
      <c r="BV690" s="4"/>
      <c r="BW690" s="4"/>
      <c r="BX690" s="4"/>
      <c r="BY690" s="4"/>
      <c r="BZ690" s="4"/>
      <c r="CA690" s="4"/>
      <c r="CB690" s="4"/>
      <c r="CC690" s="4"/>
      <c r="CD690" s="4"/>
      <c r="CE690" s="693"/>
      <c r="CF690" s="723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654"/>
      <c r="CR690" s="655"/>
      <c r="CS690" s="4"/>
      <c r="CT690" s="4"/>
      <c r="CU690" s="4">
        <v>72.2</v>
      </c>
      <c r="CV690" s="4">
        <v>72.2</v>
      </c>
      <c r="CW690" s="4">
        <v>72.2</v>
      </c>
      <c r="CX690" s="4"/>
      <c r="CY690" s="4"/>
      <c r="CZ690" s="4"/>
      <c r="DA690" s="4"/>
      <c r="DB690" s="4"/>
      <c r="DC690" s="654"/>
      <c r="DD690" s="655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654"/>
      <c r="DP690" s="655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654"/>
      <c r="EB690" s="655"/>
      <c r="EC690" s="4"/>
      <c r="ED690" s="4"/>
      <c r="EE690" s="4"/>
      <c r="EF690" s="4"/>
      <c r="EG690" s="4"/>
      <c r="EH690" s="4"/>
      <c r="EI690" s="4"/>
      <c r="EJ690" s="4"/>
      <c r="EK690" s="4"/>
      <c r="EL690" s="4"/>
      <c r="EM690" s="693"/>
      <c r="EN690" s="723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654"/>
      <c r="EZ690" s="655"/>
      <c r="FA690" s="4"/>
      <c r="FB690" s="4"/>
      <c r="FC690" s="4">
        <v>72.2</v>
      </c>
      <c r="FD690" s="4">
        <v>72.2</v>
      </c>
      <c r="FE690" s="4">
        <v>72.2</v>
      </c>
      <c r="FF690" s="4"/>
      <c r="FG690" s="4"/>
      <c r="FH690" s="4"/>
      <c r="FI690" s="4"/>
      <c r="FJ690" s="4"/>
      <c r="FK690" s="654"/>
      <c r="FL690" s="655"/>
      <c r="FM690" s="4"/>
      <c r="FN690" s="4"/>
      <c r="FO690" s="4"/>
      <c r="FP690" s="4"/>
      <c r="FQ690" s="4"/>
      <c r="FR690" s="4"/>
      <c r="FS690" s="4"/>
      <c r="FT690" s="4"/>
      <c r="FU690" s="4"/>
      <c r="FV690" s="4"/>
      <c r="FW690" s="654"/>
      <c r="FX690" s="655"/>
      <c r="FY690" s="4"/>
      <c r="FZ690" s="4"/>
      <c r="GA690" s="4"/>
      <c r="GB690" s="4"/>
      <c r="GC690" s="4"/>
      <c r="GD690" s="4"/>
      <c r="GE690" s="4"/>
      <c r="GF690" s="4"/>
      <c r="GG690" s="4"/>
      <c r="GH690" s="4"/>
      <c r="GI690" s="654"/>
      <c r="GJ690" s="655"/>
      <c r="GK690" s="4"/>
      <c r="GL690" s="4"/>
      <c r="GM690" s="4"/>
      <c r="GN690" s="4"/>
      <c r="GO690" s="4"/>
      <c r="GP690" s="4"/>
      <c r="GQ690" s="4"/>
      <c r="GR690" s="4"/>
      <c r="GS690" s="4"/>
      <c r="GT690" s="4"/>
      <c r="GU690" s="722"/>
      <c r="GV690" s="715"/>
    </row>
    <row r="691" spans="1:204" x14ac:dyDescent="0.25">
      <c r="A691" t="s">
        <v>2410</v>
      </c>
      <c r="B691" s="2" t="s">
        <v>358</v>
      </c>
      <c r="C691" s="619">
        <v>44848</v>
      </c>
      <c r="D691" s="2" t="s">
        <v>2483</v>
      </c>
      <c r="E691" t="s">
        <v>58</v>
      </c>
      <c r="F691" s="2" t="s">
        <v>2473</v>
      </c>
      <c r="G691" t="s">
        <v>40</v>
      </c>
      <c r="H691" s="690" t="s">
        <v>84</v>
      </c>
      <c r="I691" s="691" t="s">
        <v>346</v>
      </c>
      <c r="J691" s="721"/>
      <c r="K691" s="691" t="s">
        <v>2473</v>
      </c>
      <c r="L691" s="721"/>
      <c r="M691" s="718" t="s">
        <v>3</v>
      </c>
      <c r="N691" s="717" t="s">
        <v>44</v>
      </c>
      <c r="O691" s="719">
        <v>44927</v>
      </c>
      <c r="P691" s="720">
        <v>45291</v>
      </c>
      <c r="Q691" s="718">
        <v>83.261273209549074</v>
      </c>
      <c r="R691" s="717">
        <v>9.4575342465753423</v>
      </c>
      <c r="S691" s="691" t="s">
        <v>54</v>
      </c>
      <c r="T691" t="s">
        <v>358</v>
      </c>
      <c r="U691" s="673" t="s">
        <v>358</v>
      </c>
      <c r="V691" s="690" t="s">
        <v>358</v>
      </c>
      <c r="W691" s="657" t="s">
        <v>214</v>
      </c>
      <c r="X691" s="723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654"/>
      <c r="AJ691" s="655">
        <v>4.7</v>
      </c>
      <c r="AK691" s="4">
        <v>4.7</v>
      </c>
      <c r="AL691" s="4">
        <v>4.7</v>
      </c>
      <c r="AM691" s="4">
        <v>20</v>
      </c>
      <c r="AN691" s="4">
        <v>20</v>
      </c>
      <c r="AO691" s="4">
        <v>20</v>
      </c>
      <c r="AP691" s="4">
        <v>0</v>
      </c>
      <c r="AQ691" s="4">
        <v>0</v>
      </c>
      <c r="AR691" s="4">
        <v>0</v>
      </c>
      <c r="AS691" s="4">
        <v>0</v>
      </c>
      <c r="AT691" s="4">
        <v>0</v>
      </c>
      <c r="AU691" s="654">
        <v>39</v>
      </c>
      <c r="AV691" s="655"/>
      <c r="AW691" s="4"/>
      <c r="AX691" s="4"/>
      <c r="AY691" s="4"/>
      <c r="AZ691" s="4"/>
      <c r="BA691" s="4"/>
      <c r="BB691" s="4"/>
      <c r="BC691" s="4"/>
      <c r="BD691" s="4"/>
      <c r="BE691" s="4"/>
      <c r="BF691" s="4"/>
      <c r="BG691" s="654"/>
      <c r="BH691" s="655"/>
      <c r="BI691" s="4"/>
      <c r="BJ691" s="4"/>
      <c r="BK691" s="4"/>
      <c r="BL691" s="4"/>
      <c r="BM691" s="4"/>
      <c r="BN691" s="4"/>
      <c r="BO691" s="4"/>
      <c r="BP691" s="4"/>
      <c r="BQ691" s="4"/>
      <c r="BR691" s="4"/>
      <c r="BS691" s="654"/>
      <c r="BT691" s="655"/>
      <c r="BU691" s="4"/>
      <c r="BV691" s="4"/>
      <c r="BW691" s="4"/>
      <c r="BX691" s="4"/>
      <c r="BY691" s="4"/>
      <c r="BZ691" s="4"/>
      <c r="CA691" s="4"/>
      <c r="CB691" s="4"/>
      <c r="CC691" s="4"/>
      <c r="CD691" s="4"/>
      <c r="CE691" s="693"/>
      <c r="CF691" s="723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654"/>
      <c r="CR691" s="655">
        <v>68.5</v>
      </c>
      <c r="CS691" s="4">
        <v>68.5</v>
      </c>
      <c r="CT691" s="4">
        <v>68.5</v>
      </c>
      <c r="CU691" s="4">
        <v>72.599999999999994</v>
      </c>
      <c r="CV691" s="4">
        <v>72.599999999999994</v>
      </c>
      <c r="CW691" s="4">
        <v>72.599999999999994</v>
      </c>
      <c r="CX691" s="4">
        <v>0</v>
      </c>
      <c r="CY691" s="4">
        <v>0</v>
      </c>
      <c r="CZ691" s="4">
        <v>0</v>
      </c>
      <c r="DA691" s="4">
        <v>0</v>
      </c>
      <c r="DB691" s="4">
        <v>0</v>
      </c>
      <c r="DC691" s="654">
        <v>105</v>
      </c>
      <c r="DD691" s="655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654"/>
      <c r="DP691" s="655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654"/>
      <c r="EB691" s="655"/>
      <c r="EC691" s="4"/>
      <c r="ED691" s="4"/>
      <c r="EE691" s="4"/>
      <c r="EF691" s="4"/>
      <c r="EG691" s="4"/>
      <c r="EH691" s="4"/>
      <c r="EI691" s="4"/>
      <c r="EJ691" s="4"/>
      <c r="EK691" s="4"/>
      <c r="EL691" s="4"/>
      <c r="EM691" s="693"/>
      <c r="EN691" s="723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654"/>
      <c r="EZ691" s="655">
        <v>68.5</v>
      </c>
      <c r="FA691" s="4">
        <v>68.5</v>
      </c>
      <c r="FB691" s="4">
        <v>68.5</v>
      </c>
      <c r="FC691" s="4">
        <v>72.599999999999994</v>
      </c>
      <c r="FD691" s="4">
        <v>72.599999999999994</v>
      </c>
      <c r="FE691" s="4">
        <v>72.599999999999994</v>
      </c>
      <c r="FF691" s="4">
        <v>0</v>
      </c>
      <c r="FG691" s="4">
        <v>0</v>
      </c>
      <c r="FH691" s="4">
        <v>0</v>
      </c>
      <c r="FI691" s="4">
        <v>0</v>
      </c>
      <c r="FJ691" s="4">
        <v>0</v>
      </c>
      <c r="FK691" s="654">
        <v>105</v>
      </c>
      <c r="FL691" s="655"/>
      <c r="FM691" s="4"/>
      <c r="FN691" s="4"/>
      <c r="FO691" s="4"/>
      <c r="FP691" s="4"/>
      <c r="FQ691" s="4"/>
      <c r="FR691" s="4"/>
      <c r="FS691" s="4"/>
      <c r="FT691" s="4"/>
      <c r="FU691" s="4"/>
      <c r="FV691" s="4"/>
      <c r="FW691" s="654"/>
      <c r="FX691" s="655"/>
      <c r="FY691" s="4"/>
      <c r="FZ691" s="4"/>
      <c r="GA691" s="4"/>
      <c r="GB691" s="4"/>
      <c r="GC691" s="4"/>
      <c r="GD691" s="4"/>
      <c r="GE691" s="4"/>
      <c r="GF691" s="4"/>
      <c r="GG691" s="4"/>
      <c r="GH691" s="4"/>
      <c r="GI691" s="654"/>
      <c r="GJ691" s="655"/>
      <c r="GK691" s="4"/>
      <c r="GL691" s="4"/>
      <c r="GM691" s="4"/>
      <c r="GN691" s="4"/>
      <c r="GO691" s="4"/>
      <c r="GP691" s="4"/>
      <c r="GQ691" s="4"/>
      <c r="GR691" s="4"/>
      <c r="GS691" s="4"/>
      <c r="GT691" s="4"/>
      <c r="GU691" s="722"/>
      <c r="GV691" s="715"/>
    </row>
    <row r="692" spans="1:204" x14ac:dyDescent="0.25">
      <c r="A692" t="s">
        <v>2411</v>
      </c>
      <c r="B692" s="2" t="s">
        <v>358</v>
      </c>
      <c r="C692" s="619">
        <v>44848</v>
      </c>
      <c r="D692" s="2" t="s">
        <v>2484</v>
      </c>
      <c r="E692" t="s">
        <v>59</v>
      </c>
      <c r="F692" s="2" t="s">
        <v>2473</v>
      </c>
      <c r="G692" t="s">
        <v>40</v>
      </c>
      <c r="H692" s="690" t="s">
        <v>85</v>
      </c>
      <c r="I692" s="691" t="s">
        <v>2473</v>
      </c>
      <c r="J692" s="721"/>
      <c r="K692" s="691" t="s">
        <v>346</v>
      </c>
      <c r="L692" s="721"/>
      <c r="M692" s="718" t="s">
        <v>3</v>
      </c>
      <c r="N692" s="717" t="s">
        <v>44</v>
      </c>
      <c r="O692" s="719">
        <v>44927</v>
      </c>
      <c r="P692" s="720">
        <v>45291</v>
      </c>
      <c r="Q692" s="718">
        <v>83.261273209549074</v>
      </c>
      <c r="R692" s="717">
        <v>9.4575342465753423</v>
      </c>
      <c r="S692" s="691" t="s">
        <v>54</v>
      </c>
      <c r="T692" t="s">
        <v>358</v>
      </c>
      <c r="U692" s="673" t="s">
        <v>358</v>
      </c>
      <c r="V692" s="690" t="s">
        <v>358</v>
      </c>
      <c r="W692" s="657" t="s">
        <v>214</v>
      </c>
      <c r="X692" s="723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654"/>
      <c r="AJ692" s="655">
        <v>4.7</v>
      </c>
      <c r="AK692" s="4">
        <v>4.7</v>
      </c>
      <c r="AL692" s="4">
        <v>4.7</v>
      </c>
      <c r="AM692" s="4">
        <v>20</v>
      </c>
      <c r="AN692" s="4">
        <v>20</v>
      </c>
      <c r="AO692" s="4">
        <v>20</v>
      </c>
      <c r="AP692" s="4">
        <v>0</v>
      </c>
      <c r="AQ692" s="4">
        <v>0</v>
      </c>
      <c r="AR692" s="4">
        <v>0</v>
      </c>
      <c r="AS692" s="4">
        <v>0</v>
      </c>
      <c r="AT692" s="4">
        <v>0</v>
      </c>
      <c r="AU692" s="654">
        <v>39</v>
      </c>
      <c r="AV692" s="655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654"/>
      <c r="BH692" s="655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654"/>
      <c r="BT692" s="655"/>
      <c r="BU692" s="4"/>
      <c r="BV692" s="4"/>
      <c r="BW692" s="4"/>
      <c r="BX692" s="4"/>
      <c r="BY692" s="4"/>
      <c r="BZ692" s="4"/>
      <c r="CA692" s="4"/>
      <c r="CB692" s="4"/>
      <c r="CC692" s="4"/>
      <c r="CD692" s="4"/>
      <c r="CE692" s="693"/>
      <c r="CF692" s="723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654"/>
      <c r="CR692" s="655">
        <v>68.5</v>
      </c>
      <c r="CS692" s="4">
        <v>68.5</v>
      </c>
      <c r="CT692" s="4">
        <v>68.5</v>
      </c>
      <c r="CU692" s="4">
        <v>72.599999999999994</v>
      </c>
      <c r="CV692" s="4">
        <v>72.599999999999994</v>
      </c>
      <c r="CW692" s="4">
        <v>72.599999999999994</v>
      </c>
      <c r="CX692" s="4">
        <v>0</v>
      </c>
      <c r="CY692" s="4">
        <v>0</v>
      </c>
      <c r="CZ692" s="4">
        <v>0</v>
      </c>
      <c r="DA692" s="4">
        <v>0</v>
      </c>
      <c r="DB692" s="4">
        <v>0</v>
      </c>
      <c r="DC692" s="654">
        <v>105</v>
      </c>
      <c r="DD692" s="655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654"/>
      <c r="DP692" s="655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654"/>
      <c r="EB692" s="655"/>
      <c r="EC692" s="4"/>
      <c r="ED692" s="4"/>
      <c r="EE692" s="4"/>
      <c r="EF692" s="4"/>
      <c r="EG692" s="4"/>
      <c r="EH692" s="4"/>
      <c r="EI692" s="4"/>
      <c r="EJ692" s="4"/>
      <c r="EK692" s="4"/>
      <c r="EL692" s="4"/>
      <c r="EM692" s="693"/>
      <c r="EN692" s="723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654"/>
      <c r="EZ692" s="655">
        <v>68.5</v>
      </c>
      <c r="FA692" s="4">
        <v>68.5</v>
      </c>
      <c r="FB692" s="4">
        <v>68.5</v>
      </c>
      <c r="FC692" s="4">
        <v>72.599999999999994</v>
      </c>
      <c r="FD692" s="4">
        <v>72.599999999999994</v>
      </c>
      <c r="FE692" s="4">
        <v>72.599999999999994</v>
      </c>
      <c r="FF692" s="4">
        <v>0</v>
      </c>
      <c r="FG692" s="4">
        <v>0</v>
      </c>
      <c r="FH692" s="4">
        <v>0</v>
      </c>
      <c r="FI692" s="4">
        <v>0</v>
      </c>
      <c r="FJ692" s="4">
        <v>0</v>
      </c>
      <c r="FK692" s="654">
        <v>105</v>
      </c>
      <c r="FL692" s="655"/>
      <c r="FM692" s="4"/>
      <c r="FN692" s="4"/>
      <c r="FO692" s="4"/>
      <c r="FP692" s="4"/>
      <c r="FQ692" s="4"/>
      <c r="FR692" s="4"/>
      <c r="FS692" s="4"/>
      <c r="FT692" s="4"/>
      <c r="FU692" s="4"/>
      <c r="FV692" s="4"/>
      <c r="FW692" s="654"/>
      <c r="FX692" s="655"/>
      <c r="FY692" s="4"/>
      <c r="FZ692" s="4"/>
      <c r="GA692" s="4"/>
      <c r="GB692" s="4"/>
      <c r="GC692" s="4"/>
      <c r="GD692" s="4"/>
      <c r="GE692" s="4"/>
      <c r="GF692" s="4"/>
      <c r="GG692" s="4"/>
      <c r="GH692" s="4"/>
      <c r="GI692" s="654"/>
      <c r="GJ692" s="655"/>
      <c r="GK692" s="4"/>
      <c r="GL692" s="4"/>
      <c r="GM692" s="4"/>
      <c r="GN692" s="4"/>
      <c r="GO692" s="4"/>
      <c r="GP692" s="4"/>
      <c r="GQ692" s="4"/>
      <c r="GR692" s="4"/>
      <c r="GS692" s="4"/>
      <c r="GT692" s="4"/>
      <c r="GU692" s="722"/>
      <c r="GV692" s="715"/>
    </row>
    <row r="693" spans="1:204" x14ac:dyDescent="0.25">
      <c r="A693" t="s">
        <v>2417</v>
      </c>
      <c r="B693" s="2" t="s">
        <v>358</v>
      </c>
      <c r="C693" s="619">
        <v>44851</v>
      </c>
      <c r="D693" s="2" t="s">
        <v>2412</v>
      </c>
      <c r="E693" t="s">
        <v>59</v>
      </c>
      <c r="F693" s="2" t="s">
        <v>2473</v>
      </c>
      <c r="G693" t="s">
        <v>40</v>
      </c>
      <c r="H693" s="690" t="s">
        <v>85</v>
      </c>
      <c r="I693" s="691" t="s">
        <v>2473</v>
      </c>
      <c r="J693" s="721" t="s">
        <v>2146</v>
      </c>
      <c r="K693" s="691" t="s">
        <v>531</v>
      </c>
      <c r="L693" s="721" t="s">
        <v>2415</v>
      </c>
      <c r="M693" s="718" t="s">
        <v>3</v>
      </c>
      <c r="N693" s="717" t="s">
        <v>44</v>
      </c>
      <c r="O693" s="719">
        <v>44896</v>
      </c>
      <c r="P693" s="720">
        <v>44926</v>
      </c>
      <c r="Q693" s="718">
        <v>57</v>
      </c>
      <c r="R693" s="717">
        <v>3.5</v>
      </c>
      <c r="S693" s="691" t="s">
        <v>54</v>
      </c>
      <c r="T693" t="s">
        <v>358</v>
      </c>
      <c r="U693" s="673" t="s">
        <v>358</v>
      </c>
      <c r="V693" s="690" t="s">
        <v>358</v>
      </c>
      <c r="W693" s="657" t="s">
        <v>214</v>
      </c>
      <c r="X693" s="723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654">
        <v>3.5</v>
      </c>
      <c r="AJ693" s="655"/>
      <c r="AK693" s="4"/>
      <c r="AL693" s="4"/>
      <c r="AM693" s="4"/>
      <c r="AN693" s="4"/>
      <c r="AO693" s="4"/>
      <c r="AP693" s="4"/>
      <c r="AQ693" s="4"/>
      <c r="AR693" s="4"/>
      <c r="AS693" s="4"/>
      <c r="AT693" s="4"/>
      <c r="AU693" s="654"/>
      <c r="AV693" s="655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654"/>
      <c r="BH693" s="655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654"/>
      <c r="BT693" s="655"/>
      <c r="BU693" s="4"/>
      <c r="BV693" s="4"/>
      <c r="BW693" s="4"/>
      <c r="BX693" s="4"/>
      <c r="BY693" s="4"/>
      <c r="BZ693" s="4"/>
      <c r="CA693" s="4"/>
      <c r="CB693" s="4"/>
      <c r="CC693" s="4"/>
      <c r="CD693" s="4"/>
      <c r="CE693" s="693"/>
      <c r="CF693" s="723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654">
        <v>57</v>
      </c>
      <c r="CR693" s="655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654"/>
      <c r="DD693" s="655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654"/>
      <c r="DP693" s="655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654"/>
      <c r="EB693" s="655"/>
      <c r="EC693" s="4"/>
      <c r="ED693" s="4"/>
      <c r="EE693" s="4"/>
      <c r="EF693" s="4"/>
      <c r="EG693" s="4"/>
      <c r="EH693" s="4"/>
      <c r="EI693" s="4"/>
      <c r="EJ693" s="4"/>
      <c r="EK693" s="4"/>
      <c r="EL693" s="4"/>
      <c r="EM693" s="693"/>
      <c r="EN693" s="723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654">
        <v>57</v>
      </c>
      <c r="EZ693" s="655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654"/>
      <c r="FL693" s="655"/>
      <c r="FM693" s="4"/>
      <c r="FN693" s="4"/>
      <c r="FO693" s="4"/>
      <c r="FP693" s="4"/>
      <c r="FQ693" s="4"/>
      <c r="FR693" s="4"/>
      <c r="FS693" s="4"/>
      <c r="FT693" s="4"/>
      <c r="FU693" s="4"/>
      <c r="FV693" s="4"/>
      <c r="FW693" s="654"/>
      <c r="FX693" s="655"/>
      <c r="FY693" s="4"/>
      <c r="FZ693" s="4"/>
      <c r="GA693" s="4"/>
      <c r="GB693" s="4"/>
      <c r="GC693" s="4"/>
      <c r="GD693" s="4"/>
      <c r="GE693" s="4"/>
      <c r="GF693" s="4"/>
      <c r="GG693" s="4"/>
      <c r="GH693" s="4"/>
      <c r="GI693" s="654"/>
      <c r="GJ693" s="655"/>
      <c r="GK693" s="4"/>
      <c r="GL693" s="4"/>
      <c r="GM693" s="4"/>
      <c r="GN693" s="4"/>
      <c r="GO693" s="4"/>
      <c r="GP693" s="4"/>
      <c r="GQ693" s="4"/>
      <c r="GR693" s="4"/>
      <c r="GS693" s="4"/>
      <c r="GT693" s="4"/>
      <c r="GU693" s="722"/>
      <c r="GV693" s="715"/>
    </row>
    <row r="694" spans="1:204" x14ac:dyDescent="0.25">
      <c r="A694" t="s">
        <v>2419</v>
      </c>
      <c r="B694" s="2" t="s">
        <v>2418</v>
      </c>
      <c r="C694" s="619">
        <v>44851</v>
      </c>
      <c r="D694" s="2" t="s">
        <v>2413</v>
      </c>
      <c r="E694" t="s">
        <v>59</v>
      </c>
      <c r="F694" s="2" t="s">
        <v>2473</v>
      </c>
      <c r="G694" t="s">
        <v>40</v>
      </c>
      <c r="H694" s="690" t="s">
        <v>85</v>
      </c>
      <c r="I694" s="691" t="s">
        <v>2473</v>
      </c>
      <c r="J694" s="721" t="s">
        <v>2146</v>
      </c>
      <c r="K694" s="691" t="s">
        <v>477</v>
      </c>
      <c r="L694" s="721" t="s">
        <v>2416</v>
      </c>
      <c r="M694" s="718" t="s">
        <v>3</v>
      </c>
      <c r="N694" s="717" t="s">
        <v>44</v>
      </c>
      <c r="O694" s="719">
        <v>45200</v>
      </c>
      <c r="P694" s="720">
        <v>45291</v>
      </c>
      <c r="Q694" s="718">
        <v>115</v>
      </c>
      <c r="R694" s="717">
        <v>5</v>
      </c>
      <c r="S694" s="691" t="s">
        <v>54</v>
      </c>
      <c r="T694" t="s">
        <v>358</v>
      </c>
      <c r="U694" s="673" t="s">
        <v>358</v>
      </c>
      <c r="V694" s="690" t="s">
        <v>358</v>
      </c>
      <c r="W694" s="657" t="s">
        <v>329</v>
      </c>
      <c r="X694" s="723"/>
      <c r="Y694" s="4"/>
      <c r="Z694" s="4"/>
      <c r="AA694" s="4"/>
      <c r="AB694" s="4"/>
      <c r="AC694" s="4"/>
      <c r="AD694" s="4"/>
      <c r="AE694" s="4"/>
      <c r="AF694" s="4"/>
      <c r="AG694" s="4"/>
      <c r="AH694" s="4"/>
      <c r="AI694" s="654"/>
      <c r="AJ694" s="655"/>
      <c r="AK694" s="4"/>
      <c r="AL694" s="4"/>
      <c r="AM694" s="4"/>
      <c r="AN694" s="4"/>
      <c r="AO694" s="4"/>
      <c r="AP694" s="4"/>
      <c r="AQ694" s="4"/>
      <c r="AR694" s="4"/>
      <c r="AS694" s="4">
        <v>5</v>
      </c>
      <c r="AT694" s="4">
        <v>5</v>
      </c>
      <c r="AU694" s="654">
        <v>5</v>
      </c>
      <c r="AV694" s="655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654"/>
      <c r="BH694" s="655"/>
      <c r="BI694" s="4"/>
      <c r="BJ694" s="4"/>
      <c r="BK694" s="4"/>
      <c r="BL694" s="4"/>
      <c r="BM694" s="4"/>
      <c r="BN694" s="4"/>
      <c r="BO694" s="4"/>
      <c r="BP694" s="4"/>
      <c r="BQ694" s="4"/>
      <c r="BR694" s="4"/>
      <c r="BS694" s="654"/>
      <c r="BT694" s="655"/>
      <c r="BU694" s="4"/>
      <c r="BV694" s="4"/>
      <c r="BW694" s="4"/>
      <c r="BX694" s="4"/>
      <c r="BY694" s="4"/>
      <c r="BZ694" s="4"/>
      <c r="CA694" s="4"/>
      <c r="CB694" s="4"/>
      <c r="CC694" s="4"/>
      <c r="CD694" s="4"/>
      <c r="CE694" s="693"/>
      <c r="CF694" s="723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654"/>
      <c r="CR694" s="655"/>
      <c r="CS694" s="4"/>
      <c r="CT694" s="4"/>
      <c r="CU694" s="4"/>
      <c r="CV694" s="4"/>
      <c r="CW694" s="4"/>
      <c r="CX694" s="4"/>
      <c r="CY694" s="4"/>
      <c r="CZ694" s="4"/>
      <c r="DA694" s="4">
        <v>115</v>
      </c>
      <c r="DB694" s="4">
        <v>115</v>
      </c>
      <c r="DC694" s="654">
        <v>115</v>
      </c>
      <c r="DD694" s="655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654"/>
      <c r="DP694" s="655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654"/>
      <c r="EB694" s="655"/>
      <c r="EC694" s="4"/>
      <c r="ED694" s="4"/>
      <c r="EE694" s="4"/>
      <c r="EF694" s="4"/>
      <c r="EG694" s="4"/>
      <c r="EH694" s="4"/>
      <c r="EI694" s="4"/>
      <c r="EJ694" s="4"/>
      <c r="EK694" s="4"/>
      <c r="EL694" s="4"/>
      <c r="EM694" s="693"/>
      <c r="EN694" s="723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654"/>
      <c r="EZ694" s="655"/>
      <c r="FA694" s="4"/>
      <c r="FB694" s="4"/>
      <c r="FC694" s="4"/>
      <c r="FD694" s="4"/>
      <c r="FE694" s="4"/>
      <c r="FF694" s="4"/>
      <c r="FG694" s="4"/>
      <c r="FH694" s="4"/>
      <c r="FI694" s="4">
        <v>115</v>
      </c>
      <c r="FJ694" s="4">
        <v>115</v>
      </c>
      <c r="FK694" s="654">
        <v>115</v>
      </c>
      <c r="FL694" s="655"/>
      <c r="FM694" s="4"/>
      <c r="FN694" s="4"/>
      <c r="FO694" s="4"/>
      <c r="FP694" s="4"/>
      <c r="FQ694" s="4"/>
      <c r="FR694" s="4"/>
      <c r="FS694" s="4"/>
      <c r="FT694" s="4"/>
      <c r="FU694" s="4"/>
      <c r="FV694" s="4"/>
      <c r="FW694" s="654"/>
      <c r="FX694" s="655"/>
      <c r="FY694" s="4"/>
      <c r="FZ694" s="4"/>
      <c r="GA694" s="4"/>
      <c r="GB694" s="4"/>
      <c r="GC694" s="4"/>
      <c r="GD694" s="4"/>
      <c r="GE694" s="4"/>
      <c r="GF694" s="4"/>
      <c r="GG694" s="4"/>
      <c r="GH694" s="4"/>
      <c r="GI694" s="654"/>
      <c r="GJ694" s="655"/>
      <c r="GK694" s="4"/>
      <c r="GL694" s="4"/>
      <c r="GM694" s="4"/>
      <c r="GN694" s="4"/>
      <c r="GO694" s="4"/>
      <c r="GP694" s="4"/>
      <c r="GQ694" s="4"/>
      <c r="GR694" s="4"/>
      <c r="GS694" s="4"/>
      <c r="GT694" s="4"/>
      <c r="GU694" s="722"/>
      <c r="GV694" s="715"/>
    </row>
    <row r="695" spans="1:204" x14ac:dyDescent="0.25">
      <c r="A695" t="s">
        <v>2421</v>
      </c>
      <c r="B695" s="2" t="s">
        <v>2420</v>
      </c>
      <c r="C695" s="619">
        <v>44851</v>
      </c>
      <c r="D695" s="2" t="s">
        <v>2414</v>
      </c>
      <c r="E695" t="s">
        <v>58</v>
      </c>
      <c r="F695" s="2" t="s">
        <v>2473</v>
      </c>
      <c r="G695" t="s">
        <v>40</v>
      </c>
      <c r="H695" s="690" t="s">
        <v>84</v>
      </c>
      <c r="I695" s="691" t="s">
        <v>477</v>
      </c>
      <c r="J695" s="721" t="s">
        <v>2416</v>
      </c>
      <c r="K695" s="691" t="s">
        <v>2473</v>
      </c>
      <c r="L695" s="721" t="s">
        <v>2146</v>
      </c>
      <c r="M695" s="718" t="s">
        <v>3</v>
      </c>
      <c r="N695" s="717" t="s">
        <v>44</v>
      </c>
      <c r="O695" s="719">
        <v>45108</v>
      </c>
      <c r="P695" s="720">
        <v>45199</v>
      </c>
      <c r="Q695" s="718">
        <v>115</v>
      </c>
      <c r="R695" s="717">
        <v>5</v>
      </c>
      <c r="S695" s="691" t="s">
        <v>54</v>
      </c>
      <c r="T695" t="s">
        <v>358</v>
      </c>
      <c r="U695" s="673" t="s">
        <v>358</v>
      </c>
      <c r="V695" s="690" t="s">
        <v>358</v>
      </c>
      <c r="W695" s="657" t="s">
        <v>329</v>
      </c>
      <c r="X695" s="723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654"/>
      <c r="AJ695" s="655"/>
      <c r="AK695" s="4"/>
      <c r="AL695" s="4"/>
      <c r="AM695" s="4"/>
      <c r="AN695" s="4"/>
      <c r="AO695" s="4"/>
      <c r="AP695" s="4">
        <v>5</v>
      </c>
      <c r="AQ695" s="4">
        <v>5</v>
      </c>
      <c r="AR695" s="4">
        <v>5</v>
      </c>
      <c r="AS695" s="4"/>
      <c r="AT695" s="4"/>
      <c r="AU695" s="654"/>
      <c r="AV695" s="655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654"/>
      <c r="BH695" s="655"/>
      <c r="BI695" s="4"/>
      <c r="BJ695" s="4"/>
      <c r="BK695" s="4"/>
      <c r="BL695" s="4"/>
      <c r="BM695" s="4"/>
      <c r="BN695" s="4"/>
      <c r="BO695" s="4"/>
      <c r="BP695" s="4"/>
      <c r="BQ695" s="4"/>
      <c r="BR695" s="4"/>
      <c r="BS695" s="654"/>
      <c r="BT695" s="655"/>
      <c r="BU695" s="4"/>
      <c r="BV695" s="4"/>
      <c r="BW695" s="4"/>
      <c r="BX695" s="4"/>
      <c r="BY695" s="4"/>
      <c r="BZ695" s="4"/>
      <c r="CA695" s="4"/>
      <c r="CB695" s="4"/>
      <c r="CC695" s="4"/>
      <c r="CD695" s="4"/>
      <c r="CE695" s="693"/>
      <c r="CF695" s="723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654"/>
      <c r="CR695" s="655"/>
      <c r="CS695" s="4"/>
      <c r="CT695" s="4"/>
      <c r="CU695" s="4"/>
      <c r="CV695" s="4"/>
      <c r="CW695" s="4"/>
      <c r="CX695" s="4">
        <v>115</v>
      </c>
      <c r="CY695" s="4">
        <v>115</v>
      </c>
      <c r="CZ695" s="4">
        <v>115</v>
      </c>
      <c r="DA695" s="4"/>
      <c r="DB695" s="4"/>
      <c r="DC695" s="654"/>
      <c r="DD695" s="655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654"/>
      <c r="DP695" s="655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654"/>
      <c r="EB695" s="655"/>
      <c r="EC695" s="4"/>
      <c r="ED695" s="4"/>
      <c r="EE695" s="4"/>
      <c r="EF695" s="4"/>
      <c r="EG695" s="4"/>
      <c r="EH695" s="4"/>
      <c r="EI695" s="4"/>
      <c r="EJ695" s="4"/>
      <c r="EK695" s="4"/>
      <c r="EL695" s="4"/>
      <c r="EM695" s="693"/>
      <c r="EN695" s="723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654"/>
      <c r="EZ695" s="655"/>
      <c r="FA695" s="4"/>
      <c r="FB695" s="4"/>
      <c r="FC695" s="4"/>
      <c r="FD695" s="4"/>
      <c r="FE695" s="4"/>
      <c r="FF695" s="4">
        <v>115</v>
      </c>
      <c r="FG695" s="4">
        <v>115</v>
      </c>
      <c r="FH695" s="4">
        <v>115</v>
      </c>
      <c r="FI695" s="4"/>
      <c r="FJ695" s="4"/>
      <c r="FK695" s="654"/>
      <c r="FL695" s="655"/>
      <c r="FM695" s="4"/>
      <c r="FN695" s="4"/>
      <c r="FO695" s="4"/>
      <c r="FP695" s="4"/>
      <c r="FQ695" s="4"/>
      <c r="FR695" s="4"/>
      <c r="FS695" s="4"/>
      <c r="FT695" s="4"/>
      <c r="FU695" s="4"/>
      <c r="FV695" s="4"/>
      <c r="FW695" s="654"/>
      <c r="FX695" s="655"/>
      <c r="FY695" s="4"/>
      <c r="FZ695" s="4"/>
      <c r="GA695" s="4"/>
      <c r="GB695" s="4"/>
      <c r="GC695" s="4"/>
      <c r="GD695" s="4"/>
      <c r="GE695" s="4"/>
      <c r="GF695" s="4"/>
      <c r="GG695" s="4"/>
      <c r="GH695" s="4"/>
      <c r="GI695" s="654"/>
      <c r="GJ695" s="655"/>
      <c r="GK695" s="4"/>
      <c r="GL695" s="4"/>
      <c r="GM695" s="4"/>
      <c r="GN695" s="4"/>
      <c r="GO695" s="4"/>
      <c r="GP695" s="4"/>
      <c r="GQ695" s="4"/>
      <c r="GR695" s="4"/>
      <c r="GS695" s="4"/>
      <c r="GT695" s="4"/>
      <c r="GU695" s="722"/>
      <c r="GV695" s="715"/>
    </row>
    <row r="696" spans="1:204" x14ac:dyDescent="0.25">
      <c r="A696" t="s">
        <v>2426</v>
      </c>
      <c r="B696" s="2" t="s">
        <v>2425</v>
      </c>
      <c r="C696" s="619">
        <v>44852</v>
      </c>
      <c r="D696" s="2" t="s">
        <v>2422</v>
      </c>
      <c r="E696" t="s">
        <v>58</v>
      </c>
      <c r="F696" s="2" t="s">
        <v>2473</v>
      </c>
      <c r="G696" t="s">
        <v>40</v>
      </c>
      <c r="H696" s="690" t="s">
        <v>84</v>
      </c>
      <c r="I696" s="691" t="s">
        <v>590</v>
      </c>
      <c r="J696" s="721" t="s">
        <v>2160</v>
      </c>
      <c r="K696" s="691" t="s">
        <v>2473</v>
      </c>
      <c r="L696" s="721" t="s">
        <v>2146</v>
      </c>
      <c r="M696" s="718" t="s">
        <v>3</v>
      </c>
      <c r="N696" s="717" t="s">
        <v>44</v>
      </c>
      <c r="O696" s="719">
        <v>45261</v>
      </c>
      <c r="P696" s="720">
        <v>45291</v>
      </c>
      <c r="Q696" s="718">
        <v>106.1</v>
      </c>
      <c r="R696" s="717">
        <v>10</v>
      </c>
      <c r="S696" s="691" t="s">
        <v>54</v>
      </c>
      <c r="T696" t="s">
        <v>358</v>
      </c>
      <c r="U696" s="673" t="s">
        <v>358</v>
      </c>
      <c r="V696" s="690" t="s">
        <v>358</v>
      </c>
      <c r="W696" s="657" t="s">
        <v>329</v>
      </c>
      <c r="X696" s="723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654"/>
      <c r="AJ696" s="655"/>
      <c r="AK696" s="4"/>
      <c r="AL696" s="4"/>
      <c r="AM696" s="4"/>
      <c r="AN696" s="4"/>
      <c r="AO696" s="4"/>
      <c r="AP696" s="4"/>
      <c r="AQ696" s="4"/>
      <c r="AR696" s="4"/>
      <c r="AS696" s="4"/>
      <c r="AT696" s="4"/>
      <c r="AU696" s="654">
        <v>10</v>
      </c>
      <c r="AV696" s="655"/>
      <c r="AW696" s="4"/>
      <c r="AX696" s="4"/>
      <c r="AY696" s="4"/>
      <c r="AZ696" s="4"/>
      <c r="BA696" s="4"/>
      <c r="BB696" s="4"/>
      <c r="BC696" s="4"/>
      <c r="BD696" s="4"/>
      <c r="BE696" s="4"/>
      <c r="BF696" s="4"/>
      <c r="BG696" s="654"/>
      <c r="BH696" s="655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654"/>
      <c r="BT696" s="655"/>
      <c r="BU696" s="4"/>
      <c r="BV696" s="4"/>
      <c r="BW696" s="4"/>
      <c r="BX696" s="4"/>
      <c r="BY696" s="4"/>
      <c r="BZ696" s="4"/>
      <c r="CA696" s="4"/>
      <c r="CB696" s="4"/>
      <c r="CC696" s="4"/>
      <c r="CD696" s="4"/>
      <c r="CE696" s="693"/>
      <c r="CF696" s="723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654"/>
      <c r="CR696" s="655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654">
        <v>106.1</v>
      </c>
      <c r="DD696" s="655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654"/>
      <c r="DP696" s="655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654"/>
      <c r="EB696" s="655"/>
      <c r="EC696" s="4"/>
      <c r="ED696" s="4"/>
      <c r="EE696" s="4"/>
      <c r="EF696" s="4"/>
      <c r="EG696" s="4"/>
      <c r="EH696" s="4"/>
      <c r="EI696" s="4"/>
      <c r="EJ696" s="4"/>
      <c r="EK696" s="4"/>
      <c r="EL696" s="4"/>
      <c r="EM696" s="693"/>
      <c r="EN696" s="723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654"/>
      <c r="EZ696" s="655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654">
        <v>106.1</v>
      </c>
      <c r="FL696" s="655"/>
      <c r="FM696" s="4"/>
      <c r="FN696" s="4"/>
      <c r="FO696" s="4"/>
      <c r="FP696" s="4"/>
      <c r="FQ696" s="4"/>
      <c r="FR696" s="4"/>
      <c r="FS696" s="4"/>
      <c r="FT696" s="4"/>
      <c r="FU696" s="4"/>
      <c r="FV696" s="4"/>
      <c r="FW696" s="654"/>
      <c r="FX696" s="655"/>
      <c r="FY696" s="4"/>
      <c r="FZ696" s="4"/>
      <c r="GA696" s="4"/>
      <c r="GB696" s="4"/>
      <c r="GC696" s="4"/>
      <c r="GD696" s="4"/>
      <c r="GE696" s="4"/>
      <c r="GF696" s="4"/>
      <c r="GG696" s="4"/>
      <c r="GH696" s="4"/>
      <c r="GI696" s="654"/>
      <c r="GJ696" s="655"/>
      <c r="GK696" s="4"/>
      <c r="GL696" s="4"/>
      <c r="GM696" s="4"/>
      <c r="GN696" s="4"/>
      <c r="GO696" s="4"/>
      <c r="GP696" s="4"/>
      <c r="GQ696" s="4"/>
      <c r="GR696" s="4"/>
      <c r="GS696" s="4"/>
      <c r="GT696" s="4"/>
      <c r="GU696" s="722"/>
      <c r="GV696" s="715"/>
    </row>
    <row r="697" spans="1:204" x14ac:dyDescent="0.25">
      <c r="A697" t="s">
        <v>2428</v>
      </c>
      <c r="B697" s="2" t="s">
        <v>2427</v>
      </c>
      <c r="C697" s="619">
        <v>44852</v>
      </c>
      <c r="D697" s="2" t="s">
        <v>2423</v>
      </c>
      <c r="E697" t="s">
        <v>59</v>
      </c>
      <c r="F697" s="2" t="s">
        <v>2473</v>
      </c>
      <c r="G697" t="s">
        <v>40</v>
      </c>
      <c r="H697" s="690" t="s">
        <v>85</v>
      </c>
      <c r="I697" s="691" t="s">
        <v>2473</v>
      </c>
      <c r="J697" s="721" t="s">
        <v>2146</v>
      </c>
      <c r="K697" s="691" t="s">
        <v>355</v>
      </c>
      <c r="L697" s="721" t="s">
        <v>2424</v>
      </c>
      <c r="M697" s="718" t="s">
        <v>3</v>
      </c>
      <c r="N697" s="717" t="s">
        <v>44</v>
      </c>
      <c r="O697" s="719">
        <v>44958</v>
      </c>
      <c r="P697" s="720">
        <v>44985</v>
      </c>
      <c r="Q697" s="718">
        <v>72.5</v>
      </c>
      <c r="R697" s="717">
        <v>1</v>
      </c>
      <c r="S697" s="691" t="s">
        <v>54</v>
      </c>
      <c r="T697" t="s">
        <v>358</v>
      </c>
      <c r="U697" s="673" t="s">
        <v>358</v>
      </c>
      <c r="V697" s="690" t="s">
        <v>358</v>
      </c>
      <c r="W697" s="657" t="s">
        <v>329</v>
      </c>
      <c r="X697" s="723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654"/>
      <c r="AJ697" s="655"/>
      <c r="AK697" s="4">
        <v>1</v>
      </c>
      <c r="AL697" s="4"/>
      <c r="AM697" s="4"/>
      <c r="AN697" s="4"/>
      <c r="AO697" s="4"/>
      <c r="AP697" s="4"/>
      <c r="AQ697" s="4"/>
      <c r="AR697" s="4"/>
      <c r="AS697" s="4"/>
      <c r="AT697" s="4"/>
      <c r="AU697" s="654"/>
      <c r="AV697" s="655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654"/>
      <c r="BH697" s="655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654"/>
      <c r="BT697" s="655"/>
      <c r="BU697" s="4"/>
      <c r="BV697" s="4"/>
      <c r="BW697" s="4"/>
      <c r="BX697" s="4"/>
      <c r="BY697" s="4"/>
      <c r="BZ697" s="4"/>
      <c r="CA697" s="4"/>
      <c r="CB697" s="4"/>
      <c r="CC697" s="4"/>
      <c r="CD697" s="4"/>
      <c r="CE697" s="693"/>
      <c r="CF697" s="723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654"/>
      <c r="CR697" s="655"/>
      <c r="CS697" s="4">
        <v>72.5</v>
      </c>
      <c r="CT697" s="4"/>
      <c r="CU697" s="4"/>
      <c r="CV697" s="4"/>
      <c r="CW697" s="4"/>
      <c r="CX697" s="4"/>
      <c r="CY697" s="4"/>
      <c r="CZ697" s="4"/>
      <c r="DA697" s="4"/>
      <c r="DB697" s="4"/>
      <c r="DC697" s="654"/>
      <c r="DD697" s="655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654"/>
      <c r="DP697" s="655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654"/>
      <c r="EB697" s="655"/>
      <c r="EC697" s="4"/>
      <c r="ED697" s="4"/>
      <c r="EE697" s="4"/>
      <c r="EF697" s="4"/>
      <c r="EG697" s="4"/>
      <c r="EH697" s="4"/>
      <c r="EI697" s="4"/>
      <c r="EJ697" s="4"/>
      <c r="EK697" s="4"/>
      <c r="EL697" s="4"/>
      <c r="EM697" s="693"/>
      <c r="EN697" s="723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654"/>
      <c r="EZ697" s="655"/>
      <c r="FA697" s="4">
        <v>72.5</v>
      </c>
      <c r="FB697" s="4"/>
      <c r="FC697" s="4"/>
      <c r="FD697" s="4"/>
      <c r="FE697" s="4"/>
      <c r="FF697" s="4"/>
      <c r="FG697" s="4"/>
      <c r="FH697" s="4"/>
      <c r="FI697" s="4"/>
      <c r="FJ697" s="4"/>
      <c r="FK697" s="654"/>
      <c r="FL697" s="655"/>
      <c r="FM697" s="4"/>
      <c r="FN697" s="4"/>
      <c r="FO697" s="4"/>
      <c r="FP697" s="4"/>
      <c r="FQ697" s="4"/>
      <c r="FR697" s="4"/>
      <c r="FS697" s="4"/>
      <c r="FT697" s="4"/>
      <c r="FU697" s="4"/>
      <c r="FV697" s="4"/>
      <c r="FW697" s="654"/>
      <c r="FX697" s="655"/>
      <c r="FY697" s="4"/>
      <c r="FZ697" s="4"/>
      <c r="GA697" s="4"/>
      <c r="GB697" s="4"/>
      <c r="GC697" s="4"/>
      <c r="GD697" s="4"/>
      <c r="GE697" s="4"/>
      <c r="GF697" s="4"/>
      <c r="GG697" s="4"/>
      <c r="GH697" s="4"/>
      <c r="GI697" s="654"/>
      <c r="GJ697" s="655"/>
      <c r="GK697" s="4"/>
      <c r="GL697" s="4"/>
      <c r="GM697" s="4"/>
      <c r="GN697" s="4"/>
      <c r="GO697" s="4"/>
      <c r="GP697" s="4"/>
      <c r="GQ697" s="4"/>
      <c r="GR697" s="4"/>
      <c r="GS697" s="4"/>
      <c r="GT697" s="4"/>
      <c r="GU697" s="722"/>
      <c r="GV697" s="715"/>
    </row>
    <row r="698" spans="1:204" x14ac:dyDescent="0.25">
      <c r="A698" t="s">
        <v>2444</v>
      </c>
      <c r="B698" s="2" t="s">
        <v>2443</v>
      </c>
      <c r="C698" s="619">
        <v>44853</v>
      </c>
      <c r="D698" s="2" t="s">
        <v>2429</v>
      </c>
      <c r="E698" t="s">
        <v>58</v>
      </c>
      <c r="F698" s="2" t="s">
        <v>2473</v>
      </c>
      <c r="G698" t="s">
        <v>40</v>
      </c>
      <c r="H698" s="690" t="s">
        <v>84</v>
      </c>
      <c r="I698" s="691" t="s">
        <v>981</v>
      </c>
      <c r="J698" s="721" t="s">
        <v>2145</v>
      </c>
      <c r="K698" s="691" t="s">
        <v>2473</v>
      </c>
      <c r="L698" s="721" t="s">
        <v>2146</v>
      </c>
      <c r="M698" s="718" t="s">
        <v>3</v>
      </c>
      <c r="N698" s="717" t="s">
        <v>44</v>
      </c>
      <c r="O698" s="719">
        <v>45261</v>
      </c>
      <c r="P698" s="720">
        <v>45291</v>
      </c>
      <c r="Q698" s="718">
        <v>109</v>
      </c>
      <c r="R698" s="717">
        <v>4.8387099999999998</v>
      </c>
      <c r="S698" s="691" t="s">
        <v>54</v>
      </c>
      <c r="T698" t="s">
        <v>358</v>
      </c>
      <c r="U698" s="673" t="s">
        <v>358</v>
      </c>
      <c r="V698" s="690" t="s">
        <v>358</v>
      </c>
      <c r="W698" s="657" t="s">
        <v>329</v>
      </c>
      <c r="X698" s="723"/>
      <c r="Y698" s="4"/>
      <c r="Z698" s="4"/>
      <c r="AA698" s="4"/>
      <c r="AB698" s="4"/>
      <c r="AC698" s="4"/>
      <c r="AD698" s="4"/>
      <c r="AE698" s="4"/>
      <c r="AF698" s="4"/>
      <c r="AG698" s="4"/>
      <c r="AH698" s="4"/>
      <c r="AI698" s="654"/>
      <c r="AJ698" s="655"/>
      <c r="AK698" s="4"/>
      <c r="AL698" s="4"/>
      <c r="AM698" s="4"/>
      <c r="AN698" s="4"/>
      <c r="AO698" s="4"/>
      <c r="AP698" s="4"/>
      <c r="AQ698" s="4"/>
      <c r="AR698" s="4"/>
      <c r="AS698" s="4"/>
      <c r="AT698" s="4"/>
      <c r="AU698" s="654">
        <v>4.8387099999999998</v>
      </c>
      <c r="AV698" s="655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654"/>
      <c r="BH698" s="655"/>
      <c r="BI698" s="4"/>
      <c r="BJ698" s="4"/>
      <c r="BK698" s="4"/>
      <c r="BL698" s="4"/>
      <c r="BM698" s="4"/>
      <c r="BN698" s="4"/>
      <c r="BO698" s="4"/>
      <c r="BP698" s="4"/>
      <c r="BQ698" s="4"/>
      <c r="BR698" s="4"/>
      <c r="BS698" s="654"/>
      <c r="BT698" s="655"/>
      <c r="BU698" s="4"/>
      <c r="BV698" s="4"/>
      <c r="BW698" s="4"/>
      <c r="BX698" s="4"/>
      <c r="BY698" s="4"/>
      <c r="BZ698" s="4"/>
      <c r="CA698" s="4"/>
      <c r="CB698" s="4"/>
      <c r="CC698" s="4"/>
      <c r="CD698" s="4"/>
      <c r="CE698" s="693"/>
      <c r="CF698" s="723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654"/>
      <c r="CR698" s="655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654">
        <v>109</v>
      </c>
      <c r="DD698" s="655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654"/>
      <c r="DP698" s="655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654"/>
      <c r="EB698" s="655"/>
      <c r="EC698" s="4"/>
      <c r="ED698" s="4"/>
      <c r="EE698" s="4"/>
      <c r="EF698" s="4"/>
      <c r="EG698" s="4"/>
      <c r="EH698" s="4"/>
      <c r="EI698" s="4"/>
      <c r="EJ698" s="4"/>
      <c r="EK698" s="4"/>
      <c r="EL698" s="4"/>
      <c r="EM698" s="693"/>
      <c r="EN698" s="723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654"/>
      <c r="EZ698" s="655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654">
        <v>109</v>
      </c>
      <c r="FL698" s="655"/>
      <c r="FM698" s="4"/>
      <c r="FN698" s="4"/>
      <c r="FO698" s="4"/>
      <c r="FP698" s="4"/>
      <c r="FQ698" s="4"/>
      <c r="FR698" s="4"/>
      <c r="FS698" s="4"/>
      <c r="FT698" s="4"/>
      <c r="FU698" s="4"/>
      <c r="FV698" s="4"/>
      <c r="FW698" s="654"/>
      <c r="FX698" s="655"/>
      <c r="FY698" s="4"/>
      <c r="FZ698" s="4"/>
      <c r="GA698" s="4"/>
      <c r="GB698" s="4"/>
      <c r="GC698" s="4"/>
      <c r="GD698" s="4"/>
      <c r="GE698" s="4"/>
      <c r="GF698" s="4"/>
      <c r="GG698" s="4"/>
      <c r="GH698" s="4"/>
      <c r="GI698" s="654"/>
      <c r="GJ698" s="655"/>
      <c r="GK698" s="4"/>
      <c r="GL698" s="4"/>
      <c r="GM698" s="4"/>
      <c r="GN698" s="4"/>
      <c r="GO698" s="4"/>
      <c r="GP698" s="4"/>
      <c r="GQ698" s="4"/>
      <c r="GR698" s="4"/>
      <c r="GS698" s="4"/>
      <c r="GT698" s="4"/>
      <c r="GU698" s="722"/>
      <c r="GV698" s="715"/>
    </row>
    <row r="699" spans="1:204" x14ac:dyDescent="0.25">
      <c r="A699" t="s">
        <v>2446</v>
      </c>
      <c r="B699" s="2" t="s">
        <v>2445</v>
      </c>
      <c r="C699" s="619">
        <v>44853</v>
      </c>
      <c r="D699" s="2" t="s">
        <v>2430</v>
      </c>
      <c r="E699" t="s">
        <v>59</v>
      </c>
      <c r="F699" s="2" t="s">
        <v>2473</v>
      </c>
      <c r="G699" t="s">
        <v>40</v>
      </c>
      <c r="H699" s="690" t="s">
        <v>85</v>
      </c>
      <c r="I699" s="691" t="s">
        <v>2473</v>
      </c>
      <c r="J699" s="721" t="s">
        <v>2146</v>
      </c>
      <c r="K699" s="691" t="s">
        <v>981</v>
      </c>
      <c r="L699" s="721" t="s">
        <v>2145</v>
      </c>
      <c r="M699" s="718" t="s">
        <v>3</v>
      </c>
      <c r="N699" s="717" t="s">
        <v>44</v>
      </c>
      <c r="O699" s="719">
        <v>45231</v>
      </c>
      <c r="P699" s="720">
        <v>45260</v>
      </c>
      <c r="Q699" s="718">
        <v>115</v>
      </c>
      <c r="R699" s="717">
        <v>5</v>
      </c>
      <c r="S699" s="691" t="s">
        <v>54</v>
      </c>
      <c r="T699" t="s">
        <v>358</v>
      </c>
      <c r="U699" s="673" t="s">
        <v>358</v>
      </c>
      <c r="V699" s="690" t="s">
        <v>358</v>
      </c>
      <c r="W699" s="657" t="s">
        <v>329</v>
      </c>
      <c r="X699" s="723"/>
      <c r="Y699" s="4"/>
      <c r="Z699" s="4"/>
      <c r="AA699" s="4"/>
      <c r="AB699" s="4"/>
      <c r="AC699" s="4"/>
      <c r="AD699" s="4"/>
      <c r="AE699" s="4"/>
      <c r="AF699" s="4"/>
      <c r="AG699" s="4"/>
      <c r="AH699" s="4"/>
      <c r="AI699" s="654"/>
      <c r="AJ699" s="655"/>
      <c r="AK699" s="4"/>
      <c r="AL699" s="4"/>
      <c r="AM699" s="4"/>
      <c r="AN699" s="4"/>
      <c r="AO699" s="4"/>
      <c r="AP699" s="4"/>
      <c r="AQ699" s="4"/>
      <c r="AR699" s="4"/>
      <c r="AS699" s="4"/>
      <c r="AT699" s="4">
        <v>5</v>
      </c>
      <c r="AU699" s="654"/>
      <c r="AV699" s="655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654"/>
      <c r="BH699" s="655"/>
      <c r="BI699" s="4"/>
      <c r="BJ699" s="4"/>
      <c r="BK699" s="4"/>
      <c r="BL699" s="4"/>
      <c r="BM699" s="4"/>
      <c r="BN699" s="4"/>
      <c r="BO699" s="4"/>
      <c r="BP699" s="4"/>
      <c r="BQ699" s="4"/>
      <c r="BR699" s="4"/>
      <c r="BS699" s="654"/>
      <c r="BT699" s="655"/>
      <c r="BU699" s="4"/>
      <c r="BV699" s="4"/>
      <c r="BW699" s="4"/>
      <c r="BX699" s="4"/>
      <c r="BY699" s="4"/>
      <c r="BZ699" s="4"/>
      <c r="CA699" s="4"/>
      <c r="CB699" s="4"/>
      <c r="CC699" s="4"/>
      <c r="CD699" s="4"/>
      <c r="CE699" s="693"/>
      <c r="CF699" s="723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654"/>
      <c r="CR699" s="655"/>
      <c r="CS699" s="4"/>
      <c r="CT699" s="4"/>
      <c r="CU699" s="4"/>
      <c r="CV699" s="4"/>
      <c r="CW699" s="4"/>
      <c r="CX699" s="4"/>
      <c r="CY699" s="4"/>
      <c r="CZ699" s="4"/>
      <c r="DA699" s="4"/>
      <c r="DB699" s="4">
        <v>115</v>
      </c>
      <c r="DC699" s="654"/>
      <c r="DD699" s="655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654"/>
      <c r="DP699" s="655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654"/>
      <c r="EB699" s="655"/>
      <c r="EC699" s="4"/>
      <c r="ED699" s="4"/>
      <c r="EE699" s="4"/>
      <c r="EF699" s="4"/>
      <c r="EG699" s="4"/>
      <c r="EH699" s="4"/>
      <c r="EI699" s="4"/>
      <c r="EJ699" s="4"/>
      <c r="EK699" s="4"/>
      <c r="EL699" s="4"/>
      <c r="EM699" s="693"/>
      <c r="EN699" s="723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654"/>
      <c r="EZ699" s="655"/>
      <c r="FA699" s="4"/>
      <c r="FB699" s="4"/>
      <c r="FC699" s="4"/>
      <c r="FD699" s="4"/>
      <c r="FE699" s="4"/>
      <c r="FF699" s="4"/>
      <c r="FG699" s="4"/>
      <c r="FH699" s="4"/>
      <c r="FI699" s="4"/>
      <c r="FJ699" s="4">
        <v>115</v>
      </c>
      <c r="FK699" s="654"/>
      <c r="FL699" s="655"/>
      <c r="FM699" s="4"/>
      <c r="FN699" s="4"/>
      <c r="FO699" s="4"/>
      <c r="FP699" s="4"/>
      <c r="FQ699" s="4"/>
      <c r="FR699" s="4"/>
      <c r="FS699" s="4"/>
      <c r="FT699" s="4"/>
      <c r="FU699" s="4"/>
      <c r="FV699" s="4"/>
      <c r="FW699" s="654"/>
      <c r="FX699" s="655"/>
      <c r="FY699" s="4"/>
      <c r="FZ699" s="4"/>
      <c r="GA699" s="4"/>
      <c r="GB699" s="4"/>
      <c r="GC699" s="4"/>
      <c r="GD699" s="4"/>
      <c r="GE699" s="4"/>
      <c r="GF699" s="4"/>
      <c r="GG699" s="4"/>
      <c r="GH699" s="4"/>
      <c r="GI699" s="654"/>
      <c r="GJ699" s="655"/>
      <c r="GK699" s="4"/>
      <c r="GL699" s="4"/>
      <c r="GM699" s="4"/>
      <c r="GN699" s="4"/>
      <c r="GO699" s="4"/>
      <c r="GP699" s="4"/>
      <c r="GQ699" s="4"/>
      <c r="GR699" s="4"/>
      <c r="GS699" s="4"/>
      <c r="GT699" s="4"/>
      <c r="GU699" s="722"/>
      <c r="GV699" s="715"/>
    </row>
    <row r="700" spans="1:204" x14ac:dyDescent="0.25">
      <c r="A700" t="s">
        <v>2448</v>
      </c>
      <c r="B700" s="2" t="s">
        <v>2447</v>
      </c>
      <c r="C700" s="619">
        <v>44853</v>
      </c>
      <c r="D700" s="2" t="s">
        <v>2431</v>
      </c>
      <c r="E700" t="s">
        <v>58</v>
      </c>
      <c r="F700" s="2" t="s">
        <v>2473</v>
      </c>
      <c r="G700" t="s">
        <v>40</v>
      </c>
      <c r="H700" s="690" t="s">
        <v>84</v>
      </c>
      <c r="I700" s="691" t="s">
        <v>509</v>
      </c>
      <c r="J700" s="721" t="s">
        <v>629</v>
      </c>
      <c r="K700" s="691" t="s">
        <v>2473</v>
      </c>
      <c r="L700" s="721" t="s">
        <v>2146</v>
      </c>
      <c r="M700" s="718" t="s">
        <v>3</v>
      </c>
      <c r="N700" s="717" t="s">
        <v>44</v>
      </c>
      <c r="O700" s="719">
        <v>45078</v>
      </c>
      <c r="P700" s="720">
        <v>45107</v>
      </c>
      <c r="Q700" s="718">
        <v>85</v>
      </c>
      <c r="R700" s="717">
        <v>12</v>
      </c>
      <c r="S700" s="691" t="s">
        <v>54</v>
      </c>
      <c r="T700" t="s">
        <v>358</v>
      </c>
      <c r="U700" s="673" t="s">
        <v>358</v>
      </c>
      <c r="V700" s="690" t="s">
        <v>358</v>
      </c>
      <c r="W700" s="657" t="s">
        <v>329</v>
      </c>
      <c r="X700" s="723"/>
      <c r="Y700" s="4"/>
      <c r="Z700" s="4"/>
      <c r="AA700" s="4"/>
      <c r="AB700" s="4"/>
      <c r="AC700" s="4"/>
      <c r="AD700" s="4"/>
      <c r="AE700" s="4"/>
      <c r="AF700" s="4"/>
      <c r="AG700" s="4"/>
      <c r="AH700" s="4"/>
      <c r="AI700" s="654"/>
      <c r="AJ700" s="655"/>
      <c r="AK700" s="4"/>
      <c r="AL700" s="4"/>
      <c r="AM700" s="4"/>
      <c r="AN700" s="4"/>
      <c r="AO700" s="4">
        <v>12</v>
      </c>
      <c r="AP700" s="4"/>
      <c r="AQ700" s="4"/>
      <c r="AR700" s="4"/>
      <c r="AS700" s="4"/>
      <c r="AT700" s="4"/>
      <c r="AU700" s="654"/>
      <c r="AV700" s="655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654"/>
      <c r="BH700" s="655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654"/>
      <c r="BT700" s="655"/>
      <c r="BU700" s="4"/>
      <c r="BV700" s="4"/>
      <c r="BW700" s="4"/>
      <c r="BX700" s="4"/>
      <c r="BY700" s="4"/>
      <c r="BZ700" s="4"/>
      <c r="CA700" s="4"/>
      <c r="CB700" s="4"/>
      <c r="CC700" s="4"/>
      <c r="CD700" s="4"/>
      <c r="CE700" s="693"/>
      <c r="CF700" s="723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654"/>
      <c r="CR700" s="655"/>
      <c r="CS700" s="4"/>
      <c r="CT700" s="4"/>
      <c r="CU700" s="4"/>
      <c r="CV700" s="4"/>
      <c r="CW700" s="4">
        <v>85</v>
      </c>
      <c r="CX700" s="4"/>
      <c r="CY700" s="4"/>
      <c r="CZ700" s="4"/>
      <c r="DA700" s="4"/>
      <c r="DB700" s="4"/>
      <c r="DC700" s="654"/>
      <c r="DD700" s="655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654"/>
      <c r="DP700" s="655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654"/>
      <c r="EB700" s="655"/>
      <c r="EC700" s="4"/>
      <c r="ED700" s="4"/>
      <c r="EE700" s="4"/>
      <c r="EF700" s="4"/>
      <c r="EG700" s="4"/>
      <c r="EH700" s="4"/>
      <c r="EI700" s="4"/>
      <c r="EJ700" s="4"/>
      <c r="EK700" s="4"/>
      <c r="EL700" s="4"/>
      <c r="EM700" s="693"/>
      <c r="EN700" s="723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654"/>
      <c r="EZ700" s="655"/>
      <c r="FA700" s="4"/>
      <c r="FB700" s="4"/>
      <c r="FC700" s="4"/>
      <c r="FD700" s="4"/>
      <c r="FE700" s="4">
        <v>85</v>
      </c>
      <c r="FF700" s="4"/>
      <c r="FG700" s="4"/>
      <c r="FH700" s="4"/>
      <c r="FI700" s="4"/>
      <c r="FJ700" s="4"/>
      <c r="FK700" s="654"/>
      <c r="FL700" s="655"/>
      <c r="FM700" s="4"/>
      <c r="FN700" s="4"/>
      <c r="FO700" s="4"/>
      <c r="FP700" s="4"/>
      <c r="FQ700" s="4"/>
      <c r="FR700" s="4"/>
      <c r="FS700" s="4"/>
      <c r="FT700" s="4"/>
      <c r="FU700" s="4"/>
      <c r="FV700" s="4"/>
      <c r="FW700" s="654"/>
      <c r="FX700" s="655"/>
      <c r="FY700" s="4"/>
      <c r="FZ700" s="4"/>
      <c r="GA700" s="4"/>
      <c r="GB700" s="4"/>
      <c r="GC700" s="4"/>
      <c r="GD700" s="4"/>
      <c r="GE700" s="4"/>
      <c r="GF700" s="4"/>
      <c r="GG700" s="4"/>
      <c r="GH700" s="4"/>
      <c r="GI700" s="654"/>
      <c r="GJ700" s="655"/>
      <c r="GK700" s="4"/>
      <c r="GL700" s="4"/>
      <c r="GM700" s="4"/>
      <c r="GN700" s="4"/>
      <c r="GO700" s="4"/>
      <c r="GP700" s="4"/>
      <c r="GQ700" s="4"/>
      <c r="GR700" s="4"/>
      <c r="GS700" s="4"/>
      <c r="GT700" s="4"/>
      <c r="GU700" s="722"/>
      <c r="GV700" s="715"/>
    </row>
    <row r="701" spans="1:204" x14ac:dyDescent="0.25">
      <c r="A701" t="s">
        <v>2450</v>
      </c>
      <c r="B701" s="2" t="s">
        <v>2449</v>
      </c>
      <c r="C701" s="619">
        <v>44853</v>
      </c>
      <c r="D701" s="2" t="s">
        <v>2432</v>
      </c>
      <c r="E701" t="s">
        <v>59</v>
      </c>
      <c r="F701" s="2" t="s">
        <v>2473</v>
      </c>
      <c r="G701" t="s">
        <v>40</v>
      </c>
      <c r="H701" s="690" t="s">
        <v>85</v>
      </c>
      <c r="I701" s="691" t="s">
        <v>2473</v>
      </c>
      <c r="J701" s="721" t="s">
        <v>2146</v>
      </c>
      <c r="K701" s="691" t="s">
        <v>509</v>
      </c>
      <c r="L701" s="721" t="s">
        <v>629</v>
      </c>
      <c r="M701" s="718" t="s">
        <v>3</v>
      </c>
      <c r="N701" s="717" t="s">
        <v>44</v>
      </c>
      <c r="O701" s="719">
        <v>45017</v>
      </c>
      <c r="P701" s="720">
        <v>45046</v>
      </c>
      <c r="Q701" s="718">
        <v>70</v>
      </c>
      <c r="R701" s="717">
        <v>12</v>
      </c>
      <c r="S701" s="691" t="s">
        <v>54</v>
      </c>
      <c r="T701" t="s">
        <v>358</v>
      </c>
      <c r="U701" s="673" t="s">
        <v>358</v>
      </c>
      <c r="V701" s="690" t="s">
        <v>358</v>
      </c>
      <c r="W701" s="657" t="s">
        <v>329</v>
      </c>
      <c r="X701" s="723"/>
      <c r="Y701" s="4"/>
      <c r="Z701" s="4"/>
      <c r="AA701" s="4"/>
      <c r="AB701" s="4"/>
      <c r="AC701" s="4"/>
      <c r="AD701" s="4"/>
      <c r="AE701" s="4"/>
      <c r="AF701" s="4"/>
      <c r="AG701" s="4"/>
      <c r="AH701" s="4"/>
      <c r="AI701" s="654"/>
      <c r="AJ701" s="655"/>
      <c r="AK701" s="4"/>
      <c r="AL701" s="4"/>
      <c r="AM701" s="4">
        <v>12</v>
      </c>
      <c r="AN701" s="4"/>
      <c r="AO701" s="4"/>
      <c r="AP701" s="4"/>
      <c r="AQ701" s="4"/>
      <c r="AR701" s="4"/>
      <c r="AS701" s="4"/>
      <c r="AT701" s="4"/>
      <c r="AU701" s="654"/>
      <c r="AV701" s="655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654"/>
      <c r="BH701" s="655"/>
      <c r="BI701" s="4"/>
      <c r="BJ701" s="4"/>
      <c r="BK701" s="4"/>
      <c r="BL701" s="4"/>
      <c r="BM701" s="4"/>
      <c r="BN701" s="4"/>
      <c r="BO701" s="4"/>
      <c r="BP701" s="4"/>
      <c r="BQ701" s="4"/>
      <c r="BR701" s="4"/>
      <c r="BS701" s="654"/>
      <c r="BT701" s="655"/>
      <c r="BU701" s="4"/>
      <c r="BV701" s="4"/>
      <c r="BW701" s="4"/>
      <c r="BX701" s="4"/>
      <c r="BY701" s="4"/>
      <c r="BZ701" s="4"/>
      <c r="CA701" s="4"/>
      <c r="CB701" s="4"/>
      <c r="CC701" s="4"/>
      <c r="CD701" s="4"/>
      <c r="CE701" s="693"/>
      <c r="CF701" s="723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654"/>
      <c r="CR701" s="655"/>
      <c r="CS701" s="4"/>
      <c r="CT701" s="4"/>
      <c r="CU701" s="4">
        <v>70</v>
      </c>
      <c r="CV701" s="4"/>
      <c r="CW701" s="4"/>
      <c r="CX701" s="4"/>
      <c r="CY701" s="4"/>
      <c r="CZ701" s="4"/>
      <c r="DA701" s="4"/>
      <c r="DB701" s="4"/>
      <c r="DC701" s="654"/>
      <c r="DD701" s="655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654"/>
      <c r="DP701" s="655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654"/>
      <c r="EB701" s="655"/>
      <c r="EC701" s="4"/>
      <c r="ED701" s="4"/>
      <c r="EE701" s="4"/>
      <c r="EF701" s="4"/>
      <c r="EG701" s="4"/>
      <c r="EH701" s="4"/>
      <c r="EI701" s="4"/>
      <c r="EJ701" s="4"/>
      <c r="EK701" s="4"/>
      <c r="EL701" s="4"/>
      <c r="EM701" s="693"/>
      <c r="EN701" s="723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654"/>
      <c r="EZ701" s="655"/>
      <c r="FA701" s="4"/>
      <c r="FB701" s="4"/>
      <c r="FC701" s="4">
        <v>70</v>
      </c>
      <c r="FD701" s="4"/>
      <c r="FE701" s="4"/>
      <c r="FF701" s="4"/>
      <c r="FG701" s="4"/>
      <c r="FH701" s="4"/>
      <c r="FI701" s="4"/>
      <c r="FJ701" s="4"/>
      <c r="FK701" s="654"/>
      <c r="FL701" s="655"/>
      <c r="FM701" s="4"/>
      <c r="FN701" s="4"/>
      <c r="FO701" s="4"/>
      <c r="FP701" s="4"/>
      <c r="FQ701" s="4"/>
      <c r="FR701" s="4"/>
      <c r="FS701" s="4"/>
      <c r="FT701" s="4"/>
      <c r="FU701" s="4"/>
      <c r="FV701" s="4"/>
      <c r="FW701" s="654"/>
      <c r="FX701" s="655"/>
      <c r="FY701" s="4"/>
      <c r="FZ701" s="4"/>
      <c r="GA701" s="4"/>
      <c r="GB701" s="4"/>
      <c r="GC701" s="4"/>
      <c r="GD701" s="4"/>
      <c r="GE701" s="4"/>
      <c r="GF701" s="4"/>
      <c r="GG701" s="4"/>
      <c r="GH701" s="4"/>
      <c r="GI701" s="654"/>
      <c r="GJ701" s="655"/>
      <c r="GK701" s="4"/>
      <c r="GL701" s="4"/>
      <c r="GM701" s="4"/>
      <c r="GN701" s="4"/>
      <c r="GO701" s="4"/>
      <c r="GP701" s="4"/>
      <c r="GQ701" s="4"/>
      <c r="GR701" s="4"/>
      <c r="GS701" s="4"/>
      <c r="GT701" s="4"/>
      <c r="GU701" s="722"/>
      <c r="GV701" s="715"/>
    </row>
    <row r="702" spans="1:204" x14ac:dyDescent="0.25">
      <c r="A702" t="s">
        <v>2452</v>
      </c>
      <c r="B702" s="2" t="s">
        <v>2451</v>
      </c>
      <c r="C702" s="619">
        <v>44853</v>
      </c>
      <c r="D702" s="2" t="s">
        <v>2433</v>
      </c>
      <c r="E702" t="s">
        <v>59</v>
      </c>
      <c r="F702" s="2" t="s">
        <v>2473</v>
      </c>
      <c r="G702" t="s">
        <v>40</v>
      </c>
      <c r="H702" s="690" t="s">
        <v>85</v>
      </c>
      <c r="I702" s="691" t="s">
        <v>2473</v>
      </c>
      <c r="J702" s="721" t="s">
        <v>2146</v>
      </c>
      <c r="K702" s="691" t="s">
        <v>465</v>
      </c>
      <c r="L702" s="721" t="s">
        <v>2441</v>
      </c>
      <c r="M702" s="718" t="s">
        <v>3</v>
      </c>
      <c r="N702" s="717" t="s">
        <v>44</v>
      </c>
      <c r="O702" s="719">
        <v>44958</v>
      </c>
      <c r="P702" s="720">
        <v>44985</v>
      </c>
      <c r="Q702" s="718">
        <v>72.5</v>
      </c>
      <c r="R702" s="717">
        <v>3.3</v>
      </c>
      <c r="S702" s="691" t="s">
        <v>54</v>
      </c>
      <c r="T702" t="s">
        <v>358</v>
      </c>
      <c r="U702" s="673" t="s">
        <v>358</v>
      </c>
      <c r="V702" s="690" t="s">
        <v>358</v>
      </c>
      <c r="W702" s="657" t="s">
        <v>329</v>
      </c>
      <c r="X702" s="723"/>
      <c r="Y702" s="4"/>
      <c r="Z702" s="4"/>
      <c r="AA702" s="4"/>
      <c r="AB702" s="4"/>
      <c r="AC702" s="4"/>
      <c r="AD702" s="4"/>
      <c r="AE702" s="4"/>
      <c r="AF702" s="4"/>
      <c r="AG702" s="4"/>
      <c r="AH702" s="4"/>
      <c r="AI702" s="654"/>
      <c r="AJ702" s="655"/>
      <c r="AK702" s="4">
        <v>3.3</v>
      </c>
      <c r="AL702" s="4"/>
      <c r="AM702" s="4"/>
      <c r="AN702" s="4"/>
      <c r="AO702" s="4"/>
      <c r="AP702" s="4"/>
      <c r="AQ702" s="4"/>
      <c r="AR702" s="4"/>
      <c r="AS702" s="4"/>
      <c r="AT702" s="4"/>
      <c r="AU702" s="654"/>
      <c r="AV702" s="655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654"/>
      <c r="BH702" s="655"/>
      <c r="BI702" s="4"/>
      <c r="BJ702" s="4"/>
      <c r="BK702" s="4"/>
      <c r="BL702" s="4"/>
      <c r="BM702" s="4"/>
      <c r="BN702" s="4"/>
      <c r="BO702" s="4"/>
      <c r="BP702" s="4"/>
      <c r="BQ702" s="4"/>
      <c r="BR702" s="4"/>
      <c r="BS702" s="654"/>
      <c r="BT702" s="655"/>
      <c r="BU702" s="4"/>
      <c r="BV702" s="4"/>
      <c r="BW702" s="4"/>
      <c r="BX702" s="4"/>
      <c r="BY702" s="4"/>
      <c r="BZ702" s="4"/>
      <c r="CA702" s="4"/>
      <c r="CB702" s="4"/>
      <c r="CC702" s="4"/>
      <c r="CD702" s="4"/>
      <c r="CE702" s="693"/>
      <c r="CF702" s="723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654"/>
      <c r="CR702" s="655"/>
      <c r="CS702" s="4">
        <v>72.5</v>
      </c>
      <c r="CT702" s="4"/>
      <c r="CU702" s="4"/>
      <c r="CV702" s="4"/>
      <c r="CW702" s="4"/>
      <c r="CX702" s="4"/>
      <c r="CY702" s="4"/>
      <c r="CZ702" s="4"/>
      <c r="DA702" s="4"/>
      <c r="DB702" s="4"/>
      <c r="DC702" s="654"/>
      <c r="DD702" s="655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654"/>
      <c r="DP702" s="655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654"/>
      <c r="EB702" s="655"/>
      <c r="EC702" s="4"/>
      <c r="ED702" s="4"/>
      <c r="EE702" s="4"/>
      <c r="EF702" s="4"/>
      <c r="EG702" s="4"/>
      <c r="EH702" s="4"/>
      <c r="EI702" s="4"/>
      <c r="EJ702" s="4"/>
      <c r="EK702" s="4"/>
      <c r="EL702" s="4"/>
      <c r="EM702" s="693"/>
      <c r="EN702" s="723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654"/>
      <c r="EZ702" s="655"/>
      <c r="FA702" s="4">
        <v>72.5</v>
      </c>
      <c r="FB702" s="4"/>
      <c r="FC702" s="4"/>
      <c r="FD702" s="4"/>
      <c r="FE702" s="4"/>
      <c r="FF702" s="4"/>
      <c r="FG702" s="4"/>
      <c r="FH702" s="4"/>
      <c r="FI702" s="4"/>
      <c r="FJ702" s="4"/>
      <c r="FK702" s="654"/>
      <c r="FL702" s="655"/>
      <c r="FM702" s="4"/>
      <c r="FN702" s="4"/>
      <c r="FO702" s="4"/>
      <c r="FP702" s="4"/>
      <c r="FQ702" s="4"/>
      <c r="FR702" s="4"/>
      <c r="FS702" s="4"/>
      <c r="FT702" s="4"/>
      <c r="FU702" s="4"/>
      <c r="FV702" s="4"/>
      <c r="FW702" s="654"/>
      <c r="FX702" s="655"/>
      <c r="FY702" s="4"/>
      <c r="FZ702" s="4"/>
      <c r="GA702" s="4"/>
      <c r="GB702" s="4"/>
      <c r="GC702" s="4"/>
      <c r="GD702" s="4"/>
      <c r="GE702" s="4"/>
      <c r="GF702" s="4"/>
      <c r="GG702" s="4"/>
      <c r="GH702" s="4"/>
      <c r="GI702" s="654"/>
      <c r="GJ702" s="655"/>
      <c r="GK702" s="4"/>
      <c r="GL702" s="4"/>
      <c r="GM702" s="4"/>
      <c r="GN702" s="4"/>
      <c r="GO702" s="4"/>
      <c r="GP702" s="4"/>
      <c r="GQ702" s="4"/>
      <c r="GR702" s="4"/>
      <c r="GS702" s="4"/>
      <c r="GT702" s="4"/>
      <c r="GU702" s="722"/>
      <c r="GV702" s="715"/>
    </row>
    <row r="703" spans="1:204" x14ac:dyDescent="0.25">
      <c r="A703" t="s">
        <v>2454</v>
      </c>
      <c r="B703" s="2" t="s">
        <v>2453</v>
      </c>
      <c r="C703" s="619">
        <v>44853</v>
      </c>
      <c r="D703" s="2" t="s">
        <v>2434</v>
      </c>
      <c r="E703" t="s">
        <v>59</v>
      </c>
      <c r="F703" s="2" t="s">
        <v>2473</v>
      </c>
      <c r="G703" t="s">
        <v>40</v>
      </c>
      <c r="H703" s="690" t="s">
        <v>85</v>
      </c>
      <c r="I703" s="691" t="s">
        <v>2473</v>
      </c>
      <c r="J703" s="721" t="s">
        <v>2146</v>
      </c>
      <c r="K703" s="691" t="s">
        <v>465</v>
      </c>
      <c r="L703" s="721" t="s">
        <v>2441</v>
      </c>
      <c r="M703" s="718" t="s">
        <v>3</v>
      </c>
      <c r="N703" s="717" t="s">
        <v>44</v>
      </c>
      <c r="O703" s="719">
        <v>44986</v>
      </c>
      <c r="P703" s="720">
        <v>45016</v>
      </c>
      <c r="Q703" s="718">
        <v>74</v>
      </c>
      <c r="R703" s="717">
        <v>1.3</v>
      </c>
      <c r="S703" s="691" t="s">
        <v>54</v>
      </c>
      <c r="T703" t="s">
        <v>358</v>
      </c>
      <c r="U703" s="673" t="s">
        <v>358</v>
      </c>
      <c r="V703" s="690" t="s">
        <v>358</v>
      </c>
      <c r="W703" s="657" t="s">
        <v>329</v>
      </c>
      <c r="X703" s="723"/>
      <c r="Y703" s="4"/>
      <c r="Z703" s="4"/>
      <c r="AA703" s="4"/>
      <c r="AB703" s="4"/>
      <c r="AC703" s="4"/>
      <c r="AD703" s="4"/>
      <c r="AE703" s="4"/>
      <c r="AF703" s="4"/>
      <c r="AG703" s="4"/>
      <c r="AH703" s="4"/>
      <c r="AI703" s="654"/>
      <c r="AJ703" s="655"/>
      <c r="AK703" s="4"/>
      <c r="AL703" s="4">
        <v>1.3</v>
      </c>
      <c r="AM703" s="4"/>
      <c r="AN703" s="4"/>
      <c r="AO703" s="4"/>
      <c r="AP703" s="4"/>
      <c r="AQ703" s="4"/>
      <c r="AR703" s="4"/>
      <c r="AS703" s="4"/>
      <c r="AT703" s="4"/>
      <c r="AU703" s="654"/>
      <c r="AV703" s="655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654"/>
      <c r="BH703" s="655"/>
      <c r="BI703" s="4"/>
      <c r="BJ703" s="4"/>
      <c r="BK703" s="4"/>
      <c r="BL703" s="4"/>
      <c r="BM703" s="4"/>
      <c r="BN703" s="4"/>
      <c r="BO703" s="4"/>
      <c r="BP703" s="4"/>
      <c r="BQ703" s="4"/>
      <c r="BR703" s="4"/>
      <c r="BS703" s="654"/>
      <c r="BT703" s="655"/>
      <c r="BU703" s="4"/>
      <c r="BV703" s="4"/>
      <c r="BW703" s="4"/>
      <c r="BX703" s="4"/>
      <c r="BY703" s="4"/>
      <c r="BZ703" s="4"/>
      <c r="CA703" s="4"/>
      <c r="CB703" s="4"/>
      <c r="CC703" s="4"/>
      <c r="CD703" s="4"/>
      <c r="CE703" s="693"/>
      <c r="CF703" s="723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654"/>
      <c r="CR703" s="655"/>
      <c r="CS703" s="4"/>
      <c r="CT703" s="4">
        <v>74</v>
      </c>
      <c r="CU703" s="4"/>
      <c r="CV703" s="4"/>
      <c r="CW703" s="4"/>
      <c r="CX703" s="4"/>
      <c r="CY703" s="4"/>
      <c r="CZ703" s="4"/>
      <c r="DA703" s="4"/>
      <c r="DB703" s="4"/>
      <c r="DC703" s="654"/>
      <c r="DD703" s="655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654"/>
      <c r="DP703" s="655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654"/>
      <c r="EB703" s="655"/>
      <c r="EC703" s="4"/>
      <c r="ED703" s="4"/>
      <c r="EE703" s="4"/>
      <c r="EF703" s="4"/>
      <c r="EG703" s="4"/>
      <c r="EH703" s="4"/>
      <c r="EI703" s="4"/>
      <c r="EJ703" s="4"/>
      <c r="EK703" s="4"/>
      <c r="EL703" s="4"/>
      <c r="EM703" s="693"/>
      <c r="EN703" s="723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654"/>
      <c r="EZ703" s="655"/>
      <c r="FA703" s="4"/>
      <c r="FB703" s="4">
        <v>74</v>
      </c>
      <c r="FC703" s="4"/>
      <c r="FD703" s="4"/>
      <c r="FE703" s="4"/>
      <c r="FF703" s="4"/>
      <c r="FG703" s="4"/>
      <c r="FH703" s="4"/>
      <c r="FI703" s="4"/>
      <c r="FJ703" s="4"/>
      <c r="FK703" s="654"/>
      <c r="FL703" s="655"/>
      <c r="FM703" s="4"/>
      <c r="FN703" s="4"/>
      <c r="FO703" s="4"/>
      <c r="FP703" s="4"/>
      <c r="FQ703" s="4"/>
      <c r="FR703" s="4"/>
      <c r="FS703" s="4"/>
      <c r="FT703" s="4"/>
      <c r="FU703" s="4"/>
      <c r="FV703" s="4"/>
      <c r="FW703" s="654"/>
      <c r="FX703" s="655"/>
      <c r="FY703" s="4"/>
      <c r="FZ703" s="4"/>
      <c r="GA703" s="4"/>
      <c r="GB703" s="4"/>
      <c r="GC703" s="4"/>
      <c r="GD703" s="4"/>
      <c r="GE703" s="4"/>
      <c r="GF703" s="4"/>
      <c r="GG703" s="4"/>
      <c r="GH703" s="4"/>
      <c r="GI703" s="654"/>
      <c r="GJ703" s="655"/>
      <c r="GK703" s="4"/>
      <c r="GL703" s="4"/>
      <c r="GM703" s="4"/>
      <c r="GN703" s="4"/>
      <c r="GO703" s="4"/>
      <c r="GP703" s="4"/>
      <c r="GQ703" s="4"/>
      <c r="GR703" s="4"/>
      <c r="GS703" s="4"/>
      <c r="GT703" s="4"/>
      <c r="GU703" s="722"/>
      <c r="GV703" s="715"/>
    </row>
    <row r="704" spans="1:204" x14ac:dyDescent="0.25">
      <c r="A704" t="s">
        <v>2456</v>
      </c>
      <c r="B704" s="2" t="s">
        <v>2455</v>
      </c>
      <c r="C704" s="619">
        <v>44853</v>
      </c>
      <c r="D704" s="2" t="s">
        <v>2435</v>
      </c>
      <c r="E704" t="s">
        <v>59</v>
      </c>
      <c r="F704" s="2" t="s">
        <v>2473</v>
      </c>
      <c r="G704" t="s">
        <v>40</v>
      </c>
      <c r="H704" s="690" t="s">
        <v>85</v>
      </c>
      <c r="I704" s="691" t="s">
        <v>2473</v>
      </c>
      <c r="J704" s="721" t="s">
        <v>2146</v>
      </c>
      <c r="K704" s="691" t="s">
        <v>465</v>
      </c>
      <c r="L704" s="721" t="s">
        <v>2441</v>
      </c>
      <c r="M704" s="718" t="s">
        <v>3</v>
      </c>
      <c r="N704" s="717" t="s">
        <v>44</v>
      </c>
      <c r="O704" s="719">
        <v>44986</v>
      </c>
      <c r="P704" s="720">
        <v>45016</v>
      </c>
      <c r="Q704" s="718">
        <v>74</v>
      </c>
      <c r="R704" s="717">
        <v>2</v>
      </c>
      <c r="S704" s="691" t="s">
        <v>54</v>
      </c>
      <c r="T704" t="s">
        <v>358</v>
      </c>
      <c r="U704" s="673" t="s">
        <v>358</v>
      </c>
      <c r="V704" s="690" t="s">
        <v>358</v>
      </c>
      <c r="W704" s="657" t="s">
        <v>329</v>
      </c>
      <c r="X704" s="723"/>
      <c r="Y704" s="4"/>
      <c r="Z704" s="4"/>
      <c r="AA704" s="4"/>
      <c r="AB704" s="4"/>
      <c r="AC704" s="4"/>
      <c r="AD704" s="4"/>
      <c r="AE704" s="4"/>
      <c r="AF704" s="4"/>
      <c r="AG704" s="4"/>
      <c r="AH704" s="4"/>
      <c r="AI704" s="654"/>
      <c r="AJ704" s="655"/>
      <c r="AK704" s="4"/>
      <c r="AL704" s="4">
        <v>2</v>
      </c>
      <c r="AM704" s="4"/>
      <c r="AN704" s="4"/>
      <c r="AO704" s="4"/>
      <c r="AP704" s="4"/>
      <c r="AQ704" s="4"/>
      <c r="AR704" s="4"/>
      <c r="AS704" s="4"/>
      <c r="AT704" s="4"/>
      <c r="AU704" s="654"/>
      <c r="AV704" s="655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654"/>
      <c r="BH704" s="655"/>
      <c r="BI704" s="4"/>
      <c r="BJ704" s="4"/>
      <c r="BK704" s="4"/>
      <c r="BL704" s="4"/>
      <c r="BM704" s="4"/>
      <c r="BN704" s="4"/>
      <c r="BO704" s="4"/>
      <c r="BP704" s="4"/>
      <c r="BQ704" s="4"/>
      <c r="BR704" s="4"/>
      <c r="BS704" s="654"/>
      <c r="BT704" s="655"/>
      <c r="BU704" s="4"/>
      <c r="BV704" s="4"/>
      <c r="BW704" s="4"/>
      <c r="BX704" s="4"/>
      <c r="BY704" s="4"/>
      <c r="BZ704" s="4"/>
      <c r="CA704" s="4"/>
      <c r="CB704" s="4"/>
      <c r="CC704" s="4"/>
      <c r="CD704" s="4"/>
      <c r="CE704" s="693"/>
      <c r="CF704" s="723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654"/>
      <c r="CR704" s="655"/>
      <c r="CS704" s="4"/>
      <c r="CT704" s="4">
        <v>74</v>
      </c>
      <c r="CU704" s="4"/>
      <c r="CV704" s="4"/>
      <c r="CW704" s="4"/>
      <c r="CX704" s="4"/>
      <c r="CY704" s="4"/>
      <c r="CZ704" s="4"/>
      <c r="DA704" s="4"/>
      <c r="DB704" s="4"/>
      <c r="DC704" s="654"/>
      <c r="DD704" s="655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654"/>
      <c r="DP704" s="655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654"/>
      <c r="EB704" s="655"/>
      <c r="EC704" s="4"/>
      <c r="ED704" s="4"/>
      <c r="EE704" s="4"/>
      <c r="EF704" s="4"/>
      <c r="EG704" s="4"/>
      <c r="EH704" s="4"/>
      <c r="EI704" s="4"/>
      <c r="EJ704" s="4"/>
      <c r="EK704" s="4"/>
      <c r="EL704" s="4"/>
      <c r="EM704" s="693"/>
      <c r="EN704" s="723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654"/>
      <c r="EZ704" s="655"/>
      <c r="FA704" s="4"/>
      <c r="FB704" s="4">
        <v>74</v>
      </c>
      <c r="FC704" s="4"/>
      <c r="FD704" s="4"/>
      <c r="FE704" s="4"/>
      <c r="FF704" s="4"/>
      <c r="FG704" s="4"/>
      <c r="FH704" s="4"/>
      <c r="FI704" s="4"/>
      <c r="FJ704" s="4"/>
      <c r="FK704" s="654"/>
      <c r="FL704" s="655"/>
      <c r="FM704" s="4"/>
      <c r="FN704" s="4"/>
      <c r="FO704" s="4"/>
      <c r="FP704" s="4"/>
      <c r="FQ704" s="4"/>
      <c r="FR704" s="4"/>
      <c r="FS704" s="4"/>
      <c r="FT704" s="4"/>
      <c r="FU704" s="4"/>
      <c r="FV704" s="4"/>
      <c r="FW704" s="654"/>
      <c r="FX704" s="655"/>
      <c r="FY704" s="4"/>
      <c r="FZ704" s="4"/>
      <c r="GA704" s="4"/>
      <c r="GB704" s="4"/>
      <c r="GC704" s="4"/>
      <c r="GD704" s="4"/>
      <c r="GE704" s="4"/>
      <c r="GF704" s="4"/>
      <c r="GG704" s="4"/>
      <c r="GH704" s="4"/>
      <c r="GI704" s="654"/>
      <c r="GJ704" s="655"/>
      <c r="GK704" s="4"/>
      <c r="GL704" s="4"/>
      <c r="GM704" s="4"/>
      <c r="GN704" s="4"/>
      <c r="GO704" s="4"/>
      <c r="GP704" s="4"/>
      <c r="GQ704" s="4"/>
      <c r="GR704" s="4"/>
      <c r="GS704" s="4"/>
      <c r="GT704" s="4"/>
      <c r="GU704" s="722"/>
      <c r="GV704" s="715"/>
    </row>
    <row r="705" spans="1:204" x14ac:dyDescent="0.25">
      <c r="A705" t="s">
        <v>2458</v>
      </c>
      <c r="B705" s="2" t="s">
        <v>2457</v>
      </c>
      <c r="C705" s="619">
        <v>44853</v>
      </c>
      <c r="D705" s="2" t="s">
        <v>2436</v>
      </c>
      <c r="E705" t="s">
        <v>59</v>
      </c>
      <c r="F705" s="2" t="s">
        <v>2473</v>
      </c>
      <c r="G705" t="s">
        <v>40</v>
      </c>
      <c r="H705" s="690" t="s">
        <v>85</v>
      </c>
      <c r="I705" s="691" t="s">
        <v>2473</v>
      </c>
      <c r="J705" s="721" t="s">
        <v>2146</v>
      </c>
      <c r="K705" s="691" t="s">
        <v>465</v>
      </c>
      <c r="L705" s="721" t="s">
        <v>2441</v>
      </c>
      <c r="M705" s="718" t="s">
        <v>3</v>
      </c>
      <c r="N705" s="717" t="s">
        <v>44</v>
      </c>
      <c r="O705" s="719">
        <v>44958</v>
      </c>
      <c r="P705" s="720">
        <v>44985</v>
      </c>
      <c r="Q705" s="718">
        <v>72.5</v>
      </c>
      <c r="R705" s="717">
        <v>2</v>
      </c>
      <c r="S705" s="691" t="s">
        <v>54</v>
      </c>
      <c r="T705" t="s">
        <v>358</v>
      </c>
      <c r="U705" s="673" t="s">
        <v>358</v>
      </c>
      <c r="V705" s="690" t="s">
        <v>358</v>
      </c>
      <c r="W705" s="657" t="s">
        <v>329</v>
      </c>
      <c r="X705" s="723"/>
      <c r="Y705" s="4"/>
      <c r="Z705" s="4"/>
      <c r="AA705" s="4"/>
      <c r="AB705" s="4"/>
      <c r="AC705" s="4"/>
      <c r="AD705" s="4"/>
      <c r="AE705" s="4"/>
      <c r="AF705" s="4"/>
      <c r="AG705" s="4"/>
      <c r="AH705" s="4"/>
      <c r="AI705" s="654"/>
      <c r="AJ705" s="655"/>
      <c r="AK705" s="4">
        <v>2</v>
      </c>
      <c r="AL705" s="4"/>
      <c r="AM705" s="4"/>
      <c r="AN705" s="4"/>
      <c r="AO705" s="4"/>
      <c r="AP705" s="4"/>
      <c r="AQ705" s="4"/>
      <c r="AR705" s="4"/>
      <c r="AS705" s="4"/>
      <c r="AT705" s="4"/>
      <c r="AU705" s="654"/>
      <c r="AV705" s="655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654"/>
      <c r="BH705" s="655"/>
      <c r="BI705" s="4"/>
      <c r="BJ705" s="4"/>
      <c r="BK705" s="4"/>
      <c r="BL705" s="4"/>
      <c r="BM705" s="4"/>
      <c r="BN705" s="4"/>
      <c r="BO705" s="4"/>
      <c r="BP705" s="4"/>
      <c r="BQ705" s="4"/>
      <c r="BR705" s="4"/>
      <c r="BS705" s="654"/>
      <c r="BT705" s="655"/>
      <c r="BU705" s="4"/>
      <c r="BV705" s="4"/>
      <c r="BW705" s="4"/>
      <c r="BX705" s="4"/>
      <c r="BY705" s="4"/>
      <c r="BZ705" s="4"/>
      <c r="CA705" s="4"/>
      <c r="CB705" s="4"/>
      <c r="CC705" s="4"/>
      <c r="CD705" s="4"/>
      <c r="CE705" s="693"/>
      <c r="CF705" s="723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654"/>
      <c r="CR705" s="655"/>
      <c r="CS705" s="4">
        <v>72.5</v>
      </c>
      <c r="CT705" s="4"/>
      <c r="CU705" s="4"/>
      <c r="CV705" s="4"/>
      <c r="CW705" s="4"/>
      <c r="CX705" s="4"/>
      <c r="CY705" s="4"/>
      <c r="CZ705" s="4"/>
      <c r="DA705" s="4"/>
      <c r="DB705" s="4"/>
      <c r="DC705" s="654"/>
      <c r="DD705" s="655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654"/>
      <c r="DP705" s="655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654"/>
      <c r="EB705" s="655"/>
      <c r="EC705" s="4"/>
      <c r="ED705" s="4"/>
      <c r="EE705" s="4"/>
      <c r="EF705" s="4"/>
      <c r="EG705" s="4"/>
      <c r="EH705" s="4"/>
      <c r="EI705" s="4"/>
      <c r="EJ705" s="4"/>
      <c r="EK705" s="4"/>
      <c r="EL705" s="4"/>
      <c r="EM705" s="693"/>
      <c r="EN705" s="723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654"/>
      <c r="EZ705" s="655"/>
      <c r="FA705" s="4">
        <v>72.5</v>
      </c>
      <c r="FB705" s="4"/>
      <c r="FC705" s="4"/>
      <c r="FD705" s="4"/>
      <c r="FE705" s="4"/>
      <c r="FF705" s="4"/>
      <c r="FG705" s="4"/>
      <c r="FH705" s="4"/>
      <c r="FI705" s="4"/>
      <c r="FJ705" s="4"/>
      <c r="FK705" s="654"/>
      <c r="FL705" s="655"/>
      <c r="FM705" s="4"/>
      <c r="FN705" s="4"/>
      <c r="FO705" s="4"/>
      <c r="FP705" s="4"/>
      <c r="FQ705" s="4"/>
      <c r="FR705" s="4"/>
      <c r="FS705" s="4"/>
      <c r="FT705" s="4"/>
      <c r="FU705" s="4"/>
      <c r="FV705" s="4"/>
      <c r="FW705" s="654"/>
      <c r="FX705" s="655"/>
      <c r="FY705" s="4"/>
      <c r="FZ705" s="4"/>
      <c r="GA705" s="4"/>
      <c r="GB705" s="4"/>
      <c r="GC705" s="4"/>
      <c r="GD705" s="4"/>
      <c r="GE705" s="4"/>
      <c r="GF705" s="4"/>
      <c r="GG705" s="4"/>
      <c r="GH705" s="4"/>
      <c r="GI705" s="654"/>
      <c r="GJ705" s="655"/>
      <c r="GK705" s="4"/>
      <c r="GL705" s="4"/>
      <c r="GM705" s="4"/>
      <c r="GN705" s="4"/>
      <c r="GO705" s="4"/>
      <c r="GP705" s="4"/>
      <c r="GQ705" s="4"/>
      <c r="GR705" s="4"/>
      <c r="GS705" s="4"/>
      <c r="GT705" s="4"/>
      <c r="GU705" s="722"/>
      <c r="GV705" s="715"/>
    </row>
    <row r="706" spans="1:204" x14ac:dyDescent="0.25">
      <c r="A706" t="s">
        <v>2460</v>
      </c>
      <c r="B706" s="2" t="s">
        <v>358</v>
      </c>
      <c r="C706" s="619">
        <v>44853</v>
      </c>
      <c r="D706" s="2" t="s">
        <v>2437</v>
      </c>
      <c r="E706" t="s">
        <v>59</v>
      </c>
      <c r="F706" s="2" t="s">
        <v>2473</v>
      </c>
      <c r="G706" t="s">
        <v>40</v>
      </c>
      <c r="H706" s="690" t="s">
        <v>85</v>
      </c>
      <c r="I706" s="691" t="s">
        <v>2473</v>
      </c>
      <c r="J706" s="721" t="s">
        <v>2146</v>
      </c>
      <c r="K706" s="691" t="s">
        <v>2105</v>
      </c>
      <c r="L706" s="721" t="s">
        <v>2442</v>
      </c>
      <c r="M706" s="718" t="s">
        <v>3</v>
      </c>
      <c r="N706" s="717" t="s">
        <v>44</v>
      </c>
      <c r="O706" s="719">
        <v>44896</v>
      </c>
      <c r="P706" s="720">
        <v>44926</v>
      </c>
      <c r="Q706" s="718">
        <v>58</v>
      </c>
      <c r="R706" s="717">
        <v>2</v>
      </c>
      <c r="S706" s="691" t="s">
        <v>54</v>
      </c>
      <c r="T706" t="s">
        <v>358</v>
      </c>
      <c r="U706" s="673" t="s">
        <v>358</v>
      </c>
      <c r="V706" s="690" t="s">
        <v>358</v>
      </c>
      <c r="W706" s="657" t="s">
        <v>214</v>
      </c>
      <c r="X706" s="723"/>
      <c r="Y706" s="4"/>
      <c r="Z706" s="4"/>
      <c r="AA706" s="4"/>
      <c r="AB706" s="4"/>
      <c r="AC706" s="4"/>
      <c r="AD706" s="4"/>
      <c r="AE706" s="4"/>
      <c r="AF706" s="4"/>
      <c r="AG706" s="4"/>
      <c r="AH706" s="4"/>
      <c r="AI706" s="654">
        <v>2</v>
      </c>
      <c r="AJ706" s="655"/>
      <c r="AK706" s="4"/>
      <c r="AL706" s="4"/>
      <c r="AM706" s="4"/>
      <c r="AN706" s="4"/>
      <c r="AO706" s="4"/>
      <c r="AP706" s="4"/>
      <c r="AQ706" s="4"/>
      <c r="AR706" s="4"/>
      <c r="AS706" s="4"/>
      <c r="AT706" s="4"/>
      <c r="AU706" s="654"/>
      <c r="AV706" s="655"/>
      <c r="AW706" s="4"/>
      <c r="AX706" s="4"/>
      <c r="AY706" s="4"/>
      <c r="AZ706" s="4"/>
      <c r="BA706" s="4"/>
      <c r="BB706" s="4"/>
      <c r="BC706" s="4"/>
      <c r="BD706" s="4"/>
      <c r="BE706" s="4"/>
      <c r="BF706" s="4"/>
      <c r="BG706" s="654"/>
      <c r="BH706" s="655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654"/>
      <c r="BT706" s="655"/>
      <c r="BU706" s="4"/>
      <c r="BV706" s="4"/>
      <c r="BW706" s="4"/>
      <c r="BX706" s="4"/>
      <c r="BY706" s="4"/>
      <c r="BZ706" s="4"/>
      <c r="CA706" s="4"/>
      <c r="CB706" s="4"/>
      <c r="CC706" s="4"/>
      <c r="CD706" s="4"/>
      <c r="CE706" s="693"/>
      <c r="CF706" s="723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654">
        <v>58</v>
      </c>
      <c r="CR706" s="655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654"/>
      <c r="DD706" s="655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654"/>
      <c r="DP706" s="655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654"/>
      <c r="EB706" s="655"/>
      <c r="EC706" s="4"/>
      <c r="ED706" s="4"/>
      <c r="EE706" s="4"/>
      <c r="EF706" s="4"/>
      <c r="EG706" s="4"/>
      <c r="EH706" s="4"/>
      <c r="EI706" s="4"/>
      <c r="EJ706" s="4"/>
      <c r="EK706" s="4"/>
      <c r="EL706" s="4"/>
      <c r="EM706" s="693"/>
      <c r="EN706" s="723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654">
        <v>58</v>
      </c>
      <c r="EZ706" s="655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654"/>
      <c r="FL706" s="655"/>
      <c r="FM706" s="4"/>
      <c r="FN706" s="4"/>
      <c r="FO706" s="4"/>
      <c r="FP706" s="4"/>
      <c r="FQ706" s="4"/>
      <c r="FR706" s="4"/>
      <c r="FS706" s="4"/>
      <c r="FT706" s="4"/>
      <c r="FU706" s="4"/>
      <c r="FV706" s="4"/>
      <c r="FW706" s="654"/>
      <c r="FX706" s="655"/>
      <c r="FY706" s="4"/>
      <c r="FZ706" s="4"/>
      <c r="GA706" s="4"/>
      <c r="GB706" s="4"/>
      <c r="GC706" s="4"/>
      <c r="GD706" s="4"/>
      <c r="GE706" s="4"/>
      <c r="GF706" s="4"/>
      <c r="GG706" s="4"/>
      <c r="GH706" s="4"/>
      <c r="GI706" s="654"/>
      <c r="GJ706" s="655"/>
      <c r="GK706" s="4"/>
      <c r="GL706" s="4"/>
      <c r="GM706" s="4"/>
      <c r="GN706" s="4"/>
      <c r="GO706" s="4"/>
      <c r="GP706" s="4"/>
      <c r="GQ706" s="4"/>
      <c r="GR706" s="4"/>
      <c r="GS706" s="4"/>
      <c r="GT706" s="4"/>
      <c r="GU706" s="722"/>
      <c r="GV706" s="715"/>
    </row>
    <row r="707" spans="1:204" x14ac:dyDescent="0.25">
      <c r="A707" t="s">
        <v>2462</v>
      </c>
      <c r="B707" s="2" t="s">
        <v>2459</v>
      </c>
      <c r="C707" s="619">
        <v>44853</v>
      </c>
      <c r="D707" s="2" t="s">
        <v>2438</v>
      </c>
      <c r="E707" t="s">
        <v>59</v>
      </c>
      <c r="F707" s="2" t="s">
        <v>2473</v>
      </c>
      <c r="G707" t="s">
        <v>40</v>
      </c>
      <c r="H707" s="690" t="s">
        <v>85</v>
      </c>
      <c r="I707" s="691" t="s">
        <v>2473</v>
      </c>
      <c r="J707" s="721" t="s">
        <v>2146</v>
      </c>
      <c r="K707" s="691" t="s">
        <v>2121</v>
      </c>
      <c r="L707" s="721" t="s">
        <v>2245</v>
      </c>
      <c r="M707" s="718" t="s">
        <v>3</v>
      </c>
      <c r="N707" s="717" t="s">
        <v>44</v>
      </c>
      <c r="O707" s="719">
        <v>44927</v>
      </c>
      <c r="P707" s="720">
        <v>45016</v>
      </c>
      <c r="Q707" s="718">
        <v>71</v>
      </c>
      <c r="R707" s="717">
        <v>8</v>
      </c>
      <c r="S707" s="691" t="s">
        <v>54</v>
      </c>
      <c r="T707" t="s">
        <v>358</v>
      </c>
      <c r="U707" s="673" t="s">
        <v>358</v>
      </c>
      <c r="V707" s="690" t="s">
        <v>358</v>
      </c>
      <c r="W707" s="657" t="s">
        <v>329</v>
      </c>
      <c r="X707" s="723"/>
      <c r="Y707" s="4"/>
      <c r="Z707" s="4"/>
      <c r="AA707" s="4"/>
      <c r="AB707" s="4"/>
      <c r="AC707" s="4"/>
      <c r="AD707" s="4"/>
      <c r="AE707" s="4"/>
      <c r="AF707" s="4"/>
      <c r="AG707" s="4"/>
      <c r="AH707" s="4"/>
      <c r="AI707" s="654"/>
      <c r="AJ707" s="655">
        <v>8</v>
      </c>
      <c r="AK707" s="4">
        <v>8</v>
      </c>
      <c r="AL707" s="4">
        <v>8</v>
      </c>
      <c r="AM707" s="4"/>
      <c r="AN707" s="4"/>
      <c r="AO707" s="4"/>
      <c r="AP707" s="4"/>
      <c r="AQ707" s="4"/>
      <c r="AR707" s="4"/>
      <c r="AS707" s="4"/>
      <c r="AT707" s="4"/>
      <c r="AU707" s="654"/>
      <c r="AV707" s="655"/>
      <c r="AW707" s="4"/>
      <c r="AX707" s="4"/>
      <c r="AY707" s="4"/>
      <c r="AZ707" s="4"/>
      <c r="BA707" s="4"/>
      <c r="BB707" s="4"/>
      <c r="BC707" s="4"/>
      <c r="BD707" s="4"/>
      <c r="BE707" s="4"/>
      <c r="BF707" s="4"/>
      <c r="BG707" s="654"/>
      <c r="BH707" s="655"/>
      <c r="BI707" s="4"/>
      <c r="BJ707" s="4"/>
      <c r="BK707" s="4"/>
      <c r="BL707" s="4"/>
      <c r="BM707" s="4"/>
      <c r="BN707" s="4"/>
      <c r="BO707" s="4"/>
      <c r="BP707" s="4"/>
      <c r="BQ707" s="4"/>
      <c r="BR707" s="4"/>
      <c r="BS707" s="654"/>
      <c r="BT707" s="655"/>
      <c r="BU707" s="4"/>
      <c r="BV707" s="4"/>
      <c r="BW707" s="4"/>
      <c r="BX707" s="4"/>
      <c r="BY707" s="4"/>
      <c r="BZ707" s="4"/>
      <c r="CA707" s="4"/>
      <c r="CB707" s="4"/>
      <c r="CC707" s="4"/>
      <c r="CD707" s="4"/>
      <c r="CE707" s="693"/>
      <c r="CF707" s="723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654"/>
      <c r="CR707" s="655">
        <v>71</v>
      </c>
      <c r="CS707" s="4">
        <v>71</v>
      </c>
      <c r="CT707" s="4">
        <v>71</v>
      </c>
      <c r="CU707" s="4"/>
      <c r="CV707" s="4"/>
      <c r="CW707" s="4"/>
      <c r="CX707" s="4"/>
      <c r="CY707" s="4"/>
      <c r="CZ707" s="4"/>
      <c r="DA707" s="4"/>
      <c r="DB707" s="4"/>
      <c r="DC707" s="654"/>
      <c r="DD707" s="655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654"/>
      <c r="DP707" s="655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654"/>
      <c r="EB707" s="655"/>
      <c r="EC707" s="4"/>
      <c r="ED707" s="4"/>
      <c r="EE707" s="4"/>
      <c r="EF707" s="4"/>
      <c r="EG707" s="4"/>
      <c r="EH707" s="4"/>
      <c r="EI707" s="4"/>
      <c r="EJ707" s="4"/>
      <c r="EK707" s="4"/>
      <c r="EL707" s="4"/>
      <c r="EM707" s="693"/>
      <c r="EN707" s="723"/>
      <c r="EO707" s="4"/>
      <c r="EP707" s="4"/>
      <c r="EQ707" s="4"/>
      <c r="ER707" s="4"/>
      <c r="ES707" s="4"/>
      <c r="ET707" s="4"/>
      <c r="EU707" s="4"/>
      <c r="EV707" s="4"/>
      <c r="EW707" s="4"/>
      <c r="EX707" s="4"/>
      <c r="EY707" s="654"/>
      <c r="EZ707" s="655">
        <v>71</v>
      </c>
      <c r="FA707" s="4">
        <v>71</v>
      </c>
      <c r="FB707" s="4">
        <v>71</v>
      </c>
      <c r="FC707" s="4"/>
      <c r="FD707" s="4"/>
      <c r="FE707" s="4"/>
      <c r="FF707" s="4"/>
      <c r="FG707" s="4"/>
      <c r="FH707" s="4"/>
      <c r="FI707" s="4"/>
      <c r="FJ707" s="4"/>
      <c r="FK707" s="654"/>
      <c r="FL707" s="655"/>
      <c r="FM707" s="4"/>
      <c r="FN707" s="4"/>
      <c r="FO707" s="4"/>
      <c r="FP707" s="4"/>
      <c r="FQ707" s="4"/>
      <c r="FR707" s="4"/>
      <c r="FS707" s="4"/>
      <c r="FT707" s="4"/>
      <c r="FU707" s="4"/>
      <c r="FV707" s="4"/>
      <c r="FW707" s="654"/>
      <c r="FX707" s="655"/>
      <c r="FY707" s="4"/>
      <c r="FZ707" s="4"/>
      <c r="GA707" s="4"/>
      <c r="GB707" s="4"/>
      <c r="GC707" s="4"/>
      <c r="GD707" s="4"/>
      <c r="GE707" s="4"/>
      <c r="GF707" s="4"/>
      <c r="GG707" s="4"/>
      <c r="GH707" s="4"/>
      <c r="GI707" s="654"/>
      <c r="GJ707" s="655"/>
      <c r="GK707" s="4"/>
      <c r="GL707" s="4"/>
      <c r="GM707" s="4"/>
      <c r="GN707" s="4"/>
      <c r="GO707" s="4"/>
      <c r="GP707" s="4"/>
      <c r="GQ707" s="4"/>
      <c r="GR707" s="4"/>
      <c r="GS707" s="4"/>
      <c r="GT707" s="4"/>
      <c r="GU707" s="722"/>
      <c r="GV707" s="715"/>
    </row>
    <row r="708" spans="1:204" x14ac:dyDescent="0.25">
      <c r="A708" t="s">
        <v>2464</v>
      </c>
      <c r="B708" s="2" t="s">
        <v>2461</v>
      </c>
      <c r="C708" s="619">
        <v>44853</v>
      </c>
      <c r="D708" s="2" t="s">
        <v>2439</v>
      </c>
      <c r="E708" t="s">
        <v>59</v>
      </c>
      <c r="F708" s="2" t="s">
        <v>2473</v>
      </c>
      <c r="G708" t="s">
        <v>40</v>
      </c>
      <c r="H708" s="690" t="s">
        <v>85</v>
      </c>
      <c r="I708" s="691" t="s">
        <v>2473</v>
      </c>
      <c r="J708" s="721" t="s">
        <v>2146</v>
      </c>
      <c r="K708" s="691" t="s">
        <v>465</v>
      </c>
      <c r="L708" s="721" t="s">
        <v>2441</v>
      </c>
      <c r="M708" s="718" t="s">
        <v>3</v>
      </c>
      <c r="N708" s="717" t="s">
        <v>44</v>
      </c>
      <c r="O708" s="719">
        <v>45231</v>
      </c>
      <c r="P708" s="720">
        <v>45260</v>
      </c>
      <c r="Q708" s="718">
        <v>115</v>
      </c>
      <c r="R708" s="717">
        <v>15</v>
      </c>
      <c r="S708" s="691" t="s">
        <v>54</v>
      </c>
      <c r="T708" t="s">
        <v>358</v>
      </c>
      <c r="U708" s="673" t="s">
        <v>358</v>
      </c>
      <c r="V708" s="690" t="s">
        <v>358</v>
      </c>
      <c r="W708" s="657" t="s">
        <v>329</v>
      </c>
      <c r="X708" s="723"/>
      <c r="Y708" s="4"/>
      <c r="Z708" s="4"/>
      <c r="AA708" s="4"/>
      <c r="AB708" s="4"/>
      <c r="AC708" s="4"/>
      <c r="AD708" s="4"/>
      <c r="AE708" s="4"/>
      <c r="AF708" s="4"/>
      <c r="AG708" s="4"/>
      <c r="AH708" s="4"/>
      <c r="AI708" s="654"/>
      <c r="AJ708" s="655"/>
      <c r="AK708" s="4"/>
      <c r="AL708" s="4"/>
      <c r="AM708" s="4"/>
      <c r="AN708" s="4"/>
      <c r="AO708" s="4"/>
      <c r="AP708" s="4"/>
      <c r="AQ708" s="4"/>
      <c r="AR708" s="4"/>
      <c r="AS708" s="4"/>
      <c r="AT708" s="4">
        <v>15</v>
      </c>
      <c r="AU708" s="654"/>
      <c r="AV708" s="655"/>
      <c r="AW708" s="4"/>
      <c r="AX708" s="4"/>
      <c r="AY708" s="4"/>
      <c r="AZ708" s="4"/>
      <c r="BA708" s="4"/>
      <c r="BB708" s="4"/>
      <c r="BC708" s="4"/>
      <c r="BD708" s="4"/>
      <c r="BE708" s="4"/>
      <c r="BF708" s="4"/>
      <c r="BG708" s="654"/>
      <c r="BH708" s="655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654"/>
      <c r="BT708" s="655"/>
      <c r="BU708" s="4"/>
      <c r="BV708" s="4"/>
      <c r="BW708" s="4"/>
      <c r="BX708" s="4"/>
      <c r="BY708" s="4"/>
      <c r="BZ708" s="4"/>
      <c r="CA708" s="4"/>
      <c r="CB708" s="4"/>
      <c r="CC708" s="4"/>
      <c r="CD708" s="4"/>
      <c r="CE708" s="693"/>
      <c r="CF708" s="723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654"/>
      <c r="CR708" s="655"/>
      <c r="CS708" s="4"/>
      <c r="CT708" s="4"/>
      <c r="CU708" s="4"/>
      <c r="CV708" s="4"/>
      <c r="CW708" s="4"/>
      <c r="CX708" s="4"/>
      <c r="CY708" s="4"/>
      <c r="CZ708" s="4"/>
      <c r="DA708" s="4"/>
      <c r="DB708" s="4">
        <v>115</v>
      </c>
      <c r="DC708" s="654"/>
      <c r="DD708" s="655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654"/>
      <c r="DP708" s="655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654"/>
      <c r="EB708" s="655"/>
      <c r="EC708" s="4"/>
      <c r="ED708" s="4"/>
      <c r="EE708" s="4"/>
      <c r="EF708" s="4"/>
      <c r="EG708" s="4"/>
      <c r="EH708" s="4"/>
      <c r="EI708" s="4"/>
      <c r="EJ708" s="4"/>
      <c r="EK708" s="4"/>
      <c r="EL708" s="4"/>
      <c r="EM708" s="693"/>
      <c r="EN708" s="723"/>
      <c r="EO708" s="4"/>
      <c r="EP708" s="4"/>
      <c r="EQ708" s="4"/>
      <c r="ER708" s="4"/>
      <c r="ES708" s="4"/>
      <c r="ET708" s="4"/>
      <c r="EU708" s="4"/>
      <c r="EV708" s="4"/>
      <c r="EW708" s="4"/>
      <c r="EX708" s="4"/>
      <c r="EY708" s="654"/>
      <c r="EZ708" s="655"/>
      <c r="FA708" s="4"/>
      <c r="FB708" s="4"/>
      <c r="FC708" s="4"/>
      <c r="FD708" s="4"/>
      <c r="FE708" s="4"/>
      <c r="FF708" s="4"/>
      <c r="FG708" s="4"/>
      <c r="FH708" s="4"/>
      <c r="FI708" s="4"/>
      <c r="FJ708" s="4">
        <v>115</v>
      </c>
      <c r="FK708" s="654"/>
      <c r="FL708" s="655"/>
      <c r="FM708" s="4"/>
      <c r="FN708" s="4"/>
      <c r="FO708" s="4"/>
      <c r="FP708" s="4"/>
      <c r="FQ708" s="4"/>
      <c r="FR708" s="4"/>
      <c r="FS708" s="4"/>
      <c r="FT708" s="4"/>
      <c r="FU708" s="4"/>
      <c r="FV708" s="4"/>
      <c r="FW708" s="654"/>
      <c r="FX708" s="655"/>
      <c r="FY708" s="4"/>
      <c r="FZ708" s="4"/>
      <c r="GA708" s="4"/>
      <c r="GB708" s="4"/>
      <c r="GC708" s="4"/>
      <c r="GD708" s="4"/>
      <c r="GE708" s="4"/>
      <c r="GF708" s="4"/>
      <c r="GG708" s="4"/>
      <c r="GH708" s="4"/>
      <c r="GI708" s="654"/>
      <c r="GJ708" s="655"/>
      <c r="GK708" s="4"/>
      <c r="GL708" s="4"/>
      <c r="GM708" s="4"/>
      <c r="GN708" s="4"/>
      <c r="GO708" s="4"/>
      <c r="GP708" s="4"/>
      <c r="GQ708" s="4"/>
      <c r="GR708" s="4"/>
      <c r="GS708" s="4"/>
      <c r="GT708" s="4"/>
      <c r="GU708" s="722"/>
      <c r="GV708" s="715"/>
    </row>
    <row r="709" spans="1:204" x14ac:dyDescent="0.25">
      <c r="A709" t="s">
        <v>2466</v>
      </c>
      <c r="B709" s="2" t="s">
        <v>2463</v>
      </c>
      <c r="C709" s="619">
        <v>44853</v>
      </c>
      <c r="D709" s="2" t="s">
        <v>2440</v>
      </c>
      <c r="E709" t="s">
        <v>58</v>
      </c>
      <c r="F709" s="2" t="s">
        <v>2473</v>
      </c>
      <c r="G709" t="s">
        <v>40</v>
      </c>
      <c r="H709" s="690" t="s">
        <v>84</v>
      </c>
      <c r="I709" s="691" t="s">
        <v>465</v>
      </c>
      <c r="J709" s="721" t="s">
        <v>2441</v>
      </c>
      <c r="K709" s="691" t="s">
        <v>2473</v>
      </c>
      <c r="L709" s="721" t="s">
        <v>2146</v>
      </c>
      <c r="M709" s="718" t="s">
        <v>3</v>
      </c>
      <c r="N709" s="717" t="s">
        <v>44</v>
      </c>
      <c r="O709" s="719">
        <v>45261</v>
      </c>
      <c r="P709" s="720">
        <v>45291</v>
      </c>
      <c r="Q709" s="718">
        <v>109</v>
      </c>
      <c r="R709" s="717">
        <v>15</v>
      </c>
      <c r="S709" s="691" t="s">
        <v>54</v>
      </c>
      <c r="T709" t="s">
        <v>358</v>
      </c>
      <c r="U709" s="673" t="s">
        <v>358</v>
      </c>
      <c r="V709" s="690" t="s">
        <v>358</v>
      </c>
      <c r="W709" s="657" t="s">
        <v>329</v>
      </c>
      <c r="X709" s="723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654"/>
      <c r="AJ709" s="655"/>
      <c r="AK709" s="4"/>
      <c r="AL709" s="4"/>
      <c r="AM709" s="4"/>
      <c r="AN709" s="4"/>
      <c r="AO709" s="4"/>
      <c r="AP709" s="4"/>
      <c r="AQ709" s="4"/>
      <c r="AR709" s="4"/>
      <c r="AS709" s="4"/>
      <c r="AT709" s="4"/>
      <c r="AU709" s="654">
        <v>15</v>
      </c>
      <c r="AV709" s="655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654"/>
      <c r="BH709" s="655"/>
      <c r="BI709" s="4"/>
      <c r="BJ709" s="4"/>
      <c r="BK709" s="4"/>
      <c r="BL709" s="4"/>
      <c r="BM709" s="4"/>
      <c r="BN709" s="4"/>
      <c r="BO709" s="4"/>
      <c r="BP709" s="4"/>
      <c r="BQ709" s="4"/>
      <c r="BR709" s="4"/>
      <c r="BS709" s="654"/>
      <c r="BT709" s="655"/>
      <c r="BU709" s="4"/>
      <c r="BV709" s="4"/>
      <c r="BW709" s="4"/>
      <c r="BX709" s="4"/>
      <c r="BY709" s="4"/>
      <c r="BZ709" s="4"/>
      <c r="CA709" s="4"/>
      <c r="CB709" s="4"/>
      <c r="CC709" s="4"/>
      <c r="CD709" s="4"/>
      <c r="CE709" s="693"/>
      <c r="CF709" s="723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654"/>
      <c r="CR709" s="655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654">
        <v>109</v>
      </c>
      <c r="DD709" s="655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654"/>
      <c r="DP709" s="655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654"/>
      <c r="EB709" s="655"/>
      <c r="EC709" s="4"/>
      <c r="ED709" s="4"/>
      <c r="EE709" s="4"/>
      <c r="EF709" s="4"/>
      <c r="EG709" s="4"/>
      <c r="EH709" s="4"/>
      <c r="EI709" s="4"/>
      <c r="EJ709" s="4"/>
      <c r="EK709" s="4"/>
      <c r="EL709" s="4"/>
      <c r="EM709" s="693"/>
      <c r="EN709" s="723"/>
      <c r="EO709" s="4"/>
      <c r="EP709" s="4"/>
      <c r="EQ709" s="4"/>
      <c r="ER709" s="4"/>
      <c r="ES709" s="4"/>
      <c r="ET709" s="4"/>
      <c r="EU709" s="4"/>
      <c r="EV709" s="4"/>
      <c r="EW709" s="4"/>
      <c r="EX709" s="4"/>
      <c r="EY709" s="654"/>
      <c r="EZ709" s="655"/>
      <c r="FA709" s="4"/>
      <c r="FB709" s="4"/>
      <c r="FC709" s="4"/>
      <c r="FD709" s="4"/>
      <c r="FE709" s="4"/>
      <c r="FF709" s="4"/>
      <c r="FG709" s="4"/>
      <c r="FH709" s="4"/>
      <c r="FI709" s="4"/>
      <c r="FJ709" s="4"/>
      <c r="FK709" s="654">
        <v>109</v>
      </c>
      <c r="FL709" s="655"/>
      <c r="FM709" s="4"/>
      <c r="FN709" s="4"/>
      <c r="FO709" s="4"/>
      <c r="FP709" s="4"/>
      <c r="FQ709" s="4"/>
      <c r="FR709" s="4"/>
      <c r="FS709" s="4"/>
      <c r="FT709" s="4"/>
      <c r="FU709" s="4"/>
      <c r="FV709" s="4"/>
      <c r="FW709" s="654"/>
      <c r="FX709" s="655"/>
      <c r="FY709" s="4"/>
      <c r="FZ709" s="4"/>
      <c r="GA709" s="4"/>
      <c r="GB709" s="4"/>
      <c r="GC709" s="4"/>
      <c r="GD709" s="4"/>
      <c r="GE709" s="4"/>
      <c r="GF709" s="4"/>
      <c r="GG709" s="4"/>
      <c r="GH709" s="4"/>
      <c r="GI709" s="654"/>
      <c r="GJ709" s="655"/>
      <c r="GK709" s="4"/>
      <c r="GL709" s="4"/>
      <c r="GM709" s="4"/>
      <c r="GN709" s="4"/>
      <c r="GO709" s="4"/>
      <c r="GP709" s="4"/>
      <c r="GQ709" s="4"/>
      <c r="GR709" s="4"/>
      <c r="GS709" s="4"/>
      <c r="GT709" s="4"/>
      <c r="GU709" s="722"/>
      <c r="GV709" s="715"/>
    </row>
    <row r="710" spans="1:204" x14ac:dyDescent="0.25">
      <c r="A710" t="s">
        <v>2470</v>
      </c>
      <c r="B710" s="2" t="s">
        <v>2465</v>
      </c>
      <c r="C710" s="619">
        <v>44854</v>
      </c>
      <c r="D710" s="2" t="s">
        <v>2467</v>
      </c>
      <c r="E710" t="s">
        <v>59</v>
      </c>
      <c r="F710" s="2" t="s">
        <v>2473</v>
      </c>
      <c r="G710" t="s">
        <v>40</v>
      </c>
      <c r="H710" s="690" t="s">
        <v>85</v>
      </c>
      <c r="I710" s="691" t="s">
        <v>2473</v>
      </c>
      <c r="J710" s="721" t="s">
        <v>2146</v>
      </c>
      <c r="K710" s="691" t="s">
        <v>410</v>
      </c>
      <c r="L710" s="721" t="s">
        <v>2469</v>
      </c>
      <c r="M710" s="718" t="s">
        <v>3</v>
      </c>
      <c r="N710" s="717" t="s">
        <v>44</v>
      </c>
      <c r="O710" s="719">
        <v>45200</v>
      </c>
      <c r="P710" s="720">
        <v>45230</v>
      </c>
      <c r="Q710" s="718">
        <v>120</v>
      </c>
      <c r="R710" s="717">
        <v>12</v>
      </c>
      <c r="S710" s="691" t="s">
        <v>54</v>
      </c>
      <c r="T710" t="s">
        <v>358</v>
      </c>
      <c r="U710" s="673" t="s">
        <v>358</v>
      </c>
      <c r="V710" s="690" t="s">
        <v>358</v>
      </c>
      <c r="W710" s="657" t="s">
        <v>329</v>
      </c>
      <c r="X710" s="723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654"/>
      <c r="AJ710" s="655"/>
      <c r="AK710" s="4"/>
      <c r="AL710" s="4"/>
      <c r="AM710" s="4"/>
      <c r="AN710" s="4"/>
      <c r="AO710" s="4"/>
      <c r="AP710" s="4"/>
      <c r="AQ710" s="4"/>
      <c r="AR710" s="4"/>
      <c r="AS710" s="4">
        <v>12</v>
      </c>
      <c r="AT710" s="4"/>
      <c r="AU710" s="654"/>
      <c r="AV710" s="655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654"/>
      <c r="BH710" s="655"/>
      <c r="BI710" s="4"/>
      <c r="BJ710" s="4"/>
      <c r="BK710" s="4"/>
      <c r="BL710" s="4"/>
      <c r="BM710" s="4"/>
      <c r="BN710" s="4"/>
      <c r="BO710" s="4"/>
      <c r="BP710" s="4"/>
      <c r="BQ710" s="4"/>
      <c r="BR710" s="4"/>
      <c r="BS710" s="654"/>
      <c r="BT710" s="655"/>
      <c r="BU710" s="4"/>
      <c r="BV710" s="4"/>
      <c r="BW710" s="4"/>
      <c r="BX710" s="4"/>
      <c r="BY710" s="4"/>
      <c r="BZ710" s="4"/>
      <c r="CA710" s="4"/>
      <c r="CB710" s="4"/>
      <c r="CC710" s="4"/>
      <c r="CD710" s="4"/>
      <c r="CE710" s="693"/>
      <c r="CF710" s="723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654"/>
      <c r="CR710" s="655"/>
      <c r="CS710" s="4"/>
      <c r="CT710" s="4"/>
      <c r="CU710" s="4"/>
      <c r="CV710" s="4"/>
      <c r="CW710" s="4"/>
      <c r="CX710" s="4"/>
      <c r="CY710" s="4"/>
      <c r="CZ710" s="4"/>
      <c r="DA710" s="4">
        <v>120</v>
      </c>
      <c r="DB710" s="4"/>
      <c r="DC710" s="654"/>
      <c r="DD710" s="655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654"/>
      <c r="DP710" s="655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654"/>
      <c r="EB710" s="655"/>
      <c r="EC710" s="4"/>
      <c r="ED710" s="4"/>
      <c r="EE710" s="4"/>
      <c r="EF710" s="4"/>
      <c r="EG710" s="4"/>
      <c r="EH710" s="4"/>
      <c r="EI710" s="4"/>
      <c r="EJ710" s="4"/>
      <c r="EK710" s="4"/>
      <c r="EL710" s="4"/>
      <c r="EM710" s="693"/>
      <c r="EN710" s="723"/>
      <c r="EO710" s="4"/>
      <c r="EP710" s="4"/>
      <c r="EQ710" s="4"/>
      <c r="ER710" s="4"/>
      <c r="ES710" s="4"/>
      <c r="ET710" s="4"/>
      <c r="EU710" s="4"/>
      <c r="EV710" s="4"/>
      <c r="EW710" s="4"/>
      <c r="EX710" s="4"/>
      <c r="EY710" s="654"/>
      <c r="EZ710" s="655"/>
      <c r="FA710" s="4"/>
      <c r="FB710" s="4"/>
      <c r="FC710" s="4"/>
      <c r="FD710" s="4"/>
      <c r="FE710" s="4"/>
      <c r="FF710" s="4"/>
      <c r="FG710" s="4"/>
      <c r="FH710" s="4"/>
      <c r="FI710" s="4">
        <v>120</v>
      </c>
      <c r="FJ710" s="4"/>
      <c r="FK710" s="654"/>
      <c r="FL710" s="655"/>
      <c r="FM710" s="4"/>
      <c r="FN710" s="4"/>
      <c r="FO710" s="4"/>
      <c r="FP710" s="4"/>
      <c r="FQ710" s="4"/>
      <c r="FR710" s="4"/>
      <c r="FS710" s="4"/>
      <c r="FT710" s="4"/>
      <c r="FU710" s="4"/>
      <c r="FV710" s="4"/>
      <c r="FW710" s="654"/>
      <c r="FX710" s="655"/>
      <c r="FY710" s="4"/>
      <c r="FZ710" s="4"/>
      <c r="GA710" s="4"/>
      <c r="GB710" s="4"/>
      <c r="GC710" s="4"/>
      <c r="GD710" s="4"/>
      <c r="GE710" s="4"/>
      <c r="GF710" s="4"/>
      <c r="GG710" s="4"/>
      <c r="GH710" s="4"/>
      <c r="GI710" s="654"/>
      <c r="GJ710" s="655"/>
      <c r="GK710" s="4"/>
      <c r="GL710" s="4"/>
      <c r="GM710" s="4"/>
      <c r="GN710" s="4"/>
      <c r="GO710" s="4"/>
      <c r="GP710" s="4"/>
      <c r="GQ710" s="4"/>
      <c r="GR710" s="4"/>
      <c r="GS710" s="4"/>
      <c r="GT710" s="4"/>
      <c r="GU710" s="722"/>
      <c r="GV710" s="715"/>
    </row>
    <row r="711" spans="1:204" x14ac:dyDescent="0.25">
      <c r="A711" t="s">
        <v>2472</v>
      </c>
      <c r="B711" s="2" t="s">
        <v>2471</v>
      </c>
      <c r="C711" s="619">
        <v>44854</v>
      </c>
      <c r="D711" s="2" t="s">
        <v>2468</v>
      </c>
      <c r="E711" t="s">
        <v>58</v>
      </c>
      <c r="F711" s="2" t="s">
        <v>2473</v>
      </c>
      <c r="G711" t="s">
        <v>40</v>
      </c>
      <c r="H711" s="690" t="s">
        <v>84</v>
      </c>
      <c r="I711" s="691" t="s">
        <v>410</v>
      </c>
      <c r="J711" s="721" t="s">
        <v>2469</v>
      </c>
      <c r="K711" s="691" t="s">
        <v>2473</v>
      </c>
      <c r="L711" s="721" t="s">
        <v>2146</v>
      </c>
      <c r="M711" s="718" t="s">
        <v>3</v>
      </c>
      <c r="N711" s="717" t="s">
        <v>44</v>
      </c>
      <c r="O711" s="719">
        <v>45139</v>
      </c>
      <c r="P711" s="720">
        <v>45169</v>
      </c>
      <c r="Q711" s="718">
        <v>120</v>
      </c>
      <c r="R711" s="717">
        <v>12</v>
      </c>
      <c r="S711" s="691" t="s">
        <v>54</v>
      </c>
      <c r="T711" t="s">
        <v>358</v>
      </c>
      <c r="U711" s="673" t="s">
        <v>358</v>
      </c>
      <c r="V711" s="690" t="s">
        <v>358</v>
      </c>
      <c r="W711" s="657" t="s">
        <v>329</v>
      </c>
      <c r="X711" s="723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654"/>
      <c r="AJ711" s="655"/>
      <c r="AK711" s="4"/>
      <c r="AL711" s="4"/>
      <c r="AM711" s="4"/>
      <c r="AN711" s="4"/>
      <c r="AO711" s="4"/>
      <c r="AP711" s="4"/>
      <c r="AQ711" s="4">
        <v>12</v>
      </c>
      <c r="AR711" s="4"/>
      <c r="AS711" s="4"/>
      <c r="AT711" s="4"/>
      <c r="AU711" s="654"/>
      <c r="AV711" s="655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654"/>
      <c r="BH711" s="655"/>
      <c r="BI711" s="4"/>
      <c r="BJ711" s="4"/>
      <c r="BK711" s="4"/>
      <c r="BL711" s="4"/>
      <c r="BM711" s="4"/>
      <c r="BN711" s="4"/>
      <c r="BO711" s="4"/>
      <c r="BP711" s="4"/>
      <c r="BQ711" s="4"/>
      <c r="BR711" s="4"/>
      <c r="BS711" s="654"/>
      <c r="BT711" s="655"/>
      <c r="BU711" s="4"/>
      <c r="BV711" s="4"/>
      <c r="BW711" s="4"/>
      <c r="BX711" s="4"/>
      <c r="BY711" s="4"/>
      <c r="BZ711" s="4"/>
      <c r="CA711" s="4"/>
      <c r="CB711" s="4"/>
      <c r="CC711" s="4"/>
      <c r="CD711" s="4"/>
      <c r="CE711" s="693"/>
      <c r="CF711" s="723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654"/>
      <c r="CR711" s="655"/>
      <c r="CS711" s="4"/>
      <c r="CT711" s="4"/>
      <c r="CU711" s="4"/>
      <c r="CV711" s="4"/>
      <c r="CW711" s="4"/>
      <c r="CX711" s="4"/>
      <c r="CY711" s="4">
        <v>120</v>
      </c>
      <c r="CZ711" s="4"/>
      <c r="DA711" s="4"/>
      <c r="DB711" s="4"/>
      <c r="DC711" s="654"/>
      <c r="DD711" s="655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654"/>
      <c r="DP711" s="655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654"/>
      <c r="EB711" s="655"/>
      <c r="EC711" s="4"/>
      <c r="ED711" s="4"/>
      <c r="EE711" s="4"/>
      <c r="EF711" s="4"/>
      <c r="EG711" s="4"/>
      <c r="EH711" s="4"/>
      <c r="EI711" s="4"/>
      <c r="EJ711" s="4"/>
      <c r="EK711" s="4"/>
      <c r="EL711" s="4"/>
      <c r="EM711" s="693"/>
      <c r="EN711" s="723"/>
      <c r="EO711" s="4"/>
      <c r="EP711" s="4"/>
      <c r="EQ711" s="4"/>
      <c r="ER711" s="4"/>
      <c r="ES711" s="4"/>
      <c r="ET711" s="4"/>
      <c r="EU711" s="4"/>
      <c r="EV711" s="4"/>
      <c r="EW711" s="4"/>
      <c r="EX711" s="4"/>
      <c r="EY711" s="654"/>
      <c r="EZ711" s="655"/>
      <c r="FA711" s="4"/>
      <c r="FB711" s="4"/>
      <c r="FC711" s="4"/>
      <c r="FD711" s="4"/>
      <c r="FE711" s="4"/>
      <c r="FF711" s="4"/>
      <c r="FG711" s="4">
        <v>120</v>
      </c>
      <c r="FH711" s="4"/>
      <c r="FI711" s="4"/>
      <c r="FJ711" s="4"/>
      <c r="FK711" s="654"/>
      <c r="FL711" s="655"/>
      <c r="FM711" s="4"/>
      <c r="FN711" s="4"/>
      <c r="FO711" s="4"/>
      <c r="FP711" s="4"/>
      <c r="FQ711" s="4"/>
      <c r="FR711" s="4"/>
      <c r="FS711" s="4"/>
      <c r="FT711" s="4"/>
      <c r="FU711" s="4"/>
      <c r="FV711" s="4"/>
      <c r="FW711" s="654"/>
      <c r="FX711" s="655"/>
      <c r="FY711" s="4"/>
      <c r="FZ711" s="4"/>
      <c r="GA711" s="4"/>
      <c r="GB711" s="4"/>
      <c r="GC711" s="4"/>
      <c r="GD711" s="4"/>
      <c r="GE711" s="4"/>
      <c r="GF711" s="4"/>
      <c r="GG711" s="4"/>
      <c r="GH711" s="4"/>
      <c r="GI711" s="654"/>
      <c r="GJ711" s="655"/>
      <c r="GK711" s="4"/>
      <c r="GL711" s="4"/>
      <c r="GM711" s="4"/>
      <c r="GN711" s="4"/>
      <c r="GO711" s="4"/>
      <c r="GP711" s="4"/>
      <c r="GQ711" s="4"/>
      <c r="GR711" s="4"/>
      <c r="GS711" s="4"/>
      <c r="GT711" s="4"/>
      <c r="GU711" s="722"/>
      <c r="GV711" s="715"/>
    </row>
    <row r="712" spans="1:204" x14ac:dyDescent="0.25">
      <c r="A712" t="s">
        <v>2476</v>
      </c>
      <c r="B712" s="2" t="s">
        <v>358</v>
      </c>
      <c r="C712" s="619">
        <v>44855</v>
      </c>
      <c r="D712" s="2" t="s">
        <v>2474</v>
      </c>
      <c r="E712" t="s">
        <v>59</v>
      </c>
      <c r="F712" s="2" t="s">
        <v>2473</v>
      </c>
      <c r="G712" t="s">
        <v>40</v>
      </c>
      <c r="H712" s="690" t="s">
        <v>85</v>
      </c>
      <c r="I712" s="691" t="s">
        <v>2473</v>
      </c>
      <c r="J712" s="721" t="s">
        <v>2146</v>
      </c>
      <c r="K712" s="691" t="s">
        <v>2207</v>
      </c>
      <c r="L712" s="721" t="s">
        <v>2208</v>
      </c>
      <c r="M712" s="718" t="s">
        <v>3</v>
      </c>
      <c r="N712" s="717" t="s">
        <v>44</v>
      </c>
      <c r="O712" s="719">
        <v>44927</v>
      </c>
      <c r="P712" s="720">
        <v>44957</v>
      </c>
      <c r="Q712" s="718">
        <v>66</v>
      </c>
      <c r="R712" s="717">
        <v>3</v>
      </c>
      <c r="S712" s="691" t="s">
        <v>54</v>
      </c>
      <c r="T712" t="s">
        <v>358</v>
      </c>
      <c r="U712" s="673" t="s">
        <v>358</v>
      </c>
      <c r="V712" s="690" t="s">
        <v>358</v>
      </c>
      <c r="W712" s="657" t="s">
        <v>214</v>
      </c>
      <c r="X712" s="723"/>
      <c r="Y712" s="4"/>
      <c r="Z712" s="4"/>
      <c r="AA712" s="4"/>
      <c r="AB712" s="4"/>
      <c r="AC712" s="4"/>
      <c r="AD712" s="4"/>
      <c r="AE712" s="4"/>
      <c r="AF712" s="4"/>
      <c r="AG712" s="4"/>
      <c r="AH712" s="4"/>
      <c r="AI712" s="654"/>
      <c r="AJ712" s="655">
        <v>3</v>
      </c>
      <c r="AK712" s="4"/>
      <c r="AL712" s="4"/>
      <c r="AM712" s="4"/>
      <c r="AN712" s="4"/>
      <c r="AO712" s="4"/>
      <c r="AP712" s="4"/>
      <c r="AQ712" s="4"/>
      <c r="AR712" s="4"/>
      <c r="AS712" s="4"/>
      <c r="AT712" s="4"/>
      <c r="AU712" s="654"/>
      <c r="AV712" s="655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654"/>
      <c r="BH712" s="655"/>
      <c r="BI712" s="4"/>
      <c r="BJ712" s="4"/>
      <c r="BK712" s="4"/>
      <c r="BL712" s="4"/>
      <c r="BM712" s="4"/>
      <c r="BN712" s="4"/>
      <c r="BO712" s="4"/>
      <c r="BP712" s="4"/>
      <c r="BQ712" s="4"/>
      <c r="BR712" s="4"/>
      <c r="BS712" s="654"/>
      <c r="BT712" s="655"/>
      <c r="BU712" s="4"/>
      <c r="BV712" s="4"/>
      <c r="BW712" s="4"/>
      <c r="BX712" s="4"/>
      <c r="BY712" s="4"/>
      <c r="BZ712" s="4"/>
      <c r="CA712" s="4"/>
      <c r="CB712" s="4"/>
      <c r="CC712" s="4"/>
      <c r="CD712" s="4"/>
      <c r="CE712" s="693"/>
      <c r="CF712" s="723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654"/>
      <c r="CR712" s="655">
        <v>66</v>
      </c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654"/>
      <c r="DD712" s="655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654"/>
      <c r="DP712" s="655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654"/>
      <c r="EB712" s="655"/>
      <c r="EC712" s="4"/>
      <c r="ED712" s="4"/>
      <c r="EE712" s="4"/>
      <c r="EF712" s="4"/>
      <c r="EG712" s="4"/>
      <c r="EH712" s="4"/>
      <c r="EI712" s="4"/>
      <c r="EJ712" s="4"/>
      <c r="EK712" s="4"/>
      <c r="EL712" s="4"/>
      <c r="EM712" s="693"/>
      <c r="EN712" s="723"/>
      <c r="EO712" s="4"/>
      <c r="EP712" s="4"/>
      <c r="EQ712" s="4"/>
      <c r="ER712" s="4"/>
      <c r="ES712" s="4"/>
      <c r="ET712" s="4"/>
      <c r="EU712" s="4"/>
      <c r="EV712" s="4"/>
      <c r="EW712" s="4"/>
      <c r="EX712" s="4"/>
      <c r="EY712" s="654"/>
      <c r="EZ712" s="655">
        <v>66</v>
      </c>
      <c r="FA712" s="4"/>
      <c r="FB712" s="4"/>
      <c r="FC712" s="4"/>
      <c r="FD712" s="4"/>
      <c r="FE712" s="4"/>
      <c r="FF712" s="4"/>
      <c r="FG712" s="4"/>
      <c r="FH712" s="4"/>
      <c r="FI712" s="4"/>
      <c r="FJ712" s="4"/>
      <c r="FK712" s="654"/>
      <c r="FL712" s="655"/>
      <c r="FM712" s="4"/>
      <c r="FN712" s="4"/>
      <c r="FO712" s="4"/>
      <c r="FP712" s="4"/>
      <c r="FQ712" s="4"/>
      <c r="FR712" s="4"/>
      <c r="FS712" s="4"/>
      <c r="FT712" s="4"/>
      <c r="FU712" s="4"/>
      <c r="FV712" s="4"/>
      <c r="FW712" s="654"/>
      <c r="FX712" s="655"/>
      <c r="FY712" s="4"/>
      <c r="FZ712" s="4"/>
      <c r="GA712" s="4"/>
      <c r="GB712" s="4"/>
      <c r="GC712" s="4"/>
      <c r="GD712" s="4"/>
      <c r="GE712" s="4"/>
      <c r="GF712" s="4"/>
      <c r="GG712" s="4"/>
      <c r="GH712" s="4"/>
      <c r="GI712" s="654"/>
      <c r="GJ712" s="655"/>
      <c r="GK712" s="4"/>
      <c r="GL712" s="4"/>
      <c r="GM712" s="4"/>
      <c r="GN712" s="4"/>
      <c r="GO712" s="4"/>
      <c r="GP712" s="4"/>
      <c r="GQ712" s="4"/>
      <c r="GR712" s="4"/>
      <c r="GS712" s="4"/>
      <c r="GT712" s="4"/>
      <c r="GU712" s="722"/>
      <c r="GV712" s="715"/>
    </row>
    <row r="713" spans="1:204" x14ac:dyDescent="0.25">
      <c r="A713" t="s">
        <v>2478</v>
      </c>
      <c r="B713" s="2" t="s">
        <v>358</v>
      </c>
      <c r="C713" s="619">
        <v>44860</v>
      </c>
      <c r="D713" s="2" t="s">
        <v>2477</v>
      </c>
      <c r="E713" t="s">
        <v>58</v>
      </c>
      <c r="F713" s="2" t="s">
        <v>2473</v>
      </c>
      <c r="G713" t="s">
        <v>40</v>
      </c>
      <c r="H713" s="690" t="s">
        <v>84</v>
      </c>
      <c r="I713" s="691" t="s">
        <v>1917</v>
      </c>
      <c r="J713" s="721" t="s">
        <v>2246</v>
      </c>
      <c r="K713" s="691" t="s">
        <v>2473</v>
      </c>
      <c r="L713" s="721" t="s">
        <v>2146</v>
      </c>
      <c r="M713" s="718" t="s">
        <v>3</v>
      </c>
      <c r="N713" s="717" t="s">
        <v>44</v>
      </c>
      <c r="O713" s="719">
        <v>44958</v>
      </c>
      <c r="P713" s="720">
        <v>44985</v>
      </c>
      <c r="Q713" s="718">
        <v>73</v>
      </c>
      <c r="R713" s="717">
        <v>2</v>
      </c>
      <c r="S713" s="691" t="s">
        <v>54</v>
      </c>
      <c r="T713" t="s">
        <v>358</v>
      </c>
      <c r="U713" s="673" t="s">
        <v>358</v>
      </c>
      <c r="V713" s="690" t="s">
        <v>358</v>
      </c>
      <c r="W713" s="657" t="s">
        <v>214</v>
      </c>
      <c r="X713" s="723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654"/>
      <c r="AJ713" s="655"/>
      <c r="AK713" s="4">
        <v>2</v>
      </c>
      <c r="AL713" s="4"/>
      <c r="AM713" s="4"/>
      <c r="AN713" s="4"/>
      <c r="AO713" s="4"/>
      <c r="AP713" s="4"/>
      <c r="AQ713" s="4"/>
      <c r="AR713" s="4"/>
      <c r="AS713" s="4"/>
      <c r="AT713" s="4"/>
      <c r="AU713" s="654"/>
      <c r="AV713" s="655"/>
      <c r="AW713" s="4"/>
      <c r="AX713" s="4"/>
      <c r="AY713" s="4"/>
      <c r="AZ713" s="4"/>
      <c r="BA713" s="4"/>
      <c r="BB713" s="4"/>
      <c r="BC713" s="4"/>
      <c r="BD713" s="4"/>
      <c r="BE713" s="4"/>
      <c r="BF713" s="4"/>
      <c r="BG713" s="654"/>
      <c r="BH713" s="655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654"/>
      <c r="BT713" s="655"/>
      <c r="BU713" s="4"/>
      <c r="BV713" s="4"/>
      <c r="BW713" s="4"/>
      <c r="BX713" s="4"/>
      <c r="BY713" s="4"/>
      <c r="BZ713" s="4"/>
      <c r="CA713" s="4"/>
      <c r="CB713" s="4"/>
      <c r="CC713" s="4"/>
      <c r="CD713" s="4"/>
      <c r="CE713" s="693"/>
      <c r="CF713" s="723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654"/>
      <c r="CR713" s="655"/>
      <c r="CS713" s="4">
        <v>73</v>
      </c>
      <c r="CT713" s="4"/>
      <c r="CU713" s="4"/>
      <c r="CV713" s="4"/>
      <c r="CW713" s="4"/>
      <c r="CX713" s="4"/>
      <c r="CY713" s="4"/>
      <c r="CZ713" s="4"/>
      <c r="DA713" s="4"/>
      <c r="DB713" s="4"/>
      <c r="DC713" s="654"/>
      <c r="DD713" s="655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654"/>
      <c r="DP713" s="655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654"/>
      <c r="EB713" s="655"/>
      <c r="EC713" s="4"/>
      <c r="ED713" s="4"/>
      <c r="EE713" s="4"/>
      <c r="EF713" s="4"/>
      <c r="EG713" s="4"/>
      <c r="EH713" s="4"/>
      <c r="EI713" s="4"/>
      <c r="EJ713" s="4"/>
      <c r="EK713" s="4"/>
      <c r="EL713" s="4"/>
      <c r="EM713" s="693"/>
      <c r="EN713" s="723"/>
      <c r="EO713" s="4"/>
      <c r="EP713" s="4"/>
      <c r="EQ713" s="4"/>
      <c r="ER713" s="4"/>
      <c r="ES713" s="4"/>
      <c r="ET713" s="4"/>
      <c r="EU713" s="4"/>
      <c r="EV713" s="4"/>
      <c r="EW713" s="4"/>
      <c r="EX713" s="4"/>
      <c r="EY713" s="654"/>
      <c r="EZ713" s="655"/>
      <c r="FA713" s="4">
        <v>73</v>
      </c>
      <c r="FB713" s="4"/>
      <c r="FC713" s="4"/>
      <c r="FD713" s="4"/>
      <c r="FE713" s="4"/>
      <c r="FF713" s="4"/>
      <c r="FG713" s="4"/>
      <c r="FH713" s="4"/>
      <c r="FI713" s="4"/>
      <c r="FJ713" s="4"/>
      <c r="FK713" s="654"/>
      <c r="FL713" s="655"/>
      <c r="FM713" s="4"/>
      <c r="FN713" s="4"/>
      <c r="FO713" s="4"/>
      <c r="FP713" s="4"/>
      <c r="FQ713" s="4"/>
      <c r="FR713" s="4"/>
      <c r="FS713" s="4"/>
      <c r="FT713" s="4"/>
      <c r="FU713" s="4"/>
      <c r="FV713" s="4"/>
      <c r="FW713" s="654"/>
      <c r="FX713" s="655"/>
      <c r="FY713" s="4"/>
      <c r="FZ713" s="4"/>
      <c r="GA713" s="4"/>
      <c r="GB713" s="4"/>
      <c r="GC713" s="4"/>
      <c r="GD713" s="4"/>
      <c r="GE713" s="4"/>
      <c r="GF713" s="4"/>
      <c r="GG713" s="4"/>
      <c r="GH713" s="4"/>
      <c r="GI713" s="654"/>
      <c r="GJ713" s="655"/>
      <c r="GK713" s="4"/>
      <c r="GL713" s="4"/>
      <c r="GM713" s="4"/>
      <c r="GN713" s="4"/>
      <c r="GO713" s="4"/>
      <c r="GP713" s="4"/>
      <c r="GQ713" s="4"/>
      <c r="GR713" s="4"/>
      <c r="GS713" s="4"/>
      <c r="GT713" s="4"/>
      <c r="GU713" s="722"/>
      <c r="GV713" s="715"/>
    </row>
    <row r="714" spans="1:204" x14ac:dyDescent="0.25">
      <c r="A714" t="s">
        <v>2488</v>
      </c>
      <c r="B714" s="2" t="s">
        <v>358</v>
      </c>
      <c r="C714" s="619">
        <v>44866</v>
      </c>
      <c r="D714" s="2" t="s">
        <v>2485</v>
      </c>
      <c r="E714" t="s">
        <v>58</v>
      </c>
      <c r="F714" s="2" t="s">
        <v>2473</v>
      </c>
      <c r="G714" t="s">
        <v>40</v>
      </c>
      <c r="H714" s="690" t="s">
        <v>84</v>
      </c>
      <c r="I714" s="691" t="s">
        <v>472</v>
      </c>
      <c r="J714" s="721" t="s">
        <v>2487</v>
      </c>
      <c r="K714" s="691" t="s">
        <v>2473</v>
      </c>
      <c r="L714" s="721" t="s">
        <v>2146</v>
      </c>
      <c r="M714" s="718" t="s">
        <v>3</v>
      </c>
      <c r="N714" s="717" t="s">
        <v>44</v>
      </c>
      <c r="O714" s="719">
        <v>44986</v>
      </c>
      <c r="P714" s="720">
        <v>45016</v>
      </c>
      <c r="Q714" s="718">
        <v>73</v>
      </c>
      <c r="R714" s="717">
        <v>2</v>
      </c>
      <c r="S714" s="691" t="s">
        <v>54</v>
      </c>
      <c r="T714" t="s">
        <v>358</v>
      </c>
      <c r="U714" s="673" t="s">
        <v>358</v>
      </c>
      <c r="V714" s="690" t="s">
        <v>358</v>
      </c>
      <c r="W714" s="657" t="s">
        <v>214</v>
      </c>
      <c r="X714" s="723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654"/>
      <c r="AJ714" s="655"/>
      <c r="AK714" s="4"/>
      <c r="AL714" s="4">
        <v>2</v>
      </c>
      <c r="AM714" s="4"/>
      <c r="AN714" s="4"/>
      <c r="AO714" s="4"/>
      <c r="AP714" s="4"/>
      <c r="AQ714" s="4"/>
      <c r="AR714" s="4"/>
      <c r="AS714" s="4"/>
      <c r="AT714" s="4"/>
      <c r="AU714" s="654"/>
      <c r="AV714" s="655"/>
      <c r="AW714" s="4"/>
      <c r="AX714" s="4"/>
      <c r="AY714" s="4"/>
      <c r="AZ714" s="4"/>
      <c r="BA714" s="4"/>
      <c r="BB714" s="4"/>
      <c r="BC714" s="4"/>
      <c r="BD714" s="4"/>
      <c r="BE714" s="4"/>
      <c r="BF714" s="4"/>
      <c r="BG714" s="654"/>
      <c r="BH714" s="655"/>
      <c r="BI714" s="4"/>
      <c r="BJ714" s="4"/>
      <c r="BK714" s="4"/>
      <c r="BL714" s="4"/>
      <c r="BM714" s="4"/>
      <c r="BN714" s="4"/>
      <c r="BO714" s="4"/>
      <c r="BP714" s="4"/>
      <c r="BQ714" s="4"/>
      <c r="BR714" s="4"/>
      <c r="BS714" s="654"/>
      <c r="BT714" s="655"/>
      <c r="BU714" s="4"/>
      <c r="BV714" s="4"/>
      <c r="BW714" s="4"/>
      <c r="BX714" s="4"/>
      <c r="BY714" s="4"/>
      <c r="BZ714" s="4"/>
      <c r="CA714" s="4"/>
      <c r="CB714" s="4"/>
      <c r="CC714" s="4"/>
      <c r="CD714" s="4"/>
      <c r="CE714" s="693"/>
      <c r="CF714" s="723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654"/>
      <c r="CR714" s="655"/>
      <c r="CS714" s="4"/>
      <c r="CT714" s="4">
        <v>73</v>
      </c>
      <c r="CU714" s="4"/>
      <c r="CV714" s="4"/>
      <c r="CW714" s="4"/>
      <c r="CX714" s="4"/>
      <c r="CY714" s="4"/>
      <c r="CZ714" s="4"/>
      <c r="DA714" s="4"/>
      <c r="DB714" s="4"/>
      <c r="DC714" s="654"/>
      <c r="DD714" s="655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654"/>
      <c r="DP714" s="655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654"/>
      <c r="EB714" s="655"/>
      <c r="EC714" s="4"/>
      <c r="ED714" s="4"/>
      <c r="EE714" s="4"/>
      <c r="EF714" s="4"/>
      <c r="EG714" s="4"/>
      <c r="EH714" s="4"/>
      <c r="EI714" s="4"/>
      <c r="EJ714" s="4"/>
      <c r="EK714" s="4"/>
      <c r="EL714" s="4"/>
      <c r="EM714" s="693"/>
      <c r="EN714" s="723"/>
      <c r="EO714" s="4"/>
      <c r="EP714" s="4"/>
      <c r="EQ714" s="4"/>
      <c r="ER714" s="4"/>
      <c r="ES714" s="4"/>
      <c r="ET714" s="4"/>
      <c r="EU714" s="4"/>
      <c r="EV714" s="4"/>
      <c r="EW714" s="4"/>
      <c r="EX714" s="4"/>
      <c r="EY714" s="654"/>
      <c r="EZ714" s="655"/>
      <c r="FA714" s="4"/>
      <c r="FB714" s="4">
        <v>73</v>
      </c>
      <c r="FC714" s="4"/>
      <c r="FD714" s="4"/>
      <c r="FE714" s="4"/>
      <c r="FF714" s="4"/>
      <c r="FG714" s="4"/>
      <c r="FH714" s="4"/>
      <c r="FI714" s="4"/>
      <c r="FJ714" s="4"/>
      <c r="FK714" s="654"/>
      <c r="FL714" s="655"/>
      <c r="FM714" s="4"/>
      <c r="FN714" s="4"/>
      <c r="FO714" s="4"/>
      <c r="FP714" s="4"/>
      <c r="FQ714" s="4"/>
      <c r="FR714" s="4"/>
      <c r="FS714" s="4"/>
      <c r="FT714" s="4"/>
      <c r="FU714" s="4"/>
      <c r="FV714" s="4"/>
      <c r="FW714" s="654"/>
      <c r="FX714" s="655"/>
      <c r="FY714" s="4"/>
      <c r="FZ714" s="4"/>
      <c r="GA714" s="4"/>
      <c r="GB714" s="4"/>
      <c r="GC714" s="4"/>
      <c r="GD714" s="4"/>
      <c r="GE714" s="4"/>
      <c r="GF714" s="4"/>
      <c r="GG714" s="4"/>
      <c r="GH714" s="4"/>
      <c r="GI714" s="654"/>
      <c r="GJ714" s="655"/>
      <c r="GK714" s="4"/>
      <c r="GL714" s="4"/>
      <c r="GM714" s="4"/>
      <c r="GN714" s="4"/>
      <c r="GO714" s="4"/>
      <c r="GP714" s="4"/>
      <c r="GQ714" s="4"/>
      <c r="GR714" s="4"/>
      <c r="GS714" s="4"/>
      <c r="GT714" s="4"/>
      <c r="GU714" s="722"/>
      <c r="GV714" s="715"/>
    </row>
    <row r="715" spans="1:204" x14ac:dyDescent="0.25">
      <c r="A715" t="s">
        <v>2489</v>
      </c>
      <c r="B715" s="2" t="s">
        <v>358</v>
      </c>
      <c r="C715" s="619">
        <v>44866</v>
      </c>
      <c r="D715" s="2" t="s">
        <v>2486</v>
      </c>
      <c r="E715" t="s">
        <v>58</v>
      </c>
      <c r="F715" s="2" t="s">
        <v>2473</v>
      </c>
      <c r="G715" t="s">
        <v>40</v>
      </c>
      <c r="H715" s="690" t="s">
        <v>84</v>
      </c>
      <c r="I715" s="691" t="s">
        <v>2369</v>
      </c>
      <c r="J715" s="721" t="s">
        <v>2370</v>
      </c>
      <c r="K715" s="691" t="s">
        <v>2473</v>
      </c>
      <c r="L715" s="721" t="s">
        <v>2146</v>
      </c>
      <c r="M715" s="718" t="s">
        <v>3</v>
      </c>
      <c r="N715" s="717" t="s">
        <v>44</v>
      </c>
      <c r="O715" s="719">
        <v>44927</v>
      </c>
      <c r="P715" s="720">
        <v>45016</v>
      </c>
      <c r="Q715" s="718">
        <v>69</v>
      </c>
      <c r="R715" s="717">
        <v>2</v>
      </c>
      <c r="S715" s="691" t="s">
        <v>54</v>
      </c>
      <c r="T715" t="s">
        <v>358</v>
      </c>
      <c r="U715" s="673" t="s">
        <v>358</v>
      </c>
      <c r="V715" s="690" t="s">
        <v>358</v>
      </c>
      <c r="W715" s="657" t="s">
        <v>214</v>
      </c>
      <c r="X715" s="723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654"/>
      <c r="AJ715" s="655">
        <v>2</v>
      </c>
      <c r="AK715" s="4">
        <v>2</v>
      </c>
      <c r="AL715" s="4">
        <v>2</v>
      </c>
      <c r="AM715" s="4"/>
      <c r="AN715" s="4"/>
      <c r="AO715" s="4"/>
      <c r="AP715" s="4"/>
      <c r="AQ715" s="4"/>
      <c r="AR715" s="4"/>
      <c r="AS715" s="4"/>
      <c r="AT715" s="4"/>
      <c r="AU715" s="654"/>
      <c r="AV715" s="655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654"/>
      <c r="BH715" s="655"/>
      <c r="BI715" s="4"/>
      <c r="BJ715" s="4"/>
      <c r="BK715" s="4"/>
      <c r="BL715" s="4"/>
      <c r="BM715" s="4"/>
      <c r="BN715" s="4"/>
      <c r="BO715" s="4"/>
      <c r="BP715" s="4"/>
      <c r="BQ715" s="4"/>
      <c r="BR715" s="4"/>
      <c r="BS715" s="654"/>
      <c r="BT715" s="655"/>
      <c r="BU715" s="4"/>
      <c r="BV715" s="4"/>
      <c r="BW715" s="4"/>
      <c r="BX715" s="4"/>
      <c r="BY715" s="4"/>
      <c r="BZ715" s="4"/>
      <c r="CA715" s="4"/>
      <c r="CB715" s="4"/>
      <c r="CC715" s="4"/>
      <c r="CD715" s="4"/>
      <c r="CE715" s="693"/>
      <c r="CF715" s="723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654"/>
      <c r="CR715" s="655">
        <v>69</v>
      </c>
      <c r="CS715" s="4">
        <v>69</v>
      </c>
      <c r="CT715" s="4">
        <v>69</v>
      </c>
      <c r="CU715" s="4"/>
      <c r="CV715" s="4"/>
      <c r="CW715" s="4"/>
      <c r="CX715" s="4"/>
      <c r="CY715" s="4"/>
      <c r="CZ715" s="4"/>
      <c r="DA715" s="4"/>
      <c r="DB715" s="4"/>
      <c r="DC715" s="654"/>
      <c r="DD715" s="655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654"/>
      <c r="DP715" s="655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654"/>
      <c r="EB715" s="655"/>
      <c r="EC715" s="4"/>
      <c r="ED715" s="4"/>
      <c r="EE715" s="4"/>
      <c r="EF715" s="4"/>
      <c r="EG715" s="4"/>
      <c r="EH715" s="4"/>
      <c r="EI715" s="4"/>
      <c r="EJ715" s="4"/>
      <c r="EK715" s="4"/>
      <c r="EL715" s="4"/>
      <c r="EM715" s="693"/>
      <c r="EN715" s="723"/>
      <c r="EO715" s="4"/>
      <c r="EP715" s="4"/>
      <c r="EQ715" s="4"/>
      <c r="ER715" s="4"/>
      <c r="ES715" s="4"/>
      <c r="ET715" s="4"/>
      <c r="EU715" s="4"/>
      <c r="EV715" s="4"/>
      <c r="EW715" s="4"/>
      <c r="EX715" s="4"/>
      <c r="EY715" s="654"/>
      <c r="EZ715" s="655">
        <v>69</v>
      </c>
      <c r="FA715" s="4">
        <v>69</v>
      </c>
      <c r="FB715" s="4">
        <v>69</v>
      </c>
      <c r="FC715" s="4"/>
      <c r="FD715" s="4"/>
      <c r="FE715" s="4"/>
      <c r="FF715" s="4"/>
      <c r="FG715" s="4"/>
      <c r="FH715" s="4"/>
      <c r="FI715" s="4"/>
      <c r="FJ715" s="4"/>
      <c r="FK715" s="654"/>
      <c r="FL715" s="655"/>
      <c r="FM715" s="4"/>
      <c r="FN715" s="4"/>
      <c r="FO715" s="4"/>
      <c r="FP715" s="4"/>
      <c r="FQ715" s="4"/>
      <c r="FR715" s="4"/>
      <c r="FS715" s="4"/>
      <c r="FT715" s="4"/>
      <c r="FU715" s="4"/>
      <c r="FV715" s="4"/>
      <c r="FW715" s="654"/>
      <c r="FX715" s="655"/>
      <c r="FY715" s="4"/>
      <c r="FZ715" s="4"/>
      <c r="GA715" s="4"/>
      <c r="GB715" s="4"/>
      <c r="GC715" s="4"/>
      <c r="GD715" s="4"/>
      <c r="GE715" s="4"/>
      <c r="GF715" s="4"/>
      <c r="GG715" s="4"/>
      <c r="GH715" s="4"/>
      <c r="GI715" s="654"/>
      <c r="GJ715" s="655"/>
      <c r="GK715" s="4"/>
      <c r="GL715" s="4"/>
      <c r="GM715" s="4"/>
      <c r="GN715" s="4"/>
      <c r="GO715" s="4"/>
      <c r="GP715" s="4"/>
      <c r="GQ715" s="4"/>
      <c r="GR715" s="4"/>
      <c r="GS715" s="4"/>
      <c r="GT715" s="4"/>
      <c r="GU715" s="722"/>
      <c r="GV715" s="715"/>
    </row>
    <row r="716" spans="1:204" x14ac:dyDescent="0.25">
      <c r="A716" t="s">
        <v>2491</v>
      </c>
      <c r="B716" s="2" t="s">
        <v>358</v>
      </c>
      <c r="C716" s="619">
        <v>44868</v>
      </c>
      <c r="D716" s="2" t="s">
        <v>2490</v>
      </c>
      <c r="E716" t="s">
        <v>58</v>
      </c>
      <c r="F716" s="2" t="s">
        <v>2473</v>
      </c>
      <c r="G716" t="s">
        <v>40</v>
      </c>
      <c r="H716" s="690" t="s">
        <v>84</v>
      </c>
      <c r="I716" s="691" t="s">
        <v>2147</v>
      </c>
      <c r="J716" s="721" t="s">
        <v>2148</v>
      </c>
      <c r="K716" s="691" t="s">
        <v>2473</v>
      </c>
      <c r="L716" s="721" t="s">
        <v>2146</v>
      </c>
      <c r="M716" s="718" t="s">
        <v>3</v>
      </c>
      <c r="N716" s="717" t="s">
        <v>44</v>
      </c>
      <c r="O716" s="719">
        <v>44835</v>
      </c>
      <c r="P716" s="720">
        <v>44865</v>
      </c>
      <c r="Q716" s="718">
        <v>0</v>
      </c>
      <c r="R716" s="717">
        <v>10</v>
      </c>
      <c r="S716" s="691" t="s">
        <v>92</v>
      </c>
      <c r="T716" t="s">
        <v>358</v>
      </c>
      <c r="U716" s="673" t="s">
        <v>358</v>
      </c>
      <c r="V716" s="690" t="s">
        <v>358</v>
      </c>
      <c r="W716" s="657" t="s">
        <v>214</v>
      </c>
      <c r="X716" s="723"/>
      <c r="Y716" s="4"/>
      <c r="Z716" s="4"/>
      <c r="AA716" s="4"/>
      <c r="AB716" s="4"/>
      <c r="AC716" s="4"/>
      <c r="AD716" s="4"/>
      <c r="AE716" s="4"/>
      <c r="AF716" s="4"/>
      <c r="AG716" s="4">
        <v>10</v>
      </c>
      <c r="AH716" s="4"/>
      <c r="AI716" s="654"/>
      <c r="AJ716" s="655"/>
      <c r="AK716" s="4"/>
      <c r="AL716" s="4"/>
      <c r="AM716" s="4"/>
      <c r="AN716" s="4"/>
      <c r="AO716" s="4"/>
      <c r="AP716" s="4"/>
      <c r="AQ716" s="4"/>
      <c r="AR716" s="4"/>
      <c r="AS716" s="4"/>
      <c r="AT716" s="4"/>
      <c r="AU716" s="654"/>
      <c r="AV716" s="655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654"/>
      <c r="BH716" s="655"/>
      <c r="BI716" s="4"/>
      <c r="BJ716" s="4"/>
      <c r="BK716" s="4"/>
      <c r="BL716" s="4"/>
      <c r="BM716" s="4"/>
      <c r="BN716" s="4"/>
      <c r="BO716" s="4"/>
      <c r="BP716" s="4"/>
      <c r="BQ716" s="4"/>
      <c r="BR716" s="4"/>
      <c r="BS716" s="654"/>
      <c r="BT716" s="655"/>
      <c r="BU716" s="4"/>
      <c r="BV716" s="4"/>
      <c r="BW716" s="4"/>
      <c r="BX716" s="4"/>
      <c r="BY716" s="4"/>
      <c r="BZ716" s="4"/>
      <c r="CA716" s="4"/>
      <c r="CB716" s="4"/>
      <c r="CC716" s="4"/>
      <c r="CD716" s="4"/>
      <c r="CE716" s="693"/>
      <c r="CF716" s="723"/>
      <c r="CG716" s="4"/>
      <c r="CH716" s="4"/>
      <c r="CI716" s="4"/>
      <c r="CJ716" s="4"/>
      <c r="CK716" s="4"/>
      <c r="CL716" s="4"/>
      <c r="CM716" s="4"/>
      <c r="CN716" s="4"/>
      <c r="CO716" s="4">
        <v>0</v>
      </c>
      <c r="CP716" s="4"/>
      <c r="CQ716" s="654"/>
      <c r="CR716" s="655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654"/>
      <c r="DD716" s="655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654"/>
      <c r="DP716" s="655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654"/>
      <c r="EB716" s="655"/>
      <c r="EC716" s="4"/>
      <c r="ED716" s="4"/>
      <c r="EE716" s="4"/>
      <c r="EF716" s="4"/>
      <c r="EG716" s="4"/>
      <c r="EH716" s="4"/>
      <c r="EI716" s="4"/>
      <c r="EJ716" s="4"/>
      <c r="EK716" s="4"/>
      <c r="EL716" s="4"/>
      <c r="EM716" s="693"/>
      <c r="EN716" s="723"/>
      <c r="EO716" s="4"/>
      <c r="EP716" s="4"/>
      <c r="EQ716" s="4"/>
      <c r="ER716" s="4"/>
      <c r="ES716" s="4"/>
      <c r="ET716" s="4"/>
      <c r="EU716" s="4"/>
      <c r="EV716" s="4"/>
      <c r="EW716" s="4">
        <v>55.7</v>
      </c>
      <c r="EX716" s="4"/>
      <c r="EY716" s="654"/>
      <c r="EZ716" s="655"/>
      <c r="FA716" s="4"/>
      <c r="FB716" s="4"/>
      <c r="FC716" s="4"/>
      <c r="FD716" s="4"/>
      <c r="FE716" s="4"/>
      <c r="FF716" s="4"/>
      <c r="FG716" s="4"/>
      <c r="FH716" s="4"/>
      <c r="FI716" s="4"/>
      <c r="FJ716" s="4"/>
      <c r="FK716" s="654"/>
      <c r="FL716" s="655"/>
      <c r="FM716" s="4"/>
      <c r="FN716" s="4"/>
      <c r="FO716" s="4"/>
      <c r="FP716" s="4"/>
      <c r="FQ716" s="4"/>
      <c r="FR716" s="4"/>
      <c r="FS716" s="4"/>
      <c r="FT716" s="4"/>
      <c r="FU716" s="4"/>
      <c r="FV716" s="4"/>
      <c r="FW716" s="654"/>
      <c r="FX716" s="655"/>
      <c r="FY716" s="4"/>
      <c r="FZ716" s="4"/>
      <c r="GA716" s="4"/>
      <c r="GB716" s="4"/>
      <c r="GC716" s="4"/>
      <c r="GD716" s="4"/>
      <c r="GE716" s="4"/>
      <c r="GF716" s="4"/>
      <c r="GG716" s="4"/>
      <c r="GH716" s="4"/>
      <c r="GI716" s="654"/>
      <c r="GJ716" s="655"/>
      <c r="GK716" s="4"/>
      <c r="GL716" s="4"/>
      <c r="GM716" s="4"/>
      <c r="GN716" s="4"/>
      <c r="GO716" s="4"/>
      <c r="GP716" s="4"/>
      <c r="GQ716" s="4"/>
      <c r="GR716" s="4"/>
      <c r="GS716" s="4"/>
      <c r="GT716" s="4"/>
      <c r="GU716" s="722"/>
      <c r="GV716" s="715"/>
    </row>
    <row r="717" spans="1:204" x14ac:dyDescent="0.25">
      <c r="A717" t="s">
        <v>2493</v>
      </c>
      <c r="B717" s="2" t="s">
        <v>358</v>
      </c>
      <c r="C717" s="619">
        <v>44869</v>
      </c>
      <c r="D717" s="2" t="s">
        <v>2492</v>
      </c>
      <c r="E717" t="s">
        <v>58</v>
      </c>
      <c r="F717" s="2" t="s">
        <v>2473</v>
      </c>
      <c r="G717" t="s">
        <v>40</v>
      </c>
      <c r="H717" s="690" t="s">
        <v>84</v>
      </c>
      <c r="I717" s="691" t="s">
        <v>2147</v>
      </c>
      <c r="J717" s="721" t="s">
        <v>2148</v>
      </c>
      <c r="K717" s="691" t="s">
        <v>2473</v>
      </c>
      <c r="L717" s="721" t="s">
        <v>2146</v>
      </c>
      <c r="M717" s="718" t="s">
        <v>3</v>
      </c>
      <c r="N717" s="717" t="s">
        <v>44</v>
      </c>
      <c r="O717" s="719">
        <v>44835</v>
      </c>
      <c r="P717" s="720">
        <v>44865</v>
      </c>
      <c r="Q717" s="718">
        <v>-0.2</v>
      </c>
      <c r="R717" s="717">
        <v>8.4</v>
      </c>
      <c r="S717" s="691" t="s">
        <v>92</v>
      </c>
      <c r="T717" t="s">
        <v>358</v>
      </c>
      <c r="U717" s="673" t="s">
        <v>358</v>
      </c>
      <c r="V717" s="690" t="s">
        <v>358</v>
      </c>
      <c r="W717" s="657" t="s">
        <v>214</v>
      </c>
      <c r="X717" s="723"/>
      <c r="Y717" s="4"/>
      <c r="Z717" s="4"/>
      <c r="AA717" s="4"/>
      <c r="AB717" s="4"/>
      <c r="AC717" s="4"/>
      <c r="AD717" s="4"/>
      <c r="AE717" s="4"/>
      <c r="AF717" s="4"/>
      <c r="AG717" s="4">
        <v>8.4</v>
      </c>
      <c r="AH717" s="4"/>
      <c r="AI717" s="654"/>
      <c r="AJ717" s="655"/>
      <c r="AK717" s="4"/>
      <c r="AL717" s="4"/>
      <c r="AM717" s="4"/>
      <c r="AN717" s="4"/>
      <c r="AO717" s="4"/>
      <c r="AP717" s="4"/>
      <c r="AQ717" s="4"/>
      <c r="AR717" s="4"/>
      <c r="AS717" s="4"/>
      <c r="AT717" s="4"/>
      <c r="AU717" s="654"/>
      <c r="AV717" s="655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654"/>
      <c r="BH717" s="655"/>
      <c r="BI717" s="4"/>
      <c r="BJ717" s="4"/>
      <c r="BK717" s="4"/>
      <c r="BL717" s="4"/>
      <c r="BM717" s="4"/>
      <c r="BN717" s="4"/>
      <c r="BO717" s="4"/>
      <c r="BP717" s="4"/>
      <c r="BQ717" s="4"/>
      <c r="BR717" s="4"/>
      <c r="BS717" s="654"/>
      <c r="BT717" s="655"/>
      <c r="BU717" s="4"/>
      <c r="BV717" s="4"/>
      <c r="BW717" s="4"/>
      <c r="BX717" s="4"/>
      <c r="BY717" s="4"/>
      <c r="BZ717" s="4"/>
      <c r="CA717" s="4"/>
      <c r="CB717" s="4"/>
      <c r="CC717" s="4"/>
      <c r="CD717" s="4"/>
      <c r="CE717" s="693"/>
      <c r="CF717" s="723"/>
      <c r="CG717" s="4"/>
      <c r="CH717" s="4"/>
      <c r="CI717" s="4"/>
      <c r="CJ717" s="4"/>
      <c r="CK717" s="4"/>
      <c r="CL717" s="4"/>
      <c r="CM717" s="4"/>
      <c r="CN717" s="4"/>
      <c r="CO717" s="4">
        <v>-0.2</v>
      </c>
      <c r="CP717" s="4"/>
      <c r="CQ717" s="654"/>
      <c r="CR717" s="655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654"/>
      <c r="DD717" s="655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654"/>
      <c r="DP717" s="655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654"/>
      <c r="EB717" s="655"/>
      <c r="EC717" s="4"/>
      <c r="ED717" s="4"/>
      <c r="EE717" s="4"/>
      <c r="EF717" s="4"/>
      <c r="EG717" s="4"/>
      <c r="EH717" s="4"/>
      <c r="EI717" s="4"/>
      <c r="EJ717" s="4"/>
      <c r="EK717" s="4"/>
      <c r="EL717" s="4"/>
      <c r="EM717" s="693"/>
      <c r="EN717" s="723"/>
      <c r="EO717" s="4"/>
      <c r="EP717" s="4"/>
      <c r="EQ717" s="4"/>
      <c r="ER717" s="4"/>
      <c r="ES717" s="4"/>
      <c r="ET717" s="4"/>
      <c r="EU717" s="4"/>
      <c r="EV717" s="4"/>
      <c r="EW717" s="4">
        <v>55.5</v>
      </c>
      <c r="EX717" s="4"/>
      <c r="EY717" s="654"/>
      <c r="EZ717" s="655"/>
      <c r="FA717" s="4"/>
      <c r="FB717" s="4"/>
      <c r="FC717" s="4"/>
      <c r="FD717" s="4"/>
      <c r="FE717" s="4"/>
      <c r="FF717" s="4"/>
      <c r="FG717" s="4"/>
      <c r="FH717" s="4"/>
      <c r="FI717" s="4"/>
      <c r="FJ717" s="4"/>
      <c r="FK717" s="654"/>
      <c r="FL717" s="655"/>
      <c r="FM717" s="4"/>
      <c r="FN717" s="4"/>
      <c r="FO717" s="4"/>
      <c r="FP717" s="4"/>
      <c r="FQ717" s="4"/>
      <c r="FR717" s="4"/>
      <c r="FS717" s="4"/>
      <c r="FT717" s="4"/>
      <c r="FU717" s="4"/>
      <c r="FV717" s="4"/>
      <c r="FW717" s="654"/>
      <c r="FX717" s="655"/>
      <c r="FY717" s="4"/>
      <c r="FZ717" s="4"/>
      <c r="GA717" s="4"/>
      <c r="GB717" s="4"/>
      <c r="GC717" s="4"/>
      <c r="GD717" s="4"/>
      <c r="GE717" s="4"/>
      <c r="GF717" s="4"/>
      <c r="GG717" s="4"/>
      <c r="GH717" s="4"/>
      <c r="GI717" s="654"/>
      <c r="GJ717" s="655"/>
      <c r="GK717" s="4"/>
      <c r="GL717" s="4"/>
      <c r="GM717" s="4"/>
      <c r="GN717" s="4"/>
      <c r="GO717" s="4"/>
      <c r="GP717" s="4"/>
      <c r="GQ717" s="4"/>
      <c r="GR717" s="4"/>
      <c r="GS717" s="4"/>
      <c r="GT717" s="4"/>
      <c r="GU717" s="722"/>
      <c r="GV717" s="715"/>
    </row>
    <row r="718" spans="1:204" x14ac:dyDescent="0.25">
      <c r="A718" t="s">
        <v>2495</v>
      </c>
      <c r="B718" s="2" t="s">
        <v>358</v>
      </c>
      <c r="C718" s="619">
        <v>44872</v>
      </c>
      <c r="D718" s="2" t="s">
        <v>2494</v>
      </c>
      <c r="E718" t="s">
        <v>58</v>
      </c>
      <c r="F718" s="2" t="s">
        <v>2473</v>
      </c>
      <c r="G718" t="s">
        <v>40</v>
      </c>
      <c r="H718" s="690" t="s">
        <v>84</v>
      </c>
      <c r="I718" s="691" t="s">
        <v>404</v>
      </c>
      <c r="J718" s="721" t="s">
        <v>2198</v>
      </c>
      <c r="K718" s="691" t="s">
        <v>2473</v>
      </c>
      <c r="L718" s="721" t="s">
        <v>2146</v>
      </c>
      <c r="M718" s="718" t="s">
        <v>3</v>
      </c>
      <c r="N718" s="717" t="s">
        <v>44</v>
      </c>
      <c r="O718" s="719">
        <v>44835</v>
      </c>
      <c r="P718" s="720">
        <v>44865</v>
      </c>
      <c r="Q718" s="718">
        <v>-0.4</v>
      </c>
      <c r="R718" s="717">
        <v>0.88056199999999996</v>
      </c>
      <c r="S718" s="691" t="s">
        <v>92</v>
      </c>
      <c r="T718" t="s">
        <v>358</v>
      </c>
      <c r="U718" s="673" t="s">
        <v>358</v>
      </c>
      <c r="V718" s="690" t="s">
        <v>358</v>
      </c>
      <c r="W718" s="657" t="s">
        <v>214</v>
      </c>
      <c r="X718" s="723"/>
      <c r="Y718" s="4"/>
      <c r="Z718" s="4"/>
      <c r="AA718" s="4"/>
      <c r="AB718" s="4"/>
      <c r="AC718" s="4"/>
      <c r="AD718" s="4"/>
      <c r="AE718" s="4"/>
      <c r="AF718" s="4"/>
      <c r="AG718" s="4">
        <v>0.88056199999999996</v>
      </c>
      <c r="AH718" s="4"/>
      <c r="AI718" s="654"/>
      <c r="AJ718" s="655"/>
      <c r="AK718" s="4"/>
      <c r="AL718" s="4"/>
      <c r="AM718" s="4"/>
      <c r="AN718" s="4"/>
      <c r="AO718" s="4"/>
      <c r="AP718" s="4"/>
      <c r="AQ718" s="4"/>
      <c r="AR718" s="4"/>
      <c r="AS718" s="4"/>
      <c r="AT718" s="4"/>
      <c r="AU718" s="654"/>
      <c r="AV718" s="655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654"/>
      <c r="BH718" s="655"/>
      <c r="BI718" s="4"/>
      <c r="BJ718" s="4"/>
      <c r="BK718" s="4"/>
      <c r="BL718" s="4"/>
      <c r="BM718" s="4"/>
      <c r="BN718" s="4"/>
      <c r="BO718" s="4"/>
      <c r="BP718" s="4"/>
      <c r="BQ718" s="4"/>
      <c r="BR718" s="4"/>
      <c r="BS718" s="654"/>
      <c r="BT718" s="655"/>
      <c r="BU718" s="4"/>
      <c r="BV718" s="4"/>
      <c r="BW718" s="4"/>
      <c r="BX718" s="4"/>
      <c r="BY718" s="4"/>
      <c r="BZ718" s="4"/>
      <c r="CA718" s="4"/>
      <c r="CB718" s="4"/>
      <c r="CC718" s="4"/>
      <c r="CD718" s="4"/>
      <c r="CE718" s="693"/>
      <c r="CF718" s="723"/>
      <c r="CG718" s="4"/>
      <c r="CH718" s="4"/>
      <c r="CI718" s="4"/>
      <c r="CJ718" s="4"/>
      <c r="CK718" s="4"/>
      <c r="CL718" s="4"/>
      <c r="CM718" s="4"/>
      <c r="CN718" s="4"/>
      <c r="CO718" s="4">
        <v>-0.4</v>
      </c>
      <c r="CP718" s="4"/>
      <c r="CQ718" s="654"/>
      <c r="CR718" s="655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654"/>
      <c r="DD718" s="655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654"/>
      <c r="DP718" s="655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654"/>
      <c r="EB718" s="655"/>
      <c r="EC718" s="4"/>
      <c r="ED718" s="4"/>
      <c r="EE718" s="4"/>
      <c r="EF718" s="4"/>
      <c r="EG718" s="4"/>
      <c r="EH718" s="4"/>
      <c r="EI718" s="4"/>
      <c r="EJ718" s="4"/>
      <c r="EK718" s="4"/>
      <c r="EL718" s="4"/>
      <c r="EM718" s="693"/>
      <c r="EN718" s="723"/>
      <c r="EO718" s="4"/>
      <c r="EP718" s="4"/>
      <c r="EQ718" s="4"/>
      <c r="ER718" s="4"/>
      <c r="ES718" s="4"/>
      <c r="ET718" s="4"/>
      <c r="EU718" s="4"/>
      <c r="EV718" s="4"/>
      <c r="EW718" s="4">
        <v>55.300000000000004</v>
      </c>
      <c r="EX718" s="4"/>
      <c r="EY718" s="654"/>
      <c r="EZ718" s="655"/>
      <c r="FA718" s="4"/>
      <c r="FB718" s="4"/>
      <c r="FC718" s="4"/>
      <c r="FD718" s="4"/>
      <c r="FE718" s="4"/>
      <c r="FF718" s="4"/>
      <c r="FG718" s="4"/>
      <c r="FH718" s="4"/>
      <c r="FI718" s="4"/>
      <c r="FJ718" s="4"/>
      <c r="FK718" s="654"/>
      <c r="FL718" s="655"/>
      <c r="FM718" s="4"/>
      <c r="FN718" s="4"/>
      <c r="FO718" s="4"/>
      <c r="FP718" s="4"/>
      <c r="FQ718" s="4"/>
      <c r="FR718" s="4"/>
      <c r="FS718" s="4"/>
      <c r="FT718" s="4"/>
      <c r="FU718" s="4"/>
      <c r="FV718" s="4"/>
      <c r="FW718" s="654"/>
      <c r="FX718" s="655"/>
      <c r="FY718" s="4"/>
      <c r="FZ718" s="4"/>
      <c r="GA718" s="4"/>
      <c r="GB718" s="4"/>
      <c r="GC718" s="4"/>
      <c r="GD718" s="4"/>
      <c r="GE718" s="4"/>
      <c r="GF718" s="4"/>
      <c r="GG718" s="4"/>
      <c r="GH718" s="4"/>
      <c r="GI718" s="654"/>
      <c r="GJ718" s="655"/>
      <c r="GK718" s="4"/>
      <c r="GL718" s="4"/>
      <c r="GM718" s="4"/>
      <c r="GN718" s="4"/>
      <c r="GO718" s="4"/>
      <c r="GP718" s="4"/>
      <c r="GQ718" s="4"/>
      <c r="GR718" s="4"/>
      <c r="GS718" s="4"/>
      <c r="GT718" s="4"/>
      <c r="GU718" s="722"/>
      <c r="GV718" s="715"/>
    </row>
    <row r="719" spans="1:204" x14ac:dyDescent="0.25">
      <c r="A719" t="s">
        <v>2500</v>
      </c>
      <c r="B719" s="2" t="s">
        <v>358</v>
      </c>
      <c r="C719" s="619">
        <v>44873</v>
      </c>
      <c r="D719" s="2" t="s">
        <v>2496</v>
      </c>
      <c r="E719" t="s">
        <v>59</v>
      </c>
      <c r="F719" s="2" t="s">
        <v>2473</v>
      </c>
      <c r="G719" t="s">
        <v>40</v>
      </c>
      <c r="H719" s="690" t="s">
        <v>85</v>
      </c>
      <c r="I719" s="691" t="s">
        <v>2473</v>
      </c>
      <c r="J719" s="721" t="s">
        <v>2146</v>
      </c>
      <c r="K719" s="691" t="s">
        <v>465</v>
      </c>
      <c r="L719" s="721" t="s">
        <v>2441</v>
      </c>
      <c r="M719" s="718" t="s">
        <v>3</v>
      </c>
      <c r="N719" s="717" t="s">
        <v>44</v>
      </c>
      <c r="O719" s="719">
        <v>45017</v>
      </c>
      <c r="P719" s="720">
        <v>45107</v>
      </c>
      <c r="Q719" s="718">
        <v>71.5</v>
      </c>
      <c r="R719" s="717">
        <v>2</v>
      </c>
      <c r="S719" s="691" t="s">
        <v>54</v>
      </c>
      <c r="T719" t="s">
        <v>358</v>
      </c>
      <c r="U719" s="673" t="s">
        <v>358</v>
      </c>
      <c r="V719" s="690" t="s">
        <v>358</v>
      </c>
      <c r="W719" s="657" t="s">
        <v>214</v>
      </c>
      <c r="X719" s="723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654"/>
      <c r="AJ719" s="655"/>
      <c r="AK719" s="4"/>
      <c r="AL719" s="4"/>
      <c r="AM719" s="4">
        <v>2</v>
      </c>
      <c r="AN719" s="4">
        <v>2</v>
      </c>
      <c r="AO719" s="4">
        <v>2</v>
      </c>
      <c r="AP719" s="4"/>
      <c r="AQ719" s="4"/>
      <c r="AR719" s="4"/>
      <c r="AS719" s="4"/>
      <c r="AT719" s="4"/>
      <c r="AU719" s="654"/>
      <c r="AV719" s="655"/>
      <c r="AW719" s="4"/>
      <c r="AX719" s="4"/>
      <c r="AY719" s="4"/>
      <c r="AZ719" s="4"/>
      <c r="BA719" s="4"/>
      <c r="BB719" s="4"/>
      <c r="BC719" s="4"/>
      <c r="BD719" s="4"/>
      <c r="BE719" s="4"/>
      <c r="BF719" s="4"/>
      <c r="BG719" s="654"/>
      <c r="BH719" s="655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654"/>
      <c r="BT719" s="655"/>
      <c r="BU719" s="4"/>
      <c r="BV719" s="4"/>
      <c r="BW719" s="4"/>
      <c r="BX719" s="4"/>
      <c r="BY719" s="4"/>
      <c r="BZ719" s="4"/>
      <c r="CA719" s="4"/>
      <c r="CB719" s="4"/>
      <c r="CC719" s="4"/>
      <c r="CD719" s="4"/>
      <c r="CE719" s="693"/>
      <c r="CF719" s="723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654"/>
      <c r="CR719" s="655"/>
      <c r="CS719" s="4"/>
      <c r="CT719" s="4"/>
      <c r="CU719" s="4">
        <v>71.5</v>
      </c>
      <c r="CV719" s="4">
        <v>71.5</v>
      </c>
      <c r="CW719" s="4">
        <v>71.5</v>
      </c>
      <c r="CX719" s="4"/>
      <c r="CY719" s="4"/>
      <c r="CZ719" s="4"/>
      <c r="DA719" s="4"/>
      <c r="DB719" s="4"/>
      <c r="DC719" s="654"/>
      <c r="DD719" s="655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654"/>
      <c r="DP719" s="655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654"/>
      <c r="EB719" s="655"/>
      <c r="EC719" s="4"/>
      <c r="ED719" s="4"/>
      <c r="EE719" s="4"/>
      <c r="EF719" s="4"/>
      <c r="EG719" s="4"/>
      <c r="EH719" s="4"/>
      <c r="EI719" s="4"/>
      <c r="EJ719" s="4"/>
      <c r="EK719" s="4"/>
      <c r="EL719" s="4"/>
      <c r="EM719" s="693"/>
      <c r="EN719" s="723"/>
      <c r="EO719" s="4"/>
      <c r="EP719" s="4"/>
      <c r="EQ719" s="4"/>
      <c r="ER719" s="4"/>
      <c r="ES719" s="4"/>
      <c r="ET719" s="4"/>
      <c r="EU719" s="4"/>
      <c r="EV719" s="4"/>
      <c r="EW719" s="4"/>
      <c r="EX719" s="4"/>
      <c r="EY719" s="654"/>
      <c r="EZ719" s="655"/>
      <c r="FA719" s="4"/>
      <c r="FB719" s="4"/>
      <c r="FC719" s="4">
        <v>71.5</v>
      </c>
      <c r="FD719" s="4">
        <v>71.5</v>
      </c>
      <c r="FE719" s="4">
        <v>71.5</v>
      </c>
      <c r="FF719" s="4"/>
      <c r="FG719" s="4"/>
      <c r="FH719" s="4"/>
      <c r="FI719" s="4"/>
      <c r="FJ719" s="4"/>
      <c r="FK719" s="654"/>
      <c r="FL719" s="655"/>
      <c r="FM719" s="4"/>
      <c r="FN719" s="4"/>
      <c r="FO719" s="4"/>
      <c r="FP719" s="4"/>
      <c r="FQ719" s="4"/>
      <c r="FR719" s="4"/>
      <c r="FS719" s="4"/>
      <c r="FT719" s="4"/>
      <c r="FU719" s="4"/>
      <c r="FV719" s="4"/>
      <c r="FW719" s="654"/>
      <c r="FX719" s="655"/>
      <c r="FY719" s="4"/>
      <c r="FZ719" s="4"/>
      <c r="GA719" s="4"/>
      <c r="GB719" s="4"/>
      <c r="GC719" s="4"/>
      <c r="GD719" s="4"/>
      <c r="GE719" s="4"/>
      <c r="GF719" s="4"/>
      <c r="GG719" s="4"/>
      <c r="GH719" s="4"/>
      <c r="GI719" s="654"/>
      <c r="GJ719" s="655"/>
      <c r="GK719" s="4"/>
      <c r="GL719" s="4"/>
      <c r="GM719" s="4"/>
      <c r="GN719" s="4"/>
      <c r="GO719" s="4"/>
      <c r="GP719" s="4"/>
      <c r="GQ719" s="4"/>
      <c r="GR719" s="4"/>
      <c r="GS719" s="4"/>
      <c r="GT719" s="4"/>
      <c r="GU719" s="722"/>
      <c r="GV719" s="715"/>
    </row>
    <row r="720" spans="1:204" x14ac:dyDescent="0.25">
      <c r="A720" t="s">
        <v>2501</v>
      </c>
      <c r="B720" s="2" t="s">
        <v>358</v>
      </c>
      <c r="C720" s="619">
        <v>44873</v>
      </c>
      <c r="D720" s="2" t="s">
        <v>2497</v>
      </c>
      <c r="E720" t="s">
        <v>59</v>
      </c>
      <c r="F720" s="2" t="s">
        <v>2473</v>
      </c>
      <c r="G720" t="s">
        <v>40</v>
      </c>
      <c r="H720" s="690" t="s">
        <v>85</v>
      </c>
      <c r="I720" s="691" t="s">
        <v>2473</v>
      </c>
      <c r="J720" s="721" t="s">
        <v>2146</v>
      </c>
      <c r="K720" s="691" t="s">
        <v>2498</v>
      </c>
      <c r="L720" s="721" t="s">
        <v>2499</v>
      </c>
      <c r="M720" s="718" t="s">
        <v>3</v>
      </c>
      <c r="N720" s="717" t="s">
        <v>44</v>
      </c>
      <c r="O720" s="719">
        <v>45017</v>
      </c>
      <c r="P720" s="720">
        <v>45107</v>
      </c>
      <c r="Q720" s="718">
        <v>71.5</v>
      </c>
      <c r="R720" s="717">
        <v>5</v>
      </c>
      <c r="S720" s="691" t="s">
        <v>54</v>
      </c>
      <c r="T720" t="s">
        <v>358</v>
      </c>
      <c r="U720" s="673" t="s">
        <v>358</v>
      </c>
      <c r="V720" s="690" t="s">
        <v>358</v>
      </c>
      <c r="W720" s="657" t="s">
        <v>214</v>
      </c>
      <c r="X720" s="723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654"/>
      <c r="AJ720" s="655"/>
      <c r="AK720" s="4"/>
      <c r="AL720" s="4"/>
      <c r="AM720" s="4">
        <v>5</v>
      </c>
      <c r="AN720" s="4">
        <v>5</v>
      </c>
      <c r="AO720" s="4">
        <v>5</v>
      </c>
      <c r="AP720" s="4"/>
      <c r="AQ720" s="4"/>
      <c r="AR720" s="4"/>
      <c r="AS720" s="4"/>
      <c r="AT720" s="4"/>
      <c r="AU720" s="654"/>
      <c r="AV720" s="655"/>
      <c r="AW720" s="4"/>
      <c r="AX720" s="4"/>
      <c r="AY720" s="4"/>
      <c r="AZ720" s="4"/>
      <c r="BA720" s="4"/>
      <c r="BB720" s="4"/>
      <c r="BC720" s="4"/>
      <c r="BD720" s="4"/>
      <c r="BE720" s="4"/>
      <c r="BF720" s="4"/>
      <c r="BG720" s="654"/>
      <c r="BH720" s="655"/>
      <c r="BI720" s="4"/>
      <c r="BJ720" s="4"/>
      <c r="BK720" s="4"/>
      <c r="BL720" s="4"/>
      <c r="BM720" s="4"/>
      <c r="BN720" s="4"/>
      <c r="BO720" s="4"/>
      <c r="BP720" s="4"/>
      <c r="BQ720" s="4"/>
      <c r="BR720" s="4"/>
      <c r="BS720" s="654"/>
      <c r="BT720" s="655"/>
      <c r="BU720" s="4"/>
      <c r="BV720" s="4"/>
      <c r="BW720" s="4"/>
      <c r="BX720" s="4"/>
      <c r="BY720" s="4"/>
      <c r="BZ720" s="4"/>
      <c r="CA720" s="4"/>
      <c r="CB720" s="4"/>
      <c r="CC720" s="4"/>
      <c r="CD720" s="4"/>
      <c r="CE720" s="693"/>
      <c r="CF720" s="723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654"/>
      <c r="CR720" s="655"/>
      <c r="CS720" s="4"/>
      <c r="CT720" s="4"/>
      <c r="CU720" s="4">
        <v>71.5</v>
      </c>
      <c r="CV720" s="4">
        <v>71.5</v>
      </c>
      <c r="CW720" s="4">
        <v>71.5</v>
      </c>
      <c r="CX720" s="4"/>
      <c r="CY720" s="4"/>
      <c r="CZ720" s="4"/>
      <c r="DA720" s="4"/>
      <c r="DB720" s="4"/>
      <c r="DC720" s="654"/>
      <c r="DD720" s="655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654"/>
      <c r="DP720" s="655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654"/>
      <c r="EB720" s="655"/>
      <c r="EC720" s="4"/>
      <c r="ED720" s="4"/>
      <c r="EE720" s="4"/>
      <c r="EF720" s="4"/>
      <c r="EG720" s="4"/>
      <c r="EH720" s="4"/>
      <c r="EI720" s="4"/>
      <c r="EJ720" s="4"/>
      <c r="EK720" s="4"/>
      <c r="EL720" s="4"/>
      <c r="EM720" s="693"/>
      <c r="EN720" s="723"/>
      <c r="EO720" s="4"/>
      <c r="EP720" s="4"/>
      <c r="EQ720" s="4"/>
      <c r="ER720" s="4"/>
      <c r="ES720" s="4"/>
      <c r="ET720" s="4"/>
      <c r="EU720" s="4"/>
      <c r="EV720" s="4"/>
      <c r="EW720" s="4"/>
      <c r="EX720" s="4"/>
      <c r="EY720" s="654"/>
      <c r="EZ720" s="655"/>
      <c r="FA720" s="4"/>
      <c r="FB720" s="4"/>
      <c r="FC720" s="4">
        <v>71.5</v>
      </c>
      <c r="FD720" s="4">
        <v>71.5</v>
      </c>
      <c r="FE720" s="4">
        <v>71.5</v>
      </c>
      <c r="FF720" s="4"/>
      <c r="FG720" s="4"/>
      <c r="FH720" s="4"/>
      <c r="FI720" s="4"/>
      <c r="FJ720" s="4"/>
      <c r="FK720" s="654"/>
      <c r="FL720" s="655"/>
      <c r="FM720" s="4"/>
      <c r="FN720" s="4"/>
      <c r="FO720" s="4"/>
      <c r="FP720" s="4"/>
      <c r="FQ720" s="4"/>
      <c r="FR720" s="4"/>
      <c r="FS720" s="4"/>
      <c r="FT720" s="4"/>
      <c r="FU720" s="4"/>
      <c r="FV720" s="4"/>
      <c r="FW720" s="654"/>
      <c r="FX720" s="655"/>
      <c r="FY720" s="4"/>
      <c r="FZ720" s="4"/>
      <c r="GA720" s="4"/>
      <c r="GB720" s="4"/>
      <c r="GC720" s="4"/>
      <c r="GD720" s="4"/>
      <c r="GE720" s="4"/>
      <c r="GF720" s="4"/>
      <c r="GG720" s="4"/>
      <c r="GH720" s="4"/>
      <c r="GI720" s="654"/>
      <c r="GJ720" s="655"/>
      <c r="GK720" s="4"/>
      <c r="GL720" s="4"/>
      <c r="GM720" s="4"/>
      <c r="GN720" s="4"/>
      <c r="GO720" s="4"/>
      <c r="GP720" s="4"/>
      <c r="GQ720" s="4"/>
      <c r="GR720" s="4"/>
      <c r="GS720" s="4"/>
      <c r="GT720" s="4"/>
      <c r="GU720" s="722"/>
      <c r="GV720" s="715"/>
    </row>
    <row r="721" spans="1:204" x14ac:dyDescent="0.25">
      <c r="A721" t="s">
        <v>2504</v>
      </c>
      <c r="B721" s="2" t="s">
        <v>358</v>
      </c>
      <c r="C721" s="619">
        <v>44875</v>
      </c>
      <c r="D721" s="2" t="s">
        <v>2502</v>
      </c>
      <c r="E721" t="s">
        <v>59</v>
      </c>
      <c r="F721" s="2" t="s">
        <v>2473</v>
      </c>
      <c r="G721" t="s">
        <v>40</v>
      </c>
      <c r="H721" s="690" t="s">
        <v>85</v>
      </c>
      <c r="I721" s="691" t="s">
        <v>2473</v>
      </c>
      <c r="J721" s="721" t="s">
        <v>2146</v>
      </c>
      <c r="K721" s="691" t="s">
        <v>507</v>
      </c>
      <c r="L721" s="721" t="s">
        <v>2503</v>
      </c>
      <c r="M721" s="718" t="s">
        <v>3</v>
      </c>
      <c r="N721" s="717" t="s">
        <v>44</v>
      </c>
      <c r="O721" s="719">
        <v>45108</v>
      </c>
      <c r="P721" s="720">
        <v>45199</v>
      </c>
      <c r="Q721" s="718">
        <v>114</v>
      </c>
      <c r="R721" s="717">
        <v>10</v>
      </c>
      <c r="S721" s="691" t="s">
        <v>54</v>
      </c>
      <c r="T721" t="s">
        <v>358</v>
      </c>
      <c r="U721" s="673" t="s">
        <v>358</v>
      </c>
      <c r="V721" s="690" t="s">
        <v>358</v>
      </c>
      <c r="W721" s="657" t="s">
        <v>214</v>
      </c>
      <c r="X721" s="723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654"/>
      <c r="AJ721" s="655"/>
      <c r="AK721" s="4"/>
      <c r="AL721" s="4"/>
      <c r="AM721" s="4"/>
      <c r="AN721" s="4"/>
      <c r="AO721" s="4"/>
      <c r="AP721" s="4">
        <v>10</v>
      </c>
      <c r="AQ721" s="4">
        <v>10</v>
      </c>
      <c r="AR721" s="4">
        <v>10</v>
      </c>
      <c r="AS721" s="4"/>
      <c r="AT721" s="4"/>
      <c r="AU721" s="654"/>
      <c r="AV721" s="655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654"/>
      <c r="BH721" s="655"/>
      <c r="BI721" s="4"/>
      <c r="BJ721" s="4"/>
      <c r="BK721" s="4"/>
      <c r="BL721" s="4"/>
      <c r="BM721" s="4"/>
      <c r="BN721" s="4"/>
      <c r="BO721" s="4"/>
      <c r="BP721" s="4"/>
      <c r="BQ721" s="4"/>
      <c r="BR721" s="4"/>
      <c r="BS721" s="654"/>
      <c r="BT721" s="655"/>
      <c r="BU721" s="4"/>
      <c r="BV721" s="4"/>
      <c r="BW721" s="4"/>
      <c r="BX721" s="4"/>
      <c r="BY721" s="4"/>
      <c r="BZ721" s="4"/>
      <c r="CA721" s="4"/>
      <c r="CB721" s="4"/>
      <c r="CC721" s="4"/>
      <c r="CD721" s="4"/>
      <c r="CE721" s="693"/>
      <c r="CF721" s="723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654"/>
      <c r="CR721" s="655"/>
      <c r="CS721" s="4"/>
      <c r="CT721" s="4"/>
      <c r="CU721" s="4"/>
      <c r="CV721" s="4"/>
      <c r="CW721" s="4"/>
      <c r="CX721" s="4">
        <v>114</v>
      </c>
      <c r="CY721" s="4">
        <v>114</v>
      </c>
      <c r="CZ721" s="4">
        <v>114</v>
      </c>
      <c r="DA721" s="4"/>
      <c r="DB721" s="4"/>
      <c r="DC721" s="654"/>
      <c r="DD721" s="655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654"/>
      <c r="DP721" s="655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654"/>
      <c r="EB721" s="655"/>
      <c r="EC721" s="4"/>
      <c r="ED721" s="4"/>
      <c r="EE721" s="4"/>
      <c r="EF721" s="4"/>
      <c r="EG721" s="4"/>
      <c r="EH721" s="4"/>
      <c r="EI721" s="4"/>
      <c r="EJ721" s="4"/>
      <c r="EK721" s="4"/>
      <c r="EL721" s="4"/>
      <c r="EM721" s="693"/>
      <c r="EN721" s="723"/>
      <c r="EO721" s="4"/>
      <c r="EP721" s="4"/>
      <c r="EQ721" s="4"/>
      <c r="ER721" s="4"/>
      <c r="ES721" s="4"/>
      <c r="ET721" s="4"/>
      <c r="EU721" s="4"/>
      <c r="EV721" s="4"/>
      <c r="EW721" s="4"/>
      <c r="EX721" s="4"/>
      <c r="EY721" s="654"/>
      <c r="EZ721" s="655"/>
      <c r="FA721" s="4"/>
      <c r="FB721" s="4"/>
      <c r="FC721" s="4"/>
      <c r="FD721" s="4"/>
      <c r="FE721" s="4"/>
      <c r="FF721" s="4">
        <v>114</v>
      </c>
      <c r="FG721" s="4">
        <v>114</v>
      </c>
      <c r="FH721" s="4">
        <v>114</v>
      </c>
      <c r="FI721" s="4"/>
      <c r="FJ721" s="4"/>
      <c r="FK721" s="654"/>
      <c r="FL721" s="655"/>
      <c r="FM721" s="4"/>
      <c r="FN721" s="4"/>
      <c r="FO721" s="4"/>
      <c r="FP721" s="4"/>
      <c r="FQ721" s="4"/>
      <c r="FR721" s="4"/>
      <c r="FS721" s="4"/>
      <c r="FT721" s="4"/>
      <c r="FU721" s="4"/>
      <c r="FV721" s="4"/>
      <c r="FW721" s="654"/>
      <c r="FX721" s="655"/>
      <c r="FY721" s="4"/>
      <c r="FZ721" s="4"/>
      <c r="GA721" s="4"/>
      <c r="GB721" s="4"/>
      <c r="GC721" s="4"/>
      <c r="GD721" s="4"/>
      <c r="GE721" s="4"/>
      <c r="GF721" s="4"/>
      <c r="GG721" s="4"/>
      <c r="GH721" s="4"/>
      <c r="GI721" s="654"/>
      <c r="GJ721" s="655"/>
      <c r="GK721" s="4"/>
      <c r="GL721" s="4"/>
      <c r="GM721" s="4"/>
      <c r="GN721" s="4"/>
      <c r="GO721" s="4"/>
      <c r="GP721" s="4"/>
      <c r="GQ721" s="4"/>
      <c r="GR721" s="4"/>
      <c r="GS721" s="4"/>
      <c r="GT721" s="4"/>
      <c r="GU721" s="722"/>
      <c r="GV721" s="715"/>
    </row>
    <row r="722" spans="1:204" x14ac:dyDescent="0.25">
      <c r="A722" t="s">
        <v>2509</v>
      </c>
      <c r="B722" s="2" t="s">
        <v>358</v>
      </c>
      <c r="C722" s="619">
        <v>44876</v>
      </c>
      <c r="D722" s="2" t="s">
        <v>2505</v>
      </c>
      <c r="E722" t="s">
        <v>59</v>
      </c>
      <c r="F722" s="2" t="s">
        <v>2473</v>
      </c>
      <c r="G722" t="s">
        <v>40</v>
      </c>
      <c r="H722" s="690" t="s">
        <v>85</v>
      </c>
      <c r="I722" s="691" t="s">
        <v>2473</v>
      </c>
      <c r="J722" s="721" t="s">
        <v>2146</v>
      </c>
      <c r="K722" s="691" t="s">
        <v>502</v>
      </c>
      <c r="L722" s="721" t="s">
        <v>2507</v>
      </c>
      <c r="M722" s="718" t="s">
        <v>3</v>
      </c>
      <c r="N722" s="717" t="s">
        <v>44</v>
      </c>
      <c r="O722" s="719">
        <v>45292</v>
      </c>
      <c r="P722" s="720">
        <v>45657</v>
      </c>
      <c r="Q722" s="718">
        <v>130</v>
      </c>
      <c r="R722" s="717">
        <v>5</v>
      </c>
      <c r="S722" s="691" t="s">
        <v>54</v>
      </c>
      <c r="T722" t="s">
        <v>649</v>
      </c>
      <c r="U722" s="673">
        <v>44876</v>
      </c>
      <c r="V722" s="690">
        <v>1</v>
      </c>
      <c r="W722" s="657" t="s">
        <v>214</v>
      </c>
      <c r="X722" s="723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654"/>
      <c r="AJ722" s="655"/>
      <c r="AK722" s="4"/>
      <c r="AL722" s="4"/>
      <c r="AM722" s="4"/>
      <c r="AN722" s="4"/>
      <c r="AO722" s="4"/>
      <c r="AP722" s="4"/>
      <c r="AQ722" s="4"/>
      <c r="AR722" s="4"/>
      <c r="AS722" s="4"/>
      <c r="AT722" s="4"/>
      <c r="AU722" s="654"/>
      <c r="AV722" s="655">
        <v>5</v>
      </c>
      <c r="AW722" s="4">
        <v>5</v>
      </c>
      <c r="AX722" s="4">
        <v>5</v>
      </c>
      <c r="AY722" s="4">
        <v>5</v>
      </c>
      <c r="AZ722" s="4">
        <v>5</v>
      </c>
      <c r="BA722" s="4">
        <v>5</v>
      </c>
      <c r="BB722" s="4">
        <v>5</v>
      </c>
      <c r="BC722" s="4">
        <v>5</v>
      </c>
      <c r="BD722" s="4">
        <v>5</v>
      </c>
      <c r="BE722" s="4">
        <v>5</v>
      </c>
      <c r="BF722" s="4">
        <v>5</v>
      </c>
      <c r="BG722" s="654">
        <v>5</v>
      </c>
      <c r="BH722" s="655"/>
      <c r="BI722" s="4"/>
      <c r="BJ722" s="4"/>
      <c r="BK722" s="4"/>
      <c r="BL722" s="4"/>
      <c r="BM722" s="4"/>
      <c r="BN722" s="4"/>
      <c r="BO722" s="4"/>
      <c r="BP722" s="4"/>
      <c r="BQ722" s="4"/>
      <c r="BR722" s="4"/>
      <c r="BS722" s="654"/>
      <c r="BT722" s="655"/>
      <c r="BU722" s="4"/>
      <c r="BV722" s="4"/>
      <c r="BW722" s="4"/>
      <c r="BX722" s="4"/>
      <c r="BY722" s="4"/>
      <c r="BZ722" s="4"/>
      <c r="CA722" s="4"/>
      <c r="CB722" s="4"/>
      <c r="CC722" s="4"/>
      <c r="CD722" s="4"/>
      <c r="CE722" s="693"/>
      <c r="CF722" s="723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654"/>
      <c r="CR722" s="655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654"/>
      <c r="DD722" s="655">
        <v>131.15945797953472</v>
      </c>
      <c r="DE722" s="4">
        <v>131.15945797953472</v>
      </c>
      <c r="DF722" s="4">
        <v>131.15945797953472</v>
      </c>
      <c r="DG722" s="4">
        <v>131.15945797953472</v>
      </c>
      <c r="DH722" s="4">
        <v>131.15945797953472</v>
      </c>
      <c r="DI722" s="4">
        <v>131.15945797953472</v>
      </c>
      <c r="DJ722" s="4">
        <v>131.15945797953472</v>
      </c>
      <c r="DK722" s="4">
        <v>131.15945797953472</v>
      </c>
      <c r="DL722" s="4">
        <v>131.15945797953472</v>
      </c>
      <c r="DM722" s="4">
        <v>131.15945797953472</v>
      </c>
      <c r="DN722" s="4">
        <v>131.15945797953472</v>
      </c>
      <c r="DO722" s="654">
        <v>131.15945797953472</v>
      </c>
      <c r="DP722" s="655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654"/>
      <c r="EB722" s="655"/>
      <c r="EC722" s="4"/>
      <c r="ED722" s="4"/>
      <c r="EE722" s="4"/>
      <c r="EF722" s="4"/>
      <c r="EG722" s="4"/>
      <c r="EH722" s="4"/>
      <c r="EI722" s="4"/>
      <c r="EJ722" s="4"/>
      <c r="EK722" s="4"/>
      <c r="EL722" s="4"/>
      <c r="EM722" s="693"/>
      <c r="EN722" s="723"/>
      <c r="EO722" s="4"/>
      <c r="EP722" s="4"/>
      <c r="EQ722" s="4"/>
      <c r="ER722" s="4"/>
      <c r="ES722" s="4"/>
      <c r="ET722" s="4"/>
      <c r="EU722" s="4"/>
      <c r="EV722" s="4"/>
      <c r="EW722" s="4"/>
      <c r="EX722" s="4"/>
      <c r="EY722" s="654"/>
      <c r="EZ722" s="655"/>
      <c r="FA722" s="4"/>
      <c r="FB722" s="4"/>
      <c r="FC722" s="4"/>
      <c r="FD722" s="4"/>
      <c r="FE722" s="4"/>
      <c r="FF722" s="4"/>
      <c r="FG722" s="4"/>
      <c r="FH722" s="4"/>
      <c r="FI722" s="4"/>
      <c r="FJ722" s="4"/>
      <c r="FK722" s="654"/>
      <c r="FL722" s="655">
        <v>131.15945797953472</v>
      </c>
      <c r="FM722" s="4">
        <v>131.15945797953472</v>
      </c>
      <c r="FN722" s="4">
        <v>131.15945797953472</v>
      </c>
      <c r="FO722" s="4">
        <v>131.15945797953472</v>
      </c>
      <c r="FP722" s="4">
        <v>131.15945797953472</v>
      </c>
      <c r="FQ722" s="4">
        <v>131.15945797953472</v>
      </c>
      <c r="FR722" s="4">
        <v>131.15945797953472</v>
      </c>
      <c r="FS722" s="4">
        <v>131.15945797953472</v>
      </c>
      <c r="FT722" s="4">
        <v>131.15945797953472</v>
      </c>
      <c r="FU722" s="4">
        <v>131.15945797953472</v>
      </c>
      <c r="FV722" s="4">
        <v>131.15945797953472</v>
      </c>
      <c r="FW722" s="654">
        <v>131.15945797953472</v>
      </c>
      <c r="FX722" s="655"/>
      <c r="FY722" s="4"/>
      <c r="FZ722" s="4"/>
      <c r="GA722" s="4"/>
      <c r="GB722" s="4"/>
      <c r="GC722" s="4"/>
      <c r="GD722" s="4"/>
      <c r="GE722" s="4"/>
      <c r="GF722" s="4"/>
      <c r="GG722" s="4"/>
      <c r="GH722" s="4"/>
      <c r="GI722" s="654"/>
      <c r="GJ722" s="655"/>
      <c r="GK722" s="4"/>
      <c r="GL722" s="4"/>
      <c r="GM722" s="4"/>
      <c r="GN722" s="4"/>
      <c r="GO722" s="4"/>
      <c r="GP722" s="4"/>
      <c r="GQ722" s="4"/>
      <c r="GR722" s="4"/>
      <c r="GS722" s="4"/>
      <c r="GT722" s="4"/>
      <c r="GU722" s="722"/>
      <c r="GV722" s="715"/>
    </row>
    <row r="723" spans="1:204" x14ac:dyDescent="0.25">
      <c r="A723" t="s">
        <v>2510</v>
      </c>
      <c r="B723" s="2" t="s">
        <v>358</v>
      </c>
      <c r="C723" s="619">
        <v>44876</v>
      </c>
      <c r="D723" s="2" t="s">
        <v>2506</v>
      </c>
      <c r="E723" t="s">
        <v>59</v>
      </c>
      <c r="F723" s="2" t="s">
        <v>2473</v>
      </c>
      <c r="G723" t="s">
        <v>40</v>
      </c>
      <c r="H723" s="690" t="s">
        <v>85</v>
      </c>
      <c r="I723" s="691" t="s">
        <v>2473</v>
      </c>
      <c r="J723" s="721" t="s">
        <v>2146</v>
      </c>
      <c r="K723" s="691" t="s">
        <v>639</v>
      </c>
      <c r="L723" s="721" t="s">
        <v>2508</v>
      </c>
      <c r="M723" s="718" t="s">
        <v>5</v>
      </c>
      <c r="N723" s="717" t="s">
        <v>44</v>
      </c>
      <c r="O723" s="719">
        <v>45292</v>
      </c>
      <c r="P723" s="720">
        <v>45657</v>
      </c>
      <c r="Q723" s="718">
        <v>164</v>
      </c>
      <c r="R723" s="717">
        <v>5</v>
      </c>
      <c r="S723" s="691" t="s">
        <v>54</v>
      </c>
      <c r="T723" t="s">
        <v>649</v>
      </c>
      <c r="U723" s="673">
        <v>44876</v>
      </c>
      <c r="V723" s="690">
        <v>1</v>
      </c>
      <c r="W723" s="657" t="s">
        <v>214</v>
      </c>
      <c r="X723" s="723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654"/>
      <c r="AJ723" s="655"/>
      <c r="AK723" s="4"/>
      <c r="AL723" s="4"/>
      <c r="AM723" s="4"/>
      <c r="AN723" s="4"/>
      <c r="AO723" s="4"/>
      <c r="AP723" s="4"/>
      <c r="AQ723" s="4"/>
      <c r="AR723" s="4"/>
      <c r="AS723" s="4"/>
      <c r="AT723" s="4"/>
      <c r="AU723" s="654"/>
      <c r="AV723" s="655">
        <v>5</v>
      </c>
      <c r="AW723" s="4">
        <v>5</v>
      </c>
      <c r="AX723" s="4">
        <v>5</v>
      </c>
      <c r="AY723" s="4">
        <v>5</v>
      </c>
      <c r="AZ723" s="4">
        <v>5</v>
      </c>
      <c r="BA723" s="4">
        <v>5</v>
      </c>
      <c r="BB723" s="4">
        <v>5</v>
      </c>
      <c r="BC723" s="4">
        <v>5</v>
      </c>
      <c r="BD723" s="4">
        <v>5</v>
      </c>
      <c r="BE723" s="4">
        <v>5</v>
      </c>
      <c r="BF723" s="4">
        <v>5</v>
      </c>
      <c r="BG723" s="654">
        <v>5</v>
      </c>
      <c r="BH723" s="655"/>
      <c r="BI723" s="4"/>
      <c r="BJ723" s="4"/>
      <c r="BK723" s="4"/>
      <c r="BL723" s="4"/>
      <c r="BM723" s="4"/>
      <c r="BN723" s="4"/>
      <c r="BO723" s="4"/>
      <c r="BP723" s="4"/>
      <c r="BQ723" s="4"/>
      <c r="BR723" s="4"/>
      <c r="BS723" s="654"/>
      <c r="BT723" s="655"/>
      <c r="BU723" s="4"/>
      <c r="BV723" s="4"/>
      <c r="BW723" s="4"/>
      <c r="BX723" s="4"/>
      <c r="BY723" s="4"/>
      <c r="BZ723" s="4"/>
      <c r="CA723" s="4"/>
      <c r="CB723" s="4"/>
      <c r="CC723" s="4"/>
      <c r="CD723" s="4"/>
      <c r="CE723" s="693"/>
      <c r="CF723" s="723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654"/>
      <c r="CR723" s="655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654"/>
      <c r="DD723" s="655">
        <v>165.46270083572074</v>
      </c>
      <c r="DE723" s="4">
        <v>165.46270083572074</v>
      </c>
      <c r="DF723" s="4">
        <v>165.46270083572074</v>
      </c>
      <c r="DG723" s="4">
        <v>165.46270083572074</v>
      </c>
      <c r="DH723" s="4">
        <v>165.46270083572074</v>
      </c>
      <c r="DI723" s="4">
        <v>165.46270083572074</v>
      </c>
      <c r="DJ723" s="4">
        <v>165.46270083572074</v>
      </c>
      <c r="DK723" s="4">
        <v>165.46270083572074</v>
      </c>
      <c r="DL723" s="4">
        <v>165.46270083572074</v>
      </c>
      <c r="DM723" s="4">
        <v>165.46270083572074</v>
      </c>
      <c r="DN723" s="4">
        <v>165.46270083572074</v>
      </c>
      <c r="DO723" s="654">
        <v>165.46270083572074</v>
      </c>
      <c r="DP723" s="655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654"/>
      <c r="EB723" s="655"/>
      <c r="EC723" s="4"/>
      <c r="ED723" s="4"/>
      <c r="EE723" s="4"/>
      <c r="EF723" s="4"/>
      <c r="EG723" s="4"/>
      <c r="EH723" s="4"/>
      <c r="EI723" s="4"/>
      <c r="EJ723" s="4"/>
      <c r="EK723" s="4"/>
      <c r="EL723" s="4"/>
      <c r="EM723" s="693"/>
      <c r="EN723" s="723"/>
      <c r="EO723" s="4"/>
      <c r="EP723" s="4"/>
      <c r="EQ723" s="4"/>
      <c r="ER723" s="4"/>
      <c r="ES723" s="4"/>
      <c r="ET723" s="4"/>
      <c r="EU723" s="4"/>
      <c r="EV723" s="4"/>
      <c r="EW723" s="4"/>
      <c r="EX723" s="4"/>
      <c r="EY723" s="654"/>
      <c r="EZ723" s="655"/>
      <c r="FA723" s="4"/>
      <c r="FB723" s="4"/>
      <c r="FC723" s="4"/>
      <c r="FD723" s="4"/>
      <c r="FE723" s="4"/>
      <c r="FF723" s="4"/>
      <c r="FG723" s="4"/>
      <c r="FH723" s="4"/>
      <c r="FI723" s="4"/>
      <c r="FJ723" s="4"/>
      <c r="FK723" s="654"/>
      <c r="FL723" s="655">
        <v>165.46270083572074</v>
      </c>
      <c r="FM723" s="4">
        <v>165.46270083572074</v>
      </c>
      <c r="FN723" s="4">
        <v>165.46270083572074</v>
      </c>
      <c r="FO723" s="4">
        <v>165.46270083572074</v>
      </c>
      <c r="FP723" s="4">
        <v>165.46270083572074</v>
      </c>
      <c r="FQ723" s="4">
        <v>165.46270083572074</v>
      </c>
      <c r="FR723" s="4">
        <v>165.46270083572074</v>
      </c>
      <c r="FS723" s="4">
        <v>165.46270083572074</v>
      </c>
      <c r="FT723" s="4">
        <v>165.46270083572074</v>
      </c>
      <c r="FU723" s="4">
        <v>165.46270083572074</v>
      </c>
      <c r="FV723" s="4">
        <v>165.46270083572074</v>
      </c>
      <c r="FW723" s="654">
        <v>165.46270083572074</v>
      </c>
      <c r="FX723" s="655"/>
      <c r="FY723" s="4"/>
      <c r="FZ723" s="4"/>
      <c r="GA723" s="4"/>
      <c r="GB723" s="4"/>
      <c r="GC723" s="4"/>
      <c r="GD723" s="4"/>
      <c r="GE723" s="4"/>
      <c r="GF723" s="4"/>
      <c r="GG723" s="4"/>
      <c r="GH723" s="4"/>
      <c r="GI723" s="654"/>
      <c r="GJ723" s="655"/>
      <c r="GK723" s="4"/>
      <c r="GL723" s="4"/>
      <c r="GM723" s="4"/>
      <c r="GN723" s="4"/>
      <c r="GO723" s="4"/>
      <c r="GP723" s="4"/>
      <c r="GQ723" s="4"/>
      <c r="GR723" s="4"/>
      <c r="GS723" s="4"/>
      <c r="GT723" s="4"/>
      <c r="GU723" s="722"/>
      <c r="GV723" s="715"/>
    </row>
    <row r="724" spans="1:204" x14ac:dyDescent="0.25">
      <c r="A724" t="s">
        <v>2511</v>
      </c>
      <c r="B724" s="2" t="s">
        <v>358</v>
      </c>
      <c r="C724" s="619">
        <v>44879</v>
      </c>
      <c r="D724" s="2" t="s">
        <v>2579</v>
      </c>
      <c r="E724" t="s">
        <v>58</v>
      </c>
      <c r="F724" s="2" t="s">
        <v>2473</v>
      </c>
      <c r="G724" t="s">
        <v>40</v>
      </c>
      <c r="H724" s="690" t="s">
        <v>84</v>
      </c>
      <c r="I724" s="691" t="s">
        <v>346</v>
      </c>
      <c r="J724" s="721"/>
      <c r="K724" s="691" t="s">
        <v>2473</v>
      </c>
      <c r="L724" s="721" t="s">
        <v>2146</v>
      </c>
      <c r="M724" s="718" t="s">
        <v>3</v>
      </c>
      <c r="N724" s="717" t="s">
        <v>44</v>
      </c>
      <c r="O724" s="719">
        <v>45292</v>
      </c>
      <c r="P724" s="720">
        <v>45657</v>
      </c>
      <c r="Q724" s="718">
        <v>130</v>
      </c>
      <c r="R724" s="717">
        <v>5</v>
      </c>
      <c r="S724" s="691" t="s">
        <v>54</v>
      </c>
      <c r="T724" t="s">
        <v>649</v>
      </c>
      <c r="U724" s="673">
        <v>44876</v>
      </c>
      <c r="V724" s="690">
        <v>1</v>
      </c>
      <c r="W724" s="657" t="s">
        <v>214</v>
      </c>
      <c r="X724" s="723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654"/>
      <c r="AJ724" s="655"/>
      <c r="AK724" s="4"/>
      <c r="AL724" s="4"/>
      <c r="AM724" s="4"/>
      <c r="AN724" s="4"/>
      <c r="AO724" s="4"/>
      <c r="AP724" s="4"/>
      <c r="AQ724" s="4"/>
      <c r="AR724" s="4"/>
      <c r="AS724" s="4"/>
      <c r="AT724" s="4"/>
      <c r="AU724" s="654"/>
      <c r="AV724" s="655">
        <v>5</v>
      </c>
      <c r="AW724" s="4">
        <v>5</v>
      </c>
      <c r="AX724" s="4">
        <v>5</v>
      </c>
      <c r="AY724" s="4">
        <v>5</v>
      </c>
      <c r="AZ724" s="4">
        <v>5</v>
      </c>
      <c r="BA724" s="4">
        <v>5</v>
      </c>
      <c r="BB724" s="4">
        <v>5</v>
      </c>
      <c r="BC724" s="4">
        <v>5</v>
      </c>
      <c r="BD724" s="4">
        <v>5</v>
      </c>
      <c r="BE724" s="4">
        <v>5</v>
      </c>
      <c r="BF724" s="4">
        <v>5</v>
      </c>
      <c r="BG724" s="654">
        <v>5</v>
      </c>
      <c r="BH724" s="655"/>
      <c r="BI724" s="4"/>
      <c r="BJ724" s="4"/>
      <c r="BK724" s="4"/>
      <c r="BL724" s="4"/>
      <c r="BM724" s="4"/>
      <c r="BN724" s="4"/>
      <c r="BO724" s="4"/>
      <c r="BP724" s="4"/>
      <c r="BQ724" s="4"/>
      <c r="BR724" s="4"/>
      <c r="BS724" s="654"/>
      <c r="BT724" s="655"/>
      <c r="BU724" s="4"/>
      <c r="BV724" s="4"/>
      <c r="BW724" s="4"/>
      <c r="BX724" s="4"/>
      <c r="BY724" s="4"/>
      <c r="BZ724" s="4"/>
      <c r="CA724" s="4"/>
      <c r="CB724" s="4"/>
      <c r="CC724" s="4"/>
      <c r="CD724" s="4"/>
      <c r="CE724" s="693"/>
      <c r="CF724" s="723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654"/>
      <c r="CR724" s="655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654"/>
      <c r="DD724" s="655">
        <v>131.15945797953472</v>
      </c>
      <c r="DE724" s="4">
        <v>131.15945797953472</v>
      </c>
      <c r="DF724" s="4">
        <v>131.15945797953472</v>
      </c>
      <c r="DG724" s="4">
        <v>131.15945797953472</v>
      </c>
      <c r="DH724" s="4">
        <v>131.15945797953472</v>
      </c>
      <c r="DI724" s="4">
        <v>131.15945797953472</v>
      </c>
      <c r="DJ724" s="4">
        <v>131.15945797953472</v>
      </c>
      <c r="DK724" s="4">
        <v>131.15945797953472</v>
      </c>
      <c r="DL724" s="4">
        <v>131.15945797953472</v>
      </c>
      <c r="DM724" s="4">
        <v>131.15945797953472</v>
      </c>
      <c r="DN724" s="4">
        <v>131.15945797953472</v>
      </c>
      <c r="DO724" s="654">
        <v>131.15945797953472</v>
      </c>
      <c r="DP724" s="655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654"/>
      <c r="EB724" s="655"/>
      <c r="EC724" s="4"/>
      <c r="ED724" s="4"/>
      <c r="EE724" s="4"/>
      <c r="EF724" s="4"/>
      <c r="EG724" s="4"/>
      <c r="EH724" s="4"/>
      <c r="EI724" s="4"/>
      <c r="EJ724" s="4"/>
      <c r="EK724" s="4"/>
      <c r="EL724" s="4"/>
      <c r="EM724" s="693"/>
      <c r="EN724" s="723"/>
      <c r="EO724" s="4"/>
      <c r="EP724" s="4"/>
      <c r="EQ724" s="4"/>
      <c r="ER724" s="4"/>
      <c r="ES724" s="4"/>
      <c r="ET724" s="4"/>
      <c r="EU724" s="4"/>
      <c r="EV724" s="4"/>
      <c r="EW724" s="4"/>
      <c r="EX724" s="4"/>
      <c r="EY724" s="654"/>
      <c r="EZ724" s="655"/>
      <c r="FA724" s="4"/>
      <c r="FB724" s="4"/>
      <c r="FC724" s="4"/>
      <c r="FD724" s="4"/>
      <c r="FE724" s="4"/>
      <c r="FF724" s="4"/>
      <c r="FG724" s="4"/>
      <c r="FH724" s="4"/>
      <c r="FI724" s="4"/>
      <c r="FJ724" s="4"/>
      <c r="FK724" s="654"/>
      <c r="FL724" s="655">
        <v>131.15945797953472</v>
      </c>
      <c r="FM724" s="4">
        <v>131.15945797953472</v>
      </c>
      <c r="FN724" s="4">
        <v>131.15945797953472</v>
      </c>
      <c r="FO724" s="4">
        <v>131.15945797953472</v>
      </c>
      <c r="FP724" s="4">
        <v>131.15945797953472</v>
      </c>
      <c r="FQ724" s="4">
        <v>131.15945797953472</v>
      </c>
      <c r="FR724" s="4">
        <v>131.15945797953472</v>
      </c>
      <c r="FS724" s="4">
        <v>131.15945797953472</v>
      </c>
      <c r="FT724" s="4">
        <v>131.15945797953472</v>
      </c>
      <c r="FU724" s="4">
        <v>131.15945797953472</v>
      </c>
      <c r="FV724" s="4">
        <v>131.15945797953472</v>
      </c>
      <c r="FW724" s="654">
        <v>131.15945797953472</v>
      </c>
      <c r="FX724" s="655"/>
      <c r="FY724" s="4"/>
      <c r="FZ724" s="4"/>
      <c r="GA724" s="4"/>
      <c r="GB724" s="4"/>
      <c r="GC724" s="4"/>
      <c r="GD724" s="4"/>
      <c r="GE724" s="4"/>
      <c r="GF724" s="4"/>
      <c r="GG724" s="4"/>
      <c r="GH724" s="4"/>
      <c r="GI724" s="654"/>
      <c r="GJ724" s="655"/>
      <c r="GK724" s="4"/>
      <c r="GL724" s="4"/>
      <c r="GM724" s="4"/>
      <c r="GN724" s="4"/>
      <c r="GO724" s="4"/>
      <c r="GP724" s="4"/>
      <c r="GQ724" s="4"/>
      <c r="GR724" s="4"/>
      <c r="GS724" s="4"/>
      <c r="GT724" s="4"/>
      <c r="GU724" s="722"/>
      <c r="GV724" s="715"/>
    </row>
    <row r="725" spans="1:204" x14ac:dyDescent="0.25">
      <c r="A725" t="s">
        <v>2514</v>
      </c>
      <c r="B725" s="2" t="s">
        <v>358</v>
      </c>
      <c r="C725" s="619">
        <v>44881</v>
      </c>
      <c r="D725" s="2" t="s">
        <v>2512</v>
      </c>
      <c r="E725" t="s">
        <v>58</v>
      </c>
      <c r="F725" s="2" t="s">
        <v>2473</v>
      </c>
      <c r="G725" t="s">
        <v>40</v>
      </c>
      <c r="H725" s="690" t="s">
        <v>84</v>
      </c>
      <c r="I725" s="691" t="s">
        <v>2351</v>
      </c>
      <c r="J725" s="721" t="s">
        <v>2352</v>
      </c>
      <c r="K725" s="691" t="s">
        <v>2473</v>
      </c>
      <c r="L725" s="721" t="s">
        <v>2146</v>
      </c>
      <c r="M725" s="718" t="s">
        <v>3</v>
      </c>
      <c r="N725" s="717" t="s">
        <v>44</v>
      </c>
      <c r="O725" s="719">
        <v>44866</v>
      </c>
      <c r="P725" s="720">
        <v>44895</v>
      </c>
      <c r="Q725" s="718">
        <v>0</v>
      </c>
      <c r="R725" s="717">
        <v>15</v>
      </c>
      <c r="S725" s="691" t="s">
        <v>92</v>
      </c>
      <c r="T725" t="s">
        <v>358</v>
      </c>
      <c r="U725" s="673" t="s">
        <v>358</v>
      </c>
      <c r="V725" s="690" t="s">
        <v>358</v>
      </c>
      <c r="W725" s="657" t="s">
        <v>214</v>
      </c>
      <c r="X725" s="723"/>
      <c r="Y725" s="4"/>
      <c r="Z725" s="4"/>
      <c r="AA725" s="4"/>
      <c r="AB725" s="4"/>
      <c r="AC725" s="4"/>
      <c r="AD725" s="4"/>
      <c r="AE725" s="4"/>
      <c r="AF725" s="4"/>
      <c r="AG725" s="4"/>
      <c r="AH725" s="4">
        <v>15</v>
      </c>
      <c r="AI725" s="654"/>
      <c r="AJ725" s="655"/>
      <c r="AK725" s="4"/>
      <c r="AL725" s="4"/>
      <c r="AM725" s="4"/>
      <c r="AN725" s="4"/>
      <c r="AO725" s="4"/>
      <c r="AP725" s="4"/>
      <c r="AQ725" s="4"/>
      <c r="AR725" s="4"/>
      <c r="AS725" s="4"/>
      <c r="AT725" s="4"/>
      <c r="AU725" s="654"/>
      <c r="AV725" s="655"/>
      <c r="AW725" s="4"/>
      <c r="AX725" s="4"/>
      <c r="AY725" s="4"/>
      <c r="AZ725" s="4"/>
      <c r="BA725" s="4"/>
      <c r="BB725" s="4"/>
      <c r="BC725" s="4"/>
      <c r="BD725" s="4"/>
      <c r="BE725" s="4"/>
      <c r="BF725" s="4"/>
      <c r="BG725" s="654"/>
      <c r="BH725" s="655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654"/>
      <c r="BT725" s="655"/>
      <c r="BU725" s="4"/>
      <c r="BV725" s="4"/>
      <c r="BW725" s="4"/>
      <c r="BX725" s="4"/>
      <c r="BY725" s="4"/>
      <c r="BZ725" s="4"/>
      <c r="CA725" s="4"/>
      <c r="CB725" s="4"/>
      <c r="CC725" s="4"/>
      <c r="CD725" s="4"/>
      <c r="CE725" s="693"/>
      <c r="CF725" s="723"/>
      <c r="CG725" s="4"/>
      <c r="CH725" s="4"/>
      <c r="CI725" s="4"/>
      <c r="CJ725" s="4"/>
      <c r="CK725" s="4"/>
      <c r="CL725" s="4"/>
      <c r="CM725" s="4"/>
      <c r="CN725" s="4"/>
      <c r="CO725" s="4"/>
      <c r="CP725" s="4">
        <v>0</v>
      </c>
      <c r="CQ725" s="654"/>
      <c r="CR725" s="655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654"/>
      <c r="DD725" s="655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654"/>
      <c r="DP725" s="655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654"/>
      <c r="EB725" s="655"/>
      <c r="EC725" s="4"/>
      <c r="ED725" s="4"/>
      <c r="EE725" s="4"/>
      <c r="EF725" s="4"/>
      <c r="EG725" s="4"/>
      <c r="EH725" s="4"/>
      <c r="EI725" s="4"/>
      <c r="EJ725" s="4"/>
      <c r="EK725" s="4"/>
      <c r="EL725" s="4"/>
      <c r="EM725" s="693"/>
      <c r="EN725" s="723"/>
      <c r="EO725" s="4"/>
      <c r="EP725" s="4"/>
      <c r="EQ725" s="4"/>
      <c r="ER725" s="4"/>
      <c r="ES725" s="4"/>
      <c r="ET725" s="4"/>
      <c r="EU725" s="4"/>
      <c r="EV725" s="4"/>
      <c r="EW725" s="4"/>
      <c r="EX725" s="4">
        <v>55.7</v>
      </c>
      <c r="EY725" s="654"/>
      <c r="EZ725" s="655"/>
      <c r="FA725" s="4"/>
      <c r="FB725" s="4"/>
      <c r="FC725" s="4"/>
      <c r="FD725" s="4"/>
      <c r="FE725" s="4"/>
      <c r="FF725" s="4"/>
      <c r="FG725" s="4"/>
      <c r="FH725" s="4"/>
      <c r="FI725" s="4"/>
      <c r="FJ725" s="4"/>
      <c r="FK725" s="654"/>
      <c r="FL725" s="655"/>
      <c r="FM725" s="4"/>
      <c r="FN725" s="4"/>
      <c r="FO725" s="4"/>
      <c r="FP725" s="4"/>
      <c r="FQ725" s="4"/>
      <c r="FR725" s="4"/>
      <c r="FS725" s="4"/>
      <c r="FT725" s="4"/>
      <c r="FU725" s="4"/>
      <c r="FV725" s="4"/>
      <c r="FW725" s="654"/>
      <c r="FX725" s="655"/>
      <c r="FY725" s="4"/>
      <c r="FZ725" s="4"/>
      <c r="GA725" s="4"/>
      <c r="GB725" s="4"/>
      <c r="GC725" s="4"/>
      <c r="GD725" s="4"/>
      <c r="GE725" s="4"/>
      <c r="GF725" s="4"/>
      <c r="GG725" s="4"/>
      <c r="GH725" s="4"/>
      <c r="GI725" s="654"/>
      <c r="GJ725" s="655"/>
      <c r="GK725" s="4"/>
      <c r="GL725" s="4"/>
      <c r="GM725" s="4"/>
      <c r="GN725" s="4"/>
      <c r="GO725" s="4"/>
      <c r="GP725" s="4"/>
      <c r="GQ725" s="4"/>
      <c r="GR725" s="4"/>
      <c r="GS725" s="4"/>
      <c r="GT725" s="4"/>
      <c r="GU725" s="722"/>
      <c r="GV725" s="715"/>
    </row>
    <row r="726" spans="1:204" x14ac:dyDescent="0.25">
      <c r="A726" t="s">
        <v>2516</v>
      </c>
      <c r="B726" s="2" t="s">
        <v>2515</v>
      </c>
      <c r="C726" s="619">
        <v>44881</v>
      </c>
      <c r="D726" s="2" t="s">
        <v>2513</v>
      </c>
      <c r="E726" t="s">
        <v>59</v>
      </c>
      <c r="F726" s="2" t="s">
        <v>2473</v>
      </c>
      <c r="G726" t="s">
        <v>40</v>
      </c>
      <c r="H726" s="690" t="s">
        <v>85</v>
      </c>
      <c r="I726" s="691" t="s">
        <v>2473</v>
      </c>
      <c r="J726" s="721" t="s">
        <v>2146</v>
      </c>
      <c r="K726" s="691" t="s">
        <v>1406</v>
      </c>
      <c r="L726" s="721">
        <v>31781135000165</v>
      </c>
      <c r="M726" s="718" t="s">
        <v>3</v>
      </c>
      <c r="N726" s="717" t="s">
        <v>44</v>
      </c>
      <c r="O726" s="719">
        <v>45292</v>
      </c>
      <c r="P726" s="720">
        <v>45657</v>
      </c>
      <c r="Q726" s="718">
        <v>130</v>
      </c>
      <c r="R726" s="717">
        <v>15</v>
      </c>
      <c r="S726" s="691" t="s">
        <v>54</v>
      </c>
      <c r="T726" t="s">
        <v>649</v>
      </c>
      <c r="U726" s="673">
        <v>44866</v>
      </c>
      <c r="V726" s="690">
        <v>1</v>
      </c>
      <c r="W726" s="657" t="s">
        <v>329</v>
      </c>
      <c r="X726" s="723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654"/>
      <c r="AJ726" s="655"/>
      <c r="AK726" s="4"/>
      <c r="AL726" s="4"/>
      <c r="AM726" s="4"/>
      <c r="AN726" s="4"/>
      <c r="AO726" s="4"/>
      <c r="AP726" s="4"/>
      <c r="AQ726" s="4"/>
      <c r="AR726" s="4"/>
      <c r="AS726" s="4"/>
      <c r="AT726" s="4"/>
      <c r="AU726" s="654"/>
      <c r="AV726" s="655">
        <v>15</v>
      </c>
      <c r="AW726" s="4">
        <v>15</v>
      </c>
      <c r="AX726" s="4">
        <v>15</v>
      </c>
      <c r="AY726" s="4">
        <v>15</v>
      </c>
      <c r="AZ726" s="4">
        <v>15</v>
      </c>
      <c r="BA726" s="4">
        <v>15</v>
      </c>
      <c r="BB726" s="4">
        <v>15</v>
      </c>
      <c r="BC726" s="4">
        <v>15</v>
      </c>
      <c r="BD726" s="4">
        <v>15</v>
      </c>
      <c r="BE726" s="4">
        <v>15</v>
      </c>
      <c r="BF726" s="4">
        <v>15</v>
      </c>
      <c r="BG726" s="654">
        <v>15</v>
      </c>
      <c r="BH726" s="655"/>
      <c r="BI726" s="4"/>
      <c r="BJ726" s="4"/>
      <c r="BK726" s="4"/>
      <c r="BL726" s="4"/>
      <c r="BM726" s="4"/>
      <c r="BN726" s="4"/>
      <c r="BO726" s="4"/>
      <c r="BP726" s="4"/>
      <c r="BQ726" s="4"/>
      <c r="BR726" s="4"/>
      <c r="BS726" s="654"/>
      <c r="BT726" s="655"/>
      <c r="BU726" s="4"/>
      <c r="BV726" s="4"/>
      <c r="BW726" s="4"/>
      <c r="BX726" s="4"/>
      <c r="BY726" s="4"/>
      <c r="BZ726" s="4"/>
      <c r="CA726" s="4"/>
      <c r="CB726" s="4"/>
      <c r="CC726" s="4"/>
      <c r="CD726" s="4"/>
      <c r="CE726" s="693"/>
      <c r="CF726" s="723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654"/>
      <c r="CR726" s="655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654"/>
      <c r="DD726" s="655">
        <v>131.15945797953472</v>
      </c>
      <c r="DE726" s="4">
        <v>131.15945797953472</v>
      </c>
      <c r="DF726" s="4">
        <v>131.15945797953472</v>
      </c>
      <c r="DG726" s="4">
        <v>131.15945797953472</v>
      </c>
      <c r="DH726" s="4">
        <v>131.15945797953472</v>
      </c>
      <c r="DI726" s="4">
        <v>131.15945797953472</v>
      </c>
      <c r="DJ726" s="4">
        <v>131.15945797953472</v>
      </c>
      <c r="DK726" s="4">
        <v>131.15945797953472</v>
      </c>
      <c r="DL726" s="4">
        <v>131.15945797953472</v>
      </c>
      <c r="DM726" s="4">
        <v>131.15945797953472</v>
      </c>
      <c r="DN726" s="4">
        <v>131.15945797953472</v>
      </c>
      <c r="DO726" s="654">
        <v>131.15945797953472</v>
      </c>
      <c r="DP726" s="655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654"/>
      <c r="EB726" s="655"/>
      <c r="EC726" s="4"/>
      <c r="ED726" s="4"/>
      <c r="EE726" s="4"/>
      <c r="EF726" s="4"/>
      <c r="EG726" s="4"/>
      <c r="EH726" s="4"/>
      <c r="EI726" s="4"/>
      <c r="EJ726" s="4"/>
      <c r="EK726" s="4"/>
      <c r="EL726" s="4"/>
      <c r="EM726" s="693"/>
      <c r="EN726" s="723"/>
      <c r="EO726" s="4"/>
      <c r="EP726" s="4"/>
      <c r="EQ726" s="4"/>
      <c r="ER726" s="4"/>
      <c r="ES726" s="4"/>
      <c r="ET726" s="4"/>
      <c r="EU726" s="4"/>
      <c r="EV726" s="4"/>
      <c r="EW726" s="4"/>
      <c r="EX726" s="4"/>
      <c r="EY726" s="654"/>
      <c r="EZ726" s="655"/>
      <c r="FA726" s="4"/>
      <c r="FB726" s="4"/>
      <c r="FC726" s="4"/>
      <c r="FD726" s="4"/>
      <c r="FE726" s="4"/>
      <c r="FF726" s="4"/>
      <c r="FG726" s="4"/>
      <c r="FH726" s="4"/>
      <c r="FI726" s="4"/>
      <c r="FJ726" s="4"/>
      <c r="FK726" s="654"/>
      <c r="FL726" s="655">
        <v>131.15945797953472</v>
      </c>
      <c r="FM726" s="4">
        <v>131.15945797953472</v>
      </c>
      <c r="FN726" s="4">
        <v>131.15945797953472</v>
      </c>
      <c r="FO726" s="4">
        <v>131.15945797953472</v>
      </c>
      <c r="FP726" s="4">
        <v>131.15945797953472</v>
      </c>
      <c r="FQ726" s="4">
        <v>131.15945797953472</v>
      </c>
      <c r="FR726" s="4">
        <v>131.15945797953472</v>
      </c>
      <c r="FS726" s="4">
        <v>131.15945797953472</v>
      </c>
      <c r="FT726" s="4">
        <v>131.15945797953472</v>
      </c>
      <c r="FU726" s="4">
        <v>131.15945797953472</v>
      </c>
      <c r="FV726" s="4">
        <v>131.15945797953472</v>
      </c>
      <c r="FW726" s="654">
        <v>131.15945797953472</v>
      </c>
      <c r="FX726" s="655"/>
      <c r="FY726" s="4"/>
      <c r="FZ726" s="4"/>
      <c r="GA726" s="4"/>
      <c r="GB726" s="4"/>
      <c r="GC726" s="4"/>
      <c r="GD726" s="4"/>
      <c r="GE726" s="4"/>
      <c r="GF726" s="4"/>
      <c r="GG726" s="4"/>
      <c r="GH726" s="4"/>
      <c r="GI726" s="654"/>
      <c r="GJ726" s="655"/>
      <c r="GK726" s="4"/>
      <c r="GL726" s="4"/>
      <c r="GM726" s="4"/>
      <c r="GN726" s="4"/>
      <c r="GO726" s="4"/>
      <c r="GP726" s="4"/>
      <c r="GQ726" s="4"/>
      <c r="GR726" s="4"/>
      <c r="GS726" s="4"/>
      <c r="GT726" s="4"/>
      <c r="GU726" s="722"/>
      <c r="GV726" s="715"/>
    </row>
    <row r="727" spans="1:204" x14ac:dyDescent="0.25">
      <c r="A727" t="s">
        <v>2519</v>
      </c>
      <c r="B727" s="2" t="s">
        <v>358</v>
      </c>
      <c r="C727" s="619">
        <v>44882</v>
      </c>
      <c r="D727" s="2" t="s">
        <v>2517</v>
      </c>
      <c r="E727" t="s">
        <v>59</v>
      </c>
      <c r="F727" s="2" t="s">
        <v>2473</v>
      </c>
      <c r="G727" t="s">
        <v>40</v>
      </c>
      <c r="H727" s="690" t="s">
        <v>85</v>
      </c>
      <c r="I727" s="691" t="s">
        <v>2473</v>
      </c>
      <c r="J727" s="721" t="s">
        <v>2146</v>
      </c>
      <c r="K727" s="691" t="s">
        <v>876</v>
      </c>
      <c r="L727" s="721" t="s">
        <v>2368</v>
      </c>
      <c r="M727" s="718" t="s">
        <v>3</v>
      </c>
      <c r="N727" s="717" t="s">
        <v>44</v>
      </c>
      <c r="O727" s="719">
        <v>44896</v>
      </c>
      <c r="P727" s="720">
        <v>44926</v>
      </c>
      <c r="Q727" s="718">
        <v>56</v>
      </c>
      <c r="R727" s="717">
        <v>8</v>
      </c>
      <c r="S727" s="691" t="s">
        <v>54</v>
      </c>
      <c r="T727" t="s">
        <v>358</v>
      </c>
      <c r="U727" s="673" t="s">
        <v>358</v>
      </c>
      <c r="V727" s="690" t="s">
        <v>358</v>
      </c>
      <c r="W727" s="657" t="s">
        <v>214</v>
      </c>
      <c r="X727" s="723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654">
        <v>8</v>
      </c>
      <c r="AJ727" s="655"/>
      <c r="AK727" s="4"/>
      <c r="AL727" s="4"/>
      <c r="AM727" s="4"/>
      <c r="AN727" s="4"/>
      <c r="AO727" s="4"/>
      <c r="AP727" s="4"/>
      <c r="AQ727" s="4"/>
      <c r="AR727" s="4"/>
      <c r="AS727" s="4"/>
      <c r="AT727" s="4"/>
      <c r="AU727" s="654"/>
      <c r="AV727" s="655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654"/>
      <c r="BH727" s="655"/>
      <c r="BI727" s="4"/>
      <c r="BJ727" s="4"/>
      <c r="BK727" s="4"/>
      <c r="BL727" s="4"/>
      <c r="BM727" s="4"/>
      <c r="BN727" s="4"/>
      <c r="BO727" s="4"/>
      <c r="BP727" s="4"/>
      <c r="BQ727" s="4"/>
      <c r="BR727" s="4"/>
      <c r="BS727" s="654"/>
      <c r="BT727" s="655"/>
      <c r="BU727" s="4"/>
      <c r="BV727" s="4"/>
      <c r="BW727" s="4"/>
      <c r="BX727" s="4"/>
      <c r="BY727" s="4"/>
      <c r="BZ727" s="4"/>
      <c r="CA727" s="4"/>
      <c r="CB727" s="4"/>
      <c r="CC727" s="4"/>
      <c r="CD727" s="4"/>
      <c r="CE727" s="693"/>
      <c r="CF727" s="723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654">
        <v>56</v>
      </c>
      <c r="CR727" s="655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654"/>
      <c r="DD727" s="655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654"/>
      <c r="DP727" s="655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654"/>
      <c r="EB727" s="655"/>
      <c r="EC727" s="4"/>
      <c r="ED727" s="4"/>
      <c r="EE727" s="4"/>
      <c r="EF727" s="4"/>
      <c r="EG727" s="4"/>
      <c r="EH727" s="4"/>
      <c r="EI727" s="4"/>
      <c r="EJ727" s="4"/>
      <c r="EK727" s="4"/>
      <c r="EL727" s="4"/>
      <c r="EM727" s="693"/>
      <c r="EN727" s="723"/>
      <c r="EO727" s="4"/>
      <c r="EP727" s="4"/>
      <c r="EQ727" s="4"/>
      <c r="ER727" s="4"/>
      <c r="ES727" s="4"/>
      <c r="ET727" s="4"/>
      <c r="EU727" s="4"/>
      <c r="EV727" s="4"/>
      <c r="EW727" s="4"/>
      <c r="EX727" s="4"/>
      <c r="EY727" s="654">
        <v>56</v>
      </c>
      <c r="EZ727" s="655"/>
      <c r="FA727" s="4"/>
      <c r="FB727" s="4"/>
      <c r="FC727" s="4"/>
      <c r="FD727" s="4"/>
      <c r="FE727" s="4"/>
      <c r="FF727" s="4"/>
      <c r="FG727" s="4"/>
      <c r="FH727" s="4"/>
      <c r="FI727" s="4"/>
      <c r="FJ727" s="4"/>
      <c r="FK727" s="654"/>
      <c r="FL727" s="655"/>
      <c r="FM727" s="4"/>
      <c r="FN727" s="4"/>
      <c r="FO727" s="4"/>
      <c r="FP727" s="4"/>
      <c r="FQ727" s="4"/>
      <c r="FR727" s="4"/>
      <c r="FS727" s="4"/>
      <c r="FT727" s="4"/>
      <c r="FU727" s="4"/>
      <c r="FV727" s="4"/>
      <c r="FW727" s="654"/>
      <c r="FX727" s="655"/>
      <c r="FY727" s="4"/>
      <c r="FZ727" s="4"/>
      <c r="GA727" s="4"/>
      <c r="GB727" s="4"/>
      <c r="GC727" s="4"/>
      <c r="GD727" s="4"/>
      <c r="GE727" s="4"/>
      <c r="GF727" s="4"/>
      <c r="GG727" s="4"/>
      <c r="GH727" s="4"/>
      <c r="GI727" s="654"/>
      <c r="GJ727" s="655"/>
      <c r="GK727" s="4"/>
      <c r="GL727" s="4"/>
      <c r="GM727" s="4"/>
      <c r="GN727" s="4"/>
      <c r="GO727" s="4"/>
      <c r="GP727" s="4"/>
      <c r="GQ727" s="4"/>
      <c r="GR727" s="4"/>
      <c r="GS727" s="4"/>
      <c r="GT727" s="4"/>
      <c r="GU727" s="722"/>
      <c r="GV727" s="715"/>
    </row>
    <row r="728" spans="1:204" x14ac:dyDescent="0.25">
      <c r="A728" t="s">
        <v>2520</v>
      </c>
      <c r="B728" s="2" t="s">
        <v>358</v>
      </c>
      <c r="C728" s="619">
        <v>44882</v>
      </c>
      <c r="D728" s="2" t="s">
        <v>2518</v>
      </c>
      <c r="E728" t="s">
        <v>59</v>
      </c>
      <c r="F728" s="2" t="s">
        <v>2473</v>
      </c>
      <c r="G728" t="s">
        <v>40</v>
      </c>
      <c r="H728" s="690" t="s">
        <v>85</v>
      </c>
      <c r="I728" s="691" t="s">
        <v>2473</v>
      </c>
      <c r="J728" s="721" t="s">
        <v>2146</v>
      </c>
      <c r="K728" s="691" t="s">
        <v>876</v>
      </c>
      <c r="L728" s="721" t="s">
        <v>2368</v>
      </c>
      <c r="M728" s="718" t="s">
        <v>3</v>
      </c>
      <c r="N728" s="717" t="s">
        <v>44</v>
      </c>
      <c r="O728" s="719">
        <v>44896</v>
      </c>
      <c r="P728" s="720">
        <v>44926</v>
      </c>
      <c r="Q728" s="718">
        <v>56</v>
      </c>
      <c r="R728" s="717">
        <v>2</v>
      </c>
      <c r="S728" s="691" t="s">
        <v>54</v>
      </c>
      <c r="T728" t="s">
        <v>358</v>
      </c>
      <c r="U728" s="673" t="s">
        <v>358</v>
      </c>
      <c r="V728" s="690" t="s">
        <v>358</v>
      </c>
      <c r="W728" s="657" t="s">
        <v>214</v>
      </c>
      <c r="X728" s="723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654">
        <v>2</v>
      </c>
      <c r="AJ728" s="655"/>
      <c r="AK728" s="4"/>
      <c r="AL728" s="4"/>
      <c r="AM728" s="4"/>
      <c r="AN728" s="4"/>
      <c r="AO728" s="4"/>
      <c r="AP728" s="4"/>
      <c r="AQ728" s="4"/>
      <c r="AR728" s="4"/>
      <c r="AS728" s="4"/>
      <c r="AT728" s="4"/>
      <c r="AU728" s="654"/>
      <c r="AV728" s="655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654"/>
      <c r="BH728" s="655"/>
      <c r="BI728" s="4"/>
      <c r="BJ728" s="4"/>
      <c r="BK728" s="4"/>
      <c r="BL728" s="4"/>
      <c r="BM728" s="4"/>
      <c r="BN728" s="4"/>
      <c r="BO728" s="4"/>
      <c r="BP728" s="4"/>
      <c r="BQ728" s="4"/>
      <c r="BR728" s="4"/>
      <c r="BS728" s="654"/>
      <c r="BT728" s="655"/>
      <c r="BU728" s="4"/>
      <c r="BV728" s="4"/>
      <c r="BW728" s="4"/>
      <c r="BX728" s="4"/>
      <c r="BY728" s="4"/>
      <c r="BZ728" s="4"/>
      <c r="CA728" s="4"/>
      <c r="CB728" s="4"/>
      <c r="CC728" s="4"/>
      <c r="CD728" s="4"/>
      <c r="CE728" s="693"/>
      <c r="CF728" s="723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654">
        <v>56</v>
      </c>
      <c r="CR728" s="655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654"/>
      <c r="DD728" s="655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654"/>
      <c r="DP728" s="655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654"/>
      <c r="EB728" s="655"/>
      <c r="EC728" s="4"/>
      <c r="ED728" s="4"/>
      <c r="EE728" s="4"/>
      <c r="EF728" s="4"/>
      <c r="EG728" s="4"/>
      <c r="EH728" s="4"/>
      <c r="EI728" s="4"/>
      <c r="EJ728" s="4"/>
      <c r="EK728" s="4"/>
      <c r="EL728" s="4"/>
      <c r="EM728" s="693"/>
      <c r="EN728" s="723"/>
      <c r="EO728" s="4"/>
      <c r="EP728" s="4"/>
      <c r="EQ728" s="4"/>
      <c r="ER728" s="4"/>
      <c r="ES728" s="4"/>
      <c r="ET728" s="4"/>
      <c r="EU728" s="4"/>
      <c r="EV728" s="4"/>
      <c r="EW728" s="4"/>
      <c r="EX728" s="4"/>
      <c r="EY728" s="654">
        <v>56</v>
      </c>
      <c r="EZ728" s="655"/>
      <c r="FA728" s="4"/>
      <c r="FB728" s="4"/>
      <c r="FC728" s="4"/>
      <c r="FD728" s="4"/>
      <c r="FE728" s="4"/>
      <c r="FF728" s="4"/>
      <c r="FG728" s="4"/>
      <c r="FH728" s="4"/>
      <c r="FI728" s="4"/>
      <c r="FJ728" s="4"/>
      <c r="FK728" s="654"/>
      <c r="FL728" s="655"/>
      <c r="FM728" s="4"/>
      <c r="FN728" s="4"/>
      <c r="FO728" s="4"/>
      <c r="FP728" s="4"/>
      <c r="FQ728" s="4"/>
      <c r="FR728" s="4"/>
      <c r="FS728" s="4"/>
      <c r="FT728" s="4"/>
      <c r="FU728" s="4"/>
      <c r="FV728" s="4"/>
      <c r="FW728" s="654"/>
      <c r="FX728" s="655"/>
      <c r="FY728" s="4"/>
      <c r="FZ728" s="4"/>
      <c r="GA728" s="4"/>
      <c r="GB728" s="4"/>
      <c r="GC728" s="4"/>
      <c r="GD728" s="4"/>
      <c r="GE728" s="4"/>
      <c r="GF728" s="4"/>
      <c r="GG728" s="4"/>
      <c r="GH728" s="4"/>
      <c r="GI728" s="654"/>
      <c r="GJ728" s="655"/>
      <c r="GK728" s="4"/>
      <c r="GL728" s="4"/>
      <c r="GM728" s="4"/>
      <c r="GN728" s="4"/>
      <c r="GO728" s="4"/>
      <c r="GP728" s="4"/>
      <c r="GQ728" s="4"/>
      <c r="GR728" s="4"/>
      <c r="GS728" s="4"/>
      <c r="GT728" s="4"/>
      <c r="GU728" s="722"/>
      <c r="GV728" s="715"/>
    </row>
    <row r="729" spans="1:204" x14ac:dyDescent="0.25">
      <c r="A729" t="s">
        <v>2522</v>
      </c>
      <c r="B729" s="2" t="s">
        <v>358</v>
      </c>
      <c r="C729" s="619">
        <v>44883</v>
      </c>
      <c r="D729" s="2" t="s">
        <v>2521</v>
      </c>
      <c r="E729" t="s">
        <v>58</v>
      </c>
      <c r="F729" s="2" t="s">
        <v>2473</v>
      </c>
      <c r="G729" t="s">
        <v>40</v>
      </c>
      <c r="H729" s="690" t="s">
        <v>84</v>
      </c>
      <c r="I729" s="691" t="s">
        <v>472</v>
      </c>
      <c r="J729" s="721" t="s">
        <v>2487</v>
      </c>
      <c r="K729" s="691" t="s">
        <v>2473</v>
      </c>
      <c r="L729" s="721" t="s">
        <v>2146</v>
      </c>
      <c r="M729" s="718" t="s">
        <v>3</v>
      </c>
      <c r="N729" s="717" t="s">
        <v>44</v>
      </c>
      <c r="O729" s="719">
        <v>44927</v>
      </c>
      <c r="P729" s="720">
        <v>44957</v>
      </c>
      <c r="Q729" s="718">
        <v>62.5</v>
      </c>
      <c r="R729" s="717">
        <v>10</v>
      </c>
      <c r="S729" s="691" t="s">
        <v>54</v>
      </c>
      <c r="T729" t="s">
        <v>358</v>
      </c>
      <c r="U729" s="673" t="s">
        <v>358</v>
      </c>
      <c r="V729" s="690" t="s">
        <v>358</v>
      </c>
      <c r="W729" s="657" t="s">
        <v>214</v>
      </c>
      <c r="X729" s="723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654"/>
      <c r="AJ729" s="655">
        <v>10</v>
      </c>
      <c r="AK729" s="4"/>
      <c r="AL729" s="4"/>
      <c r="AM729" s="4"/>
      <c r="AN729" s="4"/>
      <c r="AO729" s="4"/>
      <c r="AP729" s="4"/>
      <c r="AQ729" s="4"/>
      <c r="AR729" s="4"/>
      <c r="AS729" s="4"/>
      <c r="AT729" s="4"/>
      <c r="AU729" s="654"/>
      <c r="AV729" s="655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654"/>
      <c r="BH729" s="655"/>
      <c r="BI729" s="4"/>
      <c r="BJ729" s="4"/>
      <c r="BK729" s="4"/>
      <c r="BL729" s="4"/>
      <c r="BM729" s="4"/>
      <c r="BN729" s="4"/>
      <c r="BO729" s="4"/>
      <c r="BP729" s="4"/>
      <c r="BQ729" s="4"/>
      <c r="BR729" s="4"/>
      <c r="BS729" s="654"/>
      <c r="BT729" s="655"/>
      <c r="BU729" s="4"/>
      <c r="BV729" s="4"/>
      <c r="BW729" s="4"/>
      <c r="BX729" s="4"/>
      <c r="BY729" s="4"/>
      <c r="BZ729" s="4"/>
      <c r="CA729" s="4"/>
      <c r="CB729" s="4"/>
      <c r="CC729" s="4"/>
      <c r="CD729" s="4"/>
      <c r="CE729" s="693"/>
      <c r="CF729" s="723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654"/>
      <c r="CR729" s="655">
        <v>62.5</v>
      </c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654"/>
      <c r="DD729" s="655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654"/>
      <c r="DP729" s="655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654"/>
      <c r="EB729" s="655"/>
      <c r="EC729" s="4"/>
      <c r="ED729" s="4"/>
      <c r="EE729" s="4"/>
      <c r="EF729" s="4"/>
      <c r="EG729" s="4"/>
      <c r="EH729" s="4"/>
      <c r="EI729" s="4"/>
      <c r="EJ729" s="4"/>
      <c r="EK729" s="4"/>
      <c r="EL729" s="4"/>
      <c r="EM729" s="693"/>
      <c r="EN729" s="723"/>
      <c r="EO729" s="4"/>
      <c r="EP729" s="4"/>
      <c r="EQ729" s="4"/>
      <c r="ER729" s="4"/>
      <c r="ES729" s="4"/>
      <c r="ET729" s="4"/>
      <c r="EU729" s="4"/>
      <c r="EV729" s="4"/>
      <c r="EW729" s="4"/>
      <c r="EX729" s="4"/>
      <c r="EY729" s="654"/>
      <c r="EZ729" s="655">
        <v>62.5</v>
      </c>
      <c r="FA729" s="4"/>
      <c r="FB729" s="4"/>
      <c r="FC729" s="4"/>
      <c r="FD729" s="4"/>
      <c r="FE729" s="4"/>
      <c r="FF729" s="4"/>
      <c r="FG729" s="4"/>
      <c r="FH729" s="4"/>
      <c r="FI729" s="4"/>
      <c r="FJ729" s="4"/>
      <c r="FK729" s="654"/>
      <c r="FL729" s="655"/>
      <c r="FM729" s="4"/>
      <c r="FN729" s="4"/>
      <c r="FO729" s="4"/>
      <c r="FP729" s="4"/>
      <c r="FQ729" s="4"/>
      <c r="FR729" s="4"/>
      <c r="FS729" s="4"/>
      <c r="FT729" s="4"/>
      <c r="FU729" s="4"/>
      <c r="FV729" s="4"/>
      <c r="FW729" s="654"/>
      <c r="FX729" s="655"/>
      <c r="FY729" s="4"/>
      <c r="FZ729" s="4"/>
      <c r="GA729" s="4"/>
      <c r="GB729" s="4"/>
      <c r="GC729" s="4"/>
      <c r="GD729" s="4"/>
      <c r="GE729" s="4"/>
      <c r="GF729" s="4"/>
      <c r="GG729" s="4"/>
      <c r="GH729" s="4"/>
      <c r="GI729" s="654"/>
      <c r="GJ729" s="655"/>
      <c r="GK729" s="4"/>
      <c r="GL729" s="4"/>
      <c r="GM729" s="4"/>
      <c r="GN729" s="4"/>
      <c r="GO729" s="4"/>
      <c r="GP729" s="4"/>
      <c r="GQ729" s="4"/>
      <c r="GR729" s="4"/>
      <c r="GS729" s="4"/>
      <c r="GT729" s="4"/>
      <c r="GU729" s="722"/>
      <c r="GV729" s="715"/>
    </row>
    <row r="730" spans="1:204" x14ac:dyDescent="0.25">
      <c r="A730" t="s">
        <v>2527</v>
      </c>
      <c r="B730" s="2" t="s">
        <v>358</v>
      </c>
      <c r="C730" s="619">
        <v>44895</v>
      </c>
      <c r="D730" s="2" t="s">
        <v>2523</v>
      </c>
      <c r="E730" t="s">
        <v>59</v>
      </c>
      <c r="F730" s="2" t="s">
        <v>2473</v>
      </c>
      <c r="G730" t="s">
        <v>40</v>
      </c>
      <c r="H730" s="690" t="s">
        <v>85</v>
      </c>
      <c r="I730" s="691" t="s">
        <v>2473</v>
      </c>
      <c r="J730" s="721" t="s">
        <v>2146</v>
      </c>
      <c r="K730" s="691" t="s">
        <v>1917</v>
      </c>
      <c r="L730" s="721" t="s">
        <v>2246</v>
      </c>
      <c r="M730" s="718" t="s">
        <v>3</v>
      </c>
      <c r="N730" s="717" t="s">
        <v>44</v>
      </c>
      <c r="O730" s="719">
        <v>45108</v>
      </c>
      <c r="P730" s="720">
        <v>45291</v>
      </c>
      <c r="Q730" s="718">
        <v>104</v>
      </c>
      <c r="R730" s="717">
        <v>2</v>
      </c>
      <c r="S730" s="691" t="s">
        <v>54</v>
      </c>
      <c r="T730" t="s">
        <v>358</v>
      </c>
      <c r="U730" s="673" t="s">
        <v>358</v>
      </c>
      <c r="V730" s="690" t="s">
        <v>358</v>
      </c>
      <c r="W730" s="657" t="s">
        <v>214</v>
      </c>
      <c r="X730" s="723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654"/>
      <c r="AJ730" s="655"/>
      <c r="AK730" s="4"/>
      <c r="AL730" s="4"/>
      <c r="AM730" s="4"/>
      <c r="AN730" s="4"/>
      <c r="AO730" s="4"/>
      <c r="AP730" s="4">
        <v>2</v>
      </c>
      <c r="AQ730" s="4">
        <v>2</v>
      </c>
      <c r="AR730" s="4">
        <v>2</v>
      </c>
      <c r="AS730" s="4">
        <v>2</v>
      </c>
      <c r="AT730" s="4">
        <v>2</v>
      </c>
      <c r="AU730" s="654">
        <v>2</v>
      </c>
      <c r="AV730" s="655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654"/>
      <c r="BH730" s="655"/>
      <c r="BI730" s="4"/>
      <c r="BJ730" s="4"/>
      <c r="BK730" s="4"/>
      <c r="BL730" s="4"/>
      <c r="BM730" s="4"/>
      <c r="BN730" s="4"/>
      <c r="BO730" s="4"/>
      <c r="BP730" s="4"/>
      <c r="BQ730" s="4"/>
      <c r="BR730" s="4"/>
      <c r="BS730" s="654"/>
      <c r="BT730" s="655"/>
      <c r="BU730" s="4"/>
      <c r="BV730" s="4"/>
      <c r="BW730" s="4"/>
      <c r="BX730" s="4"/>
      <c r="BY730" s="4"/>
      <c r="BZ730" s="4"/>
      <c r="CA730" s="4"/>
      <c r="CB730" s="4"/>
      <c r="CC730" s="4"/>
      <c r="CD730" s="4"/>
      <c r="CE730" s="693"/>
      <c r="CF730" s="723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654"/>
      <c r="CR730" s="655"/>
      <c r="CS730" s="4"/>
      <c r="CT730" s="4"/>
      <c r="CU730" s="4"/>
      <c r="CV730" s="4"/>
      <c r="CW730" s="4"/>
      <c r="CX730" s="4">
        <v>104</v>
      </c>
      <c r="CY730" s="4">
        <v>104</v>
      </c>
      <c r="CZ730" s="4">
        <v>104</v>
      </c>
      <c r="DA730" s="4">
        <v>104</v>
      </c>
      <c r="DB730" s="4">
        <v>104</v>
      </c>
      <c r="DC730" s="654">
        <v>104</v>
      </c>
      <c r="DD730" s="655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654"/>
      <c r="DP730" s="655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654"/>
      <c r="EB730" s="655"/>
      <c r="EC730" s="4"/>
      <c r="ED730" s="4"/>
      <c r="EE730" s="4"/>
      <c r="EF730" s="4"/>
      <c r="EG730" s="4"/>
      <c r="EH730" s="4"/>
      <c r="EI730" s="4"/>
      <c r="EJ730" s="4"/>
      <c r="EK730" s="4"/>
      <c r="EL730" s="4"/>
      <c r="EM730" s="693"/>
      <c r="EN730" s="723"/>
      <c r="EO730" s="4"/>
      <c r="EP730" s="4"/>
      <c r="EQ730" s="4"/>
      <c r="ER730" s="4"/>
      <c r="ES730" s="4"/>
      <c r="ET730" s="4"/>
      <c r="EU730" s="4"/>
      <c r="EV730" s="4"/>
      <c r="EW730" s="4"/>
      <c r="EX730" s="4"/>
      <c r="EY730" s="654"/>
      <c r="EZ730" s="655"/>
      <c r="FA730" s="4"/>
      <c r="FB730" s="4"/>
      <c r="FC730" s="4"/>
      <c r="FD730" s="4"/>
      <c r="FE730" s="4"/>
      <c r="FF730" s="4">
        <v>104</v>
      </c>
      <c r="FG730" s="4">
        <v>104</v>
      </c>
      <c r="FH730" s="4">
        <v>104</v>
      </c>
      <c r="FI730" s="4">
        <v>104</v>
      </c>
      <c r="FJ730" s="4">
        <v>104</v>
      </c>
      <c r="FK730" s="654">
        <v>104</v>
      </c>
      <c r="FL730" s="655"/>
      <c r="FM730" s="4"/>
      <c r="FN730" s="4"/>
      <c r="FO730" s="4"/>
      <c r="FP730" s="4"/>
      <c r="FQ730" s="4"/>
      <c r="FR730" s="4"/>
      <c r="FS730" s="4"/>
      <c r="FT730" s="4"/>
      <c r="FU730" s="4"/>
      <c r="FV730" s="4"/>
      <c r="FW730" s="654"/>
      <c r="FX730" s="655"/>
      <c r="FY730" s="4"/>
      <c r="FZ730" s="4"/>
      <c r="GA730" s="4"/>
      <c r="GB730" s="4"/>
      <c r="GC730" s="4"/>
      <c r="GD730" s="4"/>
      <c r="GE730" s="4"/>
      <c r="GF730" s="4"/>
      <c r="GG730" s="4"/>
      <c r="GH730" s="4"/>
      <c r="GI730" s="654"/>
      <c r="GJ730" s="655"/>
      <c r="GK730" s="4"/>
      <c r="GL730" s="4"/>
      <c r="GM730" s="4"/>
      <c r="GN730" s="4"/>
      <c r="GO730" s="4"/>
      <c r="GP730" s="4"/>
      <c r="GQ730" s="4"/>
      <c r="GR730" s="4"/>
      <c r="GS730" s="4"/>
      <c r="GT730" s="4"/>
      <c r="GU730" s="722"/>
      <c r="GV730" s="715"/>
    </row>
    <row r="731" spans="1:204" x14ac:dyDescent="0.25">
      <c r="A731" t="s">
        <v>2528</v>
      </c>
      <c r="B731" s="2" t="s">
        <v>358</v>
      </c>
      <c r="C731" s="619">
        <v>44895</v>
      </c>
      <c r="D731" s="2" t="s">
        <v>2524</v>
      </c>
      <c r="E731" t="s">
        <v>58</v>
      </c>
      <c r="F731" s="2" t="s">
        <v>2473</v>
      </c>
      <c r="G731" t="s">
        <v>40</v>
      </c>
      <c r="H731" s="690" t="s">
        <v>84</v>
      </c>
      <c r="I731" s="691" t="s">
        <v>2498</v>
      </c>
      <c r="J731" s="721" t="s">
        <v>2499</v>
      </c>
      <c r="K731" s="691" t="s">
        <v>2473</v>
      </c>
      <c r="L731" s="721" t="s">
        <v>2146</v>
      </c>
      <c r="M731" s="718" t="s">
        <v>3</v>
      </c>
      <c r="N731" s="717" t="s">
        <v>44</v>
      </c>
      <c r="O731" s="719">
        <v>44927</v>
      </c>
      <c r="P731" s="720">
        <v>45016</v>
      </c>
      <c r="Q731" s="718">
        <v>64.5</v>
      </c>
      <c r="R731" s="717">
        <v>7</v>
      </c>
      <c r="S731" s="691" t="s">
        <v>54</v>
      </c>
      <c r="T731" t="s">
        <v>358</v>
      </c>
      <c r="U731" s="673" t="s">
        <v>358</v>
      </c>
      <c r="V731" s="690" t="s">
        <v>358</v>
      </c>
      <c r="W731" s="657" t="s">
        <v>214</v>
      </c>
      <c r="X731" s="723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654"/>
      <c r="AJ731" s="655">
        <v>7</v>
      </c>
      <c r="AK731" s="4">
        <v>7</v>
      </c>
      <c r="AL731" s="4">
        <v>7</v>
      </c>
      <c r="AM731" s="4"/>
      <c r="AN731" s="4"/>
      <c r="AO731" s="4"/>
      <c r="AP731" s="4"/>
      <c r="AQ731" s="4"/>
      <c r="AR731" s="4"/>
      <c r="AS731" s="4"/>
      <c r="AT731" s="4"/>
      <c r="AU731" s="654"/>
      <c r="AV731" s="655"/>
      <c r="AW731" s="4"/>
      <c r="AX731" s="4"/>
      <c r="AY731" s="4"/>
      <c r="AZ731" s="4"/>
      <c r="BA731" s="4"/>
      <c r="BB731" s="4"/>
      <c r="BC731" s="4"/>
      <c r="BD731" s="4"/>
      <c r="BE731" s="4"/>
      <c r="BF731" s="4"/>
      <c r="BG731" s="654"/>
      <c r="BH731" s="655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654"/>
      <c r="BT731" s="655"/>
      <c r="BU731" s="4"/>
      <c r="BV731" s="4"/>
      <c r="BW731" s="4"/>
      <c r="BX731" s="4"/>
      <c r="BY731" s="4"/>
      <c r="BZ731" s="4"/>
      <c r="CA731" s="4"/>
      <c r="CB731" s="4"/>
      <c r="CC731" s="4"/>
      <c r="CD731" s="4"/>
      <c r="CE731" s="693"/>
      <c r="CF731" s="723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654"/>
      <c r="CR731" s="655">
        <v>64.5</v>
      </c>
      <c r="CS731" s="4">
        <v>64.5</v>
      </c>
      <c r="CT731" s="4">
        <v>64.5</v>
      </c>
      <c r="CU731" s="4"/>
      <c r="CV731" s="4"/>
      <c r="CW731" s="4"/>
      <c r="CX731" s="4"/>
      <c r="CY731" s="4"/>
      <c r="CZ731" s="4"/>
      <c r="DA731" s="4"/>
      <c r="DB731" s="4"/>
      <c r="DC731" s="654"/>
      <c r="DD731" s="655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654"/>
      <c r="DP731" s="655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654"/>
      <c r="EB731" s="655"/>
      <c r="EC731" s="4"/>
      <c r="ED731" s="4"/>
      <c r="EE731" s="4"/>
      <c r="EF731" s="4"/>
      <c r="EG731" s="4"/>
      <c r="EH731" s="4"/>
      <c r="EI731" s="4"/>
      <c r="EJ731" s="4"/>
      <c r="EK731" s="4"/>
      <c r="EL731" s="4"/>
      <c r="EM731" s="693"/>
      <c r="EN731" s="723"/>
      <c r="EO731" s="4"/>
      <c r="EP731" s="4"/>
      <c r="EQ731" s="4"/>
      <c r="ER731" s="4"/>
      <c r="ES731" s="4"/>
      <c r="ET731" s="4"/>
      <c r="EU731" s="4"/>
      <c r="EV731" s="4"/>
      <c r="EW731" s="4"/>
      <c r="EX731" s="4"/>
      <c r="EY731" s="654"/>
      <c r="EZ731" s="655">
        <v>64.5</v>
      </c>
      <c r="FA731" s="4">
        <v>64.5</v>
      </c>
      <c r="FB731" s="4">
        <v>64.5</v>
      </c>
      <c r="FC731" s="4"/>
      <c r="FD731" s="4"/>
      <c r="FE731" s="4"/>
      <c r="FF731" s="4"/>
      <c r="FG731" s="4"/>
      <c r="FH731" s="4"/>
      <c r="FI731" s="4"/>
      <c r="FJ731" s="4"/>
      <c r="FK731" s="654"/>
      <c r="FL731" s="655"/>
      <c r="FM731" s="4"/>
      <c r="FN731" s="4"/>
      <c r="FO731" s="4"/>
      <c r="FP731" s="4"/>
      <c r="FQ731" s="4"/>
      <c r="FR731" s="4"/>
      <c r="FS731" s="4"/>
      <c r="FT731" s="4"/>
      <c r="FU731" s="4"/>
      <c r="FV731" s="4"/>
      <c r="FW731" s="654"/>
      <c r="FX731" s="655"/>
      <c r="FY731" s="4"/>
      <c r="FZ731" s="4"/>
      <c r="GA731" s="4"/>
      <c r="GB731" s="4"/>
      <c r="GC731" s="4"/>
      <c r="GD731" s="4"/>
      <c r="GE731" s="4"/>
      <c r="GF731" s="4"/>
      <c r="GG731" s="4"/>
      <c r="GH731" s="4"/>
      <c r="GI731" s="654"/>
      <c r="GJ731" s="655"/>
      <c r="GK731" s="4"/>
      <c r="GL731" s="4"/>
      <c r="GM731" s="4"/>
      <c r="GN731" s="4"/>
      <c r="GO731" s="4"/>
      <c r="GP731" s="4"/>
      <c r="GQ731" s="4"/>
      <c r="GR731" s="4"/>
      <c r="GS731" s="4"/>
      <c r="GT731" s="4"/>
      <c r="GU731" s="722"/>
      <c r="GV731" s="715"/>
    </row>
    <row r="732" spans="1:204" x14ac:dyDescent="0.25">
      <c r="A732" t="s">
        <v>2529</v>
      </c>
      <c r="B732" s="2" t="s">
        <v>358</v>
      </c>
      <c r="C732" s="619">
        <v>44895</v>
      </c>
      <c r="D732" s="2" t="s">
        <v>2525</v>
      </c>
      <c r="E732" t="s">
        <v>59</v>
      </c>
      <c r="F732" s="2" t="s">
        <v>2473</v>
      </c>
      <c r="G732" t="s">
        <v>40</v>
      </c>
      <c r="H732" s="690" t="s">
        <v>85</v>
      </c>
      <c r="I732" s="691" t="s">
        <v>2473</v>
      </c>
      <c r="J732" s="721" t="s">
        <v>2146</v>
      </c>
      <c r="K732" s="691" t="s">
        <v>2498</v>
      </c>
      <c r="L732" s="721" t="s">
        <v>2499</v>
      </c>
      <c r="M732" s="718" t="s">
        <v>3</v>
      </c>
      <c r="N732" s="717" t="s">
        <v>44</v>
      </c>
      <c r="O732" s="719">
        <v>45017</v>
      </c>
      <c r="P732" s="720">
        <v>45107</v>
      </c>
      <c r="Q732" s="718">
        <v>70</v>
      </c>
      <c r="R732" s="717">
        <v>7</v>
      </c>
      <c r="S732" s="691" t="s">
        <v>54</v>
      </c>
      <c r="T732" t="s">
        <v>358</v>
      </c>
      <c r="U732" s="673" t="s">
        <v>358</v>
      </c>
      <c r="V732" s="690" t="s">
        <v>358</v>
      </c>
      <c r="W732" s="657" t="s">
        <v>214</v>
      </c>
      <c r="X732" s="723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654"/>
      <c r="AJ732" s="655"/>
      <c r="AK732" s="4"/>
      <c r="AL732" s="4"/>
      <c r="AM732" s="4">
        <v>7</v>
      </c>
      <c r="AN732" s="4">
        <v>7</v>
      </c>
      <c r="AO732" s="4">
        <v>7</v>
      </c>
      <c r="AP732" s="4"/>
      <c r="AQ732" s="4"/>
      <c r="AR732" s="4"/>
      <c r="AS732" s="4"/>
      <c r="AT732" s="4"/>
      <c r="AU732" s="654"/>
      <c r="AV732" s="655"/>
      <c r="AW732" s="4"/>
      <c r="AX732" s="4"/>
      <c r="AY732" s="4"/>
      <c r="AZ732" s="4"/>
      <c r="BA732" s="4"/>
      <c r="BB732" s="4"/>
      <c r="BC732" s="4"/>
      <c r="BD732" s="4"/>
      <c r="BE732" s="4"/>
      <c r="BF732" s="4"/>
      <c r="BG732" s="654"/>
      <c r="BH732" s="655"/>
      <c r="BI732" s="4"/>
      <c r="BJ732" s="4"/>
      <c r="BK732" s="4"/>
      <c r="BL732" s="4"/>
      <c r="BM732" s="4"/>
      <c r="BN732" s="4"/>
      <c r="BO732" s="4"/>
      <c r="BP732" s="4"/>
      <c r="BQ732" s="4"/>
      <c r="BR732" s="4"/>
      <c r="BS732" s="654"/>
      <c r="BT732" s="655"/>
      <c r="BU732" s="4"/>
      <c r="BV732" s="4"/>
      <c r="BW732" s="4"/>
      <c r="BX732" s="4"/>
      <c r="BY732" s="4"/>
      <c r="BZ732" s="4"/>
      <c r="CA732" s="4"/>
      <c r="CB732" s="4"/>
      <c r="CC732" s="4"/>
      <c r="CD732" s="4"/>
      <c r="CE732" s="693"/>
      <c r="CF732" s="723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654"/>
      <c r="CR732" s="655"/>
      <c r="CS732" s="4"/>
      <c r="CT732" s="4"/>
      <c r="CU732" s="4">
        <v>70</v>
      </c>
      <c r="CV732" s="4">
        <v>70</v>
      </c>
      <c r="CW732" s="4">
        <v>70</v>
      </c>
      <c r="CX732" s="4"/>
      <c r="CY732" s="4"/>
      <c r="CZ732" s="4"/>
      <c r="DA732" s="4"/>
      <c r="DB732" s="4"/>
      <c r="DC732" s="654"/>
      <c r="DD732" s="655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654"/>
      <c r="DP732" s="655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654"/>
      <c r="EB732" s="655"/>
      <c r="EC732" s="4"/>
      <c r="ED732" s="4"/>
      <c r="EE732" s="4"/>
      <c r="EF732" s="4"/>
      <c r="EG732" s="4"/>
      <c r="EH732" s="4"/>
      <c r="EI732" s="4"/>
      <c r="EJ732" s="4"/>
      <c r="EK732" s="4"/>
      <c r="EL732" s="4"/>
      <c r="EM732" s="693"/>
      <c r="EN732" s="723"/>
      <c r="EO732" s="4"/>
      <c r="EP732" s="4"/>
      <c r="EQ732" s="4"/>
      <c r="ER732" s="4"/>
      <c r="ES732" s="4"/>
      <c r="ET732" s="4"/>
      <c r="EU732" s="4"/>
      <c r="EV732" s="4"/>
      <c r="EW732" s="4"/>
      <c r="EX732" s="4"/>
      <c r="EY732" s="654"/>
      <c r="EZ732" s="655"/>
      <c r="FA732" s="4"/>
      <c r="FB732" s="4"/>
      <c r="FC732" s="4">
        <v>70</v>
      </c>
      <c r="FD732" s="4">
        <v>70</v>
      </c>
      <c r="FE732" s="4">
        <v>70</v>
      </c>
      <c r="FF732" s="4"/>
      <c r="FG732" s="4"/>
      <c r="FH732" s="4"/>
      <c r="FI732" s="4"/>
      <c r="FJ732" s="4"/>
      <c r="FK732" s="654"/>
      <c r="FL732" s="655"/>
      <c r="FM732" s="4"/>
      <c r="FN732" s="4"/>
      <c r="FO732" s="4"/>
      <c r="FP732" s="4"/>
      <c r="FQ732" s="4"/>
      <c r="FR732" s="4"/>
      <c r="FS732" s="4"/>
      <c r="FT732" s="4"/>
      <c r="FU732" s="4"/>
      <c r="FV732" s="4"/>
      <c r="FW732" s="654"/>
      <c r="FX732" s="655"/>
      <c r="FY732" s="4"/>
      <c r="FZ732" s="4"/>
      <c r="GA732" s="4"/>
      <c r="GB732" s="4"/>
      <c r="GC732" s="4"/>
      <c r="GD732" s="4"/>
      <c r="GE732" s="4"/>
      <c r="GF732" s="4"/>
      <c r="GG732" s="4"/>
      <c r="GH732" s="4"/>
      <c r="GI732" s="654"/>
      <c r="GJ732" s="655"/>
      <c r="GK732" s="4"/>
      <c r="GL732" s="4"/>
      <c r="GM732" s="4"/>
      <c r="GN732" s="4"/>
      <c r="GO732" s="4"/>
      <c r="GP732" s="4"/>
      <c r="GQ732" s="4"/>
      <c r="GR732" s="4"/>
      <c r="GS732" s="4"/>
      <c r="GT732" s="4"/>
      <c r="GU732" s="722"/>
      <c r="GV732" s="715"/>
    </row>
    <row r="733" spans="1:204" x14ac:dyDescent="0.25">
      <c r="A733" t="s">
        <v>2530</v>
      </c>
      <c r="B733" s="2" t="s">
        <v>358</v>
      </c>
      <c r="C733" s="619">
        <v>44895</v>
      </c>
      <c r="D733" s="2" t="s">
        <v>2526</v>
      </c>
      <c r="E733" t="s">
        <v>59</v>
      </c>
      <c r="F733" s="2" t="s">
        <v>2473</v>
      </c>
      <c r="G733" t="s">
        <v>40</v>
      </c>
      <c r="H733" s="690" t="s">
        <v>85</v>
      </c>
      <c r="I733" s="691" t="s">
        <v>2473</v>
      </c>
      <c r="J733" s="721" t="s">
        <v>2146</v>
      </c>
      <c r="K733" s="691" t="s">
        <v>1854</v>
      </c>
      <c r="L733" s="721" t="s">
        <v>2284</v>
      </c>
      <c r="M733" s="718" t="s">
        <v>3</v>
      </c>
      <c r="N733" s="717" t="s">
        <v>44</v>
      </c>
      <c r="O733" s="719">
        <v>45017</v>
      </c>
      <c r="P733" s="720">
        <v>45107</v>
      </c>
      <c r="Q733" s="718">
        <v>69</v>
      </c>
      <c r="R733" s="717">
        <v>2</v>
      </c>
      <c r="S733" s="691" t="s">
        <v>54</v>
      </c>
      <c r="T733" t="s">
        <v>358</v>
      </c>
      <c r="U733" s="673" t="s">
        <v>358</v>
      </c>
      <c r="V733" s="690" t="s">
        <v>358</v>
      </c>
      <c r="W733" s="657" t="s">
        <v>214</v>
      </c>
      <c r="X733" s="723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654"/>
      <c r="AJ733" s="655"/>
      <c r="AK733" s="4"/>
      <c r="AL733" s="4"/>
      <c r="AM733" s="4">
        <v>2</v>
      </c>
      <c r="AN733" s="4">
        <v>2</v>
      </c>
      <c r="AO733" s="4">
        <v>2</v>
      </c>
      <c r="AP733" s="4"/>
      <c r="AQ733" s="4"/>
      <c r="AR733" s="4"/>
      <c r="AS733" s="4"/>
      <c r="AT733" s="4"/>
      <c r="AU733" s="654"/>
      <c r="AV733" s="655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654"/>
      <c r="BH733" s="655"/>
      <c r="BI733" s="4"/>
      <c r="BJ733" s="4"/>
      <c r="BK733" s="4"/>
      <c r="BL733" s="4"/>
      <c r="BM733" s="4"/>
      <c r="BN733" s="4"/>
      <c r="BO733" s="4"/>
      <c r="BP733" s="4"/>
      <c r="BQ733" s="4"/>
      <c r="BR733" s="4"/>
      <c r="BS733" s="654"/>
      <c r="BT733" s="655"/>
      <c r="BU733" s="4"/>
      <c r="BV733" s="4"/>
      <c r="BW733" s="4"/>
      <c r="BX733" s="4"/>
      <c r="BY733" s="4"/>
      <c r="BZ733" s="4"/>
      <c r="CA733" s="4"/>
      <c r="CB733" s="4"/>
      <c r="CC733" s="4"/>
      <c r="CD733" s="4"/>
      <c r="CE733" s="693"/>
      <c r="CF733" s="723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654"/>
      <c r="CR733" s="655"/>
      <c r="CS733" s="4"/>
      <c r="CT733" s="4"/>
      <c r="CU733" s="4">
        <v>69</v>
      </c>
      <c r="CV733" s="4">
        <v>69</v>
      </c>
      <c r="CW733" s="4">
        <v>69</v>
      </c>
      <c r="CX733" s="4"/>
      <c r="CY733" s="4"/>
      <c r="CZ733" s="4"/>
      <c r="DA733" s="4"/>
      <c r="DB733" s="4"/>
      <c r="DC733" s="654"/>
      <c r="DD733" s="655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654"/>
      <c r="DP733" s="655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654"/>
      <c r="EB733" s="655"/>
      <c r="EC733" s="4"/>
      <c r="ED733" s="4"/>
      <c r="EE733" s="4"/>
      <c r="EF733" s="4"/>
      <c r="EG733" s="4"/>
      <c r="EH733" s="4"/>
      <c r="EI733" s="4"/>
      <c r="EJ733" s="4"/>
      <c r="EK733" s="4"/>
      <c r="EL733" s="4"/>
      <c r="EM733" s="693"/>
      <c r="EN733" s="723"/>
      <c r="EO733" s="4"/>
      <c r="EP733" s="4"/>
      <c r="EQ733" s="4"/>
      <c r="ER733" s="4"/>
      <c r="ES733" s="4"/>
      <c r="ET733" s="4"/>
      <c r="EU733" s="4"/>
      <c r="EV733" s="4"/>
      <c r="EW733" s="4"/>
      <c r="EX733" s="4"/>
      <c r="EY733" s="654"/>
      <c r="EZ733" s="655"/>
      <c r="FA733" s="4"/>
      <c r="FB733" s="4"/>
      <c r="FC733" s="4">
        <v>69</v>
      </c>
      <c r="FD733" s="4">
        <v>69</v>
      </c>
      <c r="FE733" s="4">
        <v>69</v>
      </c>
      <c r="FF733" s="4"/>
      <c r="FG733" s="4"/>
      <c r="FH733" s="4"/>
      <c r="FI733" s="4"/>
      <c r="FJ733" s="4"/>
      <c r="FK733" s="654"/>
      <c r="FL733" s="655"/>
      <c r="FM733" s="4"/>
      <c r="FN733" s="4"/>
      <c r="FO733" s="4"/>
      <c r="FP733" s="4"/>
      <c r="FQ733" s="4"/>
      <c r="FR733" s="4"/>
      <c r="FS733" s="4"/>
      <c r="FT733" s="4"/>
      <c r="FU733" s="4"/>
      <c r="FV733" s="4"/>
      <c r="FW733" s="654"/>
      <c r="FX733" s="655"/>
      <c r="FY733" s="4"/>
      <c r="FZ733" s="4"/>
      <c r="GA733" s="4"/>
      <c r="GB733" s="4"/>
      <c r="GC733" s="4"/>
      <c r="GD733" s="4"/>
      <c r="GE733" s="4"/>
      <c r="GF733" s="4"/>
      <c r="GG733" s="4"/>
      <c r="GH733" s="4"/>
      <c r="GI733" s="654"/>
      <c r="GJ733" s="655"/>
      <c r="GK733" s="4"/>
      <c r="GL733" s="4"/>
      <c r="GM733" s="4"/>
      <c r="GN733" s="4"/>
      <c r="GO733" s="4"/>
      <c r="GP733" s="4"/>
      <c r="GQ733" s="4"/>
      <c r="GR733" s="4"/>
      <c r="GS733" s="4"/>
      <c r="GT733" s="4"/>
      <c r="GU733" s="722"/>
      <c r="GV733" s="715"/>
    </row>
    <row r="734" spans="1:204" x14ac:dyDescent="0.25">
      <c r="A734" t="s">
        <v>2533</v>
      </c>
      <c r="B734" s="2" t="s">
        <v>2532</v>
      </c>
      <c r="C734" s="619">
        <v>44896</v>
      </c>
      <c r="D734" s="2" t="s">
        <v>2531</v>
      </c>
      <c r="E734" t="s">
        <v>59</v>
      </c>
      <c r="F734" s="2" t="s">
        <v>2473</v>
      </c>
      <c r="G734" t="s">
        <v>40</v>
      </c>
      <c r="H734" s="690" t="s">
        <v>85</v>
      </c>
      <c r="I734" s="691" t="s">
        <v>2473</v>
      </c>
      <c r="J734" s="721" t="s">
        <v>2146</v>
      </c>
      <c r="K734" s="691" t="s">
        <v>465</v>
      </c>
      <c r="L734" s="721" t="s">
        <v>2441</v>
      </c>
      <c r="M734" s="718" t="s">
        <v>3</v>
      </c>
      <c r="N734" s="717" t="s">
        <v>44</v>
      </c>
      <c r="O734" s="719">
        <v>45017</v>
      </c>
      <c r="P734" s="720">
        <v>45046</v>
      </c>
      <c r="Q734" s="718">
        <v>66</v>
      </c>
      <c r="R734" s="717">
        <v>2</v>
      </c>
      <c r="S734" s="691" t="s">
        <v>54</v>
      </c>
      <c r="T734" t="s">
        <v>358</v>
      </c>
      <c r="U734" s="673" t="s">
        <v>358</v>
      </c>
      <c r="V734" s="690" t="s">
        <v>358</v>
      </c>
      <c r="W734" s="657" t="s">
        <v>329</v>
      </c>
      <c r="X734" s="723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654"/>
      <c r="AJ734" s="655"/>
      <c r="AK734" s="4"/>
      <c r="AL734" s="4"/>
      <c r="AM734" s="4">
        <v>2</v>
      </c>
      <c r="AN734" s="4"/>
      <c r="AO734" s="4"/>
      <c r="AP734" s="4"/>
      <c r="AQ734" s="4"/>
      <c r="AR734" s="4"/>
      <c r="AS734" s="4"/>
      <c r="AT734" s="4"/>
      <c r="AU734" s="654"/>
      <c r="AV734" s="655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654"/>
      <c r="BH734" s="655"/>
      <c r="BI734" s="4"/>
      <c r="BJ734" s="4"/>
      <c r="BK734" s="4"/>
      <c r="BL734" s="4"/>
      <c r="BM734" s="4"/>
      <c r="BN734" s="4"/>
      <c r="BO734" s="4"/>
      <c r="BP734" s="4"/>
      <c r="BQ734" s="4"/>
      <c r="BR734" s="4"/>
      <c r="BS734" s="654"/>
      <c r="BT734" s="655"/>
      <c r="BU734" s="4"/>
      <c r="BV734" s="4"/>
      <c r="BW734" s="4"/>
      <c r="BX734" s="4"/>
      <c r="BY734" s="4"/>
      <c r="BZ734" s="4"/>
      <c r="CA734" s="4"/>
      <c r="CB734" s="4"/>
      <c r="CC734" s="4"/>
      <c r="CD734" s="4"/>
      <c r="CE734" s="693"/>
      <c r="CF734" s="723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654"/>
      <c r="CR734" s="655"/>
      <c r="CS734" s="4"/>
      <c r="CT734" s="4"/>
      <c r="CU734" s="4">
        <v>66</v>
      </c>
      <c r="CV734" s="4"/>
      <c r="CW734" s="4"/>
      <c r="CX734" s="4"/>
      <c r="CY734" s="4"/>
      <c r="CZ734" s="4"/>
      <c r="DA734" s="4"/>
      <c r="DB734" s="4"/>
      <c r="DC734" s="654"/>
      <c r="DD734" s="655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654"/>
      <c r="DP734" s="655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654"/>
      <c r="EB734" s="655"/>
      <c r="EC734" s="4"/>
      <c r="ED734" s="4"/>
      <c r="EE734" s="4"/>
      <c r="EF734" s="4"/>
      <c r="EG734" s="4"/>
      <c r="EH734" s="4"/>
      <c r="EI734" s="4"/>
      <c r="EJ734" s="4"/>
      <c r="EK734" s="4"/>
      <c r="EL734" s="4"/>
      <c r="EM734" s="693"/>
      <c r="EN734" s="723"/>
      <c r="EO734" s="4"/>
      <c r="EP734" s="4"/>
      <c r="EQ734" s="4"/>
      <c r="ER734" s="4"/>
      <c r="ES734" s="4"/>
      <c r="ET734" s="4"/>
      <c r="EU734" s="4"/>
      <c r="EV734" s="4"/>
      <c r="EW734" s="4"/>
      <c r="EX734" s="4"/>
      <c r="EY734" s="654"/>
      <c r="EZ734" s="655"/>
      <c r="FA734" s="4"/>
      <c r="FB734" s="4"/>
      <c r="FC734" s="4">
        <v>66</v>
      </c>
      <c r="FD734" s="4"/>
      <c r="FE734" s="4"/>
      <c r="FF734" s="4"/>
      <c r="FG734" s="4"/>
      <c r="FH734" s="4"/>
      <c r="FI734" s="4"/>
      <c r="FJ734" s="4"/>
      <c r="FK734" s="654"/>
      <c r="FL734" s="655"/>
      <c r="FM734" s="4"/>
      <c r="FN734" s="4"/>
      <c r="FO734" s="4"/>
      <c r="FP734" s="4"/>
      <c r="FQ734" s="4"/>
      <c r="FR734" s="4"/>
      <c r="FS734" s="4"/>
      <c r="FT734" s="4"/>
      <c r="FU734" s="4"/>
      <c r="FV734" s="4"/>
      <c r="FW734" s="654"/>
      <c r="FX734" s="655"/>
      <c r="FY734" s="4"/>
      <c r="FZ734" s="4"/>
      <c r="GA734" s="4"/>
      <c r="GB734" s="4"/>
      <c r="GC734" s="4"/>
      <c r="GD734" s="4"/>
      <c r="GE734" s="4"/>
      <c r="GF734" s="4"/>
      <c r="GG734" s="4"/>
      <c r="GH734" s="4"/>
      <c r="GI734" s="654"/>
      <c r="GJ734" s="655"/>
      <c r="GK734" s="4"/>
      <c r="GL734" s="4"/>
      <c r="GM734" s="4"/>
      <c r="GN734" s="4"/>
      <c r="GO734" s="4"/>
      <c r="GP734" s="4"/>
      <c r="GQ734" s="4"/>
      <c r="GR734" s="4"/>
      <c r="GS734" s="4"/>
      <c r="GT734" s="4"/>
      <c r="GU734" s="722"/>
      <c r="GV734" s="715"/>
    </row>
    <row r="735" spans="1:204" x14ac:dyDescent="0.25">
      <c r="A735" t="s">
        <v>2534</v>
      </c>
      <c r="B735" s="2" t="s">
        <v>358</v>
      </c>
      <c r="C735" s="619">
        <v>44896</v>
      </c>
      <c r="D735" s="2" t="s">
        <v>2584</v>
      </c>
      <c r="E735" t="s">
        <v>59</v>
      </c>
      <c r="F735" s="2" t="s">
        <v>2473</v>
      </c>
      <c r="G735" t="s">
        <v>40</v>
      </c>
      <c r="H735" s="690" t="s">
        <v>85</v>
      </c>
      <c r="I735" s="691" t="s">
        <v>2473</v>
      </c>
      <c r="J735" s="721" t="s">
        <v>2146</v>
      </c>
      <c r="K735" s="691" t="s">
        <v>346</v>
      </c>
      <c r="L735" s="721" t="e">
        <v>#N/A</v>
      </c>
      <c r="M735" s="718" t="s">
        <v>3</v>
      </c>
      <c r="N735" s="717" t="s">
        <v>44</v>
      </c>
      <c r="O735" s="719">
        <v>45047</v>
      </c>
      <c r="P735" s="720">
        <v>45077</v>
      </c>
      <c r="Q735" s="718">
        <v>66</v>
      </c>
      <c r="R735" s="717">
        <v>1</v>
      </c>
      <c r="S735" s="691" t="s">
        <v>54</v>
      </c>
      <c r="T735" t="s">
        <v>358</v>
      </c>
      <c r="U735" s="673" t="s">
        <v>358</v>
      </c>
      <c r="V735" s="690" t="s">
        <v>358</v>
      </c>
      <c r="W735" s="657" t="s">
        <v>214</v>
      </c>
      <c r="X735" s="723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654"/>
      <c r="AJ735" s="655"/>
      <c r="AK735" s="4"/>
      <c r="AL735" s="4"/>
      <c r="AM735" s="4"/>
      <c r="AN735" s="4">
        <v>1</v>
      </c>
      <c r="AO735" s="4"/>
      <c r="AP735" s="4"/>
      <c r="AQ735" s="4"/>
      <c r="AR735" s="4"/>
      <c r="AS735" s="4"/>
      <c r="AT735" s="4"/>
      <c r="AU735" s="654"/>
      <c r="AV735" s="655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654"/>
      <c r="BH735" s="655"/>
      <c r="BI735" s="4"/>
      <c r="BJ735" s="4"/>
      <c r="BK735" s="4"/>
      <c r="BL735" s="4"/>
      <c r="BM735" s="4"/>
      <c r="BN735" s="4"/>
      <c r="BO735" s="4"/>
      <c r="BP735" s="4"/>
      <c r="BQ735" s="4"/>
      <c r="BR735" s="4"/>
      <c r="BS735" s="654"/>
      <c r="BT735" s="655"/>
      <c r="BU735" s="4"/>
      <c r="BV735" s="4"/>
      <c r="BW735" s="4"/>
      <c r="BX735" s="4"/>
      <c r="BY735" s="4"/>
      <c r="BZ735" s="4"/>
      <c r="CA735" s="4"/>
      <c r="CB735" s="4"/>
      <c r="CC735" s="4"/>
      <c r="CD735" s="4"/>
      <c r="CE735" s="693"/>
      <c r="CF735" s="723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654"/>
      <c r="CR735" s="655"/>
      <c r="CS735" s="4"/>
      <c r="CT735" s="4"/>
      <c r="CU735" s="4"/>
      <c r="CV735" s="4">
        <v>66</v>
      </c>
      <c r="CW735" s="4"/>
      <c r="CX735" s="4"/>
      <c r="CY735" s="4"/>
      <c r="CZ735" s="4"/>
      <c r="DA735" s="4"/>
      <c r="DB735" s="4"/>
      <c r="DC735" s="654"/>
      <c r="DD735" s="655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654"/>
      <c r="DP735" s="655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654"/>
      <c r="EB735" s="655"/>
      <c r="EC735" s="4"/>
      <c r="ED735" s="4"/>
      <c r="EE735" s="4"/>
      <c r="EF735" s="4"/>
      <c r="EG735" s="4"/>
      <c r="EH735" s="4"/>
      <c r="EI735" s="4"/>
      <c r="EJ735" s="4"/>
      <c r="EK735" s="4"/>
      <c r="EL735" s="4"/>
      <c r="EM735" s="693"/>
      <c r="EN735" s="723"/>
      <c r="EO735" s="4"/>
      <c r="EP735" s="4"/>
      <c r="EQ735" s="4"/>
      <c r="ER735" s="4"/>
      <c r="ES735" s="4"/>
      <c r="ET735" s="4"/>
      <c r="EU735" s="4"/>
      <c r="EV735" s="4"/>
      <c r="EW735" s="4"/>
      <c r="EX735" s="4"/>
      <c r="EY735" s="654"/>
      <c r="EZ735" s="655"/>
      <c r="FA735" s="4"/>
      <c r="FB735" s="4"/>
      <c r="FC735" s="4"/>
      <c r="FD735" s="4">
        <v>66</v>
      </c>
      <c r="FE735" s="4"/>
      <c r="FF735" s="4"/>
      <c r="FG735" s="4"/>
      <c r="FH735" s="4"/>
      <c r="FI735" s="4"/>
      <c r="FJ735" s="4"/>
      <c r="FK735" s="654"/>
      <c r="FL735" s="655"/>
      <c r="FM735" s="4"/>
      <c r="FN735" s="4"/>
      <c r="FO735" s="4"/>
      <c r="FP735" s="4"/>
      <c r="FQ735" s="4"/>
      <c r="FR735" s="4"/>
      <c r="FS735" s="4"/>
      <c r="FT735" s="4"/>
      <c r="FU735" s="4"/>
      <c r="FV735" s="4"/>
      <c r="FW735" s="654"/>
      <c r="FX735" s="655"/>
      <c r="FY735" s="4"/>
      <c r="FZ735" s="4"/>
      <c r="GA735" s="4"/>
      <c r="GB735" s="4"/>
      <c r="GC735" s="4"/>
      <c r="GD735" s="4"/>
      <c r="GE735" s="4"/>
      <c r="GF735" s="4"/>
      <c r="GG735" s="4"/>
      <c r="GH735" s="4"/>
      <c r="GI735" s="654"/>
      <c r="GJ735" s="655"/>
      <c r="GK735" s="4"/>
      <c r="GL735" s="4"/>
      <c r="GM735" s="4"/>
      <c r="GN735" s="4"/>
      <c r="GO735" s="4"/>
      <c r="GP735" s="4"/>
      <c r="GQ735" s="4"/>
      <c r="GR735" s="4"/>
      <c r="GS735" s="4"/>
      <c r="GT735" s="4"/>
      <c r="GU735" s="722"/>
      <c r="GV735" s="715"/>
    </row>
    <row r="736" spans="1:204" x14ac:dyDescent="0.25">
      <c r="A736" t="s">
        <v>2535</v>
      </c>
      <c r="B736" s="2" t="s">
        <v>358</v>
      </c>
      <c r="C736" s="619">
        <v>44896</v>
      </c>
      <c r="D736" s="2" t="s">
        <v>2585</v>
      </c>
      <c r="E736" t="s">
        <v>59</v>
      </c>
      <c r="F736" s="2" t="s">
        <v>2473</v>
      </c>
      <c r="G736" t="s">
        <v>40</v>
      </c>
      <c r="H736" s="690" t="s">
        <v>85</v>
      </c>
      <c r="I736" s="691" t="s">
        <v>2473</v>
      </c>
      <c r="J736" s="721" t="s">
        <v>2146</v>
      </c>
      <c r="K736" s="691" t="s">
        <v>346</v>
      </c>
      <c r="L736" s="721" t="e">
        <v>#N/A</v>
      </c>
      <c r="M736" s="718" t="s">
        <v>3</v>
      </c>
      <c r="N736" s="717" t="s">
        <v>44</v>
      </c>
      <c r="O736" s="719">
        <v>45108</v>
      </c>
      <c r="P736" s="720">
        <v>45138</v>
      </c>
      <c r="Q736" s="718">
        <v>103</v>
      </c>
      <c r="R736" s="717">
        <v>5</v>
      </c>
      <c r="S736" s="691" t="s">
        <v>54</v>
      </c>
      <c r="T736" t="s">
        <v>358</v>
      </c>
      <c r="U736" s="673" t="s">
        <v>358</v>
      </c>
      <c r="V736" s="690" t="s">
        <v>358</v>
      </c>
      <c r="W736" s="657" t="s">
        <v>214</v>
      </c>
      <c r="X736" s="723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654"/>
      <c r="AJ736" s="655"/>
      <c r="AK736" s="4"/>
      <c r="AL736" s="4"/>
      <c r="AM736" s="4"/>
      <c r="AN736" s="4"/>
      <c r="AO736" s="4"/>
      <c r="AP736" s="4">
        <v>5</v>
      </c>
      <c r="AQ736" s="4"/>
      <c r="AR736" s="4"/>
      <c r="AS736" s="4"/>
      <c r="AT736" s="4"/>
      <c r="AU736" s="654"/>
      <c r="AV736" s="655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654"/>
      <c r="BH736" s="655"/>
      <c r="BI736" s="4"/>
      <c r="BJ736" s="4"/>
      <c r="BK736" s="4"/>
      <c r="BL736" s="4"/>
      <c r="BM736" s="4"/>
      <c r="BN736" s="4"/>
      <c r="BO736" s="4"/>
      <c r="BP736" s="4"/>
      <c r="BQ736" s="4"/>
      <c r="BR736" s="4"/>
      <c r="BS736" s="654"/>
      <c r="BT736" s="655"/>
      <c r="BU736" s="4"/>
      <c r="BV736" s="4"/>
      <c r="BW736" s="4"/>
      <c r="BX736" s="4"/>
      <c r="BY736" s="4"/>
      <c r="BZ736" s="4"/>
      <c r="CA736" s="4"/>
      <c r="CB736" s="4"/>
      <c r="CC736" s="4"/>
      <c r="CD736" s="4"/>
      <c r="CE736" s="693"/>
      <c r="CF736" s="723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654"/>
      <c r="CR736" s="655"/>
      <c r="CS736" s="4"/>
      <c r="CT736" s="4"/>
      <c r="CU736" s="4"/>
      <c r="CV736" s="4"/>
      <c r="CW736" s="4"/>
      <c r="CX736" s="4">
        <v>103</v>
      </c>
      <c r="CY736" s="4"/>
      <c r="CZ736" s="4"/>
      <c r="DA736" s="4"/>
      <c r="DB736" s="4"/>
      <c r="DC736" s="654"/>
      <c r="DD736" s="655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654"/>
      <c r="DP736" s="655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654"/>
      <c r="EB736" s="655"/>
      <c r="EC736" s="4"/>
      <c r="ED736" s="4"/>
      <c r="EE736" s="4"/>
      <c r="EF736" s="4"/>
      <c r="EG736" s="4"/>
      <c r="EH736" s="4"/>
      <c r="EI736" s="4"/>
      <c r="EJ736" s="4"/>
      <c r="EK736" s="4"/>
      <c r="EL736" s="4"/>
      <c r="EM736" s="693"/>
      <c r="EN736" s="723"/>
      <c r="EO736" s="4"/>
      <c r="EP736" s="4"/>
      <c r="EQ736" s="4"/>
      <c r="ER736" s="4"/>
      <c r="ES736" s="4"/>
      <c r="ET736" s="4"/>
      <c r="EU736" s="4"/>
      <c r="EV736" s="4"/>
      <c r="EW736" s="4"/>
      <c r="EX736" s="4"/>
      <c r="EY736" s="654"/>
      <c r="EZ736" s="655"/>
      <c r="FA736" s="4"/>
      <c r="FB736" s="4"/>
      <c r="FC736" s="4"/>
      <c r="FD736" s="4"/>
      <c r="FE736" s="4"/>
      <c r="FF736" s="4">
        <v>103</v>
      </c>
      <c r="FG736" s="4"/>
      <c r="FH736" s="4"/>
      <c r="FI736" s="4"/>
      <c r="FJ736" s="4"/>
      <c r="FK736" s="654"/>
      <c r="FL736" s="655"/>
      <c r="FM736" s="4"/>
      <c r="FN736" s="4"/>
      <c r="FO736" s="4"/>
      <c r="FP736" s="4"/>
      <c r="FQ736" s="4"/>
      <c r="FR736" s="4"/>
      <c r="FS736" s="4"/>
      <c r="FT736" s="4"/>
      <c r="FU736" s="4"/>
      <c r="FV736" s="4"/>
      <c r="FW736" s="654"/>
      <c r="FX736" s="655"/>
      <c r="FY736" s="4"/>
      <c r="FZ736" s="4"/>
      <c r="GA736" s="4"/>
      <c r="GB736" s="4"/>
      <c r="GC736" s="4"/>
      <c r="GD736" s="4"/>
      <c r="GE736" s="4"/>
      <c r="GF736" s="4"/>
      <c r="GG736" s="4"/>
      <c r="GH736" s="4"/>
      <c r="GI736" s="654"/>
      <c r="GJ736" s="655"/>
      <c r="GK736" s="4"/>
      <c r="GL736" s="4"/>
      <c r="GM736" s="4"/>
      <c r="GN736" s="4"/>
      <c r="GO736" s="4"/>
      <c r="GP736" s="4"/>
      <c r="GQ736" s="4"/>
      <c r="GR736" s="4"/>
      <c r="GS736" s="4"/>
      <c r="GT736" s="4"/>
      <c r="GU736" s="722"/>
      <c r="GV736" s="715"/>
    </row>
    <row r="737" spans="1:204" x14ac:dyDescent="0.25">
      <c r="A737" t="s">
        <v>2552</v>
      </c>
      <c r="B737" s="2" t="s">
        <v>358</v>
      </c>
      <c r="C737" s="619">
        <v>44901</v>
      </c>
      <c r="D737" s="2" t="s">
        <v>2536</v>
      </c>
      <c r="E737" t="s">
        <v>58</v>
      </c>
      <c r="F737" s="2" t="s">
        <v>2473</v>
      </c>
      <c r="G737" t="s">
        <v>40</v>
      </c>
      <c r="H737" s="690" t="s">
        <v>84</v>
      </c>
      <c r="I737" s="691" t="s">
        <v>2267</v>
      </c>
      <c r="J737" s="721" t="s">
        <v>2268</v>
      </c>
      <c r="K737" s="691" t="s">
        <v>2473</v>
      </c>
      <c r="L737" s="721" t="s">
        <v>2146</v>
      </c>
      <c r="M737" s="718" t="s">
        <v>3</v>
      </c>
      <c r="N737" s="717" t="s">
        <v>44</v>
      </c>
      <c r="O737" s="719">
        <v>44866</v>
      </c>
      <c r="P737" s="720">
        <v>44895</v>
      </c>
      <c r="Q737" s="718">
        <v>-1.1000000000000001</v>
      </c>
      <c r="R737" s="717">
        <v>2</v>
      </c>
      <c r="S737" s="691" t="s">
        <v>92</v>
      </c>
      <c r="T737" t="s">
        <v>358</v>
      </c>
      <c r="U737" s="673" t="s">
        <v>358</v>
      </c>
      <c r="V737" s="690" t="s">
        <v>358</v>
      </c>
      <c r="W737" s="657" t="s">
        <v>214</v>
      </c>
      <c r="X737" s="723"/>
      <c r="Y737" s="4"/>
      <c r="Z737" s="4"/>
      <c r="AA737" s="4"/>
      <c r="AB737" s="4"/>
      <c r="AC737" s="4"/>
      <c r="AD737" s="4"/>
      <c r="AE737" s="4"/>
      <c r="AF737" s="4"/>
      <c r="AG737" s="4"/>
      <c r="AH737" s="4">
        <v>2</v>
      </c>
      <c r="AI737" s="654"/>
      <c r="AJ737" s="655"/>
      <c r="AK737" s="4"/>
      <c r="AL737" s="4"/>
      <c r="AM737" s="4"/>
      <c r="AN737" s="4"/>
      <c r="AO737" s="4"/>
      <c r="AP737" s="4"/>
      <c r="AQ737" s="4"/>
      <c r="AR737" s="4"/>
      <c r="AS737" s="4"/>
      <c r="AT737" s="4"/>
      <c r="AU737" s="654"/>
      <c r="AV737" s="655"/>
      <c r="AW737" s="4"/>
      <c r="AX737" s="4"/>
      <c r="AY737" s="4"/>
      <c r="AZ737" s="4"/>
      <c r="BA737" s="4"/>
      <c r="BB737" s="4"/>
      <c r="BC737" s="4"/>
      <c r="BD737" s="4"/>
      <c r="BE737" s="4"/>
      <c r="BF737" s="4"/>
      <c r="BG737" s="654"/>
      <c r="BH737" s="655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654"/>
      <c r="BT737" s="655"/>
      <c r="BU737" s="4"/>
      <c r="BV737" s="4"/>
      <c r="BW737" s="4"/>
      <c r="BX737" s="4"/>
      <c r="BY737" s="4"/>
      <c r="BZ737" s="4"/>
      <c r="CA737" s="4"/>
      <c r="CB737" s="4"/>
      <c r="CC737" s="4"/>
      <c r="CD737" s="4"/>
      <c r="CE737" s="693"/>
      <c r="CF737" s="723"/>
      <c r="CG737" s="4"/>
      <c r="CH737" s="4"/>
      <c r="CI737" s="4"/>
      <c r="CJ737" s="4"/>
      <c r="CK737" s="4"/>
      <c r="CL737" s="4"/>
      <c r="CM737" s="4"/>
      <c r="CN737" s="4"/>
      <c r="CO737" s="4"/>
      <c r="CP737" s="4">
        <v>-1.1000000000000001</v>
      </c>
      <c r="CQ737" s="654"/>
      <c r="CR737" s="655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654"/>
      <c r="DD737" s="655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654"/>
      <c r="DP737" s="655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654"/>
      <c r="EB737" s="655"/>
      <c r="EC737" s="4"/>
      <c r="ED737" s="4"/>
      <c r="EE737" s="4"/>
      <c r="EF737" s="4"/>
      <c r="EG737" s="4"/>
      <c r="EH737" s="4"/>
      <c r="EI737" s="4"/>
      <c r="EJ737" s="4"/>
      <c r="EK737" s="4"/>
      <c r="EL737" s="4"/>
      <c r="EM737" s="693"/>
      <c r="EN737" s="723"/>
      <c r="EO737" s="4"/>
      <c r="EP737" s="4"/>
      <c r="EQ737" s="4"/>
      <c r="ER737" s="4"/>
      <c r="ES737" s="4"/>
      <c r="ET737" s="4"/>
      <c r="EU737" s="4"/>
      <c r="EV737" s="4"/>
      <c r="EW737" s="4"/>
      <c r="EX737" s="4">
        <v>54.6</v>
      </c>
      <c r="EY737" s="654"/>
      <c r="EZ737" s="655"/>
      <c r="FA737" s="4"/>
      <c r="FB737" s="4"/>
      <c r="FC737" s="4"/>
      <c r="FD737" s="4"/>
      <c r="FE737" s="4"/>
      <c r="FF737" s="4"/>
      <c r="FG737" s="4"/>
      <c r="FH737" s="4"/>
      <c r="FI737" s="4"/>
      <c r="FJ737" s="4"/>
      <c r="FK737" s="654"/>
      <c r="FL737" s="655"/>
      <c r="FM737" s="4"/>
      <c r="FN737" s="4"/>
      <c r="FO737" s="4"/>
      <c r="FP737" s="4"/>
      <c r="FQ737" s="4"/>
      <c r="FR737" s="4"/>
      <c r="FS737" s="4"/>
      <c r="FT737" s="4"/>
      <c r="FU737" s="4"/>
      <c r="FV737" s="4"/>
      <c r="FW737" s="654"/>
      <c r="FX737" s="655"/>
      <c r="FY737" s="4"/>
      <c r="FZ737" s="4"/>
      <c r="GA737" s="4"/>
      <c r="GB737" s="4"/>
      <c r="GC737" s="4"/>
      <c r="GD737" s="4"/>
      <c r="GE737" s="4"/>
      <c r="GF737" s="4"/>
      <c r="GG737" s="4"/>
      <c r="GH737" s="4"/>
      <c r="GI737" s="654"/>
      <c r="GJ737" s="655"/>
      <c r="GK737" s="4"/>
      <c r="GL737" s="4"/>
      <c r="GM737" s="4"/>
      <c r="GN737" s="4"/>
      <c r="GO737" s="4"/>
      <c r="GP737" s="4"/>
      <c r="GQ737" s="4"/>
      <c r="GR737" s="4"/>
      <c r="GS737" s="4"/>
      <c r="GT737" s="4"/>
      <c r="GU737" s="722"/>
      <c r="GV737" s="715"/>
    </row>
    <row r="738" spans="1:204" x14ac:dyDescent="0.25">
      <c r="A738" t="s">
        <v>2553</v>
      </c>
      <c r="B738" s="2" t="s">
        <v>358</v>
      </c>
      <c r="C738" s="619">
        <v>44901</v>
      </c>
      <c r="D738" s="2" t="s">
        <v>2537</v>
      </c>
      <c r="E738" t="s">
        <v>58</v>
      </c>
      <c r="F738" s="2" t="s">
        <v>2473</v>
      </c>
      <c r="G738" t="s">
        <v>40</v>
      </c>
      <c r="H738" s="690" t="s">
        <v>84</v>
      </c>
      <c r="I738" s="691" t="s">
        <v>2498</v>
      </c>
      <c r="J738" s="721" t="s">
        <v>2499</v>
      </c>
      <c r="K738" s="691" t="s">
        <v>2473</v>
      </c>
      <c r="L738" s="721" t="s">
        <v>2146</v>
      </c>
      <c r="M738" s="718" t="s">
        <v>3</v>
      </c>
      <c r="N738" s="717" t="s">
        <v>44</v>
      </c>
      <c r="O738" s="719">
        <v>44866</v>
      </c>
      <c r="P738" s="720">
        <v>44895</v>
      </c>
      <c r="Q738" s="718">
        <v>-1</v>
      </c>
      <c r="R738" s="717">
        <v>3</v>
      </c>
      <c r="S738" s="691" t="s">
        <v>92</v>
      </c>
      <c r="T738" t="s">
        <v>358</v>
      </c>
      <c r="U738" s="673" t="s">
        <v>358</v>
      </c>
      <c r="V738" s="690" t="s">
        <v>358</v>
      </c>
      <c r="W738" s="657" t="s">
        <v>214</v>
      </c>
      <c r="X738" s="723"/>
      <c r="Y738" s="4"/>
      <c r="Z738" s="4"/>
      <c r="AA738" s="4"/>
      <c r="AB738" s="4"/>
      <c r="AC738" s="4"/>
      <c r="AD738" s="4"/>
      <c r="AE738" s="4"/>
      <c r="AF738" s="4"/>
      <c r="AG738" s="4"/>
      <c r="AH738" s="4">
        <v>3</v>
      </c>
      <c r="AI738" s="654"/>
      <c r="AJ738" s="655"/>
      <c r="AK738" s="4"/>
      <c r="AL738" s="4"/>
      <c r="AM738" s="4"/>
      <c r="AN738" s="4"/>
      <c r="AO738" s="4"/>
      <c r="AP738" s="4"/>
      <c r="AQ738" s="4"/>
      <c r="AR738" s="4"/>
      <c r="AS738" s="4"/>
      <c r="AT738" s="4"/>
      <c r="AU738" s="654"/>
      <c r="AV738" s="655"/>
      <c r="AW738" s="4"/>
      <c r="AX738" s="4"/>
      <c r="AY738" s="4"/>
      <c r="AZ738" s="4"/>
      <c r="BA738" s="4"/>
      <c r="BB738" s="4"/>
      <c r="BC738" s="4"/>
      <c r="BD738" s="4"/>
      <c r="BE738" s="4"/>
      <c r="BF738" s="4"/>
      <c r="BG738" s="654"/>
      <c r="BH738" s="655"/>
      <c r="BI738" s="4"/>
      <c r="BJ738" s="4"/>
      <c r="BK738" s="4"/>
      <c r="BL738" s="4"/>
      <c r="BM738" s="4"/>
      <c r="BN738" s="4"/>
      <c r="BO738" s="4"/>
      <c r="BP738" s="4"/>
      <c r="BQ738" s="4"/>
      <c r="BR738" s="4"/>
      <c r="BS738" s="654"/>
      <c r="BT738" s="655"/>
      <c r="BU738" s="4"/>
      <c r="BV738" s="4"/>
      <c r="BW738" s="4"/>
      <c r="BX738" s="4"/>
      <c r="BY738" s="4"/>
      <c r="BZ738" s="4"/>
      <c r="CA738" s="4"/>
      <c r="CB738" s="4"/>
      <c r="CC738" s="4"/>
      <c r="CD738" s="4"/>
      <c r="CE738" s="693"/>
      <c r="CF738" s="723"/>
      <c r="CG738" s="4"/>
      <c r="CH738" s="4"/>
      <c r="CI738" s="4"/>
      <c r="CJ738" s="4"/>
      <c r="CK738" s="4"/>
      <c r="CL738" s="4"/>
      <c r="CM738" s="4"/>
      <c r="CN738" s="4"/>
      <c r="CO738" s="4"/>
      <c r="CP738" s="4">
        <v>-1</v>
      </c>
      <c r="CQ738" s="654"/>
      <c r="CR738" s="655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654"/>
      <c r="DD738" s="655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654"/>
      <c r="DP738" s="655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654"/>
      <c r="EB738" s="655"/>
      <c r="EC738" s="4"/>
      <c r="ED738" s="4"/>
      <c r="EE738" s="4"/>
      <c r="EF738" s="4"/>
      <c r="EG738" s="4"/>
      <c r="EH738" s="4"/>
      <c r="EI738" s="4"/>
      <c r="EJ738" s="4"/>
      <c r="EK738" s="4"/>
      <c r="EL738" s="4"/>
      <c r="EM738" s="693"/>
      <c r="EN738" s="723"/>
      <c r="EO738" s="4"/>
      <c r="EP738" s="4"/>
      <c r="EQ738" s="4"/>
      <c r="ER738" s="4"/>
      <c r="ES738" s="4"/>
      <c r="ET738" s="4"/>
      <c r="EU738" s="4"/>
      <c r="EV738" s="4"/>
      <c r="EW738" s="4"/>
      <c r="EX738" s="4">
        <v>54.7</v>
      </c>
      <c r="EY738" s="654"/>
      <c r="EZ738" s="655"/>
      <c r="FA738" s="4"/>
      <c r="FB738" s="4"/>
      <c r="FC738" s="4"/>
      <c r="FD738" s="4"/>
      <c r="FE738" s="4"/>
      <c r="FF738" s="4"/>
      <c r="FG738" s="4"/>
      <c r="FH738" s="4"/>
      <c r="FI738" s="4"/>
      <c r="FJ738" s="4"/>
      <c r="FK738" s="654"/>
      <c r="FL738" s="655"/>
      <c r="FM738" s="4"/>
      <c r="FN738" s="4"/>
      <c r="FO738" s="4"/>
      <c r="FP738" s="4"/>
      <c r="FQ738" s="4"/>
      <c r="FR738" s="4"/>
      <c r="FS738" s="4"/>
      <c r="FT738" s="4"/>
      <c r="FU738" s="4"/>
      <c r="FV738" s="4"/>
      <c r="FW738" s="654"/>
      <c r="FX738" s="655"/>
      <c r="FY738" s="4"/>
      <c r="FZ738" s="4"/>
      <c r="GA738" s="4"/>
      <c r="GB738" s="4"/>
      <c r="GC738" s="4"/>
      <c r="GD738" s="4"/>
      <c r="GE738" s="4"/>
      <c r="GF738" s="4"/>
      <c r="GG738" s="4"/>
      <c r="GH738" s="4"/>
      <c r="GI738" s="654"/>
      <c r="GJ738" s="655"/>
      <c r="GK738" s="4"/>
      <c r="GL738" s="4"/>
      <c r="GM738" s="4"/>
      <c r="GN738" s="4"/>
      <c r="GO738" s="4"/>
      <c r="GP738" s="4"/>
      <c r="GQ738" s="4"/>
      <c r="GR738" s="4"/>
      <c r="GS738" s="4"/>
      <c r="GT738" s="4"/>
      <c r="GU738" s="722"/>
      <c r="GV738" s="715"/>
    </row>
    <row r="739" spans="1:204" x14ac:dyDescent="0.25">
      <c r="A739" t="s">
        <v>2555</v>
      </c>
      <c r="B739" s="2" t="s">
        <v>2554</v>
      </c>
      <c r="C739" s="619">
        <v>44901</v>
      </c>
      <c r="D739" s="2" t="s">
        <v>2538</v>
      </c>
      <c r="E739" t="s">
        <v>59</v>
      </c>
      <c r="F739" s="2" t="s">
        <v>2473</v>
      </c>
      <c r="G739" t="s">
        <v>40</v>
      </c>
      <c r="H739" s="690" t="s">
        <v>85</v>
      </c>
      <c r="I739" s="691" t="s">
        <v>2473</v>
      </c>
      <c r="J739" s="721" t="s">
        <v>2146</v>
      </c>
      <c r="K739" s="691" t="s">
        <v>472</v>
      </c>
      <c r="L739" s="721" t="s">
        <v>2487</v>
      </c>
      <c r="M739" s="718" t="s">
        <v>6</v>
      </c>
      <c r="N739" s="717" t="s">
        <v>44</v>
      </c>
      <c r="O739" s="719">
        <v>44866</v>
      </c>
      <c r="P739" s="720">
        <v>44895</v>
      </c>
      <c r="Q739" s="718">
        <v>149</v>
      </c>
      <c r="R739" s="717">
        <v>0.3</v>
      </c>
      <c r="S739" s="691" t="s">
        <v>92</v>
      </c>
      <c r="T739" t="s">
        <v>358</v>
      </c>
      <c r="U739" s="673" t="s">
        <v>358</v>
      </c>
      <c r="V739" s="690" t="s">
        <v>358</v>
      </c>
      <c r="W739" s="657" t="s">
        <v>329</v>
      </c>
      <c r="X739" s="723"/>
      <c r="Y739" s="4"/>
      <c r="Z739" s="4"/>
      <c r="AA739" s="4"/>
      <c r="AB739" s="4"/>
      <c r="AC739" s="4"/>
      <c r="AD739" s="4"/>
      <c r="AE739" s="4"/>
      <c r="AF739" s="4"/>
      <c r="AG739" s="4"/>
      <c r="AH739" s="4">
        <v>0.3</v>
      </c>
      <c r="AI739" s="654"/>
      <c r="AJ739" s="655"/>
      <c r="AK739" s="4"/>
      <c r="AL739" s="4"/>
      <c r="AM739" s="4"/>
      <c r="AN739" s="4"/>
      <c r="AO739" s="4"/>
      <c r="AP739" s="4"/>
      <c r="AQ739" s="4"/>
      <c r="AR739" s="4"/>
      <c r="AS739" s="4"/>
      <c r="AT739" s="4"/>
      <c r="AU739" s="654"/>
      <c r="AV739" s="655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654"/>
      <c r="BH739" s="655"/>
      <c r="BI739" s="4"/>
      <c r="BJ739" s="4"/>
      <c r="BK739" s="4"/>
      <c r="BL739" s="4"/>
      <c r="BM739" s="4"/>
      <c r="BN739" s="4"/>
      <c r="BO739" s="4"/>
      <c r="BP739" s="4"/>
      <c r="BQ739" s="4"/>
      <c r="BR739" s="4"/>
      <c r="BS739" s="654"/>
      <c r="BT739" s="655"/>
      <c r="BU739" s="4"/>
      <c r="BV739" s="4"/>
      <c r="BW739" s="4"/>
      <c r="BX739" s="4"/>
      <c r="BY739" s="4"/>
      <c r="BZ739" s="4"/>
      <c r="CA739" s="4"/>
      <c r="CB739" s="4"/>
      <c r="CC739" s="4"/>
      <c r="CD739" s="4"/>
      <c r="CE739" s="693"/>
      <c r="CF739" s="723"/>
      <c r="CG739" s="4"/>
      <c r="CH739" s="4"/>
      <c r="CI739" s="4"/>
      <c r="CJ739" s="4"/>
      <c r="CK739" s="4"/>
      <c r="CL739" s="4"/>
      <c r="CM739" s="4"/>
      <c r="CN739" s="4"/>
      <c r="CO739" s="4"/>
      <c r="CP739" s="4">
        <v>149</v>
      </c>
      <c r="CQ739" s="654"/>
      <c r="CR739" s="655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654"/>
      <c r="DD739" s="655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654"/>
      <c r="DP739" s="655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654"/>
      <c r="EB739" s="655"/>
      <c r="EC739" s="4"/>
      <c r="ED739" s="4"/>
      <c r="EE739" s="4"/>
      <c r="EF739" s="4"/>
      <c r="EG739" s="4"/>
      <c r="EH739" s="4"/>
      <c r="EI739" s="4"/>
      <c r="EJ739" s="4"/>
      <c r="EK739" s="4"/>
      <c r="EL739" s="4"/>
      <c r="EM739" s="693"/>
      <c r="EN739" s="723"/>
      <c r="EO739" s="4"/>
      <c r="EP739" s="4"/>
      <c r="EQ739" s="4"/>
      <c r="ER739" s="4"/>
      <c r="ES739" s="4"/>
      <c r="ET739" s="4"/>
      <c r="EU739" s="4"/>
      <c r="EV739" s="4"/>
      <c r="EW739" s="4"/>
      <c r="EX739" s="4">
        <v>204.7</v>
      </c>
      <c r="EY739" s="654"/>
      <c r="EZ739" s="655"/>
      <c r="FA739" s="4"/>
      <c r="FB739" s="4"/>
      <c r="FC739" s="4"/>
      <c r="FD739" s="4"/>
      <c r="FE739" s="4"/>
      <c r="FF739" s="4"/>
      <c r="FG739" s="4"/>
      <c r="FH739" s="4"/>
      <c r="FI739" s="4"/>
      <c r="FJ739" s="4"/>
      <c r="FK739" s="654"/>
      <c r="FL739" s="655"/>
      <c r="FM739" s="4"/>
      <c r="FN739" s="4"/>
      <c r="FO739" s="4"/>
      <c r="FP739" s="4"/>
      <c r="FQ739" s="4"/>
      <c r="FR739" s="4"/>
      <c r="FS739" s="4"/>
      <c r="FT739" s="4"/>
      <c r="FU739" s="4"/>
      <c r="FV739" s="4"/>
      <c r="FW739" s="654"/>
      <c r="FX739" s="655"/>
      <c r="FY739" s="4"/>
      <c r="FZ739" s="4"/>
      <c r="GA739" s="4"/>
      <c r="GB739" s="4"/>
      <c r="GC739" s="4"/>
      <c r="GD739" s="4"/>
      <c r="GE739" s="4"/>
      <c r="GF739" s="4"/>
      <c r="GG739" s="4"/>
      <c r="GH739" s="4"/>
      <c r="GI739" s="654"/>
      <c r="GJ739" s="655"/>
      <c r="GK739" s="4"/>
      <c r="GL739" s="4"/>
      <c r="GM739" s="4"/>
      <c r="GN739" s="4"/>
      <c r="GO739" s="4"/>
      <c r="GP739" s="4"/>
      <c r="GQ739" s="4"/>
      <c r="GR739" s="4"/>
      <c r="GS739" s="4"/>
      <c r="GT739" s="4"/>
      <c r="GU739" s="722"/>
      <c r="GV739" s="715"/>
    </row>
    <row r="740" spans="1:204" x14ac:dyDescent="0.25">
      <c r="A740" t="s">
        <v>2556</v>
      </c>
      <c r="B740" s="2" t="s">
        <v>358</v>
      </c>
      <c r="C740" s="619">
        <v>44901</v>
      </c>
      <c r="D740" s="2" t="s">
        <v>2539</v>
      </c>
      <c r="E740" t="s">
        <v>58</v>
      </c>
      <c r="F740" s="2" t="s">
        <v>2473</v>
      </c>
      <c r="G740" t="s">
        <v>40</v>
      </c>
      <c r="H740" s="690" t="s">
        <v>84</v>
      </c>
      <c r="I740" s="691" t="s">
        <v>471</v>
      </c>
      <c r="J740" s="721" t="s">
        <v>2244</v>
      </c>
      <c r="K740" s="691" t="s">
        <v>2473</v>
      </c>
      <c r="L740" s="721" t="s">
        <v>2146</v>
      </c>
      <c r="M740" s="718" t="s">
        <v>3</v>
      </c>
      <c r="N740" s="717" t="s">
        <v>44</v>
      </c>
      <c r="O740" s="719">
        <v>45292</v>
      </c>
      <c r="P740" s="720">
        <v>45657</v>
      </c>
      <c r="Q740" s="718">
        <v>120</v>
      </c>
      <c r="R740" s="717">
        <v>3</v>
      </c>
      <c r="S740" s="691" t="s">
        <v>54</v>
      </c>
      <c r="T740" t="s">
        <v>649</v>
      </c>
      <c r="U740" s="673">
        <v>44901</v>
      </c>
      <c r="V740" s="690">
        <v>1</v>
      </c>
      <c r="W740" s="657" t="s">
        <v>214</v>
      </c>
      <c r="X740" s="723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654"/>
      <c r="AJ740" s="655"/>
      <c r="AK740" s="4"/>
      <c r="AL740" s="4"/>
      <c r="AM740" s="4"/>
      <c r="AN740" s="4"/>
      <c r="AO740" s="4"/>
      <c r="AP740" s="4"/>
      <c r="AQ740" s="4"/>
      <c r="AR740" s="4"/>
      <c r="AS740" s="4"/>
      <c r="AT740" s="4"/>
      <c r="AU740" s="654"/>
      <c r="AV740" s="655">
        <v>3</v>
      </c>
      <c r="AW740" s="4">
        <v>3</v>
      </c>
      <c r="AX740" s="4">
        <v>3</v>
      </c>
      <c r="AY740" s="4">
        <v>3</v>
      </c>
      <c r="AZ740" s="4">
        <v>3</v>
      </c>
      <c r="BA740" s="4">
        <v>3</v>
      </c>
      <c r="BB740" s="4">
        <v>3</v>
      </c>
      <c r="BC740" s="4">
        <v>3</v>
      </c>
      <c r="BD740" s="4">
        <v>3</v>
      </c>
      <c r="BE740" s="4">
        <v>3</v>
      </c>
      <c r="BF740" s="4">
        <v>3</v>
      </c>
      <c r="BG740" s="654">
        <v>3</v>
      </c>
      <c r="BH740" s="655"/>
      <c r="BI740" s="4"/>
      <c r="BJ740" s="4"/>
      <c r="BK740" s="4"/>
      <c r="BL740" s="4"/>
      <c r="BM740" s="4"/>
      <c r="BN740" s="4"/>
      <c r="BO740" s="4"/>
      <c r="BP740" s="4"/>
      <c r="BQ740" s="4"/>
      <c r="BR740" s="4"/>
      <c r="BS740" s="654"/>
      <c r="BT740" s="655"/>
      <c r="BU740" s="4"/>
      <c r="BV740" s="4"/>
      <c r="BW740" s="4"/>
      <c r="BX740" s="4"/>
      <c r="BY740" s="4"/>
      <c r="BZ740" s="4"/>
      <c r="CA740" s="4"/>
      <c r="CB740" s="4"/>
      <c r="CC740" s="4"/>
      <c r="CD740" s="4"/>
      <c r="CE740" s="693"/>
      <c r="CF740" s="723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654"/>
      <c r="CR740" s="655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654"/>
      <c r="DD740" s="655">
        <v>120.57595477591617</v>
      </c>
      <c r="DE740" s="4">
        <v>120.57595477591617</v>
      </c>
      <c r="DF740" s="4">
        <v>120.57595477591617</v>
      </c>
      <c r="DG740" s="4">
        <v>120.57595477591617</v>
      </c>
      <c r="DH740" s="4">
        <v>120.57595477591617</v>
      </c>
      <c r="DI740" s="4">
        <v>120.57595477591617</v>
      </c>
      <c r="DJ740" s="4">
        <v>120.57595477591617</v>
      </c>
      <c r="DK740" s="4">
        <v>120.57595477591617</v>
      </c>
      <c r="DL740" s="4">
        <v>120.57595477591617</v>
      </c>
      <c r="DM740" s="4">
        <v>120.57595477591617</v>
      </c>
      <c r="DN740" s="4">
        <v>120.57595477591617</v>
      </c>
      <c r="DO740" s="654">
        <v>120.57595477591617</v>
      </c>
      <c r="DP740" s="655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654"/>
      <c r="EB740" s="655"/>
      <c r="EC740" s="4"/>
      <c r="ED740" s="4"/>
      <c r="EE740" s="4"/>
      <c r="EF740" s="4"/>
      <c r="EG740" s="4"/>
      <c r="EH740" s="4"/>
      <c r="EI740" s="4"/>
      <c r="EJ740" s="4"/>
      <c r="EK740" s="4"/>
      <c r="EL740" s="4"/>
      <c r="EM740" s="693"/>
      <c r="EN740" s="723"/>
      <c r="EO740" s="4"/>
      <c r="EP740" s="4"/>
      <c r="EQ740" s="4"/>
      <c r="ER740" s="4"/>
      <c r="ES740" s="4"/>
      <c r="ET740" s="4"/>
      <c r="EU740" s="4"/>
      <c r="EV740" s="4"/>
      <c r="EW740" s="4"/>
      <c r="EX740" s="4"/>
      <c r="EY740" s="654"/>
      <c r="EZ740" s="655"/>
      <c r="FA740" s="4"/>
      <c r="FB740" s="4"/>
      <c r="FC740" s="4"/>
      <c r="FD740" s="4"/>
      <c r="FE740" s="4"/>
      <c r="FF740" s="4"/>
      <c r="FG740" s="4"/>
      <c r="FH740" s="4"/>
      <c r="FI740" s="4"/>
      <c r="FJ740" s="4"/>
      <c r="FK740" s="654"/>
      <c r="FL740" s="655">
        <v>120.57595477591617</v>
      </c>
      <c r="FM740" s="4">
        <v>120.57595477591617</v>
      </c>
      <c r="FN740" s="4">
        <v>120.57595477591617</v>
      </c>
      <c r="FO740" s="4">
        <v>120.57595477591617</v>
      </c>
      <c r="FP740" s="4">
        <v>120.57595477591617</v>
      </c>
      <c r="FQ740" s="4">
        <v>120.57595477591617</v>
      </c>
      <c r="FR740" s="4">
        <v>120.57595477591617</v>
      </c>
      <c r="FS740" s="4">
        <v>120.57595477591617</v>
      </c>
      <c r="FT740" s="4">
        <v>120.57595477591617</v>
      </c>
      <c r="FU740" s="4">
        <v>120.57595477591617</v>
      </c>
      <c r="FV740" s="4">
        <v>120.57595477591617</v>
      </c>
      <c r="FW740" s="654">
        <v>120.57595477591617</v>
      </c>
      <c r="FX740" s="655"/>
      <c r="FY740" s="4"/>
      <c r="FZ740" s="4"/>
      <c r="GA740" s="4"/>
      <c r="GB740" s="4"/>
      <c r="GC740" s="4"/>
      <c r="GD740" s="4"/>
      <c r="GE740" s="4"/>
      <c r="GF740" s="4"/>
      <c r="GG740" s="4"/>
      <c r="GH740" s="4"/>
      <c r="GI740" s="654"/>
      <c r="GJ740" s="655"/>
      <c r="GK740" s="4"/>
      <c r="GL740" s="4"/>
      <c r="GM740" s="4"/>
      <c r="GN740" s="4"/>
      <c r="GO740" s="4"/>
      <c r="GP740" s="4"/>
      <c r="GQ740" s="4"/>
      <c r="GR740" s="4"/>
      <c r="GS740" s="4"/>
      <c r="GT740" s="4"/>
      <c r="GU740" s="722"/>
      <c r="GV740" s="715"/>
    </row>
    <row r="741" spans="1:204" x14ac:dyDescent="0.25">
      <c r="A741" t="s">
        <v>2558</v>
      </c>
      <c r="B741" s="2" t="s">
        <v>2557</v>
      </c>
      <c r="C741" s="619">
        <v>44901</v>
      </c>
      <c r="D741" s="2" t="s">
        <v>2540</v>
      </c>
      <c r="E741" t="s">
        <v>59</v>
      </c>
      <c r="F741" s="2" t="s">
        <v>2473</v>
      </c>
      <c r="G741" t="s">
        <v>40</v>
      </c>
      <c r="H741" s="690" t="s">
        <v>85</v>
      </c>
      <c r="I741" s="691" t="s">
        <v>2473</v>
      </c>
      <c r="J741" s="721" t="s">
        <v>2146</v>
      </c>
      <c r="K741" s="691" t="s">
        <v>2121</v>
      </c>
      <c r="L741" s="721" t="s">
        <v>2245</v>
      </c>
      <c r="M741" s="718" t="s">
        <v>6</v>
      </c>
      <c r="N741" s="717" t="s">
        <v>44</v>
      </c>
      <c r="O741" s="719">
        <v>44866</v>
      </c>
      <c r="P741" s="720">
        <v>44895</v>
      </c>
      <c r="Q741" s="718">
        <v>149</v>
      </c>
      <c r="R741" s="717">
        <v>3.5</v>
      </c>
      <c r="S741" s="691" t="s">
        <v>92</v>
      </c>
      <c r="T741" t="s">
        <v>358</v>
      </c>
      <c r="U741" s="673" t="s">
        <v>358</v>
      </c>
      <c r="V741" s="690" t="s">
        <v>358</v>
      </c>
      <c r="W741" s="657" t="s">
        <v>329</v>
      </c>
      <c r="X741" s="723"/>
      <c r="Y741" s="4"/>
      <c r="Z741" s="4"/>
      <c r="AA741" s="4"/>
      <c r="AB741" s="4"/>
      <c r="AC741" s="4"/>
      <c r="AD741" s="4"/>
      <c r="AE741" s="4"/>
      <c r="AF741" s="4"/>
      <c r="AG741" s="4"/>
      <c r="AH741" s="4">
        <v>3.5</v>
      </c>
      <c r="AI741" s="654"/>
      <c r="AJ741" s="655"/>
      <c r="AK741" s="4"/>
      <c r="AL741" s="4"/>
      <c r="AM741" s="4"/>
      <c r="AN741" s="4"/>
      <c r="AO741" s="4"/>
      <c r="AP741" s="4"/>
      <c r="AQ741" s="4"/>
      <c r="AR741" s="4"/>
      <c r="AS741" s="4"/>
      <c r="AT741" s="4"/>
      <c r="AU741" s="654"/>
      <c r="AV741" s="655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654"/>
      <c r="BH741" s="655"/>
      <c r="BI741" s="4"/>
      <c r="BJ741" s="4"/>
      <c r="BK741" s="4"/>
      <c r="BL741" s="4"/>
      <c r="BM741" s="4"/>
      <c r="BN741" s="4"/>
      <c r="BO741" s="4"/>
      <c r="BP741" s="4"/>
      <c r="BQ741" s="4"/>
      <c r="BR741" s="4"/>
      <c r="BS741" s="654"/>
      <c r="BT741" s="655"/>
      <c r="BU741" s="4"/>
      <c r="BV741" s="4"/>
      <c r="BW741" s="4"/>
      <c r="BX741" s="4"/>
      <c r="BY741" s="4"/>
      <c r="BZ741" s="4"/>
      <c r="CA741" s="4"/>
      <c r="CB741" s="4"/>
      <c r="CC741" s="4"/>
      <c r="CD741" s="4"/>
      <c r="CE741" s="693"/>
      <c r="CF741" s="723"/>
      <c r="CG741" s="4"/>
      <c r="CH741" s="4"/>
      <c r="CI741" s="4"/>
      <c r="CJ741" s="4"/>
      <c r="CK741" s="4"/>
      <c r="CL741" s="4"/>
      <c r="CM741" s="4"/>
      <c r="CN741" s="4"/>
      <c r="CO741" s="4"/>
      <c r="CP741" s="4">
        <v>149</v>
      </c>
      <c r="CQ741" s="654"/>
      <c r="CR741" s="655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654"/>
      <c r="DD741" s="655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654"/>
      <c r="DP741" s="655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654"/>
      <c r="EB741" s="655"/>
      <c r="EC741" s="4"/>
      <c r="ED741" s="4"/>
      <c r="EE741" s="4"/>
      <c r="EF741" s="4"/>
      <c r="EG741" s="4"/>
      <c r="EH741" s="4"/>
      <c r="EI741" s="4"/>
      <c r="EJ741" s="4"/>
      <c r="EK741" s="4"/>
      <c r="EL741" s="4"/>
      <c r="EM741" s="693"/>
      <c r="EN741" s="723"/>
      <c r="EO741" s="4"/>
      <c r="EP741" s="4"/>
      <c r="EQ741" s="4"/>
      <c r="ER741" s="4"/>
      <c r="ES741" s="4"/>
      <c r="ET741" s="4"/>
      <c r="EU741" s="4"/>
      <c r="EV741" s="4"/>
      <c r="EW741" s="4"/>
      <c r="EX741" s="4">
        <v>204.7</v>
      </c>
      <c r="EY741" s="654"/>
      <c r="EZ741" s="655"/>
      <c r="FA741" s="4"/>
      <c r="FB741" s="4"/>
      <c r="FC741" s="4"/>
      <c r="FD741" s="4"/>
      <c r="FE741" s="4"/>
      <c r="FF741" s="4"/>
      <c r="FG741" s="4"/>
      <c r="FH741" s="4"/>
      <c r="FI741" s="4"/>
      <c r="FJ741" s="4"/>
      <c r="FK741" s="654"/>
      <c r="FL741" s="655"/>
      <c r="FM741" s="4"/>
      <c r="FN741" s="4"/>
      <c r="FO741" s="4"/>
      <c r="FP741" s="4"/>
      <c r="FQ741" s="4"/>
      <c r="FR741" s="4"/>
      <c r="FS741" s="4"/>
      <c r="FT741" s="4"/>
      <c r="FU741" s="4"/>
      <c r="FV741" s="4"/>
      <c r="FW741" s="654"/>
      <c r="FX741" s="655"/>
      <c r="FY741" s="4"/>
      <c r="FZ741" s="4"/>
      <c r="GA741" s="4"/>
      <c r="GB741" s="4"/>
      <c r="GC741" s="4"/>
      <c r="GD741" s="4"/>
      <c r="GE741" s="4"/>
      <c r="GF741" s="4"/>
      <c r="GG741" s="4"/>
      <c r="GH741" s="4"/>
      <c r="GI741" s="654"/>
      <c r="GJ741" s="655"/>
      <c r="GK741" s="4"/>
      <c r="GL741" s="4"/>
      <c r="GM741" s="4"/>
      <c r="GN741" s="4"/>
      <c r="GO741" s="4"/>
      <c r="GP741" s="4"/>
      <c r="GQ741" s="4"/>
      <c r="GR741" s="4"/>
      <c r="GS741" s="4"/>
      <c r="GT741" s="4"/>
      <c r="GU741" s="722"/>
      <c r="GV741" s="715"/>
    </row>
    <row r="742" spans="1:204" x14ac:dyDescent="0.25">
      <c r="A742" t="s">
        <v>2559</v>
      </c>
      <c r="B742" s="2" t="s">
        <v>358</v>
      </c>
      <c r="C742" s="619">
        <v>44901</v>
      </c>
      <c r="D742" s="2" t="s">
        <v>2541</v>
      </c>
      <c r="E742" t="s">
        <v>58</v>
      </c>
      <c r="F742" s="2" t="s">
        <v>2473</v>
      </c>
      <c r="G742" t="s">
        <v>40</v>
      </c>
      <c r="H742" s="690" t="s">
        <v>84</v>
      </c>
      <c r="I742" s="691" t="s">
        <v>590</v>
      </c>
      <c r="J742" s="721" t="s">
        <v>2160</v>
      </c>
      <c r="K742" s="691" t="s">
        <v>2473</v>
      </c>
      <c r="L742" s="721" t="s">
        <v>2146</v>
      </c>
      <c r="M742" s="718" t="s">
        <v>3</v>
      </c>
      <c r="N742" s="717" t="s">
        <v>44</v>
      </c>
      <c r="O742" s="719">
        <v>44866</v>
      </c>
      <c r="P742" s="720">
        <v>44895</v>
      </c>
      <c r="Q742" s="718">
        <v>-1.1000000000000001</v>
      </c>
      <c r="R742" s="717">
        <v>2</v>
      </c>
      <c r="S742" s="691" t="s">
        <v>92</v>
      </c>
      <c r="T742" t="s">
        <v>358</v>
      </c>
      <c r="U742" s="673" t="s">
        <v>358</v>
      </c>
      <c r="V742" s="690" t="s">
        <v>358</v>
      </c>
      <c r="W742" s="657" t="s">
        <v>214</v>
      </c>
      <c r="X742" s="723"/>
      <c r="Y742" s="4"/>
      <c r="Z742" s="4"/>
      <c r="AA742" s="4"/>
      <c r="AB742" s="4"/>
      <c r="AC742" s="4"/>
      <c r="AD742" s="4"/>
      <c r="AE742" s="4"/>
      <c r="AF742" s="4"/>
      <c r="AG742" s="4"/>
      <c r="AH742" s="4">
        <v>2</v>
      </c>
      <c r="AI742" s="654"/>
      <c r="AJ742" s="655"/>
      <c r="AK742" s="4"/>
      <c r="AL742" s="4"/>
      <c r="AM742" s="4"/>
      <c r="AN742" s="4"/>
      <c r="AO742" s="4"/>
      <c r="AP742" s="4"/>
      <c r="AQ742" s="4"/>
      <c r="AR742" s="4"/>
      <c r="AS742" s="4"/>
      <c r="AT742" s="4"/>
      <c r="AU742" s="654"/>
      <c r="AV742" s="655"/>
      <c r="AW742" s="4"/>
      <c r="AX742" s="4"/>
      <c r="AY742" s="4"/>
      <c r="AZ742" s="4"/>
      <c r="BA742" s="4"/>
      <c r="BB742" s="4"/>
      <c r="BC742" s="4"/>
      <c r="BD742" s="4"/>
      <c r="BE742" s="4"/>
      <c r="BF742" s="4"/>
      <c r="BG742" s="654"/>
      <c r="BH742" s="655"/>
      <c r="BI742" s="4"/>
      <c r="BJ742" s="4"/>
      <c r="BK742" s="4"/>
      <c r="BL742" s="4"/>
      <c r="BM742" s="4"/>
      <c r="BN742" s="4"/>
      <c r="BO742" s="4"/>
      <c r="BP742" s="4"/>
      <c r="BQ742" s="4"/>
      <c r="BR742" s="4"/>
      <c r="BS742" s="654"/>
      <c r="BT742" s="655"/>
      <c r="BU742" s="4"/>
      <c r="BV742" s="4"/>
      <c r="BW742" s="4"/>
      <c r="BX742" s="4"/>
      <c r="BY742" s="4"/>
      <c r="BZ742" s="4"/>
      <c r="CA742" s="4"/>
      <c r="CB742" s="4"/>
      <c r="CC742" s="4"/>
      <c r="CD742" s="4"/>
      <c r="CE742" s="693"/>
      <c r="CF742" s="723"/>
      <c r="CG742" s="4"/>
      <c r="CH742" s="4"/>
      <c r="CI742" s="4"/>
      <c r="CJ742" s="4"/>
      <c r="CK742" s="4"/>
      <c r="CL742" s="4"/>
      <c r="CM742" s="4"/>
      <c r="CN742" s="4"/>
      <c r="CO742" s="4"/>
      <c r="CP742" s="4">
        <v>-1.1000000000000001</v>
      </c>
      <c r="CQ742" s="654"/>
      <c r="CR742" s="655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654"/>
      <c r="DD742" s="655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654"/>
      <c r="DP742" s="655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654"/>
      <c r="EB742" s="655"/>
      <c r="EC742" s="4"/>
      <c r="ED742" s="4"/>
      <c r="EE742" s="4"/>
      <c r="EF742" s="4"/>
      <c r="EG742" s="4"/>
      <c r="EH742" s="4"/>
      <c r="EI742" s="4"/>
      <c r="EJ742" s="4"/>
      <c r="EK742" s="4"/>
      <c r="EL742" s="4"/>
      <c r="EM742" s="693"/>
      <c r="EN742" s="723"/>
      <c r="EO742" s="4"/>
      <c r="EP742" s="4"/>
      <c r="EQ742" s="4"/>
      <c r="ER742" s="4"/>
      <c r="ES742" s="4"/>
      <c r="ET742" s="4"/>
      <c r="EU742" s="4"/>
      <c r="EV742" s="4"/>
      <c r="EW742" s="4"/>
      <c r="EX742" s="4">
        <v>54.6</v>
      </c>
      <c r="EY742" s="654"/>
      <c r="EZ742" s="655"/>
      <c r="FA742" s="4"/>
      <c r="FB742" s="4"/>
      <c r="FC742" s="4"/>
      <c r="FD742" s="4"/>
      <c r="FE742" s="4"/>
      <c r="FF742" s="4"/>
      <c r="FG742" s="4"/>
      <c r="FH742" s="4"/>
      <c r="FI742" s="4"/>
      <c r="FJ742" s="4"/>
      <c r="FK742" s="654"/>
      <c r="FL742" s="655"/>
      <c r="FM742" s="4"/>
      <c r="FN742" s="4"/>
      <c r="FO742" s="4"/>
      <c r="FP742" s="4"/>
      <c r="FQ742" s="4"/>
      <c r="FR742" s="4"/>
      <c r="FS742" s="4"/>
      <c r="FT742" s="4"/>
      <c r="FU742" s="4"/>
      <c r="FV742" s="4"/>
      <c r="FW742" s="654"/>
      <c r="FX742" s="655"/>
      <c r="FY742" s="4"/>
      <c r="FZ742" s="4"/>
      <c r="GA742" s="4"/>
      <c r="GB742" s="4"/>
      <c r="GC742" s="4"/>
      <c r="GD742" s="4"/>
      <c r="GE742" s="4"/>
      <c r="GF742" s="4"/>
      <c r="GG742" s="4"/>
      <c r="GH742" s="4"/>
      <c r="GI742" s="654"/>
      <c r="GJ742" s="655"/>
      <c r="GK742" s="4"/>
      <c r="GL742" s="4"/>
      <c r="GM742" s="4"/>
      <c r="GN742" s="4"/>
      <c r="GO742" s="4"/>
      <c r="GP742" s="4"/>
      <c r="GQ742" s="4"/>
      <c r="GR742" s="4"/>
      <c r="GS742" s="4"/>
      <c r="GT742" s="4"/>
      <c r="GU742" s="722"/>
      <c r="GV742" s="715"/>
    </row>
    <row r="743" spans="1:204" x14ac:dyDescent="0.25">
      <c r="A743" t="s">
        <v>2561</v>
      </c>
      <c r="B743" s="2" t="s">
        <v>2560</v>
      </c>
      <c r="C743" s="619">
        <v>44901</v>
      </c>
      <c r="D743" s="2" t="s">
        <v>2542</v>
      </c>
      <c r="E743" t="s">
        <v>59</v>
      </c>
      <c r="F743" s="2" t="s">
        <v>2473</v>
      </c>
      <c r="G743" t="s">
        <v>40</v>
      </c>
      <c r="H743" s="690" t="s">
        <v>85</v>
      </c>
      <c r="I743" s="691" t="s">
        <v>2473</v>
      </c>
      <c r="J743" s="721" t="s">
        <v>2146</v>
      </c>
      <c r="K743" s="691" t="s">
        <v>348</v>
      </c>
      <c r="L743" s="721" t="s">
        <v>2548</v>
      </c>
      <c r="M743" s="718" t="s">
        <v>6</v>
      </c>
      <c r="N743" s="717" t="s">
        <v>44</v>
      </c>
      <c r="O743" s="719">
        <v>44866</v>
      </c>
      <c r="P743" s="720">
        <v>44895</v>
      </c>
      <c r="Q743" s="718">
        <v>149</v>
      </c>
      <c r="R743" s="717">
        <v>2.6388889999999998</v>
      </c>
      <c r="S743" s="691" t="s">
        <v>92</v>
      </c>
      <c r="T743" t="s">
        <v>358</v>
      </c>
      <c r="U743" s="673" t="s">
        <v>358</v>
      </c>
      <c r="V743" s="690" t="s">
        <v>358</v>
      </c>
      <c r="W743" s="657" t="s">
        <v>329</v>
      </c>
      <c r="X743" s="723"/>
      <c r="Y743" s="4"/>
      <c r="Z743" s="4"/>
      <c r="AA743" s="4"/>
      <c r="AB743" s="4"/>
      <c r="AC743" s="4"/>
      <c r="AD743" s="4"/>
      <c r="AE743" s="4"/>
      <c r="AF743" s="4"/>
      <c r="AG743" s="4"/>
      <c r="AH743" s="4">
        <v>2.6388889999999998</v>
      </c>
      <c r="AI743" s="654"/>
      <c r="AJ743" s="655"/>
      <c r="AK743" s="4"/>
      <c r="AL743" s="4"/>
      <c r="AM743" s="4"/>
      <c r="AN743" s="4"/>
      <c r="AO743" s="4"/>
      <c r="AP743" s="4"/>
      <c r="AQ743" s="4"/>
      <c r="AR743" s="4"/>
      <c r="AS743" s="4"/>
      <c r="AT743" s="4"/>
      <c r="AU743" s="654"/>
      <c r="AV743" s="655"/>
      <c r="AW743" s="4"/>
      <c r="AX743" s="4"/>
      <c r="AY743" s="4"/>
      <c r="AZ743" s="4"/>
      <c r="BA743" s="4"/>
      <c r="BB743" s="4"/>
      <c r="BC743" s="4"/>
      <c r="BD743" s="4"/>
      <c r="BE743" s="4"/>
      <c r="BF743" s="4"/>
      <c r="BG743" s="654"/>
      <c r="BH743" s="655"/>
      <c r="BI743" s="4"/>
      <c r="BJ743" s="4"/>
      <c r="BK743" s="4"/>
      <c r="BL743" s="4"/>
      <c r="BM743" s="4"/>
      <c r="BN743" s="4"/>
      <c r="BO743" s="4"/>
      <c r="BP743" s="4"/>
      <c r="BQ743" s="4"/>
      <c r="BR743" s="4"/>
      <c r="BS743" s="654"/>
      <c r="BT743" s="655"/>
      <c r="BU743" s="4"/>
      <c r="BV743" s="4"/>
      <c r="BW743" s="4"/>
      <c r="BX743" s="4"/>
      <c r="BY743" s="4"/>
      <c r="BZ743" s="4"/>
      <c r="CA743" s="4"/>
      <c r="CB743" s="4"/>
      <c r="CC743" s="4"/>
      <c r="CD743" s="4"/>
      <c r="CE743" s="693"/>
      <c r="CF743" s="723"/>
      <c r="CG743" s="4"/>
      <c r="CH743" s="4"/>
      <c r="CI743" s="4"/>
      <c r="CJ743" s="4"/>
      <c r="CK743" s="4"/>
      <c r="CL743" s="4"/>
      <c r="CM743" s="4"/>
      <c r="CN743" s="4"/>
      <c r="CO743" s="4"/>
      <c r="CP743" s="4">
        <v>149</v>
      </c>
      <c r="CQ743" s="654"/>
      <c r="CR743" s="655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654"/>
      <c r="DD743" s="655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654"/>
      <c r="DP743" s="655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654"/>
      <c r="EB743" s="655"/>
      <c r="EC743" s="4"/>
      <c r="ED743" s="4"/>
      <c r="EE743" s="4"/>
      <c r="EF743" s="4"/>
      <c r="EG743" s="4"/>
      <c r="EH743" s="4"/>
      <c r="EI743" s="4"/>
      <c r="EJ743" s="4"/>
      <c r="EK743" s="4"/>
      <c r="EL743" s="4"/>
      <c r="EM743" s="693"/>
      <c r="EN743" s="723"/>
      <c r="EO743" s="4"/>
      <c r="EP743" s="4"/>
      <c r="EQ743" s="4"/>
      <c r="ER743" s="4"/>
      <c r="ES743" s="4"/>
      <c r="ET743" s="4"/>
      <c r="EU743" s="4"/>
      <c r="EV743" s="4"/>
      <c r="EW743" s="4"/>
      <c r="EX743" s="4">
        <v>204.7</v>
      </c>
      <c r="EY743" s="654"/>
      <c r="EZ743" s="655"/>
      <c r="FA743" s="4"/>
      <c r="FB743" s="4"/>
      <c r="FC743" s="4"/>
      <c r="FD743" s="4"/>
      <c r="FE743" s="4"/>
      <c r="FF743" s="4"/>
      <c r="FG743" s="4"/>
      <c r="FH743" s="4"/>
      <c r="FI743" s="4"/>
      <c r="FJ743" s="4"/>
      <c r="FK743" s="654"/>
      <c r="FL743" s="655"/>
      <c r="FM743" s="4"/>
      <c r="FN743" s="4"/>
      <c r="FO743" s="4"/>
      <c r="FP743" s="4"/>
      <c r="FQ743" s="4"/>
      <c r="FR743" s="4"/>
      <c r="FS743" s="4"/>
      <c r="FT743" s="4"/>
      <c r="FU743" s="4"/>
      <c r="FV743" s="4"/>
      <c r="FW743" s="654"/>
      <c r="FX743" s="655"/>
      <c r="FY743" s="4"/>
      <c r="FZ743" s="4"/>
      <c r="GA743" s="4"/>
      <c r="GB743" s="4"/>
      <c r="GC743" s="4"/>
      <c r="GD743" s="4"/>
      <c r="GE743" s="4"/>
      <c r="GF743" s="4"/>
      <c r="GG743" s="4"/>
      <c r="GH743" s="4"/>
      <c r="GI743" s="654"/>
      <c r="GJ743" s="655"/>
      <c r="GK743" s="4"/>
      <c r="GL743" s="4"/>
      <c r="GM743" s="4"/>
      <c r="GN743" s="4"/>
      <c r="GO743" s="4"/>
      <c r="GP743" s="4"/>
      <c r="GQ743" s="4"/>
      <c r="GR743" s="4"/>
      <c r="GS743" s="4"/>
      <c r="GT743" s="4"/>
      <c r="GU743" s="722"/>
      <c r="GV743" s="715"/>
    </row>
    <row r="744" spans="1:204" x14ac:dyDescent="0.25">
      <c r="A744" t="s">
        <v>2563</v>
      </c>
      <c r="B744" s="2" t="s">
        <v>2562</v>
      </c>
      <c r="C744" s="619">
        <v>44901</v>
      </c>
      <c r="D744" s="2" t="s">
        <v>2543</v>
      </c>
      <c r="E744" t="s">
        <v>59</v>
      </c>
      <c r="F744" s="2" t="s">
        <v>2473</v>
      </c>
      <c r="G744" t="s">
        <v>40</v>
      </c>
      <c r="H744" s="690" t="s">
        <v>85</v>
      </c>
      <c r="I744" s="691" t="s">
        <v>2473</v>
      </c>
      <c r="J744" s="721" t="s">
        <v>2146</v>
      </c>
      <c r="K744" s="691" t="s">
        <v>1133</v>
      </c>
      <c r="L744" s="721" t="s">
        <v>2549</v>
      </c>
      <c r="M744" s="718" t="s">
        <v>6</v>
      </c>
      <c r="N744" s="717" t="s">
        <v>44</v>
      </c>
      <c r="O744" s="719">
        <v>44866</v>
      </c>
      <c r="P744" s="720">
        <v>44895</v>
      </c>
      <c r="Q744" s="718">
        <v>149</v>
      </c>
      <c r="R744" s="717">
        <v>1.5</v>
      </c>
      <c r="S744" s="691" t="s">
        <v>92</v>
      </c>
      <c r="T744" t="s">
        <v>358</v>
      </c>
      <c r="U744" s="673" t="s">
        <v>358</v>
      </c>
      <c r="V744" s="690" t="s">
        <v>358</v>
      </c>
      <c r="W744" s="657" t="s">
        <v>329</v>
      </c>
      <c r="X744" s="723"/>
      <c r="Y744" s="4"/>
      <c r="Z744" s="4"/>
      <c r="AA744" s="4"/>
      <c r="AB744" s="4"/>
      <c r="AC744" s="4"/>
      <c r="AD744" s="4"/>
      <c r="AE744" s="4"/>
      <c r="AF744" s="4"/>
      <c r="AG744" s="4"/>
      <c r="AH744" s="4">
        <v>1.5</v>
      </c>
      <c r="AI744" s="654"/>
      <c r="AJ744" s="655"/>
      <c r="AK744" s="4"/>
      <c r="AL744" s="4"/>
      <c r="AM744" s="4"/>
      <c r="AN744" s="4"/>
      <c r="AO744" s="4"/>
      <c r="AP744" s="4"/>
      <c r="AQ744" s="4"/>
      <c r="AR744" s="4"/>
      <c r="AS744" s="4"/>
      <c r="AT744" s="4"/>
      <c r="AU744" s="654"/>
      <c r="AV744" s="655"/>
      <c r="AW744" s="4"/>
      <c r="AX744" s="4"/>
      <c r="AY744" s="4"/>
      <c r="AZ744" s="4"/>
      <c r="BA744" s="4"/>
      <c r="BB744" s="4"/>
      <c r="BC744" s="4"/>
      <c r="BD744" s="4"/>
      <c r="BE744" s="4"/>
      <c r="BF744" s="4"/>
      <c r="BG744" s="654"/>
      <c r="BH744" s="655"/>
      <c r="BI744" s="4"/>
      <c r="BJ744" s="4"/>
      <c r="BK744" s="4"/>
      <c r="BL744" s="4"/>
      <c r="BM744" s="4"/>
      <c r="BN744" s="4"/>
      <c r="BO744" s="4"/>
      <c r="BP744" s="4"/>
      <c r="BQ744" s="4"/>
      <c r="BR744" s="4"/>
      <c r="BS744" s="654"/>
      <c r="BT744" s="655"/>
      <c r="BU744" s="4"/>
      <c r="BV744" s="4"/>
      <c r="BW744" s="4"/>
      <c r="BX744" s="4"/>
      <c r="BY744" s="4"/>
      <c r="BZ744" s="4"/>
      <c r="CA744" s="4"/>
      <c r="CB744" s="4"/>
      <c r="CC744" s="4"/>
      <c r="CD744" s="4"/>
      <c r="CE744" s="693"/>
      <c r="CF744" s="723"/>
      <c r="CG744" s="4"/>
      <c r="CH744" s="4"/>
      <c r="CI744" s="4"/>
      <c r="CJ744" s="4"/>
      <c r="CK744" s="4"/>
      <c r="CL744" s="4"/>
      <c r="CM744" s="4"/>
      <c r="CN744" s="4"/>
      <c r="CO744" s="4"/>
      <c r="CP744" s="4">
        <v>149</v>
      </c>
      <c r="CQ744" s="654"/>
      <c r="CR744" s="655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654"/>
      <c r="DD744" s="655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654"/>
      <c r="DP744" s="655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654"/>
      <c r="EB744" s="655"/>
      <c r="EC744" s="4"/>
      <c r="ED744" s="4"/>
      <c r="EE744" s="4"/>
      <c r="EF744" s="4"/>
      <c r="EG744" s="4"/>
      <c r="EH744" s="4"/>
      <c r="EI744" s="4"/>
      <c r="EJ744" s="4"/>
      <c r="EK744" s="4"/>
      <c r="EL744" s="4"/>
      <c r="EM744" s="693"/>
      <c r="EN744" s="723"/>
      <c r="EO744" s="4"/>
      <c r="EP744" s="4"/>
      <c r="EQ744" s="4"/>
      <c r="ER744" s="4"/>
      <c r="ES744" s="4"/>
      <c r="ET744" s="4"/>
      <c r="EU744" s="4"/>
      <c r="EV744" s="4"/>
      <c r="EW744" s="4"/>
      <c r="EX744" s="4">
        <v>204.7</v>
      </c>
      <c r="EY744" s="654"/>
      <c r="EZ744" s="655"/>
      <c r="FA744" s="4"/>
      <c r="FB744" s="4"/>
      <c r="FC744" s="4"/>
      <c r="FD744" s="4"/>
      <c r="FE744" s="4"/>
      <c r="FF744" s="4"/>
      <c r="FG744" s="4"/>
      <c r="FH744" s="4"/>
      <c r="FI744" s="4"/>
      <c r="FJ744" s="4"/>
      <c r="FK744" s="654"/>
      <c r="FL744" s="655"/>
      <c r="FM744" s="4"/>
      <c r="FN744" s="4"/>
      <c r="FO744" s="4"/>
      <c r="FP744" s="4"/>
      <c r="FQ744" s="4"/>
      <c r="FR744" s="4"/>
      <c r="FS744" s="4"/>
      <c r="FT744" s="4"/>
      <c r="FU744" s="4"/>
      <c r="FV744" s="4"/>
      <c r="FW744" s="654"/>
      <c r="FX744" s="655"/>
      <c r="FY744" s="4"/>
      <c r="FZ744" s="4"/>
      <c r="GA744" s="4"/>
      <c r="GB744" s="4"/>
      <c r="GC744" s="4"/>
      <c r="GD744" s="4"/>
      <c r="GE744" s="4"/>
      <c r="GF744" s="4"/>
      <c r="GG744" s="4"/>
      <c r="GH744" s="4"/>
      <c r="GI744" s="654"/>
      <c r="GJ744" s="655"/>
      <c r="GK744" s="4"/>
      <c r="GL744" s="4"/>
      <c r="GM744" s="4"/>
      <c r="GN744" s="4"/>
      <c r="GO744" s="4"/>
      <c r="GP744" s="4"/>
      <c r="GQ744" s="4"/>
      <c r="GR744" s="4"/>
      <c r="GS744" s="4"/>
      <c r="GT744" s="4"/>
      <c r="GU744" s="722"/>
      <c r="GV744" s="715"/>
    </row>
    <row r="745" spans="1:204" x14ac:dyDescent="0.25">
      <c r="A745" t="s">
        <v>2565</v>
      </c>
      <c r="B745" s="2" t="s">
        <v>2564</v>
      </c>
      <c r="C745" s="619">
        <v>44901</v>
      </c>
      <c r="D745" s="2" t="s">
        <v>2544</v>
      </c>
      <c r="E745" t="s">
        <v>59</v>
      </c>
      <c r="F745" s="2" t="s">
        <v>2473</v>
      </c>
      <c r="G745" t="s">
        <v>40</v>
      </c>
      <c r="H745" s="690" t="s">
        <v>85</v>
      </c>
      <c r="I745" s="691" t="s">
        <v>2473</v>
      </c>
      <c r="J745" s="721" t="s">
        <v>2146</v>
      </c>
      <c r="K745" s="691" t="s">
        <v>1838</v>
      </c>
      <c r="L745" s="721" t="s">
        <v>2550</v>
      </c>
      <c r="M745" s="718" t="s">
        <v>6</v>
      </c>
      <c r="N745" s="717" t="s">
        <v>44</v>
      </c>
      <c r="O745" s="719">
        <v>44866</v>
      </c>
      <c r="P745" s="720">
        <v>44895</v>
      </c>
      <c r="Q745" s="718">
        <v>149</v>
      </c>
      <c r="R745" s="717">
        <v>0.62375000000000003</v>
      </c>
      <c r="S745" s="691" t="s">
        <v>92</v>
      </c>
      <c r="T745" t="s">
        <v>358</v>
      </c>
      <c r="U745" s="673" t="s">
        <v>358</v>
      </c>
      <c r="V745" s="690" t="s">
        <v>358</v>
      </c>
      <c r="W745" s="657" t="s">
        <v>329</v>
      </c>
      <c r="X745" s="723"/>
      <c r="Y745" s="4"/>
      <c r="Z745" s="4"/>
      <c r="AA745" s="4"/>
      <c r="AB745" s="4"/>
      <c r="AC745" s="4"/>
      <c r="AD745" s="4"/>
      <c r="AE745" s="4"/>
      <c r="AF745" s="4"/>
      <c r="AG745" s="4"/>
      <c r="AH745" s="4">
        <v>0.62375000000000003</v>
      </c>
      <c r="AI745" s="654"/>
      <c r="AJ745" s="655"/>
      <c r="AK745" s="4"/>
      <c r="AL745" s="4"/>
      <c r="AM745" s="4"/>
      <c r="AN745" s="4"/>
      <c r="AO745" s="4"/>
      <c r="AP745" s="4"/>
      <c r="AQ745" s="4"/>
      <c r="AR745" s="4"/>
      <c r="AS745" s="4"/>
      <c r="AT745" s="4"/>
      <c r="AU745" s="654"/>
      <c r="AV745" s="655"/>
      <c r="AW745" s="4"/>
      <c r="AX745" s="4"/>
      <c r="AY745" s="4"/>
      <c r="AZ745" s="4"/>
      <c r="BA745" s="4"/>
      <c r="BB745" s="4"/>
      <c r="BC745" s="4"/>
      <c r="BD745" s="4"/>
      <c r="BE745" s="4"/>
      <c r="BF745" s="4"/>
      <c r="BG745" s="654"/>
      <c r="BH745" s="655"/>
      <c r="BI745" s="4"/>
      <c r="BJ745" s="4"/>
      <c r="BK745" s="4"/>
      <c r="BL745" s="4"/>
      <c r="BM745" s="4"/>
      <c r="BN745" s="4"/>
      <c r="BO745" s="4"/>
      <c r="BP745" s="4"/>
      <c r="BQ745" s="4"/>
      <c r="BR745" s="4"/>
      <c r="BS745" s="654"/>
      <c r="BT745" s="655"/>
      <c r="BU745" s="4"/>
      <c r="BV745" s="4"/>
      <c r="BW745" s="4"/>
      <c r="BX745" s="4"/>
      <c r="BY745" s="4"/>
      <c r="BZ745" s="4"/>
      <c r="CA745" s="4"/>
      <c r="CB745" s="4"/>
      <c r="CC745" s="4"/>
      <c r="CD745" s="4"/>
      <c r="CE745" s="693"/>
      <c r="CF745" s="723"/>
      <c r="CG745" s="4"/>
      <c r="CH745" s="4"/>
      <c r="CI745" s="4"/>
      <c r="CJ745" s="4"/>
      <c r="CK745" s="4"/>
      <c r="CL745" s="4"/>
      <c r="CM745" s="4"/>
      <c r="CN745" s="4"/>
      <c r="CO745" s="4"/>
      <c r="CP745" s="4">
        <v>149</v>
      </c>
      <c r="CQ745" s="654"/>
      <c r="CR745" s="655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654"/>
      <c r="DD745" s="655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654"/>
      <c r="DP745" s="655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654"/>
      <c r="EB745" s="655"/>
      <c r="EC745" s="4"/>
      <c r="ED745" s="4"/>
      <c r="EE745" s="4"/>
      <c r="EF745" s="4"/>
      <c r="EG745" s="4"/>
      <c r="EH745" s="4"/>
      <c r="EI745" s="4"/>
      <c r="EJ745" s="4"/>
      <c r="EK745" s="4"/>
      <c r="EL745" s="4"/>
      <c r="EM745" s="693"/>
      <c r="EN745" s="723"/>
      <c r="EO745" s="4"/>
      <c r="EP745" s="4"/>
      <c r="EQ745" s="4"/>
      <c r="ER745" s="4"/>
      <c r="ES745" s="4"/>
      <c r="ET745" s="4"/>
      <c r="EU745" s="4"/>
      <c r="EV745" s="4"/>
      <c r="EW745" s="4"/>
      <c r="EX745" s="4">
        <v>204.7</v>
      </c>
      <c r="EY745" s="654"/>
      <c r="EZ745" s="655"/>
      <c r="FA745" s="4"/>
      <c r="FB745" s="4"/>
      <c r="FC745" s="4"/>
      <c r="FD745" s="4"/>
      <c r="FE745" s="4"/>
      <c r="FF745" s="4"/>
      <c r="FG745" s="4"/>
      <c r="FH745" s="4"/>
      <c r="FI745" s="4"/>
      <c r="FJ745" s="4"/>
      <c r="FK745" s="654"/>
      <c r="FL745" s="655"/>
      <c r="FM745" s="4"/>
      <c r="FN745" s="4"/>
      <c r="FO745" s="4"/>
      <c r="FP745" s="4"/>
      <c r="FQ745" s="4"/>
      <c r="FR745" s="4"/>
      <c r="FS745" s="4"/>
      <c r="FT745" s="4"/>
      <c r="FU745" s="4"/>
      <c r="FV745" s="4"/>
      <c r="FW745" s="654"/>
      <c r="FX745" s="655"/>
      <c r="FY745" s="4"/>
      <c r="FZ745" s="4"/>
      <c r="GA745" s="4"/>
      <c r="GB745" s="4"/>
      <c r="GC745" s="4"/>
      <c r="GD745" s="4"/>
      <c r="GE745" s="4"/>
      <c r="GF745" s="4"/>
      <c r="GG745" s="4"/>
      <c r="GH745" s="4"/>
      <c r="GI745" s="654"/>
      <c r="GJ745" s="655"/>
      <c r="GK745" s="4"/>
      <c r="GL745" s="4"/>
      <c r="GM745" s="4"/>
      <c r="GN745" s="4"/>
      <c r="GO745" s="4"/>
      <c r="GP745" s="4"/>
      <c r="GQ745" s="4"/>
      <c r="GR745" s="4"/>
      <c r="GS745" s="4"/>
      <c r="GT745" s="4"/>
      <c r="GU745" s="722"/>
      <c r="GV745" s="715"/>
    </row>
    <row r="746" spans="1:204" x14ac:dyDescent="0.25">
      <c r="A746" t="s">
        <v>2566</v>
      </c>
      <c r="B746" s="2" t="s">
        <v>358</v>
      </c>
      <c r="C746" s="619">
        <v>44901</v>
      </c>
      <c r="D746" s="2" t="s">
        <v>2545</v>
      </c>
      <c r="E746" t="s">
        <v>58</v>
      </c>
      <c r="F746" s="2" t="s">
        <v>2473</v>
      </c>
      <c r="G746" t="s">
        <v>40</v>
      </c>
      <c r="H746" s="690" t="s">
        <v>84</v>
      </c>
      <c r="I746" s="691" t="s">
        <v>1134</v>
      </c>
      <c r="J746" s="721" t="s">
        <v>2551</v>
      </c>
      <c r="K746" s="691" t="s">
        <v>2473</v>
      </c>
      <c r="L746" s="721" t="s">
        <v>2146</v>
      </c>
      <c r="M746" s="718" t="s">
        <v>3</v>
      </c>
      <c r="N746" s="717" t="s">
        <v>44</v>
      </c>
      <c r="O746" s="719">
        <v>44866</v>
      </c>
      <c r="P746" s="720">
        <v>44895</v>
      </c>
      <c r="Q746" s="718">
        <v>-1</v>
      </c>
      <c r="R746" s="717">
        <v>6</v>
      </c>
      <c r="S746" s="691" t="s">
        <v>92</v>
      </c>
      <c r="T746" t="s">
        <v>358</v>
      </c>
      <c r="U746" s="673" t="s">
        <v>358</v>
      </c>
      <c r="V746" s="690" t="s">
        <v>358</v>
      </c>
      <c r="W746" s="657" t="s">
        <v>214</v>
      </c>
      <c r="X746" s="723"/>
      <c r="Y746" s="4"/>
      <c r="Z746" s="4"/>
      <c r="AA746" s="4"/>
      <c r="AB746" s="4"/>
      <c r="AC746" s="4"/>
      <c r="AD746" s="4"/>
      <c r="AE746" s="4"/>
      <c r="AF746" s="4"/>
      <c r="AG746" s="4"/>
      <c r="AH746" s="4">
        <v>6</v>
      </c>
      <c r="AI746" s="654"/>
      <c r="AJ746" s="655"/>
      <c r="AK746" s="4"/>
      <c r="AL746" s="4"/>
      <c r="AM746" s="4"/>
      <c r="AN746" s="4"/>
      <c r="AO746" s="4"/>
      <c r="AP746" s="4"/>
      <c r="AQ746" s="4"/>
      <c r="AR746" s="4"/>
      <c r="AS746" s="4"/>
      <c r="AT746" s="4"/>
      <c r="AU746" s="654"/>
      <c r="AV746" s="655"/>
      <c r="AW746" s="4"/>
      <c r="AX746" s="4"/>
      <c r="AY746" s="4"/>
      <c r="AZ746" s="4"/>
      <c r="BA746" s="4"/>
      <c r="BB746" s="4"/>
      <c r="BC746" s="4"/>
      <c r="BD746" s="4"/>
      <c r="BE746" s="4"/>
      <c r="BF746" s="4"/>
      <c r="BG746" s="654"/>
      <c r="BH746" s="655"/>
      <c r="BI746" s="4"/>
      <c r="BJ746" s="4"/>
      <c r="BK746" s="4"/>
      <c r="BL746" s="4"/>
      <c r="BM746" s="4"/>
      <c r="BN746" s="4"/>
      <c r="BO746" s="4"/>
      <c r="BP746" s="4"/>
      <c r="BQ746" s="4"/>
      <c r="BR746" s="4"/>
      <c r="BS746" s="654"/>
      <c r="BT746" s="655"/>
      <c r="BU746" s="4"/>
      <c r="BV746" s="4"/>
      <c r="BW746" s="4"/>
      <c r="BX746" s="4"/>
      <c r="BY746" s="4"/>
      <c r="BZ746" s="4"/>
      <c r="CA746" s="4"/>
      <c r="CB746" s="4"/>
      <c r="CC746" s="4"/>
      <c r="CD746" s="4"/>
      <c r="CE746" s="693"/>
      <c r="CF746" s="723"/>
      <c r="CG746" s="4"/>
      <c r="CH746" s="4"/>
      <c r="CI746" s="4"/>
      <c r="CJ746" s="4"/>
      <c r="CK746" s="4"/>
      <c r="CL746" s="4"/>
      <c r="CM746" s="4"/>
      <c r="CN746" s="4"/>
      <c r="CO746" s="4"/>
      <c r="CP746" s="4">
        <v>-1</v>
      </c>
      <c r="CQ746" s="654"/>
      <c r="CR746" s="655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654"/>
      <c r="DD746" s="655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654"/>
      <c r="DP746" s="655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654"/>
      <c r="EB746" s="655"/>
      <c r="EC746" s="4"/>
      <c r="ED746" s="4"/>
      <c r="EE746" s="4"/>
      <c r="EF746" s="4"/>
      <c r="EG746" s="4"/>
      <c r="EH746" s="4"/>
      <c r="EI746" s="4"/>
      <c r="EJ746" s="4"/>
      <c r="EK746" s="4"/>
      <c r="EL746" s="4"/>
      <c r="EM746" s="693"/>
      <c r="EN746" s="723"/>
      <c r="EO746" s="4"/>
      <c r="EP746" s="4"/>
      <c r="EQ746" s="4"/>
      <c r="ER746" s="4"/>
      <c r="ES746" s="4"/>
      <c r="ET746" s="4"/>
      <c r="EU746" s="4"/>
      <c r="EV746" s="4"/>
      <c r="EW746" s="4"/>
      <c r="EX746" s="4">
        <v>54.7</v>
      </c>
      <c r="EY746" s="654"/>
      <c r="EZ746" s="655"/>
      <c r="FA746" s="4"/>
      <c r="FB746" s="4"/>
      <c r="FC746" s="4"/>
      <c r="FD746" s="4"/>
      <c r="FE746" s="4"/>
      <c r="FF746" s="4"/>
      <c r="FG746" s="4"/>
      <c r="FH746" s="4"/>
      <c r="FI746" s="4"/>
      <c r="FJ746" s="4"/>
      <c r="FK746" s="654"/>
      <c r="FL746" s="655"/>
      <c r="FM746" s="4"/>
      <c r="FN746" s="4"/>
      <c r="FO746" s="4"/>
      <c r="FP746" s="4"/>
      <c r="FQ746" s="4"/>
      <c r="FR746" s="4"/>
      <c r="FS746" s="4"/>
      <c r="FT746" s="4"/>
      <c r="FU746" s="4"/>
      <c r="FV746" s="4"/>
      <c r="FW746" s="654"/>
      <c r="FX746" s="655"/>
      <c r="FY746" s="4"/>
      <c r="FZ746" s="4"/>
      <c r="GA746" s="4"/>
      <c r="GB746" s="4"/>
      <c r="GC746" s="4"/>
      <c r="GD746" s="4"/>
      <c r="GE746" s="4"/>
      <c r="GF746" s="4"/>
      <c r="GG746" s="4"/>
      <c r="GH746" s="4"/>
      <c r="GI746" s="654"/>
      <c r="GJ746" s="655"/>
      <c r="GK746" s="4"/>
      <c r="GL746" s="4"/>
      <c r="GM746" s="4"/>
      <c r="GN746" s="4"/>
      <c r="GO746" s="4"/>
      <c r="GP746" s="4"/>
      <c r="GQ746" s="4"/>
      <c r="GR746" s="4"/>
      <c r="GS746" s="4"/>
      <c r="GT746" s="4"/>
      <c r="GU746" s="722"/>
      <c r="GV746" s="715"/>
    </row>
    <row r="747" spans="1:204" x14ac:dyDescent="0.25">
      <c r="A747" t="s">
        <v>2567</v>
      </c>
      <c r="B747" s="2" t="s">
        <v>358</v>
      </c>
      <c r="C747" s="619">
        <v>44901</v>
      </c>
      <c r="D747" s="2" t="s">
        <v>2546</v>
      </c>
      <c r="E747" t="s">
        <v>58</v>
      </c>
      <c r="F747" s="2" t="s">
        <v>2473</v>
      </c>
      <c r="G747" t="s">
        <v>40</v>
      </c>
      <c r="H747" s="690" t="s">
        <v>84</v>
      </c>
      <c r="I747" s="691" t="s">
        <v>531</v>
      </c>
      <c r="J747" s="721" t="s">
        <v>2415</v>
      </c>
      <c r="K747" s="691" t="s">
        <v>2473</v>
      </c>
      <c r="L747" s="721" t="s">
        <v>2146</v>
      </c>
      <c r="M747" s="718" t="s">
        <v>3</v>
      </c>
      <c r="N747" s="717" t="s">
        <v>44</v>
      </c>
      <c r="O747" s="719">
        <v>44866</v>
      </c>
      <c r="P747" s="720">
        <v>44895</v>
      </c>
      <c r="Q747" s="718">
        <v>-1</v>
      </c>
      <c r="R747" s="717">
        <v>4</v>
      </c>
      <c r="S747" s="691" t="s">
        <v>92</v>
      </c>
      <c r="T747" t="s">
        <v>358</v>
      </c>
      <c r="U747" s="673" t="s">
        <v>358</v>
      </c>
      <c r="V747" s="690" t="s">
        <v>358</v>
      </c>
      <c r="W747" s="657" t="s">
        <v>214</v>
      </c>
      <c r="X747" s="723"/>
      <c r="Y747" s="4"/>
      <c r="Z747" s="4"/>
      <c r="AA747" s="4"/>
      <c r="AB747" s="4"/>
      <c r="AC747" s="4"/>
      <c r="AD747" s="4"/>
      <c r="AE747" s="4"/>
      <c r="AF747" s="4"/>
      <c r="AG747" s="4"/>
      <c r="AH747" s="4">
        <v>4</v>
      </c>
      <c r="AI747" s="654"/>
      <c r="AJ747" s="655"/>
      <c r="AK747" s="4"/>
      <c r="AL747" s="4"/>
      <c r="AM747" s="4"/>
      <c r="AN747" s="4"/>
      <c r="AO747" s="4"/>
      <c r="AP747" s="4"/>
      <c r="AQ747" s="4"/>
      <c r="AR747" s="4"/>
      <c r="AS747" s="4"/>
      <c r="AT747" s="4"/>
      <c r="AU747" s="654"/>
      <c r="AV747" s="655"/>
      <c r="AW747" s="4"/>
      <c r="AX747" s="4"/>
      <c r="AY747" s="4"/>
      <c r="AZ747" s="4"/>
      <c r="BA747" s="4"/>
      <c r="BB747" s="4"/>
      <c r="BC747" s="4"/>
      <c r="BD747" s="4"/>
      <c r="BE747" s="4"/>
      <c r="BF747" s="4"/>
      <c r="BG747" s="654"/>
      <c r="BH747" s="655"/>
      <c r="BI747" s="4"/>
      <c r="BJ747" s="4"/>
      <c r="BK747" s="4"/>
      <c r="BL747" s="4"/>
      <c r="BM747" s="4"/>
      <c r="BN747" s="4"/>
      <c r="BO747" s="4"/>
      <c r="BP747" s="4"/>
      <c r="BQ747" s="4"/>
      <c r="BR747" s="4"/>
      <c r="BS747" s="654"/>
      <c r="BT747" s="655"/>
      <c r="BU747" s="4"/>
      <c r="BV747" s="4"/>
      <c r="BW747" s="4"/>
      <c r="BX747" s="4"/>
      <c r="BY747" s="4"/>
      <c r="BZ747" s="4"/>
      <c r="CA747" s="4"/>
      <c r="CB747" s="4"/>
      <c r="CC747" s="4"/>
      <c r="CD747" s="4"/>
      <c r="CE747" s="693"/>
      <c r="CF747" s="723"/>
      <c r="CG747" s="4"/>
      <c r="CH747" s="4"/>
      <c r="CI747" s="4"/>
      <c r="CJ747" s="4"/>
      <c r="CK747" s="4"/>
      <c r="CL747" s="4"/>
      <c r="CM747" s="4"/>
      <c r="CN747" s="4"/>
      <c r="CO747" s="4"/>
      <c r="CP747" s="4">
        <v>-1</v>
      </c>
      <c r="CQ747" s="654"/>
      <c r="CR747" s="655"/>
      <c r="CS747" s="4"/>
      <c r="CT747" s="4"/>
      <c r="CU747" s="4"/>
      <c r="CV747" s="4"/>
      <c r="CW747" s="4"/>
      <c r="CX747" s="4"/>
      <c r="CY747" s="4"/>
      <c r="CZ747" s="4"/>
      <c r="DA747" s="4"/>
      <c r="DB747" s="4"/>
      <c r="DC747" s="654"/>
      <c r="DD747" s="655"/>
      <c r="DE747" s="4"/>
      <c r="DF747" s="4"/>
      <c r="DG747" s="4"/>
      <c r="DH747" s="4"/>
      <c r="DI747" s="4"/>
      <c r="DJ747" s="4"/>
      <c r="DK747" s="4"/>
      <c r="DL747" s="4"/>
      <c r="DM747" s="4"/>
      <c r="DN747" s="4"/>
      <c r="DO747" s="654"/>
      <c r="DP747" s="655"/>
      <c r="DQ747" s="4"/>
      <c r="DR747" s="4"/>
      <c r="DS747" s="4"/>
      <c r="DT747" s="4"/>
      <c r="DU747" s="4"/>
      <c r="DV747" s="4"/>
      <c r="DW747" s="4"/>
      <c r="DX747" s="4"/>
      <c r="DY747" s="4"/>
      <c r="DZ747" s="4"/>
      <c r="EA747" s="654"/>
      <c r="EB747" s="655"/>
      <c r="EC747" s="4"/>
      <c r="ED747" s="4"/>
      <c r="EE747" s="4"/>
      <c r="EF747" s="4"/>
      <c r="EG747" s="4"/>
      <c r="EH747" s="4"/>
      <c r="EI747" s="4"/>
      <c r="EJ747" s="4"/>
      <c r="EK747" s="4"/>
      <c r="EL747" s="4"/>
      <c r="EM747" s="693"/>
      <c r="EN747" s="723"/>
      <c r="EO747" s="4"/>
      <c r="EP747" s="4"/>
      <c r="EQ747" s="4"/>
      <c r="ER747" s="4"/>
      <c r="ES747" s="4"/>
      <c r="ET747" s="4"/>
      <c r="EU747" s="4"/>
      <c r="EV747" s="4"/>
      <c r="EW747" s="4"/>
      <c r="EX747" s="4">
        <v>54.7</v>
      </c>
      <c r="EY747" s="654"/>
      <c r="EZ747" s="655"/>
      <c r="FA747" s="4"/>
      <c r="FB747" s="4"/>
      <c r="FC747" s="4"/>
      <c r="FD747" s="4"/>
      <c r="FE747" s="4"/>
      <c r="FF747" s="4"/>
      <c r="FG747" s="4"/>
      <c r="FH747" s="4"/>
      <c r="FI747" s="4"/>
      <c r="FJ747" s="4"/>
      <c r="FK747" s="654"/>
      <c r="FL747" s="655"/>
      <c r="FM747" s="4"/>
      <c r="FN747" s="4"/>
      <c r="FO747" s="4"/>
      <c r="FP747" s="4"/>
      <c r="FQ747" s="4"/>
      <c r="FR747" s="4"/>
      <c r="FS747" s="4"/>
      <c r="FT747" s="4"/>
      <c r="FU747" s="4"/>
      <c r="FV747" s="4"/>
      <c r="FW747" s="654"/>
      <c r="FX747" s="655"/>
      <c r="FY747" s="4"/>
      <c r="FZ747" s="4"/>
      <c r="GA747" s="4"/>
      <c r="GB747" s="4"/>
      <c r="GC747" s="4"/>
      <c r="GD747" s="4"/>
      <c r="GE747" s="4"/>
      <c r="GF747" s="4"/>
      <c r="GG747" s="4"/>
      <c r="GH747" s="4"/>
      <c r="GI747" s="654"/>
      <c r="GJ747" s="655"/>
      <c r="GK747" s="4"/>
      <c r="GL747" s="4"/>
      <c r="GM747" s="4"/>
      <c r="GN747" s="4"/>
      <c r="GO747" s="4"/>
      <c r="GP747" s="4"/>
      <c r="GQ747" s="4"/>
      <c r="GR747" s="4"/>
      <c r="GS747" s="4"/>
      <c r="GT747" s="4"/>
      <c r="GU747" s="722"/>
      <c r="GV747" s="715"/>
    </row>
    <row r="748" spans="1:204" x14ac:dyDescent="0.25">
      <c r="A748" t="s">
        <v>2568</v>
      </c>
      <c r="B748" s="2" t="s">
        <v>358</v>
      </c>
      <c r="C748" s="619">
        <v>44901</v>
      </c>
      <c r="D748" s="2" t="s">
        <v>2547</v>
      </c>
      <c r="E748" t="s">
        <v>58</v>
      </c>
      <c r="F748" s="2" t="s">
        <v>2473</v>
      </c>
      <c r="G748" t="s">
        <v>40</v>
      </c>
      <c r="H748" s="690" t="s">
        <v>84</v>
      </c>
      <c r="I748" s="691" t="s">
        <v>2340</v>
      </c>
      <c r="J748" s="721" t="s">
        <v>2341</v>
      </c>
      <c r="K748" s="691" t="s">
        <v>2473</v>
      </c>
      <c r="L748" s="721" t="s">
        <v>2146</v>
      </c>
      <c r="M748" s="718" t="s">
        <v>3</v>
      </c>
      <c r="N748" s="717" t="s">
        <v>44</v>
      </c>
      <c r="O748" s="719">
        <v>44866</v>
      </c>
      <c r="P748" s="720">
        <v>44895</v>
      </c>
      <c r="Q748" s="718">
        <v>-1</v>
      </c>
      <c r="R748" s="717">
        <v>4</v>
      </c>
      <c r="S748" s="691" t="s">
        <v>92</v>
      </c>
      <c r="T748" t="s">
        <v>358</v>
      </c>
      <c r="U748" s="673" t="s">
        <v>358</v>
      </c>
      <c r="V748" s="690" t="s">
        <v>358</v>
      </c>
      <c r="W748" s="657" t="s">
        <v>214</v>
      </c>
      <c r="X748" s="723"/>
      <c r="Y748" s="4"/>
      <c r="Z748" s="4"/>
      <c r="AA748" s="4"/>
      <c r="AB748" s="4"/>
      <c r="AC748" s="4"/>
      <c r="AD748" s="4"/>
      <c r="AE748" s="4"/>
      <c r="AF748" s="4"/>
      <c r="AG748" s="4"/>
      <c r="AH748" s="4">
        <v>4</v>
      </c>
      <c r="AI748" s="654"/>
      <c r="AJ748" s="655"/>
      <c r="AK748" s="4"/>
      <c r="AL748" s="4"/>
      <c r="AM748" s="4"/>
      <c r="AN748" s="4"/>
      <c r="AO748" s="4"/>
      <c r="AP748" s="4"/>
      <c r="AQ748" s="4"/>
      <c r="AR748" s="4"/>
      <c r="AS748" s="4"/>
      <c r="AT748" s="4"/>
      <c r="AU748" s="654"/>
      <c r="AV748" s="655"/>
      <c r="AW748" s="4"/>
      <c r="AX748" s="4"/>
      <c r="AY748" s="4"/>
      <c r="AZ748" s="4"/>
      <c r="BA748" s="4"/>
      <c r="BB748" s="4"/>
      <c r="BC748" s="4"/>
      <c r="BD748" s="4"/>
      <c r="BE748" s="4"/>
      <c r="BF748" s="4"/>
      <c r="BG748" s="654"/>
      <c r="BH748" s="655"/>
      <c r="BI748" s="4"/>
      <c r="BJ748" s="4"/>
      <c r="BK748" s="4"/>
      <c r="BL748" s="4"/>
      <c r="BM748" s="4"/>
      <c r="BN748" s="4"/>
      <c r="BO748" s="4"/>
      <c r="BP748" s="4"/>
      <c r="BQ748" s="4"/>
      <c r="BR748" s="4"/>
      <c r="BS748" s="654"/>
      <c r="BT748" s="655"/>
      <c r="BU748" s="4"/>
      <c r="BV748" s="4"/>
      <c r="BW748" s="4"/>
      <c r="BX748" s="4"/>
      <c r="BY748" s="4"/>
      <c r="BZ748" s="4"/>
      <c r="CA748" s="4"/>
      <c r="CB748" s="4"/>
      <c r="CC748" s="4"/>
      <c r="CD748" s="4"/>
      <c r="CE748" s="693"/>
      <c r="CF748" s="723"/>
      <c r="CG748" s="4"/>
      <c r="CH748" s="4"/>
      <c r="CI748" s="4"/>
      <c r="CJ748" s="4"/>
      <c r="CK748" s="4"/>
      <c r="CL748" s="4"/>
      <c r="CM748" s="4"/>
      <c r="CN748" s="4"/>
      <c r="CO748" s="4"/>
      <c r="CP748" s="4">
        <v>-1</v>
      </c>
      <c r="CQ748" s="654"/>
      <c r="CR748" s="655"/>
      <c r="CS748" s="4"/>
      <c r="CT748" s="4"/>
      <c r="CU748" s="4"/>
      <c r="CV748" s="4"/>
      <c r="CW748" s="4"/>
      <c r="CX748" s="4"/>
      <c r="CY748" s="4"/>
      <c r="CZ748" s="4"/>
      <c r="DA748" s="4"/>
      <c r="DB748" s="4"/>
      <c r="DC748" s="654"/>
      <c r="DD748" s="655"/>
      <c r="DE748" s="4"/>
      <c r="DF748" s="4"/>
      <c r="DG748" s="4"/>
      <c r="DH748" s="4"/>
      <c r="DI748" s="4"/>
      <c r="DJ748" s="4"/>
      <c r="DK748" s="4"/>
      <c r="DL748" s="4"/>
      <c r="DM748" s="4"/>
      <c r="DN748" s="4"/>
      <c r="DO748" s="654"/>
      <c r="DP748" s="655"/>
      <c r="DQ748" s="4"/>
      <c r="DR748" s="4"/>
      <c r="DS748" s="4"/>
      <c r="DT748" s="4"/>
      <c r="DU748" s="4"/>
      <c r="DV748" s="4"/>
      <c r="DW748" s="4"/>
      <c r="DX748" s="4"/>
      <c r="DY748" s="4"/>
      <c r="DZ748" s="4"/>
      <c r="EA748" s="654"/>
      <c r="EB748" s="655"/>
      <c r="EC748" s="4"/>
      <c r="ED748" s="4"/>
      <c r="EE748" s="4"/>
      <c r="EF748" s="4"/>
      <c r="EG748" s="4"/>
      <c r="EH748" s="4"/>
      <c r="EI748" s="4"/>
      <c r="EJ748" s="4"/>
      <c r="EK748" s="4"/>
      <c r="EL748" s="4"/>
      <c r="EM748" s="693"/>
      <c r="EN748" s="723"/>
      <c r="EO748" s="4"/>
      <c r="EP748" s="4"/>
      <c r="EQ748" s="4"/>
      <c r="ER748" s="4"/>
      <c r="ES748" s="4"/>
      <c r="ET748" s="4"/>
      <c r="EU748" s="4"/>
      <c r="EV748" s="4"/>
      <c r="EW748" s="4"/>
      <c r="EX748" s="4">
        <v>54.7</v>
      </c>
      <c r="EY748" s="654"/>
      <c r="EZ748" s="655"/>
      <c r="FA748" s="4"/>
      <c r="FB748" s="4"/>
      <c r="FC748" s="4"/>
      <c r="FD748" s="4"/>
      <c r="FE748" s="4"/>
      <c r="FF748" s="4"/>
      <c r="FG748" s="4"/>
      <c r="FH748" s="4"/>
      <c r="FI748" s="4"/>
      <c r="FJ748" s="4"/>
      <c r="FK748" s="654"/>
      <c r="FL748" s="655"/>
      <c r="FM748" s="4"/>
      <c r="FN748" s="4"/>
      <c r="FO748" s="4"/>
      <c r="FP748" s="4"/>
      <c r="FQ748" s="4"/>
      <c r="FR748" s="4"/>
      <c r="FS748" s="4"/>
      <c r="FT748" s="4"/>
      <c r="FU748" s="4"/>
      <c r="FV748" s="4"/>
      <c r="FW748" s="654"/>
      <c r="FX748" s="655"/>
      <c r="FY748" s="4"/>
      <c r="FZ748" s="4"/>
      <c r="GA748" s="4"/>
      <c r="GB748" s="4"/>
      <c r="GC748" s="4"/>
      <c r="GD748" s="4"/>
      <c r="GE748" s="4"/>
      <c r="GF748" s="4"/>
      <c r="GG748" s="4"/>
      <c r="GH748" s="4"/>
      <c r="GI748" s="654"/>
      <c r="GJ748" s="655"/>
      <c r="GK748" s="4"/>
      <c r="GL748" s="4"/>
      <c r="GM748" s="4"/>
      <c r="GN748" s="4"/>
      <c r="GO748" s="4"/>
      <c r="GP748" s="4"/>
      <c r="GQ748" s="4"/>
      <c r="GR748" s="4"/>
      <c r="GS748" s="4"/>
      <c r="GT748" s="4"/>
      <c r="GU748" s="722"/>
      <c r="GV748" s="715"/>
    </row>
    <row r="749" spans="1:204" x14ac:dyDescent="0.25">
      <c r="A749" t="s">
        <v>2570</v>
      </c>
      <c r="B749" s="2" t="s">
        <v>358</v>
      </c>
      <c r="C749" s="619">
        <v>44902</v>
      </c>
      <c r="D749" s="2" t="s">
        <v>2569</v>
      </c>
      <c r="E749" t="s">
        <v>58</v>
      </c>
      <c r="F749" s="2" t="s">
        <v>2473</v>
      </c>
      <c r="G749" t="s">
        <v>40</v>
      </c>
      <c r="H749" s="690" t="s">
        <v>84</v>
      </c>
      <c r="I749" s="691" t="s">
        <v>405</v>
      </c>
      <c r="J749" s="721" t="s">
        <v>2327</v>
      </c>
      <c r="K749" s="691" t="s">
        <v>2473</v>
      </c>
      <c r="L749" s="721" t="s">
        <v>2146</v>
      </c>
      <c r="M749" s="718" t="s">
        <v>3</v>
      </c>
      <c r="N749" s="717" t="s">
        <v>44</v>
      </c>
      <c r="O749" s="719">
        <v>44866</v>
      </c>
      <c r="P749" s="720">
        <v>44895</v>
      </c>
      <c r="Q749" s="718">
        <v>-1</v>
      </c>
      <c r="R749" s="717">
        <v>4.4000000000000004</v>
      </c>
      <c r="S749" s="691" t="s">
        <v>92</v>
      </c>
      <c r="T749" t="s">
        <v>358</v>
      </c>
      <c r="U749" s="673" t="s">
        <v>358</v>
      </c>
      <c r="V749" s="690" t="s">
        <v>358</v>
      </c>
      <c r="W749" s="657" t="s">
        <v>214</v>
      </c>
      <c r="X749" s="723"/>
      <c r="Y749" s="4"/>
      <c r="Z749" s="4"/>
      <c r="AA749" s="4"/>
      <c r="AB749" s="4"/>
      <c r="AC749" s="4"/>
      <c r="AD749" s="4"/>
      <c r="AE749" s="4"/>
      <c r="AF749" s="4"/>
      <c r="AG749" s="4"/>
      <c r="AH749" s="4">
        <v>4.4000000000000004</v>
      </c>
      <c r="AI749" s="654"/>
      <c r="AJ749" s="655"/>
      <c r="AK749" s="4"/>
      <c r="AL749" s="4"/>
      <c r="AM749" s="4"/>
      <c r="AN749" s="4"/>
      <c r="AO749" s="4"/>
      <c r="AP749" s="4"/>
      <c r="AQ749" s="4"/>
      <c r="AR749" s="4"/>
      <c r="AS749" s="4"/>
      <c r="AT749" s="4"/>
      <c r="AU749" s="654"/>
      <c r="AV749" s="655"/>
      <c r="AW749" s="4"/>
      <c r="AX749" s="4"/>
      <c r="AY749" s="4"/>
      <c r="AZ749" s="4"/>
      <c r="BA749" s="4"/>
      <c r="BB749" s="4"/>
      <c r="BC749" s="4"/>
      <c r="BD749" s="4"/>
      <c r="BE749" s="4"/>
      <c r="BF749" s="4"/>
      <c r="BG749" s="654"/>
      <c r="BH749" s="655"/>
      <c r="BI749" s="4"/>
      <c r="BJ749" s="4"/>
      <c r="BK749" s="4"/>
      <c r="BL749" s="4"/>
      <c r="BM749" s="4"/>
      <c r="BN749" s="4"/>
      <c r="BO749" s="4"/>
      <c r="BP749" s="4"/>
      <c r="BQ749" s="4"/>
      <c r="BR749" s="4"/>
      <c r="BS749" s="654"/>
      <c r="BT749" s="655"/>
      <c r="BU749" s="4"/>
      <c r="BV749" s="4"/>
      <c r="BW749" s="4"/>
      <c r="BX749" s="4"/>
      <c r="BY749" s="4"/>
      <c r="BZ749" s="4"/>
      <c r="CA749" s="4"/>
      <c r="CB749" s="4"/>
      <c r="CC749" s="4"/>
      <c r="CD749" s="4"/>
      <c r="CE749" s="693"/>
      <c r="CF749" s="723"/>
      <c r="CG749" s="4"/>
      <c r="CH749" s="4"/>
      <c r="CI749" s="4"/>
      <c r="CJ749" s="4"/>
      <c r="CK749" s="4"/>
      <c r="CL749" s="4"/>
      <c r="CM749" s="4"/>
      <c r="CN749" s="4"/>
      <c r="CO749" s="4"/>
      <c r="CP749" s="4">
        <v>-1</v>
      </c>
      <c r="CQ749" s="654"/>
      <c r="CR749" s="655"/>
      <c r="CS749" s="4"/>
      <c r="CT749" s="4"/>
      <c r="CU749" s="4"/>
      <c r="CV749" s="4"/>
      <c r="CW749" s="4"/>
      <c r="CX749" s="4"/>
      <c r="CY749" s="4"/>
      <c r="CZ749" s="4"/>
      <c r="DA749" s="4"/>
      <c r="DB749" s="4"/>
      <c r="DC749" s="654"/>
      <c r="DD749" s="655"/>
      <c r="DE749" s="4"/>
      <c r="DF749" s="4"/>
      <c r="DG749" s="4"/>
      <c r="DH749" s="4"/>
      <c r="DI749" s="4"/>
      <c r="DJ749" s="4"/>
      <c r="DK749" s="4"/>
      <c r="DL749" s="4"/>
      <c r="DM749" s="4"/>
      <c r="DN749" s="4"/>
      <c r="DO749" s="654"/>
      <c r="DP749" s="655"/>
      <c r="DQ749" s="4"/>
      <c r="DR749" s="4"/>
      <c r="DS749" s="4"/>
      <c r="DT749" s="4"/>
      <c r="DU749" s="4"/>
      <c r="DV749" s="4"/>
      <c r="DW749" s="4"/>
      <c r="DX749" s="4"/>
      <c r="DY749" s="4"/>
      <c r="DZ749" s="4"/>
      <c r="EA749" s="654"/>
      <c r="EB749" s="655"/>
      <c r="EC749" s="4"/>
      <c r="ED749" s="4"/>
      <c r="EE749" s="4"/>
      <c r="EF749" s="4"/>
      <c r="EG749" s="4"/>
      <c r="EH749" s="4"/>
      <c r="EI749" s="4"/>
      <c r="EJ749" s="4"/>
      <c r="EK749" s="4"/>
      <c r="EL749" s="4"/>
      <c r="EM749" s="693"/>
      <c r="EN749" s="723"/>
      <c r="EO749" s="4"/>
      <c r="EP749" s="4"/>
      <c r="EQ749" s="4"/>
      <c r="ER749" s="4"/>
      <c r="ES749" s="4"/>
      <c r="ET749" s="4"/>
      <c r="EU749" s="4"/>
      <c r="EV749" s="4"/>
      <c r="EW749" s="4"/>
      <c r="EX749" s="4">
        <v>54.7</v>
      </c>
      <c r="EY749" s="654"/>
      <c r="EZ749" s="655"/>
      <c r="FA749" s="4"/>
      <c r="FB749" s="4"/>
      <c r="FC749" s="4"/>
      <c r="FD749" s="4"/>
      <c r="FE749" s="4"/>
      <c r="FF749" s="4"/>
      <c r="FG749" s="4"/>
      <c r="FH749" s="4"/>
      <c r="FI749" s="4"/>
      <c r="FJ749" s="4"/>
      <c r="FK749" s="654"/>
      <c r="FL749" s="655"/>
      <c r="FM749" s="4"/>
      <c r="FN749" s="4"/>
      <c r="FO749" s="4"/>
      <c r="FP749" s="4"/>
      <c r="FQ749" s="4"/>
      <c r="FR749" s="4"/>
      <c r="FS749" s="4"/>
      <c r="FT749" s="4"/>
      <c r="FU749" s="4"/>
      <c r="FV749" s="4"/>
      <c r="FW749" s="654"/>
      <c r="FX749" s="655"/>
      <c r="FY749" s="4"/>
      <c r="FZ749" s="4"/>
      <c r="GA749" s="4"/>
      <c r="GB749" s="4"/>
      <c r="GC749" s="4"/>
      <c r="GD749" s="4"/>
      <c r="GE749" s="4"/>
      <c r="GF749" s="4"/>
      <c r="GG749" s="4"/>
      <c r="GH749" s="4"/>
      <c r="GI749" s="654"/>
      <c r="GJ749" s="655"/>
      <c r="GK749" s="4"/>
      <c r="GL749" s="4"/>
      <c r="GM749" s="4"/>
      <c r="GN749" s="4"/>
      <c r="GO749" s="4"/>
      <c r="GP749" s="4"/>
      <c r="GQ749" s="4"/>
      <c r="GR749" s="4"/>
      <c r="GS749" s="4"/>
      <c r="GT749" s="4"/>
      <c r="GU749" s="722"/>
      <c r="GV749" s="715"/>
    </row>
    <row r="750" spans="1:204" x14ac:dyDescent="0.25">
      <c r="A750" t="s">
        <v>2572</v>
      </c>
      <c r="B750" s="2" t="s">
        <v>2571</v>
      </c>
      <c r="C750" s="619">
        <v>44903</v>
      </c>
      <c r="D750" s="2">
        <v>27909</v>
      </c>
      <c r="E750" t="s">
        <v>59</v>
      </c>
      <c r="F750" s="2" t="s">
        <v>2473</v>
      </c>
      <c r="G750" t="s">
        <v>40</v>
      </c>
      <c r="H750" s="690" t="s">
        <v>85</v>
      </c>
      <c r="I750" s="691" t="s">
        <v>2473</v>
      </c>
      <c r="J750" s="721" t="s">
        <v>2146</v>
      </c>
      <c r="K750" s="691" t="s">
        <v>876</v>
      </c>
      <c r="L750" s="721" t="s">
        <v>2368</v>
      </c>
      <c r="M750" s="718" t="s">
        <v>3</v>
      </c>
      <c r="N750" s="717" t="s">
        <v>11</v>
      </c>
      <c r="O750" s="719">
        <v>45658</v>
      </c>
      <c r="P750" s="720">
        <v>46022</v>
      </c>
      <c r="Q750" s="718">
        <v>130</v>
      </c>
      <c r="R750" s="717">
        <v>35</v>
      </c>
      <c r="S750" s="691" t="s">
        <v>54</v>
      </c>
      <c r="T750" t="s">
        <v>649</v>
      </c>
      <c r="U750" s="673">
        <v>44896</v>
      </c>
      <c r="V750" s="690">
        <v>1</v>
      </c>
      <c r="W750" s="657" t="s">
        <v>329</v>
      </c>
      <c r="X750" s="723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654"/>
      <c r="AJ750" s="655"/>
      <c r="AK750" s="4"/>
      <c r="AL750" s="4"/>
      <c r="AM750" s="4"/>
      <c r="AN750" s="4"/>
      <c r="AO750" s="4"/>
      <c r="AP750" s="4"/>
      <c r="AQ750" s="4"/>
      <c r="AR750" s="4"/>
      <c r="AS750" s="4"/>
      <c r="AT750" s="4"/>
      <c r="AU750" s="654"/>
      <c r="AV750" s="655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654"/>
      <c r="BH750" s="655">
        <v>35</v>
      </c>
      <c r="BI750" s="4">
        <v>35</v>
      </c>
      <c r="BJ750" s="4">
        <v>35</v>
      </c>
      <c r="BK750" s="4">
        <v>35</v>
      </c>
      <c r="BL750" s="4">
        <v>35</v>
      </c>
      <c r="BM750" s="4">
        <v>35</v>
      </c>
      <c r="BN750" s="4">
        <v>35</v>
      </c>
      <c r="BO750" s="4">
        <v>35</v>
      </c>
      <c r="BP750" s="4">
        <v>35</v>
      </c>
      <c r="BQ750" s="4">
        <v>35</v>
      </c>
      <c r="BR750" s="4">
        <v>35</v>
      </c>
      <c r="BS750" s="654">
        <v>35</v>
      </c>
      <c r="BT750" s="655"/>
      <c r="BU750" s="4"/>
      <c r="BV750" s="4"/>
      <c r="BW750" s="4"/>
      <c r="BX750" s="4"/>
      <c r="BY750" s="4"/>
      <c r="BZ750" s="4"/>
      <c r="CA750" s="4"/>
      <c r="CB750" s="4"/>
      <c r="CC750" s="4"/>
      <c r="CD750" s="4"/>
      <c r="CE750" s="693"/>
      <c r="CF750" s="723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654"/>
      <c r="CR750" s="655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654"/>
      <c r="DD750" s="655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654"/>
      <c r="DP750" s="655">
        <v>130.62395100724254</v>
      </c>
      <c r="DQ750" s="4">
        <v>130.62395100724254</v>
      </c>
      <c r="DR750" s="4">
        <v>130.62395100724254</v>
      </c>
      <c r="DS750" s="4">
        <v>130.62395100724254</v>
      </c>
      <c r="DT750" s="4">
        <v>130.62395100724254</v>
      </c>
      <c r="DU750" s="4">
        <v>130.62395100724254</v>
      </c>
      <c r="DV750" s="4">
        <v>130.62395100724254</v>
      </c>
      <c r="DW750" s="4">
        <v>130.62395100724254</v>
      </c>
      <c r="DX750" s="4">
        <v>130.62395100724254</v>
      </c>
      <c r="DY750" s="4">
        <v>130.62395100724254</v>
      </c>
      <c r="DZ750" s="4">
        <v>130.62395100724254</v>
      </c>
      <c r="EA750" s="654">
        <v>130.62395100724254</v>
      </c>
      <c r="EB750" s="655"/>
      <c r="EC750" s="4"/>
      <c r="ED750" s="4"/>
      <c r="EE750" s="4"/>
      <c r="EF750" s="4"/>
      <c r="EG750" s="4"/>
      <c r="EH750" s="4"/>
      <c r="EI750" s="4"/>
      <c r="EJ750" s="4"/>
      <c r="EK750" s="4"/>
      <c r="EL750" s="4"/>
      <c r="EM750" s="693"/>
      <c r="EN750" s="723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654"/>
      <c r="EZ750" s="655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654"/>
      <c r="FL750" s="655"/>
      <c r="FM750" s="4"/>
      <c r="FN750" s="4"/>
      <c r="FO750" s="4"/>
      <c r="FP750" s="4"/>
      <c r="FQ750" s="4"/>
      <c r="FR750" s="4"/>
      <c r="FS750" s="4"/>
      <c r="FT750" s="4"/>
      <c r="FU750" s="4"/>
      <c r="FV750" s="4"/>
      <c r="FW750" s="654"/>
      <c r="FX750" s="655">
        <v>130.62395100724254</v>
      </c>
      <c r="FY750" s="4">
        <v>130.62395100724254</v>
      </c>
      <c r="FZ750" s="4">
        <v>130.62395100724254</v>
      </c>
      <c r="GA750" s="4">
        <v>130.62395100724254</v>
      </c>
      <c r="GB750" s="4">
        <v>130.62395100724254</v>
      </c>
      <c r="GC750" s="4">
        <v>130.62395100724254</v>
      </c>
      <c r="GD750" s="4">
        <v>130.62395100724254</v>
      </c>
      <c r="GE750" s="4">
        <v>130.62395100724254</v>
      </c>
      <c r="GF750" s="4">
        <v>130.62395100724254</v>
      </c>
      <c r="GG750" s="4">
        <v>130.62395100724254</v>
      </c>
      <c r="GH750" s="4">
        <v>130.62395100724254</v>
      </c>
      <c r="GI750" s="654">
        <v>130.62395100724254</v>
      </c>
      <c r="GJ750" s="655"/>
      <c r="GK750" s="4"/>
      <c r="GL750" s="4"/>
      <c r="GM750" s="4"/>
      <c r="GN750" s="4"/>
      <c r="GO750" s="4"/>
      <c r="GP750" s="4"/>
      <c r="GQ750" s="4"/>
      <c r="GR750" s="4"/>
      <c r="GS750" s="4"/>
      <c r="GT750" s="4"/>
      <c r="GU750" s="722"/>
      <c r="GV750" s="715"/>
    </row>
    <row r="751" spans="1:204" x14ac:dyDescent="0.25">
      <c r="A751" t="s">
        <v>2576</v>
      </c>
      <c r="B751" s="2" t="s">
        <v>358</v>
      </c>
      <c r="C751" s="619">
        <v>44910</v>
      </c>
      <c r="D751" s="2" t="s">
        <v>2573</v>
      </c>
      <c r="E751" t="s">
        <v>59</v>
      </c>
      <c r="F751" s="2" t="s">
        <v>2473</v>
      </c>
      <c r="G751" t="s">
        <v>40</v>
      </c>
      <c r="H751" s="690" t="s">
        <v>85</v>
      </c>
      <c r="I751" s="691" t="s">
        <v>2473</v>
      </c>
      <c r="J751" s="721"/>
      <c r="K751" s="691" t="s">
        <v>465</v>
      </c>
      <c r="L751" s="721"/>
      <c r="M751" s="718" t="s">
        <v>3</v>
      </c>
      <c r="N751" s="717" t="s">
        <v>44</v>
      </c>
      <c r="O751" s="719">
        <v>45108</v>
      </c>
      <c r="P751" s="720">
        <v>45170</v>
      </c>
      <c r="Q751" s="718">
        <v>91</v>
      </c>
      <c r="R751" s="717">
        <v>1.5</v>
      </c>
      <c r="S751" s="691" t="s">
        <v>54</v>
      </c>
      <c r="T751" t="s">
        <v>358</v>
      </c>
      <c r="U751" s="673" t="s">
        <v>358</v>
      </c>
      <c r="V751" s="690" t="s">
        <v>358</v>
      </c>
      <c r="W751" s="657" t="s">
        <v>214</v>
      </c>
      <c r="X751" s="723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654"/>
      <c r="AJ751" s="655"/>
      <c r="AK751" s="4"/>
      <c r="AL751" s="4"/>
      <c r="AM751" s="4"/>
      <c r="AN751" s="4"/>
      <c r="AO751" s="4"/>
      <c r="AP751" s="4">
        <v>1.5</v>
      </c>
      <c r="AQ751" s="4">
        <v>1.5</v>
      </c>
      <c r="AR751" s="4">
        <v>1.5</v>
      </c>
      <c r="AS751" s="4"/>
      <c r="AT751" s="4"/>
      <c r="AU751" s="654"/>
      <c r="AV751" s="655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654"/>
      <c r="BH751" s="655"/>
      <c r="BI751" s="4"/>
      <c r="BJ751" s="4"/>
      <c r="BK751" s="4"/>
      <c r="BL751" s="4"/>
      <c r="BM751" s="4"/>
      <c r="BN751" s="4"/>
      <c r="BO751" s="4"/>
      <c r="BP751" s="4"/>
      <c r="BQ751" s="4"/>
      <c r="BR751" s="4"/>
      <c r="BS751" s="654"/>
      <c r="BT751" s="655"/>
      <c r="BU751" s="4"/>
      <c r="BV751" s="4"/>
      <c r="BW751" s="4"/>
      <c r="BX751" s="4"/>
      <c r="BY751" s="4"/>
      <c r="BZ751" s="4"/>
      <c r="CA751" s="4"/>
      <c r="CB751" s="4"/>
      <c r="CC751" s="4"/>
      <c r="CD751" s="4"/>
      <c r="CE751" s="693"/>
      <c r="CF751" s="723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654"/>
      <c r="CR751" s="655"/>
      <c r="CS751" s="4"/>
      <c r="CT751" s="4"/>
      <c r="CU751" s="4"/>
      <c r="CV751" s="4"/>
      <c r="CW751" s="4"/>
      <c r="CX751" s="4">
        <v>91</v>
      </c>
      <c r="CY751" s="4">
        <v>91</v>
      </c>
      <c r="CZ751" s="4">
        <v>91</v>
      </c>
      <c r="DA751" s="4"/>
      <c r="DB751" s="4"/>
      <c r="DC751" s="654"/>
      <c r="DD751" s="655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654"/>
      <c r="DP751" s="655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654"/>
      <c r="EB751" s="655"/>
      <c r="EC751" s="4"/>
      <c r="ED751" s="4"/>
      <c r="EE751" s="4"/>
      <c r="EF751" s="4"/>
      <c r="EG751" s="4"/>
      <c r="EH751" s="4"/>
      <c r="EI751" s="4"/>
      <c r="EJ751" s="4"/>
      <c r="EK751" s="4"/>
      <c r="EL751" s="4"/>
      <c r="EM751" s="693"/>
      <c r="EN751" s="723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654"/>
      <c r="EZ751" s="655"/>
      <c r="FA751" s="4"/>
      <c r="FB751" s="4"/>
      <c r="FC751" s="4"/>
      <c r="FD751" s="4"/>
      <c r="FE751" s="4"/>
      <c r="FF751" s="4">
        <v>91</v>
      </c>
      <c r="FG751" s="4">
        <v>91</v>
      </c>
      <c r="FH751" s="4">
        <v>91</v>
      </c>
      <c r="FI751" s="4"/>
      <c r="FJ751" s="4"/>
      <c r="FK751" s="654"/>
      <c r="FL751" s="655"/>
      <c r="FM751" s="4"/>
      <c r="FN751" s="4"/>
      <c r="FO751" s="4"/>
      <c r="FP751" s="4"/>
      <c r="FQ751" s="4"/>
      <c r="FR751" s="4"/>
      <c r="FS751" s="4"/>
      <c r="FT751" s="4"/>
      <c r="FU751" s="4"/>
      <c r="FV751" s="4"/>
      <c r="FW751" s="654"/>
      <c r="FX751" s="655"/>
      <c r="FY751" s="4"/>
      <c r="FZ751" s="4"/>
      <c r="GA751" s="4"/>
      <c r="GB751" s="4"/>
      <c r="GC751" s="4"/>
      <c r="GD751" s="4"/>
      <c r="GE751" s="4"/>
      <c r="GF751" s="4"/>
      <c r="GG751" s="4"/>
      <c r="GH751" s="4"/>
      <c r="GI751" s="654"/>
      <c r="GJ751" s="655"/>
      <c r="GK751" s="4"/>
      <c r="GL751" s="4"/>
      <c r="GM751" s="4"/>
      <c r="GN751" s="4"/>
      <c r="GO751" s="4"/>
      <c r="GP751" s="4"/>
      <c r="GQ751" s="4"/>
      <c r="GR751" s="4"/>
      <c r="GS751" s="4"/>
      <c r="GT751" s="4"/>
      <c r="GU751" s="722"/>
      <c r="GV751" s="715"/>
    </row>
    <row r="752" spans="1:204" x14ac:dyDescent="0.25">
      <c r="A752" t="s">
        <v>2577</v>
      </c>
      <c r="B752" s="2" t="s">
        <v>358</v>
      </c>
      <c r="C752" s="619">
        <v>44910</v>
      </c>
      <c r="D752" s="2" t="s">
        <v>2574</v>
      </c>
      <c r="E752" t="s">
        <v>59</v>
      </c>
      <c r="F752" s="2" t="s">
        <v>2473</v>
      </c>
      <c r="G752" t="s">
        <v>40</v>
      </c>
      <c r="H752" s="690" t="s">
        <v>85</v>
      </c>
      <c r="I752" s="691" t="s">
        <v>2473</v>
      </c>
      <c r="J752" s="721"/>
      <c r="K752" s="691" t="s">
        <v>465</v>
      </c>
      <c r="L752" s="721"/>
      <c r="M752" s="718" t="s">
        <v>3</v>
      </c>
      <c r="N752" s="717" t="s">
        <v>44</v>
      </c>
      <c r="O752" s="719">
        <v>45108</v>
      </c>
      <c r="P752" s="720">
        <v>45170</v>
      </c>
      <c r="Q752" s="718">
        <v>91</v>
      </c>
      <c r="R752" s="717">
        <v>3</v>
      </c>
      <c r="S752" s="691" t="s">
        <v>54</v>
      </c>
      <c r="T752" t="s">
        <v>358</v>
      </c>
      <c r="U752" s="673" t="s">
        <v>358</v>
      </c>
      <c r="V752" s="690" t="s">
        <v>358</v>
      </c>
      <c r="W752" s="657" t="s">
        <v>214</v>
      </c>
      <c r="X752" s="723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654"/>
      <c r="AJ752" s="655"/>
      <c r="AK752" s="4"/>
      <c r="AL752" s="4"/>
      <c r="AM752" s="4"/>
      <c r="AN752" s="4"/>
      <c r="AO752" s="4"/>
      <c r="AP752" s="4">
        <v>3</v>
      </c>
      <c r="AQ752" s="4">
        <v>3</v>
      </c>
      <c r="AR752" s="4">
        <v>3</v>
      </c>
      <c r="AS752" s="4"/>
      <c r="AT752" s="4"/>
      <c r="AU752" s="654"/>
      <c r="AV752" s="655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654"/>
      <c r="BH752" s="655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654"/>
      <c r="BT752" s="655"/>
      <c r="BU752" s="4"/>
      <c r="BV752" s="4"/>
      <c r="BW752" s="4"/>
      <c r="BX752" s="4"/>
      <c r="BY752" s="4"/>
      <c r="BZ752" s="4"/>
      <c r="CA752" s="4"/>
      <c r="CB752" s="4"/>
      <c r="CC752" s="4"/>
      <c r="CD752" s="4"/>
      <c r="CE752" s="693"/>
      <c r="CF752" s="723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654"/>
      <c r="CR752" s="655"/>
      <c r="CS752" s="4"/>
      <c r="CT752" s="4"/>
      <c r="CU752" s="4"/>
      <c r="CV752" s="4"/>
      <c r="CW752" s="4"/>
      <c r="CX752" s="4">
        <v>91</v>
      </c>
      <c r="CY752" s="4">
        <v>91</v>
      </c>
      <c r="CZ752" s="4">
        <v>91</v>
      </c>
      <c r="DA752" s="4"/>
      <c r="DB752" s="4"/>
      <c r="DC752" s="654"/>
      <c r="DD752" s="655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654"/>
      <c r="DP752" s="655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654"/>
      <c r="EB752" s="655"/>
      <c r="EC752" s="4"/>
      <c r="ED752" s="4"/>
      <c r="EE752" s="4"/>
      <c r="EF752" s="4"/>
      <c r="EG752" s="4"/>
      <c r="EH752" s="4"/>
      <c r="EI752" s="4"/>
      <c r="EJ752" s="4"/>
      <c r="EK752" s="4"/>
      <c r="EL752" s="4"/>
      <c r="EM752" s="693"/>
      <c r="EN752" s="723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654"/>
      <c r="EZ752" s="655"/>
      <c r="FA752" s="4"/>
      <c r="FB752" s="4"/>
      <c r="FC752" s="4"/>
      <c r="FD752" s="4"/>
      <c r="FE752" s="4"/>
      <c r="FF752" s="4">
        <v>91</v>
      </c>
      <c r="FG752" s="4">
        <v>91</v>
      </c>
      <c r="FH752" s="4">
        <v>91</v>
      </c>
      <c r="FI752" s="4"/>
      <c r="FJ752" s="4"/>
      <c r="FK752" s="654"/>
      <c r="FL752" s="655"/>
      <c r="FM752" s="4"/>
      <c r="FN752" s="4"/>
      <c r="FO752" s="4"/>
      <c r="FP752" s="4"/>
      <c r="FQ752" s="4"/>
      <c r="FR752" s="4"/>
      <c r="FS752" s="4"/>
      <c r="FT752" s="4"/>
      <c r="FU752" s="4"/>
      <c r="FV752" s="4"/>
      <c r="FW752" s="654"/>
      <c r="FX752" s="655"/>
      <c r="FY752" s="4"/>
      <c r="FZ752" s="4"/>
      <c r="GA752" s="4"/>
      <c r="GB752" s="4"/>
      <c r="GC752" s="4"/>
      <c r="GD752" s="4"/>
      <c r="GE752" s="4"/>
      <c r="GF752" s="4"/>
      <c r="GG752" s="4"/>
      <c r="GH752" s="4"/>
      <c r="GI752" s="654"/>
      <c r="GJ752" s="655"/>
      <c r="GK752" s="4"/>
      <c r="GL752" s="4"/>
      <c r="GM752" s="4"/>
      <c r="GN752" s="4"/>
      <c r="GO752" s="4"/>
      <c r="GP752" s="4"/>
      <c r="GQ752" s="4"/>
      <c r="GR752" s="4"/>
      <c r="GS752" s="4"/>
      <c r="GT752" s="4"/>
      <c r="GU752" s="722"/>
      <c r="GV752" s="715"/>
    </row>
    <row r="753" spans="1:204" x14ac:dyDescent="0.25">
      <c r="A753" t="s">
        <v>2578</v>
      </c>
      <c r="B753" s="2" t="s">
        <v>358</v>
      </c>
      <c r="C753" s="619">
        <v>44910</v>
      </c>
      <c r="D753" s="2" t="s">
        <v>2575</v>
      </c>
      <c r="E753" t="s">
        <v>58</v>
      </c>
      <c r="F753" s="2" t="s">
        <v>2473</v>
      </c>
      <c r="G753" t="s">
        <v>40</v>
      </c>
      <c r="H753" s="690" t="s">
        <v>84</v>
      </c>
      <c r="I753" s="691" t="s">
        <v>509</v>
      </c>
      <c r="J753" s="721"/>
      <c r="K753" s="691" t="s">
        <v>2473</v>
      </c>
      <c r="L753" s="721"/>
      <c r="M753" s="718" t="s">
        <v>3</v>
      </c>
      <c r="N753" s="717" t="s">
        <v>44</v>
      </c>
      <c r="O753" s="719">
        <v>45017</v>
      </c>
      <c r="P753" s="720">
        <v>45078</v>
      </c>
      <c r="Q753" s="718">
        <v>73</v>
      </c>
      <c r="R753" s="717">
        <v>3</v>
      </c>
      <c r="S753" s="691" t="s">
        <v>54</v>
      </c>
      <c r="T753" t="s">
        <v>358</v>
      </c>
      <c r="U753" s="673" t="s">
        <v>358</v>
      </c>
      <c r="V753" s="690" t="s">
        <v>358</v>
      </c>
      <c r="W753" s="657" t="s">
        <v>214</v>
      </c>
      <c r="X753" s="723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654"/>
      <c r="AJ753" s="655"/>
      <c r="AK753" s="4"/>
      <c r="AL753" s="4"/>
      <c r="AM753" s="4">
        <v>3</v>
      </c>
      <c r="AN753" s="4">
        <v>3</v>
      </c>
      <c r="AO753" s="4">
        <v>3</v>
      </c>
      <c r="AP753" s="4"/>
      <c r="AQ753" s="4"/>
      <c r="AR753" s="4"/>
      <c r="AS753" s="4"/>
      <c r="AT753" s="4"/>
      <c r="AU753" s="654"/>
      <c r="AV753" s="655"/>
      <c r="AW753" s="4"/>
      <c r="AX753" s="4"/>
      <c r="AY753" s="4"/>
      <c r="AZ753" s="4"/>
      <c r="BA753" s="4"/>
      <c r="BB753" s="4"/>
      <c r="BC753" s="4"/>
      <c r="BD753" s="4"/>
      <c r="BE753" s="4"/>
      <c r="BF753" s="4"/>
      <c r="BG753" s="654"/>
      <c r="BH753" s="655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654"/>
      <c r="BT753" s="655"/>
      <c r="BU753" s="4"/>
      <c r="BV753" s="4"/>
      <c r="BW753" s="4"/>
      <c r="BX753" s="4"/>
      <c r="BY753" s="4"/>
      <c r="BZ753" s="4"/>
      <c r="CA753" s="4"/>
      <c r="CB753" s="4"/>
      <c r="CC753" s="4"/>
      <c r="CD753" s="4"/>
      <c r="CE753" s="693"/>
      <c r="CF753" s="723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654"/>
      <c r="CR753" s="655"/>
      <c r="CS753" s="4"/>
      <c r="CT753" s="4"/>
      <c r="CU753" s="4">
        <v>73</v>
      </c>
      <c r="CV753" s="4">
        <v>73</v>
      </c>
      <c r="CW753" s="4">
        <v>73</v>
      </c>
      <c r="CX753" s="4"/>
      <c r="CY753" s="4"/>
      <c r="CZ753" s="4"/>
      <c r="DA753" s="4"/>
      <c r="DB753" s="4"/>
      <c r="DC753" s="654"/>
      <c r="DD753" s="655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654"/>
      <c r="DP753" s="655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654"/>
      <c r="EB753" s="655"/>
      <c r="EC753" s="4"/>
      <c r="ED753" s="4"/>
      <c r="EE753" s="4"/>
      <c r="EF753" s="4"/>
      <c r="EG753" s="4"/>
      <c r="EH753" s="4"/>
      <c r="EI753" s="4"/>
      <c r="EJ753" s="4"/>
      <c r="EK753" s="4"/>
      <c r="EL753" s="4"/>
      <c r="EM753" s="693"/>
      <c r="EN753" s="723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654"/>
      <c r="EZ753" s="655"/>
      <c r="FA753" s="4"/>
      <c r="FB753" s="4"/>
      <c r="FC753" s="4">
        <v>73</v>
      </c>
      <c r="FD753" s="4">
        <v>73</v>
      </c>
      <c r="FE753" s="4">
        <v>73</v>
      </c>
      <c r="FF753" s="4"/>
      <c r="FG753" s="4"/>
      <c r="FH753" s="4"/>
      <c r="FI753" s="4"/>
      <c r="FJ753" s="4"/>
      <c r="FK753" s="654"/>
      <c r="FL753" s="655"/>
      <c r="FM753" s="4"/>
      <c r="FN753" s="4"/>
      <c r="FO753" s="4"/>
      <c r="FP753" s="4"/>
      <c r="FQ753" s="4"/>
      <c r="FR753" s="4"/>
      <c r="FS753" s="4"/>
      <c r="FT753" s="4"/>
      <c r="FU753" s="4"/>
      <c r="FV753" s="4"/>
      <c r="FW753" s="654"/>
      <c r="FX753" s="655"/>
      <c r="FY753" s="4"/>
      <c r="FZ753" s="4"/>
      <c r="GA753" s="4"/>
      <c r="GB753" s="4"/>
      <c r="GC753" s="4"/>
      <c r="GD753" s="4"/>
      <c r="GE753" s="4"/>
      <c r="GF753" s="4"/>
      <c r="GG753" s="4"/>
      <c r="GH753" s="4"/>
      <c r="GI753" s="654"/>
      <c r="GJ753" s="655"/>
      <c r="GK753" s="4"/>
      <c r="GL753" s="4"/>
      <c r="GM753" s="4"/>
      <c r="GN753" s="4"/>
      <c r="GO753" s="4"/>
      <c r="GP753" s="4"/>
      <c r="GQ753" s="4"/>
      <c r="GR753" s="4"/>
      <c r="GS753" s="4"/>
      <c r="GT753" s="4"/>
      <c r="GU753" s="722"/>
      <c r="GV753" s="715"/>
    </row>
    <row r="754" spans="1:204" x14ac:dyDescent="0.25">
      <c r="A754" t="s">
        <v>2583</v>
      </c>
      <c r="B754" s="2" t="s">
        <v>358</v>
      </c>
      <c r="C754" s="619">
        <v>44915</v>
      </c>
      <c r="D754" s="2" t="s">
        <v>2580</v>
      </c>
      <c r="E754" t="s">
        <v>59</v>
      </c>
      <c r="F754" s="2" t="s">
        <v>2473</v>
      </c>
      <c r="G754" t="s">
        <v>40</v>
      </c>
      <c r="H754" s="690" t="s">
        <v>85</v>
      </c>
      <c r="I754" s="691" t="s">
        <v>2473</v>
      </c>
      <c r="J754" s="721" t="s">
        <v>2146</v>
      </c>
      <c r="K754" s="691" t="s">
        <v>2581</v>
      </c>
      <c r="L754" s="721" t="s">
        <v>2582</v>
      </c>
      <c r="M754" s="718" t="s">
        <v>3</v>
      </c>
      <c r="N754" s="717" t="s">
        <v>44</v>
      </c>
      <c r="O754" s="719">
        <v>45292</v>
      </c>
      <c r="P754" s="720">
        <v>45657</v>
      </c>
      <c r="Q754" s="718">
        <v>115</v>
      </c>
      <c r="R754" s="717">
        <v>2</v>
      </c>
      <c r="S754" s="691" t="s">
        <v>54</v>
      </c>
      <c r="T754" t="s">
        <v>649</v>
      </c>
      <c r="U754" s="673">
        <v>44915</v>
      </c>
      <c r="V754" s="690">
        <v>1</v>
      </c>
      <c r="W754" s="657" t="s">
        <v>214</v>
      </c>
      <c r="X754" s="723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654"/>
      <c r="AJ754" s="655"/>
      <c r="AK754" s="4"/>
      <c r="AL754" s="4"/>
      <c r="AM754" s="4"/>
      <c r="AN754" s="4"/>
      <c r="AO754" s="4"/>
      <c r="AP754" s="4"/>
      <c r="AQ754" s="4"/>
      <c r="AR754" s="4"/>
      <c r="AS754" s="4"/>
      <c r="AT754" s="4"/>
      <c r="AU754" s="654"/>
      <c r="AV754" s="655">
        <v>2</v>
      </c>
      <c r="AW754" s="4">
        <v>2</v>
      </c>
      <c r="AX754" s="4">
        <v>2</v>
      </c>
      <c r="AY754" s="4">
        <v>2</v>
      </c>
      <c r="AZ754" s="4">
        <v>2</v>
      </c>
      <c r="BA754" s="4">
        <v>2</v>
      </c>
      <c r="BB754" s="4">
        <v>2</v>
      </c>
      <c r="BC754" s="4">
        <v>2</v>
      </c>
      <c r="BD754" s="4">
        <v>2</v>
      </c>
      <c r="BE754" s="4">
        <v>2</v>
      </c>
      <c r="BF754" s="4">
        <v>2</v>
      </c>
      <c r="BG754" s="654">
        <v>2</v>
      </c>
      <c r="BH754" s="655"/>
      <c r="BI754" s="4"/>
      <c r="BJ754" s="4"/>
      <c r="BK754" s="4"/>
      <c r="BL754" s="4"/>
      <c r="BM754" s="4"/>
      <c r="BN754" s="4"/>
      <c r="BO754" s="4"/>
      <c r="BP754" s="4"/>
      <c r="BQ754" s="4"/>
      <c r="BR754" s="4"/>
      <c r="BS754" s="654"/>
      <c r="BT754" s="655"/>
      <c r="BU754" s="4"/>
      <c r="BV754" s="4"/>
      <c r="BW754" s="4"/>
      <c r="BX754" s="4"/>
      <c r="BY754" s="4"/>
      <c r="BZ754" s="4"/>
      <c r="CA754" s="4"/>
      <c r="CB754" s="4"/>
      <c r="CC754" s="4"/>
      <c r="CD754" s="4"/>
      <c r="CE754" s="693"/>
      <c r="CF754" s="723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654"/>
      <c r="CR754" s="655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654"/>
      <c r="DD754" s="655">
        <v>115.551956660253</v>
      </c>
      <c r="DE754" s="4">
        <v>115.551956660253</v>
      </c>
      <c r="DF754" s="4">
        <v>115.551956660253</v>
      </c>
      <c r="DG754" s="4">
        <v>115.551956660253</v>
      </c>
      <c r="DH754" s="4">
        <v>115.551956660253</v>
      </c>
      <c r="DI754" s="4">
        <v>115.551956660253</v>
      </c>
      <c r="DJ754" s="4">
        <v>115.551956660253</v>
      </c>
      <c r="DK754" s="4">
        <v>115.551956660253</v>
      </c>
      <c r="DL754" s="4">
        <v>115.551956660253</v>
      </c>
      <c r="DM754" s="4">
        <v>115.551956660253</v>
      </c>
      <c r="DN754" s="4">
        <v>115.551956660253</v>
      </c>
      <c r="DO754" s="654">
        <v>115.551956660253</v>
      </c>
      <c r="DP754" s="655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654"/>
      <c r="EB754" s="655"/>
      <c r="EC754" s="4"/>
      <c r="ED754" s="4"/>
      <c r="EE754" s="4"/>
      <c r="EF754" s="4"/>
      <c r="EG754" s="4"/>
      <c r="EH754" s="4"/>
      <c r="EI754" s="4"/>
      <c r="EJ754" s="4"/>
      <c r="EK754" s="4"/>
      <c r="EL754" s="4"/>
      <c r="EM754" s="693"/>
      <c r="EN754" s="723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654"/>
      <c r="EZ754" s="655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654"/>
      <c r="FL754" s="655">
        <v>115.551956660253</v>
      </c>
      <c r="FM754" s="4">
        <v>115.551956660253</v>
      </c>
      <c r="FN754" s="4">
        <v>115.551956660253</v>
      </c>
      <c r="FO754" s="4">
        <v>115.551956660253</v>
      </c>
      <c r="FP754" s="4">
        <v>115.551956660253</v>
      </c>
      <c r="FQ754" s="4">
        <v>115.551956660253</v>
      </c>
      <c r="FR754" s="4">
        <v>115.551956660253</v>
      </c>
      <c r="FS754" s="4">
        <v>115.551956660253</v>
      </c>
      <c r="FT754" s="4">
        <v>115.551956660253</v>
      </c>
      <c r="FU754" s="4">
        <v>115.551956660253</v>
      </c>
      <c r="FV754" s="4">
        <v>115.551956660253</v>
      </c>
      <c r="FW754" s="654">
        <v>115.551956660253</v>
      </c>
      <c r="FX754" s="655"/>
      <c r="FY754" s="4"/>
      <c r="FZ754" s="4"/>
      <c r="GA754" s="4"/>
      <c r="GB754" s="4"/>
      <c r="GC754" s="4"/>
      <c r="GD754" s="4"/>
      <c r="GE754" s="4"/>
      <c r="GF754" s="4"/>
      <c r="GG754" s="4"/>
      <c r="GH754" s="4"/>
      <c r="GI754" s="654"/>
      <c r="GJ754" s="655"/>
      <c r="GK754" s="4"/>
      <c r="GL754" s="4"/>
      <c r="GM754" s="4"/>
      <c r="GN754" s="4"/>
      <c r="GO754" s="4"/>
      <c r="GP754" s="4"/>
      <c r="GQ754" s="4"/>
      <c r="GR754" s="4"/>
      <c r="GS754" s="4"/>
      <c r="GT754" s="4"/>
      <c r="GU754" s="722"/>
      <c r="GV754" s="715"/>
    </row>
    <row r="755" spans="1:204" x14ac:dyDescent="0.25">
      <c r="A755" t="s">
        <v>2595</v>
      </c>
      <c r="B755" s="2" t="s">
        <v>2594</v>
      </c>
      <c r="C755" s="619">
        <v>44916</v>
      </c>
      <c r="D755" s="2" t="s">
        <v>2586</v>
      </c>
      <c r="E755" t="s">
        <v>59</v>
      </c>
      <c r="F755" s="2" t="s">
        <v>2473</v>
      </c>
      <c r="G755" t="s">
        <v>40</v>
      </c>
      <c r="H755" s="690" t="s">
        <v>85</v>
      </c>
      <c r="I755" s="691" t="s">
        <v>2473</v>
      </c>
      <c r="J755" s="721" t="s">
        <v>2146</v>
      </c>
      <c r="K755" s="691" t="s">
        <v>2351</v>
      </c>
      <c r="L755" s="721" t="s">
        <v>2352</v>
      </c>
      <c r="M755" s="718" t="s">
        <v>3</v>
      </c>
      <c r="N755" s="717" t="s">
        <v>44</v>
      </c>
      <c r="O755" s="719">
        <v>45017</v>
      </c>
      <c r="P755" s="720">
        <v>45077</v>
      </c>
      <c r="Q755" s="718">
        <v>73</v>
      </c>
      <c r="R755" s="717">
        <v>20</v>
      </c>
      <c r="S755" s="691" t="s">
        <v>54</v>
      </c>
      <c r="T755" t="s">
        <v>358</v>
      </c>
      <c r="U755" s="673" t="s">
        <v>358</v>
      </c>
      <c r="V755" s="690" t="s">
        <v>358</v>
      </c>
      <c r="W755" s="657" t="s">
        <v>329</v>
      </c>
      <c r="X755" s="723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654"/>
      <c r="AJ755" s="655"/>
      <c r="AK755" s="4"/>
      <c r="AL755" s="4"/>
      <c r="AM755" s="4">
        <v>20</v>
      </c>
      <c r="AN755" s="4">
        <v>20</v>
      </c>
      <c r="AO755" s="4"/>
      <c r="AP755" s="4"/>
      <c r="AQ755" s="4"/>
      <c r="AR755" s="4"/>
      <c r="AS755" s="4"/>
      <c r="AT755" s="4"/>
      <c r="AU755" s="654"/>
      <c r="AV755" s="655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654"/>
      <c r="BH755" s="655"/>
      <c r="BI755" s="4"/>
      <c r="BJ755" s="4"/>
      <c r="BK755" s="4"/>
      <c r="BL755" s="4"/>
      <c r="BM755" s="4"/>
      <c r="BN755" s="4"/>
      <c r="BO755" s="4"/>
      <c r="BP755" s="4"/>
      <c r="BQ755" s="4"/>
      <c r="BR755" s="4"/>
      <c r="BS755" s="654"/>
      <c r="BT755" s="655"/>
      <c r="BU755" s="4"/>
      <c r="BV755" s="4"/>
      <c r="BW755" s="4"/>
      <c r="BX755" s="4"/>
      <c r="BY755" s="4"/>
      <c r="BZ755" s="4"/>
      <c r="CA755" s="4"/>
      <c r="CB755" s="4"/>
      <c r="CC755" s="4"/>
      <c r="CD755" s="4"/>
      <c r="CE755" s="693"/>
      <c r="CF755" s="723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654"/>
      <c r="CR755" s="655"/>
      <c r="CS755" s="4"/>
      <c r="CT755" s="4"/>
      <c r="CU755" s="4">
        <v>73</v>
      </c>
      <c r="CV755" s="4">
        <v>73</v>
      </c>
      <c r="CW755" s="4"/>
      <c r="CX755" s="4"/>
      <c r="CY755" s="4"/>
      <c r="CZ755" s="4"/>
      <c r="DA755" s="4"/>
      <c r="DB755" s="4"/>
      <c r="DC755" s="654"/>
      <c r="DD755" s="655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654"/>
      <c r="DP755" s="655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654"/>
      <c r="EB755" s="655"/>
      <c r="EC755" s="4"/>
      <c r="ED755" s="4"/>
      <c r="EE755" s="4"/>
      <c r="EF755" s="4"/>
      <c r="EG755" s="4"/>
      <c r="EH755" s="4"/>
      <c r="EI755" s="4"/>
      <c r="EJ755" s="4"/>
      <c r="EK755" s="4"/>
      <c r="EL755" s="4"/>
      <c r="EM755" s="693"/>
      <c r="EN755" s="723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654"/>
      <c r="EZ755" s="655"/>
      <c r="FA755" s="4"/>
      <c r="FB755" s="4"/>
      <c r="FC755" s="4">
        <v>73</v>
      </c>
      <c r="FD755" s="4">
        <v>73</v>
      </c>
      <c r="FE755" s="4"/>
      <c r="FF755" s="4"/>
      <c r="FG755" s="4"/>
      <c r="FH755" s="4"/>
      <c r="FI755" s="4"/>
      <c r="FJ755" s="4"/>
      <c r="FK755" s="654"/>
      <c r="FL755" s="655"/>
      <c r="FM755" s="4"/>
      <c r="FN755" s="4"/>
      <c r="FO755" s="4"/>
      <c r="FP755" s="4"/>
      <c r="FQ755" s="4"/>
      <c r="FR755" s="4"/>
      <c r="FS755" s="4"/>
      <c r="FT755" s="4"/>
      <c r="FU755" s="4"/>
      <c r="FV755" s="4"/>
      <c r="FW755" s="654"/>
      <c r="FX755" s="655"/>
      <c r="FY755" s="4"/>
      <c r="FZ755" s="4"/>
      <c r="GA755" s="4"/>
      <c r="GB755" s="4"/>
      <c r="GC755" s="4"/>
      <c r="GD755" s="4"/>
      <c r="GE755" s="4"/>
      <c r="GF755" s="4"/>
      <c r="GG755" s="4"/>
      <c r="GH755" s="4"/>
      <c r="GI755" s="654"/>
      <c r="GJ755" s="655"/>
      <c r="GK755" s="4"/>
      <c r="GL755" s="4"/>
      <c r="GM755" s="4"/>
      <c r="GN755" s="4"/>
      <c r="GO755" s="4"/>
      <c r="GP755" s="4"/>
      <c r="GQ755" s="4"/>
      <c r="GR755" s="4"/>
      <c r="GS755" s="4"/>
      <c r="GT755" s="4"/>
      <c r="GU755" s="722"/>
      <c r="GV755" s="715"/>
    </row>
    <row r="756" spans="1:204" x14ac:dyDescent="0.25">
      <c r="A756" t="s">
        <v>2597</v>
      </c>
      <c r="B756" s="2" t="s">
        <v>2596</v>
      </c>
      <c r="C756" s="619">
        <v>44916</v>
      </c>
      <c r="D756" s="2" t="s">
        <v>2587</v>
      </c>
      <c r="E756" t="s">
        <v>59</v>
      </c>
      <c r="F756" s="2" t="s">
        <v>2473</v>
      </c>
      <c r="G756" t="s">
        <v>40</v>
      </c>
      <c r="H756" s="690" t="s">
        <v>85</v>
      </c>
      <c r="I756" s="691" t="s">
        <v>2473</v>
      </c>
      <c r="J756" s="721" t="s">
        <v>2146</v>
      </c>
      <c r="K756" s="691" t="s">
        <v>902</v>
      </c>
      <c r="L756" s="721" t="s">
        <v>1680</v>
      </c>
      <c r="M756" s="718" t="s">
        <v>3</v>
      </c>
      <c r="N756" s="717" t="s">
        <v>44</v>
      </c>
      <c r="O756" s="719">
        <v>44958</v>
      </c>
      <c r="P756" s="720">
        <v>44985</v>
      </c>
      <c r="Q756" s="718">
        <v>71</v>
      </c>
      <c r="R756" s="717">
        <v>20</v>
      </c>
      <c r="S756" s="691" t="s">
        <v>54</v>
      </c>
      <c r="T756" t="s">
        <v>358</v>
      </c>
      <c r="U756" s="673" t="s">
        <v>358</v>
      </c>
      <c r="V756" s="690" t="s">
        <v>358</v>
      </c>
      <c r="W756" s="657" t="s">
        <v>329</v>
      </c>
      <c r="X756" s="723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654"/>
      <c r="AJ756" s="655"/>
      <c r="AK756" s="4">
        <v>20</v>
      </c>
      <c r="AL756" s="4"/>
      <c r="AM756" s="4"/>
      <c r="AN756" s="4"/>
      <c r="AO756" s="4"/>
      <c r="AP756" s="4"/>
      <c r="AQ756" s="4"/>
      <c r="AR756" s="4"/>
      <c r="AS756" s="4"/>
      <c r="AT756" s="4"/>
      <c r="AU756" s="654"/>
      <c r="AV756" s="655"/>
      <c r="AW756" s="4"/>
      <c r="AX756" s="4"/>
      <c r="AY756" s="4"/>
      <c r="AZ756" s="4"/>
      <c r="BA756" s="4"/>
      <c r="BB756" s="4"/>
      <c r="BC756" s="4"/>
      <c r="BD756" s="4"/>
      <c r="BE756" s="4"/>
      <c r="BF756" s="4"/>
      <c r="BG756" s="654"/>
      <c r="BH756" s="655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654"/>
      <c r="BT756" s="655"/>
      <c r="BU756" s="4"/>
      <c r="BV756" s="4"/>
      <c r="BW756" s="4"/>
      <c r="BX756" s="4"/>
      <c r="BY756" s="4"/>
      <c r="BZ756" s="4"/>
      <c r="CA756" s="4"/>
      <c r="CB756" s="4"/>
      <c r="CC756" s="4"/>
      <c r="CD756" s="4"/>
      <c r="CE756" s="693"/>
      <c r="CF756" s="723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654"/>
      <c r="CR756" s="655"/>
      <c r="CS756" s="4">
        <v>71</v>
      </c>
      <c r="CT756" s="4"/>
      <c r="CU756" s="4"/>
      <c r="CV756" s="4"/>
      <c r="CW756" s="4"/>
      <c r="CX756" s="4"/>
      <c r="CY756" s="4"/>
      <c r="CZ756" s="4"/>
      <c r="DA756" s="4"/>
      <c r="DB756" s="4"/>
      <c r="DC756" s="654"/>
      <c r="DD756" s="655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654"/>
      <c r="DP756" s="655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654"/>
      <c r="EB756" s="655"/>
      <c r="EC756" s="4"/>
      <c r="ED756" s="4"/>
      <c r="EE756" s="4"/>
      <c r="EF756" s="4"/>
      <c r="EG756" s="4"/>
      <c r="EH756" s="4"/>
      <c r="EI756" s="4"/>
      <c r="EJ756" s="4"/>
      <c r="EK756" s="4"/>
      <c r="EL756" s="4"/>
      <c r="EM756" s="693"/>
      <c r="EN756" s="723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654"/>
      <c r="EZ756" s="655"/>
      <c r="FA756" s="4">
        <v>71</v>
      </c>
      <c r="FB756" s="4"/>
      <c r="FC756" s="4"/>
      <c r="FD756" s="4"/>
      <c r="FE756" s="4"/>
      <c r="FF756" s="4"/>
      <c r="FG756" s="4"/>
      <c r="FH756" s="4"/>
      <c r="FI756" s="4"/>
      <c r="FJ756" s="4"/>
      <c r="FK756" s="654"/>
      <c r="FL756" s="655"/>
      <c r="FM756" s="4"/>
      <c r="FN756" s="4"/>
      <c r="FO756" s="4"/>
      <c r="FP756" s="4"/>
      <c r="FQ756" s="4"/>
      <c r="FR756" s="4"/>
      <c r="FS756" s="4"/>
      <c r="FT756" s="4"/>
      <c r="FU756" s="4"/>
      <c r="FV756" s="4"/>
      <c r="FW756" s="654"/>
      <c r="FX756" s="655"/>
      <c r="FY756" s="4"/>
      <c r="FZ756" s="4"/>
      <c r="GA756" s="4"/>
      <c r="GB756" s="4"/>
      <c r="GC756" s="4"/>
      <c r="GD756" s="4"/>
      <c r="GE756" s="4"/>
      <c r="GF756" s="4"/>
      <c r="GG756" s="4"/>
      <c r="GH756" s="4"/>
      <c r="GI756" s="654"/>
      <c r="GJ756" s="655"/>
      <c r="GK756" s="4"/>
      <c r="GL756" s="4"/>
      <c r="GM756" s="4"/>
      <c r="GN756" s="4"/>
      <c r="GO756" s="4"/>
      <c r="GP756" s="4"/>
      <c r="GQ756" s="4"/>
      <c r="GR756" s="4"/>
      <c r="GS756" s="4"/>
      <c r="GT756" s="4"/>
      <c r="GU756" s="722"/>
      <c r="GV756" s="715"/>
    </row>
    <row r="757" spans="1:204" x14ac:dyDescent="0.25">
      <c r="A757" t="s">
        <v>2599</v>
      </c>
      <c r="B757" s="2" t="s">
        <v>2598</v>
      </c>
      <c r="C757" s="619">
        <v>44916</v>
      </c>
      <c r="D757" s="2" t="s">
        <v>2588</v>
      </c>
      <c r="E757" t="s">
        <v>59</v>
      </c>
      <c r="F757" s="2" t="s">
        <v>2473</v>
      </c>
      <c r="G757" t="s">
        <v>40</v>
      </c>
      <c r="H757" s="690" t="s">
        <v>85</v>
      </c>
      <c r="I757" s="691" t="s">
        <v>2473</v>
      </c>
      <c r="J757" s="721" t="s">
        <v>2146</v>
      </c>
      <c r="K757" s="691" t="s">
        <v>902</v>
      </c>
      <c r="L757" s="721" t="s">
        <v>1680</v>
      </c>
      <c r="M757" s="718" t="s">
        <v>3</v>
      </c>
      <c r="N757" s="717" t="s">
        <v>44</v>
      </c>
      <c r="O757" s="719">
        <v>44958</v>
      </c>
      <c r="P757" s="720">
        <v>44985</v>
      </c>
      <c r="Q757" s="718">
        <v>71</v>
      </c>
      <c r="R757" s="717">
        <v>1</v>
      </c>
      <c r="S757" s="691" t="s">
        <v>54</v>
      </c>
      <c r="T757" t="s">
        <v>358</v>
      </c>
      <c r="U757" s="673" t="s">
        <v>358</v>
      </c>
      <c r="V757" s="690" t="s">
        <v>358</v>
      </c>
      <c r="W757" s="657" t="s">
        <v>329</v>
      </c>
      <c r="X757" s="723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654"/>
      <c r="AJ757" s="655"/>
      <c r="AK757" s="4">
        <v>1</v>
      </c>
      <c r="AL757" s="4"/>
      <c r="AM757" s="4"/>
      <c r="AN757" s="4"/>
      <c r="AO757" s="4"/>
      <c r="AP757" s="4"/>
      <c r="AQ757" s="4"/>
      <c r="AR757" s="4"/>
      <c r="AS757" s="4"/>
      <c r="AT757" s="4"/>
      <c r="AU757" s="654"/>
      <c r="AV757" s="655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654"/>
      <c r="BH757" s="655"/>
      <c r="BI757" s="4"/>
      <c r="BJ757" s="4"/>
      <c r="BK757" s="4"/>
      <c r="BL757" s="4"/>
      <c r="BM757" s="4"/>
      <c r="BN757" s="4"/>
      <c r="BO757" s="4"/>
      <c r="BP757" s="4"/>
      <c r="BQ757" s="4"/>
      <c r="BR757" s="4"/>
      <c r="BS757" s="654"/>
      <c r="BT757" s="655"/>
      <c r="BU757" s="4"/>
      <c r="BV757" s="4"/>
      <c r="BW757" s="4"/>
      <c r="BX757" s="4"/>
      <c r="BY757" s="4"/>
      <c r="BZ757" s="4"/>
      <c r="CA757" s="4"/>
      <c r="CB757" s="4"/>
      <c r="CC757" s="4"/>
      <c r="CD757" s="4"/>
      <c r="CE757" s="693"/>
      <c r="CF757" s="723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654"/>
      <c r="CR757" s="655"/>
      <c r="CS757" s="4">
        <v>71</v>
      </c>
      <c r="CT757" s="4"/>
      <c r="CU757" s="4"/>
      <c r="CV757" s="4"/>
      <c r="CW757" s="4"/>
      <c r="CX757" s="4"/>
      <c r="CY757" s="4"/>
      <c r="CZ757" s="4"/>
      <c r="DA757" s="4"/>
      <c r="DB757" s="4"/>
      <c r="DC757" s="654"/>
      <c r="DD757" s="655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654"/>
      <c r="DP757" s="655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654"/>
      <c r="EB757" s="655"/>
      <c r="EC757" s="4"/>
      <c r="ED757" s="4"/>
      <c r="EE757" s="4"/>
      <c r="EF757" s="4"/>
      <c r="EG757" s="4"/>
      <c r="EH757" s="4"/>
      <c r="EI757" s="4"/>
      <c r="EJ757" s="4"/>
      <c r="EK757" s="4"/>
      <c r="EL757" s="4"/>
      <c r="EM757" s="693"/>
      <c r="EN757" s="723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654"/>
      <c r="EZ757" s="655"/>
      <c r="FA757" s="4">
        <v>71</v>
      </c>
      <c r="FB757" s="4"/>
      <c r="FC757" s="4"/>
      <c r="FD757" s="4"/>
      <c r="FE757" s="4"/>
      <c r="FF757" s="4"/>
      <c r="FG757" s="4"/>
      <c r="FH757" s="4"/>
      <c r="FI757" s="4"/>
      <c r="FJ757" s="4"/>
      <c r="FK757" s="654"/>
      <c r="FL757" s="655"/>
      <c r="FM757" s="4"/>
      <c r="FN757" s="4"/>
      <c r="FO757" s="4"/>
      <c r="FP757" s="4"/>
      <c r="FQ757" s="4"/>
      <c r="FR757" s="4"/>
      <c r="FS757" s="4"/>
      <c r="FT757" s="4"/>
      <c r="FU757" s="4"/>
      <c r="FV757" s="4"/>
      <c r="FW757" s="654"/>
      <c r="FX757" s="655"/>
      <c r="FY757" s="4"/>
      <c r="FZ757" s="4"/>
      <c r="GA757" s="4"/>
      <c r="GB757" s="4"/>
      <c r="GC757" s="4"/>
      <c r="GD757" s="4"/>
      <c r="GE757" s="4"/>
      <c r="GF757" s="4"/>
      <c r="GG757" s="4"/>
      <c r="GH757" s="4"/>
      <c r="GI757" s="654"/>
      <c r="GJ757" s="655"/>
      <c r="GK757" s="4"/>
      <c r="GL757" s="4"/>
      <c r="GM757" s="4"/>
      <c r="GN757" s="4"/>
      <c r="GO757" s="4"/>
      <c r="GP757" s="4"/>
      <c r="GQ757" s="4"/>
      <c r="GR757" s="4"/>
      <c r="GS757" s="4"/>
      <c r="GT757" s="4"/>
      <c r="GU757" s="722"/>
      <c r="GV757" s="715"/>
    </row>
    <row r="758" spans="1:204" x14ac:dyDescent="0.25">
      <c r="A758" t="s">
        <v>2601</v>
      </c>
      <c r="B758" s="2" t="s">
        <v>2600</v>
      </c>
      <c r="C758" s="619">
        <v>44916</v>
      </c>
      <c r="D758" s="2" t="s">
        <v>2589</v>
      </c>
      <c r="E758" t="s">
        <v>59</v>
      </c>
      <c r="F758" s="2" t="s">
        <v>2473</v>
      </c>
      <c r="G758" t="s">
        <v>40</v>
      </c>
      <c r="H758" s="690" t="s">
        <v>85</v>
      </c>
      <c r="I758" s="691" t="s">
        <v>2473</v>
      </c>
      <c r="J758" s="721" t="s">
        <v>2146</v>
      </c>
      <c r="K758" s="691" t="s">
        <v>2351</v>
      </c>
      <c r="L758" s="721" t="s">
        <v>2352</v>
      </c>
      <c r="M758" s="718" t="s">
        <v>3</v>
      </c>
      <c r="N758" s="717" t="s">
        <v>44</v>
      </c>
      <c r="O758" s="719">
        <v>45017</v>
      </c>
      <c r="P758" s="720">
        <v>45046</v>
      </c>
      <c r="Q758" s="718">
        <v>73</v>
      </c>
      <c r="R758" s="717">
        <v>2</v>
      </c>
      <c r="S758" s="691" t="s">
        <v>54</v>
      </c>
      <c r="T758" t="s">
        <v>358</v>
      </c>
      <c r="U758" s="673" t="s">
        <v>358</v>
      </c>
      <c r="V758" s="690" t="s">
        <v>358</v>
      </c>
      <c r="W758" s="657" t="s">
        <v>329</v>
      </c>
      <c r="X758" s="723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654"/>
      <c r="AJ758" s="655"/>
      <c r="AK758" s="4"/>
      <c r="AL758" s="4"/>
      <c r="AM758" s="4">
        <v>2</v>
      </c>
      <c r="AN758" s="4"/>
      <c r="AO758" s="4"/>
      <c r="AP758" s="4"/>
      <c r="AQ758" s="4"/>
      <c r="AR758" s="4"/>
      <c r="AS758" s="4"/>
      <c r="AT758" s="4"/>
      <c r="AU758" s="654"/>
      <c r="AV758" s="655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654"/>
      <c r="BH758" s="655"/>
      <c r="BI758" s="4"/>
      <c r="BJ758" s="4"/>
      <c r="BK758" s="4"/>
      <c r="BL758" s="4"/>
      <c r="BM758" s="4"/>
      <c r="BN758" s="4"/>
      <c r="BO758" s="4"/>
      <c r="BP758" s="4"/>
      <c r="BQ758" s="4"/>
      <c r="BR758" s="4"/>
      <c r="BS758" s="654"/>
      <c r="BT758" s="655"/>
      <c r="BU758" s="4"/>
      <c r="BV758" s="4"/>
      <c r="BW758" s="4"/>
      <c r="BX758" s="4"/>
      <c r="BY758" s="4"/>
      <c r="BZ758" s="4"/>
      <c r="CA758" s="4"/>
      <c r="CB758" s="4"/>
      <c r="CC758" s="4"/>
      <c r="CD758" s="4"/>
      <c r="CE758" s="693"/>
      <c r="CF758" s="723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654"/>
      <c r="CR758" s="655"/>
      <c r="CS758" s="4"/>
      <c r="CT758" s="4"/>
      <c r="CU758" s="4">
        <v>73</v>
      </c>
      <c r="CV758" s="4"/>
      <c r="CW758" s="4"/>
      <c r="CX758" s="4"/>
      <c r="CY758" s="4"/>
      <c r="CZ758" s="4"/>
      <c r="DA758" s="4"/>
      <c r="DB758" s="4"/>
      <c r="DC758" s="654"/>
      <c r="DD758" s="655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654"/>
      <c r="DP758" s="655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654"/>
      <c r="EB758" s="655"/>
      <c r="EC758" s="4"/>
      <c r="ED758" s="4"/>
      <c r="EE758" s="4"/>
      <c r="EF758" s="4"/>
      <c r="EG758" s="4"/>
      <c r="EH758" s="4"/>
      <c r="EI758" s="4"/>
      <c r="EJ758" s="4"/>
      <c r="EK758" s="4"/>
      <c r="EL758" s="4"/>
      <c r="EM758" s="693"/>
      <c r="EN758" s="723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654"/>
      <c r="EZ758" s="655"/>
      <c r="FA758" s="4"/>
      <c r="FB758" s="4"/>
      <c r="FC758" s="4">
        <v>73</v>
      </c>
      <c r="FD758" s="4"/>
      <c r="FE758" s="4"/>
      <c r="FF758" s="4"/>
      <c r="FG758" s="4"/>
      <c r="FH758" s="4"/>
      <c r="FI758" s="4"/>
      <c r="FJ758" s="4"/>
      <c r="FK758" s="654"/>
      <c r="FL758" s="655"/>
      <c r="FM758" s="4"/>
      <c r="FN758" s="4"/>
      <c r="FO758" s="4"/>
      <c r="FP758" s="4"/>
      <c r="FQ758" s="4"/>
      <c r="FR758" s="4"/>
      <c r="FS758" s="4"/>
      <c r="FT758" s="4"/>
      <c r="FU758" s="4"/>
      <c r="FV758" s="4"/>
      <c r="FW758" s="654"/>
      <c r="FX758" s="655"/>
      <c r="FY758" s="4"/>
      <c r="FZ758" s="4"/>
      <c r="GA758" s="4"/>
      <c r="GB758" s="4"/>
      <c r="GC758" s="4"/>
      <c r="GD758" s="4"/>
      <c r="GE758" s="4"/>
      <c r="GF758" s="4"/>
      <c r="GG758" s="4"/>
      <c r="GH758" s="4"/>
      <c r="GI758" s="654"/>
      <c r="GJ758" s="655"/>
      <c r="GK758" s="4"/>
      <c r="GL758" s="4"/>
      <c r="GM758" s="4"/>
      <c r="GN758" s="4"/>
      <c r="GO758" s="4"/>
      <c r="GP758" s="4"/>
      <c r="GQ758" s="4"/>
      <c r="GR758" s="4"/>
      <c r="GS758" s="4"/>
      <c r="GT758" s="4"/>
      <c r="GU758" s="722"/>
      <c r="GV758" s="715"/>
    </row>
    <row r="759" spans="1:204" x14ac:dyDescent="0.25">
      <c r="A759" t="s">
        <v>2603</v>
      </c>
      <c r="B759" s="2" t="s">
        <v>358</v>
      </c>
      <c r="C759" s="619">
        <v>44916</v>
      </c>
      <c r="D759" s="2" t="s">
        <v>2590</v>
      </c>
      <c r="E759" t="s">
        <v>58</v>
      </c>
      <c r="F759" s="2" t="s">
        <v>2473</v>
      </c>
      <c r="G759" t="s">
        <v>40</v>
      </c>
      <c r="H759" s="690" t="s">
        <v>84</v>
      </c>
      <c r="I759" s="691" t="s">
        <v>346</v>
      </c>
      <c r="J759" s="721" t="e">
        <v>#N/A</v>
      </c>
      <c r="K759" s="691" t="s">
        <v>2473</v>
      </c>
      <c r="L759" s="721" t="s">
        <v>2146</v>
      </c>
      <c r="M759" s="718" t="s">
        <v>3</v>
      </c>
      <c r="N759" s="717" t="s">
        <v>44</v>
      </c>
      <c r="O759" s="719">
        <v>45047</v>
      </c>
      <c r="P759" s="720">
        <v>45077</v>
      </c>
      <c r="Q759" s="718">
        <v>73</v>
      </c>
      <c r="R759" s="717">
        <v>20</v>
      </c>
      <c r="S759" s="691" t="s">
        <v>54</v>
      </c>
      <c r="T759" t="s">
        <v>358</v>
      </c>
      <c r="U759" s="673" t="s">
        <v>358</v>
      </c>
      <c r="V759" s="690" t="s">
        <v>358</v>
      </c>
      <c r="W759" s="657" t="s">
        <v>214</v>
      </c>
      <c r="X759" s="723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654"/>
      <c r="AJ759" s="655"/>
      <c r="AK759" s="4"/>
      <c r="AL759" s="4"/>
      <c r="AM759" s="4"/>
      <c r="AN759" s="4">
        <v>20</v>
      </c>
      <c r="AO759" s="4"/>
      <c r="AP759" s="4"/>
      <c r="AQ759" s="4"/>
      <c r="AR759" s="4"/>
      <c r="AS759" s="4"/>
      <c r="AT759" s="4"/>
      <c r="AU759" s="654"/>
      <c r="AV759" s="655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654"/>
      <c r="BH759" s="655"/>
      <c r="BI759" s="4"/>
      <c r="BJ759" s="4"/>
      <c r="BK759" s="4"/>
      <c r="BL759" s="4"/>
      <c r="BM759" s="4"/>
      <c r="BN759" s="4"/>
      <c r="BO759" s="4"/>
      <c r="BP759" s="4"/>
      <c r="BQ759" s="4"/>
      <c r="BR759" s="4"/>
      <c r="BS759" s="654"/>
      <c r="BT759" s="655"/>
      <c r="BU759" s="4"/>
      <c r="BV759" s="4"/>
      <c r="BW759" s="4"/>
      <c r="BX759" s="4"/>
      <c r="BY759" s="4"/>
      <c r="BZ759" s="4"/>
      <c r="CA759" s="4"/>
      <c r="CB759" s="4"/>
      <c r="CC759" s="4"/>
      <c r="CD759" s="4"/>
      <c r="CE759" s="693"/>
      <c r="CF759" s="723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654"/>
      <c r="CR759" s="655"/>
      <c r="CS759" s="4"/>
      <c r="CT759" s="4"/>
      <c r="CU759" s="4"/>
      <c r="CV759" s="4">
        <v>73</v>
      </c>
      <c r="CW759" s="4"/>
      <c r="CX759" s="4"/>
      <c r="CY759" s="4"/>
      <c r="CZ759" s="4"/>
      <c r="DA759" s="4"/>
      <c r="DB759" s="4"/>
      <c r="DC759" s="654"/>
      <c r="DD759" s="655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654"/>
      <c r="DP759" s="655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654"/>
      <c r="EB759" s="655"/>
      <c r="EC759" s="4"/>
      <c r="ED759" s="4"/>
      <c r="EE759" s="4"/>
      <c r="EF759" s="4"/>
      <c r="EG759" s="4"/>
      <c r="EH759" s="4"/>
      <c r="EI759" s="4"/>
      <c r="EJ759" s="4"/>
      <c r="EK759" s="4"/>
      <c r="EL759" s="4"/>
      <c r="EM759" s="693"/>
      <c r="EN759" s="723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654"/>
      <c r="EZ759" s="655"/>
      <c r="FA759" s="4"/>
      <c r="FB759" s="4"/>
      <c r="FC759" s="4"/>
      <c r="FD759" s="4">
        <v>73</v>
      </c>
      <c r="FE759" s="4"/>
      <c r="FF759" s="4"/>
      <c r="FG759" s="4"/>
      <c r="FH759" s="4"/>
      <c r="FI759" s="4"/>
      <c r="FJ759" s="4"/>
      <c r="FK759" s="654"/>
      <c r="FL759" s="655"/>
      <c r="FM759" s="4"/>
      <c r="FN759" s="4"/>
      <c r="FO759" s="4"/>
      <c r="FP759" s="4"/>
      <c r="FQ759" s="4"/>
      <c r="FR759" s="4"/>
      <c r="FS759" s="4"/>
      <c r="FT759" s="4"/>
      <c r="FU759" s="4"/>
      <c r="FV759" s="4"/>
      <c r="FW759" s="654"/>
      <c r="FX759" s="655"/>
      <c r="FY759" s="4"/>
      <c r="FZ759" s="4"/>
      <c r="GA759" s="4"/>
      <c r="GB759" s="4"/>
      <c r="GC759" s="4"/>
      <c r="GD759" s="4"/>
      <c r="GE759" s="4"/>
      <c r="GF759" s="4"/>
      <c r="GG759" s="4"/>
      <c r="GH759" s="4"/>
      <c r="GI759" s="654"/>
      <c r="GJ759" s="655"/>
      <c r="GK759" s="4"/>
      <c r="GL759" s="4"/>
      <c r="GM759" s="4"/>
      <c r="GN759" s="4"/>
      <c r="GO759" s="4"/>
      <c r="GP759" s="4"/>
      <c r="GQ759" s="4"/>
      <c r="GR759" s="4"/>
      <c r="GS759" s="4"/>
      <c r="GT759" s="4"/>
      <c r="GU759" s="722"/>
      <c r="GV759" s="715"/>
    </row>
    <row r="760" spans="1:204" x14ac:dyDescent="0.25">
      <c r="A760" t="s">
        <v>2605</v>
      </c>
      <c r="B760" s="2" t="s">
        <v>2602</v>
      </c>
      <c r="C760" s="619">
        <v>44916</v>
      </c>
      <c r="D760" s="2" t="s">
        <v>2591</v>
      </c>
      <c r="E760" t="s">
        <v>59</v>
      </c>
      <c r="F760" s="2" t="s">
        <v>2473</v>
      </c>
      <c r="G760" t="s">
        <v>40</v>
      </c>
      <c r="H760" s="690" t="s">
        <v>85</v>
      </c>
      <c r="I760" s="691" t="s">
        <v>2473</v>
      </c>
      <c r="J760" s="721" t="s">
        <v>2146</v>
      </c>
      <c r="K760" s="691" t="s">
        <v>346</v>
      </c>
      <c r="L760" s="721" t="e">
        <v>#N/A</v>
      </c>
      <c r="M760" s="718" t="s">
        <v>3</v>
      </c>
      <c r="N760" s="717" t="s">
        <v>44</v>
      </c>
      <c r="O760" s="719">
        <v>45108</v>
      </c>
      <c r="P760" s="720">
        <v>45199</v>
      </c>
      <c r="Q760" s="718">
        <v>93</v>
      </c>
      <c r="R760" s="717">
        <v>10</v>
      </c>
      <c r="S760" s="691" t="s">
        <v>54</v>
      </c>
      <c r="T760" t="s">
        <v>358</v>
      </c>
      <c r="U760" s="673" t="s">
        <v>358</v>
      </c>
      <c r="V760" s="690" t="s">
        <v>358</v>
      </c>
      <c r="W760" s="657" t="s">
        <v>2593</v>
      </c>
      <c r="X760" s="723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654"/>
      <c r="AJ760" s="655"/>
      <c r="AK760" s="4"/>
      <c r="AL760" s="4"/>
      <c r="AM760" s="4"/>
      <c r="AN760" s="4"/>
      <c r="AO760" s="4"/>
      <c r="AP760" s="4">
        <v>10</v>
      </c>
      <c r="AQ760" s="4">
        <v>10</v>
      </c>
      <c r="AR760" s="4">
        <v>10</v>
      </c>
      <c r="AS760" s="4"/>
      <c r="AT760" s="4"/>
      <c r="AU760" s="654"/>
      <c r="AV760" s="655"/>
      <c r="AW760" s="4"/>
      <c r="AX760" s="4"/>
      <c r="AY760" s="4"/>
      <c r="AZ760" s="4"/>
      <c r="BA760" s="4"/>
      <c r="BB760" s="4"/>
      <c r="BC760" s="4"/>
      <c r="BD760" s="4"/>
      <c r="BE760" s="4"/>
      <c r="BF760" s="4"/>
      <c r="BG760" s="654"/>
      <c r="BH760" s="655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654"/>
      <c r="BT760" s="655"/>
      <c r="BU760" s="4"/>
      <c r="BV760" s="4"/>
      <c r="BW760" s="4"/>
      <c r="BX760" s="4"/>
      <c r="BY760" s="4"/>
      <c r="BZ760" s="4"/>
      <c r="CA760" s="4"/>
      <c r="CB760" s="4"/>
      <c r="CC760" s="4"/>
      <c r="CD760" s="4"/>
      <c r="CE760" s="693"/>
      <c r="CF760" s="723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654"/>
      <c r="CR760" s="655"/>
      <c r="CS760" s="4"/>
      <c r="CT760" s="4"/>
      <c r="CU760" s="4"/>
      <c r="CV760" s="4"/>
      <c r="CW760" s="4"/>
      <c r="CX760" s="4">
        <v>93</v>
      </c>
      <c r="CY760" s="4">
        <v>93</v>
      </c>
      <c r="CZ760" s="4">
        <v>93</v>
      </c>
      <c r="DA760" s="4"/>
      <c r="DB760" s="4"/>
      <c r="DC760" s="654"/>
      <c r="DD760" s="655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654"/>
      <c r="DP760" s="655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654"/>
      <c r="EB760" s="655"/>
      <c r="EC760" s="4"/>
      <c r="ED760" s="4"/>
      <c r="EE760" s="4"/>
      <c r="EF760" s="4"/>
      <c r="EG760" s="4"/>
      <c r="EH760" s="4"/>
      <c r="EI760" s="4"/>
      <c r="EJ760" s="4"/>
      <c r="EK760" s="4"/>
      <c r="EL760" s="4"/>
      <c r="EM760" s="693"/>
      <c r="EN760" s="723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654"/>
      <c r="EZ760" s="655"/>
      <c r="FA760" s="4"/>
      <c r="FB760" s="4"/>
      <c r="FC760" s="4"/>
      <c r="FD760" s="4"/>
      <c r="FE760" s="4"/>
      <c r="FF760" s="4">
        <v>93</v>
      </c>
      <c r="FG760" s="4">
        <v>93</v>
      </c>
      <c r="FH760" s="4">
        <v>93</v>
      </c>
      <c r="FI760" s="4"/>
      <c r="FJ760" s="4"/>
      <c r="FK760" s="654"/>
      <c r="FL760" s="655"/>
      <c r="FM760" s="4"/>
      <c r="FN760" s="4"/>
      <c r="FO760" s="4"/>
      <c r="FP760" s="4"/>
      <c r="FQ760" s="4"/>
      <c r="FR760" s="4"/>
      <c r="FS760" s="4"/>
      <c r="FT760" s="4"/>
      <c r="FU760" s="4"/>
      <c r="FV760" s="4"/>
      <c r="FW760" s="654"/>
      <c r="FX760" s="655"/>
      <c r="FY760" s="4"/>
      <c r="FZ760" s="4"/>
      <c r="GA760" s="4"/>
      <c r="GB760" s="4"/>
      <c r="GC760" s="4"/>
      <c r="GD760" s="4"/>
      <c r="GE760" s="4"/>
      <c r="GF760" s="4"/>
      <c r="GG760" s="4"/>
      <c r="GH760" s="4"/>
      <c r="GI760" s="654"/>
      <c r="GJ760" s="655"/>
      <c r="GK760" s="4"/>
      <c r="GL760" s="4"/>
      <c r="GM760" s="4"/>
      <c r="GN760" s="4"/>
      <c r="GO760" s="4"/>
      <c r="GP760" s="4"/>
      <c r="GQ760" s="4"/>
      <c r="GR760" s="4"/>
      <c r="GS760" s="4"/>
      <c r="GT760" s="4"/>
      <c r="GU760" s="722"/>
      <c r="GV760" s="715"/>
    </row>
    <row r="761" spans="1:204" x14ac:dyDescent="0.25">
      <c r="A761" t="s">
        <v>2607</v>
      </c>
      <c r="B761" s="2" t="s">
        <v>2604</v>
      </c>
      <c r="C761" s="619">
        <v>44916</v>
      </c>
      <c r="D761" s="2" t="s">
        <v>2592</v>
      </c>
      <c r="E761" t="s">
        <v>59</v>
      </c>
      <c r="F761" s="2" t="s">
        <v>2473</v>
      </c>
      <c r="G761" t="s">
        <v>40</v>
      </c>
      <c r="H761" s="690" t="s">
        <v>85</v>
      </c>
      <c r="I761" s="691" t="s">
        <v>2473</v>
      </c>
      <c r="J761" s="721" t="s">
        <v>2146</v>
      </c>
      <c r="K761" s="691" t="s">
        <v>346</v>
      </c>
      <c r="L761" s="721" t="e">
        <v>#N/A</v>
      </c>
      <c r="M761" s="718" t="s">
        <v>3</v>
      </c>
      <c r="N761" s="717" t="s">
        <v>44</v>
      </c>
      <c r="O761" s="719">
        <v>45108</v>
      </c>
      <c r="P761" s="720">
        <v>45291</v>
      </c>
      <c r="Q761" s="718">
        <v>93</v>
      </c>
      <c r="R761" s="717">
        <v>20</v>
      </c>
      <c r="S761" s="691" t="s">
        <v>54</v>
      </c>
      <c r="T761" t="s">
        <v>358</v>
      </c>
      <c r="U761" s="673" t="s">
        <v>358</v>
      </c>
      <c r="V761" s="690" t="s">
        <v>358</v>
      </c>
      <c r="W761" s="657" t="s">
        <v>2593</v>
      </c>
      <c r="X761" s="723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654"/>
      <c r="AJ761" s="655"/>
      <c r="AK761" s="4"/>
      <c r="AL761" s="4"/>
      <c r="AM761" s="4"/>
      <c r="AN761" s="4"/>
      <c r="AO761" s="4"/>
      <c r="AP761" s="4">
        <v>20</v>
      </c>
      <c r="AQ761" s="4">
        <v>20</v>
      </c>
      <c r="AR761" s="4">
        <v>20</v>
      </c>
      <c r="AS761" s="4">
        <v>20</v>
      </c>
      <c r="AT761" s="4">
        <v>20</v>
      </c>
      <c r="AU761" s="654">
        <v>20</v>
      </c>
      <c r="AV761" s="655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654"/>
      <c r="BH761" s="655"/>
      <c r="BI761" s="4"/>
      <c r="BJ761" s="4"/>
      <c r="BK761" s="4"/>
      <c r="BL761" s="4"/>
      <c r="BM761" s="4"/>
      <c r="BN761" s="4"/>
      <c r="BO761" s="4"/>
      <c r="BP761" s="4"/>
      <c r="BQ761" s="4"/>
      <c r="BR761" s="4"/>
      <c r="BS761" s="654"/>
      <c r="BT761" s="655"/>
      <c r="BU761" s="4"/>
      <c r="BV761" s="4"/>
      <c r="BW761" s="4"/>
      <c r="BX761" s="4"/>
      <c r="BY761" s="4"/>
      <c r="BZ761" s="4"/>
      <c r="CA761" s="4"/>
      <c r="CB761" s="4"/>
      <c r="CC761" s="4"/>
      <c r="CD761" s="4"/>
      <c r="CE761" s="693"/>
      <c r="CF761" s="723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654"/>
      <c r="CR761" s="655"/>
      <c r="CS761" s="4"/>
      <c r="CT761" s="4"/>
      <c r="CU761" s="4"/>
      <c r="CV761" s="4"/>
      <c r="CW761" s="4"/>
      <c r="CX761" s="4">
        <v>93</v>
      </c>
      <c r="CY761" s="4">
        <v>93</v>
      </c>
      <c r="CZ761" s="4">
        <v>93</v>
      </c>
      <c r="DA761" s="4">
        <v>93</v>
      </c>
      <c r="DB761" s="4">
        <v>93</v>
      </c>
      <c r="DC761" s="654">
        <v>93</v>
      </c>
      <c r="DD761" s="655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654"/>
      <c r="DP761" s="655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654"/>
      <c r="EB761" s="655"/>
      <c r="EC761" s="4"/>
      <c r="ED761" s="4"/>
      <c r="EE761" s="4"/>
      <c r="EF761" s="4"/>
      <c r="EG761" s="4"/>
      <c r="EH761" s="4"/>
      <c r="EI761" s="4"/>
      <c r="EJ761" s="4"/>
      <c r="EK761" s="4"/>
      <c r="EL761" s="4"/>
      <c r="EM761" s="693"/>
      <c r="EN761" s="723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654"/>
      <c r="EZ761" s="655"/>
      <c r="FA761" s="4"/>
      <c r="FB761" s="4"/>
      <c r="FC761" s="4"/>
      <c r="FD761" s="4"/>
      <c r="FE761" s="4"/>
      <c r="FF761" s="4">
        <v>93</v>
      </c>
      <c r="FG761" s="4">
        <v>93</v>
      </c>
      <c r="FH761" s="4">
        <v>93</v>
      </c>
      <c r="FI761" s="4">
        <v>93</v>
      </c>
      <c r="FJ761" s="4">
        <v>93</v>
      </c>
      <c r="FK761" s="654">
        <v>93</v>
      </c>
      <c r="FL761" s="655"/>
      <c r="FM761" s="4"/>
      <c r="FN761" s="4"/>
      <c r="FO761" s="4"/>
      <c r="FP761" s="4"/>
      <c r="FQ761" s="4"/>
      <c r="FR761" s="4"/>
      <c r="FS761" s="4"/>
      <c r="FT761" s="4"/>
      <c r="FU761" s="4"/>
      <c r="FV761" s="4"/>
      <c r="FW761" s="654"/>
      <c r="FX761" s="655"/>
      <c r="FY761" s="4"/>
      <c r="FZ761" s="4"/>
      <c r="GA761" s="4"/>
      <c r="GB761" s="4"/>
      <c r="GC761" s="4"/>
      <c r="GD761" s="4"/>
      <c r="GE761" s="4"/>
      <c r="GF761" s="4"/>
      <c r="GG761" s="4"/>
      <c r="GH761" s="4"/>
      <c r="GI761" s="654"/>
      <c r="GJ761" s="655"/>
      <c r="GK761" s="4"/>
      <c r="GL761" s="4"/>
      <c r="GM761" s="4"/>
      <c r="GN761" s="4"/>
      <c r="GO761" s="4"/>
      <c r="GP761" s="4"/>
      <c r="GQ761" s="4"/>
      <c r="GR761" s="4"/>
      <c r="GS761" s="4"/>
      <c r="GT761" s="4"/>
      <c r="GU761" s="722"/>
      <c r="GV761" s="715"/>
    </row>
    <row r="762" spans="1:204" x14ac:dyDescent="0.25">
      <c r="A762" t="s">
        <v>2614</v>
      </c>
      <c r="B762" s="2" t="s">
        <v>2606</v>
      </c>
      <c r="C762" s="619">
        <v>44917</v>
      </c>
      <c r="D762" s="2" t="s">
        <v>2608</v>
      </c>
      <c r="E762" t="s">
        <v>59</v>
      </c>
      <c r="F762" s="2" t="s">
        <v>2473</v>
      </c>
      <c r="G762" t="s">
        <v>40</v>
      </c>
      <c r="H762" s="690" t="s">
        <v>85</v>
      </c>
      <c r="I762" s="691" t="s">
        <v>2473</v>
      </c>
      <c r="J762" s="721" t="s">
        <v>2146</v>
      </c>
      <c r="K762" s="691" t="s">
        <v>2351</v>
      </c>
      <c r="L762" s="721" t="s">
        <v>2352</v>
      </c>
      <c r="M762" s="718" t="s">
        <v>3</v>
      </c>
      <c r="N762" s="717" t="s">
        <v>44</v>
      </c>
      <c r="O762" s="719">
        <v>45017</v>
      </c>
      <c r="P762" s="720">
        <v>45046</v>
      </c>
      <c r="Q762" s="718">
        <v>73</v>
      </c>
      <c r="R762" s="717">
        <v>20</v>
      </c>
      <c r="S762" s="691" t="s">
        <v>54</v>
      </c>
      <c r="T762" t="s">
        <v>358</v>
      </c>
      <c r="U762" s="673" t="s">
        <v>358</v>
      </c>
      <c r="V762" s="690" t="s">
        <v>358</v>
      </c>
      <c r="W762" s="657" t="s">
        <v>329</v>
      </c>
      <c r="X762" s="723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654"/>
      <c r="AJ762" s="655"/>
      <c r="AK762" s="4"/>
      <c r="AL762" s="4"/>
      <c r="AM762" s="4">
        <v>20</v>
      </c>
      <c r="AN762" s="4"/>
      <c r="AO762" s="4"/>
      <c r="AP762" s="4"/>
      <c r="AQ762" s="4"/>
      <c r="AR762" s="4"/>
      <c r="AS762" s="4"/>
      <c r="AT762" s="4"/>
      <c r="AU762" s="654"/>
      <c r="AV762" s="655"/>
      <c r="AW762" s="4"/>
      <c r="AX762" s="4"/>
      <c r="AY762" s="4"/>
      <c r="AZ762" s="4"/>
      <c r="BA762" s="4"/>
      <c r="BB762" s="4"/>
      <c r="BC762" s="4"/>
      <c r="BD762" s="4"/>
      <c r="BE762" s="4"/>
      <c r="BF762" s="4"/>
      <c r="BG762" s="654"/>
      <c r="BH762" s="655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654"/>
      <c r="BT762" s="655"/>
      <c r="BU762" s="4"/>
      <c r="BV762" s="4"/>
      <c r="BW762" s="4"/>
      <c r="BX762" s="4"/>
      <c r="BY762" s="4"/>
      <c r="BZ762" s="4"/>
      <c r="CA762" s="4"/>
      <c r="CB762" s="4"/>
      <c r="CC762" s="4"/>
      <c r="CD762" s="4"/>
      <c r="CE762" s="693"/>
      <c r="CF762" s="723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654"/>
      <c r="CR762" s="655"/>
      <c r="CS762" s="4"/>
      <c r="CT762" s="4"/>
      <c r="CU762" s="4">
        <v>73</v>
      </c>
      <c r="CV762" s="4"/>
      <c r="CW762" s="4"/>
      <c r="CX762" s="4"/>
      <c r="CY762" s="4"/>
      <c r="CZ762" s="4"/>
      <c r="DA762" s="4"/>
      <c r="DB762" s="4"/>
      <c r="DC762" s="654"/>
      <c r="DD762" s="655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654"/>
      <c r="DP762" s="655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654"/>
      <c r="EB762" s="655"/>
      <c r="EC762" s="4"/>
      <c r="ED762" s="4"/>
      <c r="EE762" s="4"/>
      <c r="EF762" s="4"/>
      <c r="EG762" s="4"/>
      <c r="EH762" s="4"/>
      <c r="EI762" s="4"/>
      <c r="EJ762" s="4"/>
      <c r="EK762" s="4"/>
      <c r="EL762" s="4"/>
      <c r="EM762" s="693"/>
      <c r="EN762" s="723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654"/>
      <c r="EZ762" s="655"/>
      <c r="FA762" s="4"/>
      <c r="FB762" s="4"/>
      <c r="FC762" s="4">
        <v>73</v>
      </c>
      <c r="FD762" s="4"/>
      <c r="FE762" s="4"/>
      <c r="FF762" s="4"/>
      <c r="FG762" s="4"/>
      <c r="FH762" s="4"/>
      <c r="FI762" s="4"/>
      <c r="FJ762" s="4"/>
      <c r="FK762" s="654"/>
      <c r="FL762" s="655"/>
      <c r="FM762" s="4"/>
      <c r="FN762" s="4"/>
      <c r="FO762" s="4"/>
      <c r="FP762" s="4"/>
      <c r="FQ762" s="4"/>
      <c r="FR762" s="4"/>
      <c r="FS762" s="4"/>
      <c r="FT762" s="4"/>
      <c r="FU762" s="4"/>
      <c r="FV762" s="4"/>
      <c r="FW762" s="654"/>
      <c r="FX762" s="655"/>
      <c r="FY762" s="4"/>
      <c r="FZ762" s="4"/>
      <c r="GA762" s="4"/>
      <c r="GB762" s="4"/>
      <c r="GC762" s="4"/>
      <c r="GD762" s="4"/>
      <c r="GE762" s="4"/>
      <c r="GF762" s="4"/>
      <c r="GG762" s="4"/>
      <c r="GH762" s="4"/>
      <c r="GI762" s="654"/>
      <c r="GJ762" s="655"/>
      <c r="GK762" s="4"/>
      <c r="GL762" s="4"/>
      <c r="GM762" s="4"/>
      <c r="GN762" s="4"/>
      <c r="GO762" s="4"/>
      <c r="GP762" s="4"/>
      <c r="GQ762" s="4"/>
      <c r="GR762" s="4"/>
      <c r="GS762" s="4"/>
      <c r="GT762" s="4"/>
      <c r="GU762" s="722"/>
      <c r="GV762" s="715"/>
    </row>
    <row r="763" spans="1:204" x14ac:dyDescent="0.25">
      <c r="A763" t="s">
        <v>2616</v>
      </c>
      <c r="B763" s="2" t="s">
        <v>2615</v>
      </c>
      <c r="C763" s="619">
        <v>44917</v>
      </c>
      <c r="D763" s="2" t="s">
        <v>2609</v>
      </c>
      <c r="E763" t="s">
        <v>58</v>
      </c>
      <c r="F763" s="2" t="s">
        <v>2473</v>
      </c>
      <c r="G763" t="s">
        <v>40</v>
      </c>
      <c r="H763" s="690" t="s">
        <v>84</v>
      </c>
      <c r="I763" s="691" t="s">
        <v>502</v>
      </c>
      <c r="J763" s="721" t="s">
        <v>2507</v>
      </c>
      <c r="K763" s="691" t="s">
        <v>2473</v>
      </c>
      <c r="L763" s="721" t="s">
        <v>2146</v>
      </c>
      <c r="M763" s="718" t="s">
        <v>3</v>
      </c>
      <c r="N763" s="717" t="s">
        <v>44</v>
      </c>
      <c r="O763" s="719">
        <v>45108</v>
      </c>
      <c r="P763" s="720">
        <v>45291</v>
      </c>
      <c r="Q763" s="718">
        <v>92</v>
      </c>
      <c r="R763" s="717">
        <v>10</v>
      </c>
      <c r="S763" s="691" t="s">
        <v>54</v>
      </c>
      <c r="T763" t="s">
        <v>358</v>
      </c>
      <c r="U763" s="673" t="s">
        <v>358</v>
      </c>
      <c r="V763" s="690" t="s">
        <v>358</v>
      </c>
      <c r="W763" s="657" t="s">
        <v>329</v>
      </c>
      <c r="X763" s="723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654"/>
      <c r="AJ763" s="655"/>
      <c r="AK763" s="4"/>
      <c r="AL763" s="4"/>
      <c r="AM763" s="4"/>
      <c r="AN763" s="4"/>
      <c r="AO763" s="4"/>
      <c r="AP763" s="4">
        <v>10</v>
      </c>
      <c r="AQ763" s="4">
        <v>10</v>
      </c>
      <c r="AR763" s="4">
        <v>10</v>
      </c>
      <c r="AS763" s="4">
        <v>10</v>
      </c>
      <c r="AT763" s="4">
        <v>10</v>
      </c>
      <c r="AU763" s="654">
        <v>10</v>
      </c>
      <c r="AV763" s="655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654"/>
      <c r="BH763" s="655"/>
      <c r="BI763" s="4"/>
      <c r="BJ763" s="4"/>
      <c r="BK763" s="4"/>
      <c r="BL763" s="4"/>
      <c r="BM763" s="4"/>
      <c r="BN763" s="4"/>
      <c r="BO763" s="4"/>
      <c r="BP763" s="4"/>
      <c r="BQ763" s="4"/>
      <c r="BR763" s="4"/>
      <c r="BS763" s="654"/>
      <c r="BT763" s="655"/>
      <c r="BU763" s="4"/>
      <c r="BV763" s="4"/>
      <c r="BW763" s="4"/>
      <c r="BX763" s="4"/>
      <c r="BY763" s="4"/>
      <c r="BZ763" s="4"/>
      <c r="CA763" s="4"/>
      <c r="CB763" s="4"/>
      <c r="CC763" s="4"/>
      <c r="CD763" s="4"/>
      <c r="CE763" s="693"/>
      <c r="CF763" s="723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654"/>
      <c r="CR763" s="655"/>
      <c r="CS763" s="4"/>
      <c r="CT763" s="4"/>
      <c r="CU763" s="4"/>
      <c r="CV763" s="4"/>
      <c r="CW763" s="4"/>
      <c r="CX763" s="4">
        <v>92</v>
      </c>
      <c r="CY763" s="4">
        <v>92</v>
      </c>
      <c r="CZ763" s="4">
        <v>92</v>
      </c>
      <c r="DA763" s="4">
        <v>92</v>
      </c>
      <c r="DB763" s="4">
        <v>92</v>
      </c>
      <c r="DC763" s="654">
        <v>92</v>
      </c>
      <c r="DD763" s="655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654"/>
      <c r="DP763" s="655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654"/>
      <c r="EB763" s="655"/>
      <c r="EC763" s="4"/>
      <c r="ED763" s="4"/>
      <c r="EE763" s="4"/>
      <c r="EF763" s="4"/>
      <c r="EG763" s="4"/>
      <c r="EH763" s="4"/>
      <c r="EI763" s="4"/>
      <c r="EJ763" s="4"/>
      <c r="EK763" s="4"/>
      <c r="EL763" s="4"/>
      <c r="EM763" s="693"/>
      <c r="EN763" s="723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654"/>
      <c r="EZ763" s="655"/>
      <c r="FA763" s="4"/>
      <c r="FB763" s="4"/>
      <c r="FC763" s="4"/>
      <c r="FD763" s="4"/>
      <c r="FE763" s="4"/>
      <c r="FF763" s="4">
        <v>92</v>
      </c>
      <c r="FG763" s="4">
        <v>92</v>
      </c>
      <c r="FH763" s="4">
        <v>92</v>
      </c>
      <c r="FI763" s="4">
        <v>92</v>
      </c>
      <c r="FJ763" s="4">
        <v>92</v>
      </c>
      <c r="FK763" s="654">
        <v>92</v>
      </c>
      <c r="FL763" s="655"/>
      <c r="FM763" s="4"/>
      <c r="FN763" s="4"/>
      <c r="FO763" s="4"/>
      <c r="FP763" s="4"/>
      <c r="FQ763" s="4"/>
      <c r="FR763" s="4"/>
      <c r="FS763" s="4"/>
      <c r="FT763" s="4"/>
      <c r="FU763" s="4"/>
      <c r="FV763" s="4"/>
      <c r="FW763" s="654"/>
      <c r="FX763" s="655"/>
      <c r="FY763" s="4"/>
      <c r="FZ763" s="4"/>
      <c r="GA763" s="4"/>
      <c r="GB763" s="4"/>
      <c r="GC763" s="4"/>
      <c r="GD763" s="4"/>
      <c r="GE763" s="4"/>
      <c r="GF763" s="4"/>
      <c r="GG763" s="4"/>
      <c r="GH763" s="4"/>
      <c r="GI763" s="654"/>
      <c r="GJ763" s="655"/>
      <c r="GK763" s="4"/>
      <c r="GL763" s="4"/>
      <c r="GM763" s="4"/>
      <c r="GN763" s="4"/>
      <c r="GO763" s="4"/>
      <c r="GP763" s="4"/>
      <c r="GQ763" s="4"/>
      <c r="GR763" s="4"/>
      <c r="GS763" s="4"/>
      <c r="GT763" s="4"/>
      <c r="GU763" s="722"/>
      <c r="GV763" s="715"/>
    </row>
    <row r="764" spans="1:204" x14ac:dyDescent="0.25">
      <c r="A764" t="s">
        <v>2618</v>
      </c>
      <c r="B764" s="2" t="s">
        <v>2617</v>
      </c>
      <c r="C764" s="619">
        <v>44917</v>
      </c>
      <c r="D764" s="2" t="s">
        <v>2610</v>
      </c>
      <c r="E764" t="s">
        <v>59</v>
      </c>
      <c r="F764" s="2" t="s">
        <v>2473</v>
      </c>
      <c r="G764" t="s">
        <v>40</v>
      </c>
      <c r="H764" s="690" t="s">
        <v>85</v>
      </c>
      <c r="I764" s="691" t="s">
        <v>2473</v>
      </c>
      <c r="J764" s="721" t="s">
        <v>2146</v>
      </c>
      <c r="K764" s="691" t="s">
        <v>2351</v>
      </c>
      <c r="L764" s="721" t="s">
        <v>2352</v>
      </c>
      <c r="M764" s="718" t="s">
        <v>3</v>
      </c>
      <c r="N764" s="717" t="s">
        <v>44</v>
      </c>
      <c r="O764" s="719">
        <v>44986</v>
      </c>
      <c r="P764" s="720">
        <v>45016</v>
      </c>
      <c r="Q764" s="718">
        <v>71</v>
      </c>
      <c r="R764" s="717">
        <v>20</v>
      </c>
      <c r="S764" s="691" t="s">
        <v>54</v>
      </c>
      <c r="T764" t="s">
        <v>358</v>
      </c>
      <c r="U764" s="673" t="s">
        <v>358</v>
      </c>
      <c r="V764" s="690" t="s">
        <v>358</v>
      </c>
      <c r="W764" s="657" t="s">
        <v>329</v>
      </c>
      <c r="X764" s="723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654"/>
      <c r="AJ764" s="655"/>
      <c r="AK764" s="4"/>
      <c r="AL764" s="4">
        <v>20</v>
      </c>
      <c r="AM764" s="4"/>
      <c r="AN764" s="4"/>
      <c r="AO764" s="4"/>
      <c r="AP764" s="4"/>
      <c r="AQ764" s="4"/>
      <c r="AR764" s="4"/>
      <c r="AS764" s="4"/>
      <c r="AT764" s="4"/>
      <c r="AU764" s="654"/>
      <c r="AV764" s="655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654"/>
      <c r="BH764" s="655"/>
      <c r="BI764" s="4"/>
      <c r="BJ764" s="4"/>
      <c r="BK764" s="4"/>
      <c r="BL764" s="4"/>
      <c r="BM764" s="4"/>
      <c r="BN764" s="4"/>
      <c r="BO764" s="4"/>
      <c r="BP764" s="4"/>
      <c r="BQ764" s="4"/>
      <c r="BR764" s="4"/>
      <c r="BS764" s="654"/>
      <c r="BT764" s="655"/>
      <c r="BU764" s="4"/>
      <c r="BV764" s="4"/>
      <c r="BW764" s="4"/>
      <c r="BX764" s="4"/>
      <c r="BY764" s="4"/>
      <c r="BZ764" s="4"/>
      <c r="CA764" s="4"/>
      <c r="CB764" s="4"/>
      <c r="CC764" s="4"/>
      <c r="CD764" s="4"/>
      <c r="CE764" s="693"/>
      <c r="CF764" s="723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654"/>
      <c r="CR764" s="655"/>
      <c r="CS764" s="4"/>
      <c r="CT764" s="4">
        <v>71</v>
      </c>
      <c r="CU764" s="4"/>
      <c r="CV764" s="4"/>
      <c r="CW764" s="4"/>
      <c r="CX764" s="4"/>
      <c r="CY764" s="4"/>
      <c r="CZ764" s="4"/>
      <c r="DA764" s="4"/>
      <c r="DB764" s="4"/>
      <c r="DC764" s="654"/>
      <c r="DD764" s="655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654"/>
      <c r="DP764" s="655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654"/>
      <c r="EB764" s="655"/>
      <c r="EC764" s="4"/>
      <c r="ED764" s="4"/>
      <c r="EE764" s="4"/>
      <c r="EF764" s="4"/>
      <c r="EG764" s="4"/>
      <c r="EH764" s="4"/>
      <c r="EI764" s="4"/>
      <c r="EJ764" s="4"/>
      <c r="EK764" s="4"/>
      <c r="EL764" s="4"/>
      <c r="EM764" s="693"/>
      <c r="EN764" s="723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654"/>
      <c r="EZ764" s="655"/>
      <c r="FA764" s="4"/>
      <c r="FB764" s="4">
        <v>71</v>
      </c>
      <c r="FC764" s="4"/>
      <c r="FD764" s="4"/>
      <c r="FE764" s="4"/>
      <c r="FF764" s="4"/>
      <c r="FG764" s="4"/>
      <c r="FH764" s="4"/>
      <c r="FI764" s="4"/>
      <c r="FJ764" s="4"/>
      <c r="FK764" s="654"/>
      <c r="FL764" s="655"/>
      <c r="FM764" s="4"/>
      <c r="FN764" s="4"/>
      <c r="FO764" s="4"/>
      <c r="FP764" s="4"/>
      <c r="FQ764" s="4"/>
      <c r="FR764" s="4"/>
      <c r="FS764" s="4"/>
      <c r="FT764" s="4"/>
      <c r="FU764" s="4"/>
      <c r="FV764" s="4"/>
      <c r="FW764" s="654"/>
      <c r="FX764" s="655"/>
      <c r="FY764" s="4"/>
      <c r="FZ764" s="4"/>
      <c r="GA764" s="4"/>
      <c r="GB764" s="4"/>
      <c r="GC764" s="4"/>
      <c r="GD764" s="4"/>
      <c r="GE764" s="4"/>
      <c r="GF764" s="4"/>
      <c r="GG764" s="4"/>
      <c r="GH764" s="4"/>
      <c r="GI764" s="654"/>
      <c r="GJ764" s="655"/>
      <c r="GK764" s="4"/>
      <c r="GL764" s="4"/>
      <c r="GM764" s="4"/>
      <c r="GN764" s="4"/>
      <c r="GO764" s="4"/>
      <c r="GP764" s="4"/>
      <c r="GQ764" s="4"/>
      <c r="GR764" s="4"/>
      <c r="GS764" s="4"/>
      <c r="GT764" s="4"/>
      <c r="GU764" s="722"/>
      <c r="GV764" s="715"/>
    </row>
    <row r="765" spans="1:204" x14ac:dyDescent="0.25">
      <c r="A765" t="s">
        <v>2620</v>
      </c>
      <c r="B765" s="2" t="s">
        <v>2619</v>
      </c>
      <c r="C765" s="619">
        <v>44917</v>
      </c>
      <c r="D765" s="2" t="s">
        <v>2611</v>
      </c>
      <c r="E765" t="s">
        <v>59</v>
      </c>
      <c r="F765" s="2" t="s">
        <v>2473</v>
      </c>
      <c r="G765" t="s">
        <v>40</v>
      </c>
      <c r="H765" s="690" t="s">
        <v>85</v>
      </c>
      <c r="I765" s="691" t="s">
        <v>2473</v>
      </c>
      <c r="J765" s="721" t="s">
        <v>2146</v>
      </c>
      <c r="K765" s="691" t="s">
        <v>2351</v>
      </c>
      <c r="L765" s="721" t="s">
        <v>2352</v>
      </c>
      <c r="M765" s="718" t="s">
        <v>3</v>
      </c>
      <c r="N765" s="717" t="s">
        <v>44</v>
      </c>
      <c r="O765" s="719">
        <v>44986</v>
      </c>
      <c r="P765" s="720">
        <v>45016</v>
      </c>
      <c r="Q765" s="718">
        <v>71</v>
      </c>
      <c r="R765" s="717">
        <v>2</v>
      </c>
      <c r="S765" s="691" t="s">
        <v>54</v>
      </c>
      <c r="T765" t="s">
        <v>358</v>
      </c>
      <c r="U765" s="673" t="s">
        <v>358</v>
      </c>
      <c r="V765" s="690" t="s">
        <v>358</v>
      </c>
      <c r="W765" s="657" t="s">
        <v>329</v>
      </c>
      <c r="X765" s="723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654"/>
      <c r="AJ765" s="655"/>
      <c r="AK765" s="4"/>
      <c r="AL765" s="4">
        <v>2</v>
      </c>
      <c r="AM765" s="4"/>
      <c r="AN765" s="4"/>
      <c r="AO765" s="4"/>
      <c r="AP765" s="4"/>
      <c r="AQ765" s="4"/>
      <c r="AR765" s="4"/>
      <c r="AS765" s="4"/>
      <c r="AT765" s="4"/>
      <c r="AU765" s="654"/>
      <c r="AV765" s="655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654"/>
      <c r="BH765" s="655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654"/>
      <c r="BT765" s="655"/>
      <c r="BU765" s="4"/>
      <c r="BV765" s="4"/>
      <c r="BW765" s="4"/>
      <c r="BX765" s="4"/>
      <c r="BY765" s="4"/>
      <c r="BZ765" s="4"/>
      <c r="CA765" s="4"/>
      <c r="CB765" s="4"/>
      <c r="CC765" s="4"/>
      <c r="CD765" s="4"/>
      <c r="CE765" s="693"/>
      <c r="CF765" s="723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654"/>
      <c r="CR765" s="655"/>
      <c r="CS765" s="4"/>
      <c r="CT765" s="4">
        <v>71</v>
      </c>
      <c r="CU765" s="4"/>
      <c r="CV765" s="4"/>
      <c r="CW765" s="4"/>
      <c r="CX765" s="4"/>
      <c r="CY765" s="4"/>
      <c r="CZ765" s="4"/>
      <c r="DA765" s="4"/>
      <c r="DB765" s="4"/>
      <c r="DC765" s="654"/>
      <c r="DD765" s="655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654"/>
      <c r="DP765" s="655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654"/>
      <c r="EB765" s="655"/>
      <c r="EC765" s="4"/>
      <c r="ED765" s="4"/>
      <c r="EE765" s="4"/>
      <c r="EF765" s="4"/>
      <c r="EG765" s="4"/>
      <c r="EH765" s="4"/>
      <c r="EI765" s="4"/>
      <c r="EJ765" s="4"/>
      <c r="EK765" s="4"/>
      <c r="EL765" s="4"/>
      <c r="EM765" s="693"/>
      <c r="EN765" s="723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654"/>
      <c r="EZ765" s="655"/>
      <c r="FA765" s="4"/>
      <c r="FB765" s="4">
        <v>71</v>
      </c>
      <c r="FC765" s="4"/>
      <c r="FD765" s="4"/>
      <c r="FE765" s="4"/>
      <c r="FF765" s="4"/>
      <c r="FG765" s="4"/>
      <c r="FH765" s="4"/>
      <c r="FI765" s="4"/>
      <c r="FJ765" s="4"/>
      <c r="FK765" s="654"/>
      <c r="FL765" s="655"/>
      <c r="FM765" s="4"/>
      <c r="FN765" s="4"/>
      <c r="FO765" s="4"/>
      <c r="FP765" s="4"/>
      <c r="FQ765" s="4"/>
      <c r="FR765" s="4"/>
      <c r="FS765" s="4"/>
      <c r="FT765" s="4"/>
      <c r="FU765" s="4"/>
      <c r="FV765" s="4"/>
      <c r="FW765" s="654"/>
      <c r="FX765" s="655"/>
      <c r="FY765" s="4"/>
      <c r="FZ765" s="4"/>
      <c r="GA765" s="4"/>
      <c r="GB765" s="4"/>
      <c r="GC765" s="4"/>
      <c r="GD765" s="4"/>
      <c r="GE765" s="4"/>
      <c r="GF765" s="4"/>
      <c r="GG765" s="4"/>
      <c r="GH765" s="4"/>
      <c r="GI765" s="654"/>
      <c r="GJ765" s="655"/>
      <c r="GK765" s="4"/>
      <c r="GL765" s="4"/>
      <c r="GM765" s="4"/>
      <c r="GN765" s="4"/>
      <c r="GO765" s="4"/>
      <c r="GP765" s="4"/>
      <c r="GQ765" s="4"/>
      <c r="GR765" s="4"/>
      <c r="GS765" s="4"/>
      <c r="GT765" s="4"/>
      <c r="GU765" s="722"/>
      <c r="GV765" s="715"/>
    </row>
    <row r="766" spans="1:204" x14ac:dyDescent="0.25">
      <c r="A766" t="s">
        <v>2622</v>
      </c>
      <c r="B766" s="2" t="s">
        <v>2621</v>
      </c>
      <c r="C766" s="619">
        <v>44917</v>
      </c>
      <c r="D766" s="2" t="s">
        <v>2612</v>
      </c>
      <c r="E766" t="s">
        <v>59</v>
      </c>
      <c r="F766" s="2" t="s">
        <v>2473</v>
      </c>
      <c r="G766" t="s">
        <v>40</v>
      </c>
      <c r="H766" s="690" t="s">
        <v>85</v>
      </c>
      <c r="I766" s="691" t="s">
        <v>2473</v>
      </c>
      <c r="J766" s="721" t="s">
        <v>2146</v>
      </c>
      <c r="K766" s="691" t="s">
        <v>2351</v>
      </c>
      <c r="L766" s="721" t="s">
        <v>2352</v>
      </c>
      <c r="M766" s="718" t="s">
        <v>3</v>
      </c>
      <c r="N766" s="717" t="s">
        <v>44</v>
      </c>
      <c r="O766" s="719">
        <v>45017</v>
      </c>
      <c r="P766" s="720">
        <v>45077</v>
      </c>
      <c r="Q766" s="718">
        <v>73.5</v>
      </c>
      <c r="R766" s="717">
        <v>10</v>
      </c>
      <c r="S766" s="691" t="s">
        <v>54</v>
      </c>
      <c r="T766" t="s">
        <v>358</v>
      </c>
      <c r="U766" s="673" t="s">
        <v>358</v>
      </c>
      <c r="V766" s="690" t="s">
        <v>358</v>
      </c>
      <c r="W766" s="657" t="s">
        <v>329</v>
      </c>
      <c r="X766" s="723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654"/>
      <c r="AJ766" s="655"/>
      <c r="AK766" s="4"/>
      <c r="AL766" s="4"/>
      <c r="AM766" s="4">
        <v>10</v>
      </c>
      <c r="AN766" s="4">
        <v>10</v>
      </c>
      <c r="AO766" s="4"/>
      <c r="AP766" s="4"/>
      <c r="AQ766" s="4"/>
      <c r="AR766" s="4"/>
      <c r="AS766" s="4"/>
      <c r="AT766" s="4"/>
      <c r="AU766" s="654"/>
      <c r="AV766" s="655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654"/>
      <c r="BH766" s="655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654"/>
      <c r="BT766" s="655"/>
      <c r="BU766" s="4"/>
      <c r="BV766" s="4"/>
      <c r="BW766" s="4"/>
      <c r="BX766" s="4"/>
      <c r="BY766" s="4"/>
      <c r="BZ766" s="4"/>
      <c r="CA766" s="4"/>
      <c r="CB766" s="4"/>
      <c r="CC766" s="4"/>
      <c r="CD766" s="4"/>
      <c r="CE766" s="693"/>
      <c r="CF766" s="723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654"/>
      <c r="CR766" s="655"/>
      <c r="CS766" s="4"/>
      <c r="CT766" s="4"/>
      <c r="CU766" s="4">
        <v>73.5</v>
      </c>
      <c r="CV766" s="4">
        <v>73.5</v>
      </c>
      <c r="CW766" s="4"/>
      <c r="CX766" s="4"/>
      <c r="CY766" s="4"/>
      <c r="CZ766" s="4"/>
      <c r="DA766" s="4"/>
      <c r="DB766" s="4"/>
      <c r="DC766" s="654"/>
      <c r="DD766" s="655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654"/>
      <c r="DP766" s="655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654"/>
      <c r="EB766" s="655"/>
      <c r="EC766" s="4"/>
      <c r="ED766" s="4"/>
      <c r="EE766" s="4"/>
      <c r="EF766" s="4"/>
      <c r="EG766" s="4"/>
      <c r="EH766" s="4"/>
      <c r="EI766" s="4"/>
      <c r="EJ766" s="4"/>
      <c r="EK766" s="4"/>
      <c r="EL766" s="4"/>
      <c r="EM766" s="693"/>
      <c r="EN766" s="723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654"/>
      <c r="EZ766" s="655"/>
      <c r="FA766" s="4"/>
      <c r="FB766" s="4"/>
      <c r="FC766" s="4">
        <v>73.5</v>
      </c>
      <c r="FD766" s="4">
        <v>73.5</v>
      </c>
      <c r="FE766" s="4"/>
      <c r="FF766" s="4"/>
      <c r="FG766" s="4"/>
      <c r="FH766" s="4"/>
      <c r="FI766" s="4"/>
      <c r="FJ766" s="4"/>
      <c r="FK766" s="654"/>
      <c r="FL766" s="655"/>
      <c r="FM766" s="4"/>
      <c r="FN766" s="4"/>
      <c r="FO766" s="4"/>
      <c r="FP766" s="4"/>
      <c r="FQ766" s="4"/>
      <c r="FR766" s="4"/>
      <c r="FS766" s="4"/>
      <c r="FT766" s="4"/>
      <c r="FU766" s="4"/>
      <c r="FV766" s="4"/>
      <c r="FW766" s="654"/>
      <c r="FX766" s="655"/>
      <c r="FY766" s="4"/>
      <c r="FZ766" s="4"/>
      <c r="GA766" s="4"/>
      <c r="GB766" s="4"/>
      <c r="GC766" s="4"/>
      <c r="GD766" s="4"/>
      <c r="GE766" s="4"/>
      <c r="GF766" s="4"/>
      <c r="GG766" s="4"/>
      <c r="GH766" s="4"/>
      <c r="GI766" s="654"/>
      <c r="GJ766" s="655"/>
      <c r="GK766" s="4"/>
      <c r="GL766" s="4"/>
      <c r="GM766" s="4"/>
      <c r="GN766" s="4"/>
      <c r="GO766" s="4"/>
      <c r="GP766" s="4"/>
      <c r="GQ766" s="4"/>
      <c r="GR766" s="4"/>
      <c r="GS766" s="4"/>
      <c r="GT766" s="4"/>
      <c r="GU766" s="722"/>
      <c r="GV766" s="715"/>
    </row>
    <row r="767" spans="1:204" x14ac:dyDescent="0.25">
      <c r="A767" t="s">
        <v>2624</v>
      </c>
      <c r="B767" s="2" t="s">
        <v>2623</v>
      </c>
      <c r="C767" s="619">
        <v>44917</v>
      </c>
      <c r="D767" s="2" t="s">
        <v>2613</v>
      </c>
      <c r="E767" t="s">
        <v>59</v>
      </c>
      <c r="F767" s="2" t="s">
        <v>2473</v>
      </c>
      <c r="G767" t="s">
        <v>40</v>
      </c>
      <c r="H767" s="690" t="s">
        <v>85</v>
      </c>
      <c r="I767" s="691" t="s">
        <v>2473</v>
      </c>
      <c r="J767" s="721" t="s">
        <v>2146</v>
      </c>
      <c r="K767" s="691" t="s">
        <v>2351</v>
      </c>
      <c r="L767" s="721" t="s">
        <v>2352</v>
      </c>
      <c r="M767" s="718" t="s">
        <v>3</v>
      </c>
      <c r="N767" s="717" t="s">
        <v>44</v>
      </c>
      <c r="O767" s="719">
        <v>45047</v>
      </c>
      <c r="P767" s="720">
        <v>45077</v>
      </c>
      <c r="Q767" s="718">
        <v>74</v>
      </c>
      <c r="R767" s="717">
        <v>2</v>
      </c>
      <c r="S767" s="691" t="s">
        <v>54</v>
      </c>
      <c r="T767" t="s">
        <v>358</v>
      </c>
      <c r="U767" s="673" t="s">
        <v>358</v>
      </c>
      <c r="V767" s="690" t="s">
        <v>358</v>
      </c>
      <c r="W767" s="657" t="s">
        <v>329</v>
      </c>
      <c r="X767" s="723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654"/>
      <c r="AJ767" s="655"/>
      <c r="AK767" s="4"/>
      <c r="AL767" s="4"/>
      <c r="AM767" s="4"/>
      <c r="AN767" s="4">
        <v>2</v>
      </c>
      <c r="AO767" s="4"/>
      <c r="AP767" s="4"/>
      <c r="AQ767" s="4"/>
      <c r="AR767" s="4"/>
      <c r="AS767" s="4"/>
      <c r="AT767" s="4"/>
      <c r="AU767" s="654"/>
      <c r="AV767" s="655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654"/>
      <c r="BH767" s="655"/>
      <c r="BI767" s="4"/>
      <c r="BJ767" s="4"/>
      <c r="BK767" s="4"/>
      <c r="BL767" s="4"/>
      <c r="BM767" s="4"/>
      <c r="BN767" s="4"/>
      <c r="BO767" s="4"/>
      <c r="BP767" s="4"/>
      <c r="BQ767" s="4"/>
      <c r="BR767" s="4"/>
      <c r="BS767" s="654"/>
      <c r="BT767" s="655"/>
      <c r="BU767" s="4"/>
      <c r="BV767" s="4"/>
      <c r="BW767" s="4"/>
      <c r="BX767" s="4"/>
      <c r="BY767" s="4"/>
      <c r="BZ767" s="4"/>
      <c r="CA767" s="4"/>
      <c r="CB767" s="4"/>
      <c r="CC767" s="4"/>
      <c r="CD767" s="4"/>
      <c r="CE767" s="693"/>
      <c r="CF767" s="723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654"/>
      <c r="CR767" s="655"/>
      <c r="CS767" s="4"/>
      <c r="CT767" s="4"/>
      <c r="CU767" s="4"/>
      <c r="CV767" s="4">
        <v>74</v>
      </c>
      <c r="CW767" s="4"/>
      <c r="CX767" s="4"/>
      <c r="CY767" s="4"/>
      <c r="CZ767" s="4"/>
      <c r="DA767" s="4"/>
      <c r="DB767" s="4"/>
      <c r="DC767" s="654"/>
      <c r="DD767" s="655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654"/>
      <c r="DP767" s="655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654"/>
      <c r="EB767" s="655"/>
      <c r="EC767" s="4"/>
      <c r="ED767" s="4"/>
      <c r="EE767" s="4"/>
      <c r="EF767" s="4"/>
      <c r="EG767" s="4"/>
      <c r="EH767" s="4"/>
      <c r="EI767" s="4"/>
      <c r="EJ767" s="4"/>
      <c r="EK767" s="4"/>
      <c r="EL767" s="4"/>
      <c r="EM767" s="693"/>
      <c r="EN767" s="723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654"/>
      <c r="EZ767" s="655"/>
      <c r="FA767" s="4"/>
      <c r="FB767" s="4"/>
      <c r="FC767" s="4"/>
      <c r="FD767" s="4">
        <v>74</v>
      </c>
      <c r="FE767" s="4"/>
      <c r="FF767" s="4"/>
      <c r="FG767" s="4"/>
      <c r="FH767" s="4"/>
      <c r="FI767" s="4"/>
      <c r="FJ767" s="4"/>
      <c r="FK767" s="654"/>
      <c r="FL767" s="655"/>
      <c r="FM767" s="4"/>
      <c r="FN767" s="4"/>
      <c r="FO767" s="4"/>
      <c r="FP767" s="4"/>
      <c r="FQ767" s="4"/>
      <c r="FR767" s="4"/>
      <c r="FS767" s="4"/>
      <c r="FT767" s="4"/>
      <c r="FU767" s="4"/>
      <c r="FV767" s="4"/>
      <c r="FW767" s="654"/>
      <c r="FX767" s="655"/>
      <c r="FY767" s="4"/>
      <c r="FZ767" s="4"/>
      <c r="GA767" s="4"/>
      <c r="GB767" s="4"/>
      <c r="GC767" s="4"/>
      <c r="GD767" s="4"/>
      <c r="GE767" s="4"/>
      <c r="GF767" s="4"/>
      <c r="GG767" s="4"/>
      <c r="GH767" s="4"/>
      <c r="GI767" s="654"/>
      <c r="GJ767" s="655"/>
      <c r="GK767" s="4"/>
      <c r="GL767" s="4"/>
      <c r="GM767" s="4"/>
      <c r="GN767" s="4"/>
      <c r="GO767" s="4"/>
      <c r="GP767" s="4"/>
      <c r="GQ767" s="4"/>
      <c r="GR767" s="4"/>
      <c r="GS767" s="4"/>
      <c r="GT767" s="4"/>
      <c r="GU767" s="722"/>
      <c r="GV767" s="715"/>
    </row>
    <row r="768" spans="1:204" x14ac:dyDescent="0.25">
      <c r="A768" t="s">
        <v>2628</v>
      </c>
      <c r="B768" s="2" t="s">
        <v>2627</v>
      </c>
      <c r="C768" s="619">
        <v>44918</v>
      </c>
      <c r="D768" s="2" t="s">
        <v>2625</v>
      </c>
      <c r="E768" t="s">
        <v>58</v>
      </c>
      <c r="F768" s="2" t="s">
        <v>2473</v>
      </c>
      <c r="G768" t="s">
        <v>40</v>
      </c>
      <c r="H768" s="690" t="s">
        <v>84</v>
      </c>
      <c r="I768" s="691" t="s">
        <v>502</v>
      </c>
      <c r="J768" s="721" t="s">
        <v>2507</v>
      </c>
      <c r="K768" s="691" t="s">
        <v>2473</v>
      </c>
      <c r="L768" s="721" t="s">
        <v>2146</v>
      </c>
      <c r="M768" s="718" t="s">
        <v>3</v>
      </c>
      <c r="N768" s="717" t="s">
        <v>44</v>
      </c>
      <c r="O768" s="719">
        <v>45200</v>
      </c>
      <c r="P768" s="720">
        <v>45291</v>
      </c>
      <c r="Q768" s="718">
        <v>93</v>
      </c>
      <c r="R768" s="717">
        <v>5</v>
      </c>
      <c r="S768" s="691" t="s">
        <v>54</v>
      </c>
      <c r="T768" t="s">
        <v>358</v>
      </c>
      <c r="U768" s="673" t="s">
        <v>358</v>
      </c>
      <c r="V768" s="690" t="s">
        <v>358</v>
      </c>
      <c r="W768" s="657" t="s">
        <v>329</v>
      </c>
      <c r="X768" s="723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654"/>
      <c r="AJ768" s="655"/>
      <c r="AK768" s="4"/>
      <c r="AL768" s="4"/>
      <c r="AM768" s="4"/>
      <c r="AN768" s="4"/>
      <c r="AO768" s="4"/>
      <c r="AP768" s="4"/>
      <c r="AQ768" s="4"/>
      <c r="AR768" s="4"/>
      <c r="AS768" s="4">
        <v>5</v>
      </c>
      <c r="AT768" s="4">
        <v>5</v>
      </c>
      <c r="AU768" s="654">
        <v>5</v>
      </c>
      <c r="AV768" s="655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654"/>
      <c r="BH768" s="655"/>
      <c r="BI768" s="4"/>
      <c r="BJ768" s="4"/>
      <c r="BK768" s="4"/>
      <c r="BL768" s="4"/>
      <c r="BM768" s="4"/>
      <c r="BN768" s="4"/>
      <c r="BO768" s="4"/>
      <c r="BP768" s="4"/>
      <c r="BQ768" s="4"/>
      <c r="BR768" s="4"/>
      <c r="BS768" s="654"/>
      <c r="BT768" s="655"/>
      <c r="BU768" s="4"/>
      <c r="BV768" s="4"/>
      <c r="BW768" s="4"/>
      <c r="BX768" s="4"/>
      <c r="BY768" s="4"/>
      <c r="BZ768" s="4"/>
      <c r="CA768" s="4"/>
      <c r="CB768" s="4"/>
      <c r="CC768" s="4"/>
      <c r="CD768" s="4"/>
      <c r="CE768" s="693"/>
      <c r="CF768" s="723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654"/>
      <c r="CR768" s="655"/>
      <c r="CS768" s="4"/>
      <c r="CT768" s="4"/>
      <c r="CU768" s="4"/>
      <c r="CV768" s="4"/>
      <c r="CW768" s="4"/>
      <c r="CX768" s="4"/>
      <c r="CY768" s="4"/>
      <c r="CZ768" s="4"/>
      <c r="DA768" s="4">
        <v>93</v>
      </c>
      <c r="DB768" s="4">
        <v>93</v>
      </c>
      <c r="DC768" s="654">
        <v>93</v>
      </c>
      <c r="DD768" s="655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654"/>
      <c r="DP768" s="655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654"/>
      <c r="EB768" s="655"/>
      <c r="EC768" s="4"/>
      <c r="ED768" s="4"/>
      <c r="EE768" s="4"/>
      <c r="EF768" s="4"/>
      <c r="EG768" s="4"/>
      <c r="EH768" s="4"/>
      <c r="EI768" s="4"/>
      <c r="EJ768" s="4"/>
      <c r="EK768" s="4"/>
      <c r="EL768" s="4"/>
      <c r="EM768" s="693"/>
      <c r="EN768" s="723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654"/>
      <c r="EZ768" s="655"/>
      <c r="FA768" s="4"/>
      <c r="FB768" s="4"/>
      <c r="FC768" s="4"/>
      <c r="FD768" s="4"/>
      <c r="FE768" s="4"/>
      <c r="FF768" s="4"/>
      <c r="FG768" s="4"/>
      <c r="FH768" s="4"/>
      <c r="FI768" s="4">
        <v>93</v>
      </c>
      <c r="FJ768" s="4">
        <v>93</v>
      </c>
      <c r="FK768" s="654">
        <v>93</v>
      </c>
      <c r="FL768" s="655"/>
      <c r="FM768" s="4"/>
      <c r="FN768" s="4"/>
      <c r="FO768" s="4"/>
      <c r="FP768" s="4"/>
      <c r="FQ768" s="4"/>
      <c r="FR768" s="4"/>
      <c r="FS768" s="4"/>
      <c r="FT768" s="4"/>
      <c r="FU768" s="4"/>
      <c r="FV768" s="4"/>
      <c r="FW768" s="654"/>
      <c r="FX768" s="655"/>
      <c r="FY768" s="4"/>
      <c r="FZ768" s="4"/>
      <c r="GA768" s="4"/>
      <c r="GB768" s="4"/>
      <c r="GC768" s="4"/>
      <c r="GD768" s="4"/>
      <c r="GE768" s="4"/>
      <c r="GF768" s="4"/>
      <c r="GG768" s="4"/>
      <c r="GH768" s="4"/>
      <c r="GI768" s="654"/>
      <c r="GJ768" s="655"/>
      <c r="GK768" s="4"/>
      <c r="GL768" s="4"/>
      <c r="GM768" s="4"/>
      <c r="GN768" s="4"/>
      <c r="GO768" s="4"/>
      <c r="GP768" s="4"/>
      <c r="GQ768" s="4"/>
      <c r="GR768" s="4"/>
      <c r="GS768" s="4"/>
      <c r="GT768" s="4"/>
      <c r="GU768" s="722"/>
      <c r="GV768" s="715"/>
    </row>
    <row r="769" spans="1:204" x14ac:dyDescent="0.25">
      <c r="A769" t="s">
        <v>2630</v>
      </c>
      <c r="B769" s="2" t="s">
        <v>2629</v>
      </c>
      <c r="C769" s="619">
        <v>44918</v>
      </c>
      <c r="D769" s="2" t="s">
        <v>2626</v>
      </c>
      <c r="E769" t="s">
        <v>58</v>
      </c>
      <c r="F769" s="2" t="s">
        <v>2473</v>
      </c>
      <c r="G769" t="s">
        <v>40</v>
      </c>
      <c r="H769" s="690" t="s">
        <v>84</v>
      </c>
      <c r="I769" s="691" t="s">
        <v>502</v>
      </c>
      <c r="J769" s="721" t="s">
        <v>2507</v>
      </c>
      <c r="K769" s="691" t="s">
        <v>2473</v>
      </c>
      <c r="L769" s="721" t="s">
        <v>2146</v>
      </c>
      <c r="M769" s="718" t="s">
        <v>3</v>
      </c>
      <c r="N769" s="717" t="s">
        <v>44</v>
      </c>
      <c r="O769" s="719">
        <v>45108</v>
      </c>
      <c r="P769" s="720">
        <v>45291</v>
      </c>
      <c r="Q769" s="718">
        <v>91</v>
      </c>
      <c r="R769" s="717">
        <v>2</v>
      </c>
      <c r="S769" s="691" t="s">
        <v>54</v>
      </c>
      <c r="T769" t="s">
        <v>358</v>
      </c>
      <c r="U769" s="673" t="s">
        <v>358</v>
      </c>
      <c r="V769" s="690" t="s">
        <v>358</v>
      </c>
      <c r="W769" s="657" t="s">
        <v>329</v>
      </c>
      <c r="X769" s="723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654"/>
      <c r="AJ769" s="655"/>
      <c r="AK769" s="4"/>
      <c r="AL769" s="4"/>
      <c r="AM769" s="4"/>
      <c r="AN769" s="4"/>
      <c r="AO769" s="4"/>
      <c r="AP769" s="4">
        <v>2</v>
      </c>
      <c r="AQ769" s="4">
        <v>2</v>
      </c>
      <c r="AR769" s="4">
        <v>2</v>
      </c>
      <c r="AS769" s="4">
        <v>2</v>
      </c>
      <c r="AT769" s="4">
        <v>2</v>
      </c>
      <c r="AU769" s="654">
        <v>2</v>
      </c>
      <c r="AV769" s="655"/>
      <c r="AW769" s="4"/>
      <c r="AX769" s="4"/>
      <c r="AY769" s="4"/>
      <c r="AZ769" s="4"/>
      <c r="BA769" s="4"/>
      <c r="BB769" s="4"/>
      <c r="BC769" s="4"/>
      <c r="BD769" s="4"/>
      <c r="BE769" s="4"/>
      <c r="BF769" s="4"/>
      <c r="BG769" s="654"/>
      <c r="BH769" s="655"/>
      <c r="BI769" s="4"/>
      <c r="BJ769" s="4"/>
      <c r="BK769" s="4"/>
      <c r="BL769" s="4"/>
      <c r="BM769" s="4"/>
      <c r="BN769" s="4"/>
      <c r="BO769" s="4"/>
      <c r="BP769" s="4"/>
      <c r="BQ769" s="4"/>
      <c r="BR769" s="4"/>
      <c r="BS769" s="654"/>
      <c r="BT769" s="655"/>
      <c r="BU769" s="4"/>
      <c r="BV769" s="4"/>
      <c r="BW769" s="4"/>
      <c r="BX769" s="4"/>
      <c r="BY769" s="4"/>
      <c r="BZ769" s="4"/>
      <c r="CA769" s="4"/>
      <c r="CB769" s="4"/>
      <c r="CC769" s="4"/>
      <c r="CD769" s="4"/>
      <c r="CE769" s="693"/>
      <c r="CF769" s="723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654"/>
      <c r="CR769" s="655"/>
      <c r="CS769" s="4"/>
      <c r="CT769" s="4"/>
      <c r="CU769" s="4"/>
      <c r="CV769" s="4"/>
      <c r="CW769" s="4"/>
      <c r="CX769" s="4">
        <v>91</v>
      </c>
      <c r="CY769" s="4">
        <v>91</v>
      </c>
      <c r="CZ769" s="4">
        <v>91</v>
      </c>
      <c r="DA769" s="4">
        <v>91</v>
      </c>
      <c r="DB769" s="4">
        <v>91</v>
      </c>
      <c r="DC769" s="654">
        <v>91</v>
      </c>
      <c r="DD769" s="655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654"/>
      <c r="DP769" s="655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654"/>
      <c r="EB769" s="655"/>
      <c r="EC769" s="4"/>
      <c r="ED769" s="4"/>
      <c r="EE769" s="4"/>
      <c r="EF769" s="4"/>
      <c r="EG769" s="4"/>
      <c r="EH769" s="4"/>
      <c r="EI769" s="4"/>
      <c r="EJ769" s="4"/>
      <c r="EK769" s="4"/>
      <c r="EL769" s="4"/>
      <c r="EM769" s="693"/>
      <c r="EN769" s="723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654"/>
      <c r="EZ769" s="655"/>
      <c r="FA769" s="4"/>
      <c r="FB769" s="4"/>
      <c r="FC769" s="4"/>
      <c r="FD769" s="4"/>
      <c r="FE769" s="4"/>
      <c r="FF769" s="4">
        <v>91</v>
      </c>
      <c r="FG769" s="4">
        <v>91</v>
      </c>
      <c r="FH769" s="4">
        <v>91</v>
      </c>
      <c r="FI769" s="4">
        <v>91</v>
      </c>
      <c r="FJ769" s="4">
        <v>91</v>
      </c>
      <c r="FK769" s="654">
        <v>91</v>
      </c>
      <c r="FL769" s="655"/>
      <c r="FM769" s="4"/>
      <c r="FN769" s="4"/>
      <c r="FO769" s="4"/>
      <c r="FP769" s="4"/>
      <c r="FQ769" s="4"/>
      <c r="FR769" s="4"/>
      <c r="FS769" s="4"/>
      <c r="FT769" s="4"/>
      <c r="FU769" s="4"/>
      <c r="FV769" s="4"/>
      <c r="FW769" s="654"/>
      <c r="FX769" s="655"/>
      <c r="FY769" s="4"/>
      <c r="FZ769" s="4"/>
      <c r="GA769" s="4"/>
      <c r="GB769" s="4"/>
      <c r="GC769" s="4"/>
      <c r="GD769" s="4"/>
      <c r="GE769" s="4"/>
      <c r="GF769" s="4"/>
      <c r="GG769" s="4"/>
      <c r="GH769" s="4"/>
      <c r="GI769" s="654"/>
      <c r="GJ769" s="655"/>
      <c r="GK769" s="4"/>
      <c r="GL769" s="4"/>
      <c r="GM769" s="4"/>
      <c r="GN769" s="4"/>
      <c r="GO769" s="4"/>
      <c r="GP769" s="4"/>
      <c r="GQ769" s="4"/>
      <c r="GR769" s="4"/>
      <c r="GS769" s="4"/>
      <c r="GT769" s="4"/>
      <c r="GU769" s="722"/>
      <c r="GV769" s="715"/>
    </row>
    <row r="770" spans="1:204" x14ac:dyDescent="0.25">
      <c r="A770" t="s">
        <v>2637</v>
      </c>
      <c r="B770" s="2" t="s">
        <v>2636</v>
      </c>
      <c r="C770" s="619">
        <v>44921</v>
      </c>
      <c r="D770" s="2" t="s">
        <v>2632</v>
      </c>
      <c r="E770" t="s">
        <v>59</v>
      </c>
      <c r="F770" s="2" t="s">
        <v>2473</v>
      </c>
      <c r="G770" t="s">
        <v>40</v>
      </c>
      <c r="H770" s="690" t="s">
        <v>85</v>
      </c>
      <c r="I770" s="691" t="s">
        <v>2473</v>
      </c>
      <c r="J770" s="721" t="s">
        <v>2146</v>
      </c>
      <c r="K770" s="691" t="s">
        <v>346</v>
      </c>
      <c r="L770" s="721" t="e">
        <v>#N/A</v>
      </c>
      <c r="M770" s="718" t="s">
        <v>3</v>
      </c>
      <c r="N770" s="717" t="s">
        <v>44</v>
      </c>
      <c r="O770" s="719">
        <v>45200</v>
      </c>
      <c r="P770" s="720">
        <v>45291</v>
      </c>
      <c r="Q770" s="718">
        <v>93</v>
      </c>
      <c r="R770" s="717">
        <v>5</v>
      </c>
      <c r="S770" s="691" t="s">
        <v>54</v>
      </c>
      <c r="T770" t="s">
        <v>358</v>
      </c>
      <c r="U770" s="673" t="s">
        <v>358</v>
      </c>
      <c r="V770" s="690" t="s">
        <v>358</v>
      </c>
      <c r="W770" s="657" t="s">
        <v>2593</v>
      </c>
      <c r="X770" s="723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654"/>
      <c r="AJ770" s="655"/>
      <c r="AK770" s="4"/>
      <c r="AL770" s="4"/>
      <c r="AM770" s="4"/>
      <c r="AN770" s="4"/>
      <c r="AO770" s="4"/>
      <c r="AP770" s="4"/>
      <c r="AQ770" s="4"/>
      <c r="AR770" s="4"/>
      <c r="AS770" s="4">
        <v>5</v>
      </c>
      <c r="AT770" s="4">
        <v>5</v>
      </c>
      <c r="AU770" s="654">
        <v>5</v>
      </c>
      <c r="AV770" s="655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654"/>
      <c r="BH770" s="655"/>
      <c r="BI770" s="4"/>
      <c r="BJ770" s="4"/>
      <c r="BK770" s="4"/>
      <c r="BL770" s="4"/>
      <c r="BM770" s="4"/>
      <c r="BN770" s="4"/>
      <c r="BO770" s="4"/>
      <c r="BP770" s="4"/>
      <c r="BQ770" s="4"/>
      <c r="BR770" s="4"/>
      <c r="BS770" s="654"/>
      <c r="BT770" s="655"/>
      <c r="BU770" s="4"/>
      <c r="BV770" s="4"/>
      <c r="BW770" s="4"/>
      <c r="BX770" s="4"/>
      <c r="BY770" s="4"/>
      <c r="BZ770" s="4"/>
      <c r="CA770" s="4"/>
      <c r="CB770" s="4"/>
      <c r="CC770" s="4"/>
      <c r="CD770" s="4"/>
      <c r="CE770" s="693"/>
      <c r="CF770" s="723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654"/>
      <c r="CR770" s="655"/>
      <c r="CS770" s="4"/>
      <c r="CT770" s="4"/>
      <c r="CU770" s="4"/>
      <c r="CV770" s="4"/>
      <c r="CW770" s="4"/>
      <c r="CX770" s="4"/>
      <c r="CY770" s="4"/>
      <c r="CZ770" s="4"/>
      <c r="DA770" s="4">
        <v>93</v>
      </c>
      <c r="DB770" s="4">
        <v>93</v>
      </c>
      <c r="DC770" s="654">
        <v>93</v>
      </c>
      <c r="DD770" s="655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654"/>
      <c r="DP770" s="655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654"/>
      <c r="EB770" s="655"/>
      <c r="EC770" s="4"/>
      <c r="ED770" s="4"/>
      <c r="EE770" s="4"/>
      <c r="EF770" s="4"/>
      <c r="EG770" s="4"/>
      <c r="EH770" s="4"/>
      <c r="EI770" s="4"/>
      <c r="EJ770" s="4"/>
      <c r="EK770" s="4"/>
      <c r="EL770" s="4"/>
      <c r="EM770" s="693"/>
      <c r="EN770" s="723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654"/>
      <c r="EZ770" s="655"/>
      <c r="FA770" s="4"/>
      <c r="FB770" s="4"/>
      <c r="FC770" s="4"/>
      <c r="FD770" s="4"/>
      <c r="FE770" s="4"/>
      <c r="FF770" s="4"/>
      <c r="FG770" s="4"/>
      <c r="FH770" s="4"/>
      <c r="FI770" s="4">
        <v>93</v>
      </c>
      <c r="FJ770" s="4">
        <v>93</v>
      </c>
      <c r="FK770" s="654">
        <v>93</v>
      </c>
      <c r="FL770" s="655"/>
      <c r="FM770" s="4"/>
      <c r="FN770" s="4"/>
      <c r="FO770" s="4"/>
      <c r="FP770" s="4"/>
      <c r="FQ770" s="4"/>
      <c r="FR770" s="4"/>
      <c r="FS770" s="4"/>
      <c r="FT770" s="4"/>
      <c r="FU770" s="4"/>
      <c r="FV770" s="4"/>
      <c r="FW770" s="654"/>
      <c r="FX770" s="655"/>
      <c r="FY770" s="4"/>
      <c r="FZ770" s="4"/>
      <c r="GA770" s="4"/>
      <c r="GB770" s="4"/>
      <c r="GC770" s="4"/>
      <c r="GD770" s="4"/>
      <c r="GE770" s="4"/>
      <c r="GF770" s="4"/>
      <c r="GG770" s="4"/>
      <c r="GH770" s="4"/>
      <c r="GI770" s="654"/>
      <c r="GJ770" s="655"/>
      <c r="GK770" s="4"/>
      <c r="GL770" s="4"/>
      <c r="GM770" s="4"/>
      <c r="GN770" s="4"/>
      <c r="GO770" s="4"/>
      <c r="GP770" s="4"/>
      <c r="GQ770" s="4"/>
      <c r="GR770" s="4"/>
      <c r="GS770" s="4"/>
      <c r="GT770" s="4"/>
      <c r="GU770" s="722"/>
      <c r="GV770" s="715"/>
    </row>
    <row r="771" spans="1:204" x14ac:dyDescent="0.25">
      <c r="A771" t="s">
        <v>2639</v>
      </c>
      <c r="B771" s="2" t="s">
        <v>2638</v>
      </c>
      <c r="C771" s="619">
        <v>44922</v>
      </c>
      <c r="D771" s="2" t="s">
        <v>2633</v>
      </c>
      <c r="E771" t="s">
        <v>58</v>
      </c>
      <c r="F771" s="2" t="s">
        <v>2473</v>
      </c>
      <c r="G771" t="s">
        <v>40</v>
      </c>
      <c r="H771" s="690" t="s">
        <v>84</v>
      </c>
      <c r="I771" s="691" t="s">
        <v>2634</v>
      </c>
      <c r="J771" s="721" t="s">
        <v>2635</v>
      </c>
      <c r="K771" s="691" t="s">
        <v>2473</v>
      </c>
      <c r="L771" s="721" t="s">
        <v>2146</v>
      </c>
      <c r="M771" s="718" t="s">
        <v>3</v>
      </c>
      <c r="N771" s="717" t="s">
        <v>44</v>
      </c>
      <c r="O771" s="719">
        <v>45200</v>
      </c>
      <c r="P771" s="720">
        <v>45291</v>
      </c>
      <c r="Q771" s="718">
        <v>91</v>
      </c>
      <c r="R771" s="717">
        <v>5</v>
      </c>
      <c r="S771" s="691" t="s">
        <v>54</v>
      </c>
      <c r="T771" t="s">
        <v>358</v>
      </c>
      <c r="U771" s="673" t="s">
        <v>358</v>
      </c>
      <c r="V771" s="690" t="s">
        <v>358</v>
      </c>
      <c r="W771" s="657" t="s">
        <v>329</v>
      </c>
      <c r="X771" s="723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654"/>
      <c r="AJ771" s="655"/>
      <c r="AK771" s="4"/>
      <c r="AL771" s="4"/>
      <c r="AM771" s="4"/>
      <c r="AN771" s="4"/>
      <c r="AO771" s="4"/>
      <c r="AP771" s="4"/>
      <c r="AQ771" s="4"/>
      <c r="AR771" s="4"/>
      <c r="AS771" s="4">
        <v>5</v>
      </c>
      <c r="AT771" s="4">
        <v>5</v>
      </c>
      <c r="AU771" s="654">
        <v>5</v>
      </c>
      <c r="AV771" s="655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654"/>
      <c r="BH771" s="655"/>
      <c r="BI771" s="4"/>
      <c r="BJ771" s="4"/>
      <c r="BK771" s="4"/>
      <c r="BL771" s="4"/>
      <c r="BM771" s="4"/>
      <c r="BN771" s="4"/>
      <c r="BO771" s="4"/>
      <c r="BP771" s="4"/>
      <c r="BQ771" s="4"/>
      <c r="BR771" s="4"/>
      <c r="BS771" s="654"/>
      <c r="BT771" s="655"/>
      <c r="BU771" s="4"/>
      <c r="BV771" s="4"/>
      <c r="BW771" s="4"/>
      <c r="BX771" s="4"/>
      <c r="BY771" s="4"/>
      <c r="BZ771" s="4"/>
      <c r="CA771" s="4"/>
      <c r="CB771" s="4"/>
      <c r="CC771" s="4"/>
      <c r="CD771" s="4"/>
      <c r="CE771" s="693"/>
      <c r="CF771" s="723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654"/>
      <c r="CR771" s="655"/>
      <c r="CS771" s="4"/>
      <c r="CT771" s="4"/>
      <c r="CU771" s="4"/>
      <c r="CV771" s="4"/>
      <c r="CW771" s="4"/>
      <c r="CX771" s="4"/>
      <c r="CY771" s="4"/>
      <c r="CZ771" s="4"/>
      <c r="DA771" s="4">
        <v>91</v>
      </c>
      <c r="DB771" s="4">
        <v>91</v>
      </c>
      <c r="DC771" s="654">
        <v>91</v>
      </c>
      <c r="DD771" s="655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654"/>
      <c r="DP771" s="655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654"/>
      <c r="EB771" s="655"/>
      <c r="EC771" s="4"/>
      <c r="ED771" s="4"/>
      <c r="EE771" s="4"/>
      <c r="EF771" s="4"/>
      <c r="EG771" s="4"/>
      <c r="EH771" s="4"/>
      <c r="EI771" s="4"/>
      <c r="EJ771" s="4"/>
      <c r="EK771" s="4"/>
      <c r="EL771" s="4"/>
      <c r="EM771" s="693"/>
      <c r="EN771" s="723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654"/>
      <c r="EZ771" s="655"/>
      <c r="FA771" s="4"/>
      <c r="FB771" s="4"/>
      <c r="FC771" s="4"/>
      <c r="FD771" s="4"/>
      <c r="FE771" s="4"/>
      <c r="FF771" s="4"/>
      <c r="FG771" s="4"/>
      <c r="FH771" s="4"/>
      <c r="FI771" s="4">
        <v>91</v>
      </c>
      <c r="FJ771" s="4">
        <v>91</v>
      </c>
      <c r="FK771" s="654">
        <v>91</v>
      </c>
      <c r="FL771" s="655"/>
      <c r="FM771" s="4"/>
      <c r="FN771" s="4"/>
      <c r="FO771" s="4"/>
      <c r="FP771" s="4"/>
      <c r="FQ771" s="4"/>
      <c r="FR771" s="4"/>
      <c r="FS771" s="4"/>
      <c r="FT771" s="4"/>
      <c r="FU771" s="4"/>
      <c r="FV771" s="4"/>
      <c r="FW771" s="654"/>
      <c r="FX771" s="655"/>
      <c r="FY771" s="4"/>
      <c r="FZ771" s="4"/>
      <c r="GA771" s="4"/>
      <c r="GB771" s="4"/>
      <c r="GC771" s="4"/>
      <c r="GD771" s="4"/>
      <c r="GE771" s="4"/>
      <c r="GF771" s="4"/>
      <c r="GG771" s="4"/>
      <c r="GH771" s="4"/>
      <c r="GI771" s="654"/>
      <c r="GJ771" s="655"/>
      <c r="GK771" s="4"/>
      <c r="GL771" s="4"/>
      <c r="GM771" s="4"/>
      <c r="GN771" s="4"/>
      <c r="GO771" s="4"/>
      <c r="GP771" s="4"/>
      <c r="GQ771" s="4"/>
      <c r="GR771" s="4"/>
      <c r="GS771" s="4"/>
      <c r="GT771" s="4"/>
      <c r="GU771" s="722"/>
      <c r="GV771" s="715"/>
    </row>
    <row r="772" spans="1:204" x14ac:dyDescent="0.25">
      <c r="A772" t="s">
        <v>2642</v>
      </c>
      <c r="B772" s="2" t="s">
        <v>2641</v>
      </c>
      <c r="C772" s="619">
        <v>44923</v>
      </c>
      <c r="D772" s="2" t="s">
        <v>2640</v>
      </c>
      <c r="E772" t="s">
        <v>59</v>
      </c>
      <c r="F772" s="2" t="s">
        <v>2473</v>
      </c>
      <c r="G772" t="s">
        <v>40</v>
      </c>
      <c r="H772" s="690" t="s">
        <v>85</v>
      </c>
      <c r="I772" s="691" t="s">
        <v>2473</v>
      </c>
      <c r="J772" s="721" t="s">
        <v>2146</v>
      </c>
      <c r="K772" s="691" t="s">
        <v>465</v>
      </c>
      <c r="L772" s="721" t="s">
        <v>2441</v>
      </c>
      <c r="M772" s="718" t="s">
        <v>3</v>
      </c>
      <c r="N772" s="717" t="s">
        <v>44</v>
      </c>
      <c r="O772" s="719">
        <v>44927</v>
      </c>
      <c r="P772" s="720">
        <v>45077</v>
      </c>
      <c r="Q772" s="718">
        <v>71</v>
      </c>
      <c r="R772" s="717">
        <v>5</v>
      </c>
      <c r="S772" s="691" t="s">
        <v>54</v>
      </c>
      <c r="T772" t="s">
        <v>358</v>
      </c>
      <c r="U772" s="673" t="s">
        <v>358</v>
      </c>
      <c r="V772" s="690" t="s">
        <v>358</v>
      </c>
      <c r="W772" s="657" t="s">
        <v>329</v>
      </c>
      <c r="X772" s="723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654"/>
      <c r="AJ772" s="655">
        <v>5</v>
      </c>
      <c r="AK772" s="4">
        <v>5</v>
      </c>
      <c r="AL772" s="4">
        <v>5</v>
      </c>
      <c r="AM772" s="4">
        <v>5</v>
      </c>
      <c r="AN772" s="4">
        <v>5</v>
      </c>
      <c r="AO772" s="4"/>
      <c r="AP772" s="4"/>
      <c r="AQ772" s="4"/>
      <c r="AR772" s="4"/>
      <c r="AS772" s="4"/>
      <c r="AT772" s="4"/>
      <c r="AU772" s="654"/>
      <c r="AV772" s="655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654"/>
      <c r="BH772" s="655"/>
      <c r="BI772" s="4"/>
      <c r="BJ772" s="4"/>
      <c r="BK772" s="4"/>
      <c r="BL772" s="4"/>
      <c r="BM772" s="4"/>
      <c r="BN772" s="4"/>
      <c r="BO772" s="4"/>
      <c r="BP772" s="4"/>
      <c r="BQ772" s="4"/>
      <c r="BR772" s="4"/>
      <c r="BS772" s="654"/>
      <c r="BT772" s="655"/>
      <c r="BU772" s="4"/>
      <c r="BV772" s="4"/>
      <c r="BW772" s="4"/>
      <c r="BX772" s="4"/>
      <c r="BY772" s="4"/>
      <c r="BZ772" s="4"/>
      <c r="CA772" s="4"/>
      <c r="CB772" s="4"/>
      <c r="CC772" s="4"/>
      <c r="CD772" s="4"/>
      <c r="CE772" s="693"/>
      <c r="CF772" s="723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654"/>
      <c r="CR772" s="655">
        <v>71</v>
      </c>
      <c r="CS772" s="4">
        <v>71</v>
      </c>
      <c r="CT772" s="4">
        <v>71</v>
      </c>
      <c r="CU772" s="4">
        <v>71</v>
      </c>
      <c r="CV772" s="4">
        <v>71</v>
      </c>
      <c r="CW772" s="4"/>
      <c r="CX772" s="4"/>
      <c r="CY772" s="4"/>
      <c r="CZ772" s="4"/>
      <c r="DA772" s="4"/>
      <c r="DB772" s="4"/>
      <c r="DC772" s="654"/>
      <c r="DD772" s="655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654"/>
      <c r="DP772" s="655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654"/>
      <c r="EB772" s="655"/>
      <c r="EC772" s="4"/>
      <c r="ED772" s="4"/>
      <c r="EE772" s="4"/>
      <c r="EF772" s="4"/>
      <c r="EG772" s="4"/>
      <c r="EH772" s="4"/>
      <c r="EI772" s="4"/>
      <c r="EJ772" s="4"/>
      <c r="EK772" s="4"/>
      <c r="EL772" s="4"/>
      <c r="EM772" s="693"/>
      <c r="EN772" s="723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654"/>
      <c r="EZ772" s="655">
        <v>71</v>
      </c>
      <c r="FA772" s="4">
        <v>71</v>
      </c>
      <c r="FB772" s="4">
        <v>71</v>
      </c>
      <c r="FC772" s="4">
        <v>71</v>
      </c>
      <c r="FD772" s="4">
        <v>71</v>
      </c>
      <c r="FE772" s="4"/>
      <c r="FF772" s="4"/>
      <c r="FG772" s="4"/>
      <c r="FH772" s="4"/>
      <c r="FI772" s="4"/>
      <c r="FJ772" s="4"/>
      <c r="FK772" s="654"/>
      <c r="FL772" s="655"/>
      <c r="FM772" s="4"/>
      <c r="FN772" s="4"/>
      <c r="FO772" s="4"/>
      <c r="FP772" s="4"/>
      <c r="FQ772" s="4"/>
      <c r="FR772" s="4"/>
      <c r="FS772" s="4"/>
      <c r="FT772" s="4"/>
      <c r="FU772" s="4"/>
      <c r="FV772" s="4"/>
      <c r="FW772" s="654"/>
      <c r="FX772" s="655"/>
      <c r="FY772" s="4"/>
      <c r="FZ772" s="4"/>
      <c r="GA772" s="4"/>
      <c r="GB772" s="4"/>
      <c r="GC772" s="4"/>
      <c r="GD772" s="4"/>
      <c r="GE772" s="4"/>
      <c r="GF772" s="4"/>
      <c r="GG772" s="4"/>
      <c r="GH772" s="4"/>
      <c r="GI772" s="654"/>
      <c r="GJ772" s="655"/>
      <c r="GK772" s="4"/>
      <c r="GL772" s="4"/>
      <c r="GM772" s="4"/>
      <c r="GN772" s="4"/>
      <c r="GO772" s="4"/>
      <c r="GP772" s="4"/>
      <c r="GQ772" s="4"/>
      <c r="GR772" s="4"/>
      <c r="GS772" s="4"/>
      <c r="GT772" s="4"/>
      <c r="GU772" s="722"/>
      <c r="GV772" s="715"/>
    </row>
    <row r="773" spans="1:204" x14ac:dyDescent="0.25">
      <c r="A773" t="s">
        <v>2646</v>
      </c>
      <c r="B773" s="2" t="s">
        <v>2645</v>
      </c>
      <c r="C773" s="619">
        <v>44924</v>
      </c>
      <c r="D773" s="2" t="s">
        <v>2643</v>
      </c>
      <c r="E773" t="s">
        <v>59</v>
      </c>
      <c r="F773" s="2" t="s">
        <v>2473</v>
      </c>
      <c r="G773" t="s">
        <v>40</v>
      </c>
      <c r="H773" s="690" t="s">
        <v>85</v>
      </c>
      <c r="I773" s="691" t="s">
        <v>2473</v>
      </c>
      <c r="J773" s="721" t="s">
        <v>2146</v>
      </c>
      <c r="K773" s="691" t="s">
        <v>465</v>
      </c>
      <c r="L773" s="721" t="s">
        <v>2441</v>
      </c>
      <c r="M773" s="718" t="s">
        <v>3</v>
      </c>
      <c r="N773" s="717" t="s">
        <v>44</v>
      </c>
      <c r="O773" s="719">
        <v>44927</v>
      </c>
      <c r="P773" s="720">
        <v>45016</v>
      </c>
      <c r="Q773" s="718">
        <v>70</v>
      </c>
      <c r="R773" s="717">
        <v>20</v>
      </c>
      <c r="S773" s="691" t="s">
        <v>54</v>
      </c>
      <c r="T773" t="s">
        <v>358</v>
      </c>
      <c r="U773" s="673" t="s">
        <v>358</v>
      </c>
      <c r="V773" s="690" t="s">
        <v>358</v>
      </c>
      <c r="W773" s="657" t="s">
        <v>329</v>
      </c>
      <c r="X773" s="723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654"/>
      <c r="AJ773" s="655">
        <v>20</v>
      </c>
      <c r="AK773" s="4">
        <v>20</v>
      </c>
      <c r="AL773" s="4">
        <v>20</v>
      </c>
      <c r="AM773" s="4"/>
      <c r="AN773" s="4"/>
      <c r="AO773" s="4"/>
      <c r="AP773" s="4"/>
      <c r="AQ773" s="4"/>
      <c r="AR773" s="4"/>
      <c r="AS773" s="4"/>
      <c r="AT773" s="4"/>
      <c r="AU773" s="654"/>
      <c r="AV773" s="655"/>
      <c r="AW773" s="4"/>
      <c r="AX773" s="4"/>
      <c r="AY773" s="4"/>
      <c r="AZ773" s="4"/>
      <c r="BA773" s="4"/>
      <c r="BB773" s="4"/>
      <c r="BC773" s="4"/>
      <c r="BD773" s="4"/>
      <c r="BE773" s="4"/>
      <c r="BF773" s="4"/>
      <c r="BG773" s="654"/>
      <c r="BH773" s="655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654"/>
      <c r="BT773" s="655"/>
      <c r="BU773" s="4"/>
      <c r="BV773" s="4"/>
      <c r="BW773" s="4"/>
      <c r="BX773" s="4"/>
      <c r="BY773" s="4"/>
      <c r="BZ773" s="4"/>
      <c r="CA773" s="4"/>
      <c r="CB773" s="4"/>
      <c r="CC773" s="4"/>
      <c r="CD773" s="4"/>
      <c r="CE773" s="693"/>
      <c r="CF773" s="723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654"/>
      <c r="CR773" s="655">
        <v>70</v>
      </c>
      <c r="CS773" s="4">
        <v>70</v>
      </c>
      <c r="CT773" s="4">
        <v>70</v>
      </c>
      <c r="CU773" s="4"/>
      <c r="CV773" s="4"/>
      <c r="CW773" s="4"/>
      <c r="CX773" s="4"/>
      <c r="CY773" s="4"/>
      <c r="CZ773" s="4"/>
      <c r="DA773" s="4"/>
      <c r="DB773" s="4"/>
      <c r="DC773" s="654"/>
      <c r="DD773" s="655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654"/>
      <c r="DP773" s="655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654"/>
      <c r="EB773" s="655"/>
      <c r="EC773" s="4"/>
      <c r="ED773" s="4"/>
      <c r="EE773" s="4"/>
      <c r="EF773" s="4"/>
      <c r="EG773" s="4"/>
      <c r="EH773" s="4"/>
      <c r="EI773" s="4"/>
      <c r="EJ773" s="4"/>
      <c r="EK773" s="4"/>
      <c r="EL773" s="4"/>
      <c r="EM773" s="693"/>
      <c r="EN773" s="723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654"/>
      <c r="EZ773" s="655">
        <v>70</v>
      </c>
      <c r="FA773" s="4">
        <v>70</v>
      </c>
      <c r="FB773" s="4">
        <v>70</v>
      </c>
      <c r="FC773" s="4"/>
      <c r="FD773" s="4"/>
      <c r="FE773" s="4"/>
      <c r="FF773" s="4"/>
      <c r="FG773" s="4"/>
      <c r="FH773" s="4"/>
      <c r="FI773" s="4"/>
      <c r="FJ773" s="4"/>
      <c r="FK773" s="654"/>
      <c r="FL773" s="655"/>
      <c r="FM773" s="4"/>
      <c r="FN773" s="4"/>
      <c r="FO773" s="4"/>
      <c r="FP773" s="4"/>
      <c r="FQ773" s="4"/>
      <c r="FR773" s="4"/>
      <c r="FS773" s="4"/>
      <c r="FT773" s="4"/>
      <c r="FU773" s="4"/>
      <c r="FV773" s="4"/>
      <c r="FW773" s="654"/>
      <c r="FX773" s="655"/>
      <c r="FY773" s="4"/>
      <c r="FZ773" s="4"/>
      <c r="GA773" s="4"/>
      <c r="GB773" s="4"/>
      <c r="GC773" s="4"/>
      <c r="GD773" s="4"/>
      <c r="GE773" s="4"/>
      <c r="GF773" s="4"/>
      <c r="GG773" s="4"/>
      <c r="GH773" s="4"/>
      <c r="GI773" s="654"/>
      <c r="GJ773" s="655"/>
      <c r="GK773" s="4"/>
      <c r="GL773" s="4"/>
      <c r="GM773" s="4"/>
      <c r="GN773" s="4"/>
      <c r="GO773" s="4"/>
      <c r="GP773" s="4"/>
      <c r="GQ773" s="4"/>
      <c r="GR773" s="4"/>
      <c r="GS773" s="4"/>
      <c r="GT773" s="4"/>
      <c r="GU773" s="722"/>
      <c r="GV773" s="715"/>
    </row>
    <row r="774" spans="1:204" x14ac:dyDescent="0.25">
      <c r="A774" t="s">
        <v>2648</v>
      </c>
      <c r="B774" s="2" t="s">
        <v>2647</v>
      </c>
      <c r="C774" s="619">
        <v>44924</v>
      </c>
      <c r="D774" s="2" t="s">
        <v>2644</v>
      </c>
      <c r="E774" t="s">
        <v>59</v>
      </c>
      <c r="F774" s="2" t="s">
        <v>2473</v>
      </c>
      <c r="G774" t="s">
        <v>40</v>
      </c>
      <c r="H774" s="690" t="s">
        <v>85</v>
      </c>
      <c r="I774" s="691" t="s">
        <v>2473</v>
      </c>
      <c r="J774" s="721" t="s">
        <v>2146</v>
      </c>
      <c r="K774" s="691" t="s">
        <v>465</v>
      </c>
      <c r="L774" s="721" t="s">
        <v>2441</v>
      </c>
      <c r="M774" s="718" t="s">
        <v>3</v>
      </c>
      <c r="N774" s="717" t="s">
        <v>44</v>
      </c>
      <c r="O774" s="719">
        <v>44927</v>
      </c>
      <c r="P774" s="720">
        <v>45016</v>
      </c>
      <c r="Q774" s="718">
        <v>70</v>
      </c>
      <c r="R774" s="717">
        <v>2</v>
      </c>
      <c r="S774" s="691" t="s">
        <v>54</v>
      </c>
      <c r="T774" t="s">
        <v>358</v>
      </c>
      <c r="U774" s="673" t="s">
        <v>358</v>
      </c>
      <c r="V774" s="690" t="s">
        <v>358</v>
      </c>
      <c r="W774" s="657" t="s">
        <v>329</v>
      </c>
      <c r="X774" s="723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654"/>
      <c r="AJ774" s="655">
        <v>2</v>
      </c>
      <c r="AK774" s="4">
        <v>2</v>
      </c>
      <c r="AL774" s="4">
        <v>2</v>
      </c>
      <c r="AM774" s="4"/>
      <c r="AN774" s="4"/>
      <c r="AO774" s="4"/>
      <c r="AP774" s="4"/>
      <c r="AQ774" s="4"/>
      <c r="AR774" s="4"/>
      <c r="AS774" s="4"/>
      <c r="AT774" s="4"/>
      <c r="AU774" s="654"/>
      <c r="AV774" s="655"/>
      <c r="AW774" s="4"/>
      <c r="AX774" s="4"/>
      <c r="AY774" s="4"/>
      <c r="AZ774" s="4"/>
      <c r="BA774" s="4"/>
      <c r="BB774" s="4"/>
      <c r="BC774" s="4"/>
      <c r="BD774" s="4"/>
      <c r="BE774" s="4"/>
      <c r="BF774" s="4"/>
      <c r="BG774" s="654"/>
      <c r="BH774" s="655"/>
      <c r="BI774" s="4"/>
      <c r="BJ774" s="4"/>
      <c r="BK774" s="4"/>
      <c r="BL774" s="4"/>
      <c r="BM774" s="4"/>
      <c r="BN774" s="4"/>
      <c r="BO774" s="4"/>
      <c r="BP774" s="4"/>
      <c r="BQ774" s="4"/>
      <c r="BR774" s="4"/>
      <c r="BS774" s="654"/>
      <c r="BT774" s="655"/>
      <c r="BU774" s="4"/>
      <c r="BV774" s="4"/>
      <c r="BW774" s="4"/>
      <c r="BX774" s="4"/>
      <c r="BY774" s="4"/>
      <c r="BZ774" s="4"/>
      <c r="CA774" s="4"/>
      <c r="CB774" s="4"/>
      <c r="CC774" s="4"/>
      <c r="CD774" s="4"/>
      <c r="CE774" s="693"/>
      <c r="CF774" s="723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654"/>
      <c r="CR774" s="655">
        <v>70</v>
      </c>
      <c r="CS774" s="4">
        <v>70</v>
      </c>
      <c r="CT774" s="4">
        <v>70</v>
      </c>
      <c r="CU774" s="4"/>
      <c r="CV774" s="4"/>
      <c r="CW774" s="4"/>
      <c r="CX774" s="4"/>
      <c r="CY774" s="4"/>
      <c r="CZ774" s="4"/>
      <c r="DA774" s="4"/>
      <c r="DB774" s="4"/>
      <c r="DC774" s="654"/>
      <c r="DD774" s="655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654"/>
      <c r="DP774" s="655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654"/>
      <c r="EB774" s="655"/>
      <c r="EC774" s="4"/>
      <c r="ED774" s="4"/>
      <c r="EE774" s="4"/>
      <c r="EF774" s="4"/>
      <c r="EG774" s="4"/>
      <c r="EH774" s="4"/>
      <c r="EI774" s="4"/>
      <c r="EJ774" s="4"/>
      <c r="EK774" s="4"/>
      <c r="EL774" s="4"/>
      <c r="EM774" s="693"/>
      <c r="EN774" s="723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654"/>
      <c r="EZ774" s="655">
        <v>70</v>
      </c>
      <c r="FA774" s="4">
        <v>70</v>
      </c>
      <c r="FB774" s="4">
        <v>70</v>
      </c>
      <c r="FC774" s="4"/>
      <c r="FD774" s="4"/>
      <c r="FE774" s="4"/>
      <c r="FF774" s="4"/>
      <c r="FG774" s="4"/>
      <c r="FH774" s="4"/>
      <c r="FI774" s="4"/>
      <c r="FJ774" s="4"/>
      <c r="FK774" s="654"/>
      <c r="FL774" s="655"/>
      <c r="FM774" s="4"/>
      <c r="FN774" s="4"/>
      <c r="FO774" s="4"/>
      <c r="FP774" s="4"/>
      <c r="FQ774" s="4"/>
      <c r="FR774" s="4"/>
      <c r="FS774" s="4"/>
      <c r="FT774" s="4"/>
      <c r="FU774" s="4"/>
      <c r="FV774" s="4"/>
      <c r="FW774" s="654"/>
      <c r="FX774" s="655"/>
      <c r="FY774" s="4"/>
      <c r="FZ774" s="4"/>
      <c r="GA774" s="4"/>
      <c r="GB774" s="4"/>
      <c r="GC774" s="4"/>
      <c r="GD774" s="4"/>
      <c r="GE774" s="4"/>
      <c r="GF774" s="4"/>
      <c r="GG774" s="4"/>
      <c r="GH774" s="4"/>
      <c r="GI774" s="654"/>
      <c r="GJ774" s="655"/>
      <c r="GK774" s="4"/>
      <c r="GL774" s="4"/>
      <c r="GM774" s="4"/>
      <c r="GN774" s="4"/>
      <c r="GO774" s="4"/>
      <c r="GP774" s="4"/>
      <c r="GQ774" s="4"/>
      <c r="GR774" s="4"/>
      <c r="GS774" s="4"/>
      <c r="GT774" s="4"/>
      <c r="GU774" s="722"/>
      <c r="GV774" s="715"/>
    </row>
    <row r="775" spans="1:204" x14ac:dyDescent="0.25">
      <c r="A775" t="s">
        <v>2652</v>
      </c>
      <c r="B775" s="2" t="s">
        <v>2651</v>
      </c>
      <c r="C775" s="619">
        <v>44563</v>
      </c>
      <c r="D775" s="2" t="s">
        <v>2513</v>
      </c>
      <c r="E775" t="s">
        <v>59</v>
      </c>
      <c r="F775" s="2" t="s">
        <v>2473</v>
      </c>
      <c r="G775" t="s">
        <v>40</v>
      </c>
      <c r="H775" s="690" t="s">
        <v>85</v>
      </c>
      <c r="I775" s="691" t="s">
        <v>2473</v>
      </c>
      <c r="J775" s="721" t="s">
        <v>2146</v>
      </c>
      <c r="K775" s="691" t="s">
        <v>2649</v>
      </c>
      <c r="L775" s="721" t="s">
        <v>2650</v>
      </c>
      <c r="M775" s="718" t="s">
        <v>6</v>
      </c>
      <c r="N775" s="717" t="s">
        <v>44</v>
      </c>
      <c r="O775" s="719">
        <v>44896</v>
      </c>
      <c r="P775" s="720">
        <v>44926</v>
      </c>
      <c r="Q775" s="718">
        <v>149.5</v>
      </c>
      <c r="R775" s="717">
        <v>1.915</v>
      </c>
      <c r="S775" s="691" t="s">
        <v>92</v>
      </c>
      <c r="T775" t="s">
        <v>358</v>
      </c>
      <c r="U775" s="673" t="s">
        <v>358</v>
      </c>
      <c r="V775" s="690" t="s">
        <v>358</v>
      </c>
      <c r="W775" s="657" t="s">
        <v>324</v>
      </c>
      <c r="X775" s="723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654">
        <v>1.915</v>
      </c>
      <c r="AJ775" s="655"/>
      <c r="AK775" s="4"/>
      <c r="AL775" s="4"/>
      <c r="AM775" s="4"/>
      <c r="AN775" s="4"/>
      <c r="AO775" s="4"/>
      <c r="AP775" s="4"/>
      <c r="AQ775" s="4"/>
      <c r="AR775" s="4"/>
      <c r="AS775" s="4"/>
      <c r="AT775" s="4"/>
      <c r="AU775" s="654"/>
      <c r="AV775" s="655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654"/>
      <c r="BH775" s="655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654"/>
      <c r="BT775" s="655"/>
      <c r="BU775" s="4"/>
      <c r="BV775" s="4"/>
      <c r="BW775" s="4"/>
      <c r="BX775" s="4"/>
      <c r="BY775" s="4"/>
      <c r="BZ775" s="4"/>
      <c r="CA775" s="4"/>
      <c r="CB775" s="4"/>
      <c r="CC775" s="4"/>
      <c r="CD775" s="4"/>
      <c r="CE775" s="693"/>
      <c r="CF775" s="723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654">
        <v>149.5</v>
      </c>
      <c r="CR775" s="655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654"/>
      <c r="DD775" s="655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654"/>
      <c r="DP775" s="655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654"/>
      <c r="EB775" s="655"/>
      <c r="EC775" s="4"/>
      <c r="ED775" s="4"/>
      <c r="EE775" s="4"/>
      <c r="EF775" s="4"/>
      <c r="EG775" s="4"/>
      <c r="EH775" s="4"/>
      <c r="EI775" s="4"/>
      <c r="EJ775" s="4"/>
      <c r="EK775" s="4"/>
      <c r="EL775" s="4"/>
      <c r="EM775" s="693"/>
      <c r="EN775" s="723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654">
        <v>205.2</v>
      </c>
      <c r="EZ775" s="655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654"/>
      <c r="FL775" s="655"/>
      <c r="FM775" s="4"/>
      <c r="FN775" s="4"/>
      <c r="FO775" s="4"/>
      <c r="FP775" s="4"/>
      <c r="FQ775" s="4"/>
      <c r="FR775" s="4"/>
      <c r="FS775" s="4"/>
      <c r="FT775" s="4"/>
      <c r="FU775" s="4"/>
      <c r="FV775" s="4"/>
      <c r="FW775" s="654"/>
      <c r="FX775" s="655"/>
      <c r="FY775" s="4"/>
      <c r="FZ775" s="4"/>
      <c r="GA775" s="4"/>
      <c r="GB775" s="4"/>
      <c r="GC775" s="4"/>
      <c r="GD775" s="4"/>
      <c r="GE775" s="4"/>
      <c r="GF775" s="4"/>
      <c r="GG775" s="4"/>
      <c r="GH775" s="4"/>
      <c r="GI775" s="654"/>
      <c r="GJ775" s="655"/>
      <c r="GK775" s="4"/>
      <c r="GL775" s="4"/>
      <c r="GM775" s="4"/>
      <c r="GN775" s="4"/>
      <c r="GO775" s="4"/>
      <c r="GP775" s="4"/>
      <c r="GQ775" s="4"/>
      <c r="GR775" s="4"/>
      <c r="GS775" s="4"/>
      <c r="GT775" s="4"/>
      <c r="GU775" s="722"/>
      <c r="GV775" s="715"/>
    </row>
    <row r="776" spans="1:204" x14ac:dyDescent="0.25">
      <c r="A776" t="s">
        <v>2657</v>
      </c>
      <c r="B776" s="2" t="s">
        <v>2656</v>
      </c>
      <c r="C776" s="619">
        <v>44929</v>
      </c>
      <c r="D776" s="2" t="s">
        <v>2653</v>
      </c>
      <c r="E776" t="s">
        <v>59</v>
      </c>
      <c r="F776" s="2" t="s">
        <v>2473</v>
      </c>
      <c r="G776" t="s">
        <v>40</v>
      </c>
      <c r="H776" s="690" t="s">
        <v>85</v>
      </c>
      <c r="I776" s="691" t="s">
        <v>2473</v>
      </c>
      <c r="J776" s="721" t="s">
        <v>2146</v>
      </c>
      <c r="K776" s="691" t="s">
        <v>465</v>
      </c>
      <c r="L776" s="721" t="s">
        <v>2441</v>
      </c>
      <c r="M776" s="718" t="s">
        <v>6</v>
      </c>
      <c r="N776" s="717" t="s">
        <v>44</v>
      </c>
      <c r="O776" s="719">
        <v>44896</v>
      </c>
      <c r="P776" s="720">
        <v>44926</v>
      </c>
      <c r="Q776" s="718">
        <v>150</v>
      </c>
      <c r="R776" s="717">
        <v>1.885</v>
      </c>
      <c r="S776" s="691" t="s">
        <v>92</v>
      </c>
      <c r="T776" t="s">
        <v>358</v>
      </c>
      <c r="U776" s="673" t="s">
        <v>358</v>
      </c>
      <c r="V776" s="690" t="s">
        <v>358</v>
      </c>
      <c r="W776" s="657" t="s">
        <v>324</v>
      </c>
      <c r="X776" s="723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654">
        <v>1.885</v>
      </c>
      <c r="AJ776" s="655"/>
      <c r="AK776" s="4"/>
      <c r="AL776" s="4"/>
      <c r="AM776" s="4"/>
      <c r="AN776" s="4"/>
      <c r="AO776" s="4"/>
      <c r="AP776" s="4"/>
      <c r="AQ776" s="4"/>
      <c r="AR776" s="4"/>
      <c r="AS776" s="4"/>
      <c r="AT776" s="4"/>
      <c r="AU776" s="654"/>
      <c r="AV776" s="655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654"/>
      <c r="BH776" s="655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654"/>
      <c r="BT776" s="655"/>
      <c r="BU776" s="4"/>
      <c r="BV776" s="4"/>
      <c r="BW776" s="4"/>
      <c r="BX776" s="4"/>
      <c r="BY776" s="4"/>
      <c r="BZ776" s="4"/>
      <c r="CA776" s="4"/>
      <c r="CB776" s="4"/>
      <c r="CC776" s="4"/>
      <c r="CD776" s="4"/>
      <c r="CE776" s="693"/>
      <c r="CF776" s="723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654">
        <v>150</v>
      </c>
      <c r="CR776" s="655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654"/>
      <c r="DD776" s="655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654"/>
      <c r="DP776" s="655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654"/>
      <c r="EB776" s="655"/>
      <c r="EC776" s="4"/>
      <c r="ED776" s="4"/>
      <c r="EE776" s="4"/>
      <c r="EF776" s="4"/>
      <c r="EG776" s="4"/>
      <c r="EH776" s="4"/>
      <c r="EI776" s="4"/>
      <c r="EJ776" s="4"/>
      <c r="EK776" s="4"/>
      <c r="EL776" s="4"/>
      <c r="EM776" s="693"/>
      <c r="EN776" s="723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654">
        <v>205.7</v>
      </c>
      <c r="EZ776" s="655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654"/>
      <c r="FL776" s="655"/>
      <c r="FM776" s="4"/>
      <c r="FN776" s="4"/>
      <c r="FO776" s="4"/>
      <c r="FP776" s="4"/>
      <c r="FQ776" s="4"/>
      <c r="FR776" s="4"/>
      <c r="FS776" s="4"/>
      <c r="FT776" s="4"/>
      <c r="FU776" s="4"/>
      <c r="FV776" s="4"/>
      <c r="FW776" s="654"/>
      <c r="FX776" s="655"/>
      <c r="FY776" s="4"/>
      <c r="FZ776" s="4"/>
      <c r="GA776" s="4"/>
      <c r="GB776" s="4"/>
      <c r="GC776" s="4"/>
      <c r="GD776" s="4"/>
      <c r="GE776" s="4"/>
      <c r="GF776" s="4"/>
      <c r="GG776" s="4"/>
      <c r="GH776" s="4"/>
      <c r="GI776" s="654"/>
      <c r="GJ776" s="655"/>
      <c r="GK776" s="4"/>
      <c r="GL776" s="4"/>
      <c r="GM776" s="4"/>
      <c r="GN776" s="4"/>
      <c r="GO776" s="4"/>
      <c r="GP776" s="4"/>
      <c r="GQ776" s="4"/>
      <c r="GR776" s="4"/>
      <c r="GS776" s="4"/>
      <c r="GT776" s="4"/>
      <c r="GU776" s="722"/>
      <c r="GV776" s="715"/>
    </row>
    <row r="777" spans="1:204" x14ac:dyDescent="0.25">
      <c r="A777" t="s">
        <v>2658</v>
      </c>
      <c r="B777" s="2" t="s">
        <v>358</v>
      </c>
      <c r="C777" s="619">
        <v>44929</v>
      </c>
      <c r="D777" s="2" t="s">
        <v>2654</v>
      </c>
      <c r="E777" t="s">
        <v>58</v>
      </c>
      <c r="F777" s="2" t="s">
        <v>2473</v>
      </c>
      <c r="G777" t="s">
        <v>40</v>
      </c>
      <c r="H777" s="690" t="s">
        <v>84</v>
      </c>
      <c r="I777" s="691" t="s">
        <v>639</v>
      </c>
      <c r="J777" s="721" t="s">
        <v>2508</v>
      </c>
      <c r="K777" s="691" t="s">
        <v>2473</v>
      </c>
      <c r="L777" s="721" t="s">
        <v>2146</v>
      </c>
      <c r="M777" s="718" t="s">
        <v>3</v>
      </c>
      <c r="N777" s="717" t="s">
        <v>44</v>
      </c>
      <c r="O777" s="719">
        <v>44896</v>
      </c>
      <c r="P777" s="720">
        <v>44926</v>
      </c>
      <c r="Q777" s="718">
        <v>-0.85</v>
      </c>
      <c r="R777" s="717">
        <v>10</v>
      </c>
      <c r="S777" s="691" t="s">
        <v>92</v>
      </c>
      <c r="T777" t="s">
        <v>358</v>
      </c>
      <c r="U777" s="673" t="s">
        <v>358</v>
      </c>
      <c r="V777" s="690" t="s">
        <v>358</v>
      </c>
      <c r="W777" s="657" t="s">
        <v>214</v>
      </c>
      <c r="X777" s="723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654">
        <v>10</v>
      </c>
      <c r="AJ777" s="655"/>
      <c r="AK777" s="4"/>
      <c r="AL777" s="4"/>
      <c r="AM777" s="4"/>
      <c r="AN777" s="4"/>
      <c r="AO777" s="4"/>
      <c r="AP777" s="4"/>
      <c r="AQ777" s="4"/>
      <c r="AR777" s="4"/>
      <c r="AS777" s="4"/>
      <c r="AT777" s="4"/>
      <c r="AU777" s="654"/>
      <c r="AV777" s="655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654"/>
      <c r="BH777" s="655"/>
      <c r="BI777" s="4"/>
      <c r="BJ777" s="4"/>
      <c r="BK777" s="4"/>
      <c r="BL777" s="4"/>
      <c r="BM777" s="4"/>
      <c r="BN777" s="4"/>
      <c r="BO777" s="4"/>
      <c r="BP777" s="4"/>
      <c r="BQ777" s="4"/>
      <c r="BR777" s="4"/>
      <c r="BS777" s="654"/>
      <c r="BT777" s="655"/>
      <c r="BU777" s="4"/>
      <c r="BV777" s="4"/>
      <c r="BW777" s="4"/>
      <c r="BX777" s="4"/>
      <c r="BY777" s="4"/>
      <c r="BZ777" s="4"/>
      <c r="CA777" s="4"/>
      <c r="CB777" s="4"/>
      <c r="CC777" s="4"/>
      <c r="CD777" s="4"/>
      <c r="CE777" s="693"/>
      <c r="CF777" s="723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654">
        <v>-0.85</v>
      </c>
      <c r="CR777" s="655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654"/>
      <c r="DD777" s="655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654"/>
      <c r="DP777" s="655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654"/>
      <c r="EB777" s="655"/>
      <c r="EC777" s="4"/>
      <c r="ED777" s="4"/>
      <c r="EE777" s="4"/>
      <c r="EF777" s="4"/>
      <c r="EG777" s="4"/>
      <c r="EH777" s="4"/>
      <c r="EI777" s="4"/>
      <c r="EJ777" s="4"/>
      <c r="EK777" s="4"/>
      <c r="EL777" s="4"/>
      <c r="EM777" s="693"/>
      <c r="EN777" s="723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654">
        <v>54.85</v>
      </c>
      <c r="EZ777" s="655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654"/>
      <c r="FL777" s="655"/>
      <c r="FM777" s="4"/>
      <c r="FN777" s="4"/>
      <c r="FO777" s="4"/>
      <c r="FP777" s="4"/>
      <c r="FQ777" s="4"/>
      <c r="FR777" s="4"/>
      <c r="FS777" s="4"/>
      <c r="FT777" s="4"/>
      <c r="FU777" s="4"/>
      <c r="FV777" s="4"/>
      <c r="FW777" s="654"/>
      <c r="FX777" s="655"/>
      <c r="FY777" s="4"/>
      <c r="FZ777" s="4"/>
      <c r="GA777" s="4"/>
      <c r="GB777" s="4"/>
      <c r="GC777" s="4"/>
      <c r="GD777" s="4"/>
      <c r="GE777" s="4"/>
      <c r="GF777" s="4"/>
      <c r="GG777" s="4"/>
      <c r="GH777" s="4"/>
      <c r="GI777" s="654"/>
      <c r="GJ777" s="655"/>
      <c r="GK777" s="4"/>
      <c r="GL777" s="4"/>
      <c r="GM777" s="4"/>
      <c r="GN777" s="4"/>
      <c r="GO777" s="4"/>
      <c r="GP777" s="4"/>
      <c r="GQ777" s="4"/>
      <c r="GR777" s="4"/>
      <c r="GS777" s="4"/>
      <c r="GT777" s="4"/>
      <c r="GU777" s="722"/>
      <c r="GV777" s="715"/>
    </row>
    <row r="778" spans="1:204" x14ac:dyDescent="0.25">
      <c r="A778" t="s">
        <v>2660</v>
      </c>
      <c r="B778" s="2" t="s">
        <v>2659</v>
      </c>
      <c r="C778" s="619">
        <v>44929</v>
      </c>
      <c r="D778" s="2" t="s">
        <v>2655</v>
      </c>
      <c r="E778" t="s">
        <v>59</v>
      </c>
      <c r="F778" s="2" t="s">
        <v>2473</v>
      </c>
      <c r="G778" t="s">
        <v>40</v>
      </c>
      <c r="H778" s="690" t="s">
        <v>85</v>
      </c>
      <c r="I778" s="691" t="s">
        <v>2473</v>
      </c>
      <c r="J778" s="721" t="s">
        <v>2146</v>
      </c>
      <c r="K778" s="691" t="s">
        <v>348</v>
      </c>
      <c r="L778" s="721" t="s">
        <v>2548</v>
      </c>
      <c r="M778" s="718" t="s">
        <v>6</v>
      </c>
      <c r="N778" s="717" t="s">
        <v>44</v>
      </c>
      <c r="O778" s="719">
        <v>44896</v>
      </c>
      <c r="P778" s="720">
        <v>44926</v>
      </c>
      <c r="Q778" s="718">
        <v>150</v>
      </c>
      <c r="R778" s="717">
        <v>1.2</v>
      </c>
      <c r="S778" s="691" t="s">
        <v>92</v>
      </c>
      <c r="T778" t="s">
        <v>358</v>
      </c>
      <c r="U778" s="673" t="s">
        <v>358</v>
      </c>
      <c r="V778" s="690" t="s">
        <v>358</v>
      </c>
      <c r="W778" s="657" t="s">
        <v>324</v>
      </c>
      <c r="X778" s="723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654">
        <v>1.2</v>
      </c>
      <c r="AJ778" s="655"/>
      <c r="AK778" s="4"/>
      <c r="AL778" s="4"/>
      <c r="AM778" s="4"/>
      <c r="AN778" s="4"/>
      <c r="AO778" s="4"/>
      <c r="AP778" s="4"/>
      <c r="AQ778" s="4"/>
      <c r="AR778" s="4"/>
      <c r="AS778" s="4"/>
      <c r="AT778" s="4"/>
      <c r="AU778" s="654"/>
      <c r="AV778" s="655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654"/>
      <c r="BH778" s="655"/>
      <c r="BI778" s="4"/>
      <c r="BJ778" s="4"/>
      <c r="BK778" s="4"/>
      <c r="BL778" s="4"/>
      <c r="BM778" s="4"/>
      <c r="BN778" s="4"/>
      <c r="BO778" s="4"/>
      <c r="BP778" s="4"/>
      <c r="BQ778" s="4"/>
      <c r="BR778" s="4"/>
      <c r="BS778" s="654"/>
      <c r="BT778" s="655"/>
      <c r="BU778" s="4"/>
      <c r="BV778" s="4"/>
      <c r="BW778" s="4"/>
      <c r="BX778" s="4"/>
      <c r="BY778" s="4"/>
      <c r="BZ778" s="4"/>
      <c r="CA778" s="4"/>
      <c r="CB778" s="4"/>
      <c r="CC778" s="4"/>
      <c r="CD778" s="4"/>
      <c r="CE778" s="693"/>
      <c r="CF778" s="723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654">
        <v>150</v>
      </c>
      <c r="CR778" s="655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654"/>
      <c r="DD778" s="655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654"/>
      <c r="DP778" s="655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654"/>
      <c r="EB778" s="655"/>
      <c r="EC778" s="4"/>
      <c r="ED778" s="4"/>
      <c r="EE778" s="4"/>
      <c r="EF778" s="4"/>
      <c r="EG778" s="4"/>
      <c r="EH778" s="4"/>
      <c r="EI778" s="4"/>
      <c r="EJ778" s="4"/>
      <c r="EK778" s="4"/>
      <c r="EL778" s="4"/>
      <c r="EM778" s="693"/>
      <c r="EN778" s="723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654">
        <v>205.7</v>
      </c>
      <c r="EZ778" s="655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654"/>
      <c r="FL778" s="655"/>
      <c r="FM778" s="4"/>
      <c r="FN778" s="4"/>
      <c r="FO778" s="4"/>
      <c r="FP778" s="4"/>
      <c r="FQ778" s="4"/>
      <c r="FR778" s="4"/>
      <c r="FS778" s="4"/>
      <c r="FT778" s="4"/>
      <c r="FU778" s="4"/>
      <c r="FV778" s="4"/>
      <c r="FW778" s="654"/>
      <c r="FX778" s="655"/>
      <c r="FY778" s="4"/>
      <c r="FZ778" s="4"/>
      <c r="GA778" s="4"/>
      <c r="GB778" s="4"/>
      <c r="GC778" s="4"/>
      <c r="GD778" s="4"/>
      <c r="GE778" s="4"/>
      <c r="GF778" s="4"/>
      <c r="GG778" s="4"/>
      <c r="GH778" s="4"/>
      <c r="GI778" s="654"/>
      <c r="GJ778" s="655"/>
      <c r="GK778" s="4"/>
      <c r="GL778" s="4"/>
      <c r="GM778" s="4"/>
      <c r="GN778" s="4"/>
      <c r="GO778" s="4"/>
      <c r="GP778" s="4"/>
      <c r="GQ778" s="4"/>
      <c r="GR778" s="4"/>
      <c r="GS778" s="4"/>
      <c r="GT778" s="4"/>
      <c r="GU778" s="722"/>
      <c r="GV778" s="715"/>
    </row>
    <row r="779" spans="1:204" x14ac:dyDescent="0.25">
      <c r="A779" t="s">
        <v>2662</v>
      </c>
      <c r="B779" s="2" t="s">
        <v>2661</v>
      </c>
      <c r="C779" s="619">
        <v>44929</v>
      </c>
      <c r="D779" s="2" t="s">
        <v>2513</v>
      </c>
      <c r="E779" t="s">
        <v>59</v>
      </c>
      <c r="F779" s="2" t="s">
        <v>2473</v>
      </c>
      <c r="G779" t="s">
        <v>40</v>
      </c>
      <c r="H779" s="690" t="s">
        <v>85</v>
      </c>
      <c r="I779" s="691" t="s">
        <v>2473</v>
      </c>
      <c r="J779" s="721" t="s">
        <v>2146</v>
      </c>
      <c r="K779" s="691" t="s">
        <v>590</v>
      </c>
      <c r="L779" s="721" t="s">
        <v>2160</v>
      </c>
      <c r="M779" s="718" t="s">
        <v>6</v>
      </c>
      <c r="N779" s="717" t="s">
        <v>44</v>
      </c>
      <c r="O779" s="719">
        <v>44896</v>
      </c>
      <c r="P779" s="720">
        <v>44926</v>
      </c>
      <c r="Q779" s="718">
        <v>149.5</v>
      </c>
      <c r="R779" s="717">
        <v>5</v>
      </c>
      <c r="S779" s="691" t="s">
        <v>92</v>
      </c>
      <c r="T779" t="s">
        <v>358</v>
      </c>
      <c r="U779" s="673" t="s">
        <v>358</v>
      </c>
      <c r="V779" s="690" t="s">
        <v>358</v>
      </c>
      <c r="W779" s="657" t="s">
        <v>324</v>
      </c>
      <c r="X779" s="723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654">
        <v>5</v>
      </c>
      <c r="AJ779" s="655"/>
      <c r="AK779" s="4"/>
      <c r="AL779" s="4"/>
      <c r="AM779" s="4"/>
      <c r="AN779" s="4"/>
      <c r="AO779" s="4"/>
      <c r="AP779" s="4"/>
      <c r="AQ779" s="4"/>
      <c r="AR779" s="4"/>
      <c r="AS779" s="4"/>
      <c r="AT779" s="4"/>
      <c r="AU779" s="654"/>
      <c r="AV779" s="655"/>
      <c r="AW779" s="4"/>
      <c r="AX779" s="4"/>
      <c r="AY779" s="4"/>
      <c r="AZ779" s="4"/>
      <c r="BA779" s="4"/>
      <c r="BB779" s="4"/>
      <c r="BC779" s="4"/>
      <c r="BD779" s="4"/>
      <c r="BE779" s="4"/>
      <c r="BF779" s="4"/>
      <c r="BG779" s="654"/>
      <c r="BH779" s="655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654"/>
      <c r="BT779" s="655"/>
      <c r="BU779" s="4"/>
      <c r="BV779" s="4"/>
      <c r="BW779" s="4"/>
      <c r="BX779" s="4"/>
      <c r="BY779" s="4"/>
      <c r="BZ779" s="4"/>
      <c r="CA779" s="4"/>
      <c r="CB779" s="4"/>
      <c r="CC779" s="4"/>
      <c r="CD779" s="4"/>
      <c r="CE779" s="693"/>
      <c r="CF779" s="723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654">
        <v>149.5</v>
      </c>
      <c r="CR779" s="655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654"/>
      <c r="DD779" s="655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654"/>
      <c r="DP779" s="655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654"/>
      <c r="EB779" s="655"/>
      <c r="EC779" s="4"/>
      <c r="ED779" s="4"/>
      <c r="EE779" s="4"/>
      <c r="EF779" s="4"/>
      <c r="EG779" s="4"/>
      <c r="EH779" s="4"/>
      <c r="EI779" s="4"/>
      <c r="EJ779" s="4"/>
      <c r="EK779" s="4"/>
      <c r="EL779" s="4"/>
      <c r="EM779" s="693"/>
      <c r="EN779" s="723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654">
        <v>205.2</v>
      </c>
      <c r="EZ779" s="655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654"/>
      <c r="FL779" s="655"/>
      <c r="FM779" s="4"/>
      <c r="FN779" s="4"/>
      <c r="FO779" s="4"/>
      <c r="FP779" s="4"/>
      <c r="FQ779" s="4"/>
      <c r="FR779" s="4"/>
      <c r="FS779" s="4"/>
      <c r="FT779" s="4"/>
      <c r="FU779" s="4"/>
      <c r="FV779" s="4"/>
      <c r="FW779" s="654"/>
      <c r="FX779" s="655"/>
      <c r="FY779" s="4"/>
      <c r="FZ779" s="4"/>
      <c r="GA779" s="4"/>
      <c r="GB779" s="4"/>
      <c r="GC779" s="4"/>
      <c r="GD779" s="4"/>
      <c r="GE779" s="4"/>
      <c r="GF779" s="4"/>
      <c r="GG779" s="4"/>
      <c r="GH779" s="4"/>
      <c r="GI779" s="654"/>
      <c r="GJ779" s="655"/>
      <c r="GK779" s="4"/>
      <c r="GL779" s="4"/>
      <c r="GM779" s="4"/>
      <c r="GN779" s="4"/>
      <c r="GO779" s="4"/>
      <c r="GP779" s="4"/>
      <c r="GQ779" s="4"/>
      <c r="GR779" s="4"/>
      <c r="GS779" s="4"/>
      <c r="GT779" s="4"/>
      <c r="GU779" s="722"/>
      <c r="GV779" s="715"/>
    </row>
    <row r="780" spans="1:204" x14ac:dyDescent="0.25">
      <c r="A780" t="s">
        <v>2669</v>
      </c>
      <c r="B780" s="2" t="s">
        <v>2668</v>
      </c>
      <c r="C780" s="619">
        <v>44930</v>
      </c>
      <c r="D780" s="2" t="s">
        <v>2663</v>
      </c>
      <c r="E780" t="s">
        <v>59</v>
      </c>
      <c r="F780" s="2" t="s">
        <v>2473</v>
      </c>
      <c r="G780" t="s">
        <v>40</v>
      </c>
      <c r="H780" s="690" t="s">
        <v>85</v>
      </c>
      <c r="I780" s="691" t="s">
        <v>2473</v>
      </c>
      <c r="J780" s="721" t="s">
        <v>2146</v>
      </c>
      <c r="K780" s="691" t="s">
        <v>1195</v>
      </c>
      <c r="L780" s="721" t="s">
        <v>2220</v>
      </c>
      <c r="M780" s="718" t="s">
        <v>3</v>
      </c>
      <c r="N780" s="717" t="s">
        <v>44</v>
      </c>
      <c r="O780" s="719">
        <v>44927</v>
      </c>
      <c r="P780" s="720">
        <v>45016</v>
      </c>
      <c r="Q780" s="718">
        <v>69.5</v>
      </c>
      <c r="R780" s="717">
        <v>10</v>
      </c>
      <c r="S780" s="691" t="s">
        <v>54</v>
      </c>
      <c r="T780" t="s">
        <v>358</v>
      </c>
      <c r="U780" s="673" t="s">
        <v>358</v>
      </c>
      <c r="V780" s="690" t="s">
        <v>358</v>
      </c>
      <c r="W780" s="657" t="s">
        <v>329</v>
      </c>
      <c r="X780" s="723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654"/>
      <c r="AJ780" s="655">
        <v>10</v>
      </c>
      <c r="AK780" s="4">
        <v>10</v>
      </c>
      <c r="AL780" s="4">
        <v>10</v>
      </c>
      <c r="AM780" s="4"/>
      <c r="AN780" s="4"/>
      <c r="AO780" s="4"/>
      <c r="AP780" s="4"/>
      <c r="AQ780" s="4"/>
      <c r="AR780" s="4"/>
      <c r="AS780" s="4"/>
      <c r="AT780" s="4"/>
      <c r="AU780" s="654"/>
      <c r="AV780" s="655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654"/>
      <c r="BH780" s="655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654"/>
      <c r="BT780" s="655"/>
      <c r="BU780" s="4"/>
      <c r="BV780" s="4"/>
      <c r="BW780" s="4"/>
      <c r="BX780" s="4"/>
      <c r="BY780" s="4"/>
      <c r="BZ780" s="4"/>
      <c r="CA780" s="4"/>
      <c r="CB780" s="4"/>
      <c r="CC780" s="4"/>
      <c r="CD780" s="4"/>
      <c r="CE780" s="693"/>
      <c r="CF780" s="723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654"/>
      <c r="CR780" s="655">
        <v>69.5</v>
      </c>
      <c r="CS780" s="4">
        <v>69.5</v>
      </c>
      <c r="CT780" s="4">
        <v>69.5</v>
      </c>
      <c r="CU780" s="4"/>
      <c r="CV780" s="4"/>
      <c r="CW780" s="4"/>
      <c r="CX780" s="4"/>
      <c r="CY780" s="4"/>
      <c r="CZ780" s="4"/>
      <c r="DA780" s="4"/>
      <c r="DB780" s="4"/>
      <c r="DC780" s="654"/>
      <c r="DD780" s="655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654"/>
      <c r="DP780" s="655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654"/>
      <c r="EB780" s="655"/>
      <c r="EC780" s="4"/>
      <c r="ED780" s="4"/>
      <c r="EE780" s="4"/>
      <c r="EF780" s="4"/>
      <c r="EG780" s="4"/>
      <c r="EH780" s="4"/>
      <c r="EI780" s="4"/>
      <c r="EJ780" s="4"/>
      <c r="EK780" s="4"/>
      <c r="EL780" s="4"/>
      <c r="EM780" s="693"/>
      <c r="EN780" s="723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654"/>
      <c r="EZ780" s="655">
        <v>69.5</v>
      </c>
      <c r="FA780" s="4">
        <v>69.5</v>
      </c>
      <c r="FB780" s="4">
        <v>69.5</v>
      </c>
      <c r="FC780" s="4"/>
      <c r="FD780" s="4"/>
      <c r="FE780" s="4"/>
      <c r="FF780" s="4"/>
      <c r="FG780" s="4"/>
      <c r="FH780" s="4"/>
      <c r="FI780" s="4"/>
      <c r="FJ780" s="4"/>
      <c r="FK780" s="654"/>
      <c r="FL780" s="655"/>
      <c r="FM780" s="4"/>
      <c r="FN780" s="4"/>
      <c r="FO780" s="4"/>
      <c r="FP780" s="4"/>
      <c r="FQ780" s="4"/>
      <c r="FR780" s="4"/>
      <c r="FS780" s="4"/>
      <c r="FT780" s="4"/>
      <c r="FU780" s="4"/>
      <c r="FV780" s="4"/>
      <c r="FW780" s="654"/>
      <c r="FX780" s="655"/>
      <c r="FY780" s="4"/>
      <c r="FZ780" s="4"/>
      <c r="GA780" s="4"/>
      <c r="GB780" s="4"/>
      <c r="GC780" s="4"/>
      <c r="GD780" s="4"/>
      <c r="GE780" s="4"/>
      <c r="GF780" s="4"/>
      <c r="GG780" s="4"/>
      <c r="GH780" s="4"/>
      <c r="GI780" s="654"/>
      <c r="GJ780" s="655"/>
      <c r="GK780" s="4"/>
      <c r="GL780" s="4"/>
      <c r="GM780" s="4"/>
      <c r="GN780" s="4"/>
      <c r="GO780" s="4"/>
      <c r="GP780" s="4"/>
      <c r="GQ780" s="4"/>
      <c r="GR780" s="4"/>
      <c r="GS780" s="4"/>
      <c r="GT780" s="4"/>
      <c r="GU780" s="722"/>
      <c r="GV780" s="715"/>
    </row>
    <row r="781" spans="1:204" x14ac:dyDescent="0.25">
      <c r="A781" t="s">
        <v>2671</v>
      </c>
      <c r="B781" s="2" t="s">
        <v>2670</v>
      </c>
      <c r="C781" s="619">
        <v>44930</v>
      </c>
      <c r="D781" s="2" t="s">
        <v>2664</v>
      </c>
      <c r="E781" t="s">
        <v>59</v>
      </c>
      <c r="F781" s="2" t="s">
        <v>2473</v>
      </c>
      <c r="G781" t="s">
        <v>40</v>
      </c>
      <c r="H781" s="690" t="s">
        <v>85</v>
      </c>
      <c r="I781" s="691" t="s">
        <v>2473</v>
      </c>
      <c r="J781" s="721" t="s">
        <v>2146</v>
      </c>
      <c r="K781" s="691" t="s">
        <v>1854</v>
      </c>
      <c r="L781" s="721" t="s">
        <v>2284</v>
      </c>
      <c r="M781" s="718" t="s">
        <v>3</v>
      </c>
      <c r="N781" s="717" t="s">
        <v>44</v>
      </c>
      <c r="O781" s="719">
        <v>44927</v>
      </c>
      <c r="P781" s="720">
        <v>45016</v>
      </c>
      <c r="Q781" s="718">
        <v>69.5</v>
      </c>
      <c r="R781" s="717">
        <v>10</v>
      </c>
      <c r="S781" s="691" t="s">
        <v>54</v>
      </c>
      <c r="T781" t="s">
        <v>358</v>
      </c>
      <c r="U781" s="673" t="s">
        <v>358</v>
      </c>
      <c r="V781" s="690" t="s">
        <v>358</v>
      </c>
      <c r="W781" s="657" t="s">
        <v>329</v>
      </c>
      <c r="X781" s="723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654"/>
      <c r="AJ781" s="655">
        <v>10</v>
      </c>
      <c r="AK781" s="4">
        <v>10</v>
      </c>
      <c r="AL781" s="4">
        <v>10</v>
      </c>
      <c r="AM781" s="4"/>
      <c r="AN781" s="4"/>
      <c r="AO781" s="4"/>
      <c r="AP781" s="4"/>
      <c r="AQ781" s="4"/>
      <c r="AR781" s="4"/>
      <c r="AS781" s="4"/>
      <c r="AT781" s="4"/>
      <c r="AU781" s="654"/>
      <c r="AV781" s="655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654"/>
      <c r="BH781" s="655"/>
      <c r="BI781" s="4"/>
      <c r="BJ781" s="4"/>
      <c r="BK781" s="4"/>
      <c r="BL781" s="4"/>
      <c r="BM781" s="4"/>
      <c r="BN781" s="4"/>
      <c r="BO781" s="4"/>
      <c r="BP781" s="4"/>
      <c r="BQ781" s="4"/>
      <c r="BR781" s="4"/>
      <c r="BS781" s="654"/>
      <c r="BT781" s="655"/>
      <c r="BU781" s="4"/>
      <c r="BV781" s="4"/>
      <c r="BW781" s="4"/>
      <c r="BX781" s="4"/>
      <c r="BY781" s="4"/>
      <c r="BZ781" s="4"/>
      <c r="CA781" s="4"/>
      <c r="CB781" s="4"/>
      <c r="CC781" s="4"/>
      <c r="CD781" s="4"/>
      <c r="CE781" s="693"/>
      <c r="CF781" s="723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654"/>
      <c r="CR781" s="655">
        <v>69.5</v>
      </c>
      <c r="CS781" s="4">
        <v>69.5</v>
      </c>
      <c r="CT781" s="4">
        <v>69.5</v>
      </c>
      <c r="CU781" s="4"/>
      <c r="CV781" s="4"/>
      <c r="CW781" s="4"/>
      <c r="CX781" s="4"/>
      <c r="CY781" s="4"/>
      <c r="CZ781" s="4"/>
      <c r="DA781" s="4"/>
      <c r="DB781" s="4"/>
      <c r="DC781" s="654"/>
      <c r="DD781" s="655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654"/>
      <c r="DP781" s="655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654"/>
      <c r="EB781" s="655"/>
      <c r="EC781" s="4"/>
      <c r="ED781" s="4"/>
      <c r="EE781" s="4"/>
      <c r="EF781" s="4"/>
      <c r="EG781" s="4"/>
      <c r="EH781" s="4"/>
      <c r="EI781" s="4"/>
      <c r="EJ781" s="4"/>
      <c r="EK781" s="4"/>
      <c r="EL781" s="4"/>
      <c r="EM781" s="693"/>
      <c r="EN781" s="723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654"/>
      <c r="EZ781" s="655">
        <v>69.5</v>
      </c>
      <c r="FA781" s="4">
        <v>69.5</v>
      </c>
      <c r="FB781" s="4">
        <v>69.5</v>
      </c>
      <c r="FC781" s="4"/>
      <c r="FD781" s="4"/>
      <c r="FE781" s="4"/>
      <c r="FF781" s="4"/>
      <c r="FG781" s="4"/>
      <c r="FH781" s="4"/>
      <c r="FI781" s="4"/>
      <c r="FJ781" s="4"/>
      <c r="FK781" s="654"/>
      <c r="FL781" s="655"/>
      <c r="FM781" s="4"/>
      <c r="FN781" s="4"/>
      <c r="FO781" s="4"/>
      <c r="FP781" s="4"/>
      <c r="FQ781" s="4"/>
      <c r="FR781" s="4"/>
      <c r="FS781" s="4"/>
      <c r="FT781" s="4"/>
      <c r="FU781" s="4"/>
      <c r="FV781" s="4"/>
      <c r="FW781" s="654"/>
      <c r="FX781" s="655"/>
      <c r="FY781" s="4"/>
      <c r="FZ781" s="4"/>
      <c r="GA781" s="4"/>
      <c r="GB781" s="4"/>
      <c r="GC781" s="4"/>
      <c r="GD781" s="4"/>
      <c r="GE781" s="4"/>
      <c r="GF781" s="4"/>
      <c r="GG781" s="4"/>
      <c r="GH781" s="4"/>
      <c r="GI781" s="654"/>
      <c r="GJ781" s="655"/>
      <c r="GK781" s="4"/>
      <c r="GL781" s="4"/>
      <c r="GM781" s="4"/>
      <c r="GN781" s="4"/>
      <c r="GO781" s="4"/>
      <c r="GP781" s="4"/>
      <c r="GQ781" s="4"/>
      <c r="GR781" s="4"/>
      <c r="GS781" s="4"/>
      <c r="GT781" s="4"/>
      <c r="GU781" s="722"/>
      <c r="GV781" s="715"/>
    </row>
    <row r="782" spans="1:204" x14ac:dyDescent="0.25">
      <c r="A782" t="s">
        <v>2673</v>
      </c>
      <c r="B782" s="2" t="s">
        <v>2672</v>
      </c>
      <c r="C782" s="619">
        <v>44930</v>
      </c>
      <c r="D782" s="2" t="s">
        <v>2665</v>
      </c>
      <c r="E782" t="s">
        <v>59</v>
      </c>
      <c r="F782" s="2" t="s">
        <v>2473</v>
      </c>
      <c r="G782" t="s">
        <v>40</v>
      </c>
      <c r="H782" s="690" t="s">
        <v>85</v>
      </c>
      <c r="I782" s="691" t="s">
        <v>2473</v>
      </c>
      <c r="J782" s="721" t="s">
        <v>2146</v>
      </c>
      <c r="K782" s="691" t="s">
        <v>1854</v>
      </c>
      <c r="L782" s="721" t="s">
        <v>2284</v>
      </c>
      <c r="M782" s="718" t="s">
        <v>3</v>
      </c>
      <c r="N782" s="717" t="s">
        <v>44</v>
      </c>
      <c r="O782" s="719">
        <v>44927</v>
      </c>
      <c r="P782" s="720">
        <v>45016</v>
      </c>
      <c r="Q782" s="718">
        <v>70</v>
      </c>
      <c r="R782" s="717">
        <v>0.5</v>
      </c>
      <c r="S782" s="691" t="s">
        <v>54</v>
      </c>
      <c r="T782" t="s">
        <v>358</v>
      </c>
      <c r="U782" s="673" t="s">
        <v>358</v>
      </c>
      <c r="V782" s="690" t="s">
        <v>358</v>
      </c>
      <c r="W782" s="657" t="s">
        <v>329</v>
      </c>
      <c r="X782" s="723"/>
      <c r="Y782" s="4"/>
      <c r="Z782" s="4"/>
      <c r="AA782" s="4"/>
      <c r="AB782" s="4"/>
      <c r="AC782" s="4"/>
      <c r="AD782" s="4"/>
      <c r="AE782" s="4"/>
      <c r="AF782" s="4"/>
      <c r="AG782" s="4"/>
      <c r="AH782" s="4"/>
      <c r="AI782" s="654"/>
      <c r="AJ782" s="655">
        <v>0.5</v>
      </c>
      <c r="AK782" s="4">
        <v>0.5</v>
      </c>
      <c r="AL782" s="4">
        <v>0.5</v>
      </c>
      <c r="AM782" s="4"/>
      <c r="AN782" s="4"/>
      <c r="AO782" s="4"/>
      <c r="AP782" s="4"/>
      <c r="AQ782" s="4"/>
      <c r="AR782" s="4"/>
      <c r="AS782" s="4"/>
      <c r="AT782" s="4"/>
      <c r="AU782" s="654"/>
      <c r="AV782" s="655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654"/>
      <c r="BH782" s="655"/>
      <c r="BI782" s="4"/>
      <c r="BJ782" s="4"/>
      <c r="BK782" s="4"/>
      <c r="BL782" s="4"/>
      <c r="BM782" s="4"/>
      <c r="BN782" s="4"/>
      <c r="BO782" s="4"/>
      <c r="BP782" s="4"/>
      <c r="BQ782" s="4"/>
      <c r="BR782" s="4"/>
      <c r="BS782" s="654"/>
      <c r="BT782" s="655"/>
      <c r="BU782" s="4"/>
      <c r="BV782" s="4"/>
      <c r="BW782" s="4"/>
      <c r="BX782" s="4"/>
      <c r="BY782" s="4"/>
      <c r="BZ782" s="4"/>
      <c r="CA782" s="4"/>
      <c r="CB782" s="4"/>
      <c r="CC782" s="4"/>
      <c r="CD782" s="4"/>
      <c r="CE782" s="693"/>
      <c r="CF782" s="723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654"/>
      <c r="CR782" s="655">
        <v>70</v>
      </c>
      <c r="CS782" s="4">
        <v>70</v>
      </c>
      <c r="CT782" s="4">
        <v>70</v>
      </c>
      <c r="CU782" s="4"/>
      <c r="CV782" s="4"/>
      <c r="CW782" s="4"/>
      <c r="CX782" s="4"/>
      <c r="CY782" s="4"/>
      <c r="CZ782" s="4"/>
      <c r="DA782" s="4"/>
      <c r="DB782" s="4"/>
      <c r="DC782" s="654"/>
      <c r="DD782" s="655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654"/>
      <c r="DP782" s="655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654"/>
      <c r="EB782" s="655"/>
      <c r="EC782" s="4"/>
      <c r="ED782" s="4"/>
      <c r="EE782" s="4"/>
      <c r="EF782" s="4"/>
      <c r="EG782" s="4"/>
      <c r="EH782" s="4"/>
      <c r="EI782" s="4"/>
      <c r="EJ782" s="4"/>
      <c r="EK782" s="4"/>
      <c r="EL782" s="4"/>
      <c r="EM782" s="693"/>
      <c r="EN782" s="723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654"/>
      <c r="EZ782" s="655">
        <v>70</v>
      </c>
      <c r="FA782" s="4">
        <v>70</v>
      </c>
      <c r="FB782" s="4">
        <v>70</v>
      </c>
      <c r="FC782" s="4"/>
      <c r="FD782" s="4"/>
      <c r="FE782" s="4"/>
      <c r="FF782" s="4"/>
      <c r="FG782" s="4"/>
      <c r="FH782" s="4"/>
      <c r="FI782" s="4"/>
      <c r="FJ782" s="4"/>
      <c r="FK782" s="654"/>
      <c r="FL782" s="655"/>
      <c r="FM782" s="4"/>
      <c r="FN782" s="4"/>
      <c r="FO782" s="4"/>
      <c r="FP782" s="4"/>
      <c r="FQ782" s="4"/>
      <c r="FR782" s="4"/>
      <c r="FS782" s="4"/>
      <c r="FT782" s="4"/>
      <c r="FU782" s="4"/>
      <c r="FV782" s="4"/>
      <c r="FW782" s="654"/>
      <c r="FX782" s="655"/>
      <c r="FY782" s="4"/>
      <c r="FZ782" s="4"/>
      <c r="GA782" s="4"/>
      <c r="GB782" s="4"/>
      <c r="GC782" s="4"/>
      <c r="GD782" s="4"/>
      <c r="GE782" s="4"/>
      <c r="GF782" s="4"/>
      <c r="GG782" s="4"/>
      <c r="GH782" s="4"/>
      <c r="GI782" s="654"/>
      <c r="GJ782" s="655"/>
      <c r="GK782" s="4"/>
      <c r="GL782" s="4"/>
      <c r="GM782" s="4"/>
      <c r="GN782" s="4"/>
      <c r="GO782" s="4"/>
      <c r="GP782" s="4"/>
      <c r="GQ782" s="4"/>
      <c r="GR782" s="4"/>
      <c r="GS782" s="4"/>
      <c r="GT782" s="4"/>
      <c r="GU782" s="722"/>
      <c r="GV782" s="715"/>
    </row>
    <row r="783" spans="1:204" x14ac:dyDescent="0.25">
      <c r="A783" t="s">
        <v>2674</v>
      </c>
      <c r="B783" s="2" t="s">
        <v>358</v>
      </c>
      <c r="C783" s="619">
        <v>44930</v>
      </c>
      <c r="D783" s="2" t="s">
        <v>2666</v>
      </c>
      <c r="E783" t="s">
        <v>58</v>
      </c>
      <c r="F783" s="2" t="s">
        <v>2473</v>
      </c>
      <c r="G783" t="s">
        <v>40</v>
      </c>
      <c r="H783" s="690" t="s">
        <v>84</v>
      </c>
      <c r="I783" s="691" t="s">
        <v>346</v>
      </c>
      <c r="J783" s="721" t="e">
        <v>#N/A</v>
      </c>
      <c r="K783" s="691" t="s">
        <v>2473</v>
      </c>
      <c r="L783" s="721" t="s">
        <v>2146</v>
      </c>
      <c r="M783" s="718" t="s">
        <v>3</v>
      </c>
      <c r="N783" s="717" t="s">
        <v>44</v>
      </c>
      <c r="O783" s="719">
        <v>45017</v>
      </c>
      <c r="P783" s="720">
        <v>45046</v>
      </c>
      <c r="Q783" s="718">
        <v>70</v>
      </c>
      <c r="R783" s="717">
        <v>26.58</v>
      </c>
      <c r="S783" s="691" t="s">
        <v>54</v>
      </c>
      <c r="T783" t="s">
        <v>358</v>
      </c>
      <c r="U783" s="673" t="s">
        <v>358</v>
      </c>
      <c r="V783" s="690" t="s">
        <v>358</v>
      </c>
      <c r="W783" s="657" t="s">
        <v>214</v>
      </c>
      <c r="X783" s="723"/>
      <c r="Y783" s="4"/>
      <c r="Z783" s="4"/>
      <c r="AA783" s="4"/>
      <c r="AB783" s="4"/>
      <c r="AC783" s="4"/>
      <c r="AD783" s="4"/>
      <c r="AE783" s="4"/>
      <c r="AF783" s="4"/>
      <c r="AG783" s="4"/>
      <c r="AH783" s="4"/>
      <c r="AI783" s="654"/>
      <c r="AJ783" s="655"/>
      <c r="AK783" s="4"/>
      <c r="AL783" s="4"/>
      <c r="AM783" s="4">
        <v>26.58</v>
      </c>
      <c r="AN783" s="4"/>
      <c r="AO783" s="4"/>
      <c r="AP783" s="4"/>
      <c r="AQ783" s="4"/>
      <c r="AR783" s="4"/>
      <c r="AS783" s="4"/>
      <c r="AT783" s="4"/>
      <c r="AU783" s="654"/>
      <c r="AV783" s="655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654"/>
      <c r="BH783" s="655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654"/>
      <c r="BT783" s="655"/>
      <c r="BU783" s="4"/>
      <c r="BV783" s="4"/>
      <c r="BW783" s="4"/>
      <c r="BX783" s="4"/>
      <c r="BY783" s="4"/>
      <c r="BZ783" s="4"/>
      <c r="CA783" s="4"/>
      <c r="CB783" s="4"/>
      <c r="CC783" s="4"/>
      <c r="CD783" s="4"/>
      <c r="CE783" s="693"/>
      <c r="CF783" s="723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654"/>
      <c r="CR783" s="655"/>
      <c r="CS783" s="4"/>
      <c r="CT783" s="4"/>
      <c r="CU783" s="4">
        <v>70</v>
      </c>
      <c r="CV783" s="4"/>
      <c r="CW783" s="4"/>
      <c r="CX783" s="4"/>
      <c r="CY783" s="4"/>
      <c r="CZ783" s="4"/>
      <c r="DA783" s="4"/>
      <c r="DB783" s="4"/>
      <c r="DC783" s="654"/>
      <c r="DD783" s="655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654"/>
      <c r="DP783" s="655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654"/>
      <c r="EB783" s="655"/>
      <c r="EC783" s="4"/>
      <c r="ED783" s="4"/>
      <c r="EE783" s="4"/>
      <c r="EF783" s="4"/>
      <c r="EG783" s="4"/>
      <c r="EH783" s="4"/>
      <c r="EI783" s="4"/>
      <c r="EJ783" s="4"/>
      <c r="EK783" s="4"/>
      <c r="EL783" s="4"/>
      <c r="EM783" s="693"/>
      <c r="EN783" s="723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654"/>
      <c r="EZ783" s="655"/>
      <c r="FA783" s="4"/>
      <c r="FB783" s="4"/>
      <c r="FC783" s="4">
        <v>70</v>
      </c>
      <c r="FD783" s="4"/>
      <c r="FE783" s="4"/>
      <c r="FF783" s="4"/>
      <c r="FG783" s="4"/>
      <c r="FH783" s="4"/>
      <c r="FI783" s="4"/>
      <c r="FJ783" s="4"/>
      <c r="FK783" s="654"/>
      <c r="FL783" s="655"/>
      <c r="FM783" s="4"/>
      <c r="FN783" s="4"/>
      <c r="FO783" s="4"/>
      <c r="FP783" s="4"/>
      <c r="FQ783" s="4"/>
      <c r="FR783" s="4"/>
      <c r="FS783" s="4"/>
      <c r="FT783" s="4"/>
      <c r="FU783" s="4"/>
      <c r="FV783" s="4"/>
      <c r="FW783" s="654"/>
      <c r="FX783" s="655"/>
      <c r="FY783" s="4"/>
      <c r="FZ783" s="4"/>
      <c r="GA783" s="4"/>
      <c r="GB783" s="4"/>
      <c r="GC783" s="4"/>
      <c r="GD783" s="4"/>
      <c r="GE783" s="4"/>
      <c r="GF783" s="4"/>
      <c r="GG783" s="4"/>
      <c r="GH783" s="4"/>
      <c r="GI783" s="654"/>
      <c r="GJ783" s="655"/>
      <c r="GK783" s="4"/>
      <c r="GL783" s="4"/>
      <c r="GM783" s="4"/>
      <c r="GN783" s="4"/>
      <c r="GO783" s="4"/>
      <c r="GP783" s="4"/>
      <c r="GQ783" s="4"/>
      <c r="GR783" s="4"/>
      <c r="GS783" s="4"/>
      <c r="GT783" s="4"/>
      <c r="GU783" s="722"/>
      <c r="GV783" s="715"/>
    </row>
    <row r="784" spans="1:204" x14ac:dyDescent="0.25">
      <c r="A784" t="s">
        <v>2675</v>
      </c>
      <c r="B784" s="2" t="s">
        <v>358</v>
      </c>
      <c r="C784" s="619">
        <v>44930</v>
      </c>
      <c r="D784" s="2" t="s">
        <v>2667</v>
      </c>
      <c r="E784" t="s">
        <v>58</v>
      </c>
      <c r="F784" s="2" t="s">
        <v>2473</v>
      </c>
      <c r="G784" t="s">
        <v>40</v>
      </c>
      <c r="H784" s="690" t="s">
        <v>84</v>
      </c>
      <c r="I784" s="691" t="s">
        <v>346</v>
      </c>
      <c r="J784" s="721" t="e">
        <v>#N/A</v>
      </c>
      <c r="K784" s="691" t="s">
        <v>2473</v>
      </c>
      <c r="L784" s="721" t="s">
        <v>2146</v>
      </c>
      <c r="M784" s="718" t="s">
        <v>3</v>
      </c>
      <c r="N784" s="717" t="s">
        <v>44</v>
      </c>
      <c r="O784" s="719">
        <v>45047</v>
      </c>
      <c r="P784" s="720">
        <v>45077</v>
      </c>
      <c r="Q784" s="718">
        <v>70</v>
      </c>
      <c r="R784" s="717">
        <v>2.36</v>
      </c>
      <c r="S784" s="691" t="s">
        <v>54</v>
      </c>
      <c r="T784" t="s">
        <v>358</v>
      </c>
      <c r="U784" s="673" t="s">
        <v>358</v>
      </c>
      <c r="V784" s="690" t="s">
        <v>358</v>
      </c>
      <c r="W784" s="657" t="s">
        <v>214</v>
      </c>
      <c r="X784" s="723"/>
      <c r="Y784" s="4"/>
      <c r="Z784" s="4"/>
      <c r="AA784" s="4"/>
      <c r="AB784" s="4"/>
      <c r="AC784" s="4"/>
      <c r="AD784" s="4"/>
      <c r="AE784" s="4"/>
      <c r="AF784" s="4"/>
      <c r="AG784" s="4"/>
      <c r="AH784" s="4"/>
      <c r="AI784" s="654"/>
      <c r="AJ784" s="655"/>
      <c r="AK784" s="4"/>
      <c r="AL784" s="4"/>
      <c r="AM784" s="4"/>
      <c r="AN784" s="4">
        <v>2.36</v>
      </c>
      <c r="AO784" s="4"/>
      <c r="AP784" s="4"/>
      <c r="AQ784" s="4"/>
      <c r="AR784" s="4"/>
      <c r="AS784" s="4"/>
      <c r="AT784" s="4"/>
      <c r="AU784" s="654"/>
      <c r="AV784" s="655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654"/>
      <c r="BH784" s="655"/>
      <c r="BI784" s="4"/>
      <c r="BJ784" s="4"/>
      <c r="BK784" s="4"/>
      <c r="BL784" s="4"/>
      <c r="BM784" s="4"/>
      <c r="BN784" s="4"/>
      <c r="BO784" s="4"/>
      <c r="BP784" s="4"/>
      <c r="BQ784" s="4"/>
      <c r="BR784" s="4"/>
      <c r="BS784" s="654"/>
      <c r="BT784" s="655"/>
      <c r="BU784" s="4"/>
      <c r="BV784" s="4"/>
      <c r="BW784" s="4"/>
      <c r="BX784" s="4"/>
      <c r="BY784" s="4"/>
      <c r="BZ784" s="4"/>
      <c r="CA784" s="4"/>
      <c r="CB784" s="4"/>
      <c r="CC784" s="4"/>
      <c r="CD784" s="4"/>
      <c r="CE784" s="693"/>
      <c r="CF784" s="723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654"/>
      <c r="CR784" s="655"/>
      <c r="CS784" s="4"/>
      <c r="CT784" s="4"/>
      <c r="CU784" s="4"/>
      <c r="CV784" s="4">
        <v>70</v>
      </c>
      <c r="CW784" s="4"/>
      <c r="CX784" s="4"/>
      <c r="CY784" s="4"/>
      <c r="CZ784" s="4"/>
      <c r="DA784" s="4"/>
      <c r="DB784" s="4"/>
      <c r="DC784" s="654"/>
      <c r="DD784" s="655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654"/>
      <c r="DP784" s="655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654"/>
      <c r="EB784" s="655"/>
      <c r="EC784" s="4"/>
      <c r="ED784" s="4"/>
      <c r="EE784" s="4"/>
      <c r="EF784" s="4"/>
      <c r="EG784" s="4"/>
      <c r="EH784" s="4"/>
      <c r="EI784" s="4"/>
      <c r="EJ784" s="4"/>
      <c r="EK784" s="4"/>
      <c r="EL784" s="4"/>
      <c r="EM784" s="693"/>
      <c r="EN784" s="723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654"/>
      <c r="EZ784" s="655"/>
      <c r="FA784" s="4"/>
      <c r="FB784" s="4"/>
      <c r="FC784" s="4"/>
      <c r="FD784" s="4">
        <v>70</v>
      </c>
      <c r="FE784" s="4"/>
      <c r="FF784" s="4"/>
      <c r="FG784" s="4"/>
      <c r="FH784" s="4"/>
      <c r="FI784" s="4"/>
      <c r="FJ784" s="4"/>
      <c r="FK784" s="654"/>
      <c r="FL784" s="655"/>
      <c r="FM784" s="4"/>
      <c r="FN784" s="4"/>
      <c r="FO784" s="4"/>
      <c r="FP784" s="4"/>
      <c r="FQ784" s="4"/>
      <c r="FR784" s="4"/>
      <c r="FS784" s="4"/>
      <c r="FT784" s="4"/>
      <c r="FU784" s="4"/>
      <c r="FV784" s="4"/>
      <c r="FW784" s="654"/>
      <c r="FX784" s="655"/>
      <c r="FY784" s="4"/>
      <c r="FZ784" s="4"/>
      <c r="GA784" s="4"/>
      <c r="GB784" s="4"/>
      <c r="GC784" s="4"/>
      <c r="GD784" s="4"/>
      <c r="GE784" s="4"/>
      <c r="GF784" s="4"/>
      <c r="GG784" s="4"/>
      <c r="GH784" s="4"/>
      <c r="GI784" s="654"/>
      <c r="GJ784" s="655"/>
      <c r="GK784" s="4"/>
      <c r="GL784" s="4"/>
      <c r="GM784" s="4"/>
      <c r="GN784" s="4"/>
      <c r="GO784" s="4"/>
      <c r="GP784" s="4"/>
      <c r="GQ784" s="4"/>
      <c r="GR784" s="4"/>
      <c r="GS784" s="4"/>
      <c r="GT784" s="4"/>
      <c r="GU784" s="722"/>
      <c r="GV784" s="715"/>
    </row>
    <row r="785" spans="1:204" x14ac:dyDescent="0.25">
      <c r="A785" t="s">
        <v>2680</v>
      </c>
      <c r="B785" s="2" t="s">
        <v>358</v>
      </c>
      <c r="C785" s="619">
        <v>44931</v>
      </c>
      <c r="D785" s="2" t="s">
        <v>2676</v>
      </c>
      <c r="E785" t="s">
        <v>58</v>
      </c>
      <c r="F785" s="2" t="s">
        <v>2473</v>
      </c>
      <c r="G785" t="s">
        <v>40</v>
      </c>
      <c r="H785" s="690" t="s">
        <v>84</v>
      </c>
      <c r="I785" s="691" t="s">
        <v>2175</v>
      </c>
      <c r="J785" s="721" t="s">
        <v>2176</v>
      </c>
      <c r="K785" s="691" t="s">
        <v>2473</v>
      </c>
      <c r="L785" s="721" t="s">
        <v>2146</v>
      </c>
      <c r="M785" s="718" t="s">
        <v>3</v>
      </c>
      <c r="N785" s="717" t="s">
        <v>44</v>
      </c>
      <c r="O785" s="719">
        <v>44896</v>
      </c>
      <c r="P785" s="720">
        <v>44926</v>
      </c>
      <c r="Q785" s="718">
        <v>-0.75</v>
      </c>
      <c r="R785" s="717">
        <v>5</v>
      </c>
      <c r="S785" s="691" t="s">
        <v>92</v>
      </c>
      <c r="T785" t="s">
        <v>358</v>
      </c>
      <c r="U785" s="673" t="s">
        <v>358</v>
      </c>
      <c r="V785" s="690" t="s">
        <v>358</v>
      </c>
      <c r="W785" s="657" t="s">
        <v>214</v>
      </c>
      <c r="X785" s="723"/>
      <c r="Y785" s="4"/>
      <c r="Z785" s="4"/>
      <c r="AA785" s="4"/>
      <c r="AB785" s="4"/>
      <c r="AC785" s="4"/>
      <c r="AD785" s="4"/>
      <c r="AE785" s="4"/>
      <c r="AF785" s="4"/>
      <c r="AG785" s="4"/>
      <c r="AH785" s="4"/>
      <c r="AI785" s="654">
        <v>5</v>
      </c>
      <c r="AJ785" s="655"/>
      <c r="AK785" s="4"/>
      <c r="AL785" s="4"/>
      <c r="AM785" s="4"/>
      <c r="AN785" s="4"/>
      <c r="AO785" s="4"/>
      <c r="AP785" s="4"/>
      <c r="AQ785" s="4"/>
      <c r="AR785" s="4"/>
      <c r="AS785" s="4"/>
      <c r="AT785" s="4"/>
      <c r="AU785" s="654"/>
      <c r="AV785" s="655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654"/>
      <c r="BH785" s="655"/>
      <c r="BI785" s="4"/>
      <c r="BJ785" s="4"/>
      <c r="BK785" s="4"/>
      <c r="BL785" s="4"/>
      <c r="BM785" s="4"/>
      <c r="BN785" s="4"/>
      <c r="BO785" s="4"/>
      <c r="BP785" s="4"/>
      <c r="BQ785" s="4"/>
      <c r="BR785" s="4"/>
      <c r="BS785" s="654"/>
      <c r="BT785" s="655"/>
      <c r="BU785" s="4"/>
      <c r="BV785" s="4"/>
      <c r="BW785" s="4"/>
      <c r="BX785" s="4"/>
      <c r="BY785" s="4"/>
      <c r="BZ785" s="4"/>
      <c r="CA785" s="4"/>
      <c r="CB785" s="4"/>
      <c r="CC785" s="4"/>
      <c r="CD785" s="4"/>
      <c r="CE785" s="693"/>
      <c r="CF785" s="723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654">
        <v>-0.75</v>
      </c>
      <c r="CR785" s="655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654"/>
      <c r="DD785" s="655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654"/>
      <c r="DP785" s="655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654"/>
      <c r="EB785" s="655"/>
      <c r="EC785" s="4"/>
      <c r="ED785" s="4"/>
      <c r="EE785" s="4"/>
      <c r="EF785" s="4"/>
      <c r="EG785" s="4"/>
      <c r="EH785" s="4"/>
      <c r="EI785" s="4"/>
      <c r="EJ785" s="4"/>
      <c r="EK785" s="4"/>
      <c r="EL785" s="4"/>
      <c r="EM785" s="693"/>
      <c r="EN785" s="723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654">
        <v>54.95</v>
      </c>
      <c r="EZ785" s="655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654"/>
      <c r="FL785" s="655"/>
      <c r="FM785" s="4"/>
      <c r="FN785" s="4"/>
      <c r="FO785" s="4"/>
      <c r="FP785" s="4"/>
      <c r="FQ785" s="4"/>
      <c r="FR785" s="4"/>
      <c r="FS785" s="4"/>
      <c r="FT785" s="4"/>
      <c r="FU785" s="4"/>
      <c r="FV785" s="4"/>
      <c r="FW785" s="654"/>
      <c r="FX785" s="655"/>
      <c r="FY785" s="4"/>
      <c r="FZ785" s="4"/>
      <c r="GA785" s="4"/>
      <c r="GB785" s="4"/>
      <c r="GC785" s="4"/>
      <c r="GD785" s="4"/>
      <c r="GE785" s="4"/>
      <c r="GF785" s="4"/>
      <c r="GG785" s="4"/>
      <c r="GH785" s="4"/>
      <c r="GI785" s="654"/>
      <c r="GJ785" s="655"/>
      <c r="GK785" s="4"/>
      <c r="GL785" s="4"/>
      <c r="GM785" s="4"/>
      <c r="GN785" s="4"/>
      <c r="GO785" s="4"/>
      <c r="GP785" s="4"/>
      <c r="GQ785" s="4"/>
      <c r="GR785" s="4"/>
      <c r="GS785" s="4"/>
      <c r="GT785" s="4"/>
      <c r="GU785" s="722"/>
      <c r="GV785" s="715"/>
    </row>
    <row r="786" spans="1:204" x14ac:dyDescent="0.25">
      <c r="A786" t="s">
        <v>2681</v>
      </c>
      <c r="B786" s="2" t="s">
        <v>358</v>
      </c>
      <c r="C786" s="619">
        <v>44931</v>
      </c>
      <c r="D786" s="2" t="s">
        <v>2677</v>
      </c>
      <c r="E786" t="s">
        <v>58</v>
      </c>
      <c r="F786" s="2" t="s">
        <v>2473</v>
      </c>
      <c r="G786" t="s">
        <v>40</v>
      </c>
      <c r="H786" s="690" t="s">
        <v>84</v>
      </c>
      <c r="I786" s="691" t="s">
        <v>1249</v>
      </c>
      <c r="J786" s="721" t="s">
        <v>2679</v>
      </c>
      <c r="K786" s="691" t="s">
        <v>2473</v>
      </c>
      <c r="L786" s="721" t="s">
        <v>2146</v>
      </c>
      <c r="M786" s="718" t="s">
        <v>3</v>
      </c>
      <c r="N786" s="717" t="s">
        <v>44</v>
      </c>
      <c r="O786" s="719">
        <v>44896</v>
      </c>
      <c r="P786" s="720">
        <v>44926</v>
      </c>
      <c r="Q786" s="718">
        <v>-0.1</v>
      </c>
      <c r="R786" s="717">
        <v>1</v>
      </c>
      <c r="S786" s="691" t="s">
        <v>92</v>
      </c>
      <c r="T786" t="s">
        <v>358</v>
      </c>
      <c r="U786" s="673" t="s">
        <v>358</v>
      </c>
      <c r="V786" s="690" t="s">
        <v>358</v>
      </c>
      <c r="W786" s="657" t="s">
        <v>214</v>
      </c>
      <c r="X786" s="723"/>
      <c r="Y786" s="4"/>
      <c r="Z786" s="4"/>
      <c r="AA786" s="4"/>
      <c r="AB786" s="4"/>
      <c r="AC786" s="4"/>
      <c r="AD786" s="4"/>
      <c r="AE786" s="4"/>
      <c r="AF786" s="4"/>
      <c r="AG786" s="4"/>
      <c r="AH786" s="4"/>
      <c r="AI786" s="654">
        <v>1</v>
      </c>
      <c r="AJ786" s="655"/>
      <c r="AK786" s="4"/>
      <c r="AL786" s="4"/>
      <c r="AM786" s="4"/>
      <c r="AN786" s="4"/>
      <c r="AO786" s="4"/>
      <c r="AP786" s="4"/>
      <c r="AQ786" s="4"/>
      <c r="AR786" s="4"/>
      <c r="AS786" s="4"/>
      <c r="AT786" s="4"/>
      <c r="AU786" s="654"/>
      <c r="AV786" s="655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654"/>
      <c r="BH786" s="655"/>
      <c r="BI786" s="4"/>
      <c r="BJ786" s="4"/>
      <c r="BK786" s="4"/>
      <c r="BL786" s="4"/>
      <c r="BM786" s="4"/>
      <c r="BN786" s="4"/>
      <c r="BO786" s="4"/>
      <c r="BP786" s="4"/>
      <c r="BQ786" s="4"/>
      <c r="BR786" s="4"/>
      <c r="BS786" s="654"/>
      <c r="BT786" s="655"/>
      <c r="BU786" s="4"/>
      <c r="BV786" s="4"/>
      <c r="BW786" s="4"/>
      <c r="BX786" s="4"/>
      <c r="BY786" s="4"/>
      <c r="BZ786" s="4"/>
      <c r="CA786" s="4"/>
      <c r="CB786" s="4"/>
      <c r="CC786" s="4"/>
      <c r="CD786" s="4"/>
      <c r="CE786" s="693"/>
      <c r="CF786" s="723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654">
        <v>-0.1</v>
      </c>
      <c r="CR786" s="655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654"/>
      <c r="DD786" s="655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654"/>
      <c r="DP786" s="655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654"/>
      <c r="EB786" s="655"/>
      <c r="EC786" s="4"/>
      <c r="ED786" s="4"/>
      <c r="EE786" s="4"/>
      <c r="EF786" s="4"/>
      <c r="EG786" s="4"/>
      <c r="EH786" s="4"/>
      <c r="EI786" s="4"/>
      <c r="EJ786" s="4"/>
      <c r="EK786" s="4"/>
      <c r="EL786" s="4"/>
      <c r="EM786" s="693"/>
      <c r="EN786" s="723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654">
        <v>55.6</v>
      </c>
      <c r="EZ786" s="655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654"/>
      <c r="FL786" s="655"/>
      <c r="FM786" s="4"/>
      <c r="FN786" s="4"/>
      <c r="FO786" s="4"/>
      <c r="FP786" s="4"/>
      <c r="FQ786" s="4"/>
      <c r="FR786" s="4"/>
      <c r="FS786" s="4"/>
      <c r="FT786" s="4"/>
      <c r="FU786" s="4"/>
      <c r="FV786" s="4"/>
      <c r="FW786" s="654"/>
      <c r="FX786" s="655"/>
      <c r="FY786" s="4"/>
      <c r="FZ786" s="4"/>
      <c r="GA786" s="4"/>
      <c r="GB786" s="4"/>
      <c r="GC786" s="4"/>
      <c r="GD786" s="4"/>
      <c r="GE786" s="4"/>
      <c r="GF786" s="4"/>
      <c r="GG786" s="4"/>
      <c r="GH786" s="4"/>
      <c r="GI786" s="654"/>
      <c r="GJ786" s="655"/>
      <c r="GK786" s="4"/>
      <c r="GL786" s="4"/>
      <c r="GM786" s="4"/>
      <c r="GN786" s="4"/>
      <c r="GO786" s="4"/>
      <c r="GP786" s="4"/>
      <c r="GQ786" s="4"/>
      <c r="GR786" s="4"/>
      <c r="GS786" s="4"/>
      <c r="GT786" s="4"/>
      <c r="GU786" s="722"/>
      <c r="GV786" s="715"/>
    </row>
    <row r="787" spans="1:204" x14ac:dyDescent="0.25">
      <c r="A787" t="s">
        <v>2682</v>
      </c>
      <c r="B787" s="2" t="s">
        <v>358</v>
      </c>
      <c r="C787" s="619">
        <v>44931</v>
      </c>
      <c r="D787" s="2" t="s">
        <v>2678</v>
      </c>
      <c r="E787" t="s">
        <v>58</v>
      </c>
      <c r="F787" s="2" t="s">
        <v>2473</v>
      </c>
      <c r="G787" t="s">
        <v>40</v>
      </c>
      <c r="H787" s="690" t="s">
        <v>84</v>
      </c>
      <c r="I787" s="691" t="s">
        <v>2267</v>
      </c>
      <c r="J787" s="721" t="s">
        <v>2268</v>
      </c>
      <c r="K787" s="691" t="s">
        <v>2473</v>
      </c>
      <c r="L787" s="721" t="s">
        <v>2146</v>
      </c>
      <c r="M787" s="718" t="s">
        <v>3</v>
      </c>
      <c r="N787" s="717" t="s">
        <v>44</v>
      </c>
      <c r="O787" s="719">
        <v>44896</v>
      </c>
      <c r="P787" s="720">
        <v>44926</v>
      </c>
      <c r="Q787" s="718">
        <v>-0.5</v>
      </c>
      <c r="R787" s="717">
        <v>1</v>
      </c>
      <c r="S787" s="691" t="s">
        <v>92</v>
      </c>
      <c r="T787" t="s">
        <v>358</v>
      </c>
      <c r="U787" s="673" t="s">
        <v>358</v>
      </c>
      <c r="V787" s="690" t="s">
        <v>358</v>
      </c>
      <c r="W787" s="657" t="s">
        <v>214</v>
      </c>
      <c r="X787" s="723"/>
      <c r="Y787" s="4"/>
      <c r="Z787" s="4"/>
      <c r="AA787" s="4"/>
      <c r="AB787" s="4"/>
      <c r="AC787" s="4"/>
      <c r="AD787" s="4"/>
      <c r="AE787" s="4"/>
      <c r="AF787" s="4"/>
      <c r="AG787" s="4"/>
      <c r="AH787" s="4"/>
      <c r="AI787" s="654">
        <v>1</v>
      </c>
      <c r="AJ787" s="655"/>
      <c r="AK787" s="4"/>
      <c r="AL787" s="4"/>
      <c r="AM787" s="4"/>
      <c r="AN787" s="4"/>
      <c r="AO787" s="4"/>
      <c r="AP787" s="4"/>
      <c r="AQ787" s="4"/>
      <c r="AR787" s="4"/>
      <c r="AS787" s="4"/>
      <c r="AT787" s="4"/>
      <c r="AU787" s="654"/>
      <c r="AV787" s="655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654"/>
      <c r="BH787" s="655"/>
      <c r="BI787" s="4"/>
      <c r="BJ787" s="4"/>
      <c r="BK787" s="4"/>
      <c r="BL787" s="4"/>
      <c r="BM787" s="4"/>
      <c r="BN787" s="4"/>
      <c r="BO787" s="4"/>
      <c r="BP787" s="4"/>
      <c r="BQ787" s="4"/>
      <c r="BR787" s="4"/>
      <c r="BS787" s="654"/>
      <c r="BT787" s="655"/>
      <c r="BU787" s="4"/>
      <c r="BV787" s="4"/>
      <c r="BW787" s="4"/>
      <c r="BX787" s="4"/>
      <c r="BY787" s="4"/>
      <c r="BZ787" s="4"/>
      <c r="CA787" s="4"/>
      <c r="CB787" s="4"/>
      <c r="CC787" s="4"/>
      <c r="CD787" s="4"/>
      <c r="CE787" s="693"/>
      <c r="CF787" s="723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654">
        <v>-0.5</v>
      </c>
      <c r="CR787" s="655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654"/>
      <c r="DD787" s="655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654"/>
      <c r="DP787" s="655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654"/>
      <c r="EB787" s="655"/>
      <c r="EC787" s="4"/>
      <c r="ED787" s="4"/>
      <c r="EE787" s="4"/>
      <c r="EF787" s="4"/>
      <c r="EG787" s="4"/>
      <c r="EH787" s="4"/>
      <c r="EI787" s="4"/>
      <c r="EJ787" s="4"/>
      <c r="EK787" s="4"/>
      <c r="EL787" s="4"/>
      <c r="EM787" s="693"/>
      <c r="EN787" s="723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654">
        <v>55.2</v>
      </c>
      <c r="EZ787" s="655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654"/>
      <c r="FL787" s="655"/>
      <c r="FM787" s="4"/>
      <c r="FN787" s="4"/>
      <c r="FO787" s="4"/>
      <c r="FP787" s="4"/>
      <c r="FQ787" s="4"/>
      <c r="FR787" s="4"/>
      <c r="FS787" s="4"/>
      <c r="FT787" s="4"/>
      <c r="FU787" s="4"/>
      <c r="FV787" s="4"/>
      <c r="FW787" s="654"/>
      <c r="FX787" s="655"/>
      <c r="FY787" s="4"/>
      <c r="FZ787" s="4"/>
      <c r="GA787" s="4"/>
      <c r="GB787" s="4"/>
      <c r="GC787" s="4"/>
      <c r="GD787" s="4"/>
      <c r="GE787" s="4"/>
      <c r="GF787" s="4"/>
      <c r="GG787" s="4"/>
      <c r="GH787" s="4"/>
      <c r="GI787" s="654"/>
      <c r="GJ787" s="655"/>
      <c r="GK787" s="4"/>
      <c r="GL787" s="4"/>
      <c r="GM787" s="4"/>
      <c r="GN787" s="4"/>
      <c r="GO787" s="4"/>
      <c r="GP787" s="4"/>
      <c r="GQ787" s="4"/>
      <c r="GR787" s="4"/>
      <c r="GS787" s="4"/>
      <c r="GT787" s="4"/>
      <c r="GU787" s="722"/>
      <c r="GV787" s="715"/>
    </row>
    <row r="788" spans="1:204" x14ac:dyDescent="0.25">
      <c r="T788" t="s">
        <v>358</v>
      </c>
      <c r="U788" t="s">
        <v>358</v>
      </c>
      <c r="V788" t="s">
        <v>358</v>
      </c>
    </row>
  </sheetData>
  <autoFilter ref="A4:GU4" xr:uid="{00000000-0001-0000-0B00-000000000000}"/>
  <mergeCells count="15">
    <mergeCell ref="EN2:EY2"/>
    <mergeCell ref="EZ2:FK2"/>
    <mergeCell ref="FL2:FW2"/>
    <mergeCell ref="FX2:GI2"/>
    <mergeCell ref="GJ2:GU2"/>
    <mergeCell ref="CF2:CQ2"/>
    <mergeCell ref="CR2:DC2"/>
    <mergeCell ref="DD2:DO2"/>
    <mergeCell ref="DP2:EA2"/>
    <mergeCell ref="EB2:EM2"/>
    <mergeCell ref="X2:AI2"/>
    <mergeCell ref="AJ2:AU2"/>
    <mergeCell ref="AV2:BG2"/>
    <mergeCell ref="BH2:BS2"/>
    <mergeCell ref="BT2:CE2"/>
  </mergeCells>
  <phoneticPr fontId="53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>
    <tabColor theme="1"/>
  </sheetPr>
  <dimension ref="A1:EE457"/>
  <sheetViews>
    <sheetView showGridLines="0" zoomScale="90" zoomScaleNormal="90" workbookViewId="0">
      <pane xSplit="3" ySplit="5" topLeftCell="D402" activePane="bottomRight" state="frozen"/>
      <selection pane="topRight" activeCell="D1" sqref="D1"/>
      <selection pane="bottomLeft" activeCell="A6" sqref="A6"/>
      <selection pane="bottomRight" activeCell="I424" sqref="I424"/>
    </sheetView>
  </sheetViews>
  <sheetFormatPr defaultRowHeight="15" x14ac:dyDescent="0.25"/>
  <cols>
    <col min="1" max="1" width="8.7109375" bestFit="1" customWidth="1"/>
    <col min="2" max="2" width="12.5703125" bestFit="1" customWidth="1"/>
    <col min="3" max="3" width="34.85546875" customWidth="1"/>
    <col min="4" max="4" width="12.5703125" bestFit="1" customWidth="1"/>
    <col min="5" max="5" width="13.5703125" style="87" bestFit="1" customWidth="1"/>
    <col min="6" max="7" width="12.5703125" customWidth="1"/>
    <col min="8" max="8" width="10.85546875" customWidth="1"/>
    <col min="9" max="9" width="8" customWidth="1"/>
    <col min="10" max="10" width="13.5703125" customWidth="1"/>
    <col min="11" max="11" width="7.7109375" bestFit="1" customWidth="1"/>
    <col min="12" max="12" width="9.140625" customWidth="1"/>
    <col min="13" max="13" width="6.7109375" bestFit="1" customWidth="1"/>
    <col min="14" max="14" width="7.85546875" customWidth="1"/>
    <col min="15" max="74" width="9.140625" customWidth="1"/>
    <col min="80" max="80" width="9.140625" customWidth="1"/>
    <col min="104" max="104" width="9.140625" customWidth="1"/>
  </cols>
  <sheetData>
    <row r="1" spans="1:135" x14ac:dyDescent="0.25">
      <c r="N1" s="558" t="s">
        <v>145</v>
      </c>
      <c r="O1" s="559">
        <f>SUM(O$6:O$1000)</f>
        <v>85.341999999999999</v>
      </c>
      <c r="P1" s="109">
        <f t="shared" ref="P1:BV1" si="0">SUM(P$6:P$1000)</f>
        <v>176.759107</v>
      </c>
      <c r="Q1" s="109">
        <f t="shared" si="0"/>
        <v>247.07000000000005</v>
      </c>
      <c r="R1" s="109">
        <f t="shared" si="0"/>
        <v>119.13000000000001</v>
      </c>
      <c r="S1" s="109">
        <f t="shared" si="0"/>
        <v>96.13</v>
      </c>
      <c r="T1" s="109">
        <f t="shared" si="0"/>
        <v>-97.281388888888884</v>
      </c>
      <c r="U1" s="109">
        <f t="shared" si="0"/>
        <v>-192.12700000000001</v>
      </c>
      <c r="V1" s="109">
        <f t="shared" si="0"/>
        <v>-11.769999999999991</v>
      </c>
      <c r="W1" s="109">
        <f t="shared" si="0"/>
        <v>54.563333000000014</v>
      </c>
      <c r="X1" s="109">
        <f t="shared" si="0"/>
        <v>144.79129</v>
      </c>
      <c r="Y1" s="109">
        <f t="shared" si="0"/>
        <v>188.79263900000001</v>
      </c>
      <c r="Z1" s="110">
        <f t="shared" si="0"/>
        <v>163.92999999999995</v>
      </c>
      <c r="AA1" s="108">
        <f t="shared" si="0"/>
        <v>107.75</v>
      </c>
      <c r="AB1" s="109">
        <f t="shared" si="0"/>
        <v>107.05</v>
      </c>
      <c r="AC1" s="109">
        <f t="shared" si="0"/>
        <v>119.05</v>
      </c>
      <c r="AD1" s="109">
        <f t="shared" si="0"/>
        <v>76.25</v>
      </c>
      <c r="AE1" s="109">
        <f t="shared" si="0"/>
        <v>42.25</v>
      </c>
      <c r="AF1" s="109">
        <f t="shared" si="0"/>
        <v>-11.75</v>
      </c>
      <c r="AG1" s="109">
        <f t="shared" si="0"/>
        <v>34.25</v>
      </c>
      <c r="AH1" s="109">
        <f t="shared" si="0"/>
        <v>22.25</v>
      </c>
      <c r="AI1" s="109">
        <f t="shared" si="0"/>
        <v>34.25</v>
      </c>
      <c r="AJ1" s="109">
        <f t="shared" si="0"/>
        <v>41.25</v>
      </c>
      <c r="AK1" s="109">
        <f t="shared" si="0"/>
        <v>49.25</v>
      </c>
      <c r="AL1" s="110">
        <f t="shared" si="0"/>
        <v>-8.588709999999999</v>
      </c>
      <c r="AM1" s="108">
        <f t="shared" si="0"/>
        <v>15</v>
      </c>
      <c r="AN1" s="109">
        <f t="shared" si="0"/>
        <v>15</v>
      </c>
      <c r="AO1" s="109">
        <f t="shared" si="0"/>
        <v>15</v>
      </c>
      <c r="AP1" s="109">
        <f t="shared" si="0"/>
        <v>15</v>
      </c>
      <c r="AQ1" s="109">
        <f t="shared" si="0"/>
        <v>15</v>
      </c>
      <c r="AR1" s="109">
        <f t="shared" si="0"/>
        <v>15</v>
      </c>
      <c r="AS1" s="109">
        <f t="shared" si="0"/>
        <v>15</v>
      </c>
      <c r="AT1" s="109">
        <f t="shared" si="0"/>
        <v>15</v>
      </c>
      <c r="AU1" s="109">
        <f t="shared" si="0"/>
        <v>15</v>
      </c>
      <c r="AV1" s="109">
        <f t="shared" si="0"/>
        <v>15</v>
      </c>
      <c r="AW1" s="109">
        <f t="shared" si="0"/>
        <v>15</v>
      </c>
      <c r="AX1" s="110">
        <f t="shared" si="0"/>
        <v>15</v>
      </c>
      <c r="AY1" s="108">
        <f t="shared" si="0"/>
        <v>35</v>
      </c>
      <c r="AZ1" s="109">
        <f t="shared" si="0"/>
        <v>35</v>
      </c>
      <c r="BA1" s="109">
        <f t="shared" si="0"/>
        <v>35</v>
      </c>
      <c r="BB1" s="109">
        <f t="shared" si="0"/>
        <v>35</v>
      </c>
      <c r="BC1" s="109">
        <f t="shared" si="0"/>
        <v>35</v>
      </c>
      <c r="BD1" s="109">
        <f t="shared" si="0"/>
        <v>35</v>
      </c>
      <c r="BE1" s="109">
        <f t="shared" si="0"/>
        <v>35</v>
      </c>
      <c r="BF1" s="109">
        <f t="shared" si="0"/>
        <v>35</v>
      </c>
      <c r="BG1" s="109">
        <f t="shared" si="0"/>
        <v>35</v>
      </c>
      <c r="BH1" s="109">
        <f t="shared" si="0"/>
        <v>35</v>
      </c>
      <c r="BI1" s="109">
        <f t="shared" si="0"/>
        <v>35</v>
      </c>
      <c r="BJ1" s="110">
        <f t="shared" si="0"/>
        <v>35</v>
      </c>
      <c r="BK1" s="108">
        <f t="shared" si="0"/>
        <v>0</v>
      </c>
      <c r="BL1" s="109">
        <f t="shared" si="0"/>
        <v>0</v>
      </c>
      <c r="BM1" s="109">
        <f t="shared" si="0"/>
        <v>0</v>
      </c>
      <c r="BN1" s="109">
        <f t="shared" si="0"/>
        <v>0</v>
      </c>
      <c r="BO1" s="109">
        <f t="shared" si="0"/>
        <v>0</v>
      </c>
      <c r="BP1" s="109">
        <f t="shared" si="0"/>
        <v>0</v>
      </c>
      <c r="BQ1" s="109">
        <f t="shared" si="0"/>
        <v>0</v>
      </c>
      <c r="BR1" s="109">
        <f t="shared" si="0"/>
        <v>0</v>
      </c>
      <c r="BS1" s="109">
        <f t="shared" si="0"/>
        <v>0</v>
      </c>
      <c r="BT1" s="109">
        <f t="shared" si="0"/>
        <v>0</v>
      </c>
      <c r="BU1" s="109">
        <f t="shared" si="0"/>
        <v>0</v>
      </c>
      <c r="BV1" s="556">
        <f t="shared" si="0"/>
        <v>0</v>
      </c>
      <c r="BW1" s="238"/>
      <c r="ED1" s="525"/>
    </row>
    <row r="2" spans="1:135" x14ac:dyDescent="0.25">
      <c r="N2" s="560" t="b">
        <f>IF(ROUND(SUM($O$2:$BV$2),5)=ROUND(SUM($O$1:$BV$1),5),TRUE,FALSE)</f>
        <v>1</v>
      </c>
      <c r="O2" s="559">
        <f>RESULTADO!BO34</f>
        <v>85.341999999999999</v>
      </c>
      <c r="P2" s="109">
        <f>RESULTADO!BP34</f>
        <v>176.75910699999997</v>
      </c>
      <c r="Q2" s="109">
        <f>RESULTADO!BQ34</f>
        <v>247.07</v>
      </c>
      <c r="R2" s="109">
        <f>RESULTADO!BR34</f>
        <v>119.13</v>
      </c>
      <c r="S2" s="109">
        <f>RESULTADO!BS34</f>
        <v>96.13</v>
      </c>
      <c r="T2" s="109">
        <f>RESULTADO!BT34</f>
        <v>-97.281388888888884</v>
      </c>
      <c r="U2" s="109">
        <f>RESULTADO!BU34</f>
        <v>-192.12700000000001</v>
      </c>
      <c r="V2" s="109">
        <f>RESULTADO!BV34</f>
        <v>-11.769999999999996</v>
      </c>
      <c r="W2" s="109">
        <f>RESULTADO!BW34</f>
        <v>54.563333</v>
      </c>
      <c r="X2" s="109">
        <f>RESULTADO!BX34</f>
        <v>144.79129</v>
      </c>
      <c r="Y2" s="109">
        <f>RESULTADO!BY34</f>
        <v>188.79263899999998</v>
      </c>
      <c r="Z2" s="110">
        <f>RESULTADO!BZ34</f>
        <v>163.93</v>
      </c>
      <c r="AA2" s="108">
        <f>RESULTADO!CA34</f>
        <v>107.75</v>
      </c>
      <c r="AB2" s="109">
        <f>RESULTADO!CB34</f>
        <v>107.05</v>
      </c>
      <c r="AC2" s="109">
        <f>RESULTADO!CC34</f>
        <v>119.05</v>
      </c>
      <c r="AD2" s="109">
        <f>RESULTADO!CD34</f>
        <v>76.25</v>
      </c>
      <c r="AE2" s="109">
        <f>RESULTADO!CE34</f>
        <v>42.25</v>
      </c>
      <c r="AF2" s="109">
        <f>RESULTADO!CF34</f>
        <v>-11.75</v>
      </c>
      <c r="AG2" s="109">
        <f>RESULTADO!CG34</f>
        <v>34.25</v>
      </c>
      <c r="AH2" s="109">
        <f>RESULTADO!CH34</f>
        <v>22.250000000000004</v>
      </c>
      <c r="AI2" s="109">
        <f>RESULTADO!CI34</f>
        <v>34.25</v>
      </c>
      <c r="AJ2" s="109">
        <f>RESULTADO!CJ34</f>
        <v>41.25</v>
      </c>
      <c r="AK2" s="109">
        <f>RESULTADO!CK34</f>
        <v>49.25</v>
      </c>
      <c r="AL2" s="110">
        <f>RESULTADO!CL34</f>
        <v>-8.588709999999999</v>
      </c>
      <c r="AM2" s="108">
        <f>RESULTADO!CM34</f>
        <v>15</v>
      </c>
      <c r="AN2" s="109">
        <f>RESULTADO!CN34</f>
        <v>15</v>
      </c>
      <c r="AO2" s="109">
        <f>RESULTADO!CO34</f>
        <v>15</v>
      </c>
      <c r="AP2" s="109">
        <f>RESULTADO!CP34</f>
        <v>15</v>
      </c>
      <c r="AQ2" s="109">
        <f>RESULTADO!CQ34</f>
        <v>15</v>
      </c>
      <c r="AR2" s="109">
        <f>RESULTADO!CR34</f>
        <v>15</v>
      </c>
      <c r="AS2" s="109">
        <f>RESULTADO!CS34</f>
        <v>15</v>
      </c>
      <c r="AT2" s="109">
        <f>RESULTADO!CT34</f>
        <v>15</v>
      </c>
      <c r="AU2" s="109">
        <f>RESULTADO!CU34</f>
        <v>15</v>
      </c>
      <c r="AV2" s="109">
        <f>RESULTADO!CV34</f>
        <v>15</v>
      </c>
      <c r="AW2" s="109">
        <f>RESULTADO!CW34</f>
        <v>15</v>
      </c>
      <c r="AX2" s="110">
        <f>RESULTADO!CX34</f>
        <v>15</v>
      </c>
      <c r="AY2" s="108">
        <f>RESULTADO!CY34</f>
        <v>35</v>
      </c>
      <c r="AZ2" s="109">
        <f>RESULTADO!CZ34</f>
        <v>35</v>
      </c>
      <c r="BA2" s="109">
        <f>RESULTADO!DA34</f>
        <v>35</v>
      </c>
      <c r="BB2" s="109">
        <f>RESULTADO!DB34</f>
        <v>35</v>
      </c>
      <c r="BC2" s="109">
        <f>RESULTADO!DC34</f>
        <v>35</v>
      </c>
      <c r="BD2" s="109">
        <f>RESULTADO!DD34</f>
        <v>35</v>
      </c>
      <c r="BE2" s="109">
        <f>RESULTADO!DE34</f>
        <v>35</v>
      </c>
      <c r="BF2" s="109">
        <f>RESULTADO!DF34</f>
        <v>35</v>
      </c>
      <c r="BG2" s="109">
        <f>RESULTADO!DG34</f>
        <v>35</v>
      </c>
      <c r="BH2" s="109">
        <f>RESULTADO!DH34</f>
        <v>35</v>
      </c>
      <c r="BI2" s="109">
        <f>RESULTADO!DI34</f>
        <v>35</v>
      </c>
      <c r="BJ2" s="110">
        <f>RESULTADO!DJ34</f>
        <v>35</v>
      </c>
      <c r="BK2" s="108">
        <f>RESULTADO!DK34</f>
        <v>0</v>
      </c>
      <c r="BL2" s="109">
        <f>RESULTADO!DL34</f>
        <v>0</v>
      </c>
      <c r="BM2" s="109">
        <f>RESULTADO!DM34</f>
        <v>0</v>
      </c>
      <c r="BN2" s="109">
        <f>RESULTADO!DN34</f>
        <v>0</v>
      </c>
      <c r="BO2" s="109">
        <f>RESULTADO!DO34</f>
        <v>0</v>
      </c>
      <c r="BP2" s="109">
        <f>RESULTADO!DP34</f>
        <v>0</v>
      </c>
      <c r="BQ2" s="109">
        <f>RESULTADO!DQ34</f>
        <v>0</v>
      </c>
      <c r="BR2" s="109">
        <f>RESULTADO!DR34</f>
        <v>0</v>
      </c>
      <c r="BS2" s="109">
        <f>RESULTADO!DS34</f>
        <v>0</v>
      </c>
      <c r="BT2" s="109">
        <f>RESULTADO!DT34</f>
        <v>0</v>
      </c>
      <c r="BU2" s="109">
        <f>RESULTADO!DU34</f>
        <v>0</v>
      </c>
      <c r="BV2" s="556">
        <f>RESULTADO!DV34</f>
        <v>0</v>
      </c>
      <c r="BW2" s="238"/>
      <c r="ED2" s="525"/>
    </row>
    <row r="3" spans="1:135" x14ac:dyDescent="0.25">
      <c r="A3" s="802" t="s">
        <v>323</v>
      </c>
      <c r="B3" s="803"/>
      <c r="C3" s="803"/>
      <c r="D3" s="803"/>
      <c r="E3" s="803"/>
      <c r="F3" s="803"/>
      <c r="G3" s="803"/>
      <c r="H3" s="803"/>
      <c r="I3" s="803"/>
      <c r="J3" s="803"/>
      <c r="K3" s="803"/>
      <c r="L3" s="803"/>
      <c r="M3" s="803"/>
      <c r="N3" s="803"/>
      <c r="O3" s="804" t="s">
        <v>163</v>
      </c>
      <c r="P3" s="804"/>
      <c r="Q3" s="804"/>
      <c r="R3" s="804"/>
      <c r="S3" s="804"/>
      <c r="T3" s="804"/>
      <c r="U3" s="804"/>
      <c r="V3" s="804"/>
      <c r="W3" s="804"/>
      <c r="X3" s="804"/>
      <c r="Y3" s="804"/>
      <c r="Z3" s="804"/>
      <c r="AA3" s="804"/>
      <c r="AB3" s="804"/>
      <c r="AC3" s="804"/>
      <c r="AD3" s="804"/>
      <c r="AE3" s="804"/>
      <c r="AF3" s="804"/>
      <c r="AG3" s="804"/>
      <c r="AH3" s="804"/>
      <c r="AI3" s="804"/>
      <c r="AJ3" s="804"/>
      <c r="AK3" s="804"/>
      <c r="AL3" s="804"/>
      <c r="AM3" s="804"/>
      <c r="AN3" s="804"/>
      <c r="AO3" s="804"/>
      <c r="AP3" s="804"/>
      <c r="AQ3" s="804"/>
      <c r="AR3" s="804"/>
      <c r="AS3" s="804"/>
      <c r="AT3" s="804"/>
      <c r="AU3" s="804"/>
      <c r="AV3" s="804"/>
      <c r="AW3" s="804"/>
      <c r="AX3" s="804"/>
      <c r="AY3" s="804"/>
      <c r="AZ3" s="804"/>
      <c r="BA3" s="804"/>
      <c r="BB3" s="804"/>
      <c r="BC3" s="804"/>
      <c r="BD3" s="804"/>
      <c r="BE3" s="804"/>
      <c r="BF3" s="804"/>
      <c r="BG3" s="804"/>
      <c r="BH3" s="804"/>
      <c r="BI3" s="804"/>
      <c r="BJ3" s="804"/>
      <c r="BK3" s="804"/>
      <c r="BL3" s="804"/>
      <c r="BM3" s="804"/>
      <c r="BN3" s="804"/>
      <c r="BO3" s="804"/>
      <c r="BP3" s="804"/>
      <c r="BQ3" s="804"/>
      <c r="BR3" s="804"/>
      <c r="BS3" s="804"/>
      <c r="BT3" s="804"/>
      <c r="BU3" s="804"/>
      <c r="BV3" s="804"/>
      <c r="BW3" s="804" t="s">
        <v>164</v>
      </c>
      <c r="BX3" s="804"/>
      <c r="BY3" s="804"/>
      <c r="BZ3" s="804"/>
      <c r="CA3" s="804"/>
      <c r="CB3" s="804"/>
      <c r="CC3" s="804"/>
      <c r="CD3" s="804"/>
      <c r="CE3" s="804"/>
      <c r="CF3" s="804"/>
      <c r="CG3" s="804"/>
      <c r="CH3" s="804"/>
      <c r="CI3" s="804"/>
      <c r="CJ3" s="804"/>
      <c r="CK3" s="804"/>
      <c r="CL3" s="804"/>
      <c r="CM3" s="804"/>
      <c r="CN3" s="804"/>
      <c r="CO3" s="804"/>
      <c r="CP3" s="804"/>
      <c r="CQ3" s="804"/>
      <c r="CR3" s="804"/>
      <c r="CS3" s="804"/>
      <c r="CT3" s="804"/>
      <c r="CU3" s="804"/>
      <c r="CV3" s="804"/>
      <c r="CW3" s="804"/>
      <c r="CX3" s="804"/>
      <c r="CY3" s="804"/>
      <c r="CZ3" s="804"/>
      <c r="DA3" s="804"/>
      <c r="DB3" s="804"/>
      <c r="DC3" s="804"/>
      <c r="DD3" s="804"/>
      <c r="DE3" s="804"/>
      <c r="DF3" s="804"/>
      <c r="DG3" s="804"/>
      <c r="DH3" s="804"/>
      <c r="DI3" s="804"/>
      <c r="DJ3" s="804"/>
      <c r="DK3" s="804"/>
      <c r="DL3" s="804"/>
      <c r="DM3" s="804"/>
      <c r="DN3" s="804"/>
      <c r="DO3" s="804"/>
      <c r="DP3" s="804"/>
      <c r="DQ3" s="804"/>
      <c r="DR3" s="804"/>
      <c r="DS3" s="804"/>
      <c r="DT3" s="804"/>
      <c r="DU3" s="804"/>
      <c r="DV3" s="804"/>
      <c r="DW3" s="804"/>
      <c r="DX3" s="804"/>
      <c r="DY3" s="804"/>
      <c r="DZ3" s="804"/>
      <c r="EA3" s="804"/>
      <c r="EB3" s="804"/>
      <c r="EC3" s="804"/>
      <c r="ED3" s="804"/>
    </row>
    <row r="4" spans="1:135" x14ac:dyDescent="0.25">
      <c r="N4" s="561"/>
      <c r="O4" s="805" t="str">
        <f>"Volumes "&amp;YEAR(O5)</f>
        <v>Volumes 2022</v>
      </c>
      <c r="P4" s="805"/>
      <c r="Q4" s="805"/>
      <c r="R4" s="805"/>
      <c r="S4" s="805"/>
      <c r="T4" s="805"/>
      <c r="U4" s="805"/>
      <c r="V4" s="805"/>
      <c r="W4" s="805"/>
      <c r="X4" s="805"/>
      <c r="Y4" s="805"/>
      <c r="Z4" s="806"/>
      <c r="AA4" s="807" t="str">
        <f>"Volumes "&amp;YEAR(AA5)</f>
        <v>Volumes 2023</v>
      </c>
      <c r="AB4" s="808"/>
      <c r="AC4" s="808"/>
      <c r="AD4" s="808"/>
      <c r="AE4" s="808"/>
      <c r="AF4" s="808"/>
      <c r="AG4" s="808"/>
      <c r="AH4" s="808"/>
      <c r="AI4" s="808"/>
      <c r="AJ4" s="808"/>
      <c r="AK4" s="808"/>
      <c r="AL4" s="808"/>
      <c r="AM4" s="807" t="str">
        <f>"Volumes "&amp;YEAR(AM5)</f>
        <v>Volumes 2024</v>
      </c>
      <c r="AN4" s="808"/>
      <c r="AO4" s="808"/>
      <c r="AP4" s="808"/>
      <c r="AQ4" s="808"/>
      <c r="AR4" s="808"/>
      <c r="AS4" s="808"/>
      <c r="AT4" s="808"/>
      <c r="AU4" s="808"/>
      <c r="AV4" s="808"/>
      <c r="AW4" s="808"/>
      <c r="AX4" s="808"/>
      <c r="AY4" s="807" t="str">
        <f>"Volumes "&amp;YEAR(AY5)</f>
        <v>Volumes 2025</v>
      </c>
      <c r="AZ4" s="808"/>
      <c r="BA4" s="808"/>
      <c r="BB4" s="808"/>
      <c r="BC4" s="808"/>
      <c r="BD4" s="808"/>
      <c r="BE4" s="808"/>
      <c r="BF4" s="808"/>
      <c r="BG4" s="808"/>
      <c r="BH4" s="808"/>
      <c r="BI4" s="808"/>
      <c r="BJ4" s="808"/>
      <c r="BK4" s="809" t="str">
        <f>"Volumes "&amp;YEAR(BK5)</f>
        <v>Volumes 2026</v>
      </c>
      <c r="BL4" s="805"/>
      <c r="BM4" s="805"/>
      <c r="BN4" s="805"/>
      <c r="BO4" s="805"/>
      <c r="BP4" s="805"/>
      <c r="BQ4" s="805"/>
      <c r="BR4" s="805"/>
      <c r="BS4" s="805"/>
      <c r="BT4" s="805"/>
      <c r="BU4" s="805"/>
      <c r="BV4" s="805"/>
      <c r="BW4" s="805" t="str">
        <f>"Preços "&amp;YEAR(BW5)</f>
        <v>Preços 2022</v>
      </c>
      <c r="BX4" s="805"/>
      <c r="BY4" s="805"/>
      <c r="BZ4" s="805"/>
      <c r="CA4" s="805"/>
      <c r="CB4" s="805"/>
      <c r="CC4" s="805"/>
      <c r="CD4" s="805"/>
      <c r="CE4" s="805"/>
      <c r="CF4" s="805"/>
      <c r="CG4" s="805"/>
      <c r="CH4" s="806"/>
      <c r="CI4" s="807" t="str">
        <f>"Preços "&amp;YEAR(CI5)</f>
        <v>Preços 2023</v>
      </c>
      <c r="CJ4" s="808"/>
      <c r="CK4" s="808"/>
      <c r="CL4" s="808"/>
      <c r="CM4" s="808"/>
      <c r="CN4" s="808"/>
      <c r="CO4" s="808"/>
      <c r="CP4" s="808"/>
      <c r="CQ4" s="808"/>
      <c r="CR4" s="808"/>
      <c r="CS4" s="808"/>
      <c r="CT4" s="808"/>
      <c r="CU4" s="807" t="str">
        <f>"Preços "&amp;YEAR(CU5)</f>
        <v>Preços 2024</v>
      </c>
      <c r="CV4" s="808"/>
      <c r="CW4" s="808"/>
      <c r="CX4" s="808"/>
      <c r="CY4" s="808"/>
      <c r="CZ4" s="808"/>
      <c r="DA4" s="808"/>
      <c r="DB4" s="808"/>
      <c r="DC4" s="808"/>
      <c r="DD4" s="808"/>
      <c r="DE4" s="808"/>
      <c r="DF4" s="808"/>
      <c r="DG4" s="807" t="str">
        <f>"Preços "&amp;YEAR(DG5)</f>
        <v>Preços 2025</v>
      </c>
      <c r="DH4" s="808"/>
      <c r="DI4" s="808"/>
      <c r="DJ4" s="808"/>
      <c r="DK4" s="808"/>
      <c r="DL4" s="808"/>
      <c r="DM4" s="808"/>
      <c r="DN4" s="808"/>
      <c r="DO4" s="808"/>
      <c r="DP4" s="808"/>
      <c r="DQ4" s="808"/>
      <c r="DR4" s="808"/>
      <c r="DS4" s="809" t="str">
        <f>"Preços "&amp;YEAR(DS5)</f>
        <v>Preços 2026</v>
      </c>
      <c r="DT4" s="805"/>
      <c r="DU4" s="805"/>
      <c r="DV4" s="805"/>
      <c r="DW4" s="805"/>
      <c r="DX4" s="805"/>
      <c r="DY4" s="805"/>
      <c r="DZ4" s="805"/>
      <c r="EA4" s="805"/>
      <c r="EB4" s="805"/>
      <c r="EC4" s="805"/>
      <c r="ED4" s="805"/>
    </row>
    <row r="5" spans="1:135" ht="15.75" thickBot="1" x14ac:dyDescent="0.3">
      <c r="A5" s="564" t="s">
        <v>324</v>
      </c>
      <c r="B5" s="107" t="s">
        <v>497</v>
      </c>
      <c r="C5" s="107" t="s">
        <v>8</v>
      </c>
      <c r="D5" s="107" t="s">
        <v>496</v>
      </c>
      <c r="E5" s="107" t="s">
        <v>403</v>
      </c>
      <c r="F5" s="107" t="s">
        <v>185</v>
      </c>
      <c r="G5" s="107" t="s">
        <v>57</v>
      </c>
      <c r="H5" s="563" t="s">
        <v>339</v>
      </c>
      <c r="I5" s="563" t="s">
        <v>646</v>
      </c>
      <c r="J5" s="563" t="s">
        <v>647</v>
      </c>
      <c r="K5" s="563" t="s">
        <v>648</v>
      </c>
      <c r="L5" s="563" t="s">
        <v>38</v>
      </c>
      <c r="M5" s="563" t="s">
        <v>41</v>
      </c>
      <c r="N5" s="562" t="s">
        <v>162</v>
      </c>
      <c r="O5" s="557">
        <f>RESULTADO!C3</f>
        <v>44562</v>
      </c>
      <c r="P5" s="333">
        <f>RESULTADO!D3</f>
        <v>44593</v>
      </c>
      <c r="Q5" s="333">
        <f>RESULTADO!E3</f>
        <v>44621</v>
      </c>
      <c r="R5" s="333">
        <f>RESULTADO!F3</f>
        <v>44652</v>
      </c>
      <c r="S5" s="333">
        <f>RESULTADO!G3</f>
        <v>44682</v>
      </c>
      <c r="T5" s="333">
        <f>RESULTADO!H3</f>
        <v>44713</v>
      </c>
      <c r="U5" s="333">
        <f>RESULTADO!I3</f>
        <v>44743</v>
      </c>
      <c r="V5" s="333">
        <f>RESULTADO!J3</f>
        <v>44774</v>
      </c>
      <c r="W5" s="333">
        <f>RESULTADO!K3</f>
        <v>44805</v>
      </c>
      <c r="X5" s="333">
        <f>RESULTADO!L3</f>
        <v>44835</v>
      </c>
      <c r="Y5" s="333">
        <f>RESULTADO!M3</f>
        <v>44866</v>
      </c>
      <c r="Z5" s="334">
        <f>RESULTADO!N3</f>
        <v>44896</v>
      </c>
      <c r="AA5" s="333">
        <f>RESULTADO!O3</f>
        <v>44927</v>
      </c>
      <c r="AB5" s="333">
        <f>RESULTADO!P3</f>
        <v>44958</v>
      </c>
      <c r="AC5" s="333">
        <f>RESULTADO!Q3</f>
        <v>44986</v>
      </c>
      <c r="AD5" s="333">
        <f>RESULTADO!R3</f>
        <v>45017</v>
      </c>
      <c r="AE5" s="333">
        <f>RESULTADO!S3</f>
        <v>45047</v>
      </c>
      <c r="AF5" s="333">
        <f>RESULTADO!T3</f>
        <v>45078</v>
      </c>
      <c r="AG5" s="333">
        <f>RESULTADO!U3</f>
        <v>45108</v>
      </c>
      <c r="AH5" s="333">
        <f>RESULTADO!V3</f>
        <v>45139</v>
      </c>
      <c r="AI5" s="333">
        <f>RESULTADO!W3</f>
        <v>45170</v>
      </c>
      <c r="AJ5" s="333">
        <f>RESULTADO!X3</f>
        <v>45200</v>
      </c>
      <c r="AK5" s="333">
        <f>RESULTADO!Y3</f>
        <v>45231</v>
      </c>
      <c r="AL5" s="334">
        <f>RESULTADO!Z3</f>
        <v>45261</v>
      </c>
      <c r="AM5" s="333">
        <f>RESULTADO!AA3</f>
        <v>45292</v>
      </c>
      <c r="AN5" s="333">
        <f>RESULTADO!AB3</f>
        <v>45323</v>
      </c>
      <c r="AO5" s="333">
        <f>RESULTADO!AC3</f>
        <v>45352</v>
      </c>
      <c r="AP5" s="333">
        <f>RESULTADO!AD3</f>
        <v>45383</v>
      </c>
      <c r="AQ5" s="333">
        <f>RESULTADO!AE3</f>
        <v>45413</v>
      </c>
      <c r="AR5" s="333">
        <f>RESULTADO!AF3</f>
        <v>45444</v>
      </c>
      <c r="AS5" s="333">
        <f>RESULTADO!AG3</f>
        <v>45474</v>
      </c>
      <c r="AT5" s="333">
        <f>RESULTADO!AH3</f>
        <v>45505</v>
      </c>
      <c r="AU5" s="333">
        <f>RESULTADO!AI3</f>
        <v>45536</v>
      </c>
      <c r="AV5" s="333">
        <f>RESULTADO!AJ3</f>
        <v>45566</v>
      </c>
      <c r="AW5" s="333">
        <f>RESULTADO!AK3</f>
        <v>45597</v>
      </c>
      <c r="AX5" s="334">
        <f>RESULTADO!AL3</f>
        <v>45627</v>
      </c>
      <c r="AY5" s="333">
        <f>RESULTADO!AM3</f>
        <v>45658</v>
      </c>
      <c r="AZ5" s="333">
        <f>RESULTADO!AN3</f>
        <v>45689</v>
      </c>
      <c r="BA5" s="333">
        <f>RESULTADO!AO3</f>
        <v>45717</v>
      </c>
      <c r="BB5" s="333">
        <f>RESULTADO!AP3</f>
        <v>45748</v>
      </c>
      <c r="BC5" s="333">
        <f>RESULTADO!AQ3</f>
        <v>45778</v>
      </c>
      <c r="BD5" s="333">
        <f>RESULTADO!AR3</f>
        <v>45809</v>
      </c>
      <c r="BE5" s="333">
        <f>RESULTADO!AS3</f>
        <v>45839</v>
      </c>
      <c r="BF5" s="333">
        <f>RESULTADO!AT3</f>
        <v>45870</v>
      </c>
      <c r="BG5" s="333">
        <f>RESULTADO!AU3</f>
        <v>45901</v>
      </c>
      <c r="BH5" s="333">
        <f>RESULTADO!AV3</f>
        <v>45931</v>
      </c>
      <c r="BI5" s="333">
        <f>RESULTADO!AW3</f>
        <v>45962</v>
      </c>
      <c r="BJ5" s="334">
        <f>RESULTADO!AX3</f>
        <v>45992</v>
      </c>
      <c r="BK5" s="333">
        <f>RESULTADO!AY3</f>
        <v>46023</v>
      </c>
      <c r="BL5" s="333">
        <f>RESULTADO!AZ3</f>
        <v>46054</v>
      </c>
      <c r="BM5" s="333">
        <f>RESULTADO!BA3</f>
        <v>46082</v>
      </c>
      <c r="BN5" s="333">
        <f>RESULTADO!BB3</f>
        <v>46113</v>
      </c>
      <c r="BO5" s="333">
        <f>RESULTADO!BC3</f>
        <v>46143</v>
      </c>
      <c r="BP5" s="333">
        <f>RESULTADO!BD3</f>
        <v>46174</v>
      </c>
      <c r="BQ5" s="333">
        <f>RESULTADO!BE3</f>
        <v>46204</v>
      </c>
      <c r="BR5" s="333">
        <f>RESULTADO!BF3</f>
        <v>46235</v>
      </c>
      <c r="BS5" s="333">
        <f>RESULTADO!BG3</f>
        <v>46266</v>
      </c>
      <c r="BT5" s="333">
        <f>RESULTADO!BH3</f>
        <v>46296</v>
      </c>
      <c r="BU5" s="333">
        <f>RESULTADO!BI3</f>
        <v>46327</v>
      </c>
      <c r="BV5" s="555">
        <f>RESULTADO!BJ3</f>
        <v>46357</v>
      </c>
      <c r="BW5" s="557">
        <f>O5</f>
        <v>44562</v>
      </c>
      <c r="BX5" s="333">
        <f t="shared" ref="BX5:CT5" si="1">P5</f>
        <v>44593</v>
      </c>
      <c r="BY5" s="333">
        <f t="shared" si="1"/>
        <v>44621</v>
      </c>
      <c r="BZ5" s="333">
        <f t="shared" si="1"/>
        <v>44652</v>
      </c>
      <c r="CA5" s="333">
        <f t="shared" si="1"/>
        <v>44682</v>
      </c>
      <c r="CB5" s="333">
        <f t="shared" si="1"/>
        <v>44713</v>
      </c>
      <c r="CC5" s="333">
        <f t="shared" si="1"/>
        <v>44743</v>
      </c>
      <c r="CD5" s="333">
        <f t="shared" si="1"/>
        <v>44774</v>
      </c>
      <c r="CE5" s="333">
        <f t="shared" si="1"/>
        <v>44805</v>
      </c>
      <c r="CF5" s="333">
        <f t="shared" si="1"/>
        <v>44835</v>
      </c>
      <c r="CG5" s="333">
        <f t="shared" si="1"/>
        <v>44866</v>
      </c>
      <c r="CH5" s="334">
        <f t="shared" si="1"/>
        <v>44896</v>
      </c>
      <c r="CI5" s="333">
        <f t="shared" si="1"/>
        <v>44927</v>
      </c>
      <c r="CJ5" s="333">
        <f t="shared" si="1"/>
        <v>44958</v>
      </c>
      <c r="CK5" s="333">
        <f t="shared" si="1"/>
        <v>44986</v>
      </c>
      <c r="CL5" s="333">
        <f t="shared" si="1"/>
        <v>45017</v>
      </c>
      <c r="CM5" s="333">
        <f t="shared" si="1"/>
        <v>45047</v>
      </c>
      <c r="CN5" s="333">
        <f t="shared" si="1"/>
        <v>45078</v>
      </c>
      <c r="CO5" s="333">
        <f t="shared" si="1"/>
        <v>45108</v>
      </c>
      <c r="CP5" s="333">
        <f t="shared" si="1"/>
        <v>45139</v>
      </c>
      <c r="CQ5" s="333">
        <f t="shared" si="1"/>
        <v>45170</v>
      </c>
      <c r="CR5" s="333">
        <f t="shared" si="1"/>
        <v>45200</v>
      </c>
      <c r="CS5" s="333">
        <f t="shared" si="1"/>
        <v>45231</v>
      </c>
      <c r="CT5" s="334">
        <f t="shared" si="1"/>
        <v>45261</v>
      </c>
      <c r="CU5" s="335">
        <f>AM5</f>
        <v>45292</v>
      </c>
      <c r="CV5" s="333">
        <f t="shared" ref="CV5" si="2">AN5</f>
        <v>45323</v>
      </c>
      <c r="CW5" s="333">
        <f t="shared" ref="CW5" si="3">AO5</f>
        <v>45352</v>
      </c>
      <c r="CX5" s="333">
        <f t="shared" ref="CX5" si="4">AP5</f>
        <v>45383</v>
      </c>
      <c r="CY5" s="333">
        <f t="shared" ref="CY5" si="5">AQ5</f>
        <v>45413</v>
      </c>
      <c r="CZ5" s="333">
        <f t="shared" ref="CZ5" si="6">AR5</f>
        <v>45444</v>
      </c>
      <c r="DA5" s="333">
        <f t="shared" ref="DA5" si="7">AS5</f>
        <v>45474</v>
      </c>
      <c r="DB5" s="333">
        <f t="shared" ref="DB5" si="8">AT5</f>
        <v>45505</v>
      </c>
      <c r="DC5" s="333">
        <f t="shared" ref="DC5" si="9">AU5</f>
        <v>45536</v>
      </c>
      <c r="DD5" s="333">
        <f t="shared" ref="DD5" si="10">AV5</f>
        <v>45566</v>
      </c>
      <c r="DE5" s="333">
        <f t="shared" ref="DE5" si="11">AW5</f>
        <v>45597</v>
      </c>
      <c r="DF5" s="334">
        <f t="shared" ref="DF5" si="12">AX5</f>
        <v>45627</v>
      </c>
      <c r="DG5" s="333">
        <f t="shared" ref="DG5" si="13">AY5</f>
        <v>45658</v>
      </c>
      <c r="DH5" s="333">
        <f t="shared" ref="DH5" si="14">AZ5</f>
        <v>45689</v>
      </c>
      <c r="DI5" s="333">
        <f t="shared" ref="DI5" si="15">BA5</f>
        <v>45717</v>
      </c>
      <c r="DJ5" s="333">
        <f t="shared" ref="DJ5" si="16">BB5</f>
        <v>45748</v>
      </c>
      <c r="DK5" s="333">
        <f t="shared" ref="DK5" si="17">BC5</f>
        <v>45778</v>
      </c>
      <c r="DL5" s="333">
        <f t="shared" ref="DL5" si="18">BD5</f>
        <v>45809</v>
      </c>
      <c r="DM5" s="333">
        <f t="shared" ref="DM5" si="19">BE5</f>
        <v>45839</v>
      </c>
      <c r="DN5" s="333">
        <f t="shared" ref="DN5" si="20">BF5</f>
        <v>45870</v>
      </c>
      <c r="DO5" s="333">
        <f t="shared" ref="DO5" si="21">BG5</f>
        <v>45901</v>
      </c>
      <c r="DP5" s="333">
        <f t="shared" ref="DP5" si="22">BH5</f>
        <v>45931</v>
      </c>
      <c r="DQ5" s="333">
        <f t="shared" ref="DQ5" si="23">BI5</f>
        <v>45962</v>
      </c>
      <c r="DR5" s="334">
        <f t="shared" ref="DR5" si="24">BJ5</f>
        <v>45992</v>
      </c>
      <c r="DS5" s="335">
        <f t="shared" ref="DS5" si="25">BK5</f>
        <v>46023</v>
      </c>
      <c r="DT5" s="333">
        <f t="shared" ref="DT5" si="26">BL5</f>
        <v>46054</v>
      </c>
      <c r="DU5" s="333">
        <f t="shared" ref="DU5" si="27">BM5</f>
        <v>46082</v>
      </c>
      <c r="DV5" s="333">
        <f t="shared" ref="DV5" si="28">BN5</f>
        <v>46113</v>
      </c>
      <c r="DW5" s="333">
        <f t="shared" ref="DW5" si="29">BO5</f>
        <v>46143</v>
      </c>
      <c r="DX5" s="333">
        <f t="shared" ref="DX5" si="30">BP5</f>
        <v>46174</v>
      </c>
      <c r="DY5" s="333">
        <f t="shared" ref="DY5" si="31">BQ5</f>
        <v>46204</v>
      </c>
      <c r="DZ5" s="333">
        <f t="shared" ref="DZ5" si="32">BR5</f>
        <v>46235</v>
      </c>
      <c r="EA5" s="333">
        <f t="shared" ref="EA5" si="33">BS5</f>
        <v>46266</v>
      </c>
      <c r="EB5" s="333">
        <f t="shared" ref="EB5" si="34">BT5</f>
        <v>46296</v>
      </c>
      <c r="EC5" s="333">
        <f t="shared" ref="EC5" si="35">BU5</f>
        <v>46327</v>
      </c>
      <c r="ED5" s="555">
        <f t="shared" ref="ED5" si="36">BV5</f>
        <v>46357</v>
      </c>
    </row>
    <row r="6" spans="1:135" ht="15.75" thickTop="1" x14ac:dyDescent="0.25">
      <c r="A6" s="566" t="s">
        <v>11</v>
      </c>
      <c r="B6" s="565" t="s">
        <v>389</v>
      </c>
      <c r="C6" s="565" t="s">
        <v>392</v>
      </c>
      <c r="D6" s="565" t="s">
        <v>388</v>
      </c>
      <c r="E6" s="596">
        <v>11691</v>
      </c>
      <c r="F6" s="567">
        <v>43991</v>
      </c>
      <c r="G6" s="111" t="s">
        <v>58</v>
      </c>
      <c r="H6" s="111" t="s">
        <v>54</v>
      </c>
      <c r="I6" s="111" t="s">
        <v>649</v>
      </c>
      <c r="J6" s="674">
        <v>43983</v>
      </c>
      <c r="K6" s="111">
        <v>1</v>
      </c>
      <c r="L6" s="111" t="s">
        <v>40</v>
      </c>
      <c r="M6" s="111" t="s">
        <v>3</v>
      </c>
      <c r="N6" s="597" t="s">
        <v>44</v>
      </c>
      <c r="O6" s="610"/>
      <c r="P6" s="611"/>
      <c r="Q6" s="611"/>
      <c r="R6" s="611"/>
      <c r="S6" s="611"/>
      <c r="T6" s="611"/>
      <c r="U6" s="611"/>
      <c r="V6" s="611"/>
      <c r="W6" s="611"/>
      <c r="X6" s="611"/>
      <c r="Y6" s="611"/>
      <c r="Z6" s="612"/>
      <c r="AA6" s="613">
        <v>-18.75</v>
      </c>
      <c r="AB6" s="611">
        <v>-18.75</v>
      </c>
      <c r="AC6" s="611">
        <v>-18.75</v>
      </c>
      <c r="AD6" s="611">
        <v>-18.75</v>
      </c>
      <c r="AE6" s="611">
        <v>-18.75</v>
      </c>
      <c r="AF6" s="611">
        <v>-18.75</v>
      </c>
      <c r="AG6" s="611">
        <v>-18.75</v>
      </c>
      <c r="AH6" s="611">
        <v>-18.75</v>
      </c>
      <c r="AI6" s="611">
        <v>-18.75</v>
      </c>
      <c r="AJ6" s="611">
        <v>-18.75</v>
      </c>
      <c r="AK6" s="611">
        <v>-18.75</v>
      </c>
      <c r="AL6" s="612">
        <v>-18.75</v>
      </c>
      <c r="AM6" s="613"/>
      <c r="AN6" s="611"/>
      <c r="AO6" s="611"/>
      <c r="AP6" s="611"/>
      <c r="AQ6" s="611"/>
      <c r="AR6" s="611"/>
      <c r="AS6" s="611"/>
      <c r="AT6" s="611"/>
      <c r="AU6" s="611"/>
      <c r="AV6" s="611"/>
      <c r="AW6" s="611"/>
      <c r="AX6" s="612"/>
      <c r="AY6" s="613"/>
      <c r="AZ6" s="611"/>
      <c r="BA6" s="611"/>
      <c r="BB6" s="611"/>
      <c r="BC6" s="611"/>
      <c r="BD6" s="611"/>
      <c r="BE6" s="611"/>
      <c r="BF6" s="611"/>
      <c r="BG6" s="611"/>
      <c r="BH6" s="611"/>
      <c r="BI6" s="611"/>
      <c r="BJ6" s="612"/>
      <c r="BK6" s="613"/>
      <c r="BL6" s="611"/>
      <c r="BM6" s="611"/>
      <c r="BN6" s="611"/>
      <c r="BO6" s="611"/>
      <c r="BP6" s="611"/>
      <c r="BQ6" s="611"/>
      <c r="BR6" s="611"/>
      <c r="BS6" s="611"/>
      <c r="BT6" s="611"/>
      <c r="BU6" s="611"/>
      <c r="BV6" s="614"/>
      <c r="BW6" s="610"/>
      <c r="BX6" s="611"/>
      <c r="BY6" s="611"/>
      <c r="BZ6" s="611"/>
      <c r="CA6" s="611"/>
      <c r="CB6" s="611"/>
      <c r="CC6" s="611"/>
      <c r="CD6" s="611"/>
      <c r="CE6" s="611"/>
      <c r="CF6" s="611"/>
      <c r="CG6" s="611"/>
      <c r="CH6" s="612"/>
      <c r="CI6" s="613">
        <v>182.57269591821751</v>
      </c>
      <c r="CJ6" s="611">
        <v>182.57269591821751</v>
      </c>
      <c r="CK6" s="611">
        <v>182.57269591821751</v>
      </c>
      <c r="CL6" s="611">
        <v>182.57269591821751</v>
      </c>
      <c r="CM6" s="611">
        <v>182.57269591821751</v>
      </c>
      <c r="CN6" s="611">
        <v>182.57269591821751</v>
      </c>
      <c r="CO6" s="611">
        <v>182.57269591821751</v>
      </c>
      <c r="CP6" s="611">
        <v>182.57269591821751</v>
      </c>
      <c r="CQ6" s="611">
        <v>182.57269591821751</v>
      </c>
      <c r="CR6" s="611">
        <v>182.57269591821751</v>
      </c>
      <c r="CS6" s="611">
        <v>182.57269591821751</v>
      </c>
      <c r="CT6" s="612">
        <v>182.57269591821751</v>
      </c>
      <c r="CU6" s="613"/>
      <c r="CV6" s="611"/>
      <c r="CW6" s="611"/>
      <c r="CX6" s="611"/>
      <c r="CY6" s="611"/>
      <c r="CZ6" s="611"/>
      <c r="DA6" s="611"/>
      <c r="DB6" s="611"/>
      <c r="DC6" s="611"/>
      <c r="DD6" s="611"/>
      <c r="DE6" s="611"/>
      <c r="DF6" s="612"/>
      <c r="DG6" s="613"/>
      <c r="DH6" s="611"/>
      <c r="DI6" s="611"/>
      <c r="DJ6" s="611"/>
      <c r="DK6" s="611"/>
      <c r="DL6" s="611"/>
      <c r="DM6" s="611"/>
      <c r="DN6" s="611"/>
      <c r="DO6" s="611"/>
      <c r="DP6" s="611"/>
      <c r="DQ6" s="611"/>
      <c r="DR6" s="612"/>
      <c r="DS6" s="613"/>
      <c r="DT6" s="611"/>
      <c r="DU6" s="611"/>
      <c r="DV6" s="611"/>
      <c r="DW6" s="611"/>
      <c r="DX6" s="611"/>
      <c r="DY6" s="611"/>
      <c r="DZ6" s="611"/>
      <c r="EA6" s="611"/>
      <c r="EB6" s="611"/>
      <c r="EC6" s="611"/>
      <c r="ED6" s="614"/>
      <c r="EE6" s="692"/>
    </row>
    <row r="7" spans="1:135" x14ac:dyDescent="0.25">
      <c r="A7" s="640" t="s">
        <v>11</v>
      </c>
      <c r="B7" s="367" t="s">
        <v>391</v>
      </c>
      <c r="C7" s="367" t="s">
        <v>393</v>
      </c>
      <c r="D7" s="367" t="s">
        <v>390</v>
      </c>
      <c r="E7" s="503">
        <v>11689</v>
      </c>
      <c r="F7" s="570">
        <v>44012</v>
      </c>
      <c r="G7" s="85" t="s">
        <v>58</v>
      </c>
      <c r="H7" s="85" t="s">
        <v>54</v>
      </c>
      <c r="I7" s="85" t="s">
        <v>649</v>
      </c>
      <c r="J7" s="675">
        <v>44013</v>
      </c>
      <c r="K7" s="85">
        <v>1</v>
      </c>
      <c r="L7" s="85" t="s">
        <v>40</v>
      </c>
      <c r="M7" s="85" t="s">
        <v>3</v>
      </c>
      <c r="N7" s="668" t="s">
        <v>44</v>
      </c>
      <c r="O7" s="669">
        <v>-5.0999999999999996</v>
      </c>
      <c r="P7" s="615">
        <v>-5.0999999999999996</v>
      </c>
      <c r="Q7" s="615">
        <v>-5.0999999999999996</v>
      </c>
      <c r="R7" s="615">
        <v>-5.0999999999999996</v>
      </c>
      <c r="S7" s="615">
        <v>-5.0999999999999996</v>
      </c>
      <c r="T7" s="615">
        <v>-5.0999999999999996</v>
      </c>
      <c r="U7" s="615">
        <v>-5.0999999999999996</v>
      </c>
      <c r="V7" s="615">
        <v>-5.0999999999999996</v>
      </c>
      <c r="W7" s="615">
        <v>-5.0999999999999996</v>
      </c>
      <c r="X7" s="615">
        <v>-5.0999999999999996</v>
      </c>
      <c r="Y7" s="615">
        <v>-5.0999999999999996</v>
      </c>
      <c r="Z7" s="635">
        <v>-5.0999999999999996</v>
      </c>
      <c r="AA7" s="636"/>
      <c r="AB7" s="615"/>
      <c r="AC7" s="615"/>
      <c r="AD7" s="615"/>
      <c r="AE7" s="615"/>
      <c r="AF7" s="615"/>
      <c r="AG7" s="615"/>
      <c r="AH7" s="615"/>
      <c r="AI7" s="615"/>
      <c r="AJ7" s="615"/>
      <c r="AK7" s="615"/>
      <c r="AL7" s="635"/>
      <c r="AM7" s="636"/>
      <c r="AN7" s="615"/>
      <c r="AO7" s="615"/>
      <c r="AP7" s="615"/>
      <c r="AQ7" s="615"/>
      <c r="AR7" s="615"/>
      <c r="AS7" s="615"/>
      <c r="AT7" s="615"/>
      <c r="AU7" s="615"/>
      <c r="AV7" s="615"/>
      <c r="AW7" s="615"/>
      <c r="AX7" s="635"/>
      <c r="AY7" s="636"/>
      <c r="AZ7" s="615"/>
      <c r="BA7" s="615"/>
      <c r="BB7" s="615"/>
      <c r="BC7" s="615"/>
      <c r="BD7" s="615"/>
      <c r="BE7" s="615"/>
      <c r="BF7" s="615"/>
      <c r="BG7" s="615"/>
      <c r="BH7" s="615"/>
      <c r="BI7" s="615"/>
      <c r="BJ7" s="635"/>
      <c r="BK7" s="636"/>
      <c r="BL7" s="615"/>
      <c r="BM7" s="615"/>
      <c r="BN7" s="615"/>
      <c r="BO7" s="615"/>
      <c r="BP7" s="615"/>
      <c r="BQ7" s="615"/>
      <c r="BR7" s="615"/>
      <c r="BS7" s="615"/>
      <c r="BT7" s="615"/>
      <c r="BU7" s="615"/>
      <c r="BV7" s="637"/>
      <c r="BW7" s="669">
        <v>179.27582593804104</v>
      </c>
      <c r="BX7" s="615">
        <v>179.27582593804104</v>
      </c>
      <c r="BY7" s="615">
        <v>179.27582593804104</v>
      </c>
      <c r="BZ7" s="615">
        <v>179.27582593804104</v>
      </c>
      <c r="CA7" s="615">
        <v>179.27582593804104</v>
      </c>
      <c r="CB7" s="615">
        <v>179.27582593804104</v>
      </c>
      <c r="CC7" s="615">
        <v>179.27582593804104</v>
      </c>
      <c r="CD7" s="615">
        <v>179.27582593804104</v>
      </c>
      <c r="CE7" s="615">
        <v>179.27582593804104</v>
      </c>
      <c r="CF7" s="615">
        <v>179.27582593804104</v>
      </c>
      <c r="CG7" s="615">
        <v>179.27582593804104</v>
      </c>
      <c r="CH7" s="635">
        <v>179.27582593804104</v>
      </c>
      <c r="CI7" s="636"/>
      <c r="CJ7" s="615"/>
      <c r="CK7" s="615"/>
      <c r="CL7" s="615"/>
      <c r="CM7" s="615"/>
      <c r="CN7" s="615"/>
      <c r="CO7" s="615"/>
      <c r="CP7" s="615"/>
      <c r="CQ7" s="615"/>
      <c r="CR7" s="615"/>
      <c r="CS7" s="615"/>
      <c r="CT7" s="635"/>
      <c r="CU7" s="636"/>
      <c r="CV7" s="615"/>
      <c r="CW7" s="615"/>
      <c r="CX7" s="615"/>
      <c r="CY7" s="615"/>
      <c r="CZ7" s="615"/>
      <c r="DA7" s="615"/>
      <c r="DB7" s="615"/>
      <c r="DC7" s="615"/>
      <c r="DD7" s="615"/>
      <c r="DE7" s="615"/>
      <c r="DF7" s="635"/>
      <c r="DG7" s="636"/>
      <c r="DH7" s="615"/>
      <c r="DI7" s="615"/>
      <c r="DJ7" s="615"/>
      <c r="DK7" s="615"/>
      <c r="DL7" s="615"/>
      <c r="DM7" s="615"/>
      <c r="DN7" s="615"/>
      <c r="DO7" s="615"/>
      <c r="DP7" s="615"/>
      <c r="DQ7" s="615"/>
      <c r="DR7" s="635"/>
      <c r="DS7" s="636"/>
      <c r="DT7" s="615"/>
      <c r="DU7" s="615"/>
      <c r="DV7" s="615"/>
      <c r="DW7" s="615"/>
      <c r="DX7" s="615"/>
      <c r="DY7" s="615"/>
      <c r="DZ7" s="615"/>
      <c r="EA7" s="615"/>
      <c r="EB7" s="615"/>
      <c r="EC7" s="615"/>
      <c r="ED7" s="637"/>
      <c r="EE7" s="692"/>
    </row>
    <row r="8" spans="1:135" x14ac:dyDescent="0.25">
      <c r="A8" s="640" t="s">
        <v>11</v>
      </c>
      <c r="B8" s="367" t="s">
        <v>460</v>
      </c>
      <c r="C8" s="367" t="s">
        <v>405</v>
      </c>
      <c r="D8" s="367" t="s">
        <v>462</v>
      </c>
      <c r="E8" s="503" t="s">
        <v>463</v>
      </c>
      <c r="F8" s="570">
        <v>44187</v>
      </c>
      <c r="G8" s="85" t="s">
        <v>58</v>
      </c>
      <c r="H8" s="85" t="s">
        <v>54</v>
      </c>
      <c r="I8" s="85" t="s">
        <v>649</v>
      </c>
      <c r="J8" s="675">
        <v>44186</v>
      </c>
      <c r="K8" s="85">
        <v>1</v>
      </c>
      <c r="L8" s="85" t="s">
        <v>40</v>
      </c>
      <c r="M8" s="85" t="s">
        <v>3</v>
      </c>
      <c r="N8" s="668" t="s">
        <v>44</v>
      </c>
      <c r="O8" s="669">
        <v>-6.12</v>
      </c>
      <c r="P8" s="615">
        <v>-6.12</v>
      </c>
      <c r="Q8" s="615">
        <v>-6.12</v>
      </c>
      <c r="R8" s="615">
        <v>-6.12</v>
      </c>
      <c r="S8" s="615">
        <v>-6.12</v>
      </c>
      <c r="T8" s="615">
        <v>-6.12</v>
      </c>
      <c r="U8" s="615">
        <v>-6.12</v>
      </c>
      <c r="V8" s="615">
        <v>-6.12</v>
      </c>
      <c r="W8" s="615">
        <v>-6.12</v>
      </c>
      <c r="X8" s="615">
        <v>-6.12</v>
      </c>
      <c r="Y8" s="615">
        <v>-6.12</v>
      </c>
      <c r="Z8" s="635">
        <v>-6.12</v>
      </c>
      <c r="AA8" s="636"/>
      <c r="AB8" s="615"/>
      <c r="AC8" s="615"/>
      <c r="AD8" s="615"/>
      <c r="AE8" s="615"/>
      <c r="AF8" s="615"/>
      <c r="AG8" s="615"/>
      <c r="AH8" s="615"/>
      <c r="AI8" s="615"/>
      <c r="AJ8" s="615"/>
      <c r="AK8" s="615"/>
      <c r="AL8" s="635"/>
      <c r="AM8" s="636"/>
      <c r="AN8" s="615"/>
      <c r="AO8" s="615"/>
      <c r="AP8" s="615"/>
      <c r="AQ8" s="615"/>
      <c r="AR8" s="615"/>
      <c r="AS8" s="615"/>
      <c r="AT8" s="615"/>
      <c r="AU8" s="615"/>
      <c r="AV8" s="615"/>
      <c r="AW8" s="615"/>
      <c r="AX8" s="635"/>
      <c r="AY8" s="636"/>
      <c r="AZ8" s="615"/>
      <c r="BA8" s="615"/>
      <c r="BB8" s="615"/>
      <c r="BC8" s="615"/>
      <c r="BD8" s="615"/>
      <c r="BE8" s="615"/>
      <c r="BF8" s="615"/>
      <c r="BG8" s="615"/>
      <c r="BH8" s="615"/>
      <c r="BI8" s="615"/>
      <c r="BJ8" s="635"/>
      <c r="BK8" s="636"/>
      <c r="BL8" s="615"/>
      <c r="BM8" s="615"/>
      <c r="BN8" s="615"/>
      <c r="BO8" s="615"/>
      <c r="BP8" s="615"/>
      <c r="BQ8" s="615"/>
      <c r="BR8" s="615"/>
      <c r="BS8" s="615"/>
      <c r="BT8" s="615"/>
      <c r="BU8" s="615"/>
      <c r="BV8" s="637"/>
      <c r="BW8" s="669">
        <v>209.70806996055788</v>
      </c>
      <c r="BX8" s="615">
        <v>209.70806996055788</v>
      </c>
      <c r="BY8" s="615">
        <v>209.70806996055788</v>
      </c>
      <c r="BZ8" s="615">
        <v>209.70806996055788</v>
      </c>
      <c r="CA8" s="615">
        <v>209.70806996055788</v>
      </c>
      <c r="CB8" s="615">
        <v>209.70806996055788</v>
      </c>
      <c r="CC8" s="615">
        <v>209.70806996055788</v>
      </c>
      <c r="CD8" s="615">
        <v>209.70806996055788</v>
      </c>
      <c r="CE8" s="615">
        <v>209.70806996055788</v>
      </c>
      <c r="CF8" s="615">
        <v>209.70806996055788</v>
      </c>
      <c r="CG8" s="615">
        <v>209.70806996055788</v>
      </c>
      <c r="CH8" s="635">
        <v>209.70806996055788</v>
      </c>
      <c r="CI8" s="636"/>
      <c r="CJ8" s="615"/>
      <c r="CK8" s="615"/>
      <c r="CL8" s="615"/>
      <c r="CM8" s="615"/>
      <c r="CN8" s="615"/>
      <c r="CO8" s="615"/>
      <c r="CP8" s="615"/>
      <c r="CQ8" s="615"/>
      <c r="CR8" s="615"/>
      <c r="CS8" s="615"/>
      <c r="CT8" s="635"/>
      <c r="CU8" s="636"/>
      <c r="CV8" s="615"/>
      <c r="CW8" s="615"/>
      <c r="CX8" s="615"/>
      <c r="CY8" s="615"/>
      <c r="CZ8" s="615"/>
      <c r="DA8" s="615"/>
      <c r="DB8" s="615"/>
      <c r="DC8" s="615"/>
      <c r="DD8" s="615"/>
      <c r="DE8" s="615"/>
      <c r="DF8" s="635"/>
      <c r="DG8" s="636"/>
      <c r="DH8" s="615"/>
      <c r="DI8" s="615"/>
      <c r="DJ8" s="615"/>
      <c r="DK8" s="615"/>
      <c r="DL8" s="615"/>
      <c r="DM8" s="615"/>
      <c r="DN8" s="615"/>
      <c r="DO8" s="615"/>
      <c r="DP8" s="615"/>
      <c r="DQ8" s="615"/>
      <c r="DR8" s="635"/>
      <c r="DS8" s="636"/>
      <c r="DT8" s="615"/>
      <c r="DU8" s="615"/>
      <c r="DV8" s="615"/>
      <c r="DW8" s="615"/>
      <c r="DX8" s="615"/>
      <c r="DY8" s="615"/>
      <c r="DZ8" s="615"/>
      <c r="EA8" s="615"/>
      <c r="EB8" s="615"/>
      <c r="EC8" s="615"/>
      <c r="ED8" s="637"/>
      <c r="EE8" s="692"/>
    </row>
    <row r="9" spans="1:135" x14ac:dyDescent="0.25">
      <c r="A9" s="640" t="s">
        <v>11</v>
      </c>
      <c r="B9" s="367" t="s">
        <v>660</v>
      </c>
      <c r="C9" s="367" t="s">
        <v>503</v>
      </c>
      <c r="D9" s="367" t="s">
        <v>659</v>
      </c>
      <c r="E9" s="503">
        <v>18233</v>
      </c>
      <c r="F9" s="570">
        <v>44371</v>
      </c>
      <c r="G9" s="85" t="s">
        <v>59</v>
      </c>
      <c r="H9" s="85" t="s">
        <v>54</v>
      </c>
      <c r="I9" s="85" t="s">
        <v>649</v>
      </c>
      <c r="J9" s="675">
        <v>44348</v>
      </c>
      <c r="K9" s="85">
        <v>1</v>
      </c>
      <c r="L9" s="85" t="s">
        <v>534</v>
      </c>
      <c r="M9" s="85" t="s">
        <v>3</v>
      </c>
      <c r="N9" s="668" t="s">
        <v>13</v>
      </c>
      <c r="O9" s="669">
        <v>8</v>
      </c>
      <c r="P9" s="615">
        <v>8</v>
      </c>
      <c r="Q9" s="615">
        <v>8</v>
      </c>
      <c r="R9" s="615">
        <v>8</v>
      </c>
      <c r="S9" s="615">
        <v>8</v>
      </c>
      <c r="T9" s="615">
        <v>8</v>
      </c>
      <c r="U9" s="615">
        <v>8</v>
      </c>
      <c r="V9" s="615">
        <v>8</v>
      </c>
      <c r="W9" s="615">
        <v>8</v>
      </c>
      <c r="X9" s="615">
        <v>8</v>
      </c>
      <c r="Y9" s="615">
        <v>8</v>
      </c>
      <c r="Z9" s="635">
        <v>8</v>
      </c>
      <c r="AA9" s="636"/>
      <c r="AB9" s="615"/>
      <c r="AC9" s="615"/>
      <c r="AD9" s="615"/>
      <c r="AE9" s="615"/>
      <c r="AF9" s="615"/>
      <c r="AG9" s="615"/>
      <c r="AH9" s="615"/>
      <c r="AI9" s="615"/>
      <c r="AJ9" s="615"/>
      <c r="AK9" s="615"/>
      <c r="AL9" s="635"/>
      <c r="AM9" s="636"/>
      <c r="AN9" s="615"/>
      <c r="AO9" s="615"/>
      <c r="AP9" s="615"/>
      <c r="AQ9" s="615"/>
      <c r="AR9" s="615"/>
      <c r="AS9" s="615"/>
      <c r="AT9" s="615"/>
      <c r="AU9" s="615"/>
      <c r="AV9" s="615"/>
      <c r="AW9" s="615"/>
      <c r="AX9" s="635"/>
      <c r="AY9" s="636"/>
      <c r="AZ9" s="615"/>
      <c r="BA9" s="615"/>
      <c r="BB9" s="615"/>
      <c r="BC9" s="615"/>
      <c r="BD9" s="615"/>
      <c r="BE9" s="615"/>
      <c r="BF9" s="615"/>
      <c r="BG9" s="615"/>
      <c r="BH9" s="615"/>
      <c r="BI9" s="615"/>
      <c r="BJ9" s="635"/>
      <c r="BK9" s="636"/>
      <c r="BL9" s="615"/>
      <c r="BM9" s="615"/>
      <c r="BN9" s="615"/>
      <c r="BO9" s="615"/>
      <c r="BP9" s="615"/>
      <c r="BQ9" s="615"/>
      <c r="BR9" s="615"/>
      <c r="BS9" s="615"/>
      <c r="BT9" s="615"/>
      <c r="BU9" s="615"/>
      <c r="BV9" s="637"/>
      <c r="BW9" s="669">
        <v>325.21869272209017</v>
      </c>
      <c r="BX9" s="615">
        <v>325.21869272209017</v>
      </c>
      <c r="BY9" s="615">
        <v>325.21869272209017</v>
      </c>
      <c r="BZ9" s="615">
        <v>325.21869272209017</v>
      </c>
      <c r="CA9" s="615">
        <v>325.21869272209017</v>
      </c>
      <c r="CB9" s="615">
        <v>325.21869272209017</v>
      </c>
      <c r="CC9" s="615">
        <v>325.21869272209017</v>
      </c>
      <c r="CD9" s="615">
        <v>325.21869272209017</v>
      </c>
      <c r="CE9" s="615">
        <v>325.21869272209017</v>
      </c>
      <c r="CF9" s="615">
        <v>325.21869272209017</v>
      </c>
      <c r="CG9" s="615">
        <v>325.21869272209017</v>
      </c>
      <c r="CH9" s="635">
        <v>325.21869272209017</v>
      </c>
      <c r="CI9" s="636"/>
      <c r="CJ9" s="615"/>
      <c r="CK9" s="615"/>
      <c r="CL9" s="615"/>
      <c r="CM9" s="615"/>
      <c r="CN9" s="615"/>
      <c r="CO9" s="615"/>
      <c r="CP9" s="615"/>
      <c r="CQ9" s="615"/>
      <c r="CR9" s="615"/>
      <c r="CS9" s="615"/>
      <c r="CT9" s="635"/>
      <c r="CU9" s="636"/>
      <c r="CV9" s="615"/>
      <c r="CW9" s="615"/>
      <c r="CX9" s="615"/>
      <c r="CY9" s="615"/>
      <c r="CZ9" s="615"/>
      <c r="DA9" s="615"/>
      <c r="DB9" s="615"/>
      <c r="DC9" s="615"/>
      <c r="DD9" s="615"/>
      <c r="DE9" s="615"/>
      <c r="DF9" s="635"/>
      <c r="DG9" s="636"/>
      <c r="DH9" s="615"/>
      <c r="DI9" s="615"/>
      <c r="DJ9" s="615"/>
      <c r="DK9" s="615"/>
      <c r="DL9" s="615"/>
      <c r="DM9" s="615"/>
      <c r="DN9" s="615"/>
      <c r="DO9" s="615"/>
      <c r="DP9" s="615"/>
      <c r="DQ9" s="615"/>
      <c r="DR9" s="635"/>
      <c r="DS9" s="636"/>
      <c r="DT9" s="615"/>
      <c r="DU9" s="615"/>
      <c r="DV9" s="615"/>
      <c r="DW9" s="615"/>
      <c r="DX9" s="615"/>
      <c r="DY9" s="615"/>
      <c r="DZ9" s="615"/>
      <c r="EA9" s="615"/>
      <c r="EB9" s="615"/>
      <c r="EC9" s="615"/>
      <c r="ED9" s="637"/>
      <c r="EE9" s="692"/>
    </row>
    <row r="10" spans="1:135" x14ac:dyDescent="0.25">
      <c r="A10" s="640" t="s">
        <v>11</v>
      </c>
      <c r="B10" s="367" t="s">
        <v>662</v>
      </c>
      <c r="C10" s="367" t="s">
        <v>472</v>
      </c>
      <c r="D10" s="367" t="s">
        <v>661</v>
      </c>
      <c r="E10" s="503">
        <v>18235</v>
      </c>
      <c r="F10" s="570">
        <v>44371</v>
      </c>
      <c r="G10" s="85" t="s">
        <v>59</v>
      </c>
      <c r="H10" s="85" t="s">
        <v>54</v>
      </c>
      <c r="I10" s="85" t="s">
        <v>649</v>
      </c>
      <c r="J10" s="675">
        <v>44348</v>
      </c>
      <c r="K10" s="85">
        <v>1</v>
      </c>
      <c r="L10" s="85" t="s">
        <v>534</v>
      </c>
      <c r="M10" s="85" t="s">
        <v>3</v>
      </c>
      <c r="N10" s="668" t="s">
        <v>13</v>
      </c>
      <c r="O10" s="669">
        <v>4</v>
      </c>
      <c r="P10" s="615">
        <v>4</v>
      </c>
      <c r="Q10" s="615">
        <v>4</v>
      </c>
      <c r="R10" s="615">
        <v>4</v>
      </c>
      <c r="S10" s="615">
        <v>4</v>
      </c>
      <c r="T10" s="615">
        <v>4</v>
      </c>
      <c r="U10" s="615">
        <v>4</v>
      </c>
      <c r="V10" s="615">
        <v>4</v>
      </c>
      <c r="W10" s="615">
        <v>4</v>
      </c>
      <c r="X10" s="615">
        <v>4</v>
      </c>
      <c r="Y10" s="615">
        <v>4</v>
      </c>
      <c r="Z10" s="635">
        <v>4</v>
      </c>
      <c r="AA10" s="636"/>
      <c r="AB10" s="615"/>
      <c r="AC10" s="615"/>
      <c r="AD10" s="615"/>
      <c r="AE10" s="615"/>
      <c r="AF10" s="615"/>
      <c r="AG10" s="615"/>
      <c r="AH10" s="615"/>
      <c r="AI10" s="615"/>
      <c r="AJ10" s="615"/>
      <c r="AK10" s="615"/>
      <c r="AL10" s="635"/>
      <c r="AM10" s="636"/>
      <c r="AN10" s="615"/>
      <c r="AO10" s="615"/>
      <c r="AP10" s="615"/>
      <c r="AQ10" s="615"/>
      <c r="AR10" s="615"/>
      <c r="AS10" s="615"/>
      <c r="AT10" s="615"/>
      <c r="AU10" s="615"/>
      <c r="AV10" s="615"/>
      <c r="AW10" s="615"/>
      <c r="AX10" s="635"/>
      <c r="AY10" s="636"/>
      <c r="AZ10" s="615"/>
      <c r="BA10" s="615"/>
      <c r="BB10" s="615"/>
      <c r="BC10" s="615"/>
      <c r="BD10" s="615"/>
      <c r="BE10" s="615"/>
      <c r="BF10" s="615"/>
      <c r="BG10" s="615"/>
      <c r="BH10" s="615"/>
      <c r="BI10" s="615"/>
      <c r="BJ10" s="635"/>
      <c r="BK10" s="636"/>
      <c r="BL10" s="615"/>
      <c r="BM10" s="615"/>
      <c r="BN10" s="615"/>
      <c r="BO10" s="615"/>
      <c r="BP10" s="615"/>
      <c r="BQ10" s="615"/>
      <c r="BR10" s="615"/>
      <c r="BS10" s="615"/>
      <c r="BT10" s="615"/>
      <c r="BU10" s="615"/>
      <c r="BV10" s="637"/>
      <c r="BW10" s="669">
        <v>325.21869272209017</v>
      </c>
      <c r="BX10" s="615">
        <v>325.21869272209017</v>
      </c>
      <c r="BY10" s="615">
        <v>325.21869272209017</v>
      </c>
      <c r="BZ10" s="615">
        <v>325.21869272209017</v>
      </c>
      <c r="CA10" s="615">
        <v>325.21869272209017</v>
      </c>
      <c r="CB10" s="615">
        <v>325.21869272209017</v>
      </c>
      <c r="CC10" s="615">
        <v>325.21869272209017</v>
      </c>
      <c r="CD10" s="615">
        <v>325.21869272209017</v>
      </c>
      <c r="CE10" s="615">
        <v>325.21869272209017</v>
      </c>
      <c r="CF10" s="615">
        <v>325.21869272209017</v>
      </c>
      <c r="CG10" s="615">
        <v>325.21869272209017</v>
      </c>
      <c r="CH10" s="635">
        <v>325.21869272209017</v>
      </c>
      <c r="CI10" s="636"/>
      <c r="CJ10" s="615"/>
      <c r="CK10" s="615"/>
      <c r="CL10" s="615"/>
      <c r="CM10" s="615"/>
      <c r="CN10" s="615"/>
      <c r="CO10" s="615"/>
      <c r="CP10" s="615"/>
      <c r="CQ10" s="615"/>
      <c r="CR10" s="615"/>
      <c r="CS10" s="615"/>
      <c r="CT10" s="635"/>
      <c r="CU10" s="636"/>
      <c r="CV10" s="615"/>
      <c r="CW10" s="615"/>
      <c r="CX10" s="615"/>
      <c r="CY10" s="615"/>
      <c r="CZ10" s="615"/>
      <c r="DA10" s="615"/>
      <c r="DB10" s="615"/>
      <c r="DC10" s="615"/>
      <c r="DD10" s="615"/>
      <c r="DE10" s="615"/>
      <c r="DF10" s="635"/>
      <c r="DG10" s="636"/>
      <c r="DH10" s="615"/>
      <c r="DI10" s="615"/>
      <c r="DJ10" s="615"/>
      <c r="DK10" s="615"/>
      <c r="DL10" s="615"/>
      <c r="DM10" s="615"/>
      <c r="DN10" s="615"/>
      <c r="DO10" s="615"/>
      <c r="DP10" s="615"/>
      <c r="DQ10" s="615"/>
      <c r="DR10" s="635"/>
      <c r="DS10" s="636"/>
      <c r="DT10" s="615"/>
      <c r="DU10" s="615"/>
      <c r="DV10" s="615"/>
      <c r="DW10" s="615"/>
      <c r="DX10" s="615"/>
      <c r="DY10" s="615"/>
      <c r="DZ10" s="615"/>
      <c r="EA10" s="615"/>
      <c r="EB10" s="615"/>
      <c r="EC10" s="615"/>
      <c r="ED10" s="637"/>
      <c r="EE10" s="692"/>
    </row>
    <row r="11" spans="1:135" x14ac:dyDescent="0.25">
      <c r="A11" s="640" t="s">
        <v>11</v>
      </c>
      <c r="B11" s="367" t="s">
        <v>664</v>
      </c>
      <c r="C11" s="367" t="s">
        <v>465</v>
      </c>
      <c r="D11" s="367" t="s">
        <v>663</v>
      </c>
      <c r="E11" s="503">
        <v>17252</v>
      </c>
      <c r="F11" s="570">
        <v>44371</v>
      </c>
      <c r="G11" s="85" t="s">
        <v>59</v>
      </c>
      <c r="H11" s="85" t="s">
        <v>54</v>
      </c>
      <c r="I11" s="85" t="s">
        <v>649</v>
      </c>
      <c r="J11" s="675">
        <v>44348</v>
      </c>
      <c r="K11" s="85">
        <v>1</v>
      </c>
      <c r="L11" s="85" t="s">
        <v>534</v>
      </c>
      <c r="M11" s="85" t="s">
        <v>3</v>
      </c>
      <c r="N11" s="668" t="s">
        <v>13</v>
      </c>
      <c r="O11" s="669">
        <v>8</v>
      </c>
      <c r="P11" s="615">
        <v>8</v>
      </c>
      <c r="Q11" s="615">
        <v>8</v>
      </c>
      <c r="R11" s="615">
        <v>8</v>
      </c>
      <c r="S11" s="615">
        <v>8</v>
      </c>
      <c r="T11" s="615">
        <v>8</v>
      </c>
      <c r="U11" s="615">
        <v>8</v>
      </c>
      <c r="V11" s="615">
        <v>8</v>
      </c>
      <c r="W11" s="615">
        <v>8</v>
      </c>
      <c r="X11" s="615">
        <v>8</v>
      </c>
      <c r="Y11" s="615">
        <v>8</v>
      </c>
      <c r="Z11" s="635">
        <v>8</v>
      </c>
      <c r="AA11" s="636"/>
      <c r="AB11" s="615"/>
      <c r="AC11" s="615"/>
      <c r="AD11" s="615"/>
      <c r="AE11" s="615"/>
      <c r="AF11" s="615"/>
      <c r="AG11" s="615"/>
      <c r="AH11" s="615"/>
      <c r="AI11" s="615"/>
      <c r="AJ11" s="615"/>
      <c r="AK11" s="615"/>
      <c r="AL11" s="635"/>
      <c r="AM11" s="636"/>
      <c r="AN11" s="615"/>
      <c r="AO11" s="615"/>
      <c r="AP11" s="615"/>
      <c r="AQ11" s="615"/>
      <c r="AR11" s="615"/>
      <c r="AS11" s="615"/>
      <c r="AT11" s="615"/>
      <c r="AU11" s="615"/>
      <c r="AV11" s="615"/>
      <c r="AW11" s="615"/>
      <c r="AX11" s="635"/>
      <c r="AY11" s="636"/>
      <c r="AZ11" s="615"/>
      <c r="BA11" s="615"/>
      <c r="BB11" s="615"/>
      <c r="BC11" s="615"/>
      <c r="BD11" s="615"/>
      <c r="BE11" s="615"/>
      <c r="BF11" s="615"/>
      <c r="BG11" s="615"/>
      <c r="BH11" s="615"/>
      <c r="BI11" s="615"/>
      <c r="BJ11" s="635"/>
      <c r="BK11" s="636"/>
      <c r="BL11" s="615"/>
      <c r="BM11" s="615"/>
      <c r="BN11" s="615"/>
      <c r="BO11" s="615"/>
      <c r="BP11" s="615"/>
      <c r="BQ11" s="615"/>
      <c r="BR11" s="615"/>
      <c r="BS11" s="615"/>
      <c r="BT11" s="615"/>
      <c r="BU11" s="615"/>
      <c r="BV11" s="637"/>
      <c r="BW11" s="669">
        <v>327.35127431371046</v>
      </c>
      <c r="BX11" s="615">
        <v>327.35127431371046</v>
      </c>
      <c r="BY11" s="615">
        <v>327.35127431371046</v>
      </c>
      <c r="BZ11" s="615">
        <v>327.35127431371046</v>
      </c>
      <c r="CA11" s="615">
        <v>327.35127431371046</v>
      </c>
      <c r="CB11" s="615">
        <v>327.35127431371046</v>
      </c>
      <c r="CC11" s="615">
        <v>327.35127431371046</v>
      </c>
      <c r="CD11" s="615">
        <v>327.35127431371046</v>
      </c>
      <c r="CE11" s="615">
        <v>327.35127431371046</v>
      </c>
      <c r="CF11" s="615">
        <v>327.35127431371046</v>
      </c>
      <c r="CG11" s="615">
        <v>327.35127431371046</v>
      </c>
      <c r="CH11" s="635">
        <v>327.35127431371046</v>
      </c>
      <c r="CI11" s="636"/>
      <c r="CJ11" s="615"/>
      <c r="CK11" s="615"/>
      <c r="CL11" s="615"/>
      <c r="CM11" s="615"/>
      <c r="CN11" s="615"/>
      <c r="CO11" s="615"/>
      <c r="CP11" s="615"/>
      <c r="CQ11" s="615"/>
      <c r="CR11" s="615"/>
      <c r="CS11" s="615"/>
      <c r="CT11" s="635"/>
      <c r="CU11" s="636"/>
      <c r="CV11" s="615"/>
      <c r="CW11" s="615"/>
      <c r="CX11" s="615"/>
      <c r="CY11" s="615"/>
      <c r="CZ11" s="615"/>
      <c r="DA11" s="615"/>
      <c r="DB11" s="615"/>
      <c r="DC11" s="615"/>
      <c r="DD11" s="615"/>
      <c r="DE11" s="615"/>
      <c r="DF11" s="635"/>
      <c r="DG11" s="636"/>
      <c r="DH11" s="615"/>
      <c r="DI11" s="615"/>
      <c r="DJ11" s="615"/>
      <c r="DK11" s="615"/>
      <c r="DL11" s="615"/>
      <c r="DM11" s="615"/>
      <c r="DN11" s="615"/>
      <c r="DO11" s="615"/>
      <c r="DP11" s="615"/>
      <c r="DQ11" s="615"/>
      <c r="DR11" s="635"/>
      <c r="DS11" s="636"/>
      <c r="DT11" s="615"/>
      <c r="DU11" s="615"/>
      <c r="DV11" s="615"/>
      <c r="DW11" s="615"/>
      <c r="DX11" s="615"/>
      <c r="DY11" s="615"/>
      <c r="DZ11" s="615"/>
      <c r="EA11" s="615"/>
      <c r="EB11" s="615"/>
      <c r="EC11" s="615"/>
      <c r="ED11" s="637"/>
      <c r="EE11" s="692"/>
    </row>
    <row r="12" spans="1:135" x14ac:dyDescent="0.25">
      <c r="A12" s="640" t="s">
        <v>11</v>
      </c>
      <c r="B12" s="367" t="s">
        <v>666</v>
      </c>
      <c r="C12" s="367" t="s">
        <v>405</v>
      </c>
      <c r="D12" s="367" t="s">
        <v>665</v>
      </c>
      <c r="E12" s="503">
        <v>17976</v>
      </c>
      <c r="F12" s="570">
        <v>44371</v>
      </c>
      <c r="G12" s="85" t="s">
        <v>59</v>
      </c>
      <c r="H12" s="85" t="s">
        <v>54</v>
      </c>
      <c r="I12" s="85" t="s">
        <v>649</v>
      </c>
      <c r="J12" s="675">
        <v>44348</v>
      </c>
      <c r="K12" s="85">
        <v>1</v>
      </c>
      <c r="L12" s="85" t="s">
        <v>534</v>
      </c>
      <c r="M12" s="85" t="s">
        <v>3</v>
      </c>
      <c r="N12" s="668" t="s">
        <v>13</v>
      </c>
      <c r="O12" s="669">
        <v>20</v>
      </c>
      <c r="P12" s="615">
        <v>20</v>
      </c>
      <c r="Q12" s="615">
        <v>20</v>
      </c>
      <c r="R12" s="615">
        <v>20</v>
      </c>
      <c r="S12" s="615">
        <v>20</v>
      </c>
      <c r="T12" s="615">
        <v>20</v>
      </c>
      <c r="U12" s="615">
        <v>20</v>
      </c>
      <c r="V12" s="615">
        <v>20</v>
      </c>
      <c r="W12" s="615">
        <v>20</v>
      </c>
      <c r="X12" s="615">
        <v>20</v>
      </c>
      <c r="Y12" s="615">
        <v>20</v>
      </c>
      <c r="Z12" s="635">
        <v>20</v>
      </c>
      <c r="AA12" s="636"/>
      <c r="AB12" s="615"/>
      <c r="AC12" s="615"/>
      <c r="AD12" s="615"/>
      <c r="AE12" s="615"/>
      <c r="AF12" s="615"/>
      <c r="AG12" s="615"/>
      <c r="AH12" s="615"/>
      <c r="AI12" s="615"/>
      <c r="AJ12" s="615"/>
      <c r="AK12" s="615"/>
      <c r="AL12" s="635"/>
      <c r="AM12" s="636"/>
      <c r="AN12" s="615"/>
      <c r="AO12" s="615"/>
      <c r="AP12" s="615"/>
      <c r="AQ12" s="615"/>
      <c r="AR12" s="615"/>
      <c r="AS12" s="615"/>
      <c r="AT12" s="615"/>
      <c r="AU12" s="615"/>
      <c r="AV12" s="615"/>
      <c r="AW12" s="615"/>
      <c r="AX12" s="635"/>
      <c r="AY12" s="636"/>
      <c r="AZ12" s="615"/>
      <c r="BA12" s="615"/>
      <c r="BB12" s="615"/>
      <c r="BC12" s="615"/>
      <c r="BD12" s="615"/>
      <c r="BE12" s="615"/>
      <c r="BF12" s="615"/>
      <c r="BG12" s="615"/>
      <c r="BH12" s="615"/>
      <c r="BI12" s="615"/>
      <c r="BJ12" s="635"/>
      <c r="BK12" s="636"/>
      <c r="BL12" s="615"/>
      <c r="BM12" s="615"/>
      <c r="BN12" s="615"/>
      <c r="BO12" s="615"/>
      <c r="BP12" s="615"/>
      <c r="BQ12" s="615"/>
      <c r="BR12" s="615"/>
      <c r="BS12" s="615"/>
      <c r="BT12" s="615"/>
      <c r="BU12" s="615"/>
      <c r="BV12" s="637"/>
      <c r="BW12" s="669">
        <v>322.01982033465981</v>
      </c>
      <c r="BX12" s="615">
        <v>322.01982033465981</v>
      </c>
      <c r="BY12" s="615">
        <v>322.01982033465981</v>
      </c>
      <c r="BZ12" s="615">
        <v>322.01982033465981</v>
      </c>
      <c r="CA12" s="615">
        <v>322.01982033465981</v>
      </c>
      <c r="CB12" s="615">
        <v>322.01982033465981</v>
      </c>
      <c r="CC12" s="615">
        <v>322.01982033465981</v>
      </c>
      <c r="CD12" s="615">
        <v>322.01982033465981</v>
      </c>
      <c r="CE12" s="615">
        <v>322.01982033465981</v>
      </c>
      <c r="CF12" s="615">
        <v>322.01982033465981</v>
      </c>
      <c r="CG12" s="615">
        <v>322.01982033465981</v>
      </c>
      <c r="CH12" s="635">
        <v>322.01982033465981</v>
      </c>
      <c r="CI12" s="636"/>
      <c r="CJ12" s="615"/>
      <c r="CK12" s="615"/>
      <c r="CL12" s="615"/>
      <c r="CM12" s="615"/>
      <c r="CN12" s="615"/>
      <c r="CO12" s="615"/>
      <c r="CP12" s="615"/>
      <c r="CQ12" s="615"/>
      <c r="CR12" s="615"/>
      <c r="CS12" s="615"/>
      <c r="CT12" s="635"/>
      <c r="CU12" s="636"/>
      <c r="CV12" s="615"/>
      <c r="CW12" s="615"/>
      <c r="CX12" s="615"/>
      <c r="CY12" s="615"/>
      <c r="CZ12" s="615"/>
      <c r="DA12" s="615"/>
      <c r="DB12" s="615"/>
      <c r="DC12" s="615"/>
      <c r="DD12" s="615"/>
      <c r="DE12" s="615"/>
      <c r="DF12" s="635"/>
      <c r="DG12" s="636"/>
      <c r="DH12" s="615"/>
      <c r="DI12" s="615"/>
      <c r="DJ12" s="615"/>
      <c r="DK12" s="615"/>
      <c r="DL12" s="615"/>
      <c r="DM12" s="615"/>
      <c r="DN12" s="615"/>
      <c r="DO12" s="615"/>
      <c r="DP12" s="615"/>
      <c r="DQ12" s="615"/>
      <c r="DR12" s="635"/>
      <c r="DS12" s="636"/>
      <c r="DT12" s="615"/>
      <c r="DU12" s="615"/>
      <c r="DV12" s="615"/>
      <c r="DW12" s="615"/>
      <c r="DX12" s="615"/>
      <c r="DY12" s="615"/>
      <c r="DZ12" s="615"/>
      <c r="EA12" s="615"/>
      <c r="EB12" s="615"/>
      <c r="EC12" s="615"/>
      <c r="ED12" s="637"/>
      <c r="EE12" s="692"/>
    </row>
    <row r="13" spans="1:135" x14ac:dyDescent="0.25">
      <c r="A13" s="640" t="s">
        <v>11</v>
      </c>
      <c r="B13" s="367" t="s">
        <v>668</v>
      </c>
      <c r="C13" s="367" t="s">
        <v>357</v>
      </c>
      <c r="D13" s="367" t="s">
        <v>667</v>
      </c>
      <c r="E13" s="503">
        <v>17416</v>
      </c>
      <c r="F13" s="570">
        <v>44371</v>
      </c>
      <c r="G13" s="85" t="s">
        <v>59</v>
      </c>
      <c r="H13" s="85" t="s">
        <v>54</v>
      </c>
      <c r="I13" s="85" t="s">
        <v>649</v>
      </c>
      <c r="J13" s="675">
        <v>44348</v>
      </c>
      <c r="K13" s="85">
        <v>1</v>
      </c>
      <c r="L13" s="85" t="s">
        <v>534</v>
      </c>
      <c r="M13" s="85" t="s">
        <v>3</v>
      </c>
      <c r="N13" s="668" t="s">
        <v>13</v>
      </c>
      <c r="O13" s="669">
        <v>10</v>
      </c>
      <c r="P13" s="615">
        <v>10</v>
      </c>
      <c r="Q13" s="615">
        <v>10</v>
      </c>
      <c r="R13" s="615">
        <v>10</v>
      </c>
      <c r="S13" s="615">
        <v>10</v>
      </c>
      <c r="T13" s="615">
        <v>10</v>
      </c>
      <c r="U13" s="615">
        <v>10</v>
      </c>
      <c r="V13" s="615">
        <v>10</v>
      </c>
      <c r="W13" s="615">
        <v>10</v>
      </c>
      <c r="X13" s="615">
        <v>10</v>
      </c>
      <c r="Y13" s="615">
        <v>10</v>
      </c>
      <c r="Z13" s="635">
        <v>10</v>
      </c>
      <c r="AA13" s="636"/>
      <c r="AB13" s="615"/>
      <c r="AC13" s="615"/>
      <c r="AD13" s="615"/>
      <c r="AE13" s="615"/>
      <c r="AF13" s="615"/>
      <c r="AG13" s="615"/>
      <c r="AH13" s="615"/>
      <c r="AI13" s="615"/>
      <c r="AJ13" s="615"/>
      <c r="AK13" s="615"/>
      <c r="AL13" s="635"/>
      <c r="AM13" s="636"/>
      <c r="AN13" s="615"/>
      <c r="AO13" s="615"/>
      <c r="AP13" s="615"/>
      <c r="AQ13" s="615"/>
      <c r="AR13" s="615"/>
      <c r="AS13" s="615"/>
      <c r="AT13" s="615"/>
      <c r="AU13" s="615"/>
      <c r="AV13" s="615"/>
      <c r="AW13" s="615"/>
      <c r="AX13" s="635"/>
      <c r="AY13" s="636"/>
      <c r="AZ13" s="615"/>
      <c r="BA13" s="615"/>
      <c r="BB13" s="615"/>
      <c r="BC13" s="615"/>
      <c r="BD13" s="615"/>
      <c r="BE13" s="615"/>
      <c r="BF13" s="615"/>
      <c r="BG13" s="615"/>
      <c r="BH13" s="615"/>
      <c r="BI13" s="615"/>
      <c r="BJ13" s="635"/>
      <c r="BK13" s="636"/>
      <c r="BL13" s="615"/>
      <c r="BM13" s="615"/>
      <c r="BN13" s="615"/>
      <c r="BO13" s="615"/>
      <c r="BP13" s="615"/>
      <c r="BQ13" s="615"/>
      <c r="BR13" s="615"/>
      <c r="BS13" s="615"/>
      <c r="BT13" s="615"/>
      <c r="BU13" s="615"/>
      <c r="BV13" s="637"/>
      <c r="BW13" s="669">
        <v>325.21869272209017</v>
      </c>
      <c r="BX13" s="615">
        <v>325.21869272209017</v>
      </c>
      <c r="BY13" s="615">
        <v>325.21869272209017</v>
      </c>
      <c r="BZ13" s="615">
        <v>325.21869272209017</v>
      </c>
      <c r="CA13" s="615">
        <v>325.21869272209017</v>
      </c>
      <c r="CB13" s="615">
        <v>325.21869272209017</v>
      </c>
      <c r="CC13" s="615">
        <v>325.21869272209017</v>
      </c>
      <c r="CD13" s="615">
        <v>325.21869272209017</v>
      </c>
      <c r="CE13" s="615">
        <v>325.21869272209017</v>
      </c>
      <c r="CF13" s="615">
        <v>325.21869272209017</v>
      </c>
      <c r="CG13" s="615">
        <v>325.21869272209017</v>
      </c>
      <c r="CH13" s="635">
        <v>325.21869272209017</v>
      </c>
      <c r="CI13" s="636"/>
      <c r="CJ13" s="615"/>
      <c r="CK13" s="615"/>
      <c r="CL13" s="615"/>
      <c r="CM13" s="615"/>
      <c r="CN13" s="615"/>
      <c r="CO13" s="615"/>
      <c r="CP13" s="615"/>
      <c r="CQ13" s="615"/>
      <c r="CR13" s="615"/>
      <c r="CS13" s="615"/>
      <c r="CT13" s="635"/>
      <c r="CU13" s="636"/>
      <c r="CV13" s="615"/>
      <c r="CW13" s="615"/>
      <c r="CX13" s="615"/>
      <c r="CY13" s="615"/>
      <c r="CZ13" s="615"/>
      <c r="DA13" s="615"/>
      <c r="DB13" s="615"/>
      <c r="DC13" s="615"/>
      <c r="DD13" s="615"/>
      <c r="DE13" s="615"/>
      <c r="DF13" s="635"/>
      <c r="DG13" s="636"/>
      <c r="DH13" s="615"/>
      <c r="DI13" s="615"/>
      <c r="DJ13" s="615"/>
      <c r="DK13" s="615"/>
      <c r="DL13" s="615"/>
      <c r="DM13" s="615"/>
      <c r="DN13" s="615"/>
      <c r="DO13" s="615"/>
      <c r="DP13" s="615"/>
      <c r="DQ13" s="615"/>
      <c r="DR13" s="635"/>
      <c r="DS13" s="636"/>
      <c r="DT13" s="615"/>
      <c r="DU13" s="615"/>
      <c r="DV13" s="615"/>
      <c r="DW13" s="615"/>
      <c r="DX13" s="615"/>
      <c r="DY13" s="615"/>
      <c r="DZ13" s="615"/>
      <c r="EA13" s="615"/>
      <c r="EB13" s="615"/>
      <c r="EC13" s="615"/>
      <c r="ED13" s="637"/>
      <c r="EE13" s="692"/>
    </row>
    <row r="14" spans="1:135" x14ac:dyDescent="0.25">
      <c r="A14" s="640" t="s">
        <v>11</v>
      </c>
      <c r="B14" s="367" t="s">
        <v>670</v>
      </c>
      <c r="C14" s="367" t="s">
        <v>355</v>
      </c>
      <c r="D14" s="367" t="s">
        <v>669</v>
      </c>
      <c r="E14" s="503">
        <v>17104</v>
      </c>
      <c r="F14" s="570">
        <v>44371</v>
      </c>
      <c r="G14" s="85" t="s">
        <v>59</v>
      </c>
      <c r="H14" s="85" t="s">
        <v>54</v>
      </c>
      <c r="I14" s="85" t="s">
        <v>649</v>
      </c>
      <c r="J14" s="675">
        <v>44348</v>
      </c>
      <c r="K14" s="85">
        <v>1</v>
      </c>
      <c r="L14" s="85" t="s">
        <v>534</v>
      </c>
      <c r="M14" s="85" t="s">
        <v>3</v>
      </c>
      <c r="N14" s="668" t="s">
        <v>13</v>
      </c>
      <c r="O14" s="669">
        <v>5</v>
      </c>
      <c r="P14" s="615">
        <v>5</v>
      </c>
      <c r="Q14" s="615">
        <v>5</v>
      </c>
      <c r="R14" s="615">
        <v>5</v>
      </c>
      <c r="S14" s="615">
        <v>5</v>
      </c>
      <c r="T14" s="615">
        <v>5</v>
      </c>
      <c r="U14" s="615">
        <v>5</v>
      </c>
      <c r="V14" s="615">
        <v>5</v>
      </c>
      <c r="W14" s="615">
        <v>5</v>
      </c>
      <c r="X14" s="615">
        <v>5</v>
      </c>
      <c r="Y14" s="615">
        <v>5</v>
      </c>
      <c r="Z14" s="635">
        <v>5</v>
      </c>
      <c r="AA14" s="636"/>
      <c r="AB14" s="615"/>
      <c r="AC14" s="615"/>
      <c r="AD14" s="615"/>
      <c r="AE14" s="615"/>
      <c r="AF14" s="615"/>
      <c r="AG14" s="615"/>
      <c r="AH14" s="615"/>
      <c r="AI14" s="615"/>
      <c r="AJ14" s="615"/>
      <c r="AK14" s="615"/>
      <c r="AL14" s="635"/>
      <c r="AM14" s="636"/>
      <c r="AN14" s="615"/>
      <c r="AO14" s="615"/>
      <c r="AP14" s="615"/>
      <c r="AQ14" s="615"/>
      <c r="AR14" s="615"/>
      <c r="AS14" s="615"/>
      <c r="AT14" s="615"/>
      <c r="AU14" s="615"/>
      <c r="AV14" s="615"/>
      <c r="AW14" s="615"/>
      <c r="AX14" s="635"/>
      <c r="AY14" s="636"/>
      <c r="AZ14" s="615"/>
      <c r="BA14" s="615"/>
      <c r="BB14" s="615"/>
      <c r="BC14" s="615"/>
      <c r="BD14" s="615"/>
      <c r="BE14" s="615"/>
      <c r="BF14" s="615"/>
      <c r="BG14" s="615"/>
      <c r="BH14" s="615"/>
      <c r="BI14" s="615"/>
      <c r="BJ14" s="635"/>
      <c r="BK14" s="636"/>
      <c r="BL14" s="615"/>
      <c r="BM14" s="615"/>
      <c r="BN14" s="615"/>
      <c r="BO14" s="615"/>
      <c r="BP14" s="615"/>
      <c r="BQ14" s="615"/>
      <c r="BR14" s="615"/>
      <c r="BS14" s="615"/>
      <c r="BT14" s="615"/>
      <c r="BU14" s="615"/>
      <c r="BV14" s="637"/>
      <c r="BW14" s="669">
        <v>335.88160068019153</v>
      </c>
      <c r="BX14" s="615">
        <v>335.88160068019153</v>
      </c>
      <c r="BY14" s="615">
        <v>335.88160068019153</v>
      </c>
      <c r="BZ14" s="615">
        <v>335.88160068019153</v>
      </c>
      <c r="CA14" s="615">
        <v>335.88160068019153</v>
      </c>
      <c r="CB14" s="615">
        <v>335.88160068019153</v>
      </c>
      <c r="CC14" s="615">
        <v>335.88160068019153</v>
      </c>
      <c r="CD14" s="615">
        <v>335.88160068019153</v>
      </c>
      <c r="CE14" s="615">
        <v>335.88160068019153</v>
      </c>
      <c r="CF14" s="615">
        <v>335.88160068019153</v>
      </c>
      <c r="CG14" s="615">
        <v>335.88160068019153</v>
      </c>
      <c r="CH14" s="635">
        <v>335.88160068019153</v>
      </c>
      <c r="CI14" s="636"/>
      <c r="CJ14" s="615"/>
      <c r="CK14" s="615"/>
      <c r="CL14" s="615"/>
      <c r="CM14" s="615"/>
      <c r="CN14" s="615"/>
      <c r="CO14" s="615"/>
      <c r="CP14" s="615"/>
      <c r="CQ14" s="615"/>
      <c r="CR14" s="615"/>
      <c r="CS14" s="615"/>
      <c r="CT14" s="635"/>
      <c r="CU14" s="636"/>
      <c r="CV14" s="615"/>
      <c r="CW14" s="615"/>
      <c r="CX14" s="615"/>
      <c r="CY14" s="615"/>
      <c r="CZ14" s="615"/>
      <c r="DA14" s="615"/>
      <c r="DB14" s="615"/>
      <c r="DC14" s="615"/>
      <c r="DD14" s="615"/>
      <c r="DE14" s="615"/>
      <c r="DF14" s="635"/>
      <c r="DG14" s="636"/>
      <c r="DH14" s="615"/>
      <c r="DI14" s="615"/>
      <c r="DJ14" s="615"/>
      <c r="DK14" s="615"/>
      <c r="DL14" s="615"/>
      <c r="DM14" s="615"/>
      <c r="DN14" s="615"/>
      <c r="DO14" s="615"/>
      <c r="DP14" s="615"/>
      <c r="DQ14" s="615"/>
      <c r="DR14" s="635"/>
      <c r="DS14" s="636"/>
      <c r="DT14" s="615"/>
      <c r="DU14" s="615"/>
      <c r="DV14" s="615"/>
      <c r="DW14" s="615"/>
      <c r="DX14" s="615"/>
      <c r="DY14" s="615"/>
      <c r="DZ14" s="615"/>
      <c r="EA14" s="615"/>
      <c r="EB14" s="615"/>
      <c r="EC14" s="615"/>
      <c r="ED14" s="637"/>
      <c r="EE14" s="692"/>
    </row>
    <row r="15" spans="1:135" x14ac:dyDescent="0.25">
      <c r="A15" s="640" t="s">
        <v>11</v>
      </c>
      <c r="B15" s="367" t="s">
        <v>672</v>
      </c>
      <c r="C15" s="367" t="s">
        <v>502</v>
      </c>
      <c r="D15" s="367" t="s">
        <v>671</v>
      </c>
      <c r="E15" s="503" t="s">
        <v>522</v>
      </c>
      <c r="F15" s="570">
        <v>44378</v>
      </c>
      <c r="G15" s="85" t="s">
        <v>59</v>
      </c>
      <c r="H15" s="85" t="s">
        <v>54</v>
      </c>
      <c r="I15" s="85" t="s">
        <v>649</v>
      </c>
      <c r="J15" s="675">
        <v>44378</v>
      </c>
      <c r="K15" s="85">
        <v>7</v>
      </c>
      <c r="L15" s="85" t="s">
        <v>40</v>
      </c>
      <c r="M15" s="85" t="s">
        <v>3</v>
      </c>
      <c r="N15" s="668" t="s">
        <v>13</v>
      </c>
      <c r="O15" s="669"/>
      <c r="P15" s="615"/>
      <c r="Q15" s="615"/>
      <c r="R15" s="615"/>
      <c r="S15" s="615"/>
      <c r="T15" s="615"/>
      <c r="U15" s="615">
        <v>10</v>
      </c>
      <c r="V15" s="615">
        <v>10</v>
      </c>
      <c r="W15" s="615">
        <v>10</v>
      </c>
      <c r="X15" s="615">
        <v>10</v>
      </c>
      <c r="Y15" s="615">
        <v>10</v>
      </c>
      <c r="Z15" s="635">
        <v>10</v>
      </c>
      <c r="AA15" s="636"/>
      <c r="AB15" s="615"/>
      <c r="AC15" s="615"/>
      <c r="AD15" s="615"/>
      <c r="AE15" s="615"/>
      <c r="AF15" s="615"/>
      <c r="AG15" s="615"/>
      <c r="AH15" s="615"/>
      <c r="AI15" s="615"/>
      <c r="AJ15" s="615"/>
      <c r="AK15" s="615"/>
      <c r="AL15" s="635"/>
      <c r="AM15" s="636"/>
      <c r="AN15" s="615"/>
      <c r="AO15" s="615"/>
      <c r="AP15" s="615"/>
      <c r="AQ15" s="615"/>
      <c r="AR15" s="615"/>
      <c r="AS15" s="615"/>
      <c r="AT15" s="615"/>
      <c r="AU15" s="615"/>
      <c r="AV15" s="615"/>
      <c r="AW15" s="615"/>
      <c r="AX15" s="635"/>
      <c r="AY15" s="636"/>
      <c r="AZ15" s="615"/>
      <c r="BA15" s="615"/>
      <c r="BB15" s="615"/>
      <c r="BC15" s="615"/>
      <c r="BD15" s="615"/>
      <c r="BE15" s="615"/>
      <c r="BF15" s="615"/>
      <c r="BG15" s="615"/>
      <c r="BH15" s="615"/>
      <c r="BI15" s="615"/>
      <c r="BJ15" s="635"/>
      <c r="BK15" s="636"/>
      <c r="BL15" s="615"/>
      <c r="BM15" s="615"/>
      <c r="BN15" s="615"/>
      <c r="BO15" s="615"/>
      <c r="BP15" s="615"/>
      <c r="BQ15" s="615"/>
      <c r="BR15" s="615"/>
      <c r="BS15" s="615"/>
      <c r="BT15" s="615"/>
      <c r="BU15" s="615"/>
      <c r="BV15" s="637"/>
      <c r="BW15" s="669"/>
      <c r="BX15" s="615"/>
      <c r="BY15" s="615"/>
      <c r="BZ15" s="615"/>
      <c r="CA15" s="615"/>
      <c r="CB15" s="615"/>
      <c r="CC15" s="615">
        <v>323.50410226725228</v>
      </c>
      <c r="CD15" s="615">
        <v>323.50410226725228</v>
      </c>
      <c r="CE15" s="615">
        <v>323.50410226725228</v>
      </c>
      <c r="CF15" s="615">
        <v>323.50410226725228</v>
      </c>
      <c r="CG15" s="615">
        <v>323.50410226725228</v>
      </c>
      <c r="CH15" s="635">
        <v>323.50410226725228</v>
      </c>
      <c r="CI15" s="636"/>
      <c r="CJ15" s="615"/>
      <c r="CK15" s="615"/>
      <c r="CL15" s="615"/>
      <c r="CM15" s="615"/>
      <c r="CN15" s="615"/>
      <c r="CO15" s="615"/>
      <c r="CP15" s="615"/>
      <c r="CQ15" s="615"/>
      <c r="CR15" s="615"/>
      <c r="CS15" s="615"/>
      <c r="CT15" s="635"/>
      <c r="CU15" s="636"/>
      <c r="CV15" s="615"/>
      <c r="CW15" s="615"/>
      <c r="CX15" s="615"/>
      <c r="CY15" s="615"/>
      <c r="CZ15" s="615"/>
      <c r="DA15" s="615"/>
      <c r="DB15" s="615"/>
      <c r="DC15" s="615"/>
      <c r="DD15" s="615"/>
      <c r="DE15" s="615"/>
      <c r="DF15" s="635"/>
      <c r="DG15" s="636"/>
      <c r="DH15" s="615"/>
      <c r="DI15" s="615"/>
      <c r="DJ15" s="615"/>
      <c r="DK15" s="615"/>
      <c r="DL15" s="615"/>
      <c r="DM15" s="615"/>
      <c r="DN15" s="615"/>
      <c r="DO15" s="615"/>
      <c r="DP15" s="615"/>
      <c r="DQ15" s="615"/>
      <c r="DR15" s="635"/>
      <c r="DS15" s="636"/>
      <c r="DT15" s="615"/>
      <c r="DU15" s="615"/>
      <c r="DV15" s="615"/>
      <c r="DW15" s="615"/>
      <c r="DX15" s="615"/>
      <c r="DY15" s="615"/>
      <c r="DZ15" s="615"/>
      <c r="EA15" s="615"/>
      <c r="EB15" s="615"/>
      <c r="EC15" s="615"/>
      <c r="ED15" s="637"/>
      <c r="EE15" s="692"/>
    </row>
    <row r="16" spans="1:135" x14ac:dyDescent="0.25">
      <c r="A16" s="640" t="s">
        <v>11</v>
      </c>
      <c r="B16" s="367" t="s">
        <v>677</v>
      </c>
      <c r="C16" s="367" t="s">
        <v>620</v>
      </c>
      <c r="D16" s="367" t="s">
        <v>676</v>
      </c>
      <c r="E16" s="503" t="s">
        <v>525</v>
      </c>
      <c r="F16" s="570">
        <v>44406</v>
      </c>
      <c r="G16" s="85" t="s">
        <v>58</v>
      </c>
      <c r="H16" s="85" t="s">
        <v>54</v>
      </c>
      <c r="I16" s="85" t="s">
        <v>649</v>
      </c>
      <c r="J16" s="675">
        <v>44409</v>
      </c>
      <c r="K16" s="85">
        <v>1</v>
      </c>
      <c r="L16" s="85" t="s">
        <v>40</v>
      </c>
      <c r="M16" s="85" t="s">
        <v>3</v>
      </c>
      <c r="N16" s="668" t="s">
        <v>44</v>
      </c>
      <c r="O16" s="669"/>
      <c r="P16" s="615"/>
      <c r="Q16" s="615"/>
      <c r="R16" s="615"/>
      <c r="S16" s="615"/>
      <c r="T16" s="615"/>
      <c r="U16" s="615"/>
      <c r="V16" s="615"/>
      <c r="W16" s="615"/>
      <c r="X16" s="615"/>
      <c r="Y16" s="615"/>
      <c r="Z16" s="635"/>
      <c r="AA16" s="636">
        <v>-1</v>
      </c>
      <c r="AB16" s="615">
        <v>-1</v>
      </c>
      <c r="AC16" s="615">
        <v>-1</v>
      </c>
      <c r="AD16" s="615">
        <v>-1</v>
      </c>
      <c r="AE16" s="615">
        <v>-1</v>
      </c>
      <c r="AF16" s="615">
        <v>-1</v>
      </c>
      <c r="AG16" s="615">
        <v>-1</v>
      </c>
      <c r="AH16" s="615">
        <v>-1</v>
      </c>
      <c r="AI16" s="615">
        <v>-1</v>
      </c>
      <c r="AJ16" s="615">
        <v>-1</v>
      </c>
      <c r="AK16" s="615">
        <v>-1</v>
      </c>
      <c r="AL16" s="635">
        <v>-1</v>
      </c>
      <c r="AM16" s="636"/>
      <c r="AN16" s="615"/>
      <c r="AO16" s="615"/>
      <c r="AP16" s="615"/>
      <c r="AQ16" s="615"/>
      <c r="AR16" s="615"/>
      <c r="AS16" s="615"/>
      <c r="AT16" s="615"/>
      <c r="AU16" s="615"/>
      <c r="AV16" s="615"/>
      <c r="AW16" s="615"/>
      <c r="AX16" s="635"/>
      <c r="AY16" s="636"/>
      <c r="AZ16" s="615"/>
      <c r="BA16" s="615"/>
      <c r="BB16" s="615"/>
      <c r="BC16" s="615"/>
      <c r="BD16" s="615"/>
      <c r="BE16" s="615"/>
      <c r="BF16" s="615"/>
      <c r="BG16" s="615"/>
      <c r="BH16" s="615"/>
      <c r="BI16" s="615"/>
      <c r="BJ16" s="635"/>
      <c r="BK16" s="636"/>
      <c r="BL16" s="615"/>
      <c r="BM16" s="615"/>
      <c r="BN16" s="615"/>
      <c r="BO16" s="615"/>
      <c r="BP16" s="615"/>
      <c r="BQ16" s="615"/>
      <c r="BR16" s="615"/>
      <c r="BS16" s="615"/>
      <c r="BT16" s="615"/>
      <c r="BU16" s="615"/>
      <c r="BV16" s="637"/>
      <c r="BW16" s="669"/>
      <c r="BX16" s="615"/>
      <c r="BY16" s="615"/>
      <c r="BZ16" s="615"/>
      <c r="CA16" s="615"/>
      <c r="CB16" s="615"/>
      <c r="CC16" s="615"/>
      <c r="CD16" s="615"/>
      <c r="CE16" s="615"/>
      <c r="CF16" s="615"/>
      <c r="CG16" s="615"/>
      <c r="CH16" s="635"/>
      <c r="CI16" s="636">
        <v>265.24573283812703</v>
      </c>
      <c r="CJ16" s="615">
        <v>265.24573283812703</v>
      </c>
      <c r="CK16" s="615">
        <v>265.24573283812703</v>
      </c>
      <c r="CL16" s="615">
        <v>265.24573283812703</v>
      </c>
      <c r="CM16" s="615">
        <v>265.24573283812703</v>
      </c>
      <c r="CN16" s="615">
        <v>265.24573283812703</v>
      </c>
      <c r="CO16" s="615">
        <v>265.24573283812703</v>
      </c>
      <c r="CP16" s="615">
        <v>265.24573283812703</v>
      </c>
      <c r="CQ16" s="615">
        <v>265.24573283812703</v>
      </c>
      <c r="CR16" s="615">
        <v>265.24573283812703</v>
      </c>
      <c r="CS16" s="615">
        <v>265.24573283812703</v>
      </c>
      <c r="CT16" s="635">
        <v>265.24573283812703</v>
      </c>
      <c r="CU16" s="636"/>
      <c r="CV16" s="615"/>
      <c r="CW16" s="615"/>
      <c r="CX16" s="615"/>
      <c r="CY16" s="615"/>
      <c r="CZ16" s="615"/>
      <c r="DA16" s="615"/>
      <c r="DB16" s="615"/>
      <c r="DC16" s="615"/>
      <c r="DD16" s="615"/>
      <c r="DE16" s="615"/>
      <c r="DF16" s="635"/>
      <c r="DG16" s="636"/>
      <c r="DH16" s="615"/>
      <c r="DI16" s="615"/>
      <c r="DJ16" s="615"/>
      <c r="DK16" s="615"/>
      <c r="DL16" s="615"/>
      <c r="DM16" s="615"/>
      <c r="DN16" s="615"/>
      <c r="DO16" s="615"/>
      <c r="DP16" s="615"/>
      <c r="DQ16" s="615"/>
      <c r="DR16" s="635"/>
      <c r="DS16" s="636"/>
      <c r="DT16" s="615"/>
      <c r="DU16" s="615"/>
      <c r="DV16" s="615"/>
      <c r="DW16" s="615"/>
      <c r="DX16" s="615"/>
      <c r="DY16" s="615"/>
      <c r="DZ16" s="615"/>
      <c r="EA16" s="615"/>
      <c r="EB16" s="615"/>
      <c r="EC16" s="615"/>
      <c r="ED16" s="637"/>
      <c r="EE16" s="692"/>
    </row>
    <row r="17" spans="1:135" x14ac:dyDescent="0.25">
      <c r="A17" s="640" t="s">
        <v>11</v>
      </c>
      <c r="B17" s="367" t="s">
        <v>681</v>
      </c>
      <c r="C17" s="367" t="s">
        <v>507</v>
      </c>
      <c r="D17" s="367" t="s">
        <v>680</v>
      </c>
      <c r="E17" s="503" t="s">
        <v>528</v>
      </c>
      <c r="F17" s="570">
        <v>44441</v>
      </c>
      <c r="G17" s="85" t="s">
        <v>58</v>
      </c>
      <c r="H17" s="85" t="s">
        <v>54</v>
      </c>
      <c r="I17" s="85" t="s">
        <v>649</v>
      </c>
      <c r="J17" s="675">
        <v>44441</v>
      </c>
      <c r="K17" s="85">
        <v>1</v>
      </c>
      <c r="L17" s="85" t="s">
        <v>40</v>
      </c>
      <c r="M17" s="85" t="s">
        <v>3</v>
      </c>
      <c r="N17" s="668" t="s">
        <v>44</v>
      </c>
      <c r="O17" s="669"/>
      <c r="P17" s="615"/>
      <c r="Q17" s="615"/>
      <c r="R17" s="615"/>
      <c r="S17" s="615"/>
      <c r="T17" s="615"/>
      <c r="U17" s="615"/>
      <c r="V17" s="615"/>
      <c r="W17" s="615"/>
      <c r="X17" s="615"/>
      <c r="Y17" s="615"/>
      <c r="Z17" s="635"/>
      <c r="AA17" s="636">
        <v>-0.3</v>
      </c>
      <c r="AB17" s="615">
        <v>-0.3</v>
      </c>
      <c r="AC17" s="615">
        <v>-0.3</v>
      </c>
      <c r="AD17" s="615">
        <v>-0.3</v>
      </c>
      <c r="AE17" s="615">
        <v>-0.3</v>
      </c>
      <c r="AF17" s="615">
        <v>-0.3</v>
      </c>
      <c r="AG17" s="615">
        <v>-0.3</v>
      </c>
      <c r="AH17" s="615">
        <v>-0.3</v>
      </c>
      <c r="AI17" s="615">
        <v>-0.3</v>
      </c>
      <c r="AJ17" s="615">
        <v>-0.3</v>
      </c>
      <c r="AK17" s="615">
        <v>-0.3</v>
      </c>
      <c r="AL17" s="635">
        <v>-0.3</v>
      </c>
      <c r="AM17" s="636"/>
      <c r="AN17" s="615"/>
      <c r="AO17" s="615"/>
      <c r="AP17" s="615"/>
      <c r="AQ17" s="615"/>
      <c r="AR17" s="615"/>
      <c r="AS17" s="615"/>
      <c r="AT17" s="615"/>
      <c r="AU17" s="615"/>
      <c r="AV17" s="615"/>
      <c r="AW17" s="615"/>
      <c r="AX17" s="635"/>
      <c r="AY17" s="636"/>
      <c r="AZ17" s="615"/>
      <c r="BA17" s="615"/>
      <c r="BB17" s="615"/>
      <c r="BC17" s="615"/>
      <c r="BD17" s="615"/>
      <c r="BE17" s="615"/>
      <c r="BF17" s="615"/>
      <c r="BG17" s="615"/>
      <c r="BH17" s="615"/>
      <c r="BI17" s="615"/>
      <c r="BJ17" s="635"/>
      <c r="BK17" s="636"/>
      <c r="BL17" s="615"/>
      <c r="BM17" s="615"/>
      <c r="BN17" s="615"/>
      <c r="BO17" s="615"/>
      <c r="BP17" s="615"/>
      <c r="BQ17" s="615"/>
      <c r="BR17" s="615"/>
      <c r="BS17" s="615"/>
      <c r="BT17" s="615"/>
      <c r="BU17" s="615"/>
      <c r="BV17" s="637"/>
      <c r="BW17" s="669"/>
      <c r="BX17" s="615"/>
      <c r="BY17" s="615"/>
      <c r="BZ17" s="615"/>
      <c r="CA17" s="615"/>
      <c r="CB17" s="615"/>
      <c r="CC17" s="615"/>
      <c r="CD17" s="615"/>
      <c r="CE17" s="615"/>
      <c r="CF17" s="615"/>
      <c r="CG17" s="615"/>
      <c r="CH17" s="635"/>
      <c r="CI17" s="636">
        <v>272.86021567544179</v>
      </c>
      <c r="CJ17" s="615">
        <v>272.86021567544179</v>
      </c>
      <c r="CK17" s="615">
        <v>272.86021567544179</v>
      </c>
      <c r="CL17" s="615">
        <v>272.86021567544179</v>
      </c>
      <c r="CM17" s="615">
        <v>272.86021567544179</v>
      </c>
      <c r="CN17" s="615">
        <v>272.86021567544179</v>
      </c>
      <c r="CO17" s="615">
        <v>272.86021567544179</v>
      </c>
      <c r="CP17" s="615">
        <v>272.86021567544179</v>
      </c>
      <c r="CQ17" s="615">
        <v>272.86021567544179</v>
      </c>
      <c r="CR17" s="615">
        <v>272.86021567544179</v>
      </c>
      <c r="CS17" s="615">
        <v>272.86021567544179</v>
      </c>
      <c r="CT17" s="635">
        <v>272.86021567544179</v>
      </c>
      <c r="CU17" s="636"/>
      <c r="CV17" s="615"/>
      <c r="CW17" s="615"/>
      <c r="CX17" s="615"/>
      <c r="CY17" s="615"/>
      <c r="CZ17" s="615"/>
      <c r="DA17" s="615"/>
      <c r="DB17" s="615"/>
      <c r="DC17" s="615"/>
      <c r="DD17" s="615"/>
      <c r="DE17" s="615"/>
      <c r="DF17" s="635"/>
      <c r="DG17" s="636"/>
      <c r="DH17" s="615"/>
      <c r="DI17" s="615"/>
      <c r="DJ17" s="615"/>
      <c r="DK17" s="615"/>
      <c r="DL17" s="615"/>
      <c r="DM17" s="615"/>
      <c r="DN17" s="615"/>
      <c r="DO17" s="615"/>
      <c r="DP17" s="615"/>
      <c r="DQ17" s="615"/>
      <c r="DR17" s="635"/>
      <c r="DS17" s="636"/>
      <c r="DT17" s="615"/>
      <c r="DU17" s="615"/>
      <c r="DV17" s="615"/>
      <c r="DW17" s="615"/>
      <c r="DX17" s="615"/>
      <c r="DY17" s="615"/>
      <c r="DZ17" s="615"/>
      <c r="EA17" s="615"/>
      <c r="EB17" s="615"/>
      <c r="EC17" s="615"/>
      <c r="ED17" s="637"/>
      <c r="EE17" s="692"/>
    </row>
    <row r="18" spans="1:135" x14ac:dyDescent="0.25">
      <c r="A18" s="640" t="s">
        <v>11</v>
      </c>
      <c r="B18" s="367" t="s">
        <v>683</v>
      </c>
      <c r="C18" s="367" t="s">
        <v>507</v>
      </c>
      <c r="D18" s="367" t="s">
        <v>682</v>
      </c>
      <c r="E18" s="503" t="s">
        <v>529</v>
      </c>
      <c r="F18" s="570">
        <v>44441</v>
      </c>
      <c r="G18" s="85" t="s">
        <v>58</v>
      </c>
      <c r="H18" s="85" t="s">
        <v>54</v>
      </c>
      <c r="I18" s="85" t="s">
        <v>649</v>
      </c>
      <c r="J18" s="675">
        <v>44441</v>
      </c>
      <c r="K18" s="85">
        <v>1</v>
      </c>
      <c r="L18" s="85" t="s">
        <v>40</v>
      </c>
      <c r="M18" s="85" t="s">
        <v>3</v>
      </c>
      <c r="N18" s="668" t="s">
        <v>44</v>
      </c>
      <c r="O18" s="669">
        <v>-0.3</v>
      </c>
      <c r="P18" s="615">
        <v>-0.3</v>
      </c>
      <c r="Q18" s="615">
        <v>-0.3</v>
      </c>
      <c r="R18" s="615">
        <v>-0.3</v>
      </c>
      <c r="S18" s="615">
        <v>-0.3</v>
      </c>
      <c r="T18" s="615">
        <v>-0.3</v>
      </c>
      <c r="U18" s="615">
        <v>-0.3</v>
      </c>
      <c r="V18" s="615">
        <v>-0.3</v>
      </c>
      <c r="W18" s="615">
        <v>-0.3</v>
      </c>
      <c r="X18" s="615">
        <v>-0.3</v>
      </c>
      <c r="Y18" s="615">
        <v>-0.3</v>
      </c>
      <c r="Z18" s="635">
        <v>-0.3</v>
      </c>
      <c r="AA18" s="636"/>
      <c r="AB18" s="615"/>
      <c r="AC18" s="615"/>
      <c r="AD18" s="615"/>
      <c r="AE18" s="615"/>
      <c r="AF18" s="615"/>
      <c r="AG18" s="615"/>
      <c r="AH18" s="615"/>
      <c r="AI18" s="615"/>
      <c r="AJ18" s="615"/>
      <c r="AK18" s="615"/>
      <c r="AL18" s="635"/>
      <c r="AM18" s="636"/>
      <c r="AN18" s="615"/>
      <c r="AO18" s="615"/>
      <c r="AP18" s="615"/>
      <c r="AQ18" s="615"/>
      <c r="AR18" s="615"/>
      <c r="AS18" s="615"/>
      <c r="AT18" s="615"/>
      <c r="AU18" s="615"/>
      <c r="AV18" s="615"/>
      <c r="AW18" s="615"/>
      <c r="AX18" s="635"/>
      <c r="AY18" s="636"/>
      <c r="AZ18" s="615"/>
      <c r="BA18" s="615"/>
      <c r="BB18" s="615"/>
      <c r="BC18" s="615"/>
      <c r="BD18" s="615"/>
      <c r="BE18" s="615"/>
      <c r="BF18" s="615"/>
      <c r="BG18" s="615"/>
      <c r="BH18" s="615"/>
      <c r="BI18" s="615"/>
      <c r="BJ18" s="635"/>
      <c r="BK18" s="636"/>
      <c r="BL18" s="615"/>
      <c r="BM18" s="615"/>
      <c r="BN18" s="615"/>
      <c r="BO18" s="615"/>
      <c r="BP18" s="615"/>
      <c r="BQ18" s="615"/>
      <c r="BR18" s="615"/>
      <c r="BS18" s="615"/>
      <c r="BT18" s="615"/>
      <c r="BU18" s="615"/>
      <c r="BV18" s="637"/>
      <c r="BW18" s="669">
        <v>368.69906825163162</v>
      </c>
      <c r="BX18" s="615">
        <v>368.69906825163162</v>
      </c>
      <c r="BY18" s="615">
        <v>368.69906825163162</v>
      </c>
      <c r="BZ18" s="615">
        <v>368.69906825163162</v>
      </c>
      <c r="CA18" s="615">
        <v>368.69906825163162</v>
      </c>
      <c r="CB18" s="615">
        <v>368.69906825163162</v>
      </c>
      <c r="CC18" s="615">
        <v>368.69906825163162</v>
      </c>
      <c r="CD18" s="615">
        <v>368.69906825163162</v>
      </c>
      <c r="CE18" s="615">
        <v>368.69906825163162</v>
      </c>
      <c r="CF18" s="615">
        <v>368.69906825163162</v>
      </c>
      <c r="CG18" s="615">
        <v>368.69906825163162</v>
      </c>
      <c r="CH18" s="635">
        <v>368.69906825163162</v>
      </c>
      <c r="CI18" s="636"/>
      <c r="CJ18" s="615"/>
      <c r="CK18" s="615"/>
      <c r="CL18" s="615"/>
      <c r="CM18" s="615"/>
      <c r="CN18" s="615"/>
      <c r="CO18" s="615"/>
      <c r="CP18" s="615"/>
      <c r="CQ18" s="615"/>
      <c r="CR18" s="615"/>
      <c r="CS18" s="615"/>
      <c r="CT18" s="635"/>
      <c r="CU18" s="636"/>
      <c r="CV18" s="615"/>
      <c r="CW18" s="615"/>
      <c r="CX18" s="615"/>
      <c r="CY18" s="615"/>
      <c r="CZ18" s="615"/>
      <c r="DA18" s="615"/>
      <c r="DB18" s="615"/>
      <c r="DC18" s="615"/>
      <c r="DD18" s="615"/>
      <c r="DE18" s="615"/>
      <c r="DF18" s="635"/>
      <c r="DG18" s="636"/>
      <c r="DH18" s="615"/>
      <c r="DI18" s="615"/>
      <c r="DJ18" s="615"/>
      <c r="DK18" s="615"/>
      <c r="DL18" s="615"/>
      <c r="DM18" s="615"/>
      <c r="DN18" s="615"/>
      <c r="DO18" s="615"/>
      <c r="DP18" s="615"/>
      <c r="DQ18" s="615"/>
      <c r="DR18" s="635"/>
      <c r="DS18" s="636"/>
      <c r="DT18" s="615"/>
      <c r="DU18" s="615"/>
      <c r="DV18" s="615"/>
      <c r="DW18" s="615"/>
      <c r="DX18" s="615"/>
      <c r="DY18" s="615"/>
      <c r="DZ18" s="615"/>
      <c r="EA18" s="615"/>
      <c r="EB18" s="615"/>
      <c r="EC18" s="615"/>
      <c r="ED18" s="637"/>
      <c r="EE18" s="692"/>
    </row>
    <row r="19" spans="1:135" x14ac:dyDescent="0.25">
      <c r="A19" s="640" t="s">
        <v>11</v>
      </c>
      <c r="B19" s="367" t="s">
        <v>685</v>
      </c>
      <c r="C19" s="367" t="s">
        <v>464</v>
      </c>
      <c r="D19" s="367" t="s">
        <v>684</v>
      </c>
      <c r="E19" s="503" t="s">
        <v>540</v>
      </c>
      <c r="F19" s="570">
        <v>44448</v>
      </c>
      <c r="G19" s="85" t="s">
        <v>58</v>
      </c>
      <c r="H19" s="85" t="s">
        <v>54</v>
      </c>
      <c r="I19" s="85" t="s">
        <v>358</v>
      </c>
      <c r="J19" s="675" t="s">
        <v>358</v>
      </c>
      <c r="K19" s="85" t="s">
        <v>358</v>
      </c>
      <c r="L19" s="85" t="s">
        <v>40</v>
      </c>
      <c r="M19" s="85" t="s">
        <v>3</v>
      </c>
      <c r="N19" s="668" t="s">
        <v>44</v>
      </c>
      <c r="O19" s="669">
        <v>-10</v>
      </c>
      <c r="P19" s="615"/>
      <c r="Q19" s="615"/>
      <c r="R19" s="615"/>
      <c r="S19" s="615"/>
      <c r="T19" s="615"/>
      <c r="U19" s="615"/>
      <c r="V19" s="615"/>
      <c r="W19" s="615"/>
      <c r="X19" s="615"/>
      <c r="Y19" s="615"/>
      <c r="Z19" s="635"/>
      <c r="AA19" s="636"/>
      <c r="AB19" s="615"/>
      <c r="AC19" s="615"/>
      <c r="AD19" s="615"/>
      <c r="AE19" s="615"/>
      <c r="AF19" s="615"/>
      <c r="AG19" s="615"/>
      <c r="AH19" s="615"/>
      <c r="AI19" s="615"/>
      <c r="AJ19" s="615"/>
      <c r="AK19" s="615"/>
      <c r="AL19" s="635"/>
      <c r="AM19" s="636"/>
      <c r="AN19" s="615"/>
      <c r="AO19" s="615"/>
      <c r="AP19" s="615"/>
      <c r="AQ19" s="615"/>
      <c r="AR19" s="615"/>
      <c r="AS19" s="615"/>
      <c r="AT19" s="615"/>
      <c r="AU19" s="615"/>
      <c r="AV19" s="615"/>
      <c r="AW19" s="615"/>
      <c r="AX19" s="635"/>
      <c r="AY19" s="636"/>
      <c r="AZ19" s="615"/>
      <c r="BA19" s="615"/>
      <c r="BB19" s="615"/>
      <c r="BC19" s="615"/>
      <c r="BD19" s="615"/>
      <c r="BE19" s="615"/>
      <c r="BF19" s="615"/>
      <c r="BG19" s="615"/>
      <c r="BH19" s="615"/>
      <c r="BI19" s="615"/>
      <c r="BJ19" s="635"/>
      <c r="BK19" s="636"/>
      <c r="BL19" s="615"/>
      <c r="BM19" s="615"/>
      <c r="BN19" s="615"/>
      <c r="BO19" s="615"/>
      <c r="BP19" s="615"/>
      <c r="BQ19" s="615"/>
      <c r="BR19" s="615"/>
      <c r="BS19" s="615"/>
      <c r="BT19" s="615"/>
      <c r="BU19" s="615"/>
      <c r="BV19" s="637"/>
      <c r="BW19" s="669">
        <v>515</v>
      </c>
      <c r="BX19" s="615"/>
      <c r="BY19" s="615"/>
      <c r="BZ19" s="615"/>
      <c r="CA19" s="615"/>
      <c r="CB19" s="615"/>
      <c r="CC19" s="615"/>
      <c r="CD19" s="615"/>
      <c r="CE19" s="615"/>
      <c r="CF19" s="615"/>
      <c r="CG19" s="615"/>
      <c r="CH19" s="635"/>
      <c r="CI19" s="636"/>
      <c r="CJ19" s="615"/>
      <c r="CK19" s="615"/>
      <c r="CL19" s="615"/>
      <c r="CM19" s="615"/>
      <c r="CN19" s="615"/>
      <c r="CO19" s="615"/>
      <c r="CP19" s="615"/>
      <c r="CQ19" s="615"/>
      <c r="CR19" s="615"/>
      <c r="CS19" s="615"/>
      <c r="CT19" s="635"/>
      <c r="CU19" s="636"/>
      <c r="CV19" s="615"/>
      <c r="CW19" s="615"/>
      <c r="CX19" s="615"/>
      <c r="CY19" s="615"/>
      <c r="CZ19" s="615"/>
      <c r="DA19" s="615"/>
      <c r="DB19" s="615"/>
      <c r="DC19" s="615"/>
      <c r="DD19" s="615"/>
      <c r="DE19" s="615"/>
      <c r="DF19" s="635"/>
      <c r="DG19" s="636"/>
      <c r="DH19" s="615"/>
      <c r="DI19" s="615"/>
      <c r="DJ19" s="615"/>
      <c r="DK19" s="615"/>
      <c r="DL19" s="615"/>
      <c r="DM19" s="615"/>
      <c r="DN19" s="615"/>
      <c r="DO19" s="615"/>
      <c r="DP19" s="615"/>
      <c r="DQ19" s="615"/>
      <c r="DR19" s="635"/>
      <c r="DS19" s="636"/>
      <c r="DT19" s="615"/>
      <c r="DU19" s="615"/>
      <c r="DV19" s="615"/>
      <c r="DW19" s="615"/>
      <c r="DX19" s="615"/>
      <c r="DY19" s="615"/>
      <c r="DZ19" s="615"/>
      <c r="EA19" s="615"/>
      <c r="EB19" s="615"/>
      <c r="EC19" s="615"/>
      <c r="ED19" s="637"/>
      <c r="EE19" s="692"/>
    </row>
    <row r="20" spans="1:135" x14ac:dyDescent="0.25">
      <c r="A20" s="640" t="s">
        <v>11</v>
      </c>
      <c r="B20" s="367" t="s">
        <v>687</v>
      </c>
      <c r="C20" s="367" t="s">
        <v>464</v>
      </c>
      <c r="D20" s="367" t="s">
        <v>686</v>
      </c>
      <c r="E20" s="503" t="s">
        <v>541</v>
      </c>
      <c r="F20" s="570">
        <v>44448</v>
      </c>
      <c r="G20" s="85" t="s">
        <v>59</v>
      </c>
      <c r="H20" s="85" t="s">
        <v>54</v>
      </c>
      <c r="I20" s="85" t="s">
        <v>358</v>
      </c>
      <c r="J20" s="675" t="s">
        <v>358</v>
      </c>
      <c r="K20" s="85" t="s">
        <v>358</v>
      </c>
      <c r="L20" s="85" t="s">
        <v>40</v>
      </c>
      <c r="M20" s="85" t="s">
        <v>3</v>
      </c>
      <c r="N20" s="668" t="s">
        <v>44</v>
      </c>
      <c r="O20" s="669"/>
      <c r="P20" s="615"/>
      <c r="Q20" s="615">
        <v>10</v>
      </c>
      <c r="R20" s="615"/>
      <c r="S20" s="615"/>
      <c r="T20" s="615"/>
      <c r="U20" s="615"/>
      <c r="V20" s="615"/>
      <c r="W20" s="615"/>
      <c r="X20" s="615"/>
      <c r="Y20" s="615"/>
      <c r="Z20" s="635"/>
      <c r="AA20" s="636"/>
      <c r="AB20" s="615"/>
      <c r="AC20" s="615"/>
      <c r="AD20" s="615"/>
      <c r="AE20" s="615"/>
      <c r="AF20" s="615"/>
      <c r="AG20" s="615"/>
      <c r="AH20" s="615"/>
      <c r="AI20" s="615"/>
      <c r="AJ20" s="615"/>
      <c r="AK20" s="615"/>
      <c r="AL20" s="635"/>
      <c r="AM20" s="636"/>
      <c r="AN20" s="615"/>
      <c r="AO20" s="615"/>
      <c r="AP20" s="615"/>
      <c r="AQ20" s="615"/>
      <c r="AR20" s="615"/>
      <c r="AS20" s="615"/>
      <c r="AT20" s="615"/>
      <c r="AU20" s="615"/>
      <c r="AV20" s="615"/>
      <c r="AW20" s="615"/>
      <c r="AX20" s="635"/>
      <c r="AY20" s="636"/>
      <c r="AZ20" s="615"/>
      <c r="BA20" s="615"/>
      <c r="BB20" s="615"/>
      <c r="BC20" s="615"/>
      <c r="BD20" s="615"/>
      <c r="BE20" s="615"/>
      <c r="BF20" s="615"/>
      <c r="BG20" s="615"/>
      <c r="BH20" s="615"/>
      <c r="BI20" s="615"/>
      <c r="BJ20" s="635"/>
      <c r="BK20" s="636"/>
      <c r="BL20" s="615"/>
      <c r="BM20" s="615"/>
      <c r="BN20" s="615"/>
      <c r="BO20" s="615"/>
      <c r="BP20" s="615"/>
      <c r="BQ20" s="615"/>
      <c r="BR20" s="615"/>
      <c r="BS20" s="615"/>
      <c r="BT20" s="615"/>
      <c r="BU20" s="615"/>
      <c r="BV20" s="637"/>
      <c r="BW20" s="669"/>
      <c r="BX20" s="615"/>
      <c r="BY20" s="615">
        <v>375</v>
      </c>
      <c r="BZ20" s="615"/>
      <c r="CA20" s="615"/>
      <c r="CB20" s="615"/>
      <c r="CC20" s="615"/>
      <c r="CD20" s="615"/>
      <c r="CE20" s="615"/>
      <c r="CF20" s="615"/>
      <c r="CG20" s="615"/>
      <c r="CH20" s="635"/>
      <c r="CI20" s="636"/>
      <c r="CJ20" s="615"/>
      <c r="CK20" s="615"/>
      <c r="CL20" s="615"/>
      <c r="CM20" s="615"/>
      <c r="CN20" s="615"/>
      <c r="CO20" s="615"/>
      <c r="CP20" s="615"/>
      <c r="CQ20" s="615"/>
      <c r="CR20" s="615"/>
      <c r="CS20" s="615"/>
      <c r="CT20" s="635"/>
      <c r="CU20" s="636"/>
      <c r="CV20" s="615"/>
      <c r="CW20" s="615"/>
      <c r="CX20" s="615"/>
      <c r="CY20" s="615"/>
      <c r="CZ20" s="615"/>
      <c r="DA20" s="615"/>
      <c r="DB20" s="615"/>
      <c r="DC20" s="615"/>
      <c r="DD20" s="615"/>
      <c r="DE20" s="615"/>
      <c r="DF20" s="635"/>
      <c r="DG20" s="636"/>
      <c r="DH20" s="615"/>
      <c r="DI20" s="615"/>
      <c r="DJ20" s="615"/>
      <c r="DK20" s="615"/>
      <c r="DL20" s="615"/>
      <c r="DM20" s="615"/>
      <c r="DN20" s="615"/>
      <c r="DO20" s="615"/>
      <c r="DP20" s="615"/>
      <c r="DQ20" s="615"/>
      <c r="DR20" s="635"/>
      <c r="DS20" s="636"/>
      <c r="DT20" s="615"/>
      <c r="DU20" s="615"/>
      <c r="DV20" s="615"/>
      <c r="DW20" s="615"/>
      <c r="DX20" s="615"/>
      <c r="DY20" s="615"/>
      <c r="DZ20" s="615"/>
      <c r="EA20" s="615"/>
      <c r="EB20" s="615"/>
      <c r="EC20" s="615"/>
      <c r="ED20" s="637"/>
      <c r="EE20" s="692"/>
    </row>
    <row r="21" spans="1:135" x14ac:dyDescent="0.25">
      <c r="A21" s="640" t="s">
        <v>11</v>
      </c>
      <c r="B21" s="367" t="s">
        <v>689</v>
      </c>
      <c r="C21" s="367" t="s">
        <v>348</v>
      </c>
      <c r="D21" s="367" t="s">
        <v>688</v>
      </c>
      <c r="E21" s="503" t="s">
        <v>542</v>
      </c>
      <c r="F21" s="570">
        <v>44448</v>
      </c>
      <c r="G21" s="85" t="s">
        <v>58</v>
      </c>
      <c r="H21" s="85" t="s">
        <v>54</v>
      </c>
      <c r="I21" s="85" t="s">
        <v>358</v>
      </c>
      <c r="J21" s="675" t="s">
        <v>358</v>
      </c>
      <c r="K21" s="85" t="s">
        <v>358</v>
      </c>
      <c r="L21" s="85" t="s">
        <v>40</v>
      </c>
      <c r="M21" s="85" t="s">
        <v>3</v>
      </c>
      <c r="N21" s="668" t="s">
        <v>44</v>
      </c>
      <c r="O21" s="669"/>
      <c r="P21" s="615"/>
      <c r="Q21" s="615"/>
      <c r="R21" s="615"/>
      <c r="S21" s="615"/>
      <c r="T21" s="615"/>
      <c r="U21" s="615">
        <v>-7</v>
      </c>
      <c r="V21" s="615">
        <v>-7</v>
      </c>
      <c r="W21" s="615">
        <v>-7</v>
      </c>
      <c r="X21" s="615"/>
      <c r="Y21" s="615"/>
      <c r="Z21" s="635"/>
      <c r="AA21" s="636"/>
      <c r="AB21" s="615"/>
      <c r="AC21" s="615"/>
      <c r="AD21" s="615"/>
      <c r="AE21" s="615"/>
      <c r="AF21" s="615"/>
      <c r="AG21" s="615"/>
      <c r="AH21" s="615"/>
      <c r="AI21" s="615"/>
      <c r="AJ21" s="615"/>
      <c r="AK21" s="615"/>
      <c r="AL21" s="635"/>
      <c r="AM21" s="636"/>
      <c r="AN21" s="615"/>
      <c r="AO21" s="615"/>
      <c r="AP21" s="615"/>
      <c r="AQ21" s="615"/>
      <c r="AR21" s="615"/>
      <c r="AS21" s="615"/>
      <c r="AT21" s="615"/>
      <c r="AU21" s="615"/>
      <c r="AV21" s="615"/>
      <c r="AW21" s="615"/>
      <c r="AX21" s="635"/>
      <c r="AY21" s="636"/>
      <c r="AZ21" s="615"/>
      <c r="BA21" s="615"/>
      <c r="BB21" s="615"/>
      <c r="BC21" s="615"/>
      <c r="BD21" s="615"/>
      <c r="BE21" s="615"/>
      <c r="BF21" s="615"/>
      <c r="BG21" s="615"/>
      <c r="BH21" s="615"/>
      <c r="BI21" s="615"/>
      <c r="BJ21" s="635"/>
      <c r="BK21" s="636"/>
      <c r="BL21" s="615"/>
      <c r="BM21" s="615"/>
      <c r="BN21" s="615"/>
      <c r="BO21" s="615"/>
      <c r="BP21" s="615"/>
      <c r="BQ21" s="615"/>
      <c r="BR21" s="615"/>
      <c r="BS21" s="615"/>
      <c r="BT21" s="615"/>
      <c r="BU21" s="615"/>
      <c r="BV21" s="637"/>
      <c r="BW21" s="669"/>
      <c r="BX21" s="615"/>
      <c r="BY21" s="615"/>
      <c r="BZ21" s="615"/>
      <c r="CA21" s="615"/>
      <c r="CB21" s="615"/>
      <c r="CC21" s="615">
        <v>370</v>
      </c>
      <c r="CD21" s="615">
        <v>370</v>
      </c>
      <c r="CE21" s="615">
        <v>370</v>
      </c>
      <c r="CF21" s="615"/>
      <c r="CG21" s="615"/>
      <c r="CH21" s="635"/>
      <c r="CI21" s="636"/>
      <c r="CJ21" s="615"/>
      <c r="CK21" s="615"/>
      <c r="CL21" s="615"/>
      <c r="CM21" s="615"/>
      <c r="CN21" s="615"/>
      <c r="CO21" s="615"/>
      <c r="CP21" s="615"/>
      <c r="CQ21" s="615"/>
      <c r="CR21" s="615"/>
      <c r="CS21" s="615"/>
      <c r="CT21" s="635"/>
      <c r="CU21" s="636"/>
      <c r="CV21" s="615"/>
      <c r="CW21" s="615"/>
      <c r="CX21" s="615"/>
      <c r="CY21" s="615"/>
      <c r="CZ21" s="615"/>
      <c r="DA21" s="615"/>
      <c r="DB21" s="615"/>
      <c r="DC21" s="615"/>
      <c r="DD21" s="615"/>
      <c r="DE21" s="615"/>
      <c r="DF21" s="635"/>
      <c r="DG21" s="636"/>
      <c r="DH21" s="615"/>
      <c r="DI21" s="615"/>
      <c r="DJ21" s="615"/>
      <c r="DK21" s="615"/>
      <c r="DL21" s="615"/>
      <c r="DM21" s="615"/>
      <c r="DN21" s="615"/>
      <c r="DO21" s="615"/>
      <c r="DP21" s="615"/>
      <c r="DQ21" s="615"/>
      <c r="DR21" s="635"/>
      <c r="DS21" s="636"/>
      <c r="DT21" s="615"/>
      <c r="DU21" s="615"/>
      <c r="DV21" s="615"/>
      <c r="DW21" s="615"/>
      <c r="DX21" s="615"/>
      <c r="DY21" s="615"/>
      <c r="DZ21" s="615"/>
      <c r="EA21" s="615"/>
      <c r="EB21" s="615"/>
      <c r="EC21" s="615"/>
      <c r="ED21" s="637"/>
      <c r="EE21" s="692"/>
    </row>
    <row r="22" spans="1:135" x14ac:dyDescent="0.25">
      <c r="A22" s="640" t="s">
        <v>11</v>
      </c>
      <c r="B22" s="367" t="s">
        <v>691</v>
      </c>
      <c r="C22" s="367" t="s">
        <v>348</v>
      </c>
      <c r="D22" s="367" t="s">
        <v>690</v>
      </c>
      <c r="E22" s="503" t="s">
        <v>543</v>
      </c>
      <c r="F22" s="570">
        <v>44448</v>
      </c>
      <c r="G22" s="85" t="s">
        <v>59</v>
      </c>
      <c r="H22" s="85" t="s">
        <v>54</v>
      </c>
      <c r="I22" s="85" t="s">
        <v>358</v>
      </c>
      <c r="J22" s="675" t="s">
        <v>358</v>
      </c>
      <c r="K22" s="85" t="s">
        <v>358</v>
      </c>
      <c r="L22" s="85" t="s">
        <v>40</v>
      </c>
      <c r="M22" s="85" t="s">
        <v>3</v>
      </c>
      <c r="N22" s="668" t="s">
        <v>44</v>
      </c>
      <c r="O22" s="669">
        <v>7</v>
      </c>
      <c r="P22" s="615">
        <v>7</v>
      </c>
      <c r="Q22" s="615">
        <v>7</v>
      </c>
      <c r="R22" s="615"/>
      <c r="S22" s="615"/>
      <c r="T22" s="615"/>
      <c r="U22" s="615"/>
      <c r="V22" s="615"/>
      <c r="W22" s="615"/>
      <c r="X22" s="615"/>
      <c r="Y22" s="615"/>
      <c r="Z22" s="635"/>
      <c r="AA22" s="636"/>
      <c r="AB22" s="615"/>
      <c r="AC22" s="615"/>
      <c r="AD22" s="615"/>
      <c r="AE22" s="615"/>
      <c r="AF22" s="615"/>
      <c r="AG22" s="615"/>
      <c r="AH22" s="615"/>
      <c r="AI22" s="615"/>
      <c r="AJ22" s="615"/>
      <c r="AK22" s="615"/>
      <c r="AL22" s="635"/>
      <c r="AM22" s="636"/>
      <c r="AN22" s="615"/>
      <c r="AO22" s="615"/>
      <c r="AP22" s="615"/>
      <c r="AQ22" s="615"/>
      <c r="AR22" s="615"/>
      <c r="AS22" s="615"/>
      <c r="AT22" s="615"/>
      <c r="AU22" s="615"/>
      <c r="AV22" s="615"/>
      <c r="AW22" s="615"/>
      <c r="AX22" s="635"/>
      <c r="AY22" s="636"/>
      <c r="AZ22" s="615"/>
      <c r="BA22" s="615"/>
      <c r="BB22" s="615"/>
      <c r="BC22" s="615"/>
      <c r="BD22" s="615"/>
      <c r="BE22" s="615"/>
      <c r="BF22" s="615"/>
      <c r="BG22" s="615"/>
      <c r="BH22" s="615"/>
      <c r="BI22" s="615"/>
      <c r="BJ22" s="635"/>
      <c r="BK22" s="636"/>
      <c r="BL22" s="615"/>
      <c r="BM22" s="615"/>
      <c r="BN22" s="615"/>
      <c r="BO22" s="615"/>
      <c r="BP22" s="615"/>
      <c r="BQ22" s="615"/>
      <c r="BR22" s="615"/>
      <c r="BS22" s="615"/>
      <c r="BT22" s="615"/>
      <c r="BU22" s="615"/>
      <c r="BV22" s="637"/>
      <c r="BW22" s="669">
        <v>440</v>
      </c>
      <c r="BX22" s="615">
        <v>440</v>
      </c>
      <c r="BY22" s="615">
        <v>440</v>
      </c>
      <c r="BZ22" s="615"/>
      <c r="CA22" s="615"/>
      <c r="CB22" s="615"/>
      <c r="CC22" s="615"/>
      <c r="CD22" s="615"/>
      <c r="CE22" s="615"/>
      <c r="CF22" s="615"/>
      <c r="CG22" s="615"/>
      <c r="CH22" s="635"/>
      <c r="CI22" s="636"/>
      <c r="CJ22" s="615"/>
      <c r="CK22" s="615"/>
      <c r="CL22" s="615"/>
      <c r="CM22" s="615"/>
      <c r="CN22" s="615"/>
      <c r="CO22" s="615"/>
      <c r="CP22" s="615"/>
      <c r="CQ22" s="615"/>
      <c r="CR22" s="615"/>
      <c r="CS22" s="615"/>
      <c r="CT22" s="635"/>
      <c r="CU22" s="636"/>
      <c r="CV22" s="615"/>
      <c r="CW22" s="615"/>
      <c r="CX22" s="615"/>
      <c r="CY22" s="615"/>
      <c r="CZ22" s="615"/>
      <c r="DA22" s="615"/>
      <c r="DB22" s="615"/>
      <c r="DC22" s="615"/>
      <c r="DD22" s="615"/>
      <c r="DE22" s="615"/>
      <c r="DF22" s="635"/>
      <c r="DG22" s="636"/>
      <c r="DH22" s="615"/>
      <c r="DI22" s="615"/>
      <c r="DJ22" s="615"/>
      <c r="DK22" s="615"/>
      <c r="DL22" s="615"/>
      <c r="DM22" s="615"/>
      <c r="DN22" s="615"/>
      <c r="DO22" s="615"/>
      <c r="DP22" s="615"/>
      <c r="DQ22" s="615"/>
      <c r="DR22" s="635"/>
      <c r="DS22" s="636"/>
      <c r="DT22" s="615"/>
      <c r="DU22" s="615"/>
      <c r="DV22" s="615"/>
      <c r="DW22" s="615"/>
      <c r="DX22" s="615"/>
      <c r="DY22" s="615"/>
      <c r="DZ22" s="615"/>
      <c r="EA22" s="615"/>
      <c r="EB22" s="615"/>
      <c r="EC22" s="615"/>
      <c r="ED22" s="637"/>
      <c r="EE22" s="692"/>
    </row>
    <row r="23" spans="1:135" x14ac:dyDescent="0.25">
      <c r="A23" s="640" t="s">
        <v>11</v>
      </c>
      <c r="B23" s="367" t="s">
        <v>700</v>
      </c>
      <c r="C23" s="367" t="s">
        <v>513</v>
      </c>
      <c r="D23" s="367" t="s">
        <v>699</v>
      </c>
      <c r="E23" s="503" t="s">
        <v>556</v>
      </c>
      <c r="F23" s="570">
        <v>44483</v>
      </c>
      <c r="G23" s="85" t="s">
        <v>59</v>
      </c>
      <c r="H23" s="85" t="s">
        <v>54</v>
      </c>
      <c r="I23" s="85" t="s">
        <v>358</v>
      </c>
      <c r="J23" s="675" t="s">
        <v>358</v>
      </c>
      <c r="K23" s="85" t="s">
        <v>358</v>
      </c>
      <c r="L23" s="85" t="s">
        <v>40</v>
      </c>
      <c r="M23" s="85" t="s">
        <v>3</v>
      </c>
      <c r="N23" s="668" t="s">
        <v>44</v>
      </c>
      <c r="O23" s="669"/>
      <c r="P23" s="615"/>
      <c r="Q23" s="615"/>
      <c r="R23" s="615"/>
      <c r="S23" s="615"/>
      <c r="T23" s="615"/>
      <c r="U23" s="615">
        <v>2</v>
      </c>
      <c r="V23" s="615">
        <v>2</v>
      </c>
      <c r="W23" s="615">
        <v>2</v>
      </c>
      <c r="X23" s="615"/>
      <c r="Y23" s="615"/>
      <c r="Z23" s="635"/>
      <c r="AA23" s="636"/>
      <c r="AB23" s="615"/>
      <c r="AC23" s="615"/>
      <c r="AD23" s="615"/>
      <c r="AE23" s="615"/>
      <c r="AF23" s="615"/>
      <c r="AG23" s="615"/>
      <c r="AH23" s="615"/>
      <c r="AI23" s="615"/>
      <c r="AJ23" s="615"/>
      <c r="AK23" s="615"/>
      <c r="AL23" s="635"/>
      <c r="AM23" s="636"/>
      <c r="AN23" s="615"/>
      <c r="AO23" s="615"/>
      <c r="AP23" s="615"/>
      <c r="AQ23" s="615"/>
      <c r="AR23" s="615"/>
      <c r="AS23" s="615"/>
      <c r="AT23" s="615"/>
      <c r="AU23" s="615"/>
      <c r="AV23" s="615"/>
      <c r="AW23" s="615"/>
      <c r="AX23" s="635"/>
      <c r="AY23" s="636"/>
      <c r="AZ23" s="615"/>
      <c r="BA23" s="615"/>
      <c r="BB23" s="615"/>
      <c r="BC23" s="615"/>
      <c r="BD23" s="615"/>
      <c r="BE23" s="615"/>
      <c r="BF23" s="615"/>
      <c r="BG23" s="615"/>
      <c r="BH23" s="615"/>
      <c r="BI23" s="615"/>
      <c r="BJ23" s="635"/>
      <c r="BK23" s="636"/>
      <c r="BL23" s="615"/>
      <c r="BM23" s="615"/>
      <c r="BN23" s="615"/>
      <c r="BO23" s="615"/>
      <c r="BP23" s="615"/>
      <c r="BQ23" s="615"/>
      <c r="BR23" s="615"/>
      <c r="BS23" s="615"/>
      <c r="BT23" s="615"/>
      <c r="BU23" s="615"/>
      <c r="BV23" s="637"/>
      <c r="BW23" s="669"/>
      <c r="BX23" s="615"/>
      <c r="BY23" s="615"/>
      <c r="BZ23" s="615"/>
      <c r="CA23" s="615"/>
      <c r="CB23" s="615"/>
      <c r="CC23" s="615">
        <v>335</v>
      </c>
      <c r="CD23" s="615">
        <v>335</v>
      </c>
      <c r="CE23" s="615">
        <v>335</v>
      </c>
      <c r="CF23" s="615"/>
      <c r="CG23" s="615"/>
      <c r="CH23" s="635"/>
      <c r="CI23" s="636"/>
      <c r="CJ23" s="615"/>
      <c r="CK23" s="615"/>
      <c r="CL23" s="615"/>
      <c r="CM23" s="615"/>
      <c r="CN23" s="615"/>
      <c r="CO23" s="615"/>
      <c r="CP23" s="615"/>
      <c r="CQ23" s="615"/>
      <c r="CR23" s="615"/>
      <c r="CS23" s="615"/>
      <c r="CT23" s="635"/>
      <c r="CU23" s="636"/>
      <c r="CV23" s="615"/>
      <c r="CW23" s="615"/>
      <c r="CX23" s="615"/>
      <c r="CY23" s="615"/>
      <c r="CZ23" s="615"/>
      <c r="DA23" s="615"/>
      <c r="DB23" s="615"/>
      <c r="DC23" s="615"/>
      <c r="DD23" s="615"/>
      <c r="DE23" s="615"/>
      <c r="DF23" s="635"/>
      <c r="DG23" s="636"/>
      <c r="DH23" s="615"/>
      <c r="DI23" s="615"/>
      <c r="DJ23" s="615"/>
      <c r="DK23" s="615"/>
      <c r="DL23" s="615"/>
      <c r="DM23" s="615"/>
      <c r="DN23" s="615"/>
      <c r="DO23" s="615"/>
      <c r="DP23" s="615"/>
      <c r="DQ23" s="615"/>
      <c r="DR23" s="635"/>
      <c r="DS23" s="636"/>
      <c r="DT23" s="615"/>
      <c r="DU23" s="615"/>
      <c r="DV23" s="615"/>
      <c r="DW23" s="615"/>
      <c r="DX23" s="615"/>
      <c r="DY23" s="615"/>
      <c r="DZ23" s="615"/>
      <c r="EA23" s="615"/>
      <c r="EB23" s="615"/>
      <c r="EC23" s="615"/>
      <c r="ED23" s="637"/>
      <c r="EE23" s="692"/>
    </row>
    <row r="24" spans="1:135" x14ac:dyDescent="0.25">
      <c r="A24" s="640" t="s">
        <v>11</v>
      </c>
      <c r="B24" s="367" t="s">
        <v>702</v>
      </c>
      <c r="C24" s="367" t="s">
        <v>513</v>
      </c>
      <c r="D24" s="367" t="s">
        <v>701</v>
      </c>
      <c r="E24" s="503" t="s">
        <v>557</v>
      </c>
      <c r="F24" s="570">
        <v>44483</v>
      </c>
      <c r="G24" s="85" t="s">
        <v>58</v>
      </c>
      <c r="H24" s="85" t="s">
        <v>54</v>
      </c>
      <c r="I24" s="85" t="s">
        <v>358</v>
      </c>
      <c r="J24" s="675" t="s">
        <v>358</v>
      </c>
      <c r="K24" s="85" t="s">
        <v>358</v>
      </c>
      <c r="L24" s="85" t="s">
        <v>40</v>
      </c>
      <c r="M24" s="85" t="s">
        <v>3</v>
      </c>
      <c r="N24" s="668" t="s">
        <v>44</v>
      </c>
      <c r="O24" s="669"/>
      <c r="P24" s="615"/>
      <c r="Q24" s="615"/>
      <c r="R24" s="615">
        <v>-2</v>
      </c>
      <c r="S24" s="615">
        <v>-2</v>
      </c>
      <c r="T24" s="615">
        <v>-2</v>
      </c>
      <c r="U24" s="615"/>
      <c r="V24" s="615"/>
      <c r="W24" s="615"/>
      <c r="X24" s="615"/>
      <c r="Y24" s="615"/>
      <c r="Z24" s="635"/>
      <c r="AA24" s="636"/>
      <c r="AB24" s="615"/>
      <c r="AC24" s="615"/>
      <c r="AD24" s="615"/>
      <c r="AE24" s="615"/>
      <c r="AF24" s="615"/>
      <c r="AG24" s="615"/>
      <c r="AH24" s="615"/>
      <c r="AI24" s="615"/>
      <c r="AJ24" s="615"/>
      <c r="AK24" s="615"/>
      <c r="AL24" s="635"/>
      <c r="AM24" s="636"/>
      <c r="AN24" s="615"/>
      <c r="AO24" s="615"/>
      <c r="AP24" s="615"/>
      <c r="AQ24" s="615"/>
      <c r="AR24" s="615"/>
      <c r="AS24" s="615"/>
      <c r="AT24" s="615"/>
      <c r="AU24" s="615"/>
      <c r="AV24" s="615"/>
      <c r="AW24" s="615"/>
      <c r="AX24" s="635"/>
      <c r="AY24" s="636"/>
      <c r="AZ24" s="615"/>
      <c r="BA24" s="615"/>
      <c r="BB24" s="615"/>
      <c r="BC24" s="615"/>
      <c r="BD24" s="615"/>
      <c r="BE24" s="615"/>
      <c r="BF24" s="615"/>
      <c r="BG24" s="615"/>
      <c r="BH24" s="615"/>
      <c r="BI24" s="615"/>
      <c r="BJ24" s="635"/>
      <c r="BK24" s="636"/>
      <c r="BL24" s="615"/>
      <c r="BM24" s="615"/>
      <c r="BN24" s="615"/>
      <c r="BO24" s="615"/>
      <c r="BP24" s="615"/>
      <c r="BQ24" s="615"/>
      <c r="BR24" s="615"/>
      <c r="BS24" s="615"/>
      <c r="BT24" s="615"/>
      <c r="BU24" s="615"/>
      <c r="BV24" s="637"/>
      <c r="BW24" s="669"/>
      <c r="BX24" s="615"/>
      <c r="BY24" s="615"/>
      <c r="BZ24" s="615">
        <v>200</v>
      </c>
      <c r="CA24" s="615">
        <v>200</v>
      </c>
      <c r="CB24" s="615">
        <v>200</v>
      </c>
      <c r="CC24" s="615"/>
      <c r="CD24" s="615"/>
      <c r="CE24" s="615"/>
      <c r="CF24" s="615"/>
      <c r="CG24" s="615"/>
      <c r="CH24" s="635"/>
      <c r="CI24" s="636"/>
      <c r="CJ24" s="615"/>
      <c r="CK24" s="615"/>
      <c r="CL24" s="615"/>
      <c r="CM24" s="615"/>
      <c r="CN24" s="615"/>
      <c r="CO24" s="615"/>
      <c r="CP24" s="615"/>
      <c r="CQ24" s="615"/>
      <c r="CR24" s="615"/>
      <c r="CS24" s="615"/>
      <c r="CT24" s="635"/>
      <c r="CU24" s="636"/>
      <c r="CV24" s="615"/>
      <c r="CW24" s="615"/>
      <c r="CX24" s="615"/>
      <c r="CY24" s="615"/>
      <c r="CZ24" s="615"/>
      <c r="DA24" s="615"/>
      <c r="DB24" s="615"/>
      <c r="DC24" s="615"/>
      <c r="DD24" s="615"/>
      <c r="DE24" s="615"/>
      <c r="DF24" s="635"/>
      <c r="DG24" s="636"/>
      <c r="DH24" s="615"/>
      <c r="DI24" s="615"/>
      <c r="DJ24" s="615"/>
      <c r="DK24" s="615"/>
      <c r="DL24" s="615"/>
      <c r="DM24" s="615"/>
      <c r="DN24" s="615"/>
      <c r="DO24" s="615"/>
      <c r="DP24" s="615"/>
      <c r="DQ24" s="615"/>
      <c r="DR24" s="635"/>
      <c r="DS24" s="636"/>
      <c r="DT24" s="615"/>
      <c r="DU24" s="615"/>
      <c r="DV24" s="615"/>
      <c r="DW24" s="615"/>
      <c r="DX24" s="615"/>
      <c r="DY24" s="615"/>
      <c r="DZ24" s="615"/>
      <c r="EA24" s="615"/>
      <c r="EB24" s="615"/>
      <c r="EC24" s="615"/>
      <c r="ED24" s="637"/>
      <c r="EE24" s="692"/>
    </row>
    <row r="25" spans="1:135" x14ac:dyDescent="0.25">
      <c r="A25" s="640" t="s">
        <v>11</v>
      </c>
      <c r="B25" s="367" t="s">
        <v>704</v>
      </c>
      <c r="C25" s="367" t="s">
        <v>506</v>
      </c>
      <c r="D25" s="367" t="s">
        <v>703</v>
      </c>
      <c r="E25" s="503" t="s">
        <v>558</v>
      </c>
      <c r="F25" s="570">
        <v>44488</v>
      </c>
      <c r="G25" s="85" t="s">
        <v>58</v>
      </c>
      <c r="H25" s="85" t="s">
        <v>54</v>
      </c>
      <c r="I25" s="85" t="s">
        <v>358</v>
      </c>
      <c r="J25" s="675" t="s">
        <v>358</v>
      </c>
      <c r="K25" s="85" t="s">
        <v>358</v>
      </c>
      <c r="L25" s="85" t="s">
        <v>40</v>
      </c>
      <c r="M25" s="85" t="s">
        <v>3</v>
      </c>
      <c r="N25" s="668" t="s">
        <v>44</v>
      </c>
      <c r="O25" s="669"/>
      <c r="P25" s="615"/>
      <c r="Q25" s="615"/>
      <c r="R25" s="615">
        <v>-5</v>
      </c>
      <c r="S25" s="615">
        <v>-5</v>
      </c>
      <c r="T25" s="615">
        <v>-5</v>
      </c>
      <c r="U25" s="615"/>
      <c r="V25" s="615"/>
      <c r="W25" s="615"/>
      <c r="X25" s="615"/>
      <c r="Y25" s="615"/>
      <c r="Z25" s="635"/>
      <c r="AA25" s="636"/>
      <c r="AB25" s="615"/>
      <c r="AC25" s="615"/>
      <c r="AD25" s="615"/>
      <c r="AE25" s="615"/>
      <c r="AF25" s="615"/>
      <c r="AG25" s="615"/>
      <c r="AH25" s="615"/>
      <c r="AI25" s="615"/>
      <c r="AJ25" s="615"/>
      <c r="AK25" s="615"/>
      <c r="AL25" s="635"/>
      <c r="AM25" s="636"/>
      <c r="AN25" s="615"/>
      <c r="AO25" s="615"/>
      <c r="AP25" s="615"/>
      <c r="AQ25" s="615"/>
      <c r="AR25" s="615"/>
      <c r="AS25" s="615"/>
      <c r="AT25" s="615"/>
      <c r="AU25" s="615"/>
      <c r="AV25" s="615"/>
      <c r="AW25" s="615"/>
      <c r="AX25" s="635"/>
      <c r="AY25" s="636"/>
      <c r="AZ25" s="615"/>
      <c r="BA25" s="615"/>
      <c r="BB25" s="615"/>
      <c r="BC25" s="615"/>
      <c r="BD25" s="615"/>
      <c r="BE25" s="615"/>
      <c r="BF25" s="615"/>
      <c r="BG25" s="615"/>
      <c r="BH25" s="615"/>
      <c r="BI25" s="615"/>
      <c r="BJ25" s="635"/>
      <c r="BK25" s="636"/>
      <c r="BL25" s="615"/>
      <c r="BM25" s="615"/>
      <c r="BN25" s="615"/>
      <c r="BO25" s="615"/>
      <c r="BP25" s="615"/>
      <c r="BQ25" s="615"/>
      <c r="BR25" s="615"/>
      <c r="BS25" s="615"/>
      <c r="BT25" s="615"/>
      <c r="BU25" s="615"/>
      <c r="BV25" s="637"/>
      <c r="BW25" s="669"/>
      <c r="BX25" s="615"/>
      <c r="BY25" s="615"/>
      <c r="BZ25" s="615">
        <v>195</v>
      </c>
      <c r="CA25" s="615">
        <v>195</v>
      </c>
      <c r="CB25" s="615">
        <v>195</v>
      </c>
      <c r="CC25" s="615"/>
      <c r="CD25" s="615"/>
      <c r="CE25" s="615"/>
      <c r="CF25" s="615"/>
      <c r="CG25" s="615"/>
      <c r="CH25" s="635"/>
      <c r="CI25" s="636"/>
      <c r="CJ25" s="615"/>
      <c r="CK25" s="615"/>
      <c r="CL25" s="615"/>
      <c r="CM25" s="615"/>
      <c r="CN25" s="615"/>
      <c r="CO25" s="615"/>
      <c r="CP25" s="615"/>
      <c r="CQ25" s="615"/>
      <c r="CR25" s="615"/>
      <c r="CS25" s="615"/>
      <c r="CT25" s="635"/>
      <c r="CU25" s="636"/>
      <c r="CV25" s="615"/>
      <c r="CW25" s="615"/>
      <c r="CX25" s="615"/>
      <c r="CY25" s="615"/>
      <c r="CZ25" s="615"/>
      <c r="DA25" s="615"/>
      <c r="DB25" s="615"/>
      <c r="DC25" s="615"/>
      <c r="DD25" s="615"/>
      <c r="DE25" s="615"/>
      <c r="DF25" s="635"/>
      <c r="DG25" s="636"/>
      <c r="DH25" s="615"/>
      <c r="DI25" s="615"/>
      <c r="DJ25" s="615"/>
      <c r="DK25" s="615"/>
      <c r="DL25" s="615"/>
      <c r="DM25" s="615"/>
      <c r="DN25" s="615"/>
      <c r="DO25" s="615"/>
      <c r="DP25" s="615"/>
      <c r="DQ25" s="615"/>
      <c r="DR25" s="635"/>
      <c r="DS25" s="636"/>
      <c r="DT25" s="615"/>
      <c r="DU25" s="615"/>
      <c r="DV25" s="615"/>
      <c r="DW25" s="615"/>
      <c r="DX25" s="615"/>
      <c r="DY25" s="615"/>
      <c r="DZ25" s="615"/>
      <c r="EA25" s="615"/>
      <c r="EB25" s="615"/>
      <c r="EC25" s="615"/>
      <c r="ED25" s="637"/>
      <c r="EE25" s="692"/>
    </row>
    <row r="26" spans="1:135" x14ac:dyDescent="0.25">
      <c r="A26" s="640" t="s">
        <v>11</v>
      </c>
      <c r="B26" s="367" t="s">
        <v>706</v>
      </c>
      <c r="C26" s="367" t="s">
        <v>506</v>
      </c>
      <c r="D26" s="367" t="s">
        <v>705</v>
      </c>
      <c r="E26" s="503" t="s">
        <v>559</v>
      </c>
      <c r="F26" s="570">
        <v>44488</v>
      </c>
      <c r="G26" s="85" t="s">
        <v>58</v>
      </c>
      <c r="H26" s="85" t="s">
        <v>54</v>
      </c>
      <c r="I26" s="85" t="s">
        <v>358</v>
      </c>
      <c r="J26" s="675" t="s">
        <v>358</v>
      </c>
      <c r="K26" s="85" t="s">
        <v>358</v>
      </c>
      <c r="L26" s="85" t="s">
        <v>40</v>
      </c>
      <c r="M26" s="85" t="s">
        <v>3</v>
      </c>
      <c r="N26" s="668" t="s">
        <v>44</v>
      </c>
      <c r="O26" s="669"/>
      <c r="P26" s="615"/>
      <c r="Q26" s="615"/>
      <c r="R26" s="615">
        <v>-5</v>
      </c>
      <c r="S26" s="615">
        <v>-5</v>
      </c>
      <c r="T26" s="615">
        <v>-5</v>
      </c>
      <c r="U26" s="615"/>
      <c r="V26" s="615"/>
      <c r="W26" s="615"/>
      <c r="X26" s="615"/>
      <c r="Y26" s="615"/>
      <c r="Z26" s="635"/>
      <c r="AA26" s="636"/>
      <c r="AB26" s="615"/>
      <c r="AC26" s="615"/>
      <c r="AD26" s="615"/>
      <c r="AE26" s="615"/>
      <c r="AF26" s="615"/>
      <c r="AG26" s="615"/>
      <c r="AH26" s="615"/>
      <c r="AI26" s="615"/>
      <c r="AJ26" s="615"/>
      <c r="AK26" s="615"/>
      <c r="AL26" s="635"/>
      <c r="AM26" s="636"/>
      <c r="AN26" s="615"/>
      <c r="AO26" s="615"/>
      <c r="AP26" s="615"/>
      <c r="AQ26" s="615"/>
      <c r="AR26" s="615"/>
      <c r="AS26" s="615"/>
      <c r="AT26" s="615"/>
      <c r="AU26" s="615"/>
      <c r="AV26" s="615"/>
      <c r="AW26" s="615"/>
      <c r="AX26" s="635"/>
      <c r="AY26" s="636"/>
      <c r="AZ26" s="615"/>
      <c r="BA26" s="615"/>
      <c r="BB26" s="615"/>
      <c r="BC26" s="615"/>
      <c r="BD26" s="615"/>
      <c r="BE26" s="615"/>
      <c r="BF26" s="615"/>
      <c r="BG26" s="615"/>
      <c r="BH26" s="615"/>
      <c r="BI26" s="615"/>
      <c r="BJ26" s="635"/>
      <c r="BK26" s="636"/>
      <c r="BL26" s="615"/>
      <c r="BM26" s="615"/>
      <c r="BN26" s="615"/>
      <c r="BO26" s="615"/>
      <c r="BP26" s="615"/>
      <c r="BQ26" s="615"/>
      <c r="BR26" s="615"/>
      <c r="BS26" s="615"/>
      <c r="BT26" s="615"/>
      <c r="BU26" s="615"/>
      <c r="BV26" s="637"/>
      <c r="BW26" s="669"/>
      <c r="BX26" s="615"/>
      <c r="BY26" s="615"/>
      <c r="BZ26" s="615">
        <v>200</v>
      </c>
      <c r="CA26" s="615">
        <v>200</v>
      </c>
      <c r="CB26" s="615">
        <v>200</v>
      </c>
      <c r="CC26" s="615"/>
      <c r="CD26" s="615"/>
      <c r="CE26" s="615"/>
      <c r="CF26" s="615"/>
      <c r="CG26" s="615"/>
      <c r="CH26" s="635"/>
      <c r="CI26" s="636"/>
      <c r="CJ26" s="615"/>
      <c r="CK26" s="615"/>
      <c r="CL26" s="615"/>
      <c r="CM26" s="615"/>
      <c r="CN26" s="615"/>
      <c r="CO26" s="615"/>
      <c r="CP26" s="615"/>
      <c r="CQ26" s="615"/>
      <c r="CR26" s="615"/>
      <c r="CS26" s="615"/>
      <c r="CT26" s="635"/>
      <c r="CU26" s="636"/>
      <c r="CV26" s="615"/>
      <c r="CW26" s="615"/>
      <c r="CX26" s="615"/>
      <c r="CY26" s="615"/>
      <c r="CZ26" s="615"/>
      <c r="DA26" s="615"/>
      <c r="DB26" s="615"/>
      <c r="DC26" s="615"/>
      <c r="DD26" s="615"/>
      <c r="DE26" s="615"/>
      <c r="DF26" s="635"/>
      <c r="DG26" s="636"/>
      <c r="DH26" s="615"/>
      <c r="DI26" s="615"/>
      <c r="DJ26" s="615"/>
      <c r="DK26" s="615"/>
      <c r="DL26" s="615"/>
      <c r="DM26" s="615"/>
      <c r="DN26" s="615"/>
      <c r="DO26" s="615"/>
      <c r="DP26" s="615"/>
      <c r="DQ26" s="615"/>
      <c r="DR26" s="635"/>
      <c r="DS26" s="636"/>
      <c r="DT26" s="615"/>
      <c r="DU26" s="615"/>
      <c r="DV26" s="615"/>
      <c r="DW26" s="615"/>
      <c r="DX26" s="615"/>
      <c r="DY26" s="615"/>
      <c r="DZ26" s="615"/>
      <c r="EA26" s="615"/>
      <c r="EB26" s="615"/>
      <c r="EC26" s="615"/>
      <c r="ED26" s="637"/>
      <c r="EE26" s="692"/>
    </row>
    <row r="27" spans="1:135" x14ac:dyDescent="0.25">
      <c r="A27" s="640" t="s">
        <v>11</v>
      </c>
      <c r="B27" s="367" t="s">
        <v>708</v>
      </c>
      <c r="C27" s="367" t="s">
        <v>357</v>
      </c>
      <c r="D27" s="367" t="s">
        <v>707</v>
      </c>
      <c r="E27" s="503" t="s">
        <v>560</v>
      </c>
      <c r="F27" s="570">
        <v>44488</v>
      </c>
      <c r="G27" s="85" t="s">
        <v>59</v>
      </c>
      <c r="H27" s="85" t="s">
        <v>54</v>
      </c>
      <c r="I27" s="85" t="s">
        <v>358</v>
      </c>
      <c r="J27" s="675" t="s">
        <v>358</v>
      </c>
      <c r="K27" s="85" t="s">
        <v>358</v>
      </c>
      <c r="L27" s="85" t="s">
        <v>40</v>
      </c>
      <c r="M27" s="85" t="s">
        <v>3</v>
      </c>
      <c r="N27" s="668" t="s">
        <v>44</v>
      </c>
      <c r="O27" s="669"/>
      <c r="P27" s="615"/>
      <c r="Q27" s="615"/>
      <c r="R27" s="615"/>
      <c r="S27" s="615"/>
      <c r="T27" s="615"/>
      <c r="U27" s="615">
        <v>5</v>
      </c>
      <c r="V27" s="615">
        <v>5</v>
      </c>
      <c r="W27" s="615">
        <v>5</v>
      </c>
      <c r="X27" s="615"/>
      <c r="Y27" s="615"/>
      <c r="Z27" s="635"/>
      <c r="AA27" s="636"/>
      <c r="AB27" s="615"/>
      <c r="AC27" s="615"/>
      <c r="AD27" s="615"/>
      <c r="AE27" s="615"/>
      <c r="AF27" s="615"/>
      <c r="AG27" s="615"/>
      <c r="AH27" s="615"/>
      <c r="AI27" s="615"/>
      <c r="AJ27" s="615"/>
      <c r="AK27" s="615"/>
      <c r="AL27" s="635"/>
      <c r="AM27" s="636"/>
      <c r="AN27" s="615"/>
      <c r="AO27" s="615"/>
      <c r="AP27" s="615"/>
      <c r="AQ27" s="615"/>
      <c r="AR27" s="615"/>
      <c r="AS27" s="615"/>
      <c r="AT27" s="615"/>
      <c r="AU27" s="615"/>
      <c r="AV27" s="615"/>
      <c r="AW27" s="615"/>
      <c r="AX27" s="635"/>
      <c r="AY27" s="636"/>
      <c r="AZ27" s="615"/>
      <c r="BA27" s="615"/>
      <c r="BB27" s="615"/>
      <c r="BC27" s="615"/>
      <c r="BD27" s="615"/>
      <c r="BE27" s="615"/>
      <c r="BF27" s="615"/>
      <c r="BG27" s="615"/>
      <c r="BH27" s="615"/>
      <c r="BI27" s="615"/>
      <c r="BJ27" s="635"/>
      <c r="BK27" s="636"/>
      <c r="BL27" s="615"/>
      <c r="BM27" s="615"/>
      <c r="BN27" s="615"/>
      <c r="BO27" s="615"/>
      <c r="BP27" s="615"/>
      <c r="BQ27" s="615"/>
      <c r="BR27" s="615"/>
      <c r="BS27" s="615"/>
      <c r="BT27" s="615"/>
      <c r="BU27" s="615"/>
      <c r="BV27" s="637"/>
      <c r="BW27" s="669"/>
      <c r="BX27" s="615"/>
      <c r="BY27" s="615"/>
      <c r="BZ27" s="615"/>
      <c r="CA27" s="615"/>
      <c r="CB27" s="615"/>
      <c r="CC27" s="615">
        <v>322</v>
      </c>
      <c r="CD27" s="615">
        <v>322</v>
      </c>
      <c r="CE27" s="615">
        <v>322</v>
      </c>
      <c r="CF27" s="615"/>
      <c r="CG27" s="615"/>
      <c r="CH27" s="635"/>
      <c r="CI27" s="636"/>
      <c r="CJ27" s="615"/>
      <c r="CK27" s="615"/>
      <c r="CL27" s="615"/>
      <c r="CM27" s="615"/>
      <c r="CN27" s="615"/>
      <c r="CO27" s="615"/>
      <c r="CP27" s="615"/>
      <c r="CQ27" s="615"/>
      <c r="CR27" s="615"/>
      <c r="CS27" s="615"/>
      <c r="CT27" s="635"/>
      <c r="CU27" s="636"/>
      <c r="CV27" s="615"/>
      <c r="CW27" s="615"/>
      <c r="CX27" s="615"/>
      <c r="CY27" s="615"/>
      <c r="CZ27" s="615"/>
      <c r="DA27" s="615"/>
      <c r="DB27" s="615"/>
      <c r="DC27" s="615"/>
      <c r="DD27" s="615"/>
      <c r="DE27" s="615"/>
      <c r="DF27" s="635"/>
      <c r="DG27" s="636"/>
      <c r="DH27" s="615"/>
      <c r="DI27" s="615"/>
      <c r="DJ27" s="615"/>
      <c r="DK27" s="615"/>
      <c r="DL27" s="615"/>
      <c r="DM27" s="615"/>
      <c r="DN27" s="615"/>
      <c r="DO27" s="615"/>
      <c r="DP27" s="615"/>
      <c r="DQ27" s="615"/>
      <c r="DR27" s="635"/>
      <c r="DS27" s="636"/>
      <c r="DT27" s="615"/>
      <c r="DU27" s="615"/>
      <c r="DV27" s="615"/>
      <c r="DW27" s="615"/>
      <c r="DX27" s="615"/>
      <c r="DY27" s="615"/>
      <c r="DZ27" s="615"/>
      <c r="EA27" s="615"/>
      <c r="EB27" s="615"/>
      <c r="EC27" s="615"/>
      <c r="ED27" s="637"/>
      <c r="EE27" s="692"/>
    </row>
    <row r="28" spans="1:135" x14ac:dyDescent="0.25">
      <c r="A28" s="640" t="s">
        <v>11</v>
      </c>
      <c r="B28" s="367" t="s">
        <v>710</v>
      </c>
      <c r="C28" s="367" t="s">
        <v>478</v>
      </c>
      <c r="D28" s="367" t="s">
        <v>709</v>
      </c>
      <c r="E28" s="503" t="s">
        <v>561</v>
      </c>
      <c r="F28" s="570">
        <v>44488</v>
      </c>
      <c r="G28" s="85" t="s">
        <v>59</v>
      </c>
      <c r="H28" s="85" t="s">
        <v>54</v>
      </c>
      <c r="I28" s="85" t="s">
        <v>358</v>
      </c>
      <c r="J28" s="675" t="s">
        <v>358</v>
      </c>
      <c r="K28" s="85" t="s">
        <v>358</v>
      </c>
      <c r="L28" s="85" t="s">
        <v>40</v>
      </c>
      <c r="M28" s="85" t="s">
        <v>3</v>
      </c>
      <c r="N28" s="668" t="s">
        <v>44</v>
      </c>
      <c r="O28" s="669"/>
      <c r="P28" s="615"/>
      <c r="Q28" s="615"/>
      <c r="R28" s="615"/>
      <c r="S28" s="615"/>
      <c r="T28" s="615"/>
      <c r="U28" s="615">
        <v>2</v>
      </c>
      <c r="V28" s="615">
        <v>2</v>
      </c>
      <c r="W28" s="615">
        <v>2</v>
      </c>
      <c r="X28" s="615"/>
      <c r="Y28" s="615"/>
      <c r="Z28" s="635"/>
      <c r="AA28" s="636"/>
      <c r="AB28" s="615"/>
      <c r="AC28" s="615"/>
      <c r="AD28" s="615"/>
      <c r="AE28" s="615"/>
      <c r="AF28" s="615"/>
      <c r="AG28" s="615"/>
      <c r="AH28" s="615"/>
      <c r="AI28" s="615"/>
      <c r="AJ28" s="615"/>
      <c r="AK28" s="615"/>
      <c r="AL28" s="635"/>
      <c r="AM28" s="636"/>
      <c r="AN28" s="615"/>
      <c r="AO28" s="615"/>
      <c r="AP28" s="615"/>
      <c r="AQ28" s="615"/>
      <c r="AR28" s="615"/>
      <c r="AS28" s="615"/>
      <c r="AT28" s="615"/>
      <c r="AU28" s="615"/>
      <c r="AV28" s="615"/>
      <c r="AW28" s="615"/>
      <c r="AX28" s="635"/>
      <c r="AY28" s="636"/>
      <c r="AZ28" s="615"/>
      <c r="BA28" s="615"/>
      <c r="BB28" s="615"/>
      <c r="BC28" s="615"/>
      <c r="BD28" s="615"/>
      <c r="BE28" s="615"/>
      <c r="BF28" s="615"/>
      <c r="BG28" s="615"/>
      <c r="BH28" s="615"/>
      <c r="BI28" s="615"/>
      <c r="BJ28" s="635"/>
      <c r="BK28" s="636"/>
      <c r="BL28" s="615"/>
      <c r="BM28" s="615"/>
      <c r="BN28" s="615"/>
      <c r="BO28" s="615"/>
      <c r="BP28" s="615"/>
      <c r="BQ28" s="615"/>
      <c r="BR28" s="615"/>
      <c r="BS28" s="615"/>
      <c r="BT28" s="615"/>
      <c r="BU28" s="615"/>
      <c r="BV28" s="637"/>
      <c r="BW28" s="669"/>
      <c r="BX28" s="615"/>
      <c r="BY28" s="615"/>
      <c r="BZ28" s="615"/>
      <c r="CA28" s="615"/>
      <c r="CB28" s="615"/>
      <c r="CC28" s="615">
        <v>320</v>
      </c>
      <c r="CD28" s="615">
        <v>320</v>
      </c>
      <c r="CE28" s="615">
        <v>320</v>
      </c>
      <c r="CF28" s="615"/>
      <c r="CG28" s="615"/>
      <c r="CH28" s="635"/>
      <c r="CI28" s="636"/>
      <c r="CJ28" s="615"/>
      <c r="CK28" s="615"/>
      <c r="CL28" s="615"/>
      <c r="CM28" s="615"/>
      <c r="CN28" s="615"/>
      <c r="CO28" s="615"/>
      <c r="CP28" s="615"/>
      <c r="CQ28" s="615"/>
      <c r="CR28" s="615"/>
      <c r="CS28" s="615"/>
      <c r="CT28" s="635"/>
      <c r="CU28" s="636"/>
      <c r="CV28" s="615"/>
      <c r="CW28" s="615"/>
      <c r="CX28" s="615"/>
      <c r="CY28" s="615"/>
      <c r="CZ28" s="615"/>
      <c r="DA28" s="615"/>
      <c r="DB28" s="615"/>
      <c r="DC28" s="615"/>
      <c r="DD28" s="615"/>
      <c r="DE28" s="615"/>
      <c r="DF28" s="635"/>
      <c r="DG28" s="636"/>
      <c r="DH28" s="615"/>
      <c r="DI28" s="615"/>
      <c r="DJ28" s="615"/>
      <c r="DK28" s="615"/>
      <c r="DL28" s="615"/>
      <c r="DM28" s="615"/>
      <c r="DN28" s="615"/>
      <c r="DO28" s="615"/>
      <c r="DP28" s="615"/>
      <c r="DQ28" s="615"/>
      <c r="DR28" s="635"/>
      <c r="DS28" s="636"/>
      <c r="DT28" s="615"/>
      <c r="DU28" s="615"/>
      <c r="DV28" s="615"/>
      <c r="DW28" s="615"/>
      <c r="DX28" s="615"/>
      <c r="DY28" s="615"/>
      <c r="DZ28" s="615"/>
      <c r="EA28" s="615"/>
      <c r="EB28" s="615"/>
      <c r="EC28" s="615"/>
      <c r="ED28" s="637"/>
      <c r="EE28" s="692"/>
    </row>
    <row r="29" spans="1:135" x14ac:dyDescent="0.25">
      <c r="A29" s="640" t="s">
        <v>11</v>
      </c>
      <c r="B29" s="367" t="s">
        <v>712</v>
      </c>
      <c r="C29" s="367" t="s">
        <v>349</v>
      </c>
      <c r="D29" s="367" t="s">
        <v>711</v>
      </c>
      <c r="E29" s="503" t="s">
        <v>562</v>
      </c>
      <c r="F29" s="570">
        <v>44488</v>
      </c>
      <c r="G29" s="85" t="s">
        <v>58</v>
      </c>
      <c r="H29" s="85" t="s">
        <v>54</v>
      </c>
      <c r="I29" s="85" t="s">
        <v>358</v>
      </c>
      <c r="J29" s="675" t="s">
        <v>358</v>
      </c>
      <c r="K29" s="85" t="s">
        <v>358</v>
      </c>
      <c r="L29" s="85" t="s">
        <v>40</v>
      </c>
      <c r="M29" s="85" t="s">
        <v>3</v>
      </c>
      <c r="N29" s="668" t="s">
        <v>44</v>
      </c>
      <c r="O29" s="669"/>
      <c r="P29" s="615"/>
      <c r="Q29" s="615"/>
      <c r="R29" s="615">
        <v>-2</v>
      </c>
      <c r="S29" s="615">
        <v>-2</v>
      </c>
      <c r="T29" s="615">
        <v>-2</v>
      </c>
      <c r="U29" s="615"/>
      <c r="V29" s="615"/>
      <c r="W29" s="615"/>
      <c r="X29" s="615"/>
      <c r="Y29" s="615"/>
      <c r="Z29" s="635"/>
      <c r="AA29" s="636"/>
      <c r="AB29" s="615"/>
      <c r="AC29" s="615"/>
      <c r="AD29" s="615"/>
      <c r="AE29" s="615"/>
      <c r="AF29" s="615"/>
      <c r="AG29" s="615"/>
      <c r="AH29" s="615"/>
      <c r="AI29" s="615"/>
      <c r="AJ29" s="615"/>
      <c r="AK29" s="615"/>
      <c r="AL29" s="635"/>
      <c r="AM29" s="636"/>
      <c r="AN29" s="615"/>
      <c r="AO29" s="615"/>
      <c r="AP29" s="615"/>
      <c r="AQ29" s="615"/>
      <c r="AR29" s="615"/>
      <c r="AS29" s="615"/>
      <c r="AT29" s="615"/>
      <c r="AU29" s="615"/>
      <c r="AV29" s="615"/>
      <c r="AW29" s="615"/>
      <c r="AX29" s="635"/>
      <c r="AY29" s="636"/>
      <c r="AZ29" s="615"/>
      <c r="BA29" s="615"/>
      <c r="BB29" s="615"/>
      <c r="BC29" s="615"/>
      <c r="BD29" s="615"/>
      <c r="BE29" s="615"/>
      <c r="BF29" s="615"/>
      <c r="BG29" s="615"/>
      <c r="BH29" s="615"/>
      <c r="BI29" s="615"/>
      <c r="BJ29" s="635"/>
      <c r="BK29" s="636"/>
      <c r="BL29" s="615"/>
      <c r="BM29" s="615"/>
      <c r="BN29" s="615"/>
      <c r="BO29" s="615"/>
      <c r="BP29" s="615"/>
      <c r="BQ29" s="615"/>
      <c r="BR29" s="615"/>
      <c r="BS29" s="615"/>
      <c r="BT29" s="615"/>
      <c r="BU29" s="615"/>
      <c r="BV29" s="637"/>
      <c r="BW29" s="669"/>
      <c r="BX29" s="615"/>
      <c r="BY29" s="615"/>
      <c r="BZ29" s="615">
        <v>200</v>
      </c>
      <c r="CA29" s="615">
        <v>200</v>
      </c>
      <c r="CB29" s="615">
        <v>200</v>
      </c>
      <c r="CC29" s="615"/>
      <c r="CD29" s="615"/>
      <c r="CE29" s="615"/>
      <c r="CF29" s="615"/>
      <c r="CG29" s="615"/>
      <c r="CH29" s="635"/>
      <c r="CI29" s="636"/>
      <c r="CJ29" s="615"/>
      <c r="CK29" s="615"/>
      <c r="CL29" s="615"/>
      <c r="CM29" s="615"/>
      <c r="CN29" s="615"/>
      <c r="CO29" s="615"/>
      <c r="CP29" s="615"/>
      <c r="CQ29" s="615"/>
      <c r="CR29" s="615"/>
      <c r="CS29" s="615"/>
      <c r="CT29" s="635"/>
      <c r="CU29" s="636"/>
      <c r="CV29" s="615"/>
      <c r="CW29" s="615"/>
      <c r="CX29" s="615"/>
      <c r="CY29" s="615"/>
      <c r="CZ29" s="615"/>
      <c r="DA29" s="615"/>
      <c r="DB29" s="615"/>
      <c r="DC29" s="615"/>
      <c r="DD29" s="615"/>
      <c r="DE29" s="615"/>
      <c r="DF29" s="635"/>
      <c r="DG29" s="636"/>
      <c r="DH29" s="615"/>
      <c r="DI29" s="615"/>
      <c r="DJ29" s="615"/>
      <c r="DK29" s="615"/>
      <c r="DL29" s="615"/>
      <c r="DM29" s="615"/>
      <c r="DN29" s="615"/>
      <c r="DO29" s="615"/>
      <c r="DP29" s="615"/>
      <c r="DQ29" s="615"/>
      <c r="DR29" s="635"/>
      <c r="DS29" s="636"/>
      <c r="DT29" s="615"/>
      <c r="DU29" s="615"/>
      <c r="DV29" s="615"/>
      <c r="DW29" s="615"/>
      <c r="DX29" s="615"/>
      <c r="DY29" s="615"/>
      <c r="DZ29" s="615"/>
      <c r="EA29" s="615"/>
      <c r="EB29" s="615"/>
      <c r="EC29" s="615"/>
      <c r="ED29" s="637"/>
      <c r="EE29" s="692"/>
    </row>
    <row r="30" spans="1:135" x14ac:dyDescent="0.25">
      <c r="A30" s="640" t="s">
        <v>11</v>
      </c>
      <c r="B30" s="367" t="s">
        <v>714</v>
      </c>
      <c r="C30" s="367" t="s">
        <v>474</v>
      </c>
      <c r="D30" s="367" t="s">
        <v>713</v>
      </c>
      <c r="E30" s="503" t="s">
        <v>563</v>
      </c>
      <c r="F30" s="570">
        <v>44488</v>
      </c>
      <c r="G30" s="85" t="s">
        <v>59</v>
      </c>
      <c r="H30" s="85" t="s">
        <v>54</v>
      </c>
      <c r="I30" s="85" t="s">
        <v>358</v>
      </c>
      <c r="J30" s="675" t="s">
        <v>358</v>
      </c>
      <c r="K30" s="85" t="s">
        <v>358</v>
      </c>
      <c r="L30" s="85" t="s">
        <v>40</v>
      </c>
      <c r="M30" s="85" t="s">
        <v>3</v>
      </c>
      <c r="N30" s="668" t="s">
        <v>44</v>
      </c>
      <c r="O30" s="669"/>
      <c r="P30" s="615"/>
      <c r="Q30" s="615"/>
      <c r="R30" s="615"/>
      <c r="S30" s="615"/>
      <c r="T30" s="615"/>
      <c r="U30" s="615">
        <v>5</v>
      </c>
      <c r="V30" s="615">
        <v>5</v>
      </c>
      <c r="W30" s="615">
        <v>5</v>
      </c>
      <c r="X30" s="615"/>
      <c r="Y30" s="615"/>
      <c r="Z30" s="635"/>
      <c r="AA30" s="636"/>
      <c r="AB30" s="615"/>
      <c r="AC30" s="615"/>
      <c r="AD30" s="615"/>
      <c r="AE30" s="615"/>
      <c r="AF30" s="615"/>
      <c r="AG30" s="615"/>
      <c r="AH30" s="615"/>
      <c r="AI30" s="615"/>
      <c r="AJ30" s="615"/>
      <c r="AK30" s="615"/>
      <c r="AL30" s="635"/>
      <c r="AM30" s="636"/>
      <c r="AN30" s="615"/>
      <c r="AO30" s="615"/>
      <c r="AP30" s="615"/>
      <c r="AQ30" s="615"/>
      <c r="AR30" s="615"/>
      <c r="AS30" s="615"/>
      <c r="AT30" s="615"/>
      <c r="AU30" s="615"/>
      <c r="AV30" s="615"/>
      <c r="AW30" s="615"/>
      <c r="AX30" s="635"/>
      <c r="AY30" s="636"/>
      <c r="AZ30" s="615"/>
      <c r="BA30" s="615"/>
      <c r="BB30" s="615"/>
      <c r="BC30" s="615"/>
      <c r="BD30" s="615"/>
      <c r="BE30" s="615"/>
      <c r="BF30" s="615"/>
      <c r="BG30" s="615"/>
      <c r="BH30" s="615"/>
      <c r="BI30" s="615"/>
      <c r="BJ30" s="635"/>
      <c r="BK30" s="636"/>
      <c r="BL30" s="615"/>
      <c r="BM30" s="615"/>
      <c r="BN30" s="615"/>
      <c r="BO30" s="615"/>
      <c r="BP30" s="615"/>
      <c r="BQ30" s="615"/>
      <c r="BR30" s="615"/>
      <c r="BS30" s="615"/>
      <c r="BT30" s="615"/>
      <c r="BU30" s="615"/>
      <c r="BV30" s="637"/>
      <c r="BW30" s="669"/>
      <c r="BX30" s="615"/>
      <c r="BY30" s="615"/>
      <c r="BZ30" s="615"/>
      <c r="CA30" s="615"/>
      <c r="CB30" s="615"/>
      <c r="CC30" s="615">
        <v>320</v>
      </c>
      <c r="CD30" s="615">
        <v>320</v>
      </c>
      <c r="CE30" s="615">
        <v>320</v>
      </c>
      <c r="CF30" s="615"/>
      <c r="CG30" s="615"/>
      <c r="CH30" s="635"/>
      <c r="CI30" s="636"/>
      <c r="CJ30" s="615"/>
      <c r="CK30" s="615"/>
      <c r="CL30" s="615"/>
      <c r="CM30" s="615"/>
      <c r="CN30" s="615"/>
      <c r="CO30" s="615"/>
      <c r="CP30" s="615"/>
      <c r="CQ30" s="615"/>
      <c r="CR30" s="615"/>
      <c r="CS30" s="615"/>
      <c r="CT30" s="635"/>
      <c r="CU30" s="636"/>
      <c r="CV30" s="615"/>
      <c r="CW30" s="615"/>
      <c r="CX30" s="615"/>
      <c r="CY30" s="615"/>
      <c r="CZ30" s="615"/>
      <c r="DA30" s="615"/>
      <c r="DB30" s="615"/>
      <c r="DC30" s="615"/>
      <c r="DD30" s="615"/>
      <c r="DE30" s="615"/>
      <c r="DF30" s="635"/>
      <c r="DG30" s="636"/>
      <c r="DH30" s="615"/>
      <c r="DI30" s="615"/>
      <c r="DJ30" s="615"/>
      <c r="DK30" s="615"/>
      <c r="DL30" s="615"/>
      <c r="DM30" s="615"/>
      <c r="DN30" s="615"/>
      <c r="DO30" s="615"/>
      <c r="DP30" s="615"/>
      <c r="DQ30" s="615"/>
      <c r="DR30" s="635"/>
      <c r="DS30" s="636"/>
      <c r="DT30" s="615"/>
      <c r="DU30" s="615"/>
      <c r="DV30" s="615"/>
      <c r="DW30" s="615"/>
      <c r="DX30" s="615"/>
      <c r="DY30" s="615"/>
      <c r="DZ30" s="615"/>
      <c r="EA30" s="615"/>
      <c r="EB30" s="615"/>
      <c r="EC30" s="615"/>
      <c r="ED30" s="637"/>
      <c r="EE30" s="692"/>
    </row>
    <row r="31" spans="1:135" x14ac:dyDescent="0.25">
      <c r="A31" s="640" t="s">
        <v>11</v>
      </c>
      <c r="B31" s="367" t="s">
        <v>716</v>
      </c>
      <c r="C31" s="367" t="s">
        <v>357</v>
      </c>
      <c r="D31" s="367" t="s">
        <v>715</v>
      </c>
      <c r="E31" s="503" t="s">
        <v>565</v>
      </c>
      <c r="F31" s="570">
        <v>44490</v>
      </c>
      <c r="G31" s="85" t="s">
        <v>59</v>
      </c>
      <c r="H31" s="85" t="s">
        <v>54</v>
      </c>
      <c r="I31" s="85" t="s">
        <v>358</v>
      </c>
      <c r="J31" s="675" t="s">
        <v>358</v>
      </c>
      <c r="K31" s="85" t="s">
        <v>358</v>
      </c>
      <c r="L31" s="85" t="s">
        <v>40</v>
      </c>
      <c r="M31" s="85" t="s">
        <v>3</v>
      </c>
      <c r="N31" s="668" t="s">
        <v>44</v>
      </c>
      <c r="O31" s="669"/>
      <c r="P31" s="615"/>
      <c r="Q31" s="615"/>
      <c r="R31" s="615"/>
      <c r="S31" s="615"/>
      <c r="T31" s="615"/>
      <c r="U31" s="615">
        <v>5</v>
      </c>
      <c r="V31" s="615">
        <v>5</v>
      </c>
      <c r="W31" s="615">
        <v>5</v>
      </c>
      <c r="X31" s="615"/>
      <c r="Y31" s="615"/>
      <c r="Z31" s="635"/>
      <c r="AA31" s="636"/>
      <c r="AB31" s="615"/>
      <c r="AC31" s="615"/>
      <c r="AD31" s="615"/>
      <c r="AE31" s="615"/>
      <c r="AF31" s="615"/>
      <c r="AG31" s="615"/>
      <c r="AH31" s="615"/>
      <c r="AI31" s="615"/>
      <c r="AJ31" s="615"/>
      <c r="AK31" s="615"/>
      <c r="AL31" s="635"/>
      <c r="AM31" s="636"/>
      <c r="AN31" s="615"/>
      <c r="AO31" s="615"/>
      <c r="AP31" s="615"/>
      <c r="AQ31" s="615"/>
      <c r="AR31" s="615"/>
      <c r="AS31" s="615"/>
      <c r="AT31" s="615"/>
      <c r="AU31" s="615"/>
      <c r="AV31" s="615"/>
      <c r="AW31" s="615"/>
      <c r="AX31" s="635"/>
      <c r="AY31" s="636"/>
      <c r="AZ31" s="615"/>
      <c r="BA31" s="615"/>
      <c r="BB31" s="615"/>
      <c r="BC31" s="615"/>
      <c r="BD31" s="615"/>
      <c r="BE31" s="615"/>
      <c r="BF31" s="615"/>
      <c r="BG31" s="615"/>
      <c r="BH31" s="615"/>
      <c r="BI31" s="615"/>
      <c r="BJ31" s="635"/>
      <c r="BK31" s="636"/>
      <c r="BL31" s="615"/>
      <c r="BM31" s="615"/>
      <c r="BN31" s="615"/>
      <c r="BO31" s="615"/>
      <c r="BP31" s="615"/>
      <c r="BQ31" s="615"/>
      <c r="BR31" s="615"/>
      <c r="BS31" s="615"/>
      <c r="BT31" s="615"/>
      <c r="BU31" s="615"/>
      <c r="BV31" s="637"/>
      <c r="BW31" s="669"/>
      <c r="BX31" s="615"/>
      <c r="BY31" s="615"/>
      <c r="BZ31" s="615"/>
      <c r="CA31" s="615"/>
      <c r="CB31" s="615"/>
      <c r="CC31" s="615">
        <v>322</v>
      </c>
      <c r="CD31" s="615">
        <v>322</v>
      </c>
      <c r="CE31" s="615">
        <v>322</v>
      </c>
      <c r="CF31" s="615"/>
      <c r="CG31" s="615"/>
      <c r="CH31" s="635"/>
      <c r="CI31" s="636"/>
      <c r="CJ31" s="615"/>
      <c r="CK31" s="615"/>
      <c r="CL31" s="615"/>
      <c r="CM31" s="615"/>
      <c r="CN31" s="615"/>
      <c r="CO31" s="615"/>
      <c r="CP31" s="615"/>
      <c r="CQ31" s="615"/>
      <c r="CR31" s="615"/>
      <c r="CS31" s="615"/>
      <c r="CT31" s="635"/>
      <c r="CU31" s="636"/>
      <c r="CV31" s="615"/>
      <c r="CW31" s="615"/>
      <c r="CX31" s="615"/>
      <c r="CY31" s="615"/>
      <c r="CZ31" s="615"/>
      <c r="DA31" s="615"/>
      <c r="DB31" s="615"/>
      <c r="DC31" s="615"/>
      <c r="DD31" s="615"/>
      <c r="DE31" s="615"/>
      <c r="DF31" s="635"/>
      <c r="DG31" s="636"/>
      <c r="DH31" s="615"/>
      <c r="DI31" s="615"/>
      <c r="DJ31" s="615"/>
      <c r="DK31" s="615"/>
      <c r="DL31" s="615"/>
      <c r="DM31" s="615"/>
      <c r="DN31" s="615"/>
      <c r="DO31" s="615"/>
      <c r="DP31" s="615"/>
      <c r="DQ31" s="615"/>
      <c r="DR31" s="635"/>
      <c r="DS31" s="636"/>
      <c r="DT31" s="615"/>
      <c r="DU31" s="615"/>
      <c r="DV31" s="615"/>
      <c r="DW31" s="615"/>
      <c r="DX31" s="615"/>
      <c r="DY31" s="615"/>
      <c r="DZ31" s="615"/>
      <c r="EA31" s="615"/>
      <c r="EB31" s="615"/>
      <c r="EC31" s="615"/>
      <c r="ED31" s="637"/>
      <c r="EE31" s="692"/>
    </row>
    <row r="32" spans="1:135" x14ac:dyDescent="0.25">
      <c r="A32" s="640" t="s">
        <v>11</v>
      </c>
      <c r="B32" s="367" t="s">
        <v>718</v>
      </c>
      <c r="C32" s="367" t="s">
        <v>506</v>
      </c>
      <c r="D32" s="367" t="s">
        <v>717</v>
      </c>
      <c r="E32" s="503" t="s">
        <v>566</v>
      </c>
      <c r="F32" s="570">
        <v>44490</v>
      </c>
      <c r="G32" s="85" t="s">
        <v>58</v>
      </c>
      <c r="H32" s="85" t="s">
        <v>54</v>
      </c>
      <c r="I32" s="85" t="s">
        <v>358</v>
      </c>
      <c r="J32" s="675" t="s">
        <v>358</v>
      </c>
      <c r="K32" s="85" t="s">
        <v>358</v>
      </c>
      <c r="L32" s="85" t="s">
        <v>40</v>
      </c>
      <c r="M32" s="85" t="s">
        <v>3</v>
      </c>
      <c r="N32" s="668" t="s">
        <v>44</v>
      </c>
      <c r="O32" s="669"/>
      <c r="P32" s="615"/>
      <c r="Q32" s="615"/>
      <c r="R32" s="615">
        <v>-5</v>
      </c>
      <c r="S32" s="615">
        <v>-5</v>
      </c>
      <c r="T32" s="615">
        <v>-5</v>
      </c>
      <c r="U32" s="615"/>
      <c r="V32" s="615"/>
      <c r="W32" s="615"/>
      <c r="X32" s="615"/>
      <c r="Y32" s="615"/>
      <c r="Z32" s="635"/>
      <c r="AA32" s="636"/>
      <c r="AB32" s="615"/>
      <c r="AC32" s="615"/>
      <c r="AD32" s="615"/>
      <c r="AE32" s="615"/>
      <c r="AF32" s="615"/>
      <c r="AG32" s="615"/>
      <c r="AH32" s="615"/>
      <c r="AI32" s="615"/>
      <c r="AJ32" s="615"/>
      <c r="AK32" s="615"/>
      <c r="AL32" s="635"/>
      <c r="AM32" s="636"/>
      <c r="AN32" s="615"/>
      <c r="AO32" s="615"/>
      <c r="AP32" s="615"/>
      <c r="AQ32" s="615"/>
      <c r="AR32" s="615"/>
      <c r="AS32" s="615"/>
      <c r="AT32" s="615"/>
      <c r="AU32" s="615"/>
      <c r="AV32" s="615"/>
      <c r="AW32" s="615"/>
      <c r="AX32" s="635"/>
      <c r="AY32" s="636"/>
      <c r="AZ32" s="615"/>
      <c r="BA32" s="615"/>
      <c r="BB32" s="615"/>
      <c r="BC32" s="615"/>
      <c r="BD32" s="615"/>
      <c r="BE32" s="615"/>
      <c r="BF32" s="615"/>
      <c r="BG32" s="615"/>
      <c r="BH32" s="615"/>
      <c r="BI32" s="615"/>
      <c r="BJ32" s="635"/>
      <c r="BK32" s="636"/>
      <c r="BL32" s="615"/>
      <c r="BM32" s="615"/>
      <c r="BN32" s="615"/>
      <c r="BO32" s="615"/>
      <c r="BP32" s="615"/>
      <c r="BQ32" s="615"/>
      <c r="BR32" s="615"/>
      <c r="BS32" s="615"/>
      <c r="BT32" s="615"/>
      <c r="BU32" s="615"/>
      <c r="BV32" s="637"/>
      <c r="BW32" s="669"/>
      <c r="BX32" s="615"/>
      <c r="BY32" s="615"/>
      <c r="BZ32" s="615">
        <v>196</v>
      </c>
      <c r="CA32" s="615">
        <v>196</v>
      </c>
      <c r="CB32" s="615">
        <v>196</v>
      </c>
      <c r="CC32" s="615"/>
      <c r="CD32" s="615"/>
      <c r="CE32" s="615"/>
      <c r="CF32" s="615"/>
      <c r="CG32" s="615"/>
      <c r="CH32" s="635"/>
      <c r="CI32" s="636"/>
      <c r="CJ32" s="615"/>
      <c r="CK32" s="615"/>
      <c r="CL32" s="615"/>
      <c r="CM32" s="615"/>
      <c r="CN32" s="615"/>
      <c r="CO32" s="615"/>
      <c r="CP32" s="615"/>
      <c r="CQ32" s="615"/>
      <c r="CR32" s="615"/>
      <c r="CS32" s="615"/>
      <c r="CT32" s="635"/>
      <c r="CU32" s="636"/>
      <c r="CV32" s="615"/>
      <c r="CW32" s="615"/>
      <c r="CX32" s="615"/>
      <c r="CY32" s="615"/>
      <c r="CZ32" s="615"/>
      <c r="DA32" s="615"/>
      <c r="DB32" s="615"/>
      <c r="DC32" s="615"/>
      <c r="DD32" s="615"/>
      <c r="DE32" s="615"/>
      <c r="DF32" s="635"/>
      <c r="DG32" s="636"/>
      <c r="DH32" s="615"/>
      <c r="DI32" s="615"/>
      <c r="DJ32" s="615"/>
      <c r="DK32" s="615"/>
      <c r="DL32" s="615"/>
      <c r="DM32" s="615"/>
      <c r="DN32" s="615"/>
      <c r="DO32" s="615"/>
      <c r="DP32" s="615"/>
      <c r="DQ32" s="615"/>
      <c r="DR32" s="635"/>
      <c r="DS32" s="636"/>
      <c r="DT32" s="615"/>
      <c r="DU32" s="615"/>
      <c r="DV32" s="615"/>
      <c r="DW32" s="615"/>
      <c r="DX32" s="615"/>
      <c r="DY32" s="615"/>
      <c r="DZ32" s="615"/>
      <c r="EA32" s="615"/>
      <c r="EB32" s="615"/>
      <c r="EC32" s="615"/>
      <c r="ED32" s="637"/>
      <c r="EE32" s="692"/>
    </row>
    <row r="33" spans="1:135" x14ac:dyDescent="0.25">
      <c r="A33" s="640" t="s">
        <v>11</v>
      </c>
      <c r="B33" s="367" t="s">
        <v>722</v>
      </c>
      <c r="C33" s="367" t="s">
        <v>502</v>
      </c>
      <c r="D33" s="367" t="s">
        <v>721</v>
      </c>
      <c r="E33" s="503" t="s">
        <v>569</v>
      </c>
      <c r="F33" s="570">
        <v>44512</v>
      </c>
      <c r="G33" s="85" t="s">
        <v>58</v>
      </c>
      <c r="H33" s="85" t="s">
        <v>54</v>
      </c>
      <c r="I33" s="85" t="s">
        <v>358</v>
      </c>
      <c r="J33" s="675" t="s">
        <v>358</v>
      </c>
      <c r="K33" s="85" t="s">
        <v>358</v>
      </c>
      <c r="L33" s="85" t="s">
        <v>40</v>
      </c>
      <c r="M33" s="85" t="s">
        <v>3</v>
      </c>
      <c r="N33" s="668" t="s">
        <v>44</v>
      </c>
      <c r="O33" s="669"/>
      <c r="P33" s="615"/>
      <c r="Q33" s="615"/>
      <c r="R33" s="615">
        <v>-10</v>
      </c>
      <c r="S33" s="615">
        <v>-10</v>
      </c>
      <c r="T33" s="615">
        <v>-10</v>
      </c>
      <c r="U33" s="615"/>
      <c r="V33" s="615"/>
      <c r="W33" s="615"/>
      <c r="X33" s="615"/>
      <c r="Y33" s="615"/>
      <c r="Z33" s="635"/>
      <c r="AA33" s="636"/>
      <c r="AB33" s="615"/>
      <c r="AC33" s="615"/>
      <c r="AD33" s="615"/>
      <c r="AE33" s="615"/>
      <c r="AF33" s="615"/>
      <c r="AG33" s="615"/>
      <c r="AH33" s="615"/>
      <c r="AI33" s="615"/>
      <c r="AJ33" s="615"/>
      <c r="AK33" s="615"/>
      <c r="AL33" s="635"/>
      <c r="AM33" s="636"/>
      <c r="AN33" s="615"/>
      <c r="AO33" s="615"/>
      <c r="AP33" s="615"/>
      <c r="AQ33" s="615"/>
      <c r="AR33" s="615"/>
      <c r="AS33" s="615"/>
      <c r="AT33" s="615"/>
      <c r="AU33" s="615"/>
      <c r="AV33" s="615"/>
      <c r="AW33" s="615"/>
      <c r="AX33" s="635"/>
      <c r="AY33" s="636"/>
      <c r="AZ33" s="615"/>
      <c r="BA33" s="615"/>
      <c r="BB33" s="615"/>
      <c r="BC33" s="615"/>
      <c r="BD33" s="615"/>
      <c r="BE33" s="615"/>
      <c r="BF33" s="615"/>
      <c r="BG33" s="615"/>
      <c r="BH33" s="615"/>
      <c r="BI33" s="615"/>
      <c r="BJ33" s="635"/>
      <c r="BK33" s="636"/>
      <c r="BL33" s="615"/>
      <c r="BM33" s="615"/>
      <c r="BN33" s="615"/>
      <c r="BO33" s="615"/>
      <c r="BP33" s="615"/>
      <c r="BQ33" s="615"/>
      <c r="BR33" s="615"/>
      <c r="BS33" s="615"/>
      <c r="BT33" s="615"/>
      <c r="BU33" s="615"/>
      <c r="BV33" s="637"/>
      <c r="BW33" s="669"/>
      <c r="BX33" s="615"/>
      <c r="BY33" s="615"/>
      <c r="BZ33" s="615">
        <v>175</v>
      </c>
      <c r="CA33" s="615">
        <v>175</v>
      </c>
      <c r="CB33" s="615">
        <v>175</v>
      </c>
      <c r="CC33" s="615"/>
      <c r="CD33" s="615"/>
      <c r="CE33" s="615"/>
      <c r="CF33" s="615"/>
      <c r="CG33" s="615"/>
      <c r="CH33" s="635"/>
      <c r="CI33" s="636"/>
      <c r="CJ33" s="615"/>
      <c r="CK33" s="615"/>
      <c r="CL33" s="615"/>
      <c r="CM33" s="615"/>
      <c r="CN33" s="615"/>
      <c r="CO33" s="615"/>
      <c r="CP33" s="615"/>
      <c r="CQ33" s="615"/>
      <c r="CR33" s="615"/>
      <c r="CS33" s="615"/>
      <c r="CT33" s="635"/>
      <c r="CU33" s="636"/>
      <c r="CV33" s="615"/>
      <c r="CW33" s="615"/>
      <c r="CX33" s="615"/>
      <c r="CY33" s="615"/>
      <c r="CZ33" s="615"/>
      <c r="DA33" s="615"/>
      <c r="DB33" s="615"/>
      <c r="DC33" s="615"/>
      <c r="DD33" s="615"/>
      <c r="DE33" s="615"/>
      <c r="DF33" s="635"/>
      <c r="DG33" s="636"/>
      <c r="DH33" s="615"/>
      <c r="DI33" s="615"/>
      <c r="DJ33" s="615"/>
      <c r="DK33" s="615"/>
      <c r="DL33" s="615"/>
      <c r="DM33" s="615"/>
      <c r="DN33" s="615"/>
      <c r="DO33" s="615"/>
      <c r="DP33" s="615"/>
      <c r="DQ33" s="615"/>
      <c r="DR33" s="635"/>
      <c r="DS33" s="636"/>
      <c r="DT33" s="615"/>
      <c r="DU33" s="615"/>
      <c r="DV33" s="615"/>
      <c r="DW33" s="615"/>
      <c r="DX33" s="615"/>
      <c r="DY33" s="615"/>
      <c r="DZ33" s="615"/>
      <c r="EA33" s="615"/>
      <c r="EB33" s="615"/>
      <c r="EC33" s="615"/>
      <c r="ED33" s="637"/>
      <c r="EE33" s="692"/>
    </row>
    <row r="34" spans="1:135" x14ac:dyDescent="0.25">
      <c r="A34" s="640" t="s">
        <v>11</v>
      </c>
      <c r="B34" s="367" t="s">
        <v>724</v>
      </c>
      <c r="C34" s="367" t="s">
        <v>502</v>
      </c>
      <c r="D34" s="367" t="s">
        <v>723</v>
      </c>
      <c r="E34" s="503" t="s">
        <v>570</v>
      </c>
      <c r="F34" s="570">
        <v>44512</v>
      </c>
      <c r="G34" s="85" t="s">
        <v>59</v>
      </c>
      <c r="H34" s="85" t="s">
        <v>54</v>
      </c>
      <c r="I34" s="85" t="s">
        <v>358</v>
      </c>
      <c r="J34" s="675" t="s">
        <v>358</v>
      </c>
      <c r="K34" s="85" t="s">
        <v>358</v>
      </c>
      <c r="L34" s="85" t="s">
        <v>40</v>
      </c>
      <c r="M34" s="85" t="s">
        <v>3</v>
      </c>
      <c r="N34" s="668" t="s">
        <v>44</v>
      </c>
      <c r="O34" s="669"/>
      <c r="P34" s="615"/>
      <c r="Q34" s="615"/>
      <c r="R34" s="615"/>
      <c r="S34" s="615"/>
      <c r="T34" s="615"/>
      <c r="U34" s="615">
        <v>10</v>
      </c>
      <c r="V34" s="615">
        <v>10</v>
      </c>
      <c r="W34" s="615">
        <v>10</v>
      </c>
      <c r="X34" s="615"/>
      <c r="Y34" s="615"/>
      <c r="Z34" s="635"/>
      <c r="AA34" s="636"/>
      <c r="AB34" s="615"/>
      <c r="AC34" s="615"/>
      <c r="AD34" s="615"/>
      <c r="AE34" s="615"/>
      <c r="AF34" s="615"/>
      <c r="AG34" s="615"/>
      <c r="AH34" s="615"/>
      <c r="AI34" s="615"/>
      <c r="AJ34" s="615"/>
      <c r="AK34" s="615"/>
      <c r="AL34" s="635"/>
      <c r="AM34" s="636"/>
      <c r="AN34" s="615"/>
      <c r="AO34" s="615"/>
      <c r="AP34" s="615"/>
      <c r="AQ34" s="615"/>
      <c r="AR34" s="615"/>
      <c r="AS34" s="615"/>
      <c r="AT34" s="615"/>
      <c r="AU34" s="615"/>
      <c r="AV34" s="615"/>
      <c r="AW34" s="615"/>
      <c r="AX34" s="635"/>
      <c r="AY34" s="636"/>
      <c r="AZ34" s="615"/>
      <c r="BA34" s="615"/>
      <c r="BB34" s="615"/>
      <c r="BC34" s="615"/>
      <c r="BD34" s="615"/>
      <c r="BE34" s="615"/>
      <c r="BF34" s="615"/>
      <c r="BG34" s="615"/>
      <c r="BH34" s="615"/>
      <c r="BI34" s="615"/>
      <c r="BJ34" s="635"/>
      <c r="BK34" s="636"/>
      <c r="BL34" s="615"/>
      <c r="BM34" s="615"/>
      <c r="BN34" s="615"/>
      <c r="BO34" s="615"/>
      <c r="BP34" s="615"/>
      <c r="BQ34" s="615"/>
      <c r="BR34" s="615"/>
      <c r="BS34" s="615"/>
      <c r="BT34" s="615"/>
      <c r="BU34" s="615"/>
      <c r="BV34" s="637"/>
      <c r="BW34" s="669"/>
      <c r="BX34" s="615"/>
      <c r="BY34" s="615"/>
      <c r="BZ34" s="615"/>
      <c r="CA34" s="615"/>
      <c r="CB34" s="615"/>
      <c r="CC34" s="615">
        <v>270</v>
      </c>
      <c r="CD34" s="615">
        <v>270</v>
      </c>
      <c r="CE34" s="615">
        <v>270</v>
      </c>
      <c r="CF34" s="615"/>
      <c r="CG34" s="615"/>
      <c r="CH34" s="635"/>
      <c r="CI34" s="636"/>
      <c r="CJ34" s="615"/>
      <c r="CK34" s="615"/>
      <c r="CL34" s="615"/>
      <c r="CM34" s="615"/>
      <c r="CN34" s="615"/>
      <c r="CO34" s="615"/>
      <c r="CP34" s="615"/>
      <c r="CQ34" s="615"/>
      <c r="CR34" s="615"/>
      <c r="CS34" s="615"/>
      <c r="CT34" s="635"/>
      <c r="CU34" s="636"/>
      <c r="CV34" s="615"/>
      <c r="CW34" s="615"/>
      <c r="CX34" s="615"/>
      <c r="CY34" s="615"/>
      <c r="CZ34" s="615"/>
      <c r="DA34" s="615"/>
      <c r="DB34" s="615"/>
      <c r="DC34" s="615"/>
      <c r="DD34" s="615"/>
      <c r="DE34" s="615"/>
      <c r="DF34" s="635"/>
      <c r="DG34" s="636"/>
      <c r="DH34" s="615"/>
      <c r="DI34" s="615"/>
      <c r="DJ34" s="615"/>
      <c r="DK34" s="615"/>
      <c r="DL34" s="615"/>
      <c r="DM34" s="615"/>
      <c r="DN34" s="615"/>
      <c r="DO34" s="615"/>
      <c r="DP34" s="615"/>
      <c r="DQ34" s="615"/>
      <c r="DR34" s="635"/>
      <c r="DS34" s="636"/>
      <c r="DT34" s="615"/>
      <c r="DU34" s="615"/>
      <c r="DV34" s="615"/>
      <c r="DW34" s="615"/>
      <c r="DX34" s="615"/>
      <c r="DY34" s="615"/>
      <c r="DZ34" s="615"/>
      <c r="EA34" s="615"/>
      <c r="EB34" s="615"/>
      <c r="EC34" s="615"/>
      <c r="ED34" s="637"/>
      <c r="EE34" s="692"/>
    </row>
    <row r="35" spans="1:135" x14ac:dyDescent="0.25">
      <c r="A35" s="640" t="s">
        <v>11</v>
      </c>
      <c r="B35" s="367" t="s">
        <v>726</v>
      </c>
      <c r="C35" s="367" t="s">
        <v>571</v>
      </c>
      <c r="D35" s="367" t="s">
        <v>725</v>
      </c>
      <c r="E35" s="503">
        <v>23081</v>
      </c>
      <c r="F35" s="570">
        <v>44512</v>
      </c>
      <c r="G35" s="85" t="s">
        <v>58</v>
      </c>
      <c r="H35" s="85" t="s">
        <v>54</v>
      </c>
      <c r="I35" s="85" t="s">
        <v>649</v>
      </c>
      <c r="J35" s="675">
        <v>44501</v>
      </c>
      <c r="K35" s="85">
        <v>1</v>
      </c>
      <c r="L35" s="85" t="s">
        <v>40</v>
      </c>
      <c r="M35" s="85" t="s">
        <v>3</v>
      </c>
      <c r="N35" s="668" t="s">
        <v>44</v>
      </c>
      <c r="O35" s="669"/>
      <c r="P35" s="615"/>
      <c r="Q35" s="615"/>
      <c r="R35" s="615"/>
      <c r="S35" s="615"/>
      <c r="T35" s="615"/>
      <c r="U35" s="615"/>
      <c r="V35" s="615"/>
      <c r="W35" s="615"/>
      <c r="X35" s="615"/>
      <c r="Y35" s="615"/>
      <c r="Z35" s="635"/>
      <c r="AA35" s="636">
        <v>-2</v>
      </c>
      <c r="AB35" s="615">
        <v>-2</v>
      </c>
      <c r="AC35" s="615">
        <v>-2</v>
      </c>
      <c r="AD35" s="615">
        <v>-2</v>
      </c>
      <c r="AE35" s="615">
        <v>-2</v>
      </c>
      <c r="AF35" s="615">
        <v>-2</v>
      </c>
      <c r="AG35" s="615">
        <v>-2</v>
      </c>
      <c r="AH35" s="615">
        <v>-2</v>
      </c>
      <c r="AI35" s="615">
        <v>-2</v>
      </c>
      <c r="AJ35" s="615">
        <v>-2</v>
      </c>
      <c r="AK35" s="615">
        <v>-2</v>
      </c>
      <c r="AL35" s="635">
        <v>-2</v>
      </c>
      <c r="AM35" s="636"/>
      <c r="AN35" s="615"/>
      <c r="AO35" s="615"/>
      <c r="AP35" s="615"/>
      <c r="AQ35" s="615"/>
      <c r="AR35" s="615"/>
      <c r="AS35" s="615"/>
      <c r="AT35" s="615"/>
      <c r="AU35" s="615"/>
      <c r="AV35" s="615"/>
      <c r="AW35" s="615"/>
      <c r="AX35" s="635"/>
      <c r="AY35" s="636"/>
      <c r="AZ35" s="615"/>
      <c r="BA35" s="615"/>
      <c r="BB35" s="615"/>
      <c r="BC35" s="615"/>
      <c r="BD35" s="615"/>
      <c r="BE35" s="615"/>
      <c r="BF35" s="615"/>
      <c r="BG35" s="615"/>
      <c r="BH35" s="615"/>
      <c r="BI35" s="615"/>
      <c r="BJ35" s="635"/>
      <c r="BK35" s="636"/>
      <c r="BL35" s="615"/>
      <c r="BM35" s="615"/>
      <c r="BN35" s="615"/>
      <c r="BO35" s="615"/>
      <c r="BP35" s="615"/>
      <c r="BQ35" s="615"/>
      <c r="BR35" s="615"/>
      <c r="BS35" s="615"/>
      <c r="BT35" s="615"/>
      <c r="BU35" s="615"/>
      <c r="BV35" s="637"/>
      <c r="BW35" s="669"/>
      <c r="BX35" s="615"/>
      <c r="BY35" s="615"/>
      <c r="BZ35" s="615"/>
      <c r="CA35" s="615"/>
      <c r="CB35" s="615"/>
      <c r="CC35" s="615"/>
      <c r="CD35" s="615"/>
      <c r="CE35" s="615"/>
      <c r="CF35" s="615"/>
      <c r="CG35" s="615"/>
      <c r="CH35" s="635"/>
      <c r="CI35" s="636">
        <v>219.13674214591981</v>
      </c>
      <c r="CJ35" s="615">
        <v>219.13674214591981</v>
      </c>
      <c r="CK35" s="615">
        <v>219.13674214591981</v>
      </c>
      <c r="CL35" s="615">
        <v>219.13674214591981</v>
      </c>
      <c r="CM35" s="615">
        <v>219.13674214591981</v>
      </c>
      <c r="CN35" s="615">
        <v>219.13674214591981</v>
      </c>
      <c r="CO35" s="615">
        <v>219.13674214591981</v>
      </c>
      <c r="CP35" s="615">
        <v>219.13674214591981</v>
      </c>
      <c r="CQ35" s="615">
        <v>219.13674214591981</v>
      </c>
      <c r="CR35" s="615">
        <v>219.13674214591981</v>
      </c>
      <c r="CS35" s="615">
        <v>219.13674214591981</v>
      </c>
      <c r="CT35" s="635">
        <v>219.13674214591981</v>
      </c>
      <c r="CU35" s="636"/>
      <c r="CV35" s="615"/>
      <c r="CW35" s="615"/>
      <c r="CX35" s="615"/>
      <c r="CY35" s="615"/>
      <c r="CZ35" s="615"/>
      <c r="DA35" s="615"/>
      <c r="DB35" s="615"/>
      <c r="DC35" s="615"/>
      <c r="DD35" s="615"/>
      <c r="DE35" s="615"/>
      <c r="DF35" s="635"/>
      <c r="DG35" s="636"/>
      <c r="DH35" s="615"/>
      <c r="DI35" s="615"/>
      <c r="DJ35" s="615"/>
      <c r="DK35" s="615"/>
      <c r="DL35" s="615"/>
      <c r="DM35" s="615"/>
      <c r="DN35" s="615"/>
      <c r="DO35" s="615"/>
      <c r="DP35" s="615"/>
      <c r="DQ35" s="615"/>
      <c r="DR35" s="635"/>
      <c r="DS35" s="636"/>
      <c r="DT35" s="615"/>
      <c r="DU35" s="615"/>
      <c r="DV35" s="615"/>
      <c r="DW35" s="615"/>
      <c r="DX35" s="615"/>
      <c r="DY35" s="615"/>
      <c r="DZ35" s="615"/>
      <c r="EA35" s="615"/>
      <c r="EB35" s="615"/>
      <c r="EC35" s="615"/>
      <c r="ED35" s="637"/>
      <c r="EE35" s="692"/>
    </row>
    <row r="36" spans="1:135" x14ac:dyDescent="0.25">
      <c r="A36" s="640" t="s">
        <v>11</v>
      </c>
      <c r="B36" s="367" t="s">
        <v>728</v>
      </c>
      <c r="C36" s="367" t="s">
        <v>348</v>
      </c>
      <c r="D36" s="367" t="s">
        <v>727</v>
      </c>
      <c r="E36" s="503" t="s">
        <v>573</v>
      </c>
      <c r="F36" s="570">
        <v>44529</v>
      </c>
      <c r="G36" s="85" t="s">
        <v>58</v>
      </c>
      <c r="H36" s="85" t="s">
        <v>54</v>
      </c>
      <c r="I36" s="85" t="s">
        <v>358</v>
      </c>
      <c r="J36" s="675" t="s">
        <v>358</v>
      </c>
      <c r="K36" s="85" t="s">
        <v>358</v>
      </c>
      <c r="L36" s="85" t="s">
        <v>40</v>
      </c>
      <c r="M36" s="85" t="s">
        <v>3</v>
      </c>
      <c r="N36" s="668" t="s">
        <v>44</v>
      </c>
      <c r="O36" s="669"/>
      <c r="P36" s="615"/>
      <c r="Q36" s="615"/>
      <c r="R36" s="615"/>
      <c r="S36" s="615"/>
      <c r="T36" s="615"/>
      <c r="U36" s="615"/>
      <c r="V36" s="615"/>
      <c r="W36" s="615"/>
      <c r="X36" s="615"/>
      <c r="Y36" s="615"/>
      <c r="Z36" s="635">
        <v>-30</v>
      </c>
      <c r="AA36" s="636"/>
      <c r="AB36" s="615"/>
      <c r="AC36" s="615"/>
      <c r="AD36" s="615"/>
      <c r="AE36" s="615"/>
      <c r="AF36" s="615"/>
      <c r="AG36" s="615"/>
      <c r="AH36" s="615"/>
      <c r="AI36" s="615"/>
      <c r="AJ36" s="615"/>
      <c r="AK36" s="615"/>
      <c r="AL36" s="635"/>
      <c r="AM36" s="636"/>
      <c r="AN36" s="615"/>
      <c r="AO36" s="615"/>
      <c r="AP36" s="615"/>
      <c r="AQ36" s="615"/>
      <c r="AR36" s="615"/>
      <c r="AS36" s="615"/>
      <c r="AT36" s="615"/>
      <c r="AU36" s="615"/>
      <c r="AV36" s="615"/>
      <c r="AW36" s="615"/>
      <c r="AX36" s="635"/>
      <c r="AY36" s="636"/>
      <c r="AZ36" s="615"/>
      <c r="BA36" s="615"/>
      <c r="BB36" s="615"/>
      <c r="BC36" s="615"/>
      <c r="BD36" s="615"/>
      <c r="BE36" s="615"/>
      <c r="BF36" s="615"/>
      <c r="BG36" s="615"/>
      <c r="BH36" s="615"/>
      <c r="BI36" s="615"/>
      <c r="BJ36" s="635"/>
      <c r="BK36" s="636"/>
      <c r="BL36" s="615"/>
      <c r="BM36" s="615"/>
      <c r="BN36" s="615"/>
      <c r="BO36" s="615"/>
      <c r="BP36" s="615"/>
      <c r="BQ36" s="615"/>
      <c r="BR36" s="615"/>
      <c r="BS36" s="615"/>
      <c r="BT36" s="615"/>
      <c r="BU36" s="615"/>
      <c r="BV36" s="637"/>
      <c r="BW36" s="669"/>
      <c r="BX36" s="615"/>
      <c r="BY36" s="615"/>
      <c r="BZ36" s="615"/>
      <c r="CA36" s="615"/>
      <c r="CB36" s="615"/>
      <c r="CC36" s="615"/>
      <c r="CD36" s="615"/>
      <c r="CE36" s="615"/>
      <c r="CF36" s="615"/>
      <c r="CG36" s="615"/>
      <c r="CH36" s="635">
        <v>225</v>
      </c>
      <c r="CI36" s="636"/>
      <c r="CJ36" s="615"/>
      <c r="CK36" s="615"/>
      <c r="CL36" s="615"/>
      <c r="CM36" s="615"/>
      <c r="CN36" s="615"/>
      <c r="CO36" s="615"/>
      <c r="CP36" s="615"/>
      <c r="CQ36" s="615"/>
      <c r="CR36" s="615"/>
      <c r="CS36" s="615"/>
      <c r="CT36" s="635"/>
      <c r="CU36" s="636"/>
      <c r="CV36" s="615"/>
      <c r="CW36" s="615"/>
      <c r="CX36" s="615"/>
      <c r="CY36" s="615"/>
      <c r="CZ36" s="615"/>
      <c r="DA36" s="615"/>
      <c r="DB36" s="615"/>
      <c r="DC36" s="615"/>
      <c r="DD36" s="615"/>
      <c r="DE36" s="615"/>
      <c r="DF36" s="635"/>
      <c r="DG36" s="636"/>
      <c r="DH36" s="615"/>
      <c r="DI36" s="615"/>
      <c r="DJ36" s="615"/>
      <c r="DK36" s="615"/>
      <c r="DL36" s="615"/>
      <c r="DM36" s="615"/>
      <c r="DN36" s="615"/>
      <c r="DO36" s="615"/>
      <c r="DP36" s="615"/>
      <c r="DQ36" s="615"/>
      <c r="DR36" s="635"/>
      <c r="DS36" s="636"/>
      <c r="DT36" s="615"/>
      <c r="DU36" s="615"/>
      <c r="DV36" s="615"/>
      <c r="DW36" s="615"/>
      <c r="DX36" s="615"/>
      <c r="DY36" s="615"/>
      <c r="DZ36" s="615"/>
      <c r="EA36" s="615"/>
      <c r="EB36" s="615"/>
      <c r="EC36" s="615"/>
      <c r="ED36" s="637"/>
      <c r="EE36" s="692"/>
    </row>
    <row r="37" spans="1:135" x14ac:dyDescent="0.25">
      <c r="A37" s="640" t="s">
        <v>11</v>
      </c>
      <c r="B37" s="367" t="s">
        <v>730</v>
      </c>
      <c r="C37" s="367" t="s">
        <v>348</v>
      </c>
      <c r="D37" s="367" t="s">
        <v>729</v>
      </c>
      <c r="E37" s="503" t="s">
        <v>574</v>
      </c>
      <c r="F37" s="570">
        <v>44529</v>
      </c>
      <c r="G37" s="85" t="s">
        <v>59</v>
      </c>
      <c r="H37" s="85" t="s">
        <v>54</v>
      </c>
      <c r="I37" s="85" t="s">
        <v>358</v>
      </c>
      <c r="J37" s="675" t="s">
        <v>358</v>
      </c>
      <c r="K37" s="85" t="s">
        <v>358</v>
      </c>
      <c r="L37" s="85" t="s">
        <v>40</v>
      </c>
      <c r="M37" s="85" t="s">
        <v>3</v>
      </c>
      <c r="N37" s="668" t="s">
        <v>44</v>
      </c>
      <c r="O37" s="669"/>
      <c r="P37" s="615"/>
      <c r="Q37" s="615"/>
      <c r="R37" s="615"/>
      <c r="S37" s="615"/>
      <c r="T37" s="615"/>
      <c r="U37" s="615"/>
      <c r="V37" s="615"/>
      <c r="W37" s="615"/>
      <c r="X37" s="615"/>
      <c r="Y37" s="615">
        <v>15.5</v>
      </c>
      <c r="Z37" s="635"/>
      <c r="AA37" s="636"/>
      <c r="AB37" s="615"/>
      <c r="AC37" s="615"/>
      <c r="AD37" s="615"/>
      <c r="AE37" s="615"/>
      <c r="AF37" s="615"/>
      <c r="AG37" s="615"/>
      <c r="AH37" s="615"/>
      <c r="AI37" s="615"/>
      <c r="AJ37" s="615"/>
      <c r="AK37" s="615"/>
      <c r="AL37" s="635"/>
      <c r="AM37" s="636"/>
      <c r="AN37" s="615"/>
      <c r="AO37" s="615"/>
      <c r="AP37" s="615"/>
      <c r="AQ37" s="615"/>
      <c r="AR37" s="615"/>
      <c r="AS37" s="615"/>
      <c r="AT37" s="615"/>
      <c r="AU37" s="615"/>
      <c r="AV37" s="615"/>
      <c r="AW37" s="615"/>
      <c r="AX37" s="635"/>
      <c r="AY37" s="636"/>
      <c r="AZ37" s="615"/>
      <c r="BA37" s="615"/>
      <c r="BB37" s="615"/>
      <c r="BC37" s="615"/>
      <c r="BD37" s="615"/>
      <c r="BE37" s="615"/>
      <c r="BF37" s="615"/>
      <c r="BG37" s="615"/>
      <c r="BH37" s="615"/>
      <c r="BI37" s="615"/>
      <c r="BJ37" s="635"/>
      <c r="BK37" s="636"/>
      <c r="BL37" s="615"/>
      <c r="BM37" s="615"/>
      <c r="BN37" s="615"/>
      <c r="BO37" s="615"/>
      <c r="BP37" s="615"/>
      <c r="BQ37" s="615"/>
      <c r="BR37" s="615"/>
      <c r="BS37" s="615"/>
      <c r="BT37" s="615"/>
      <c r="BU37" s="615"/>
      <c r="BV37" s="637"/>
      <c r="BW37" s="669"/>
      <c r="BX37" s="615"/>
      <c r="BY37" s="615"/>
      <c r="BZ37" s="615"/>
      <c r="CA37" s="615"/>
      <c r="CB37" s="615"/>
      <c r="CC37" s="615"/>
      <c r="CD37" s="615"/>
      <c r="CE37" s="615"/>
      <c r="CF37" s="615"/>
      <c r="CG37" s="615">
        <v>250</v>
      </c>
      <c r="CH37" s="635"/>
      <c r="CI37" s="636"/>
      <c r="CJ37" s="615"/>
      <c r="CK37" s="615"/>
      <c r="CL37" s="615"/>
      <c r="CM37" s="615"/>
      <c r="CN37" s="615"/>
      <c r="CO37" s="615"/>
      <c r="CP37" s="615"/>
      <c r="CQ37" s="615"/>
      <c r="CR37" s="615"/>
      <c r="CS37" s="615"/>
      <c r="CT37" s="635"/>
      <c r="CU37" s="636"/>
      <c r="CV37" s="615"/>
      <c r="CW37" s="615"/>
      <c r="CX37" s="615"/>
      <c r="CY37" s="615"/>
      <c r="CZ37" s="615"/>
      <c r="DA37" s="615"/>
      <c r="DB37" s="615"/>
      <c r="DC37" s="615"/>
      <c r="DD37" s="615"/>
      <c r="DE37" s="615"/>
      <c r="DF37" s="635"/>
      <c r="DG37" s="636"/>
      <c r="DH37" s="615"/>
      <c r="DI37" s="615"/>
      <c r="DJ37" s="615"/>
      <c r="DK37" s="615"/>
      <c r="DL37" s="615"/>
      <c r="DM37" s="615"/>
      <c r="DN37" s="615"/>
      <c r="DO37" s="615"/>
      <c r="DP37" s="615"/>
      <c r="DQ37" s="615"/>
      <c r="DR37" s="635"/>
      <c r="DS37" s="636"/>
      <c r="DT37" s="615"/>
      <c r="DU37" s="615"/>
      <c r="DV37" s="615"/>
      <c r="DW37" s="615"/>
      <c r="DX37" s="615"/>
      <c r="DY37" s="615"/>
      <c r="DZ37" s="615"/>
      <c r="EA37" s="615"/>
      <c r="EB37" s="615"/>
      <c r="EC37" s="615"/>
      <c r="ED37" s="637"/>
      <c r="EE37" s="692"/>
    </row>
    <row r="38" spans="1:135" x14ac:dyDescent="0.25">
      <c r="A38" s="640" t="s">
        <v>11</v>
      </c>
      <c r="B38" s="367" t="s">
        <v>732</v>
      </c>
      <c r="C38" s="367" t="s">
        <v>348</v>
      </c>
      <c r="D38" s="367" t="s">
        <v>731</v>
      </c>
      <c r="E38" s="503" t="s">
        <v>575</v>
      </c>
      <c r="F38" s="570">
        <v>44529</v>
      </c>
      <c r="G38" s="85" t="s">
        <v>59</v>
      </c>
      <c r="H38" s="85" t="s">
        <v>54</v>
      </c>
      <c r="I38" s="85" t="s">
        <v>358</v>
      </c>
      <c r="J38" s="675" t="s">
        <v>358</v>
      </c>
      <c r="K38" s="85" t="s">
        <v>358</v>
      </c>
      <c r="L38" s="85" t="s">
        <v>40</v>
      </c>
      <c r="M38" s="85" t="s">
        <v>3</v>
      </c>
      <c r="N38" s="668" t="s">
        <v>44</v>
      </c>
      <c r="O38" s="669"/>
      <c r="P38" s="615"/>
      <c r="Q38" s="615"/>
      <c r="R38" s="615"/>
      <c r="S38" s="615"/>
      <c r="T38" s="615"/>
      <c r="U38" s="615"/>
      <c r="V38" s="615"/>
      <c r="W38" s="615"/>
      <c r="X38" s="615">
        <v>15</v>
      </c>
      <c r="Y38" s="615"/>
      <c r="Z38" s="635"/>
      <c r="AA38" s="636"/>
      <c r="AB38" s="615"/>
      <c r="AC38" s="615"/>
      <c r="AD38" s="615"/>
      <c r="AE38" s="615"/>
      <c r="AF38" s="615"/>
      <c r="AG38" s="615"/>
      <c r="AH38" s="615"/>
      <c r="AI38" s="615"/>
      <c r="AJ38" s="615"/>
      <c r="AK38" s="615"/>
      <c r="AL38" s="635"/>
      <c r="AM38" s="636"/>
      <c r="AN38" s="615"/>
      <c r="AO38" s="615"/>
      <c r="AP38" s="615"/>
      <c r="AQ38" s="615"/>
      <c r="AR38" s="615"/>
      <c r="AS38" s="615"/>
      <c r="AT38" s="615"/>
      <c r="AU38" s="615"/>
      <c r="AV38" s="615"/>
      <c r="AW38" s="615"/>
      <c r="AX38" s="635"/>
      <c r="AY38" s="636"/>
      <c r="AZ38" s="615"/>
      <c r="BA38" s="615"/>
      <c r="BB38" s="615"/>
      <c r="BC38" s="615"/>
      <c r="BD38" s="615"/>
      <c r="BE38" s="615"/>
      <c r="BF38" s="615"/>
      <c r="BG38" s="615"/>
      <c r="BH38" s="615"/>
      <c r="BI38" s="615"/>
      <c r="BJ38" s="635"/>
      <c r="BK38" s="636"/>
      <c r="BL38" s="615"/>
      <c r="BM38" s="615"/>
      <c r="BN38" s="615"/>
      <c r="BO38" s="615"/>
      <c r="BP38" s="615"/>
      <c r="BQ38" s="615"/>
      <c r="BR38" s="615"/>
      <c r="BS38" s="615"/>
      <c r="BT38" s="615"/>
      <c r="BU38" s="615"/>
      <c r="BV38" s="637"/>
      <c r="BW38" s="669"/>
      <c r="BX38" s="615"/>
      <c r="BY38" s="615"/>
      <c r="BZ38" s="615"/>
      <c r="CA38" s="615"/>
      <c r="CB38" s="615"/>
      <c r="CC38" s="615"/>
      <c r="CD38" s="615"/>
      <c r="CE38" s="615"/>
      <c r="CF38" s="615">
        <v>250</v>
      </c>
      <c r="CG38" s="615"/>
      <c r="CH38" s="635"/>
      <c r="CI38" s="636"/>
      <c r="CJ38" s="615"/>
      <c r="CK38" s="615"/>
      <c r="CL38" s="615"/>
      <c r="CM38" s="615"/>
      <c r="CN38" s="615"/>
      <c r="CO38" s="615"/>
      <c r="CP38" s="615"/>
      <c r="CQ38" s="615"/>
      <c r="CR38" s="615"/>
      <c r="CS38" s="615"/>
      <c r="CT38" s="635"/>
      <c r="CU38" s="636"/>
      <c r="CV38" s="615"/>
      <c r="CW38" s="615"/>
      <c r="CX38" s="615"/>
      <c r="CY38" s="615"/>
      <c r="CZ38" s="615"/>
      <c r="DA38" s="615"/>
      <c r="DB38" s="615"/>
      <c r="DC38" s="615"/>
      <c r="DD38" s="615"/>
      <c r="DE38" s="615"/>
      <c r="DF38" s="635"/>
      <c r="DG38" s="636"/>
      <c r="DH38" s="615"/>
      <c r="DI38" s="615"/>
      <c r="DJ38" s="615"/>
      <c r="DK38" s="615"/>
      <c r="DL38" s="615"/>
      <c r="DM38" s="615"/>
      <c r="DN38" s="615"/>
      <c r="DO38" s="615"/>
      <c r="DP38" s="615"/>
      <c r="DQ38" s="615"/>
      <c r="DR38" s="635"/>
      <c r="DS38" s="636"/>
      <c r="DT38" s="615"/>
      <c r="DU38" s="615"/>
      <c r="DV38" s="615"/>
      <c r="DW38" s="615"/>
      <c r="DX38" s="615"/>
      <c r="DY38" s="615"/>
      <c r="DZ38" s="615"/>
      <c r="EA38" s="615"/>
      <c r="EB38" s="615"/>
      <c r="EC38" s="615"/>
      <c r="ED38" s="637"/>
      <c r="EE38" s="692"/>
    </row>
    <row r="39" spans="1:135" x14ac:dyDescent="0.25">
      <c r="A39" s="640" t="s">
        <v>11</v>
      </c>
      <c r="B39" s="367" t="s">
        <v>734</v>
      </c>
      <c r="C39" s="367" t="s">
        <v>478</v>
      </c>
      <c r="D39" s="367" t="s">
        <v>733</v>
      </c>
      <c r="E39" s="503" t="s">
        <v>576</v>
      </c>
      <c r="F39" s="570">
        <v>44529</v>
      </c>
      <c r="G39" s="85" t="s">
        <v>58</v>
      </c>
      <c r="H39" s="85" t="s">
        <v>54</v>
      </c>
      <c r="I39" s="85" t="s">
        <v>358</v>
      </c>
      <c r="J39" s="675" t="s">
        <v>358</v>
      </c>
      <c r="K39" s="85" t="s">
        <v>358</v>
      </c>
      <c r="L39" s="85" t="s">
        <v>40</v>
      </c>
      <c r="M39" s="85" t="s">
        <v>3</v>
      </c>
      <c r="N39" s="668" t="s">
        <v>44</v>
      </c>
      <c r="O39" s="669"/>
      <c r="P39" s="615"/>
      <c r="Q39" s="615"/>
      <c r="R39" s="615"/>
      <c r="S39" s="615"/>
      <c r="T39" s="615"/>
      <c r="U39" s="615"/>
      <c r="V39" s="615"/>
      <c r="W39" s="615"/>
      <c r="X39" s="615"/>
      <c r="Y39" s="615"/>
      <c r="Z39" s="635">
        <v>-10</v>
      </c>
      <c r="AA39" s="636"/>
      <c r="AB39" s="615"/>
      <c r="AC39" s="615"/>
      <c r="AD39" s="615"/>
      <c r="AE39" s="615"/>
      <c r="AF39" s="615"/>
      <c r="AG39" s="615"/>
      <c r="AH39" s="615"/>
      <c r="AI39" s="615"/>
      <c r="AJ39" s="615"/>
      <c r="AK39" s="615"/>
      <c r="AL39" s="635"/>
      <c r="AM39" s="636"/>
      <c r="AN39" s="615"/>
      <c r="AO39" s="615"/>
      <c r="AP39" s="615"/>
      <c r="AQ39" s="615"/>
      <c r="AR39" s="615"/>
      <c r="AS39" s="615"/>
      <c r="AT39" s="615"/>
      <c r="AU39" s="615"/>
      <c r="AV39" s="615"/>
      <c r="AW39" s="615"/>
      <c r="AX39" s="635"/>
      <c r="AY39" s="636"/>
      <c r="AZ39" s="615"/>
      <c r="BA39" s="615"/>
      <c r="BB39" s="615"/>
      <c r="BC39" s="615"/>
      <c r="BD39" s="615"/>
      <c r="BE39" s="615"/>
      <c r="BF39" s="615"/>
      <c r="BG39" s="615"/>
      <c r="BH39" s="615"/>
      <c r="BI39" s="615"/>
      <c r="BJ39" s="635"/>
      <c r="BK39" s="636"/>
      <c r="BL39" s="615"/>
      <c r="BM39" s="615"/>
      <c r="BN39" s="615"/>
      <c r="BO39" s="615"/>
      <c r="BP39" s="615"/>
      <c r="BQ39" s="615"/>
      <c r="BR39" s="615"/>
      <c r="BS39" s="615"/>
      <c r="BT39" s="615"/>
      <c r="BU39" s="615"/>
      <c r="BV39" s="637"/>
      <c r="BW39" s="669"/>
      <c r="BX39" s="615"/>
      <c r="BY39" s="615"/>
      <c r="BZ39" s="615"/>
      <c r="CA39" s="615"/>
      <c r="CB39" s="615"/>
      <c r="CC39" s="615"/>
      <c r="CD39" s="615"/>
      <c r="CE39" s="615"/>
      <c r="CF39" s="615"/>
      <c r="CG39" s="615"/>
      <c r="CH39" s="635">
        <v>218</v>
      </c>
      <c r="CI39" s="636"/>
      <c r="CJ39" s="615"/>
      <c r="CK39" s="615"/>
      <c r="CL39" s="615"/>
      <c r="CM39" s="615"/>
      <c r="CN39" s="615"/>
      <c r="CO39" s="615"/>
      <c r="CP39" s="615"/>
      <c r="CQ39" s="615"/>
      <c r="CR39" s="615"/>
      <c r="CS39" s="615"/>
      <c r="CT39" s="635"/>
      <c r="CU39" s="636"/>
      <c r="CV39" s="615"/>
      <c r="CW39" s="615"/>
      <c r="CX39" s="615"/>
      <c r="CY39" s="615"/>
      <c r="CZ39" s="615"/>
      <c r="DA39" s="615"/>
      <c r="DB39" s="615"/>
      <c r="DC39" s="615"/>
      <c r="DD39" s="615"/>
      <c r="DE39" s="615"/>
      <c r="DF39" s="635"/>
      <c r="DG39" s="636"/>
      <c r="DH39" s="615"/>
      <c r="DI39" s="615"/>
      <c r="DJ39" s="615"/>
      <c r="DK39" s="615"/>
      <c r="DL39" s="615"/>
      <c r="DM39" s="615"/>
      <c r="DN39" s="615"/>
      <c r="DO39" s="615"/>
      <c r="DP39" s="615"/>
      <c r="DQ39" s="615"/>
      <c r="DR39" s="635"/>
      <c r="DS39" s="636"/>
      <c r="DT39" s="615"/>
      <c r="DU39" s="615"/>
      <c r="DV39" s="615"/>
      <c r="DW39" s="615"/>
      <c r="DX39" s="615"/>
      <c r="DY39" s="615"/>
      <c r="DZ39" s="615"/>
      <c r="EA39" s="615"/>
      <c r="EB39" s="615"/>
      <c r="EC39" s="615"/>
      <c r="ED39" s="637"/>
      <c r="EE39" s="692"/>
    </row>
    <row r="40" spans="1:135" x14ac:dyDescent="0.25">
      <c r="A40" s="640" t="s">
        <v>11</v>
      </c>
      <c r="B40" s="367" t="s">
        <v>736</v>
      </c>
      <c r="C40" s="367" t="s">
        <v>478</v>
      </c>
      <c r="D40" s="367" t="s">
        <v>735</v>
      </c>
      <c r="E40" s="503" t="s">
        <v>577</v>
      </c>
      <c r="F40" s="570">
        <v>44529</v>
      </c>
      <c r="G40" s="85" t="s">
        <v>59</v>
      </c>
      <c r="H40" s="85" t="s">
        <v>54</v>
      </c>
      <c r="I40" s="85" t="s">
        <v>358</v>
      </c>
      <c r="J40" s="675" t="s">
        <v>358</v>
      </c>
      <c r="K40" s="85" t="s">
        <v>358</v>
      </c>
      <c r="L40" s="85" t="s">
        <v>40</v>
      </c>
      <c r="M40" s="85" t="s">
        <v>3</v>
      </c>
      <c r="N40" s="668" t="s">
        <v>44</v>
      </c>
      <c r="O40" s="669"/>
      <c r="P40" s="615"/>
      <c r="Q40" s="615"/>
      <c r="R40" s="615"/>
      <c r="S40" s="615"/>
      <c r="T40" s="615"/>
      <c r="U40" s="615"/>
      <c r="V40" s="615"/>
      <c r="W40" s="615"/>
      <c r="X40" s="615">
        <v>5</v>
      </c>
      <c r="Y40" s="615">
        <v>5</v>
      </c>
      <c r="Z40" s="635"/>
      <c r="AA40" s="636"/>
      <c r="AB40" s="615"/>
      <c r="AC40" s="615"/>
      <c r="AD40" s="615"/>
      <c r="AE40" s="615"/>
      <c r="AF40" s="615"/>
      <c r="AG40" s="615"/>
      <c r="AH40" s="615"/>
      <c r="AI40" s="615"/>
      <c r="AJ40" s="615"/>
      <c r="AK40" s="615"/>
      <c r="AL40" s="635"/>
      <c r="AM40" s="636"/>
      <c r="AN40" s="615"/>
      <c r="AO40" s="615"/>
      <c r="AP40" s="615"/>
      <c r="AQ40" s="615"/>
      <c r="AR40" s="615"/>
      <c r="AS40" s="615"/>
      <c r="AT40" s="615"/>
      <c r="AU40" s="615"/>
      <c r="AV40" s="615"/>
      <c r="AW40" s="615"/>
      <c r="AX40" s="635"/>
      <c r="AY40" s="636"/>
      <c r="AZ40" s="615"/>
      <c r="BA40" s="615"/>
      <c r="BB40" s="615"/>
      <c r="BC40" s="615"/>
      <c r="BD40" s="615"/>
      <c r="BE40" s="615"/>
      <c r="BF40" s="615"/>
      <c r="BG40" s="615"/>
      <c r="BH40" s="615"/>
      <c r="BI40" s="615"/>
      <c r="BJ40" s="635"/>
      <c r="BK40" s="636"/>
      <c r="BL40" s="615"/>
      <c r="BM40" s="615"/>
      <c r="BN40" s="615"/>
      <c r="BO40" s="615"/>
      <c r="BP40" s="615"/>
      <c r="BQ40" s="615"/>
      <c r="BR40" s="615"/>
      <c r="BS40" s="615"/>
      <c r="BT40" s="615"/>
      <c r="BU40" s="615"/>
      <c r="BV40" s="637"/>
      <c r="BW40" s="669"/>
      <c r="BX40" s="615"/>
      <c r="BY40" s="615"/>
      <c r="BZ40" s="615"/>
      <c r="CA40" s="615"/>
      <c r="CB40" s="615"/>
      <c r="CC40" s="615"/>
      <c r="CD40" s="615"/>
      <c r="CE40" s="615"/>
      <c r="CF40" s="615">
        <v>240</v>
      </c>
      <c r="CG40" s="615">
        <v>240</v>
      </c>
      <c r="CH40" s="635"/>
      <c r="CI40" s="636"/>
      <c r="CJ40" s="615"/>
      <c r="CK40" s="615"/>
      <c r="CL40" s="615"/>
      <c r="CM40" s="615"/>
      <c r="CN40" s="615"/>
      <c r="CO40" s="615"/>
      <c r="CP40" s="615"/>
      <c r="CQ40" s="615"/>
      <c r="CR40" s="615"/>
      <c r="CS40" s="615"/>
      <c r="CT40" s="635"/>
      <c r="CU40" s="636"/>
      <c r="CV40" s="615"/>
      <c r="CW40" s="615"/>
      <c r="CX40" s="615"/>
      <c r="CY40" s="615"/>
      <c r="CZ40" s="615"/>
      <c r="DA40" s="615"/>
      <c r="DB40" s="615"/>
      <c r="DC40" s="615"/>
      <c r="DD40" s="615"/>
      <c r="DE40" s="615"/>
      <c r="DF40" s="635"/>
      <c r="DG40" s="636"/>
      <c r="DH40" s="615"/>
      <c r="DI40" s="615"/>
      <c r="DJ40" s="615"/>
      <c r="DK40" s="615"/>
      <c r="DL40" s="615"/>
      <c r="DM40" s="615"/>
      <c r="DN40" s="615"/>
      <c r="DO40" s="615"/>
      <c r="DP40" s="615"/>
      <c r="DQ40" s="615"/>
      <c r="DR40" s="635"/>
      <c r="DS40" s="636"/>
      <c r="DT40" s="615"/>
      <c r="DU40" s="615"/>
      <c r="DV40" s="615"/>
      <c r="DW40" s="615"/>
      <c r="DX40" s="615"/>
      <c r="DY40" s="615"/>
      <c r="DZ40" s="615"/>
      <c r="EA40" s="615"/>
      <c r="EB40" s="615"/>
      <c r="EC40" s="615"/>
      <c r="ED40" s="637"/>
      <c r="EE40" s="692"/>
    </row>
    <row r="41" spans="1:135" x14ac:dyDescent="0.25">
      <c r="A41" s="640" t="s">
        <v>11</v>
      </c>
      <c r="B41" s="367" t="s">
        <v>739</v>
      </c>
      <c r="C41" s="367" t="s">
        <v>354</v>
      </c>
      <c r="D41" s="367" t="s">
        <v>738</v>
      </c>
      <c r="E41" s="503" t="s">
        <v>579</v>
      </c>
      <c r="F41" s="570">
        <v>44530</v>
      </c>
      <c r="G41" s="85" t="s">
        <v>58</v>
      </c>
      <c r="H41" s="85" t="s">
        <v>54</v>
      </c>
      <c r="I41" s="85" t="s">
        <v>358</v>
      </c>
      <c r="J41" s="675" t="s">
        <v>358</v>
      </c>
      <c r="K41" s="85" t="s">
        <v>358</v>
      </c>
      <c r="L41" s="85" t="s">
        <v>40</v>
      </c>
      <c r="M41" s="85" t="s">
        <v>3</v>
      </c>
      <c r="N41" s="668" t="s">
        <v>44</v>
      </c>
      <c r="O41" s="669">
        <v>-1</v>
      </c>
      <c r="P41" s="615">
        <v>-1</v>
      </c>
      <c r="Q41" s="615">
        <v>-1</v>
      </c>
      <c r="R41" s="615"/>
      <c r="S41" s="615"/>
      <c r="T41" s="615"/>
      <c r="U41" s="615"/>
      <c r="V41" s="615"/>
      <c r="W41" s="615"/>
      <c r="X41" s="615"/>
      <c r="Y41" s="615"/>
      <c r="Z41" s="635"/>
      <c r="AA41" s="636"/>
      <c r="AB41" s="615"/>
      <c r="AC41" s="615"/>
      <c r="AD41" s="615"/>
      <c r="AE41" s="615"/>
      <c r="AF41" s="615"/>
      <c r="AG41" s="615"/>
      <c r="AH41" s="615"/>
      <c r="AI41" s="615"/>
      <c r="AJ41" s="615"/>
      <c r="AK41" s="615"/>
      <c r="AL41" s="635"/>
      <c r="AM41" s="636"/>
      <c r="AN41" s="615"/>
      <c r="AO41" s="615"/>
      <c r="AP41" s="615"/>
      <c r="AQ41" s="615"/>
      <c r="AR41" s="615"/>
      <c r="AS41" s="615"/>
      <c r="AT41" s="615"/>
      <c r="AU41" s="615"/>
      <c r="AV41" s="615"/>
      <c r="AW41" s="615"/>
      <c r="AX41" s="635"/>
      <c r="AY41" s="636"/>
      <c r="AZ41" s="615"/>
      <c r="BA41" s="615"/>
      <c r="BB41" s="615"/>
      <c r="BC41" s="615"/>
      <c r="BD41" s="615"/>
      <c r="BE41" s="615"/>
      <c r="BF41" s="615"/>
      <c r="BG41" s="615"/>
      <c r="BH41" s="615"/>
      <c r="BI41" s="615"/>
      <c r="BJ41" s="635"/>
      <c r="BK41" s="636"/>
      <c r="BL41" s="615"/>
      <c r="BM41" s="615"/>
      <c r="BN41" s="615"/>
      <c r="BO41" s="615"/>
      <c r="BP41" s="615"/>
      <c r="BQ41" s="615"/>
      <c r="BR41" s="615"/>
      <c r="BS41" s="615"/>
      <c r="BT41" s="615"/>
      <c r="BU41" s="615"/>
      <c r="BV41" s="637"/>
      <c r="BW41" s="669">
        <v>195</v>
      </c>
      <c r="BX41" s="615">
        <v>195</v>
      </c>
      <c r="BY41" s="615">
        <v>195</v>
      </c>
      <c r="BZ41" s="615"/>
      <c r="CA41" s="615"/>
      <c r="CB41" s="615"/>
      <c r="CC41" s="615"/>
      <c r="CD41" s="615"/>
      <c r="CE41" s="615"/>
      <c r="CF41" s="615"/>
      <c r="CG41" s="615"/>
      <c r="CH41" s="635"/>
      <c r="CI41" s="636"/>
      <c r="CJ41" s="615"/>
      <c r="CK41" s="615"/>
      <c r="CL41" s="615"/>
      <c r="CM41" s="615"/>
      <c r="CN41" s="615"/>
      <c r="CO41" s="615"/>
      <c r="CP41" s="615"/>
      <c r="CQ41" s="615"/>
      <c r="CR41" s="615"/>
      <c r="CS41" s="615"/>
      <c r="CT41" s="635"/>
      <c r="CU41" s="636"/>
      <c r="CV41" s="615"/>
      <c r="CW41" s="615"/>
      <c r="CX41" s="615"/>
      <c r="CY41" s="615"/>
      <c r="CZ41" s="615"/>
      <c r="DA41" s="615"/>
      <c r="DB41" s="615"/>
      <c r="DC41" s="615"/>
      <c r="DD41" s="615"/>
      <c r="DE41" s="615"/>
      <c r="DF41" s="635"/>
      <c r="DG41" s="636"/>
      <c r="DH41" s="615"/>
      <c r="DI41" s="615"/>
      <c r="DJ41" s="615"/>
      <c r="DK41" s="615"/>
      <c r="DL41" s="615"/>
      <c r="DM41" s="615"/>
      <c r="DN41" s="615"/>
      <c r="DO41" s="615"/>
      <c r="DP41" s="615"/>
      <c r="DQ41" s="615"/>
      <c r="DR41" s="635"/>
      <c r="DS41" s="636"/>
      <c r="DT41" s="615"/>
      <c r="DU41" s="615"/>
      <c r="DV41" s="615"/>
      <c r="DW41" s="615"/>
      <c r="DX41" s="615"/>
      <c r="DY41" s="615"/>
      <c r="DZ41" s="615"/>
      <c r="EA41" s="615"/>
      <c r="EB41" s="615"/>
      <c r="EC41" s="615"/>
      <c r="ED41" s="637"/>
      <c r="EE41" s="692"/>
    </row>
    <row r="42" spans="1:135" x14ac:dyDescent="0.25">
      <c r="A42" s="640" t="s">
        <v>11</v>
      </c>
      <c r="B42" s="367" t="s">
        <v>741</v>
      </c>
      <c r="C42" s="367" t="s">
        <v>502</v>
      </c>
      <c r="D42" s="367" t="s">
        <v>740</v>
      </c>
      <c r="E42" s="503" t="s">
        <v>580</v>
      </c>
      <c r="F42" s="570">
        <v>44530</v>
      </c>
      <c r="G42" s="85" t="s">
        <v>58</v>
      </c>
      <c r="H42" s="85" t="s">
        <v>54</v>
      </c>
      <c r="I42" s="85" t="s">
        <v>358</v>
      </c>
      <c r="J42" s="675" t="s">
        <v>358</v>
      </c>
      <c r="K42" s="85" t="s">
        <v>358</v>
      </c>
      <c r="L42" s="85" t="s">
        <v>40</v>
      </c>
      <c r="M42" s="85" t="s">
        <v>3</v>
      </c>
      <c r="N42" s="668" t="s">
        <v>44</v>
      </c>
      <c r="O42" s="669">
        <v>-3</v>
      </c>
      <c r="P42" s="615">
        <v>-3</v>
      </c>
      <c r="Q42" s="615">
        <v>-3</v>
      </c>
      <c r="R42" s="615"/>
      <c r="S42" s="615"/>
      <c r="T42" s="615"/>
      <c r="U42" s="615"/>
      <c r="V42" s="615"/>
      <c r="W42" s="615"/>
      <c r="X42" s="615"/>
      <c r="Y42" s="615"/>
      <c r="Z42" s="635"/>
      <c r="AA42" s="636"/>
      <c r="AB42" s="615"/>
      <c r="AC42" s="615"/>
      <c r="AD42" s="615"/>
      <c r="AE42" s="615"/>
      <c r="AF42" s="615"/>
      <c r="AG42" s="615"/>
      <c r="AH42" s="615"/>
      <c r="AI42" s="615"/>
      <c r="AJ42" s="615"/>
      <c r="AK42" s="615"/>
      <c r="AL42" s="635"/>
      <c r="AM42" s="636"/>
      <c r="AN42" s="615"/>
      <c r="AO42" s="615"/>
      <c r="AP42" s="615"/>
      <c r="AQ42" s="615"/>
      <c r="AR42" s="615"/>
      <c r="AS42" s="615"/>
      <c r="AT42" s="615"/>
      <c r="AU42" s="615"/>
      <c r="AV42" s="615"/>
      <c r="AW42" s="615"/>
      <c r="AX42" s="635"/>
      <c r="AY42" s="636"/>
      <c r="AZ42" s="615"/>
      <c r="BA42" s="615"/>
      <c r="BB42" s="615"/>
      <c r="BC42" s="615"/>
      <c r="BD42" s="615"/>
      <c r="BE42" s="615"/>
      <c r="BF42" s="615"/>
      <c r="BG42" s="615"/>
      <c r="BH42" s="615"/>
      <c r="BI42" s="615"/>
      <c r="BJ42" s="635"/>
      <c r="BK42" s="636"/>
      <c r="BL42" s="615"/>
      <c r="BM42" s="615"/>
      <c r="BN42" s="615"/>
      <c r="BO42" s="615"/>
      <c r="BP42" s="615"/>
      <c r="BQ42" s="615"/>
      <c r="BR42" s="615"/>
      <c r="BS42" s="615"/>
      <c r="BT42" s="615"/>
      <c r="BU42" s="615"/>
      <c r="BV42" s="637"/>
      <c r="BW42" s="669">
        <v>194.5</v>
      </c>
      <c r="BX42" s="615">
        <v>194.5</v>
      </c>
      <c r="BY42" s="615">
        <v>194.5</v>
      </c>
      <c r="BZ42" s="615"/>
      <c r="CA42" s="615"/>
      <c r="CB42" s="615"/>
      <c r="CC42" s="615"/>
      <c r="CD42" s="615"/>
      <c r="CE42" s="615"/>
      <c r="CF42" s="615"/>
      <c r="CG42" s="615"/>
      <c r="CH42" s="635"/>
      <c r="CI42" s="636"/>
      <c r="CJ42" s="615"/>
      <c r="CK42" s="615"/>
      <c r="CL42" s="615"/>
      <c r="CM42" s="615"/>
      <c r="CN42" s="615"/>
      <c r="CO42" s="615"/>
      <c r="CP42" s="615"/>
      <c r="CQ42" s="615"/>
      <c r="CR42" s="615"/>
      <c r="CS42" s="615"/>
      <c r="CT42" s="635"/>
      <c r="CU42" s="636"/>
      <c r="CV42" s="615"/>
      <c r="CW42" s="615"/>
      <c r="CX42" s="615"/>
      <c r="CY42" s="615"/>
      <c r="CZ42" s="615"/>
      <c r="DA42" s="615"/>
      <c r="DB42" s="615"/>
      <c r="DC42" s="615"/>
      <c r="DD42" s="615"/>
      <c r="DE42" s="615"/>
      <c r="DF42" s="635"/>
      <c r="DG42" s="636"/>
      <c r="DH42" s="615"/>
      <c r="DI42" s="615"/>
      <c r="DJ42" s="615"/>
      <c r="DK42" s="615"/>
      <c r="DL42" s="615"/>
      <c r="DM42" s="615"/>
      <c r="DN42" s="615"/>
      <c r="DO42" s="615"/>
      <c r="DP42" s="615"/>
      <c r="DQ42" s="615"/>
      <c r="DR42" s="635"/>
      <c r="DS42" s="636"/>
      <c r="DT42" s="615"/>
      <c r="DU42" s="615"/>
      <c r="DV42" s="615"/>
      <c r="DW42" s="615"/>
      <c r="DX42" s="615"/>
      <c r="DY42" s="615"/>
      <c r="DZ42" s="615"/>
      <c r="EA42" s="615"/>
      <c r="EB42" s="615"/>
      <c r="EC42" s="615"/>
      <c r="ED42" s="637"/>
      <c r="EE42" s="692"/>
    </row>
    <row r="43" spans="1:135" x14ac:dyDescent="0.25">
      <c r="A43" s="640" t="s">
        <v>11</v>
      </c>
      <c r="B43" s="367" t="s">
        <v>743</v>
      </c>
      <c r="C43" s="367" t="s">
        <v>406</v>
      </c>
      <c r="D43" s="367" t="s">
        <v>742</v>
      </c>
      <c r="E43" s="503" t="s">
        <v>581</v>
      </c>
      <c r="F43" s="570">
        <v>44530</v>
      </c>
      <c r="G43" s="85" t="s">
        <v>58</v>
      </c>
      <c r="H43" s="85" t="s">
        <v>54</v>
      </c>
      <c r="I43" s="85" t="s">
        <v>358</v>
      </c>
      <c r="J43" s="675" t="s">
        <v>358</v>
      </c>
      <c r="K43" s="85" t="s">
        <v>358</v>
      </c>
      <c r="L43" s="85" t="s">
        <v>40</v>
      </c>
      <c r="M43" s="85" t="s">
        <v>3</v>
      </c>
      <c r="N43" s="668" t="s">
        <v>44</v>
      </c>
      <c r="O43" s="669">
        <v>-1</v>
      </c>
      <c r="P43" s="615">
        <v>-1</v>
      </c>
      <c r="Q43" s="615">
        <v>-1</v>
      </c>
      <c r="R43" s="615"/>
      <c r="S43" s="615"/>
      <c r="T43" s="615"/>
      <c r="U43" s="615"/>
      <c r="V43" s="615"/>
      <c r="W43" s="615"/>
      <c r="X43" s="615"/>
      <c r="Y43" s="615"/>
      <c r="Z43" s="635"/>
      <c r="AA43" s="636"/>
      <c r="AB43" s="615"/>
      <c r="AC43" s="615"/>
      <c r="AD43" s="615"/>
      <c r="AE43" s="615"/>
      <c r="AF43" s="615"/>
      <c r="AG43" s="615"/>
      <c r="AH43" s="615"/>
      <c r="AI43" s="615"/>
      <c r="AJ43" s="615"/>
      <c r="AK43" s="615"/>
      <c r="AL43" s="635"/>
      <c r="AM43" s="636"/>
      <c r="AN43" s="615"/>
      <c r="AO43" s="615"/>
      <c r="AP43" s="615"/>
      <c r="AQ43" s="615"/>
      <c r="AR43" s="615"/>
      <c r="AS43" s="615"/>
      <c r="AT43" s="615"/>
      <c r="AU43" s="615"/>
      <c r="AV43" s="615"/>
      <c r="AW43" s="615"/>
      <c r="AX43" s="635"/>
      <c r="AY43" s="636"/>
      <c r="AZ43" s="615"/>
      <c r="BA43" s="615"/>
      <c r="BB43" s="615"/>
      <c r="BC43" s="615"/>
      <c r="BD43" s="615"/>
      <c r="BE43" s="615"/>
      <c r="BF43" s="615"/>
      <c r="BG43" s="615"/>
      <c r="BH43" s="615"/>
      <c r="BI43" s="615"/>
      <c r="BJ43" s="635"/>
      <c r="BK43" s="636"/>
      <c r="BL43" s="615"/>
      <c r="BM43" s="615"/>
      <c r="BN43" s="615"/>
      <c r="BO43" s="615"/>
      <c r="BP43" s="615"/>
      <c r="BQ43" s="615"/>
      <c r="BR43" s="615"/>
      <c r="BS43" s="615"/>
      <c r="BT43" s="615"/>
      <c r="BU43" s="615"/>
      <c r="BV43" s="637"/>
      <c r="BW43" s="669">
        <v>193.5</v>
      </c>
      <c r="BX43" s="615">
        <v>193.5</v>
      </c>
      <c r="BY43" s="615">
        <v>193.5</v>
      </c>
      <c r="BZ43" s="615"/>
      <c r="CA43" s="615"/>
      <c r="CB43" s="615"/>
      <c r="CC43" s="615"/>
      <c r="CD43" s="615"/>
      <c r="CE43" s="615"/>
      <c r="CF43" s="615"/>
      <c r="CG43" s="615"/>
      <c r="CH43" s="635"/>
      <c r="CI43" s="636"/>
      <c r="CJ43" s="615"/>
      <c r="CK43" s="615"/>
      <c r="CL43" s="615"/>
      <c r="CM43" s="615"/>
      <c r="CN43" s="615"/>
      <c r="CO43" s="615"/>
      <c r="CP43" s="615"/>
      <c r="CQ43" s="615"/>
      <c r="CR43" s="615"/>
      <c r="CS43" s="615"/>
      <c r="CT43" s="635"/>
      <c r="CU43" s="636"/>
      <c r="CV43" s="615"/>
      <c r="CW43" s="615"/>
      <c r="CX43" s="615"/>
      <c r="CY43" s="615"/>
      <c r="CZ43" s="615"/>
      <c r="DA43" s="615"/>
      <c r="DB43" s="615"/>
      <c r="DC43" s="615"/>
      <c r="DD43" s="615"/>
      <c r="DE43" s="615"/>
      <c r="DF43" s="635"/>
      <c r="DG43" s="636"/>
      <c r="DH43" s="615"/>
      <c r="DI43" s="615"/>
      <c r="DJ43" s="615"/>
      <c r="DK43" s="615"/>
      <c r="DL43" s="615"/>
      <c r="DM43" s="615"/>
      <c r="DN43" s="615"/>
      <c r="DO43" s="615"/>
      <c r="DP43" s="615"/>
      <c r="DQ43" s="615"/>
      <c r="DR43" s="635"/>
      <c r="DS43" s="636"/>
      <c r="DT43" s="615"/>
      <c r="DU43" s="615"/>
      <c r="DV43" s="615"/>
      <c r="DW43" s="615"/>
      <c r="DX43" s="615"/>
      <c r="DY43" s="615"/>
      <c r="DZ43" s="615"/>
      <c r="EA43" s="615"/>
      <c r="EB43" s="615"/>
      <c r="EC43" s="615"/>
      <c r="ED43" s="637"/>
      <c r="EE43" s="692"/>
    </row>
    <row r="44" spans="1:135" x14ac:dyDescent="0.25">
      <c r="A44" s="640" t="s">
        <v>11</v>
      </c>
      <c r="B44" s="367" t="s">
        <v>745</v>
      </c>
      <c r="C44" s="367" t="s">
        <v>585</v>
      </c>
      <c r="D44" s="367" t="s">
        <v>744</v>
      </c>
      <c r="E44" s="503" t="s">
        <v>582</v>
      </c>
      <c r="F44" s="570">
        <v>44530</v>
      </c>
      <c r="G44" s="85" t="s">
        <v>59</v>
      </c>
      <c r="H44" s="85" t="s">
        <v>54</v>
      </c>
      <c r="I44" s="85" t="s">
        <v>358</v>
      </c>
      <c r="J44" s="675" t="s">
        <v>358</v>
      </c>
      <c r="K44" s="85" t="s">
        <v>358</v>
      </c>
      <c r="L44" s="85" t="s">
        <v>40</v>
      </c>
      <c r="M44" s="85" t="s">
        <v>3</v>
      </c>
      <c r="N44" s="668" t="s">
        <v>44</v>
      </c>
      <c r="O44" s="669"/>
      <c r="P44" s="615"/>
      <c r="Q44" s="615"/>
      <c r="R44" s="615"/>
      <c r="S44" s="615"/>
      <c r="T44" s="615"/>
      <c r="U44" s="615">
        <v>3</v>
      </c>
      <c r="V44" s="615">
        <v>3</v>
      </c>
      <c r="W44" s="615">
        <v>3</v>
      </c>
      <c r="X44" s="615">
        <v>3</v>
      </c>
      <c r="Y44" s="615">
        <v>3</v>
      </c>
      <c r="Z44" s="635">
        <v>3</v>
      </c>
      <c r="AA44" s="636"/>
      <c r="AB44" s="615"/>
      <c r="AC44" s="615"/>
      <c r="AD44" s="615"/>
      <c r="AE44" s="615"/>
      <c r="AF44" s="615"/>
      <c r="AG44" s="615"/>
      <c r="AH44" s="615"/>
      <c r="AI44" s="615"/>
      <c r="AJ44" s="615"/>
      <c r="AK44" s="615"/>
      <c r="AL44" s="635"/>
      <c r="AM44" s="636"/>
      <c r="AN44" s="615"/>
      <c r="AO44" s="615"/>
      <c r="AP44" s="615"/>
      <c r="AQ44" s="615"/>
      <c r="AR44" s="615"/>
      <c r="AS44" s="615"/>
      <c r="AT44" s="615"/>
      <c r="AU44" s="615"/>
      <c r="AV44" s="615"/>
      <c r="AW44" s="615"/>
      <c r="AX44" s="635"/>
      <c r="AY44" s="636"/>
      <c r="AZ44" s="615"/>
      <c r="BA44" s="615"/>
      <c r="BB44" s="615"/>
      <c r="BC44" s="615"/>
      <c r="BD44" s="615"/>
      <c r="BE44" s="615"/>
      <c r="BF44" s="615"/>
      <c r="BG44" s="615"/>
      <c r="BH44" s="615"/>
      <c r="BI44" s="615"/>
      <c r="BJ44" s="635"/>
      <c r="BK44" s="636"/>
      <c r="BL44" s="615"/>
      <c r="BM44" s="615"/>
      <c r="BN44" s="615"/>
      <c r="BO44" s="615"/>
      <c r="BP44" s="615"/>
      <c r="BQ44" s="615"/>
      <c r="BR44" s="615"/>
      <c r="BS44" s="615"/>
      <c r="BT44" s="615"/>
      <c r="BU44" s="615"/>
      <c r="BV44" s="637"/>
      <c r="BW44" s="669"/>
      <c r="BX44" s="615"/>
      <c r="BY44" s="615"/>
      <c r="BZ44" s="615"/>
      <c r="CA44" s="615"/>
      <c r="CB44" s="615"/>
      <c r="CC44" s="615">
        <v>267</v>
      </c>
      <c r="CD44" s="615">
        <v>267</v>
      </c>
      <c r="CE44" s="615">
        <v>267</v>
      </c>
      <c r="CF44" s="615">
        <v>267</v>
      </c>
      <c r="CG44" s="615">
        <v>267</v>
      </c>
      <c r="CH44" s="635">
        <v>267</v>
      </c>
      <c r="CI44" s="636"/>
      <c r="CJ44" s="615"/>
      <c r="CK44" s="615"/>
      <c r="CL44" s="615"/>
      <c r="CM44" s="615"/>
      <c r="CN44" s="615"/>
      <c r="CO44" s="615"/>
      <c r="CP44" s="615"/>
      <c r="CQ44" s="615"/>
      <c r="CR44" s="615"/>
      <c r="CS44" s="615"/>
      <c r="CT44" s="635"/>
      <c r="CU44" s="636"/>
      <c r="CV44" s="615"/>
      <c r="CW44" s="615"/>
      <c r="CX44" s="615"/>
      <c r="CY44" s="615"/>
      <c r="CZ44" s="615"/>
      <c r="DA44" s="615"/>
      <c r="DB44" s="615"/>
      <c r="DC44" s="615"/>
      <c r="DD44" s="615"/>
      <c r="DE44" s="615"/>
      <c r="DF44" s="635"/>
      <c r="DG44" s="636"/>
      <c r="DH44" s="615"/>
      <c r="DI44" s="615"/>
      <c r="DJ44" s="615"/>
      <c r="DK44" s="615"/>
      <c r="DL44" s="615"/>
      <c r="DM44" s="615"/>
      <c r="DN44" s="615"/>
      <c r="DO44" s="615"/>
      <c r="DP44" s="615"/>
      <c r="DQ44" s="615"/>
      <c r="DR44" s="635"/>
      <c r="DS44" s="636"/>
      <c r="DT44" s="615"/>
      <c r="DU44" s="615"/>
      <c r="DV44" s="615"/>
      <c r="DW44" s="615"/>
      <c r="DX44" s="615"/>
      <c r="DY44" s="615"/>
      <c r="DZ44" s="615"/>
      <c r="EA44" s="615"/>
      <c r="EB44" s="615"/>
      <c r="EC44" s="615"/>
      <c r="ED44" s="637"/>
      <c r="EE44" s="692"/>
    </row>
    <row r="45" spans="1:135" x14ac:dyDescent="0.25">
      <c r="A45" s="640" t="s">
        <v>11</v>
      </c>
      <c r="B45" s="367" t="s">
        <v>747</v>
      </c>
      <c r="C45" s="367" t="s">
        <v>477</v>
      </c>
      <c r="D45" s="367" t="s">
        <v>746</v>
      </c>
      <c r="E45" s="503" t="s">
        <v>583</v>
      </c>
      <c r="F45" s="570">
        <v>44530</v>
      </c>
      <c r="G45" s="85" t="s">
        <v>59</v>
      </c>
      <c r="H45" s="85" t="s">
        <v>54</v>
      </c>
      <c r="I45" s="85" t="s">
        <v>358</v>
      </c>
      <c r="J45" s="675" t="s">
        <v>358</v>
      </c>
      <c r="K45" s="85" t="s">
        <v>358</v>
      </c>
      <c r="L45" s="85" t="s">
        <v>40</v>
      </c>
      <c r="M45" s="85" t="s">
        <v>3</v>
      </c>
      <c r="N45" s="668" t="s">
        <v>44</v>
      </c>
      <c r="O45" s="669"/>
      <c r="P45" s="615"/>
      <c r="Q45" s="615"/>
      <c r="R45" s="615"/>
      <c r="S45" s="615"/>
      <c r="T45" s="615"/>
      <c r="U45" s="615"/>
      <c r="V45" s="615"/>
      <c r="W45" s="615"/>
      <c r="X45" s="615">
        <v>2.5</v>
      </c>
      <c r="Y45" s="615">
        <v>2.5</v>
      </c>
      <c r="Z45" s="635"/>
      <c r="AA45" s="636"/>
      <c r="AB45" s="615"/>
      <c r="AC45" s="615"/>
      <c r="AD45" s="615"/>
      <c r="AE45" s="615"/>
      <c r="AF45" s="615"/>
      <c r="AG45" s="615"/>
      <c r="AH45" s="615"/>
      <c r="AI45" s="615"/>
      <c r="AJ45" s="615"/>
      <c r="AK45" s="615"/>
      <c r="AL45" s="635"/>
      <c r="AM45" s="636"/>
      <c r="AN45" s="615"/>
      <c r="AO45" s="615"/>
      <c r="AP45" s="615"/>
      <c r="AQ45" s="615"/>
      <c r="AR45" s="615"/>
      <c r="AS45" s="615"/>
      <c r="AT45" s="615"/>
      <c r="AU45" s="615"/>
      <c r="AV45" s="615"/>
      <c r="AW45" s="615"/>
      <c r="AX45" s="635"/>
      <c r="AY45" s="636"/>
      <c r="AZ45" s="615"/>
      <c r="BA45" s="615"/>
      <c r="BB45" s="615"/>
      <c r="BC45" s="615"/>
      <c r="BD45" s="615"/>
      <c r="BE45" s="615"/>
      <c r="BF45" s="615"/>
      <c r="BG45" s="615"/>
      <c r="BH45" s="615"/>
      <c r="BI45" s="615"/>
      <c r="BJ45" s="635"/>
      <c r="BK45" s="636"/>
      <c r="BL45" s="615"/>
      <c r="BM45" s="615"/>
      <c r="BN45" s="615"/>
      <c r="BO45" s="615"/>
      <c r="BP45" s="615"/>
      <c r="BQ45" s="615"/>
      <c r="BR45" s="615"/>
      <c r="BS45" s="615"/>
      <c r="BT45" s="615"/>
      <c r="BU45" s="615"/>
      <c r="BV45" s="637"/>
      <c r="BW45" s="669"/>
      <c r="BX45" s="615"/>
      <c r="BY45" s="615"/>
      <c r="BZ45" s="615"/>
      <c r="CA45" s="615"/>
      <c r="CB45" s="615"/>
      <c r="CC45" s="615"/>
      <c r="CD45" s="615"/>
      <c r="CE45" s="615"/>
      <c r="CF45" s="615">
        <v>250</v>
      </c>
      <c r="CG45" s="615">
        <v>250</v>
      </c>
      <c r="CH45" s="635"/>
      <c r="CI45" s="636"/>
      <c r="CJ45" s="615"/>
      <c r="CK45" s="615"/>
      <c r="CL45" s="615"/>
      <c r="CM45" s="615"/>
      <c r="CN45" s="615"/>
      <c r="CO45" s="615"/>
      <c r="CP45" s="615"/>
      <c r="CQ45" s="615"/>
      <c r="CR45" s="615"/>
      <c r="CS45" s="615"/>
      <c r="CT45" s="635"/>
      <c r="CU45" s="636"/>
      <c r="CV45" s="615"/>
      <c r="CW45" s="615"/>
      <c r="CX45" s="615"/>
      <c r="CY45" s="615"/>
      <c r="CZ45" s="615"/>
      <c r="DA45" s="615"/>
      <c r="DB45" s="615"/>
      <c r="DC45" s="615"/>
      <c r="DD45" s="615"/>
      <c r="DE45" s="615"/>
      <c r="DF45" s="635"/>
      <c r="DG45" s="636"/>
      <c r="DH45" s="615"/>
      <c r="DI45" s="615"/>
      <c r="DJ45" s="615"/>
      <c r="DK45" s="615"/>
      <c r="DL45" s="615"/>
      <c r="DM45" s="615"/>
      <c r="DN45" s="615"/>
      <c r="DO45" s="615"/>
      <c r="DP45" s="615"/>
      <c r="DQ45" s="615"/>
      <c r="DR45" s="635"/>
      <c r="DS45" s="636"/>
      <c r="DT45" s="615"/>
      <c r="DU45" s="615"/>
      <c r="DV45" s="615"/>
      <c r="DW45" s="615"/>
      <c r="DX45" s="615"/>
      <c r="DY45" s="615"/>
      <c r="DZ45" s="615"/>
      <c r="EA45" s="615"/>
      <c r="EB45" s="615"/>
      <c r="EC45" s="615"/>
      <c r="ED45" s="637"/>
      <c r="EE45" s="692"/>
    </row>
    <row r="46" spans="1:135" x14ac:dyDescent="0.25">
      <c r="A46" s="640" t="s">
        <v>11</v>
      </c>
      <c r="B46" s="367" t="s">
        <v>749</v>
      </c>
      <c r="C46" s="367" t="s">
        <v>477</v>
      </c>
      <c r="D46" s="367" t="s">
        <v>748</v>
      </c>
      <c r="E46" s="503" t="s">
        <v>584</v>
      </c>
      <c r="F46" s="570">
        <v>44530</v>
      </c>
      <c r="G46" s="85" t="s">
        <v>58</v>
      </c>
      <c r="H46" s="85" t="s">
        <v>54</v>
      </c>
      <c r="I46" s="85" t="s">
        <v>358</v>
      </c>
      <c r="J46" s="675" t="s">
        <v>358</v>
      </c>
      <c r="K46" s="85" t="s">
        <v>358</v>
      </c>
      <c r="L46" s="85" t="s">
        <v>40</v>
      </c>
      <c r="M46" s="85" t="s">
        <v>3</v>
      </c>
      <c r="N46" s="668" t="s">
        <v>44</v>
      </c>
      <c r="O46" s="669"/>
      <c r="P46" s="615"/>
      <c r="Q46" s="615"/>
      <c r="R46" s="615"/>
      <c r="S46" s="615"/>
      <c r="T46" s="615"/>
      <c r="U46" s="615"/>
      <c r="V46" s="615"/>
      <c r="W46" s="615"/>
      <c r="X46" s="615"/>
      <c r="Y46" s="615"/>
      <c r="Z46" s="635">
        <v>-5</v>
      </c>
      <c r="AA46" s="636"/>
      <c r="AB46" s="615"/>
      <c r="AC46" s="615"/>
      <c r="AD46" s="615"/>
      <c r="AE46" s="615"/>
      <c r="AF46" s="615"/>
      <c r="AG46" s="615"/>
      <c r="AH46" s="615"/>
      <c r="AI46" s="615"/>
      <c r="AJ46" s="615"/>
      <c r="AK46" s="615"/>
      <c r="AL46" s="635"/>
      <c r="AM46" s="636"/>
      <c r="AN46" s="615"/>
      <c r="AO46" s="615"/>
      <c r="AP46" s="615"/>
      <c r="AQ46" s="615"/>
      <c r="AR46" s="615"/>
      <c r="AS46" s="615"/>
      <c r="AT46" s="615"/>
      <c r="AU46" s="615"/>
      <c r="AV46" s="615"/>
      <c r="AW46" s="615"/>
      <c r="AX46" s="635"/>
      <c r="AY46" s="636"/>
      <c r="AZ46" s="615"/>
      <c r="BA46" s="615"/>
      <c r="BB46" s="615"/>
      <c r="BC46" s="615"/>
      <c r="BD46" s="615"/>
      <c r="BE46" s="615"/>
      <c r="BF46" s="615"/>
      <c r="BG46" s="615"/>
      <c r="BH46" s="615"/>
      <c r="BI46" s="615"/>
      <c r="BJ46" s="635"/>
      <c r="BK46" s="636"/>
      <c r="BL46" s="615"/>
      <c r="BM46" s="615"/>
      <c r="BN46" s="615"/>
      <c r="BO46" s="615"/>
      <c r="BP46" s="615"/>
      <c r="BQ46" s="615"/>
      <c r="BR46" s="615"/>
      <c r="BS46" s="615"/>
      <c r="BT46" s="615"/>
      <c r="BU46" s="615"/>
      <c r="BV46" s="637"/>
      <c r="BW46" s="669"/>
      <c r="BX46" s="615"/>
      <c r="BY46" s="615"/>
      <c r="BZ46" s="615"/>
      <c r="CA46" s="615"/>
      <c r="CB46" s="615"/>
      <c r="CC46" s="615"/>
      <c r="CD46" s="615"/>
      <c r="CE46" s="615"/>
      <c r="CF46" s="615"/>
      <c r="CG46" s="615"/>
      <c r="CH46" s="635">
        <v>225</v>
      </c>
      <c r="CI46" s="636"/>
      <c r="CJ46" s="615"/>
      <c r="CK46" s="615"/>
      <c r="CL46" s="615"/>
      <c r="CM46" s="615"/>
      <c r="CN46" s="615"/>
      <c r="CO46" s="615"/>
      <c r="CP46" s="615"/>
      <c r="CQ46" s="615"/>
      <c r="CR46" s="615"/>
      <c r="CS46" s="615"/>
      <c r="CT46" s="635"/>
      <c r="CU46" s="636"/>
      <c r="CV46" s="615"/>
      <c r="CW46" s="615"/>
      <c r="CX46" s="615"/>
      <c r="CY46" s="615"/>
      <c r="CZ46" s="615"/>
      <c r="DA46" s="615"/>
      <c r="DB46" s="615"/>
      <c r="DC46" s="615"/>
      <c r="DD46" s="615"/>
      <c r="DE46" s="615"/>
      <c r="DF46" s="635"/>
      <c r="DG46" s="636"/>
      <c r="DH46" s="615"/>
      <c r="DI46" s="615"/>
      <c r="DJ46" s="615"/>
      <c r="DK46" s="615"/>
      <c r="DL46" s="615"/>
      <c r="DM46" s="615"/>
      <c r="DN46" s="615"/>
      <c r="DO46" s="615"/>
      <c r="DP46" s="615"/>
      <c r="DQ46" s="615"/>
      <c r="DR46" s="635"/>
      <c r="DS46" s="636"/>
      <c r="DT46" s="615"/>
      <c r="DU46" s="615"/>
      <c r="DV46" s="615"/>
      <c r="DW46" s="615"/>
      <c r="DX46" s="615"/>
      <c r="DY46" s="615"/>
      <c r="DZ46" s="615"/>
      <c r="EA46" s="615"/>
      <c r="EB46" s="615"/>
      <c r="EC46" s="615"/>
      <c r="ED46" s="637"/>
      <c r="EE46" s="692"/>
    </row>
    <row r="47" spans="1:135" x14ac:dyDescent="0.25">
      <c r="A47" s="640" t="s">
        <v>11</v>
      </c>
      <c r="B47" s="367" t="s">
        <v>751</v>
      </c>
      <c r="C47" s="367" t="s">
        <v>507</v>
      </c>
      <c r="D47" s="367" t="s">
        <v>750</v>
      </c>
      <c r="E47" s="503" t="s">
        <v>586</v>
      </c>
      <c r="F47" s="570">
        <v>44531</v>
      </c>
      <c r="G47" s="85" t="s">
        <v>58</v>
      </c>
      <c r="H47" s="85" t="s">
        <v>54</v>
      </c>
      <c r="I47" s="85" t="s">
        <v>358</v>
      </c>
      <c r="J47" s="675" t="s">
        <v>358</v>
      </c>
      <c r="K47" s="85" t="s">
        <v>358</v>
      </c>
      <c r="L47" s="85" t="s">
        <v>40</v>
      </c>
      <c r="M47" s="85" t="s">
        <v>3</v>
      </c>
      <c r="N47" s="668" t="s">
        <v>44</v>
      </c>
      <c r="O47" s="669">
        <v>-3</v>
      </c>
      <c r="P47" s="615">
        <v>-3</v>
      </c>
      <c r="Q47" s="615">
        <v>-3</v>
      </c>
      <c r="R47" s="615"/>
      <c r="S47" s="615"/>
      <c r="T47" s="615"/>
      <c r="U47" s="615"/>
      <c r="V47" s="615"/>
      <c r="W47" s="615"/>
      <c r="X47" s="615"/>
      <c r="Y47" s="615"/>
      <c r="Z47" s="635"/>
      <c r="AA47" s="636"/>
      <c r="AB47" s="615"/>
      <c r="AC47" s="615"/>
      <c r="AD47" s="615"/>
      <c r="AE47" s="615"/>
      <c r="AF47" s="615"/>
      <c r="AG47" s="615"/>
      <c r="AH47" s="615"/>
      <c r="AI47" s="615"/>
      <c r="AJ47" s="615"/>
      <c r="AK47" s="615"/>
      <c r="AL47" s="635"/>
      <c r="AM47" s="636"/>
      <c r="AN47" s="615"/>
      <c r="AO47" s="615"/>
      <c r="AP47" s="615"/>
      <c r="AQ47" s="615"/>
      <c r="AR47" s="615"/>
      <c r="AS47" s="615"/>
      <c r="AT47" s="615"/>
      <c r="AU47" s="615"/>
      <c r="AV47" s="615"/>
      <c r="AW47" s="615"/>
      <c r="AX47" s="635"/>
      <c r="AY47" s="636"/>
      <c r="AZ47" s="615"/>
      <c r="BA47" s="615"/>
      <c r="BB47" s="615"/>
      <c r="BC47" s="615"/>
      <c r="BD47" s="615"/>
      <c r="BE47" s="615"/>
      <c r="BF47" s="615"/>
      <c r="BG47" s="615"/>
      <c r="BH47" s="615"/>
      <c r="BI47" s="615"/>
      <c r="BJ47" s="635"/>
      <c r="BK47" s="636"/>
      <c r="BL47" s="615"/>
      <c r="BM47" s="615"/>
      <c r="BN47" s="615"/>
      <c r="BO47" s="615"/>
      <c r="BP47" s="615"/>
      <c r="BQ47" s="615"/>
      <c r="BR47" s="615"/>
      <c r="BS47" s="615"/>
      <c r="BT47" s="615"/>
      <c r="BU47" s="615"/>
      <c r="BV47" s="637"/>
      <c r="BW47" s="669">
        <v>201</v>
      </c>
      <c r="BX47" s="615">
        <v>201</v>
      </c>
      <c r="BY47" s="615">
        <v>201</v>
      </c>
      <c r="BZ47" s="615"/>
      <c r="CA47" s="615"/>
      <c r="CB47" s="615"/>
      <c r="CC47" s="615"/>
      <c r="CD47" s="615"/>
      <c r="CE47" s="615"/>
      <c r="CF47" s="615"/>
      <c r="CG47" s="615"/>
      <c r="CH47" s="635"/>
      <c r="CI47" s="636"/>
      <c r="CJ47" s="615"/>
      <c r="CK47" s="615"/>
      <c r="CL47" s="615"/>
      <c r="CM47" s="615"/>
      <c r="CN47" s="615"/>
      <c r="CO47" s="615"/>
      <c r="CP47" s="615"/>
      <c r="CQ47" s="615"/>
      <c r="CR47" s="615"/>
      <c r="CS47" s="615"/>
      <c r="CT47" s="635"/>
      <c r="CU47" s="636"/>
      <c r="CV47" s="615"/>
      <c r="CW47" s="615"/>
      <c r="CX47" s="615"/>
      <c r="CY47" s="615"/>
      <c r="CZ47" s="615"/>
      <c r="DA47" s="615"/>
      <c r="DB47" s="615"/>
      <c r="DC47" s="615"/>
      <c r="DD47" s="615"/>
      <c r="DE47" s="615"/>
      <c r="DF47" s="635"/>
      <c r="DG47" s="636"/>
      <c r="DH47" s="615"/>
      <c r="DI47" s="615"/>
      <c r="DJ47" s="615"/>
      <c r="DK47" s="615"/>
      <c r="DL47" s="615"/>
      <c r="DM47" s="615"/>
      <c r="DN47" s="615"/>
      <c r="DO47" s="615"/>
      <c r="DP47" s="615"/>
      <c r="DQ47" s="615"/>
      <c r="DR47" s="635"/>
      <c r="DS47" s="636"/>
      <c r="DT47" s="615"/>
      <c r="DU47" s="615"/>
      <c r="DV47" s="615"/>
      <c r="DW47" s="615"/>
      <c r="DX47" s="615"/>
      <c r="DY47" s="615"/>
      <c r="DZ47" s="615"/>
      <c r="EA47" s="615"/>
      <c r="EB47" s="615"/>
      <c r="EC47" s="615"/>
      <c r="ED47" s="637"/>
      <c r="EE47" s="692"/>
    </row>
    <row r="48" spans="1:135" x14ac:dyDescent="0.25">
      <c r="A48" s="640" t="s">
        <v>11</v>
      </c>
      <c r="B48" s="367" t="s">
        <v>753</v>
      </c>
      <c r="C48" s="367" t="s">
        <v>1689</v>
      </c>
      <c r="D48" s="367" t="s">
        <v>752</v>
      </c>
      <c r="E48" s="503" t="s">
        <v>587</v>
      </c>
      <c r="F48" s="570">
        <v>44531</v>
      </c>
      <c r="G48" s="85" t="s">
        <v>59</v>
      </c>
      <c r="H48" s="85" t="s">
        <v>54</v>
      </c>
      <c r="I48" s="85" t="s">
        <v>358</v>
      </c>
      <c r="J48" s="675" t="s">
        <v>358</v>
      </c>
      <c r="K48" s="85" t="s">
        <v>358</v>
      </c>
      <c r="L48" s="85" t="s">
        <v>40</v>
      </c>
      <c r="M48" s="85" t="s">
        <v>3</v>
      </c>
      <c r="N48" s="668" t="s">
        <v>44</v>
      </c>
      <c r="O48" s="669"/>
      <c r="P48" s="615"/>
      <c r="Q48" s="615"/>
      <c r="R48" s="615"/>
      <c r="S48" s="615"/>
      <c r="T48" s="615"/>
      <c r="U48" s="615">
        <v>7</v>
      </c>
      <c r="V48" s="615">
        <v>7</v>
      </c>
      <c r="W48" s="615">
        <v>7</v>
      </c>
      <c r="X48" s="615"/>
      <c r="Y48" s="615"/>
      <c r="Z48" s="635"/>
      <c r="AA48" s="636"/>
      <c r="AB48" s="615"/>
      <c r="AC48" s="615"/>
      <c r="AD48" s="615"/>
      <c r="AE48" s="615"/>
      <c r="AF48" s="615"/>
      <c r="AG48" s="615"/>
      <c r="AH48" s="615"/>
      <c r="AI48" s="615"/>
      <c r="AJ48" s="615"/>
      <c r="AK48" s="615"/>
      <c r="AL48" s="635"/>
      <c r="AM48" s="636"/>
      <c r="AN48" s="615"/>
      <c r="AO48" s="615"/>
      <c r="AP48" s="615"/>
      <c r="AQ48" s="615"/>
      <c r="AR48" s="615"/>
      <c r="AS48" s="615"/>
      <c r="AT48" s="615"/>
      <c r="AU48" s="615"/>
      <c r="AV48" s="615"/>
      <c r="AW48" s="615"/>
      <c r="AX48" s="635"/>
      <c r="AY48" s="636"/>
      <c r="AZ48" s="615"/>
      <c r="BA48" s="615"/>
      <c r="BB48" s="615"/>
      <c r="BC48" s="615"/>
      <c r="BD48" s="615"/>
      <c r="BE48" s="615"/>
      <c r="BF48" s="615"/>
      <c r="BG48" s="615"/>
      <c r="BH48" s="615"/>
      <c r="BI48" s="615"/>
      <c r="BJ48" s="635"/>
      <c r="BK48" s="636"/>
      <c r="BL48" s="615"/>
      <c r="BM48" s="615"/>
      <c r="BN48" s="615"/>
      <c r="BO48" s="615"/>
      <c r="BP48" s="615"/>
      <c r="BQ48" s="615"/>
      <c r="BR48" s="615"/>
      <c r="BS48" s="615"/>
      <c r="BT48" s="615"/>
      <c r="BU48" s="615"/>
      <c r="BV48" s="637"/>
      <c r="BW48" s="669"/>
      <c r="BX48" s="615"/>
      <c r="BY48" s="615"/>
      <c r="BZ48" s="615"/>
      <c r="CA48" s="615"/>
      <c r="CB48" s="615"/>
      <c r="CC48" s="615">
        <v>290</v>
      </c>
      <c r="CD48" s="615">
        <v>290</v>
      </c>
      <c r="CE48" s="615">
        <v>290</v>
      </c>
      <c r="CF48" s="615"/>
      <c r="CG48" s="615"/>
      <c r="CH48" s="635"/>
      <c r="CI48" s="636"/>
      <c r="CJ48" s="615"/>
      <c r="CK48" s="615"/>
      <c r="CL48" s="615"/>
      <c r="CM48" s="615"/>
      <c r="CN48" s="615"/>
      <c r="CO48" s="615"/>
      <c r="CP48" s="615"/>
      <c r="CQ48" s="615"/>
      <c r="CR48" s="615"/>
      <c r="CS48" s="615"/>
      <c r="CT48" s="635"/>
      <c r="CU48" s="636"/>
      <c r="CV48" s="615"/>
      <c r="CW48" s="615"/>
      <c r="CX48" s="615"/>
      <c r="CY48" s="615"/>
      <c r="CZ48" s="615"/>
      <c r="DA48" s="615"/>
      <c r="DB48" s="615"/>
      <c r="DC48" s="615"/>
      <c r="DD48" s="615"/>
      <c r="DE48" s="615"/>
      <c r="DF48" s="635"/>
      <c r="DG48" s="636"/>
      <c r="DH48" s="615"/>
      <c r="DI48" s="615"/>
      <c r="DJ48" s="615"/>
      <c r="DK48" s="615"/>
      <c r="DL48" s="615"/>
      <c r="DM48" s="615"/>
      <c r="DN48" s="615"/>
      <c r="DO48" s="615"/>
      <c r="DP48" s="615"/>
      <c r="DQ48" s="615"/>
      <c r="DR48" s="635"/>
      <c r="DS48" s="636"/>
      <c r="DT48" s="615"/>
      <c r="DU48" s="615"/>
      <c r="DV48" s="615"/>
      <c r="DW48" s="615"/>
      <c r="DX48" s="615"/>
      <c r="DY48" s="615"/>
      <c r="DZ48" s="615"/>
      <c r="EA48" s="615"/>
      <c r="EB48" s="615"/>
      <c r="EC48" s="615"/>
      <c r="ED48" s="637"/>
      <c r="EE48" s="692"/>
    </row>
    <row r="49" spans="1:135" x14ac:dyDescent="0.25">
      <c r="A49" s="640" t="s">
        <v>11</v>
      </c>
      <c r="B49" s="367" t="s">
        <v>755</v>
      </c>
      <c r="C49" s="367" t="s">
        <v>503</v>
      </c>
      <c r="D49" s="367" t="s">
        <v>754</v>
      </c>
      <c r="E49" s="503" t="s">
        <v>588</v>
      </c>
      <c r="F49" s="570">
        <v>44531</v>
      </c>
      <c r="G49" s="85" t="s">
        <v>58</v>
      </c>
      <c r="H49" s="85" t="s">
        <v>54</v>
      </c>
      <c r="I49" s="85" t="s">
        <v>358</v>
      </c>
      <c r="J49" s="675" t="s">
        <v>358</v>
      </c>
      <c r="K49" s="85" t="s">
        <v>358</v>
      </c>
      <c r="L49" s="85" t="s">
        <v>40</v>
      </c>
      <c r="M49" s="85" t="s">
        <v>3</v>
      </c>
      <c r="N49" s="668" t="s">
        <v>44</v>
      </c>
      <c r="O49" s="669"/>
      <c r="P49" s="615"/>
      <c r="Q49" s="615"/>
      <c r="R49" s="615">
        <v>-4</v>
      </c>
      <c r="S49" s="615">
        <v>-4</v>
      </c>
      <c r="T49" s="615">
        <v>-4</v>
      </c>
      <c r="U49" s="615"/>
      <c r="V49" s="615"/>
      <c r="W49" s="615"/>
      <c r="X49" s="615"/>
      <c r="Y49" s="615"/>
      <c r="Z49" s="635"/>
      <c r="AA49" s="636"/>
      <c r="AB49" s="615"/>
      <c r="AC49" s="615"/>
      <c r="AD49" s="615"/>
      <c r="AE49" s="615"/>
      <c r="AF49" s="615"/>
      <c r="AG49" s="615"/>
      <c r="AH49" s="615"/>
      <c r="AI49" s="615"/>
      <c r="AJ49" s="615"/>
      <c r="AK49" s="615"/>
      <c r="AL49" s="635"/>
      <c r="AM49" s="636"/>
      <c r="AN49" s="615"/>
      <c r="AO49" s="615"/>
      <c r="AP49" s="615"/>
      <c r="AQ49" s="615"/>
      <c r="AR49" s="615"/>
      <c r="AS49" s="615"/>
      <c r="AT49" s="615"/>
      <c r="AU49" s="615"/>
      <c r="AV49" s="615"/>
      <c r="AW49" s="615"/>
      <c r="AX49" s="635"/>
      <c r="AY49" s="636"/>
      <c r="AZ49" s="615"/>
      <c r="BA49" s="615"/>
      <c r="BB49" s="615"/>
      <c r="BC49" s="615"/>
      <c r="BD49" s="615"/>
      <c r="BE49" s="615"/>
      <c r="BF49" s="615"/>
      <c r="BG49" s="615"/>
      <c r="BH49" s="615"/>
      <c r="BI49" s="615"/>
      <c r="BJ49" s="635"/>
      <c r="BK49" s="636"/>
      <c r="BL49" s="615"/>
      <c r="BM49" s="615"/>
      <c r="BN49" s="615"/>
      <c r="BO49" s="615"/>
      <c r="BP49" s="615"/>
      <c r="BQ49" s="615"/>
      <c r="BR49" s="615"/>
      <c r="BS49" s="615"/>
      <c r="BT49" s="615"/>
      <c r="BU49" s="615"/>
      <c r="BV49" s="637"/>
      <c r="BW49" s="669"/>
      <c r="BX49" s="615"/>
      <c r="BY49" s="615"/>
      <c r="BZ49" s="615">
        <v>187</v>
      </c>
      <c r="CA49" s="615">
        <v>187</v>
      </c>
      <c r="CB49" s="615">
        <v>187</v>
      </c>
      <c r="CC49" s="615"/>
      <c r="CD49" s="615"/>
      <c r="CE49" s="615"/>
      <c r="CF49" s="615"/>
      <c r="CG49" s="615"/>
      <c r="CH49" s="635"/>
      <c r="CI49" s="636"/>
      <c r="CJ49" s="615"/>
      <c r="CK49" s="615"/>
      <c r="CL49" s="615"/>
      <c r="CM49" s="615"/>
      <c r="CN49" s="615"/>
      <c r="CO49" s="615"/>
      <c r="CP49" s="615"/>
      <c r="CQ49" s="615"/>
      <c r="CR49" s="615"/>
      <c r="CS49" s="615"/>
      <c r="CT49" s="635"/>
      <c r="CU49" s="636"/>
      <c r="CV49" s="615"/>
      <c r="CW49" s="615"/>
      <c r="CX49" s="615"/>
      <c r="CY49" s="615"/>
      <c r="CZ49" s="615"/>
      <c r="DA49" s="615"/>
      <c r="DB49" s="615"/>
      <c r="DC49" s="615"/>
      <c r="DD49" s="615"/>
      <c r="DE49" s="615"/>
      <c r="DF49" s="635"/>
      <c r="DG49" s="636"/>
      <c r="DH49" s="615"/>
      <c r="DI49" s="615"/>
      <c r="DJ49" s="615"/>
      <c r="DK49" s="615"/>
      <c r="DL49" s="615"/>
      <c r="DM49" s="615"/>
      <c r="DN49" s="615"/>
      <c r="DO49" s="615"/>
      <c r="DP49" s="615"/>
      <c r="DQ49" s="615"/>
      <c r="DR49" s="635"/>
      <c r="DS49" s="636"/>
      <c r="DT49" s="615"/>
      <c r="DU49" s="615"/>
      <c r="DV49" s="615"/>
      <c r="DW49" s="615"/>
      <c r="DX49" s="615"/>
      <c r="DY49" s="615"/>
      <c r="DZ49" s="615"/>
      <c r="EA49" s="615"/>
      <c r="EB49" s="615"/>
      <c r="EC49" s="615"/>
      <c r="ED49" s="637"/>
      <c r="EE49" s="692"/>
    </row>
    <row r="50" spans="1:135" x14ac:dyDescent="0.25">
      <c r="A50" s="640" t="s">
        <v>11</v>
      </c>
      <c r="B50" s="367" t="s">
        <v>757</v>
      </c>
      <c r="C50" s="367" t="s">
        <v>590</v>
      </c>
      <c r="D50" s="367" t="s">
        <v>756</v>
      </c>
      <c r="E50" s="503" t="s">
        <v>589</v>
      </c>
      <c r="F50" s="570">
        <v>44531</v>
      </c>
      <c r="G50" s="85" t="s">
        <v>58</v>
      </c>
      <c r="H50" s="85" t="s">
        <v>54</v>
      </c>
      <c r="I50" s="85" t="s">
        <v>358</v>
      </c>
      <c r="J50" s="675" t="s">
        <v>358</v>
      </c>
      <c r="K50" s="85" t="s">
        <v>358</v>
      </c>
      <c r="L50" s="85" t="s">
        <v>40</v>
      </c>
      <c r="M50" s="85" t="s">
        <v>3</v>
      </c>
      <c r="N50" s="668" t="s">
        <v>44</v>
      </c>
      <c r="O50" s="669"/>
      <c r="P50" s="615"/>
      <c r="Q50" s="615"/>
      <c r="R50" s="615">
        <v>-1</v>
      </c>
      <c r="S50" s="615">
        <v>-1</v>
      </c>
      <c r="T50" s="615">
        <v>-1</v>
      </c>
      <c r="U50" s="615"/>
      <c r="V50" s="615"/>
      <c r="W50" s="615"/>
      <c r="X50" s="615"/>
      <c r="Y50" s="615"/>
      <c r="Z50" s="635"/>
      <c r="AA50" s="636"/>
      <c r="AB50" s="615"/>
      <c r="AC50" s="615"/>
      <c r="AD50" s="615"/>
      <c r="AE50" s="615"/>
      <c r="AF50" s="615"/>
      <c r="AG50" s="615"/>
      <c r="AH50" s="615"/>
      <c r="AI50" s="615"/>
      <c r="AJ50" s="615"/>
      <c r="AK50" s="615"/>
      <c r="AL50" s="635"/>
      <c r="AM50" s="636"/>
      <c r="AN50" s="615"/>
      <c r="AO50" s="615"/>
      <c r="AP50" s="615"/>
      <c r="AQ50" s="615"/>
      <c r="AR50" s="615"/>
      <c r="AS50" s="615"/>
      <c r="AT50" s="615"/>
      <c r="AU50" s="615"/>
      <c r="AV50" s="615"/>
      <c r="AW50" s="615"/>
      <c r="AX50" s="635"/>
      <c r="AY50" s="636"/>
      <c r="AZ50" s="615"/>
      <c r="BA50" s="615"/>
      <c r="BB50" s="615"/>
      <c r="BC50" s="615"/>
      <c r="BD50" s="615"/>
      <c r="BE50" s="615"/>
      <c r="BF50" s="615"/>
      <c r="BG50" s="615"/>
      <c r="BH50" s="615"/>
      <c r="BI50" s="615"/>
      <c r="BJ50" s="635"/>
      <c r="BK50" s="636"/>
      <c r="BL50" s="615"/>
      <c r="BM50" s="615"/>
      <c r="BN50" s="615"/>
      <c r="BO50" s="615"/>
      <c r="BP50" s="615"/>
      <c r="BQ50" s="615"/>
      <c r="BR50" s="615"/>
      <c r="BS50" s="615"/>
      <c r="BT50" s="615"/>
      <c r="BU50" s="615"/>
      <c r="BV50" s="637"/>
      <c r="BW50" s="669"/>
      <c r="BX50" s="615"/>
      <c r="BY50" s="615"/>
      <c r="BZ50" s="615">
        <v>187</v>
      </c>
      <c r="CA50" s="615">
        <v>187</v>
      </c>
      <c r="CB50" s="615">
        <v>187</v>
      </c>
      <c r="CC50" s="615"/>
      <c r="CD50" s="615"/>
      <c r="CE50" s="615"/>
      <c r="CF50" s="615"/>
      <c r="CG50" s="615"/>
      <c r="CH50" s="635"/>
      <c r="CI50" s="636"/>
      <c r="CJ50" s="615"/>
      <c r="CK50" s="615"/>
      <c r="CL50" s="615"/>
      <c r="CM50" s="615"/>
      <c r="CN50" s="615"/>
      <c r="CO50" s="615"/>
      <c r="CP50" s="615"/>
      <c r="CQ50" s="615"/>
      <c r="CR50" s="615"/>
      <c r="CS50" s="615"/>
      <c r="CT50" s="635"/>
      <c r="CU50" s="636"/>
      <c r="CV50" s="615"/>
      <c r="CW50" s="615"/>
      <c r="CX50" s="615"/>
      <c r="CY50" s="615"/>
      <c r="CZ50" s="615"/>
      <c r="DA50" s="615"/>
      <c r="DB50" s="615"/>
      <c r="DC50" s="615"/>
      <c r="DD50" s="615"/>
      <c r="DE50" s="615"/>
      <c r="DF50" s="635"/>
      <c r="DG50" s="636"/>
      <c r="DH50" s="615"/>
      <c r="DI50" s="615"/>
      <c r="DJ50" s="615"/>
      <c r="DK50" s="615"/>
      <c r="DL50" s="615"/>
      <c r="DM50" s="615"/>
      <c r="DN50" s="615"/>
      <c r="DO50" s="615"/>
      <c r="DP50" s="615"/>
      <c r="DQ50" s="615"/>
      <c r="DR50" s="635"/>
      <c r="DS50" s="636"/>
      <c r="DT50" s="615"/>
      <c r="DU50" s="615"/>
      <c r="DV50" s="615"/>
      <c r="DW50" s="615"/>
      <c r="DX50" s="615"/>
      <c r="DY50" s="615"/>
      <c r="DZ50" s="615"/>
      <c r="EA50" s="615"/>
      <c r="EB50" s="615"/>
      <c r="EC50" s="615"/>
      <c r="ED50" s="637"/>
      <c r="EE50" s="692"/>
    </row>
    <row r="51" spans="1:135" x14ac:dyDescent="0.25">
      <c r="A51" s="640" t="s">
        <v>11</v>
      </c>
      <c r="B51" s="367" t="s">
        <v>759</v>
      </c>
      <c r="C51" s="367" t="s">
        <v>356</v>
      </c>
      <c r="D51" s="367" t="s">
        <v>758</v>
      </c>
      <c r="E51" s="503" t="s">
        <v>591</v>
      </c>
      <c r="F51" s="570">
        <v>44532</v>
      </c>
      <c r="G51" s="85" t="s">
        <v>59</v>
      </c>
      <c r="H51" s="85" t="s">
        <v>54</v>
      </c>
      <c r="I51" s="85" t="s">
        <v>358</v>
      </c>
      <c r="J51" s="675" t="s">
        <v>358</v>
      </c>
      <c r="K51" s="85" t="s">
        <v>358</v>
      </c>
      <c r="L51" s="85" t="s">
        <v>40</v>
      </c>
      <c r="M51" s="85" t="s">
        <v>3</v>
      </c>
      <c r="N51" s="668" t="s">
        <v>44</v>
      </c>
      <c r="O51" s="669"/>
      <c r="P51" s="615"/>
      <c r="Q51" s="615"/>
      <c r="R51" s="615"/>
      <c r="S51" s="615"/>
      <c r="T51" s="615"/>
      <c r="U51" s="615">
        <v>3</v>
      </c>
      <c r="V51" s="615">
        <v>3</v>
      </c>
      <c r="W51" s="615">
        <v>3</v>
      </c>
      <c r="X51" s="615">
        <v>3</v>
      </c>
      <c r="Y51" s="615">
        <v>3</v>
      </c>
      <c r="Z51" s="635">
        <v>3</v>
      </c>
      <c r="AA51" s="636"/>
      <c r="AB51" s="615"/>
      <c r="AC51" s="615"/>
      <c r="AD51" s="615"/>
      <c r="AE51" s="615"/>
      <c r="AF51" s="615"/>
      <c r="AG51" s="615"/>
      <c r="AH51" s="615"/>
      <c r="AI51" s="615"/>
      <c r="AJ51" s="615"/>
      <c r="AK51" s="615"/>
      <c r="AL51" s="635"/>
      <c r="AM51" s="636"/>
      <c r="AN51" s="615"/>
      <c r="AO51" s="615"/>
      <c r="AP51" s="615"/>
      <c r="AQ51" s="615"/>
      <c r="AR51" s="615"/>
      <c r="AS51" s="615"/>
      <c r="AT51" s="615"/>
      <c r="AU51" s="615"/>
      <c r="AV51" s="615"/>
      <c r="AW51" s="615"/>
      <c r="AX51" s="635"/>
      <c r="AY51" s="636"/>
      <c r="AZ51" s="615"/>
      <c r="BA51" s="615"/>
      <c r="BB51" s="615"/>
      <c r="BC51" s="615"/>
      <c r="BD51" s="615"/>
      <c r="BE51" s="615"/>
      <c r="BF51" s="615"/>
      <c r="BG51" s="615"/>
      <c r="BH51" s="615"/>
      <c r="BI51" s="615"/>
      <c r="BJ51" s="635"/>
      <c r="BK51" s="636"/>
      <c r="BL51" s="615"/>
      <c r="BM51" s="615"/>
      <c r="BN51" s="615"/>
      <c r="BO51" s="615"/>
      <c r="BP51" s="615"/>
      <c r="BQ51" s="615"/>
      <c r="BR51" s="615"/>
      <c r="BS51" s="615"/>
      <c r="BT51" s="615"/>
      <c r="BU51" s="615"/>
      <c r="BV51" s="637"/>
      <c r="BW51" s="669"/>
      <c r="BX51" s="615"/>
      <c r="BY51" s="615"/>
      <c r="BZ51" s="615"/>
      <c r="CA51" s="615"/>
      <c r="CB51" s="615"/>
      <c r="CC51" s="615">
        <v>278</v>
      </c>
      <c r="CD51" s="615">
        <v>278</v>
      </c>
      <c r="CE51" s="615">
        <v>278</v>
      </c>
      <c r="CF51" s="615">
        <v>278</v>
      </c>
      <c r="CG51" s="615">
        <v>278</v>
      </c>
      <c r="CH51" s="635">
        <v>278</v>
      </c>
      <c r="CI51" s="636"/>
      <c r="CJ51" s="615"/>
      <c r="CK51" s="615"/>
      <c r="CL51" s="615"/>
      <c r="CM51" s="615"/>
      <c r="CN51" s="615"/>
      <c r="CO51" s="615"/>
      <c r="CP51" s="615"/>
      <c r="CQ51" s="615"/>
      <c r="CR51" s="615"/>
      <c r="CS51" s="615"/>
      <c r="CT51" s="635"/>
      <c r="CU51" s="636"/>
      <c r="CV51" s="615"/>
      <c r="CW51" s="615"/>
      <c r="CX51" s="615"/>
      <c r="CY51" s="615"/>
      <c r="CZ51" s="615"/>
      <c r="DA51" s="615"/>
      <c r="DB51" s="615"/>
      <c r="DC51" s="615"/>
      <c r="DD51" s="615"/>
      <c r="DE51" s="615"/>
      <c r="DF51" s="635"/>
      <c r="DG51" s="636"/>
      <c r="DH51" s="615"/>
      <c r="DI51" s="615"/>
      <c r="DJ51" s="615"/>
      <c r="DK51" s="615"/>
      <c r="DL51" s="615"/>
      <c r="DM51" s="615"/>
      <c r="DN51" s="615"/>
      <c r="DO51" s="615"/>
      <c r="DP51" s="615"/>
      <c r="DQ51" s="615"/>
      <c r="DR51" s="635"/>
      <c r="DS51" s="636"/>
      <c r="DT51" s="615"/>
      <c r="DU51" s="615"/>
      <c r="DV51" s="615"/>
      <c r="DW51" s="615"/>
      <c r="DX51" s="615"/>
      <c r="DY51" s="615"/>
      <c r="DZ51" s="615"/>
      <c r="EA51" s="615"/>
      <c r="EB51" s="615"/>
      <c r="EC51" s="615"/>
      <c r="ED51" s="637"/>
      <c r="EE51" s="692"/>
    </row>
    <row r="52" spans="1:135" x14ac:dyDescent="0.25">
      <c r="A52" s="640" t="s">
        <v>11</v>
      </c>
      <c r="B52" s="367" t="s">
        <v>762</v>
      </c>
      <c r="C52" s="367" t="s">
        <v>506</v>
      </c>
      <c r="D52" s="367" t="s">
        <v>761</v>
      </c>
      <c r="E52" s="503" t="s">
        <v>593</v>
      </c>
      <c r="F52" s="570">
        <v>44532</v>
      </c>
      <c r="G52" s="85" t="s">
        <v>58</v>
      </c>
      <c r="H52" s="85" t="s">
        <v>54</v>
      </c>
      <c r="I52" s="85" t="s">
        <v>358</v>
      </c>
      <c r="J52" s="675" t="s">
        <v>358</v>
      </c>
      <c r="K52" s="85" t="s">
        <v>358</v>
      </c>
      <c r="L52" s="85" t="s">
        <v>40</v>
      </c>
      <c r="M52" s="85" t="s">
        <v>3</v>
      </c>
      <c r="N52" s="668" t="s">
        <v>44</v>
      </c>
      <c r="O52" s="669">
        <v>-5</v>
      </c>
      <c r="P52" s="615">
        <v>-5</v>
      </c>
      <c r="Q52" s="615">
        <v>-5</v>
      </c>
      <c r="R52" s="615"/>
      <c r="S52" s="615"/>
      <c r="T52" s="615"/>
      <c r="U52" s="615"/>
      <c r="V52" s="615"/>
      <c r="W52" s="615"/>
      <c r="X52" s="615"/>
      <c r="Y52" s="615"/>
      <c r="Z52" s="635"/>
      <c r="AA52" s="636"/>
      <c r="AB52" s="615"/>
      <c r="AC52" s="615"/>
      <c r="AD52" s="615"/>
      <c r="AE52" s="615"/>
      <c r="AF52" s="615"/>
      <c r="AG52" s="615"/>
      <c r="AH52" s="615"/>
      <c r="AI52" s="615"/>
      <c r="AJ52" s="615"/>
      <c r="AK52" s="615"/>
      <c r="AL52" s="635"/>
      <c r="AM52" s="636"/>
      <c r="AN52" s="615"/>
      <c r="AO52" s="615"/>
      <c r="AP52" s="615"/>
      <c r="AQ52" s="615"/>
      <c r="AR52" s="615"/>
      <c r="AS52" s="615"/>
      <c r="AT52" s="615"/>
      <c r="AU52" s="615"/>
      <c r="AV52" s="615"/>
      <c r="AW52" s="615"/>
      <c r="AX52" s="635"/>
      <c r="AY52" s="636"/>
      <c r="AZ52" s="615"/>
      <c r="BA52" s="615"/>
      <c r="BB52" s="615"/>
      <c r="BC52" s="615"/>
      <c r="BD52" s="615"/>
      <c r="BE52" s="615"/>
      <c r="BF52" s="615"/>
      <c r="BG52" s="615"/>
      <c r="BH52" s="615"/>
      <c r="BI52" s="615"/>
      <c r="BJ52" s="635"/>
      <c r="BK52" s="636"/>
      <c r="BL52" s="615"/>
      <c r="BM52" s="615"/>
      <c r="BN52" s="615"/>
      <c r="BO52" s="615"/>
      <c r="BP52" s="615"/>
      <c r="BQ52" s="615"/>
      <c r="BR52" s="615"/>
      <c r="BS52" s="615"/>
      <c r="BT52" s="615"/>
      <c r="BU52" s="615"/>
      <c r="BV52" s="637"/>
      <c r="BW52" s="669">
        <v>202</v>
      </c>
      <c r="BX52" s="615">
        <v>202</v>
      </c>
      <c r="BY52" s="615">
        <v>202</v>
      </c>
      <c r="BZ52" s="615"/>
      <c r="CA52" s="615"/>
      <c r="CB52" s="615"/>
      <c r="CC52" s="615"/>
      <c r="CD52" s="615"/>
      <c r="CE52" s="615"/>
      <c r="CF52" s="615"/>
      <c r="CG52" s="615"/>
      <c r="CH52" s="635"/>
      <c r="CI52" s="636"/>
      <c r="CJ52" s="615"/>
      <c r="CK52" s="615"/>
      <c r="CL52" s="615"/>
      <c r="CM52" s="615"/>
      <c r="CN52" s="615"/>
      <c r="CO52" s="615"/>
      <c r="CP52" s="615"/>
      <c r="CQ52" s="615"/>
      <c r="CR52" s="615"/>
      <c r="CS52" s="615"/>
      <c r="CT52" s="635"/>
      <c r="CU52" s="636"/>
      <c r="CV52" s="615"/>
      <c r="CW52" s="615"/>
      <c r="CX52" s="615"/>
      <c r="CY52" s="615"/>
      <c r="CZ52" s="615"/>
      <c r="DA52" s="615"/>
      <c r="DB52" s="615"/>
      <c r="DC52" s="615"/>
      <c r="DD52" s="615"/>
      <c r="DE52" s="615"/>
      <c r="DF52" s="635"/>
      <c r="DG52" s="636"/>
      <c r="DH52" s="615"/>
      <c r="DI52" s="615"/>
      <c r="DJ52" s="615"/>
      <c r="DK52" s="615"/>
      <c r="DL52" s="615"/>
      <c r="DM52" s="615"/>
      <c r="DN52" s="615"/>
      <c r="DO52" s="615"/>
      <c r="DP52" s="615"/>
      <c r="DQ52" s="615"/>
      <c r="DR52" s="635"/>
      <c r="DS52" s="636"/>
      <c r="DT52" s="615"/>
      <c r="DU52" s="615"/>
      <c r="DV52" s="615"/>
      <c r="DW52" s="615"/>
      <c r="DX52" s="615"/>
      <c r="DY52" s="615"/>
      <c r="DZ52" s="615"/>
      <c r="EA52" s="615"/>
      <c r="EB52" s="615"/>
      <c r="EC52" s="615"/>
      <c r="ED52" s="637"/>
      <c r="EE52" s="692"/>
    </row>
    <row r="53" spans="1:135" x14ac:dyDescent="0.25">
      <c r="A53" s="640" t="s">
        <v>11</v>
      </c>
      <c r="B53" s="367" t="s">
        <v>764</v>
      </c>
      <c r="C53" s="367" t="s">
        <v>354</v>
      </c>
      <c r="D53" s="367" t="s">
        <v>763</v>
      </c>
      <c r="E53" s="503" t="s">
        <v>594</v>
      </c>
      <c r="F53" s="570">
        <v>44537</v>
      </c>
      <c r="G53" s="85" t="s">
        <v>58</v>
      </c>
      <c r="H53" s="85" t="s">
        <v>54</v>
      </c>
      <c r="I53" s="85" t="s">
        <v>358</v>
      </c>
      <c r="J53" s="675" t="s">
        <v>358</v>
      </c>
      <c r="K53" s="85" t="s">
        <v>358</v>
      </c>
      <c r="L53" s="85" t="s">
        <v>40</v>
      </c>
      <c r="M53" s="85" t="s">
        <v>3</v>
      </c>
      <c r="N53" s="668" t="s">
        <v>44</v>
      </c>
      <c r="O53" s="669"/>
      <c r="P53" s="615"/>
      <c r="Q53" s="615"/>
      <c r="R53" s="615"/>
      <c r="S53" s="615"/>
      <c r="T53" s="615"/>
      <c r="U53" s="615">
        <v>-4</v>
      </c>
      <c r="V53" s="615">
        <v>-4</v>
      </c>
      <c r="W53" s="615">
        <v>-4</v>
      </c>
      <c r="X53" s="615"/>
      <c r="Y53" s="615"/>
      <c r="Z53" s="635"/>
      <c r="AA53" s="636"/>
      <c r="AB53" s="615"/>
      <c r="AC53" s="615"/>
      <c r="AD53" s="615"/>
      <c r="AE53" s="615"/>
      <c r="AF53" s="615"/>
      <c r="AG53" s="615"/>
      <c r="AH53" s="615"/>
      <c r="AI53" s="615"/>
      <c r="AJ53" s="615"/>
      <c r="AK53" s="615"/>
      <c r="AL53" s="635"/>
      <c r="AM53" s="636"/>
      <c r="AN53" s="615"/>
      <c r="AO53" s="615"/>
      <c r="AP53" s="615"/>
      <c r="AQ53" s="615"/>
      <c r="AR53" s="615"/>
      <c r="AS53" s="615"/>
      <c r="AT53" s="615"/>
      <c r="AU53" s="615"/>
      <c r="AV53" s="615"/>
      <c r="AW53" s="615"/>
      <c r="AX53" s="635"/>
      <c r="AY53" s="636"/>
      <c r="AZ53" s="615"/>
      <c r="BA53" s="615"/>
      <c r="BB53" s="615"/>
      <c r="BC53" s="615"/>
      <c r="BD53" s="615"/>
      <c r="BE53" s="615"/>
      <c r="BF53" s="615"/>
      <c r="BG53" s="615"/>
      <c r="BH53" s="615"/>
      <c r="BI53" s="615"/>
      <c r="BJ53" s="635"/>
      <c r="BK53" s="636"/>
      <c r="BL53" s="615"/>
      <c r="BM53" s="615"/>
      <c r="BN53" s="615"/>
      <c r="BO53" s="615"/>
      <c r="BP53" s="615"/>
      <c r="BQ53" s="615"/>
      <c r="BR53" s="615"/>
      <c r="BS53" s="615"/>
      <c r="BT53" s="615"/>
      <c r="BU53" s="615"/>
      <c r="BV53" s="637"/>
      <c r="BW53" s="669"/>
      <c r="BX53" s="615"/>
      <c r="BY53" s="615"/>
      <c r="BZ53" s="615"/>
      <c r="CA53" s="615"/>
      <c r="CB53" s="615"/>
      <c r="CC53" s="615">
        <v>300</v>
      </c>
      <c r="CD53" s="615">
        <v>300</v>
      </c>
      <c r="CE53" s="615">
        <v>300</v>
      </c>
      <c r="CF53" s="615"/>
      <c r="CG53" s="615"/>
      <c r="CH53" s="635"/>
      <c r="CI53" s="636"/>
      <c r="CJ53" s="615"/>
      <c r="CK53" s="615"/>
      <c r="CL53" s="615"/>
      <c r="CM53" s="615"/>
      <c r="CN53" s="615"/>
      <c r="CO53" s="615"/>
      <c r="CP53" s="615"/>
      <c r="CQ53" s="615"/>
      <c r="CR53" s="615"/>
      <c r="CS53" s="615"/>
      <c r="CT53" s="635"/>
      <c r="CU53" s="636"/>
      <c r="CV53" s="615"/>
      <c r="CW53" s="615"/>
      <c r="CX53" s="615"/>
      <c r="CY53" s="615"/>
      <c r="CZ53" s="615"/>
      <c r="DA53" s="615"/>
      <c r="DB53" s="615"/>
      <c r="DC53" s="615"/>
      <c r="DD53" s="615"/>
      <c r="DE53" s="615"/>
      <c r="DF53" s="635"/>
      <c r="DG53" s="636"/>
      <c r="DH53" s="615"/>
      <c r="DI53" s="615"/>
      <c r="DJ53" s="615"/>
      <c r="DK53" s="615"/>
      <c r="DL53" s="615"/>
      <c r="DM53" s="615"/>
      <c r="DN53" s="615"/>
      <c r="DO53" s="615"/>
      <c r="DP53" s="615"/>
      <c r="DQ53" s="615"/>
      <c r="DR53" s="635"/>
      <c r="DS53" s="636"/>
      <c r="DT53" s="615"/>
      <c r="DU53" s="615"/>
      <c r="DV53" s="615"/>
      <c r="DW53" s="615"/>
      <c r="DX53" s="615"/>
      <c r="DY53" s="615"/>
      <c r="DZ53" s="615"/>
      <c r="EA53" s="615"/>
      <c r="EB53" s="615"/>
      <c r="EC53" s="615"/>
      <c r="ED53" s="637"/>
      <c r="EE53" s="692"/>
    </row>
    <row r="54" spans="1:135" x14ac:dyDescent="0.25">
      <c r="A54" s="640" t="s">
        <v>11</v>
      </c>
      <c r="B54" s="367" t="s">
        <v>766</v>
      </c>
      <c r="C54" s="367" t="s">
        <v>354</v>
      </c>
      <c r="D54" s="367" t="s">
        <v>765</v>
      </c>
      <c r="E54" s="503" t="s">
        <v>595</v>
      </c>
      <c r="F54" s="570">
        <v>44537</v>
      </c>
      <c r="G54" s="85" t="s">
        <v>59</v>
      </c>
      <c r="H54" s="85" t="s">
        <v>54</v>
      </c>
      <c r="I54" s="85" t="s">
        <v>358</v>
      </c>
      <c r="J54" s="675" t="s">
        <v>358</v>
      </c>
      <c r="K54" s="85" t="s">
        <v>358</v>
      </c>
      <c r="L54" s="85" t="s">
        <v>40</v>
      </c>
      <c r="M54" s="85" t="s">
        <v>3</v>
      </c>
      <c r="N54" s="668" t="s">
        <v>44</v>
      </c>
      <c r="O54" s="669"/>
      <c r="P54" s="615"/>
      <c r="Q54" s="615"/>
      <c r="R54" s="615"/>
      <c r="S54" s="615"/>
      <c r="T54" s="615"/>
      <c r="U54" s="615"/>
      <c r="V54" s="615"/>
      <c r="W54" s="615"/>
      <c r="X54" s="615">
        <v>4</v>
      </c>
      <c r="Y54" s="615">
        <v>4</v>
      </c>
      <c r="Z54" s="635">
        <v>4</v>
      </c>
      <c r="AA54" s="636"/>
      <c r="AB54" s="615"/>
      <c r="AC54" s="615"/>
      <c r="AD54" s="615"/>
      <c r="AE54" s="615"/>
      <c r="AF54" s="615"/>
      <c r="AG54" s="615"/>
      <c r="AH54" s="615"/>
      <c r="AI54" s="615"/>
      <c r="AJ54" s="615"/>
      <c r="AK54" s="615"/>
      <c r="AL54" s="635"/>
      <c r="AM54" s="636"/>
      <c r="AN54" s="615"/>
      <c r="AO54" s="615"/>
      <c r="AP54" s="615"/>
      <c r="AQ54" s="615"/>
      <c r="AR54" s="615"/>
      <c r="AS54" s="615"/>
      <c r="AT54" s="615"/>
      <c r="AU54" s="615"/>
      <c r="AV54" s="615"/>
      <c r="AW54" s="615"/>
      <c r="AX54" s="635"/>
      <c r="AY54" s="636"/>
      <c r="AZ54" s="615"/>
      <c r="BA54" s="615"/>
      <c r="BB54" s="615"/>
      <c r="BC54" s="615"/>
      <c r="BD54" s="615"/>
      <c r="BE54" s="615"/>
      <c r="BF54" s="615"/>
      <c r="BG54" s="615"/>
      <c r="BH54" s="615"/>
      <c r="BI54" s="615"/>
      <c r="BJ54" s="635"/>
      <c r="BK54" s="636"/>
      <c r="BL54" s="615"/>
      <c r="BM54" s="615"/>
      <c r="BN54" s="615"/>
      <c r="BO54" s="615"/>
      <c r="BP54" s="615"/>
      <c r="BQ54" s="615"/>
      <c r="BR54" s="615"/>
      <c r="BS54" s="615"/>
      <c r="BT54" s="615"/>
      <c r="BU54" s="615"/>
      <c r="BV54" s="637"/>
      <c r="BW54" s="669"/>
      <c r="BX54" s="615"/>
      <c r="BY54" s="615"/>
      <c r="BZ54" s="615"/>
      <c r="CA54" s="615"/>
      <c r="CB54" s="615"/>
      <c r="CC54" s="615"/>
      <c r="CD54" s="615"/>
      <c r="CE54" s="615"/>
      <c r="CF54" s="615">
        <v>270</v>
      </c>
      <c r="CG54" s="615">
        <v>270</v>
      </c>
      <c r="CH54" s="635">
        <v>270</v>
      </c>
      <c r="CI54" s="636"/>
      <c r="CJ54" s="615"/>
      <c r="CK54" s="615"/>
      <c r="CL54" s="615"/>
      <c r="CM54" s="615"/>
      <c r="CN54" s="615"/>
      <c r="CO54" s="615"/>
      <c r="CP54" s="615"/>
      <c r="CQ54" s="615"/>
      <c r="CR54" s="615"/>
      <c r="CS54" s="615"/>
      <c r="CT54" s="635"/>
      <c r="CU54" s="636"/>
      <c r="CV54" s="615"/>
      <c r="CW54" s="615"/>
      <c r="CX54" s="615"/>
      <c r="CY54" s="615"/>
      <c r="CZ54" s="615"/>
      <c r="DA54" s="615"/>
      <c r="DB54" s="615"/>
      <c r="DC54" s="615"/>
      <c r="DD54" s="615"/>
      <c r="DE54" s="615"/>
      <c r="DF54" s="635"/>
      <c r="DG54" s="636"/>
      <c r="DH54" s="615"/>
      <c r="DI54" s="615"/>
      <c r="DJ54" s="615"/>
      <c r="DK54" s="615"/>
      <c r="DL54" s="615"/>
      <c r="DM54" s="615"/>
      <c r="DN54" s="615"/>
      <c r="DO54" s="615"/>
      <c r="DP54" s="615"/>
      <c r="DQ54" s="615"/>
      <c r="DR54" s="635"/>
      <c r="DS54" s="636"/>
      <c r="DT54" s="615"/>
      <c r="DU54" s="615"/>
      <c r="DV54" s="615"/>
      <c r="DW54" s="615"/>
      <c r="DX54" s="615"/>
      <c r="DY54" s="615"/>
      <c r="DZ54" s="615"/>
      <c r="EA54" s="615"/>
      <c r="EB54" s="615"/>
      <c r="EC54" s="615"/>
      <c r="ED54" s="637"/>
      <c r="EE54" s="692"/>
    </row>
    <row r="55" spans="1:135" x14ac:dyDescent="0.25">
      <c r="A55" s="640" t="s">
        <v>11</v>
      </c>
      <c r="B55" s="367" t="s">
        <v>768</v>
      </c>
      <c r="C55" s="367" t="s">
        <v>504</v>
      </c>
      <c r="D55" s="367" t="s">
        <v>767</v>
      </c>
      <c r="E55" s="503" t="s">
        <v>596</v>
      </c>
      <c r="F55" s="570">
        <v>44540</v>
      </c>
      <c r="G55" s="85" t="s">
        <v>58</v>
      </c>
      <c r="H55" s="85" t="s">
        <v>54</v>
      </c>
      <c r="I55" s="85" t="s">
        <v>358</v>
      </c>
      <c r="J55" s="675" t="s">
        <v>358</v>
      </c>
      <c r="K55" s="85" t="s">
        <v>358</v>
      </c>
      <c r="L55" s="85" t="s">
        <v>40</v>
      </c>
      <c r="M55" s="85" t="s">
        <v>3</v>
      </c>
      <c r="N55" s="668" t="s">
        <v>44</v>
      </c>
      <c r="O55" s="669">
        <v>-10</v>
      </c>
      <c r="P55" s="615">
        <v>-10</v>
      </c>
      <c r="Q55" s="615">
        <v>-10</v>
      </c>
      <c r="R55" s="615"/>
      <c r="S55" s="615"/>
      <c r="T55" s="615"/>
      <c r="U55" s="615"/>
      <c r="V55" s="615"/>
      <c r="W55" s="615"/>
      <c r="X55" s="615"/>
      <c r="Y55" s="615"/>
      <c r="Z55" s="635"/>
      <c r="AA55" s="636"/>
      <c r="AB55" s="615"/>
      <c r="AC55" s="615"/>
      <c r="AD55" s="615"/>
      <c r="AE55" s="615"/>
      <c r="AF55" s="615"/>
      <c r="AG55" s="615"/>
      <c r="AH55" s="615"/>
      <c r="AI55" s="615"/>
      <c r="AJ55" s="615"/>
      <c r="AK55" s="615"/>
      <c r="AL55" s="635"/>
      <c r="AM55" s="636"/>
      <c r="AN55" s="615"/>
      <c r="AO55" s="615"/>
      <c r="AP55" s="615"/>
      <c r="AQ55" s="615"/>
      <c r="AR55" s="615"/>
      <c r="AS55" s="615"/>
      <c r="AT55" s="615"/>
      <c r="AU55" s="615"/>
      <c r="AV55" s="615"/>
      <c r="AW55" s="615"/>
      <c r="AX55" s="635"/>
      <c r="AY55" s="636"/>
      <c r="AZ55" s="615"/>
      <c r="BA55" s="615"/>
      <c r="BB55" s="615"/>
      <c r="BC55" s="615"/>
      <c r="BD55" s="615"/>
      <c r="BE55" s="615"/>
      <c r="BF55" s="615"/>
      <c r="BG55" s="615"/>
      <c r="BH55" s="615"/>
      <c r="BI55" s="615"/>
      <c r="BJ55" s="635"/>
      <c r="BK55" s="636"/>
      <c r="BL55" s="615"/>
      <c r="BM55" s="615"/>
      <c r="BN55" s="615"/>
      <c r="BO55" s="615"/>
      <c r="BP55" s="615"/>
      <c r="BQ55" s="615"/>
      <c r="BR55" s="615"/>
      <c r="BS55" s="615"/>
      <c r="BT55" s="615"/>
      <c r="BU55" s="615"/>
      <c r="BV55" s="637"/>
      <c r="BW55" s="669">
        <v>230</v>
      </c>
      <c r="BX55" s="615">
        <v>230</v>
      </c>
      <c r="BY55" s="615">
        <v>230</v>
      </c>
      <c r="BZ55" s="615"/>
      <c r="CA55" s="615"/>
      <c r="CB55" s="615"/>
      <c r="CC55" s="615"/>
      <c r="CD55" s="615"/>
      <c r="CE55" s="615"/>
      <c r="CF55" s="615"/>
      <c r="CG55" s="615"/>
      <c r="CH55" s="635"/>
      <c r="CI55" s="636"/>
      <c r="CJ55" s="615"/>
      <c r="CK55" s="615"/>
      <c r="CL55" s="615"/>
      <c r="CM55" s="615"/>
      <c r="CN55" s="615"/>
      <c r="CO55" s="615"/>
      <c r="CP55" s="615"/>
      <c r="CQ55" s="615"/>
      <c r="CR55" s="615"/>
      <c r="CS55" s="615"/>
      <c r="CT55" s="635"/>
      <c r="CU55" s="636"/>
      <c r="CV55" s="615"/>
      <c r="CW55" s="615"/>
      <c r="CX55" s="615"/>
      <c r="CY55" s="615"/>
      <c r="CZ55" s="615"/>
      <c r="DA55" s="615"/>
      <c r="DB55" s="615"/>
      <c r="DC55" s="615"/>
      <c r="DD55" s="615"/>
      <c r="DE55" s="615"/>
      <c r="DF55" s="635"/>
      <c r="DG55" s="636"/>
      <c r="DH55" s="615"/>
      <c r="DI55" s="615"/>
      <c r="DJ55" s="615"/>
      <c r="DK55" s="615"/>
      <c r="DL55" s="615"/>
      <c r="DM55" s="615"/>
      <c r="DN55" s="615"/>
      <c r="DO55" s="615"/>
      <c r="DP55" s="615"/>
      <c r="DQ55" s="615"/>
      <c r="DR55" s="635"/>
      <c r="DS55" s="636"/>
      <c r="DT55" s="615"/>
      <c r="DU55" s="615"/>
      <c r="DV55" s="615"/>
      <c r="DW55" s="615"/>
      <c r="DX55" s="615"/>
      <c r="DY55" s="615"/>
      <c r="DZ55" s="615"/>
      <c r="EA55" s="615"/>
      <c r="EB55" s="615"/>
      <c r="EC55" s="615"/>
      <c r="ED55" s="637"/>
      <c r="EE55" s="692"/>
    </row>
    <row r="56" spans="1:135" x14ac:dyDescent="0.25">
      <c r="A56" s="640" t="s">
        <v>11</v>
      </c>
      <c r="B56" s="367" t="s">
        <v>770</v>
      </c>
      <c r="C56" s="367" t="s">
        <v>504</v>
      </c>
      <c r="D56" s="367" t="s">
        <v>769</v>
      </c>
      <c r="E56" s="503" t="s">
        <v>597</v>
      </c>
      <c r="F56" s="570">
        <v>44540</v>
      </c>
      <c r="G56" s="85" t="s">
        <v>59</v>
      </c>
      <c r="H56" s="85" t="s">
        <v>54</v>
      </c>
      <c r="I56" s="85" t="s">
        <v>358</v>
      </c>
      <c r="J56" s="675" t="s">
        <v>358</v>
      </c>
      <c r="K56" s="85" t="s">
        <v>358</v>
      </c>
      <c r="L56" s="85" t="s">
        <v>40</v>
      </c>
      <c r="M56" s="85" t="s">
        <v>3</v>
      </c>
      <c r="N56" s="668" t="s">
        <v>44</v>
      </c>
      <c r="O56" s="669"/>
      <c r="P56" s="615"/>
      <c r="Q56" s="615"/>
      <c r="R56" s="615"/>
      <c r="S56" s="615"/>
      <c r="T56" s="615"/>
      <c r="U56" s="615">
        <v>5</v>
      </c>
      <c r="V56" s="615">
        <v>5</v>
      </c>
      <c r="W56" s="615">
        <v>5</v>
      </c>
      <c r="X56" s="615">
        <v>5</v>
      </c>
      <c r="Y56" s="615">
        <v>5</v>
      </c>
      <c r="Z56" s="635">
        <v>5</v>
      </c>
      <c r="AA56" s="636"/>
      <c r="AB56" s="615"/>
      <c r="AC56" s="615"/>
      <c r="AD56" s="615"/>
      <c r="AE56" s="615"/>
      <c r="AF56" s="615"/>
      <c r="AG56" s="615"/>
      <c r="AH56" s="615"/>
      <c r="AI56" s="615"/>
      <c r="AJ56" s="615"/>
      <c r="AK56" s="615"/>
      <c r="AL56" s="635"/>
      <c r="AM56" s="636"/>
      <c r="AN56" s="615"/>
      <c r="AO56" s="615"/>
      <c r="AP56" s="615"/>
      <c r="AQ56" s="615"/>
      <c r="AR56" s="615"/>
      <c r="AS56" s="615"/>
      <c r="AT56" s="615"/>
      <c r="AU56" s="615"/>
      <c r="AV56" s="615"/>
      <c r="AW56" s="615"/>
      <c r="AX56" s="635"/>
      <c r="AY56" s="636"/>
      <c r="AZ56" s="615"/>
      <c r="BA56" s="615"/>
      <c r="BB56" s="615"/>
      <c r="BC56" s="615"/>
      <c r="BD56" s="615"/>
      <c r="BE56" s="615"/>
      <c r="BF56" s="615"/>
      <c r="BG56" s="615"/>
      <c r="BH56" s="615"/>
      <c r="BI56" s="615"/>
      <c r="BJ56" s="635"/>
      <c r="BK56" s="636"/>
      <c r="BL56" s="615"/>
      <c r="BM56" s="615"/>
      <c r="BN56" s="615"/>
      <c r="BO56" s="615"/>
      <c r="BP56" s="615"/>
      <c r="BQ56" s="615"/>
      <c r="BR56" s="615"/>
      <c r="BS56" s="615"/>
      <c r="BT56" s="615"/>
      <c r="BU56" s="615"/>
      <c r="BV56" s="637"/>
      <c r="BW56" s="669"/>
      <c r="BX56" s="615"/>
      <c r="BY56" s="615"/>
      <c r="BZ56" s="615"/>
      <c r="CA56" s="615"/>
      <c r="CB56" s="615"/>
      <c r="CC56" s="615">
        <v>290</v>
      </c>
      <c r="CD56" s="615">
        <v>290</v>
      </c>
      <c r="CE56" s="615">
        <v>290</v>
      </c>
      <c r="CF56" s="615">
        <v>290</v>
      </c>
      <c r="CG56" s="615">
        <v>290</v>
      </c>
      <c r="CH56" s="635">
        <v>290</v>
      </c>
      <c r="CI56" s="636"/>
      <c r="CJ56" s="615"/>
      <c r="CK56" s="615"/>
      <c r="CL56" s="615"/>
      <c r="CM56" s="615"/>
      <c r="CN56" s="615"/>
      <c r="CO56" s="615"/>
      <c r="CP56" s="615"/>
      <c r="CQ56" s="615"/>
      <c r="CR56" s="615"/>
      <c r="CS56" s="615"/>
      <c r="CT56" s="635"/>
      <c r="CU56" s="636"/>
      <c r="CV56" s="615"/>
      <c r="CW56" s="615"/>
      <c r="CX56" s="615"/>
      <c r="CY56" s="615"/>
      <c r="CZ56" s="615"/>
      <c r="DA56" s="615"/>
      <c r="DB56" s="615"/>
      <c r="DC56" s="615"/>
      <c r="DD56" s="615"/>
      <c r="DE56" s="615"/>
      <c r="DF56" s="635"/>
      <c r="DG56" s="636"/>
      <c r="DH56" s="615"/>
      <c r="DI56" s="615"/>
      <c r="DJ56" s="615"/>
      <c r="DK56" s="615"/>
      <c r="DL56" s="615"/>
      <c r="DM56" s="615"/>
      <c r="DN56" s="615"/>
      <c r="DO56" s="615"/>
      <c r="DP56" s="615"/>
      <c r="DQ56" s="615"/>
      <c r="DR56" s="635"/>
      <c r="DS56" s="636"/>
      <c r="DT56" s="615"/>
      <c r="DU56" s="615"/>
      <c r="DV56" s="615"/>
      <c r="DW56" s="615"/>
      <c r="DX56" s="615"/>
      <c r="DY56" s="615"/>
      <c r="DZ56" s="615"/>
      <c r="EA56" s="615"/>
      <c r="EB56" s="615"/>
      <c r="EC56" s="615"/>
      <c r="ED56" s="637"/>
      <c r="EE56" s="692"/>
    </row>
    <row r="57" spans="1:135" x14ac:dyDescent="0.25">
      <c r="A57" s="640" t="s">
        <v>11</v>
      </c>
      <c r="B57" s="367" t="s">
        <v>772</v>
      </c>
      <c r="C57" s="367" t="s">
        <v>509</v>
      </c>
      <c r="D57" s="367" t="s">
        <v>771</v>
      </c>
      <c r="E57" s="503" t="s">
        <v>598</v>
      </c>
      <c r="F57" s="570">
        <v>44543</v>
      </c>
      <c r="G57" s="85" t="s">
        <v>59</v>
      </c>
      <c r="H57" s="85" t="s">
        <v>54</v>
      </c>
      <c r="I57" s="85" t="s">
        <v>358</v>
      </c>
      <c r="J57" s="675" t="s">
        <v>358</v>
      </c>
      <c r="K57" s="85" t="s">
        <v>358</v>
      </c>
      <c r="L57" s="85" t="s">
        <v>40</v>
      </c>
      <c r="M57" s="85" t="s">
        <v>3</v>
      </c>
      <c r="N57" s="668" t="s">
        <v>44</v>
      </c>
      <c r="O57" s="669">
        <v>2</v>
      </c>
      <c r="P57" s="615">
        <v>2</v>
      </c>
      <c r="Q57" s="615">
        <v>2</v>
      </c>
      <c r="R57" s="615">
        <v>2</v>
      </c>
      <c r="S57" s="615">
        <v>2</v>
      </c>
      <c r="T57" s="615">
        <v>2</v>
      </c>
      <c r="U57" s="615">
        <v>2</v>
      </c>
      <c r="V57" s="615">
        <v>2</v>
      </c>
      <c r="W57" s="615">
        <v>2</v>
      </c>
      <c r="X57" s="615">
        <v>2</v>
      </c>
      <c r="Y57" s="615">
        <v>2</v>
      </c>
      <c r="Z57" s="635">
        <v>2</v>
      </c>
      <c r="AA57" s="636"/>
      <c r="AB57" s="615"/>
      <c r="AC57" s="615"/>
      <c r="AD57" s="615"/>
      <c r="AE57" s="615"/>
      <c r="AF57" s="615"/>
      <c r="AG57" s="615"/>
      <c r="AH57" s="615"/>
      <c r="AI57" s="615"/>
      <c r="AJ57" s="615"/>
      <c r="AK57" s="615"/>
      <c r="AL57" s="635"/>
      <c r="AM57" s="636"/>
      <c r="AN57" s="615"/>
      <c r="AO57" s="615"/>
      <c r="AP57" s="615"/>
      <c r="AQ57" s="615"/>
      <c r="AR57" s="615"/>
      <c r="AS57" s="615"/>
      <c r="AT57" s="615"/>
      <c r="AU57" s="615"/>
      <c r="AV57" s="615"/>
      <c r="AW57" s="615"/>
      <c r="AX57" s="635"/>
      <c r="AY57" s="636"/>
      <c r="AZ57" s="615"/>
      <c r="BA57" s="615"/>
      <c r="BB57" s="615"/>
      <c r="BC57" s="615"/>
      <c r="BD57" s="615"/>
      <c r="BE57" s="615"/>
      <c r="BF57" s="615"/>
      <c r="BG57" s="615"/>
      <c r="BH57" s="615"/>
      <c r="BI57" s="615"/>
      <c r="BJ57" s="635"/>
      <c r="BK57" s="636"/>
      <c r="BL57" s="615"/>
      <c r="BM57" s="615"/>
      <c r="BN57" s="615"/>
      <c r="BO57" s="615"/>
      <c r="BP57" s="615"/>
      <c r="BQ57" s="615"/>
      <c r="BR57" s="615"/>
      <c r="BS57" s="615"/>
      <c r="BT57" s="615"/>
      <c r="BU57" s="615"/>
      <c r="BV57" s="637"/>
      <c r="BW57" s="669">
        <v>232</v>
      </c>
      <c r="BX57" s="615">
        <v>232</v>
      </c>
      <c r="BY57" s="615">
        <v>232</v>
      </c>
      <c r="BZ57" s="615">
        <v>232</v>
      </c>
      <c r="CA57" s="615">
        <v>232</v>
      </c>
      <c r="CB57" s="615">
        <v>232</v>
      </c>
      <c r="CC57" s="615">
        <v>232</v>
      </c>
      <c r="CD57" s="615">
        <v>232</v>
      </c>
      <c r="CE57" s="615">
        <v>232</v>
      </c>
      <c r="CF57" s="615">
        <v>232</v>
      </c>
      <c r="CG57" s="615">
        <v>232</v>
      </c>
      <c r="CH57" s="635">
        <v>232</v>
      </c>
      <c r="CI57" s="636"/>
      <c r="CJ57" s="615"/>
      <c r="CK57" s="615"/>
      <c r="CL57" s="615"/>
      <c r="CM57" s="615"/>
      <c r="CN57" s="615"/>
      <c r="CO57" s="615"/>
      <c r="CP57" s="615"/>
      <c r="CQ57" s="615"/>
      <c r="CR57" s="615"/>
      <c r="CS57" s="615"/>
      <c r="CT57" s="635"/>
      <c r="CU57" s="636"/>
      <c r="CV57" s="615"/>
      <c r="CW57" s="615"/>
      <c r="CX57" s="615"/>
      <c r="CY57" s="615"/>
      <c r="CZ57" s="615"/>
      <c r="DA57" s="615"/>
      <c r="DB57" s="615"/>
      <c r="DC57" s="615"/>
      <c r="DD57" s="615"/>
      <c r="DE57" s="615"/>
      <c r="DF57" s="635"/>
      <c r="DG57" s="636"/>
      <c r="DH57" s="615"/>
      <c r="DI57" s="615"/>
      <c r="DJ57" s="615"/>
      <c r="DK57" s="615"/>
      <c r="DL57" s="615"/>
      <c r="DM57" s="615"/>
      <c r="DN57" s="615"/>
      <c r="DO57" s="615"/>
      <c r="DP57" s="615"/>
      <c r="DQ57" s="615"/>
      <c r="DR57" s="635"/>
      <c r="DS57" s="636"/>
      <c r="DT57" s="615"/>
      <c r="DU57" s="615"/>
      <c r="DV57" s="615"/>
      <c r="DW57" s="615"/>
      <c r="DX57" s="615"/>
      <c r="DY57" s="615"/>
      <c r="DZ57" s="615"/>
      <c r="EA57" s="615"/>
      <c r="EB57" s="615"/>
      <c r="EC57" s="615"/>
      <c r="ED57" s="637"/>
      <c r="EE57" s="692"/>
    </row>
    <row r="58" spans="1:135" x14ac:dyDescent="0.25">
      <c r="A58" s="640" t="s">
        <v>11</v>
      </c>
      <c r="B58" s="367" t="s">
        <v>774</v>
      </c>
      <c r="C58" s="367" t="s">
        <v>510</v>
      </c>
      <c r="D58" s="367" t="s">
        <v>773</v>
      </c>
      <c r="E58" s="503" t="s">
        <v>599</v>
      </c>
      <c r="F58" s="570">
        <v>44543</v>
      </c>
      <c r="G58" s="85" t="s">
        <v>59</v>
      </c>
      <c r="H58" s="85" t="s">
        <v>54</v>
      </c>
      <c r="I58" s="85" t="s">
        <v>358</v>
      </c>
      <c r="J58" s="675" t="s">
        <v>358</v>
      </c>
      <c r="K58" s="85" t="s">
        <v>358</v>
      </c>
      <c r="L58" s="85" t="s">
        <v>40</v>
      </c>
      <c r="M58" s="85" t="s">
        <v>3</v>
      </c>
      <c r="N58" s="668" t="s">
        <v>44</v>
      </c>
      <c r="O58" s="669"/>
      <c r="P58" s="615"/>
      <c r="Q58" s="615"/>
      <c r="R58" s="615"/>
      <c r="S58" s="615"/>
      <c r="T58" s="615"/>
      <c r="U58" s="615">
        <v>2</v>
      </c>
      <c r="V58" s="615">
        <v>2</v>
      </c>
      <c r="W58" s="615">
        <v>2</v>
      </c>
      <c r="X58" s="615">
        <v>2</v>
      </c>
      <c r="Y58" s="615">
        <v>2</v>
      </c>
      <c r="Z58" s="635">
        <v>2</v>
      </c>
      <c r="AA58" s="636"/>
      <c r="AB58" s="615"/>
      <c r="AC58" s="615"/>
      <c r="AD58" s="615"/>
      <c r="AE58" s="615"/>
      <c r="AF58" s="615"/>
      <c r="AG58" s="615"/>
      <c r="AH58" s="615"/>
      <c r="AI58" s="615"/>
      <c r="AJ58" s="615"/>
      <c r="AK58" s="615"/>
      <c r="AL58" s="635"/>
      <c r="AM58" s="636"/>
      <c r="AN58" s="615"/>
      <c r="AO58" s="615"/>
      <c r="AP58" s="615"/>
      <c r="AQ58" s="615"/>
      <c r="AR58" s="615"/>
      <c r="AS58" s="615"/>
      <c r="AT58" s="615"/>
      <c r="AU58" s="615"/>
      <c r="AV58" s="615"/>
      <c r="AW58" s="615"/>
      <c r="AX58" s="635"/>
      <c r="AY58" s="636"/>
      <c r="AZ58" s="615"/>
      <c r="BA58" s="615"/>
      <c r="BB58" s="615"/>
      <c r="BC58" s="615"/>
      <c r="BD58" s="615"/>
      <c r="BE58" s="615"/>
      <c r="BF58" s="615"/>
      <c r="BG58" s="615"/>
      <c r="BH58" s="615"/>
      <c r="BI58" s="615"/>
      <c r="BJ58" s="635"/>
      <c r="BK58" s="636"/>
      <c r="BL58" s="615"/>
      <c r="BM58" s="615"/>
      <c r="BN58" s="615"/>
      <c r="BO58" s="615"/>
      <c r="BP58" s="615"/>
      <c r="BQ58" s="615"/>
      <c r="BR58" s="615"/>
      <c r="BS58" s="615"/>
      <c r="BT58" s="615"/>
      <c r="BU58" s="615"/>
      <c r="BV58" s="637"/>
      <c r="BW58" s="669"/>
      <c r="BX58" s="615"/>
      <c r="BY58" s="615"/>
      <c r="BZ58" s="615"/>
      <c r="CA58" s="615"/>
      <c r="CB58" s="615"/>
      <c r="CC58" s="615">
        <v>282</v>
      </c>
      <c r="CD58" s="615">
        <v>282</v>
      </c>
      <c r="CE58" s="615">
        <v>282</v>
      </c>
      <c r="CF58" s="615">
        <v>282</v>
      </c>
      <c r="CG58" s="615">
        <v>282</v>
      </c>
      <c r="CH58" s="635">
        <v>282</v>
      </c>
      <c r="CI58" s="636"/>
      <c r="CJ58" s="615"/>
      <c r="CK58" s="615"/>
      <c r="CL58" s="615"/>
      <c r="CM58" s="615"/>
      <c r="CN58" s="615"/>
      <c r="CO58" s="615"/>
      <c r="CP58" s="615"/>
      <c r="CQ58" s="615"/>
      <c r="CR58" s="615"/>
      <c r="CS58" s="615"/>
      <c r="CT58" s="635"/>
      <c r="CU58" s="636"/>
      <c r="CV58" s="615"/>
      <c r="CW58" s="615"/>
      <c r="CX58" s="615"/>
      <c r="CY58" s="615"/>
      <c r="CZ58" s="615"/>
      <c r="DA58" s="615"/>
      <c r="DB58" s="615"/>
      <c r="DC58" s="615"/>
      <c r="DD58" s="615"/>
      <c r="DE58" s="615"/>
      <c r="DF58" s="635"/>
      <c r="DG58" s="636"/>
      <c r="DH58" s="615"/>
      <c r="DI58" s="615"/>
      <c r="DJ58" s="615"/>
      <c r="DK58" s="615"/>
      <c r="DL58" s="615"/>
      <c r="DM58" s="615"/>
      <c r="DN58" s="615"/>
      <c r="DO58" s="615"/>
      <c r="DP58" s="615"/>
      <c r="DQ58" s="615"/>
      <c r="DR58" s="635"/>
      <c r="DS58" s="636"/>
      <c r="DT58" s="615"/>
      <c r="DU58" s="615"/>
      <c r="DV58" s="615"/>
      <c r="DW58" s="615"/>
      <c r="DX58" s="615"/>
      <c r="DY58" s="615"/>
      <c r="DZ58" s="615"/>
      <c r="EA58" s="615"/>
      <c r="EB58" s="615"/>
      <c r="EC58" s="615"/>
      <c r="ED58" s="637"/>
      <c r="EE58" s="692"/>
    </row>
    <row r="59" spans="1:135" x14ac:dyDescent="0.25">
      <c r="A59" s="640" t="s">
        <v>11</v>
      </c>
      <c r="B59" s="367" t="s">
        <v>776</v>
      </c>
      <c r="C59" s="367" t="s">
        <v>467</v>
      </c>
      <c r="D59" s="367" t="s">
        <v>775</v>
      </c>
      <c r="E59" s="503" t="s">
        <v>600</v>
      </c>
      <c r="F59" s="570">
        <v>44543</v>
      </c>
      <c r="G59" s="85" t="s">
        <v>58</v>
      </c>
      <c r="H59" s="85" t="s">
        <v>54</v>
      </c>
      <c r="I59" s="85" t="s">
        <v>358</v>
      </c>
      <c r="J59" s="675" t="s">
        <v>358</v>
      </c>
      <c r="K59" s="85" t="s">
        <v>358</v>
      </c>
      <c r="L59" s="85" t="s">
        <v>40</v>
      </c>
      <c r="M59" s="85" t="s">
        <v>3</v>
      </c>
      <c r="N59" s="668" t="s">
        <v>44</v>
      </c>
      <c r="O59" s="669">
        <v>-2</v>
      </c>
      <c r="P59" s="615"/>
      <c r="Q59" s="615"/>
      <c r="R59" s="615"/>
      <c r="S59" s="615"/>
      <c r="T59" s="615"/>
      <c r="U59" s="615"/>
      <c r="V59" s="615"/>
      <c r="W59" s="615"/>
      <c r="X59" s="615"/>
      <c r="Y59" s="615"/>
      <c r="Z59" s="635"/>
      <c r="AA59" s="636"/>
      <c r="AB59" s="615"/>
      <c r="AC59" s="615"/>
      <c r="AD59" s="615"/>
      <c r="AE59" s="615"/>
      <c r="AF59" s="615"/>
      <c r="AG59" s="615"/>
      <c r="AH59" s="615"/>
      <c r="AI59" s="615"/>
      <c r="AJ59" s="615"/>
      <c r="AK59" s="615"/>
      <c r="AL59" s="635"/>
      <c r="AM59" s="636"/>
      <c r="AN59" s="615"/>
      <c r="AO59" s="615"/>
      <c r="AP59" s="615"/>
      <c r="AQ59" s="615"/>
      <c r="AR59" s="615"/>
      <c r="AS59" s="615"/>
      <c r="AT59" s="615"/>
      <c r="AU59" s="615"/>
      <c r="AV59" s="615"/>
      <c r="AW59" s="615"/>
      <c r="AX59" s="635"/>
      <c r="AY59" s="636"/>
      <c r="AZ59" s="615"/>
      <c r="BA59" s="615"/>
      <c r="BB59" s="615"/>
      <c r="BC59" s="615"/>
      <c r="BD59" s="615"/>
      <c r="BE59" s="615"/>
      <c r="BF59" s="615"/>
      <c r="BG59" s="615"/>
      <c r="BH59" s="615"/>
      <c r="BI59" s="615"/>
      <c r="BJ59" s="635"/>
      <c r="BK59" s="636"/>
      <c r="BL59" s="615"/>
      <c r="BM59" s="615"/>
      <c r="BN59" s="615"/>
      <c r="BO59" s="615"/>
      <c r="BP59" s="615"/>
      <c r="BQ59" s="615"/>
      <c r="BR59" s="615"/>
      <c r="BS59" s="615"/>
      <c r="BT59" s="615"/>
      <c r="BU59" s="615"/>
      <c r="BV59" s="637"/>
      <c r="BW59" s="669">
        <v>184</v>
      </c>
      <c r="BX59" s="615"/>
      <c r="BY59" s="615"/>
      <c r="BZ59" s="615"/>
      <c r="CA59" s="615"/>
      <c r="CB59" s="615"/>
      <c r="CC59" s="615"/>
      <c r="CD59" s="615"/>
      <c r="CE59" s="615"/>
      <c r="CF59" s="615"/>
      <c r="CG59" s="615"/>
      <c r="CH59" s="635"/>
      <c r="CI59" s="636"/>
      <c r="CJ59" s="615"/>
      <c r="CK59" s="615"/>
      <c r="CL59" s="615"/>
      <c r="CM59" s="615"/>
      <c r="CN59" s="615"/>
      <c r="CO59" s="615"/>
      <c r="CP59" s="615"/>
      <c r="CQ59" s="615"/>
      <c r="CR59" s="615"/>
      <c r="CS59" s="615"/>
      <c r="CT59" s="635"/>
      <c r="CU59" s="636"/>
      <c r="CV59" s="615"/>
      <c r="CW59" s="615"/>
      <c r="CX59" s="615"/>
      <c r="CY59" s="615"/>
      <c r="CZ59" s="615"/>
      <c r="DA59" s="615"/>
      <c r="DB59" s="615"/>
      <c r="DC59" s="615"/>
      <c r="DD59" s="615"/>
      <c r="DE59" s="615"/>
      <c r="DF59" s="635"/>
      <c r="DG59" s="636"/>
      <c r="DH59" s="615"/>
      <c r="DI59" s="615"/>
      <c r="DJ59" s="615"/>
      <c r="DK59" s="615"/>
      <c r="DL59" s="615"/>
      <c r="DM59" s="615"/>
      <c r="DN59" s="615"/>
      <c r="DO59" s="615"/>
      <c r="DP59" s="615"/>
      <c r="DQ59" s="615"/>
      <c r="DR59" s="635"/>
      <c r="DS59" s="636"/>
      <c r="DT59" s="615"/>
      <c r="DU59" s="615"/>
      <c r="DV59" s="615"/>
      <c r="DW59" s="615"/>
      <c r="DX59" s="615"/>
      <c r="DY59" s="615"/>
      <c r="DZ59" s="615"/>
      <c r="EA59" s="615"/>
      <c r="EB59" s="615"/>
      <c r="EC59" s="615"/>
      <c r="ED59" s="637"/>
      <c r="EE59" s="692"/>
    </row>
    <row r="60" spans="1:135" x14ac:dyDescent="0.25">
      <c r="A60" s="640" t="s">
        <v>11</v>
      </c>
      <c r="B60" s="367" t="s">
        <v>778</v>
      </c>
      <c r="C60" s="367" t="s">
        <v>466</v>
      </c>
      <c r="D60" s="367" t="s">
        <v>777</v>
      </c>
      <c r="E60" s="503" t="s">
        <v>601</v>
      </c>
      <c r="F60" s="570">
        <v>44543</v>
      </c>
      <c r="G60" s="85" t="s">
        <v>58</v>
      </c>
      <c r="H60" s="85" t="s">
        <v>54</v>
      </c>
      <c r="I60" s="85" t="s">
        <v>358</v>
      </c>
      <c r="J60" s="675" t="s">
        <v>358</v>
      </c>
      <c r="K60" s="85" t="s">
        <v>358</v>
      </c>
      <c r="L60" s="85" t="s">
        <v>40</v>
      </c>
      <c r="M60" s="85" t="s">
        <v>3</v>
      </c>
      <c r="N60" s="668" t="s">
        <v>44</v>
      </c>
      <c r="O60" s="669">
        <v>-2</v>
      </c>
      <c r="P60" s="615"/>
      <c r="Q60" s="615"/>
      <c r="R60" s="615"/>
      <c r="S60" s="615"/>
      <c r="T60" s="615"/>
      <c r="U60" s="615"/>
      <c r="V60" s="615"/>
      <c r="W60" s="615"/>
      <c r="X60" s="615"/>
      <c r="Y60" s="615"/>
      <c r="Z60" s="635"/>
      <c r="AA60" s="636"/>
      <c r="AB60" s="615"/>
      <c r="AC60" s="615"/>
      <c r="AD60" s="615"/>
      <c r="AE60" s="615"/>
      <c r="AF60" s="615"/>
      <c r="AG60" s="615"/>
      <c r="AH60" s="615"/>
      <c r="AI60" s="615"/>
      <c r="AJ60" s="615"/>
      <c r="AK60" s="615"/>
      <c r="AL60" s="635"/>
      <c r="AM60" s="636"/>
      <c r="AN60" s="615"/>
      <c r="AO60" s="615"/>
      <c r="AP60" s="615"/>
      <c r="AQ60" s="615"/>
      <c r="AR60" s="615"/>
      <c r="AS60" s="615"/>
      <c r="AT60" s="615"/>
      <c r="AU60" s="615"/>
      <c r="AV60" s="615"/>
      <c r="AW60" s="615"/>
      <c r="AX60" s="635"/>
      <c r="AY60" s="636"/>
      <c r="AZ60" s="615"/>
      <c r="BA60" s="615"/>
      <c r="BB60" s="615"/>
      <c r="BC60" s="615"/>
      <c r="BD60" s="615"/>
      <c r="BE60" s="615"/>
      <c r="BF60" s="615"/>
      <c r="BG60" s="615"/>
      <c r="BH60" s="615"/>
      <c r="BI60" s="615"/>
      <c r="BJ60" s="635"/>
      <c r="BK60" s="636"/>
      <c r="BL60" s="615"/>
      <c r="BM60" s="615"/>
      <c r="BN60" s="615"/>
      <c r="BO60" s="615"/>
      <c r="BP60" s="615"/>
      <c r="BQ60" s="615"/>
      <c r="BR60" s="615"/>
      <c r="BS60" s="615"/>
      <c r="BT60" s="615"/>
      <c r="BU60" s="615"/>
      <c r="BV60" s="637"/>
      <c r="BW60" s="669">
        <v>185</v>
      </c>
      <c r="BX60" s="615"/>
      <c r="BY60" s="615"/>
      <c r="BZ60" s="615"/>
      <c r="CA60" s="615"/>
      <c r="CB60" s="615"/>
      <c r="CC60" s="615"/>
      <c r="CD60" s="615"/>
      <c r="CE60" s="615"/>
      <c r="CF60" s="615"/>
      <c r="CG60" s="615"/>
      <c r="CH60" s="635"/>
      <c r="CI60" s="636"/>
      <c r="CJ60" s="615"/>
      <c r="CK60" s="615"/>
      <c r="CL60" s="615"/>
      <c r="CM60" s="615"/>
      <c r="CN60" s="615"/>
      <c r="CO60" s="615"/>
      <c r="CP60" s="615"/>
      <c r="CQ60" s="615"/>
      <c r="CR60" s="615"/>
      <c r="CS60" s="615"/>
      <c r="CT60" s="635"/>
      <c r="CU60" s="636"/>
      <c r="CV60" s="615"/>
      <c r="CW60" s="615"/>
      <c r="CX60" s="615"/>
      <c r="CY60" s="615"/>
      <c r="CZ60" s="615"/>
      <c r="DA60" s="615"/>
      <c r="DB60" s="615"/>
      <c r="DC60" s="615"/>
      <c r="DD60" s="615"/>
      <c r="DE60" s="615"/>
      <c r="DF60" s="635"/>
      <c r="DG60" s="636"/>
      <c r="DH60" s="615"/>
      <c r="DI60" s="615"/>
      <c r="DJ60" s="615"/>
      <c r="DK60" s="615"/>
      <c r="DL60" s="615"/>
      <c r="DM60" s="615"/>
      <c r="DN60" s="615"/>
      <c r="DO60" s="615"/>
      <c r="DP60" s="615"/>
      <c r="DQ60" s="615"/>
      <c r="DR60" s="635"/>
      <c r="DS60" s="636"/>
      <c r="DT60" s="615"/>
      <c r="DU60" s="615"/>
      <c r="DV60" s="615"/>
      <c r="DW60" s="615"/>
      <c r="DX60" s="615"/>
      <c r="DY60" s="615"/>
      <c r="DZ60" s="615"/>
      <c r="EA60" s="615"/>
      <c r="EB60" s="615"/>
      <c r="EC60" s="615"/>
      <c r="ED60" s="637"/>
      <c r="EE60" s="692"/>
    </row>
    <row r="61" spans="1:135" x14ac:dyDescent="0.25">
      <c r="A61" s="640" t="s">
        <v>11</v>
      </c>
      <c r="B61" s="367" t="s">
        <v>780</v>
      </c>
      <c r="C61" s="367" t="s">
        <v>473</v>
      </c>
      <c r="D61" s="367" t="s">
        <v>779</v>
      </c>
      <c r="E61" s="503" t="s">
        <v>602</v>
      </c>
      <c r="F61" s="570">
        <v>44543</v>
      </c>
      <c r="G61" s="85" t="s">
        <v>58</v>
      </c>
      <c r="H61" s="85" t="s">
        <v>54</v>
      </c>
      <c r="I61" s="85" t="s">
        <v>358</v>
      </c>
      <c r="J61" s="675" t="s">
        <v>358</v>
      </c>
      <c r="K61" s="85" t="s">
        <v>358</v>
      </c>
      <c r="L61" s="85" t="s">
        <v>40</v>
      </c>
      <c r="M61" s="85" t="s">
        <v>3</v>
      </c>
      <c r="N61" s="668" t="s">
        <v>44</v>
      </c>
      <c r="O61" s="669"/>
      <c r="P61" s="615">
        <v>-4</v>
      </c>
      <c r="Q61" s="615"/>
      <c r="R61" s="615"/>
      <c r="S61" s="615"/>
      <c r="T61" s="615"/>
      <c r="U61" s="615"/>
      <c r="V61" s="615"/>
      <c r="W61" s="615"/>
      <c r="X61" s="615"/>
      <c r="Y61" s="615"/>
      <c r="Z61" s="635"/>
      <c r="AA61" s="636"/>
      <c r="AB61" s="615"/>
      <c r="AC61" s="615"/>
      <c r="AD61" s="615"/>
      <c r="AE61" s="615"/>
      <c r="AF61" s="615"/>
      <c r="AG61" s="615"/>
      <c r="AH61" s="615"/>
      <c r="AI61" s="615"/>
      <c r="AJ61" s="615"/>
      <c r="AK61" s="615"/>
      <c r="AL61" s="635"/>
      <c r="AM61" s="636"/>
      <c r="AN61" s="615"/>
      <c r="AO61" s="615"/>
      <c r="AP61" s="615"/>
      <c r="AQ61" s="615"/>
      <c r="AR61" s="615"/>
      <c r="AS61" s="615"/>
      <c r="AT61" s="615"/>
      <c r="AU61" s="615"/>
      <c r="AV61" s="615"/>
      <c r="AW61" s="615"/>
      <c r="AX61" s="635"/>
      <c r="AY61" s="636"/>
      <c r="AZ61" s="615"/>
      <c r="BA61" s="615"/>
      <c r="BB61" s="615"/>
      <c r="BC61" s="615"/>
      <c r="BD61" s="615"/>
      <c r="BE61" s="615"/>
      <c r="BF61" s="615"/>
      <c r="BG61" s="615"/>
      <c r="BH61" s="615"/>
      <c r="BI61" s="615"/>
      <c r="BJ61" s="635"/>
      <c r="BK61" s="636"/>
      <c r="BL61" s="615"/>
      <c r="BM61" s="615"/>
      <c r="BN61" s="615"/>
      <c r="BO61" s="615"/>
      <c r="BP61" s="615"/>
      <c r="BQ61" s="615"/>
      <c r="BR61" s="615"/>
      <c r="BS61" s="615"/>
      <c r="BT61" s="615"/>
      <c r="BU61" s="615"/>
      <c r="BV61" s="637"/>
      <c r="BW61" s="669"/>
      <c r="BX61" s="615">
        <v>228</v>
      </c>
      <c r="BY61" s="615"/>
      <c r="BZ61" s="615"/>
      <c r="CA61" s="615"/>
      <c r="CB61" s="615"/>
      <c r="CC61" s="615"/>
      <c r="CD61" s="615"/>
      <c r="CE61" s="615"/>
      <c r="CF61" s="615"/>
      <c r="CG61" s="615"/>
      <c r="CH61" s="635"/>
      <c r="CI61" s="636"/>
      <c r="CJ61" s="615"/>
      <c r="CK61" s="615"/>
      <c r="CL61" s="615"/>
      <c r="CM61" s="615"/>
      <c r="CN61" s="615"/>
      <c r="CO61" s="615"/>
      <c r="CP61" s="615"/>
      <c r="CQ61" s="615"/>
      <c r="CR61" s="615"/>
      <c r="CS61" s="615"/>
      <c r="CT61" s="635"/>
      <c r="CU61" s="636"/>
      <c r="CV61" s="615"/>
      <c r="CW61" s="615"/>
      <c r="CX61" s="615"/>
      <c r="CY61" s="615"/>
      <c r="CZ61" s="615"/>
      <c r="DA61" s="615"/>
      <c r="DB61" s="615"/>
      <c r="DC61" s="615"/>
      <c r="DD61" s="615"/>
      <c r="DE61" s="615"/>
      <c r="DF61" s="635"/>
      <c r="DG61" s="636"/>
      <c r="DH61" s="615"/>
      <c r="DI61" s="615"/>
      <c r="DJ61" s="615"/>
      <c r="DK61" s="615"/>
      <c r="DL61" s="615"/>
      <c r="DM61" s="615"/>
      <c r="DN61" s="615"/>
      <c r="DO61" s="615"/>
      <c r="DP61" s="615"/>
      <c r="DQ61" s="615"/>
      <c r="DR61" s="635"/>
      <c r="DS61" s="636"/>
      <c r="DT61" s="615"/>
      <c r="DU61" s="615"/>
      <c r="DV61" s="615"/>
      <c r="DW61" s="615"/>
      <c r="DX61" s="615"/>
      <c r="DY61" s="615"/>
      <c r="DZ61" s="615"/>
      <c r="EA61" s="615"/>
      <c r="EB61" s="615"/>
      <c r="EC61" s="615"/>
      <c r="ED61" s="637"/>
      <c r="EE61" s="692"/>
    </row>
    <row r="62" spans="1:135" x14ac:dyDescent="0.25">
      <c r="A62" s="640" t="s">
        <v>11</v>
      </c>
      <c r="B62" s="367" t="s">
        <v>782</v>
      </c>
      <c r="C62" s="367" t="s">
        <v>473</v>
      </c>
      <c r="D62" s="367" t="s">
        <v>781</v>
      </c>
      <c r="E62" s="503" t="s">
        <v>603</v>
      </c>
      <c r="F62" s="570">
        <v>44543</v>
      </c>
      <c r="G62" s="85" t="s">
        <v>58</v>
      </c>
      <c r="H62" s="85" t="s">
        <v>54</v>
      </c>
      <c r="I62" s="85" t="s">
        <v>358</v>
      </c>
      <c r="J62" s="675" t="s">
        <v>358</v>
      </c>
      <c r="K62" s="85" t="s">
        <v>358</v>
      </c>
      <c r="L62" s="85" t="s">
        <v>40</v>
      </c>
      <c r="M62" s="85" t="s">
        <v>3</v>
      </c>
      <c r="N62" s="668" t="s">
        <v>44</v>
      </c>
      <c r="O62" s="669"/>
      <c r="P62" s="615"/>
      <c r="Q62" s="615">
        <v>-4</v>
      </c>
      <c r="R62" s="615"/>
      <c r="S62" s="615"/>
      <c r="T62" s="615"/>
      <c r="U62" s="615"/>
      <c r="V62" s="615"/>
      <c r="W62" s="615"/>
      <c r="X62" s="615"/>
      <c r="Y62" s="615"/>
      <c r="Z62" s="635"/>
      <c r="AA62" s="636"/>
      <c r="AB62" s="615"/>
      <c r="AC62" s="615"/>
      <c r="AD62" s="615"/>
      <c r="AE62" s="615"/>
      <c r="AF62" s="615"/>
      <c r="AG62" s="615"/>
      <c r="AH62" s="615"/>
      <c r="AI62" s="615"/>
      <c r="AJ62" s="615"/>
      <c r="AK62" s="615"/>
      <c r="AL62" s="635"/>
      <c r="AM62" s="636"/>
      <c r="AN62" s="615"/>
      <c r="AO62" s="615"/>
      <c r="AP62" s="615"/>
      <c r="AQ62" s="615"/>
      <c r="AR62" s="615"/>
      <c r="AS62" s="615"/>
      <c r="AT62" s="615"/>
      <c r="AU62" s="615"/>
      <c r="AV62" s="615"/>
      <c r="AW62" s="615"/>
      <c r="AX62" s="635"/>
      <c r="AY62" s="636"/>
      <c r="AZ62" s="615"/>
      <c r="BA62" s="615"/>
      <c r="BB62" s="615"/>
      <c r="BC62" s="615"/>
      <c r="BD62" s="615"/>
      <c r="BE62" s="615"/>
      <c r="BF62" s="615"/>
      <c r="BG62" s="615"/>
      <c r="BH62" s="615"/>
      <c r="BI62" s="615"/>
      <c r="BJ62" s="635"/>
      <c r="BK62" s="636"/>
      <c r="BL62" s="615"/>
      <c r="BM62" s="615"/>
      <c r="BN62" s="615"/>
      <c r="BO62" s="615"/>
      <c r="BP62" s="615"/>
      <c r="BQ62" s="615"/>
      <c r="BR62" s="615"/>
      <c r="BS62" s="615"/>
      <c r="BT62" s="615"/>
      <c r="BU62" s="615"/>
      <c r="BV62" s="637"/>
      <c r="BW62" s="669"/>
      <c r="BX62" s="615"/>
      <c r="BY62" s="615">
        <v>220</v>
      </c>
      <c r="BZ62" s="615"/>
      <c r="CA62" s="615"/>
      <c r="CB62" s="615"/>
      <c r="CC62" s="615"/>
      <c r="CD62" s="615"/>
      <c r="CE62" s="615"/>
      <c r="CF62" s="615"/>
      <c r="CG62" s="615"/>
      <c r="CH62" s="635"/>
      <c r="CI62" s="636"/>
      <c r="CJ62" s="615"/>
      <c r="CK62" s="615"/>
      <c r="CL62" s="615"/>
      <c r="CM62" s="615"/>
      <c r="CN62" s="615"/>
      <c r="CO62" s="615"/>
      <c r="CP62" s="615"/>
      <c r="CQ62" s="615"/>
      <c r="CR62" s="615"/>
      <c r="CS62" s="615"/>
      <c r="CT62" s="635"/>
      <c r="CU62" s="636"/>
      <c r="CV62" s="615"/>
      <c r="CW62" s="615"/>
      <c r="CX62" s="615"/>
      <c r="CY62" s="615"/>
      <c r="CZ62" s="615"/>
      <c r="DA62" s="615"/>
      <c r="DB62" s="615"/>
      <c r="DC62" s="615"/>
      <c r="DD62" s="615"/>
      <c r="DE62" s="615"/>
      <c r="DF62" s="635"/>
      <c r="DG62" s="636"/>
      <c r="DH62" s="615"/>
      <c r="DI62" s="615"/>
      <c r="DJ62" s="615"/>
      <c r="DK62" s="615"/>
      <c r="DL62" s="615"/>
      <c r="DM62" s="615"/>
      <c r="DN62" s="615"/>
      <c r="DO62" s="615"/>
      <c r="DP62" s="615"/>
      <c r="DQ62" s="615"/>
      <c r="DR62" s="635"/>
      <c r="DS62" s="636"/>
      <c r="DT62" s="615"/>
      <c r="DU62" s="615"/>
      <c r="DV62" s="615"/>
      <c r="DW62" s="615"/>
      <c r="DX62" s="615"/>
      <c r="DY62" s="615"/>
      <c r="DZ62" s="615"/>
      <c r="EA62" s="615"/>
      <c r="EB62" s="615"/>
      <c r="EC62" s="615"/>
      <c r="ED62" s="637"/>
      <c r="EE62" s="692"/>
    </row>
    <row r="63" spans="1:135" x14ac:dyDescent="0.25">
      <c r="A63" s="640" t="s">
        <v>11</v>
      </c>
      <c r="B63" s="367" t="s">
        <v>784</v>
      </c>
      <c r="C63" s="367" t="s">
        <v>509</v>
      </c>
      <c r="D63" s="367" t="s">
        <v>783</v>
      </c>
      <c r="E63" s="503" t="s">
        <v>604</v>
      </c>
      <c r="F63" s="570">
        <v>44544</v>
      </c>
      <c r="G63" s="85" t="s">
        <v>59</v>
      </c>
      <c r="H63" s="85" t="s">
        <v>54</v>
      </c>
      <c r="I63" s="85" t="s">
        <v>358</v>
      </c>
      <c r="J63" s="675" t="s">
        <v>358</v>
      </c>
      <c r="K63" s="85" t="s">
        <v>358</v>
      </c>
      <c r="L63" s="85" t="s">
        <v>40</v>
      </c>
      <c r="M63" s="85" t="s">
        <v>3</v>
      </c>
      <c r="N63" s="668" t="s">
        <v>44</v>
      </c>
      <c r="O63" s="669">
        <v>2</v>
      </c>
      <c r="P63" s="615">
        <v>2</v>
      </c>
      <c r="Q63" s="615">
        <v>2</v>
      </c>
      <c r="R63" s="615">
        <v>2</v>
      </c>
      <c r="S63" s="615">
        <v>2</v>
      </c>
      <c r="T63" s="615">
        <v>2</v>
      </c>
      <c r="U63" s="615">
        <v>2</v>
      </c>
      <c r="V63" s="615">
        <v>2</v>
      </c>
      <c r="W63" s="615">
        <v>2</v>
      </c>
      <c r="X63" s="615">
        <v>2</v>
      </c>
      <c r="Y63" s="615">
        <v>2</v>
      </c>
      <c r="Z63" s="635">
        <v>2</v>
      </c>
      <c r="AA63" s="636"/>
      <c r="AB63" s="615"/>
      <c r="AC63" s="615"/>
      <c r="AD63" s="615"/>
      <c r="AE63" s="615"/>
      <c r="AF63" s="615"/>
      <c r="AG63" s="615"/>
      <c r="AH63" s="615"/>
      <c r="AI63" s="615"/>
      <c r="AJ63" s="615"/>
      <c r="AK63" s="615"/>
      <c r="AL63" s="635"/>
      <c r="AM63" s="636"/>
      <c r="AN63" s="615"/>
      <c r="AO63" s="615"/>
      <c r="AP63" s="615"/>
      <c r="AQ63" s="615"/>
      <c r="AR63" s="615"/>
      <c r="AS63" s="615"/>
      <c r="AT63" s="615"/>
      <c r="AU63" s="615"/>
      <c r="AV63" s="615"/>
      <c r="AW63" s="615"/>
      <c r="AX63" s="635"/>
      <c r="AY63" s="636"/>
      <c r="AZ63" s="615"/>
      <c r="BA63" s="615"/>
      <c r="BB63" s="615"/>
      <c r="BC63" s="615"/>
      <c r="BD63" s="615"/>
      <c r="BE63" s="615"/>
      <c r="BF63" s="615"/>
      <c r="BG63" s="615"/>
      <c r="BH63" s="615"/>
      <c r="BI63" s="615"/>
      <c r="BJ63" s="635"/>
      <c r="BK63" s="636"/>
      <c r="BL63" s="615"/>
      <c r="BM63" s="615"/>
      <c r="BN63" s="615"/>
      <c r="BO63" s="615"/>
      <c r="BP63" s="615"/>
      <c r="BQ63" s="615"/>
      <c r="BR63" s="615"/>
      <c r="BS63" s="615"/>
      <c r="BT63" s="615"/>
      <c r="BU63" s="615"/>
      <c r="BV63" s="637"/>
      <c r="BW63" s="669">
        <v>227</v>
      </c>
      <c r="BX63" s="615">
        <v>227</v>
      </c>
      <c r="BY63" s="615">
        <v>227</v>
      </c>
      <c r="BZ63" s="615">
        <v>227</v>
      </c>
      <c r="CA63" s="615">
        <v>227</v>
      </c>
      <c r="CB63" s="615">
        <v>227</v>
      </c>
      <c r="CC63" s="615">
        <v>227</v>
      </c>
      <c r="CD63" s="615">
        <v>227</v>
      </c>
      <c r="CE63" s="615">
        <v>227</v>
      </c>
      <c r="CF63" s="615">
        <v>227</v>
      </c>
      <c r="CG63" s="615">
        <v>227</v>
      </c>
      <c r="CH63" s="635">
        <v>227</v>
      </c>
      <c r="CI63" s="636"/>
      <c r="CJ63" s="615"/>
      <c r="CK63" s="615"/>
      <c r="CL63" s="615"/>
      <c r="CM63" s="615"/>
      <c r="CN63" s="615"/>
      <c r="CO63" s="615"/>
      <c r="CP63" s="615"/>
      <c r="CQ63" s="615"/>
      <c r="CR63" s="615"/>
      <c r="CS63" s="615"/>
      <c r="CT63" s="635"/>
      <c r="CU63" s="636"/>
      <c r="CV63" s="615"/>
      <c r="CW63" s="615"/>
      <c r="CX63" s="615"/>
      <c r="CY63" s="615"/>
      <c r="CZ63" s="615"/>
      <c r="DA63" s="615"/>
      <c r="DB63" s="615"/>
      <c r="DC63" s="615"/>
      <c r="DD63" s="615"/>
      <c r="DE63" s="615"/>
      <c r="DF63" s="635"/>
      <c r="DG63" s="636"/>
      <c r="DH63" s="615"/>
      <c r="DI63" s="615"/>
      <c r="DJ63" s="615"/>
      <c r="DK63" s="615"/>
      <c r="DL63" s="615"/>
      <c r="DM63" s="615"/>
      <c r="DN63" s="615"/>
      <c r="DO63" s="615"/>
      <c r="DP63" s="615"/>
      <c r="DQ63" s="615"/>
      <c r="DR63" s="635"/>
      <c r="DS63" s="636"/>
      <c r="DT63" s="615"/>
      <c r="DU63" s="615"/>
      <c r="DV63" s="615"/>
      <c r="DW63" s="615"/>
      <c r="DX63" s="615"/>
      <c r="DY63" s="615"/>
      <c r="DZ63" s="615"/>
      <c r="EA63" s="615"/>
      <c r="EB63" s="615"/>
      <c r="EC63" s="615"/>
      <c r="ED63" s="637"/>
      <c r="EE63" s="692"/>
    </row>
    <row r="64" spans="1:135" x14ac:dyDescent="0.25">
      <c r="A64" s="640" t="s">
        <v>11</v>
      </c>
      <c r="B64" s="367" t="s">
        <v>786</v>
      </c>
      <c r="C64" s="367" t="s">
        <v>472</v>
      </c>
      <c r="D64" s="367" t="s">
        <v>785</v>
      </c>
      <c r="E64" s="503" t="s">
        <v>605</v>
      </c>
      <c r="F64" s="570">
        <v>44544</v>
      </c>
      <c r="G64" s="85" t="s">
        <v>58</v>
      </c>
      <c r="H64" s="85" t="s">
        <v>54</v>
      </c>
      <c r="I64" s="85" t="s">
        <v>358</v>
      </c>
      <c r="J64" s="675" t="s">
        <v>358</v>
      </c>
      <c r="K64" s="85" t="s">
        <v>358</v>
      </c>
      <c r="L64" s="85" t="s">
        <v>40</v>
      </c>
      <c r="M64" s="85" t="s">
        <v>3</v>
      </c>
      <c r="N64" s="668" t="s">
        <v>44</v>
      </c>
      <c r="O64" s="669"/>
      <c r="P64" s="615">
        <v>-2</v>
      </c>
      <c r="Q64" s="615"/>
      <c r="R64" s="615"/>
      <c r="S64" s="615"/>
      <c r="T64" s="615"/>
      <c r="U64" s="615"/>
      <c r="V64" s="615"/>
      <c r="W64" s="615"/>
      <c r="X64" s="615"/>
      <c r="Y64" s="615"/>
      <c r="Z64" s="635"/>
      <c r="AA64" s="636"/>
      <c r="AB64" s="615"/>
      <c r="AC64" s="615"/>
      <c r="AD64" s="615"/>
      <c r="AE64" s="615"/>
      <c r="AF64" s="615"/>
      <c r="AG64" s="615"/>
      <c r="AH64" s="615"/>
      <c r="AI64" s="615"/>
      <c r="AJ64" s="615"/>
      <c r="AK64" s="615"/>
      <c r="AL64" s="635"/>
      <c r="AM64" s="636"/>
      <c r="AN64" s="615"/>
      <c r="AO64" s="615"/>
      <c r="AP64" s="615"/>
      <c r="AQ64" s="615"/>
      <c r="AR64" s="615"/>
      <c r="AS64" s="615"/>
      <c r="AT64" s="615"/>
      <c r="AU64" s="615"/>
      <c r="AV64" s="615"/>
      <c r="AW64" s="615"/>
      <c r="AX64" s="635"/>
      <c r="AY64" s="636"/>
      <c r="AZ64" s="615"/>
      <c r="BA64" s="615"/>
      <c r="BB64" s="615"/>
      <c r="BC64" s="615"/>
      <c r="BD64" s="615"/>
      <c r="BE64" s="615"/>
      <c r="BF64" s="615"/>
      <c r="BG64" s="615"/>
      <c r="BH64" s="615"/>
      <c r="BI64" s="615"/>
      <c r="BJ64" s="635"/>
      <c r="BK64" s="636"/>
      <c r="BL64" s="615"/>
      <c r="BM64" s="615"/>
      <c r="BN64" s="615"/>
      <c r="BO64" s="615"/>
      <c r="BP64" s="615"/>
      <c r="BQ64" s="615"/>
      <c r="BR64" s="615"/>
      <c r="BS64" s="615"/>
      <c r="BT64" s="615"/>
      <c r="BU64" s="615"/>
      <c r="BV64" s="637"/>
      <c r="BW64" s="669"/>
      <c r="BX64" s="615">
        <v>199</v>
      </c>
      <c r="BY64" s="615"/>
      <c r="BZ64" s="615"/>
      <c r="CA64" s="615"/>
      <c r="CB64" s="615"/>
      <c r="CC64" s="615"/>
      <c r="CD64" s="615"/>
      <c r="CE64" s="615"/>
      <c r="CF64" s="615"/>
      <c r="CG64" s="615"/>
      <c r="CH64" s="635"/>
      <c r="CI64" s="636"/>
      <c r="CJ64" s="615"/>
      <c r="CK64" s="615"/>
      <c r="CL64" s="615"/>
      <c r="CM64" s="615"/>
      <c r="CN64" s="615"/>
      <c r="CO64" s="615"/>
      <c r="CP64" s="615"/>
      <c r="CQ64" s="615"/>
      <c r="CR64" s="615"/>
      <c r="CS64" s="615"/>
      <c r="CT64" s="635"/>
      <c r="CU64" s="636"/>
      <c r="CV64" s="615"/>
      <c r="CW64" s="615"/>
      <c r="CX64" s="615"/>
      <c r="CY64" s="615"/>
      <c r="CZ64" s="615"/>
      <c r="DA64" s="615"/>
      <c r="DB64" s="615"/>
      <c r="DC64" s="615"/>
      <c r="DD64" s="615"/>
      <c r="DE64" s="615"/>
      <c r="DF64" s="635"/>
      <c r="DG64" s="636"/>
      <c r="DH64" s="615"/>
      <c r="DI64" s="615"/>
      <c r="DJ64" s="615"/>
      <c r="DK64" s="615"/>
      <c r="DL64" s="615"/>
      <c r="DM64" s="615"/>
      <c r="DN64" s="615"/>
      <c r="DO64" s="615"/>
      <c r="DP64" s="615"/>
      <c r="DQ64" s="615"/>
      <c r="DR64" s="635"/>
      <c r="DS64" s="636"/>
      <c r="DT64" s="615"/>
      <c r="DU64" s="615"/>
      <c r="DV64" s="615"/>
      <c r="DW64" s="615"/>
      <c r="DX64" s="615"/>
      <c r="DY64" s="615"/>
      <c r="DZ64" s="615"/>
      <c r="EA64" s="615"/>
      <c r="EB64" s="615"/>
      <c r="EC64" s="615"/>
      <c r="ED64" s="637"/>
      <c r="EE64" s="692"/>
    </row>
    <row r="65" spans="1:135" x14ac:dyDescent="0.25">
      <c r="A65" s="640" t="s">
        <v>11</v>
      </c>
      <c r="B65" s="367" t="s">
        <v>788</v>
      </c>
      <c r="C65" s="367" t="s">
        <v>619</v>
      </c>
      <c r="D65" s="367" t="s">
        <v>787</v>
      </c>
      <c r="E65" s="503" t="s">
        <v>606</v>
      </c>
      <c r="F65" s="570">
        <v>44544</v>
      </c>
      <c r="G65" s="85" t="s">
        <v>59</v>
      </c>
      <c r="H65" s="85" t="s">
        <v>54</v>
      </c>
      <c r="I65" s="85" t="s">
        <v>358</v>
      </c>
      <c r="J65" s="675" t="s">
        <v>358</v>
      </c>
      <c r="K65" s="85" t="s">
        <v>358</v>
      </c>
      <c r="L65" s="85" t="s">
        <v>40</v>
      </c>
      <c r="M65" s="85" t="s">
        <v>3</v>
      </c>
      <c r="N65" s="668" t="s">
        <v>44</v>
      </c>
      <c r="O65" s="669"/>
      <c r="P65" s="615"/>
      <c r="Q65" s="615"/>
      <c r="R65" s="615"/>
      <c r="S65" s="615"/>
      <c r="T65" s="615"/>
      <c r="U65" s="615">
        <v>9</v>
      </c>
      <c r="V65" s="615">
        <v>9</v>
      </c>
      <c r="W65" s="615">
        <v>9</v>
      </c>
      <c r="X65" s="615">
        <v>9</v>
      </c>
      <c r="Y65" s="615">
        <v>9</v>
      </c>
      <c r="Z65" s="635">
        <v>9</v>
      </c>
      <c r="AA65" s="636"/>
      <c r="AB65" s="615"/>
      <c r="AC65" s="615"/>
      <c r="AD65" s="615"/>
      <c r="AE65" s="615"/>
      <c r="AF65" s="615"/>
      <c r="AG65" s="615"/>
      <c r="AH65" s="615"/>
      <c r="AI65" s="615"/>
      <c r="AJ65" s="615"/>
      <c r="AK65" s="615"/>
      <c r="AL65" s="635"/>
      <c r="AM65" s="636"/>
      <c r="AN65" s="615"/>
      <c r="AO65" s="615"/>
      <c r="AP65" s="615"/>
      <c r="AQ65" s="615"/>
      <c r="AR65" s="615"/>
      <c r="AS65" s="615"/>
      <c r="AT65" s="615"/>
      <c r="AU65" s="615"/>
      <c r="AV65" s="615"/>
      <c r="AW65" s="615"/>
      <c r="AX65" s="635"/>
      <c r="AY65" s="636"/>
      <c r="AZ65" s="615"/>
      <c r="BA65" s="615"/>
      <c r="BB65" s="615"/>
      <c r="BC65" s="615"/>
      <c r="BD65" s="615"/>
      <c r="BE65" s="615"/>
      <c r="BF65" s="615"/>
      <c r="BG65" s="615"/>
      <c r="BH65" s="615"/>
      <c r="BI65" s="615"/>
      <c r="BJ65" s="635"/>
      <c r="BK65" s="636"/>
      <c r="BL65" s="615"/>
      <c r="BM65" s="615"/>
      <c r="BN65" s="615"/>
      <c r="BO65" s="615"/>
      <c r="BP65" s="615"/>
      <c r="BQ65" s="615"/>
      <c r="BR65" s="615"/>
      <c r="BS65" s="615"/>
      <c r="BT65" s="615"/>
      <c r="BU65" s="615"/>
      <c r="BV65" s="637"/>
      <c r="BW65" s="669"/>
      <c r="BX65" s="615"/>
      <c r="BY65" s="615"/>
      <c r="BZ65" s="615"/>
      <c r="CA65" s="615"/>
      <c r="CB65" s="615"/>
      <c r="CC65" s="615">
        <v>265</v>
      </c>
      <c r="CD65" s="615">
        <v>265</v>
      </c>
      <c r="CE65" s="615">
        <v>265</v>
      </c>
      <c r="CF65" s="615">
        <v>265</v>
      </c>
      <c r="CG65" s="615">
        <v>265</v>
      </c>
      <c r="CH65" s="635">
        <v>265</v>
      </c>
      <c r="CI65" s="636"/>
      <c r="CJ65" s="615"/>
      <c r="CK65" s="615"/>
      <c r="CL65" s="615"/>
      <c r="CM65" s="615"/>
      <c r="CN65" s="615"/>
      <c r="CO65" s="615"/>
      <c r="CP65" s="615"/>
      <c r="CQ65" s="615"/>
      <c r="CR65" s="615"/>
      <c r="CS65" s="615"/>
      <c r="CT65" s="635"/>
      <c r="CU65" s="636"/>
      <c r="CV65" s="615"/>
      <c r="CW65" s="615"/>
      <c r="CX65" s="615"/>
      <c r="CY65" s="615"/>
      <c r="CZ65" s="615"/>
      <c r="DA65" s="615"/>
      <c r="DB65" s="615"/>
      <c r="DC65" s="615"/>
      <c r="DD65" s="615"/>
      <c r="DE65" s="615"/>
      <c r="DF65" s="635"/>
      <c r="DG65" s="636"/>
      <c r="DH65" s="615"/>
      <c r="DI65" s="615"/>
      <c r="DJ65" s="615"/>
      <c r="DK65" s="615"/>
      <c r="DL65" s="615"/>
      <c r="DM65" s="615"/>
      <c r="DN65" s="615"/>
      <c r="DO65" s="615"/>
      <c r="DP65" s="615"/>
      <c r="DQ65" s="615"/>
      <c r="DR65" s="635"/>
      <c r="DS65" s="636"/>
      <c r="DT65" s="615"/>
      <c r="DU65" s="615"/>
      <c r="DV65" s="615"/>
      <c r="DW65" s="615"/>
      <c r="DX65" s="615"/>
      <c r="DY65" s="615"/>
      <c r="DZ65" s="615"/>
      <c r="EA65" s="615"/>
      <c r="EB65" s="615"/>
      <c r="EC65" s="615"/>
      <c r="ED65" s="637"/>
      <c r="EE65" s="692"/>
    </row>
    <row r="66" spans="1:135" x14ac:dyDescent="0.25">
      <c r="A66" s="640" t="s">
        <v>11</v>
      </c>
      <c r="B66" s="367" t="s">
        <v>790</v>
      </c>
      <c r="C66" s="367" t="s">
        <v>531</v>
      </c>
      <c r="D66" s="367" t="s">
        <v>789</v>
      </c>
      <c r="E66" s="503" t="s">
        <v>607</v>
      </c>
      <c r="F66" s="570">
        <v>44544</v>
      </c>
      <c r="G66" s="85" t="s">
        <v>58</v>
      </c>
      <c r="H66" s="85" t="s">
        <v>54</v>
      </c>
      <c r="I66" s="85" t="s">
        <v>358</v>
      </c>
      <c r="J66" s="675" t="s">
        <v>358</v>
      </c>
      <c r="K66" s="85" t="s">
        <v>358</v>
      </c>
      <c r="L66" s="85" t="s">
        <v>40</v>
      </c>
      <c r="M66" s="85" t="s">
        <v>3</v>
      </c>
      <c r="N66" s="668" t="s">
        <v>44</v>
      </c>
      <c r="O66" s="669"/>
      <c r="P66" s="615">
        <v>-1</v>
      </c>
      <c r="Q66" s="615"/>
      <c r="R66" s="615"/>
      <c r="S66" s="615"/>
      <c r="T66" s="615"/>
      <c r="U66" s="615"/>
      <c r="V66" s="615"/>
      <c r="W66" s="615"/>
      <c r="X66" s="615"/>
      <c r="Y66" s="615"/>
      <c r="Z66" s="635"/>
      <c r="AA66" s="636"/>
      <c r="AB66" s="615"/>
      <c r="AC66" s="615"/>
      <c r="AD66" s="615"/>
      <c r="AE66" s="615"/>
      <c r="AF66" s="615"/>
      <c r="AG66" s="615"/>
      <c r="AH66" s="615"/>
      <c r="AI66" s="615"/>
      <c r="AJ66" s="615"/>
      <c r="AK66" s="615"/>
      <c r="AL66" s="635"/>
      <c r="AM66" s="636"/>
      <c r="AN66" s="615"/>
      <c r="AO66" s="615"/>
      <c r="AP66" s="615"/>
      <c r="AQ66" s="615"/>
      <c r="AR66" s="615"/>
      <c r="AS66" s="615"/>
      <c r="AT66" s="615"/>
      <c r="AU66" s="615"/>
      <c r="AV66" s="615"/>
      <c r="AW66" s="615"/>
      <c r="AX66" s="635"/>
      <c r="AY66" s="636"/>
      <c r="AZ66" s="615"/>
      <c r="BA66" s="615"/>
      <c r="BB66" s="615"/>
      <c r="BC66" s="615"/>
      <c r="BD66" s="615"/>
      <c r="BE66" s="615"/>
      <c r="BF66" s="615"/>
      <c r="BG66" s="615"/>
      <c r="BH66" s="615"/>
      <c r="BI66" s="615"/>
      <c r="BJ66" s="635"/>
      <c r="BK66" s="636"/>
      <c r="BL66" s="615"/>
      <c r="BM66" s="615"/>
      <c r="BN66" s="615"/>
      <c r="BO66" s="615"/>
      <c r="BP66" s="615"/>
      <c r="BQ66" s="615"/>
      <c r="BR66" s="615"/>
      <c r="BS66" s="615"/>
      <c r="BT66" s="615"/>
      <c r="BU66" s="615"/>
      <c r="BV66" s="637"/>
      <c r="BW66" s="669"/>
      <c r="BX66" s="615">
        <v>197</v>
      </c>
      <c r="BY66" s="615"/>
      <c r="BZ66" s="615"/>
      <c r="CA66" s="615"/>
      <c r="CB66" s="615"/>
      <c r="CC66" s="615"/>
      <c r="CD66" s="615"/>
      <c r="CE66" s="615"/>
      <c r="CF66" s="615"/>
      <c r="CG66" s="615"/>
      <c r="CH66" s="635"/>
      <c r="CI66" s="636"/>
      <c r="CJ66" s="615"/>
      <c r="CK66" s="615"/>
      <c r="CL66" s="615"/>
      <c r="CM66" s="615"/>
      <c r="CN66" s="615"/>
      <c r="CO66" s="615"/>
      <c r="CP66" s="615"/>
      <c r="CQ66" s="615"/>
      <c r="CR66" s="615"/>
      <c r="CS66" s="615"/>
      <c r="CT66" s="635"/>
      <c r="CU66" s="636"/>
      <c r="CV66" s="615"/>
      <c r="CW66" s="615"/>
      <c r="CX66" s="615"/>
      <c r="CY66" s="615"/>
      <c r="CZ66" s="615"/>
      <c r="DA66" s="615"/>
      <c r="DB66" s="615"/>
      <c r="DC66" s="615"/>
      <c r="DD66" s="615"/>
      <c r="DE66" s="615"/>
      <c r="DF66" s="635"/>
      <c r="DG66" s="636"/>
      <c r="DH66" s="615"/>
      <c r="DI66" s="615"/>
      <c r="DJ66" s="615"/>
      <c r="DK66" s="615"/>
      <c r="DL66" s="615"/>
      <c r="DM66" s="615"/>
      <c r="DN66" s="615"/>
      <c r="DO66" s="615"/>
      <c r="DP66" s="615"/>
      <c r="DQ66" s="615"/>
      <c r="DR66" s="635"/>
      <c r="DS66" s="636"/>
      <c r="DT66" s="615"/>
      <c r="DU66" s="615"/>
      <c r="DV66" s="615"/>
      <c r="DW66" s="615"/>
      <c r="DX66" s="615"/>
      <c r="DY66" s="615"/>
      <c r="DZ66" s="615"/>
      <c r="EA66" s="615"/>
      <c r="EB66" s="615"/>
      <c r="EC66" s="615"/>
      <c r="ED66" s="637"/>
      <c r="EE66" s="692"/>
    </row>
    <row r="67" spans="1:135" x14ac:dyDescent="0.25">
      <c r="A67" s="640" t="s">
        <v>11</v>
      </c>
      <c r="B67" s="367" t="s">
        <v>792</v>
      </c>
      <c r="C67" s="367" t="s">
        <v>620</v>
      </c>
      <c r="D67" s="367" t="s">
        <v>791</v>
      </c>
      <c r="E67" s="503" t="s">
        <v>608</v>
      </c>
      <c r="F67" s="570">
        <v>44544</v>
      </c>
      <c r="G67" s="85" t="s">
        <v>59</v>
      </c>
      <c r="H67" s="85" t="s">
        <v>54</v>
      </c>
      <c r="I67" s="85" t="s">
        <v>358</v>
      </c>
      <c r="J67" s="675" t="s">
        <v>358</v>
      </c>
      <c r="K67" s="85" t="s">
        <v>358</v>
      </c>
      <c r="L67" s="85" t="s">
        <v>40</v>
      </c>
      <c r="M67" s="85" t="s">
        <v>3</v>
      </c>
      <c r="N67" s="668" t="s">
        <v>44</v>
      </c>
      <c r="O67" s="669"/>
      <c r="P67" s="615"/>
      <c r="Q67" s="615"/>
      <c r="R67" s="615">
        <v>6</v>
      </c>
      <c r="S67" s="615">
        <v>6</v>
      </c>
      <c r="T67" s="615">
        <v>6</v>
      </c>
      <c r="U67" s="615"/>
      <c r="V67" s="615"/>
      <c r="W67" s="615"/>
      <c r="X67" s="615"/>
      <c r="Y67" s="615"/>
      <c r="Z67" s="635"/>
      <c r="AA67" s="636"/>
      <c r="AB67" s="615"/>
      <c r="AC67" s="615"/>
      <c r="AD67" s="615"/>
      <c r="AE67" s="615"/>
      <c r="AF67" s="615"/>
      <c r="AG67" s="615"/>
      <c r="AH67" s="615"/>
      <c r="AI67" s="615"/>
      <c r="AJ67" s="615"/>
      <c r="AK67" s="615"/>
      <c r="AL67" s="635"/>
      <c r="AM67" s="636"/>
      <c r="AN67" s="615"/>
      <c r="AO67" s="615"/>
      <c r="AP67" s="615"/>
      <c r="AQ67" s="615"/>
      <c r="AR67" s="615"/>
      <c r="AS67" s="615"/>
      <c r="AT67" s="615"/>
      <c r="AU67" s="615"/>
      <c r="AV67" s="615"/>
      <c r="AW67" s="615"/>
      <c r="AX67" s="635"/>
      <c r="AY67" s="636"/>
      <c r="AZ67" s="615"/>
      <c r="BA67" s="615"/>
      <c r="BB67" s="615"/>
      <c r="BC67" s="615"/>
      <c r="BD67" s="615"/>
      <c r="BE67" s="615"/>
      <c r="BF67" s="615"/>
      <c r="BG67" s="615"/>
      <c r="BH67" s="615"/>
      <c r="BI67" s="615"/>
      <c r="BJ67" s="635"/>
      <c r="BK67" s="636"/>
      <c r="BL67" s="615"/>
      <c r="BM67" s="615"/>
      <c r="BN67" s="615"/>
      <c r="BO67" s="615"/>
      <c r="BP67" s="615"/>
      <c r="BQ67" s="615"/>
      <c r="BR67" s="615"/>
      <c r="BS67" s="615"/>
      <c r="BT67" s="615"/>
      <c r="BU67" s="615"/>
      <c r="BV67" s="637"/>
      <c r="BW67" s="669"/>
      <c r="BX67" s="615"/>
      <c r="BY67" s="615"/>
      <c r="BZ67" s="615">
        <v>178</v>
      </c>
      <c r="CA67" s="615">
        <v>178</v>
      </c>
      <c r="CB67" s="615">
        <v>178</v>
      </c>
      <c r="CC67" s="615"/>
      <c r="CD67" s="615"/>
      <c r="CE67" s="615"/>
      <c r="CF67" s="615"/>
      <c r="CG67" s="615"/>
      <c r="CH67" s="635"/>
      <c r="CI67" s="636"/>
      <c r="CJ67" s="615"/>
      <c r="CK67" s="615"/>
      <c r="CL67" s="615"/>
      <c r="CM67" s="615"/>
      <c r="CN67" s="615"/>
      <c r="CO67" s="615"/>
      <c r="CP67" s="615"/>
      <c r="CQ67" s="615"/>
      <c r="CR67" s="615"/>
      <c r="CS67" s="615"/>
      <c r="CT67" s="635"/>
      <c r="CU67" s="636"/>
      <c r="CV67" s="615"/>
      <c r="CW67" s="615"/>
      <c r="CX67" s="615"/>
      <c r="CY67" s="615"/>
      <c r="CZ67" s="615"/>
      <c r="DA67" s="615"/>
      <c r="DB67" s="615"/>
      <c r="DC67" s="615"/>
      <c r="DD67" s="615"/>
      <c r="DE67" s="615"/>
      <c r="DF67" s="635"/>
      <c r="DG67" s="636"/>
      <c r="DH67" s="615"/>
      <c r="DI67" s="615"/>
      <c r="DJ67" s="615"/>
      <c r="DK67" s="615"/>
      <c r="DL67" s="615"/>
      <c r="DM67" s="615"/>
      <c r="DN67" s="615"/>
      <c r="DO67" s="615"/>
      <c r="DP67" s="615"/>
      <c r="DQ67" s="615"/>
      <c r="DR67" s="635"/>
      <c r="DS67" s="636"/>
      <c r="DT67" s="615"/>
      <c r="DU67" s="615"/>
      <c r="DV67" s="615"/>
      <c r="DW67" s="615"/>
      <c r="DX67" s="615"/>
      <c r="DY67" s="615"/>
      <c r="DZ67" s="615"/>
      <c r="EA67" s="615"/>
      <c r="EB67" s="615"/>
      <c r="EC67" s="615"/>
      <c r="ED67" s="637"/>
      <c r="EE67" s="692"/>
    </row>
    <row r="68" spans="1:135" x14ac:dyDescent="0.25">
      <c r="A68" s="640" t="s">
        <v>11</v>
      </c>
      <c r="B68" s="367" t="s">
        <v>794</v>
      </c>
      <c r="C68" s="367" t="s">
        <v>475</v>
      </c>
      <c r="D68" s="367" t="s">
        <v>793</v>
      </c>
      <c r="E68" s="503" t="s">
        <v>609</v>
      </c>
      <c r="F68" s="570">
        <v>44544</v>
      </c>
      <c r="G68" s="85" t="s">
        <v>58</v>
      </c>
      <c r="H68" s="85" t="s">
        <v>54</v>
      </c>
      <c r="I68" s="85" t="s">
        <v>358</v>
      </c>
      <c r="J68" s="675" t="s">
        <v>358</v>
      </c>
      <c r="K68" s="85" t="s">
        <v>358</v>
      </c>
      <c r="L68" s="85" t="s">
        <v>40</v>
      </c>
      <c r="M68" s="85" t="s">
        <v>3</v>
      </c>
      <c r="N68" s="668" t="s">
        <v>44</v>
      </c>
      <c r="O68" s="669"/>
      <c r="P68" s="615"/>
      <c r="Q68" s="615"/>
      <c r="R68" s="615"/>
      <c r="S68" s="615"/>
      <c r="T68" s="615"/>
      <c r="U68" s="615"/>
      <c r="V68" s="615"/>
      <c r="W68" s="615"/>
      <c r="X68" s="615"/>
      <c r="Y68" s="615"/>
      <c r="Z68" s="635">
        <v>-10</v>
      </c>
      <c r="AA68" s="636"/>
      <c r="AB68" s="615"/>
      <c r="AC68" s="615"/>
      <c r="AD68" s="615"/>
      <c r="AE68" s="615"/>
      <c r="AF68" s="615"/>
      <c r="AG68" s="615"/>
      <c r="AH68" s="615"/>
      <c r="AI68" s="615"/>
      <c r="AJ68" s="615"/>
      <c r="AK68" s="615"/>
      <c r="AL68" s="635"/>
      <c r="AM68" s="636"/>
      <c r="AN68" s="615"/>
      <c r="AO68" s="615"/>
      <c r="AP68" s="615"/>
      <c r="AQ68" s="615"/>
      <c r="AR68" s="615"/>
      <c r="AS68" s="615"/>
      <c r="AT68" s="615"/>
      <c r="AU68" s="615"/>
      <c r="AV68" s="615"/>
      <c r="AW68" s="615"/>
      <c r="AX68" s="635"/>
      <c r="AY68" s="636"/>
      <c r="AZ68" s="615"/>
      <c r="BA68" s="615"/>
      <c r="BB68" s="615"/>
      <c r="BC68" s="615"/>
      <c r="BD68" s="615"/>
      <c r="BE68" s="615"/>
      <c r="BF68" s="615"/>
      <c r="BG68" s="615"/>
      <c r="BH68" s="615"/>
      <c r="BI68" s="615"/>
      <c r="BJ68" s="635"/>
      <c r="BK68" s="636"/>
      <c r="BL68" s="615"/>
      <c r="BM68" s="615"/>
      <c r="BN68" s="615"/>
      <c r="BO68" s="615"/>
      <c r="BP68" s="615"/>
      <c r="BQ68" s="615"/>
      <c r="BR68" s="615"/>
      <c r="BS68" s="615"/>
      <c r="BT68" s="615"/>
      <c r="BU68" s="615"/>
      <c r="BV68" s="637"/>
      <c r="BW68" s="669"/>
      <c r="BX68" s="615"/>
      <c r="BY68" s="615"/>
      <c r="BZ68" s="615"/>
      <c r="CA68" s="615"/>
      <c r="CB68" s="615"/>
      <c r="CC68" s="615"/>
      <c r="CD68" s="615"/>
      <c r="CE68" s="615"/>
      <c r="CF68" s="615"/>
      <c r="CG68" s="615"/>
      <c r="CH68" s="635">
        <v>237</v>
      </c>
      <c r="CI68" s="636"/>
      <c r="CJ68" s="615"/>
      <c r="CK68" s="615"/>
      <c r="CL68" s="615"/>
      <c r="CM68" s="615"/>
      <c r="CN68" s="615"/>
      <c r="CO68" s="615"/>
      <c r="CP68" s="615"/>
      <c r="CQ68" s="615"/>
      <c r="CR68" s="615"/>
      <c r="CS68" s="615"/>
      <c r="CT68" s="635"/>
      <c r="CU68" s="636"/>
      <c r="CV68" s="615"/>
      <c r="CW68" s="615"/>
      <c r="CX68" s="615"/>
      <c r="CY68" s="615"/>
      <c r="CZ68" s="615"/>
      <c r="DA68" s="615"/>
      <c r="DB68" s="615"/>
      <c r="DC68" s="615"/>
      <c r="DD68" s="615"/>
      <c r="DE68" s="615"/>
      <c r="DF68" s="635"/>
      <c r="DG68" s="636"/>
      <c r="DH68" s="615"/>
      <c r="DI68" s="615"/>
      <c r="DJ68" s="615"/>
      <c r="DK68" s="615"/>
      <c r="DL68" s="615"/>
      <c r="DM68" s="615"/>
      <c r="DN68" s="615"/>
      <c r="DO68" s="615"/>
      <c r="DP68" s="615"/>
      <c r="DQ68" s="615"/>
      <c r="DR68" s="635"/>
      <c r="DS68" s="636"/>
      <c r="DT68" s="615"/>
      <c r="DU68" s="615"/>
      <c r="DV68" s="615"/>
      <c r="DW68" s="615"/>
      <c r="DX68" s="615"/>
      <c r="DY68" s="615"/>
      <c r="DZ68" s="615"/>
      <c r="EA68" s="615"/>
      <c r="EB68" s="615"/>
      <c r="EC68" s="615"/>
      <c r="ED68" s="637"/>
      <c r="EE68" s="692"/>
    </row>
    <row r="69" spans="1:135" x14ac:dyDescent="0.25">
      <c r="A69" s="640" t="s">
        <v>11</v>
      </c>
      <c r="B69" s="367" t="s">
        <v>796</v>
      </c>
      <c r="C69" s="367" t="s">
        <v>475</v>
      </c>
      <c r="D69" s="367" t="s">
        <v>795</v>
      </c>
      <c r="E69" s="503" t="s">
        <v>610</v>
      </c>
      <c r="F69" s="570">
        <v>44544</v>
      </c>
      <c r="G69" s="85" t="s">
        <v>59</v>
      </c>
      <c r="H69" s="85" t="s">
        <v>54</v>
      </c>
      <c r="I69" s="85" t="s">
        <v>358</v>
      </c>
      <c r="J69" s="675" t="s">
        <v>358</v>
      </c>
      <c r="K69" s="85" t="s">
        <v>358</v>
      </c>
      <c r="L69" s="85" t="s">
        <v>40</v>
      </c>
      <c r="M69" s="85" t="s">
        <v>3</v>
      </c>
      <c r="N69" s="668" t="s">
        <v>44</v>
      </c>
      <c r="O69" s="669"/>
      <c r="P69" s="615"/>
      <c r="Q69" s="615"/>
      <c r="R69" s="615"/>
      <c r="S69" s="615"/>
      <c r="T69" s="615"/>
      <c r="U69" s="615"/>
      <c r="V69" s="615"/>
      <c r="W69" s="615"/>
      <c r="X69" s="615"/>
      <c r="Y69" s="615">
        <v>5</v>
      </c>
      <c r="Z69" s="635"/>
      <c r="AA69" s="636"/>
      <c r="AB69" s="615"/>
      <c r="AC69" s="615"/>
      <c r="AD69" s="615"/>
      <c r="AE69" s="615"/>
      <c r="AF69" s="615"/>
      <c r="AG69" s="615"/>
      <c r="AH69" s="615"/>
      <c r="AI69" s="615"/>
      <c r="AJ69" s="615"/>
      <c r="AK69" s="615"/>
      <c r="AL69" s="635"/>
      <c r="AM69" s="636"/>
      <c r="AN69" s="615"/>
      <c r="AO69" s="615"/>
      <c r="AP69" s="615"/>
      <c r="AQ69" s="615"/>
      <c r="AR69" s="615"/>
      <c r="AS69" s="615"/>
      <c r="AT69" s="615"/>
      <c r="AU69" s="615"/>
      <c r="AV69" s="615"/>
      <c r="AW69" s="615"/>
      <c r="AX69" s="635"/>
      <c r="AY69" s="636"/>
      <c r="AZ69" s="615"/>
      <c r="BA69" s="615"/>
      <c r="BB69" s="615"/>
      <c r="BC69" s="615"/>
      <c r="BD69" s="615"/>
      <c r="BE69" s="615"/>
      <c r="BF69" s="615"/>
      <c r="BG69" s="615"/>
      <c r="BH69" s="615"/>
      <c r="BI69" s="615"/>
      <c r="BJ69" s="635"/>
      <c r="BK69" s="636"/>
      <c r="BL69" s="615"/>
      <c r="BM69" s="615"/>
      <c r="BN69" s="615"/>
      <c r="BO69" s="615"/>
      <c r="BP69" s="615"/>
      <c r="BQ69" s="615"/>
      <c r="BR69" s="615"/>
      <c r="BS69" s="615"/>
      <c r="BT69" s="615"/>
      <c r="BU69" s="615"/>
      <c r="BV69" s="637"/>
      <c r="BW69" s="669"/>
      <c r="BX69" s="615"/>
      <c r="BY69" s="615"/>
      <c r="BZ69" s="615"/>
      <c r="CA69" s="615"/>
      <c r="CB69" s="615"/>
      <c r="CC69" s="615"/>
      <c r="CD69" s="615"/>
      <c r="CE69" s="615"/>
      <c r="CF69" s="615"/>
      <c r="CG69" s="615">
        <v>262</v>
      </c>
      <c r="CH69" s="635"/>
      <c r="CI69" s="636"/>
      <c r="CJ69" s="615"/>
      <c r="CK69" s="615"/>
      <c r="CL69" s="615"/>
      <c r="CM69" s="615"/>
      <c r="CN69" s="615"/>
      <c r="CO69" s="615"/>
      <c r="CP69" s="615"/>
      <c r="CQ69" s="615"/>
      <c r="CR69" s="615"/>
      <c r="CS69" s="615"/>
      <c r="CT69" s="635"/>
      <c r="CU69" s="636"/>
      <c r="CV69" s="615"/>
      <c r="CW69" s="615"/>
      <c r="CX69" s="615"/>
      <c r="CY69" s="615"/>
      <c r="CZ69" s="615"/>
      <c r="DA69" s="615"/>
      <c r="DB69" s="615"/>
      <c r="DC69" s="615"/>
      <c r="DD69" s="615"/>
      <c r="DE69" s="615"/>
      <c r="DF69" s="635"/>
      <c r="DG69" s="636"/>
      <c r="DH69" s="615"/>
      <c r="DI69" s="615"/>
      <c r="DJ69" s="615"/>
      <c r="DK69" s="615"/>
      <c r="DL69" s="615"/>
      <c r="DM69" s="615"/>
      <c r="DN69" s="615"/>
      <c r="DO69" s="615"/>
      <c r="DP69" s="615"/>
      <c r="DQ69" s="615"/>
      <c r="DR69" s="635"/>
      <c r="DS69" s="636"/>
      <c r="DT69" s="615"/>
      <c r="DU69" s="615"/>
      <c r="DV69" s="615"/>
      <c r="DW69" s="615"/>
      <c r="DX69" s="615"/>
      <c r="DY69" s="615"/>
      <c r="DZ69" s="615"/>
      <c r="EA69" s="615"/>
      <c r="EB69" s="615"/>
      <c r="EC69" s="615"/>
      <c r="ED69" s="637"/>
      <c r="EE69" s="692"/>
    </row>
    <row r="70" spans="1:135" x14ac:dyDescent="0.25">
      <c r="A70" s="640" t="s">
        <v>11</v>
      </c>
      <c r="B70" s="367" t="s">
        <v>798</v>
      </c>
      <c r="C70" s="367" t="s">
        <v>475</v>
      </c>
      <c r="D70" s="367" t="s">
        <v>797</v>
      </c>
      <c r="E70" s="503" t="s">
        <v>611</v>
      </c>
      <c r="F70" s="570">
        <v>44544</v>
      </c>
      <c r="G70" s="85" t="s">
        <v>59</v>
      </c>
      <c r="H70" s="85" t="s">
        <v>54</v>
      </c>
      <c r="I70" s="85" t="s">
        <v>358</v>
      </c>
      <c r="J70" s="675" t="s">
        <v>358</v>
      </c>
      <c r="K70" s="85" t="s">
        <v>358</v>
      </c>
      <c r="L70" s="85" t="s">
        <v>40</v>
      </c>
      <c r="M70" s="85" t="s">
        <v>3</v>
      </c>
      <c r="N70" s="668" t="s">
        <v>44</v>
      </c>
      <c r="O70" s="669"/>
      <c r="P70" s="615"/>
      <c r="Q70" s="615"/>
      <c r="R70" s="615"/>
      <c r="S70" s="615"/>
      <c r="T70" s="615"/>
      <c r="U70" s="615"/>
      <c r="V70" s="615"/>
      <c r="W70" s="615"/>
      <c r="X70" s="615">
        <v>5.1612900000000002</v>
      </c>
      <c r="Y70" s="615"/>
      <c r="Z70" s="635"/>
      <c r="AA70" s="636"/>
      <c r="AB70" s="615"/>
      <c r="AC70" s="615"/>
      <c r="AD70" s="615"/>
      <c r="AE70" s="615"/>
      <c r="AF70" s="615"/>
      <c r="AG70" s="615"/>
      <c r="AH70" s="615"/>
      <c r="AI70" s="615"/>
      <c r="AJ70" s="615"/>
      <c r="AK70" s="615"/>
      <c r="AL70" s="635"/>
      <c r="AM70" s="636"/>
      <c r="AN70" s="615"/>
      <c r="AO70" s="615"/>
      <c r="AP70" s="615"/>
      <c r="AQ70" s="615"/>
      <c r="AR70" s="615"/>
      <c r="AS70" s="615"/>
      <c r="AT70" s="615"/>
      <c r="AU70" s="615"/>
      <c r="AV70" s="615"/>
      <c r="AW70" s="615"/>
      <c r="AX70" s="635"/>
      <c r="AY70" s="636"/>
      <c r="AZ70" s="615"/>
      <c r="BA70" s="615"/>
      <c r="BB70" s="615"/>
      <c r="BC70" s="615"/>
      <c r="BD70" s="615"/>
      <c r="BE70" s="615"/>
      <c r="BF70" s="615"/>
      <c r="BG70" s="615"/>
      <c r="BH70" s="615"/>
      <c r="BI70" s="615"/>
      <c r="BJ70" s="635"/>
      <c r="BK70" s="636"/>
      <c r="BL70" s="615"/>
      <c r="BM70" s="615"/>
      <c r="BN70" s="615"/>
      <c r="BO70" s="615"/>
      <c r="BP70" s="615"/>
      <c r="BQ70" s="615"/>
      <c r="BR70" s="615"/>
      <c r="BS70" s="615"/>
      <c r="BT70" s="615"/>
      <c r="BU70" s="615"/>
      <c r="BV70" s="637"/>
      <c r="BW70" s="669"/>
      <c r="BX70" s="615"/>
      <c r="BY70" s="615"/>
      <c r="BZ70" s="615"/>
      <c r="CA70" s="615"/>
      <c r="CB70" s="615"/>
      <c r="CC70" s="615"/>
      <c r="CD70" s="615"/>
      <c r="CE70" s="615"/>
      <c r="CF70" s="615">
        <v>262</v>
      </c>
      <c r="CG70" s="615"/>
      <c r="CH70" s="635"/>
      <c r="CI70" s="636"/>
      <c r="CJ70" s="615"/>
      <c r="CK70" s="615"/>
      <c r="CL70" s="615"/>
      <c r="CM70" s="615"/>
      <c r="CN70" s="615"/>
      <c r="CO70" s="615"/>
      <c r="CP70" s="615"/>
      <c r="CQ70" s="615"/>
      <c r="CR70" s="615"/>
      <c r="CS70" s="615"/>
      <c r="CT70" s="635"/>
      <c r="CU70" s="636"/>
      <c r="CV70" s="615"/>
      <c r="CW70" s="615"/>
      <c r="CX70" s="615"/>
      <c r="CY70" s="615"/>
      <c r="CZ70" s="615"/>
      <c r="DA70" s="615"/>
      <c r="DB70" s="615"/>
      <c r="DC70" s="615"/>
      <c r="DD70" s="615"/>
      <c r="DE70" s="615"/>
      <c r="DF70" s="635"/>
      <c r="DG70" s="636"/>
      <c r="DH70" s="615"/>
      <c r="DI70" s="615"/>
      <c r="DJ70" s="615"/>
      <c r="DK70" s="615"/>
      <c r="DL70" s="615"/>
      <c r="DM70" s="615"/>
      <c r="DN70" s="615"/>
      <c r="DO70" s="615"/>
      <c r="DP70" s="615"/>
      <c r="DQ70" s="615"/>
      <c r="DR70" s="635"/>
      <c r="DS70" s="636"/>
      <c r="DT70" s="615"/>
      <c r="DU70" s="615"/>
      <c r="DV70" s="615"/>
      <c r="DW70" s="615"/>
      <c r="DX70" s="615"/>
      <c r="DY70" s="615"/>
      <c r="DZ70" s="615"/>
      <c r="EA70" s="615"/>
      <c r="EB70" s="615"/>
      <c r="EC70" s="615"/>
      <c r="ED70" s="637"/>
      <c r="EE70" s="692"/>
    </row>
    <row r="71" spans="1:135" x14ac:dyDescent="0.25">
      <c r="A71" s="640" t="s">
        <v>11</v>
      </c>
      <c r="B71" s="367" t="s">
        <v>800</v>
      </c>
      <c r="C71" s="367" t="s">
        <v>1689</v>
      </c>
      <c r="D71" s="367" t="s">
        <v>799</v>
      </c>
      <c r="E71" s="503" t="s">
        <v>612</v>
      </c>
      <c r="F71" s="570">
        <v>44544</v>
      </c>
      <c r="G71" s="85" t="s">
        <v>59</v>
      </c>
      <c r="H71" s="85" t="s">
        <v>54</v>
      </c>
      <c r="I71" s="85" t="s">
        <v>358</v>
      </c>
      <c r="J71" s="675" t="s">
        <v>358</v>
      </c>
      <c r="K71" s="85" t="s">
        <v>358</v>
      </c>
      <c r="L71" s="85" t="s">
        <v>40</v>
      </c>
      <c r="M71" s="85" t="s">
        <v>3</v>
      </c>
      <c r="N71" s="668" t="s">
        <v>44</v>
      </c>
      <c r="O71" s="669">
        <v>5</v>
      </c>
      <c r="P71" s="615">
        <v>5</v>
      </c>
      <c r="Q71" s="615">
        <v>5</v>
      </c>
      <c r="R71" s="615">
        <v>5</v>
      </c>
      <c r="S71" s="615">
        <v>5</v>
      </c>
      <c r="T71" s="615">
        <v>5</v>
      </c>
      <c r="U71" s="615">
        <v>5</v>
      </c>
      <c r="V71" s="615">
        <v>5</v>
      </c>
      <c r="W71" s="615">
        <v>5</v>
      </c>
      <c r="X71" s="615">
        <v>5</v>
      </c>
      <c r="Y71" s="615">
        <v>5</v>
      </c>
      <c r="Z71" s="635">
        <v>5</v>
      </c>
      <c r="AA71" s="636"/>
      <c r="AB71" s="615"/>
      <c r="AC71" s="615"/>
      <c r="AD71" s="615"/>
      <c r="AE71" s="615"/>
      <c r="AF71" s="615"/>
      <c r="AG71" s="615"/>
      <c r="AH71" s="615"/>
      <c r="AI71" s="615"/>
      <c r="AJ71" s="615"/>
      <c r="AK71" s="615"/>
      <c r="AL71" s="635"/>
      <c r="AM71" s="636"/>
      <c r="AN71" s="615"/>
      <c r="AO71" s="615"/>
      <c r="AP71" s="615"/>
      <c r="AQ71" s="615"/>
      <c r="AR71" s="615"/>
      <c r="AS71" s="615"/>
      <c r="AT71" s="615"/>
      <c r="AU71" s="615"/>
      <c r="AV71" s="615"/>
      <c r="AW71" s="615"/>
      <c r="AX71" s="635"/>
      <c r="AY71" s="636"/>
      <c r="AZ71" s="615"/>
      <c r="BA71" s="615"/>
      <c r="BB71" s="615"/>
      <c r="BC71" s="615"/>
      <c r="BD71" s="615"/>
      <c r="BE71" s="615"/>
      <c r="BF71" s="615"/>
      <c r="BG71" s="615"/>
      <c r="BH71" s="615"/>
      <c r="BI71" s="615"/>
      <c r="BJ71" s="635"/>
      <c r="BK71" s="636"/>
      <c r="BL71" s="615"/>
      <c r="BM71" s="615"/>
      <c r="BN71" s="615"/>
      <c r="BO71" s="615"/>
      <c r="BP71" s="615"/>
      <c r="BQ71" s="615"/>
      <c r="BR71" s="615"/>
      <c r="BS71" s="615"/>
      <c r="BT71" s="615"/>
      <c r="BU71" s="615"/>
      <c r="BV71" s="637"/>
      <c r="BW71" s="669">
        <v>225</v>
      </c>
      <c r="BX71" s="615">
        <v>225</v>
      </c>
      <c r="BY71" s="615">
        <v>225</v>
      </c>
      <c r="BZ71" s="615">
        <v>225</v>
      </c>
      <c r="CA71" s="615">
        <v>225</v>
      </c>
      <c r="CB71" s="615">
        <v>225</v>
      </c>
      <c r="CC71" s="615">
        <v>225</v>
      </c>
      <c r="CD71" s="615">
        <v>225</v>
      </c>
      <c r="CE71" s="615">
        <v>225</v>
      </c>
      <c r="CF71" s="615">
        <v>225</v>
      </c>
      <c r="CG71" s="615">
        <v>225</v>
      </c>
      <c r="CH71" s="635">
        <v>225</v>
      </c>
      <c r="CI71" s="636"/>
      <c r="CJ71" s="615"/>
      <c r="CK71" s="615"/>
      <c r="CL71" s="615"/>
      <c r="CM71" s="615"/>
      <c r="CN71" s="615"/>
      <c r="CO71" s="615"/>
      <c r="CP71" s="615"/>
      <c r="CQ71" s="615"/>
      <c r="CR71" s="615"/>
      <c r="CS71" s="615"/>
      <c r="CT71" s="635"/>
      <c r="CU71" s="636"/>
      <c r="CV71" s="615"/>
      <c r="CW71" s="615"/>
      <c r="CX71" s="615"/>
      <c r="CY71" s="615"/>
      <c r="CZ71" s="615"/>
      <c r="DA71" s="615"/>
      <c r="DB71" s="615"/>
      <c r="DC71" s="615"/>
      <c r="DD71" s="615"/>
      <c r="DE71" s="615"/>
      <c r="DF71" s="635"/>
      <c r="DG71" s="636"/>
      <c r="DH71" s="615"/>
      <c r="DI71" s="615"/>
      <c r="DJ71" s="615"/>
      <c r="DK71" s="615"/>
      <c r="DL71" s="615"/>
      <c r="DM71" s="615"/>
      <c r="DN71" s="615"/>
      <c r="DO71" s="615"/>
      <c r="DP71" s="615"/>
      <c r="DQ71" s="615"/>
      <c r="DR71" s="635"/>
      <c r="DS71" s="636"/>
      <c r="DT71" s="615"/>
      <c r="DU71" s="615"/>
      <c r="DV71" s="615"/>
      <c r="DW71" s="615"/>
      <c r="DX71" s="615"/>
      <c r="DY71" s="615"/>
      <c r="DZ71" s="615"/>
      <c r="EA71" s="615"/>
      <c r="EB71" s="615"/>
      <c r="EC71" s="615"/>
      <c r="ED71" s="637"/>
      <c r="EE71" s="692"/>
    </row>
    <row r="72" spans="1:135" x14ac:dyDescent="0.25">
      <c r="A72" s="640" t="s">
        <v>11</v>
      </c>
      <c r="B72" s="367" t="s">
        <v>802</v>
      </c>
      <c r="C72" s="367" t="s">
        <v>621</v>
      </c>
      <c r="D72" s="367" t="s">
        <v>801</v>
      </c>
      <c r="E72" s="503" t="s">
        <v>613</v>
      </c>
      <c r="F72" s="570">
        <v>44544</v>
      </c>
      <c r="G72" s="85" t="s">
        <v>59</v>
      </c>
      <c r="H72" s="85" t="s">
        <v>54</v>
      </c>
      <c r="I72" s="85" t="s">
        <v>358</v>
      </c>
      <c r="J72" s="675" t="s">
        <v>358</v>
      </c>
      <c r="K72" s="85" t="s">
        <v>358</v>
      </c>
      <c r="L72" s="85" t="s">
        <v>40</v>
      </c>
      <c r="M72" s="85" t="s">
        <v>3</v>
      </c>
      <c r="N72" s="668" t="s">
        <v>44</v>
      </c>
      <c r="O72" s="669"/>
      <c r="P72" s="615"/>
      <c r="Q72" s="615"/>
      <c r="R72" s="615"/>
      <c r="S72" s="615"/>
      <c r="T72" s="615"/>
      <c r="U72" s="615">
        <v>1</v>
      </c>
      <c r="V72" s="615">
        <v>1</v>
      </c>
      <c r="W72" s="615">
        <v>1</v>
      </c>
      <c r="X72" s="615">
        <v>1</v>
      </c>
      <c r="Y72" s="615">
        <v>1</v>
      </c>
      <c r="Z72" s="635">
        <v>1</v>
      </c>
      <c r="AA72" s="636"/>
      <c r="AB72" s="615"/>
      <c r="AC72" s="615"/>
      <c r="AD72" s="615"/>
      <c r="AE72" s="615"/>
      <c r="AF72" s="615"/>
      <c r="AG72" s="615"/>
      <c r="AH72" s="615"/>
      <c r="AI72" s="615"/>
      <c r="AJ72" s="615"/>
      <c r="AK72" s="615"/>
      <c r="AL72" s="635"/>
      <c r="AM72" s="636"/>
      <c r="AN72" s="615"/>
      <c r="AO72" s="615"/>
      <c r="AP72" s="615"/>
      <c r="AQ72" s="615"/>
      <c r="AR72" s="615"/>
      <c r="AS72" s="615"/>
      <c r="AT72" s="615"/>
      <c r="AU72" s="615"/>
      <c r="AV72" s="615"/>
      <c r="AW72" s="615"/>
      <c r="AX72" s="635"/>
      <c r="AY72" s="636"/>
      <c r="AZ72" s="615"/>
      <c r="BA72" s="615"/>
      <c r="BB72" s="615"/>
      <c r="BC72" s="615"/>
      <c r="BD72" s="615"/>
      <c r="BE72" s="615"/>
      <c r="BF72" s="615"/>
      <c r="BG72" s="615"/>
      <c r="BH72" s="615"/>
      <c r="BI72" s="615"/>
      <c r="BJ72" s="635"/>
      <c r="BK72" s="636"/>
      <c r="BL72" s="615"/>
      <c r="BM72" s="615"/>
      <c r="BN72" s="615"/>
      <c r="BO72" s="615"/>
      <c r="BP72" s="615"/>
      <c r="BQ72" s="615"/>
      <c r="BR72" s="615"/>
      <c r="BS72" s="615"/>
      <c r="BT72" s="615"/>
      <c r="BU72" s="615"/>
      <c r="BV72" s="637"/>
      <c r="BW72" s="669"/>
      <c r="BX72" s="615"/>
      <c r="BY72" s="615"/>
      <c r="BZ72" s="615"/>
      <c r="CA72" s="615"/>
      <c r="CB72" s="615"/>
      <c r="CC72" s="615">
        <v>266</v>
      </c>
      <c r="CD72" s="615">
        <v>266</v>
      </c>
      <c r="CE72" s="615">
        <v>266</v>
      </c>
      <c r="CF72" s="615">
        <v>266</v>
      </c>
      <c r="CG72" s="615">
        <v>266</v>
      </c>
      <c r="CH72" s="635">
        <v>266</v>
      </c>
      <c r="CI72" s="636"/>
      <c r="CJ72" s="615"/>
      <c r="CK72" s="615"/>
      <c r="CL72" s="615"/>
      <c r="CM72" s="615"/>
      <c r="CN72" s="615"/>
      <c r="CO72" s="615"/>
      <c r="CP72" s="615"/>
      <c r="CQ72" s="615"/>
      <c r="CR72" s="615"/>
      <c r="CS72" s="615"/>
      <c r="CT72" s="635"/>
      <c r="CU72" s="636"/>
      <c r="CV72" s="615"/>
      <c r="CW72" s="615"/>
      <c r="CX72" s="615"/>
      <c r="CY72" s="615"/>
      <c r="CZ72" s="615"/>
      <c r="DA72" s="615"/>
      <c r="DB72" s="615"/>
      <c r="DC72" s="615"/>
      <c r="DD72" s="615"/>
      <c r="DE72" s="615"/>
      <c r="DF72" s="635"/>
      <c r="DG72" s="636"/>
      <c r="DH72" s="615"/>
      <c r="DI72" s="615"/>
      <c r="DJ72" s="615"/>
      <c r="DK72" s="615"/>
      <c r="DL72" s="615"/>
      <c r="DM72" s="615"/>
      <c r="DN72" s="615"/>
      <c r="DO72" s="615"/>
      <c r="DP72" s="615"/>
      <c r="DQ72" s="615"/>
      <c r="DR72" s="635"/>
      <c r="DS72" s="636"/>
      <c r="DT72" s="615"/>
      <c r="DU72" s="615"/>
      <c r="DV72" s="615"/>
      <c r="DW72" s="615"/>
      <c r="DX72" s="615"/>
      <c r="DY72" s="615"/>
      <c r="DZ72" s="615"/>
      <c r="EA72" s="615"/>
      <c r="EB72" s="615"/>
      <c r="EC72" s="615"/>
      <c r="ED72" s="637"/>
      <c r="EE72" s="692"/>
    </row>
    <row r="73" spans="1:135" x14ac:dyDescent="0.25">
      <c r="A73" s="640" t="s">
        <v>11</v>
      </c>
      <c r="B73" s="367" t="s">
        <v>804</v>
      </c>
      <c r="C73" s="367" t="s">
        <v>621</v>
      </c>
      <c r="D73" s="367" t="s">
        <v>803</v>
      </c>
      <c r="E73" s="503" t="s">
        <v>614</v>
      </c>
      <c r="F73" s="570">
        <v>44544</v>
      </c>
      <c r="G73" s="85" t="s">
        <v>58</v>
      </c>
      <c r="H73" s="85" t="s">
        <v>54</v>
      </c>
      <c r="I73" s="85" t="s">
        <v>358</v>
      </c>
      <c r="J73" s="675" t="s">
        <v>358</v>
      </c>
      <c r="K73" s="85" t="s">
        <v>358</v>
      </c>
      <c r="L73" s="85" t="s">
        <v>40</v>
      </c>
      <c r="M73" s="85" t="s">
        <v>3</v>
      </c>
      <c r="N73" s="668" t="s">
        <v>44</v>
      </c>
      <c r="O73" s="669"/>
      <c r="P73" s="615"/>
      <c r="Q73" s="615">
        <v>-4</v>
      </c>
      <c r="R73" s="615"/>
      <c r="S73" s="615"/>
      <c r="T73" s="615"/>
      <c r="U73" s="615"/>
      <c r="V73" s="615"/>
      <c r="W73" s="615"/>
      <c r="X73" s="615"/>
      <c r="Y73" s="615"/>
      <c r="Z73" s="635"/>
      <c r="AA73" s="636"/>
      <c r="AB73" s="615"/>
      <c r="AC73" s="615"/>
      <c r="AD73" s="615"/>
      <c r="AE73" s="615"/>
      <c r="AF73" s="615"/>
      <c r="AG73" s="615"/>
      <c r="AH73" s="615"/>
      <c r="AI73" s="615"/>
      <c r="AJ73" s="615"/>
      <c r="AK73" s="615"/>
      <c r="AL73" s="635"/>
      <c r="AM73" s="636"/>
      <c r="AN73" s="615"/>
      <c r="AO73" s="615"/>
      <c r="AP73" s="615"/>
      <c r="AQ73" s="615"/>
      <c r="AR73" s="615"/>
      <c r="AS73" s="615"/>
      <c r="AT73" s="615"/>
      <c r="AU73" s="615"/>
      <c r="AV73" s="615"/>
      <c r="AW73" s="615"/>
      <c r="AX73" s="635"/>
      <c r="AY73" s="636"/>
      <c r="AZ73" s="615"/>
      <c r="BA73" s="615"/>
      <c r="BB73" s="615"/>
      <c r="BC73" s="615"/>
      <c r="BD73" s="615"/>
      <c r="BE73" s="615"/>
      <c r="BF73" s="615"/>
      <c r="BG73" s="615"/>
      <c r="BH73" s="615"/>
      <c r="BI73" s="615"/>
      <c r="BJ73" s="635"/>
      <c r="BK73" s="636"/>
      <c r="BL73" s="615"/>
      <c r="BM73" s="615"/>
      <c r="BN73" s="615"/>
      <c r="BO73" s="615"/>
      <c r="BP73" s="615"/>
      <c r="BQ73" s="615"/>
      <c r="BR73" s="615"/>
      <c r="BS73" s="615"/>
      <c r="BT73" s="615"/>
      <c r="BU73" s="615"/>
      <c r="BV73" s="637"/>
      <c r="BW73" s="669"/>
      <c r="BX73" s="615"/>
      <c r="BY73" s="615">
        <v>190</v>
      </c>
      <c r="BZ73" s="615"/>
      <c r="CA73" s="615"/>
      <c r="CB73" s="615"/>
      <c r="CC73" s="615"/>
      <c r="CD73" s="615"/>
      <c r="CE73" s="615"/>
      <c r="CF73" s="615"/>
      <c r="CG73" s="615"/>
      <c r="CH73" s="635"/>
      <c r="CI73" s="636"/>
      <c r="CJ73" s="615"/>
      <c r="CK73" s="615"/>
      <c r="CL73" s="615"/>
      <c r="CM73" s="615"/>
      <c r="CN73" s="615"/>
      <c r="CO73" s="615"/>
      <c r="CP73" s="615"/>
      <c r="CQ73" s="615"/>
      <c r="CR73" s="615"/>
      <c r="CS73" s="615"/>
      <c r="CT73" s="635"/>
      <c r="CU73" s="636"/>
      <c r="CV73" s="615"/>
      <c r="CW73" s="615"/>
      <c r="CX73" s="615"/>
      <c r="CY73" s="615"/>
      <c r="CZ73" s="615"/>
      <c r="DA73" s="615"/>
      <c r="DB73" s="615"/>
      <c r="DC73" s="615"/>
      <c r="DD73" s="615"/>
      <c r="DE73" s="615"/>
      <c r="DF73" s="635"/>
      <c r="DG73" s="636"/>
      <c r="DH73" s="615"/>
      <c r="DI73" s="615"/>
      <c r="DJ73" s="615"/>
      <c r="DK73" s="615"/>
      <c r="DL73" s="615"/>
      <c r="DM73" s="615"/>
      <c r="DN73" s="615"/>
      <c r="DO73" s="615"/>
      <c r="DP73" s="615"/>
      <c r="DQ73" s="615"/>
      <c r="DR73" s="635"/>
      <c r="DS73" s="636"/>
      <c r="DT73" s="615"/>
      <c r="DU73" s="615"/>
      <c r="DV73" s="615"/>
      <c r="DW73" s="615"/>
      <c r="DX73" s="615"/>
      <c r="DY73" s="615"/>
      <c r="DZ73" s="615"/>
      <c r="EA73" s="615"/>
      <c r="EB73" s="615"/>
      <c r="EC73" s="615"/>
      <c r="ED73" s="637"/>
      <c r="EE73" s="692"/>
    </row>
    <row r="74" spans="1:135" x14ac:dyDescent="0.25">
      <c r="A74" s="640" t="s">
        <v>11</v>
      </c>
      <c r="B74" s="367" t="s">
        <v>806</v>
      </c>
      <c r="C74" s="367" t="s">
        <v>348</v>
      </c>
      <c r="D74" s="367" t="s">
        <v>805</v>
      </c>
      <c r="E74" s="503" t="s">
        <v>615</v>
      </c>
      <c r="F74" s="570">
        <v>44544</v>
      </c>
      <c r="G74" s="85" t="s">
        <v>58</v>
      </c>
      <c r="H74" s="85" t="s">
        <v>54</v>
      </c>
      <c r="I74" s="85" t="s">
        <v>358</v>
      </c>
      <c r="J74" s="675" t="s">
        <v>358</v>
      </c>
      <c r="K74" s="85" t="s">
        <v>358</v>
      </c>
      <c r="L74" s="85" t="s">
        <v>40</v>
      </c>
      <c r="M74" s="85" t="s">
        <v>3</v>
      </c>
      <c r="N74" s="668" t="s">
        <v>44</v>
      </c>
      <c r="O74" s="669"/>
      <c r="P74" s="615">
        <v>-1</v>
      </c>
      <c r="Q74" s="615"/>
      <c r="R74" s="615"/>
      <c r="S74" s="615"/>
      <c r="T74" s="615"/>
      <c r="U74" s="615"/>
      <c r="V74" s="615"/>
      <c r="W74" s="615"/>
      <c r="X74" s="615"/>
      <c r="Y74" s="615"/>
      <c r="Z74" s="635"/>
      <c r="AA74" s="636"/>
      <c r="AB74" s="615"/>
      <c r="AC74" s="615"/>
      <c r="AD74" s="615"/>
      <c r="AE74" s="615"/>
      <c r="AF74" s="615"/>
      <c r="AG74" s="615"/>
      <c r="AH74" s="615"/>
      <c r="AI74" s="615"/>
      <c r="AJ74" s="615"/>
      <c r="AK74" s="615"/>
      <c r="AL74" s="635"/>
      <c r="AM74" s="636"/>
      <c r="AN74" s="615"/>
      <c r="AO74" s="615"/>
      <c r="AP74" s="615"/>
      <c r="AQ74" s="615"/>
      <c r="AR74" s="615"/>
      <c r="AS74" s="615"/>
      <c r="AT74" s="615"/>
      <c r="AU74" s="615"/>
      <c r="AV74" s="615"/>
      <c r="AW74" s="615"/>
      <c r="AX74" s="635"/>
      <c r="AY74" s="636"/>
      <c r="AZ74" s="615"/>
      <c r="BA74" s="615"/>
      <c r="BB74" s="615"/>
      <c r="BC74" s="615"/>
      <c r="BD74" s="615"/>
      <c r="BE74" s="615"/>
      <c r="BF74" s="615"/>
      <c r="BG74" s="615"/>
      <c r="BH74" s="615"/>
      <c r="BI74" s="615"/>
      <c r="BJ74" s="635"/>
      <c r="BK74" s="636"/>
      <c r="BL74" s="615"/>
      <c r="BM74" s="615"/>
      <c r="BN74" s="615"/>
      <c r="BO74" s="615"/>
      <c r="BP74" s="615"/>
      <c r="BQ74" s="615"/>
      <c r="BR74" s="615"/>
      <c r="BS74" s="615"/>
      <c r="BT74" s="615"/>
      <c r="BU74" s="615"/>
      <c r="BV74" s="637"/>
      <c r="BW74" s="669"/>
      <c r="BX74" s="615">
        <v>194.5</v>
      </c>
      <c r="BY74" s="615"/>
      <c r="BZ74" s="615"/>
      <c r="CA74" s="615"/>
      <c r="CB74" s="615"/>
      <c r="CC74" s="615"/>
      <c r="CD74" s="615"/>
      <c r="CE74" s="615"/>
      <c r="CF74" s="615"/>
      <c r="CG74" s="615"/>
      <c r="CH74" s="635"/>
      <c r="CI74" s="636"/>
      <c r="CJ74" s="615"/>
      <c r="CK74" s="615"/>
      <c r="CL74" s="615"/>
      <c r="CM74" s="615"/>
      <c r="CN74" s="615"/>
      <c r="CO74" s="615"/>
      <c r="CP74" s="615"/>
      <c r="CQ74" s="615"/>
      <c r="CR74" s="615"/>
      <c r="CS74" s="615"/>
      <c r="CT74" s="635"/>
      <c r="CU74" s="636"/>
      <c r="CV74" s="615"/>
      <c r="CW74" s="615"/>
      <c r="CX74" s="615"/>
      <c r="CY74" s="615"/>
      <c r="CZ74" s="615"/>
      <c r="DA74" s="615"/>
      <c r="DB74" s="615"/>
      <c r="DC74" s="615"/>
      <c r="DD74" s="615"/>
      <c r="DE74" s="615"/>
      <c r="DF74" s="635"/>
      <c r="DG74" s="636"/>
      <c r="DH74" s="615"/>
      <c r="DI74" s="615"/>
      <c r="DJ74" s="615"/>
      <c r="DK74" s="615"/>
      <c r="DL74" s="615"/>
      <c r="DM74" s="615"/>
      <c r="DN74" s="615"/>
      <c r="DO74" s="615"/>
      <c r="DP74" s="615"/>
      <c r="DQ74" s="615"/>
      <c r="DR74" s="635"/>
      <c r="DS74" s="636"/>
      <c r="DT74" s="615"/>
      <c r="DU74" s="615"/>
      <c r="DV74" s="615"/>
      <c r="DW74" s="615"/>
      <c r="DX74" s="615"/>
      <c r="DY74" s="615"/>
      <c r="DZ74" s="615"/>
      <c r="EA74" s="615"/>
      <c r="EB74" s="615"/>
      <c r="EC74" s="615"/>
      <c r="ED74" s="637"/>
      <c r="EE74" s="692"/>
    </row>
    <row r="75" spans="1:135" x14ac:dyDescent="0.25">
      <c r="A75" s="640" t="s">
        <v>11</v>
      </c>
      <c r="B75" s="367" t="s">
        <v>808</v>
      </c>
      <c r="C75" s="367" t="s">
        <v>410</v>
      </c>
      <c r="D75" s="367" t="s">
        <v>807</v>
      </c>
      <c r="E75" s="503" t="s">
        <v>616</v>
      </c>
      <c r="F75" s="570">
        <v>44544</v>
      </c>
      <c r="G75" s="85" t="s">
        <v>59</v>
      </c>
      <c r="H75" s="85" t="s">
        <v>54</v>
      </c>
      <c r="I75" s="85" t="s">
        <v>358</v>
      </c>
      <c r="J75" s="675" t="s">
        <v>358</v>
      </c>
      <c r="K75" s="85" t="s">
        <v>358</v>
      </c>
      <c r="L75" s="85" t="s">
        <v>40</v>
      </c>
      <c r="M75" s="85" t="s">
        <v>3</v>
      </c>
      <c r="N75" s="668" t="s">
        <v>44</v>
      </c>
      <c r="O75" s="669"/>
      <c r="P75" s="615"/>
      <c r="Q75" s="615"/>
      <c r="R75" s="615"/>
      <c r="S75" s="615"/>
      <c r="T75" s="615"/>
      <c r="U75" s="615">
        <v>1</v>
      </c>
      <c r="V75" s="615">
        <v>1</v>
      </c>
      <c r="W75" s="615">
        <v>1</v>
      </c>
      <c r="X75" s="615">
        <v>1</v>
      </c>
      <c r="Y75" s="615">
        <v>1</v>
      </c>
      <c r="Z75" s="635">
        <v>1</v>
      </c>
      <c r="AA75" s="636"/>
      <c r="AB75" s="615"/>
      <c r="AC75" s="615"/>
      <c r="AD75" s="615"/>
      <c r="AE75" s="615"/>
      <c r="AF75" s="615"/>
      <c r="AG75" s="615"/>
      <c r="AH75" s="615"/>
      <c r="AI75" s="615"/>
      <c r="AJ75" s="615"/>
      <c r="AK75" s="615"/>
      <c r="AL75" s="635"/>
      <c r="AM75" s="636"/>
      <c r="AN75" s="615"/>
      <c r="AO75" s="615"/>
      <c r="AP75" s="615"/>
      <c r="AQ75" s="615"/>
      <c r="AR75" s="615"/>
      <c r="AS75" s="615"/>
      <c r="AT75" s="615"/>
      <c r="AU75" s="615"/>
      <c r="AV75" s="615"/>
      <c r="AW75" s="615"/>
      <c r="AX75" s="635"/>
      <c r="AY75" s="636"/>
      <c r="AZ75" s="615"/>
      <c r="BA75" s="615"/>
      <c r="BB75" s="615"/>
      <c r="BC75" s="615"/>
      <c r="BD75" s="615"/>
      <c r="BE75" s="615"/>
      <c r="BF75" s="615"/>
      <c r="BG75" s="615"/>
      <c r="BH75" s="615"/>
      <c r="BI75" s="615"/>
      <c r="BJ75" s="635"/>
      <c r="BK75" s="636"/>
      <c r="BL75" s="615"/>
      <c r="BM75" s="615"/>
      <c r="BN75" s="615"/>
      <c r="BO75" s="615"/>
      <c r="BP75" s="615"/>
      <c r="BQ75" s="615"/>
      <c r="BR75" s="615"/>
      <c r="BS75" s="615"/>
      <c r="BT75" s="615"/>
      <c r="BU75" s="615"/>
      <c r="BV75" s="637"/>
      <c r="BW75" s="669"/>
      <c r="BX75" s="615"/>
      <c r="BY75" s="615"/>
      <c r="BZ75" s="615"/>
      <c r="CA75" s="615"/>
      <c r="CB75" s="615"/>
      <c r="CC75" s="615">
        <v>267</v>
      </c>
      <c r="CD75" s="615">
        <v>267</v>
      </c>
      <c r="CE75" s="615">
        <v>267</v>
      </c>
      <c r="CF75" s="615">
        <v>267</v>
      </c>
      <c r="CG75" s="615">
        <v>267</v>
      </c>
      <c r="CH75" s="635">
        <v>267</v>
      </c>
      <c r="CI75" s="636"/>
      <c r="CJ75" s="615"/>
      <c r="CK75" s="615"/>
      <c r="CL75" s="615"/>
      <c r="CM75" s="615"/>
      <c r="CN75" s="615"/>
      <c r="CO75" s="615"/>
      <c r="CP75" s="615"/>
      <c r="CQ75" s="615"/>
      <c r="CR75" s="615"/>
      <c r="CS75" s="615"/>
      <c r="CT75" s="635"/>
      <c r="CU75" s="636"/>
      <c r="CV75" s="615"/>
      <c r="CW75" s="615"/>
      <c r="CX75" s="615"/>
      <c r="CY75" s="615"/>
      <c r="CZ75" s="615"/>
      <c r="DA75" s="615"/>
      <c r="DB75" s="615"/>
      <c r="DC75" s="615"/>
      <c r="DD75" s="615"/>
      <c r="DE75" s="615"/>
      <c r="DF75" s="635"/>
      <c r="DG75" s="636"/>
      <c r="DH75" s="615"/>
      <c r="DI75" s="615"/>
      <c r="DJ75" s="615"/>
      <c r="DK75" s="615"/>
      <c r="DL75" s="615"/>
      <c r="DM75" s="615"/>
      <c r="DN75" s="615"/>
      <c r="DO75" s="615"/>
      <c r="DP75" s="615"/>
      <c r="DQ75" s="615"/>
      <c r="DR75" s="635"/>
      <c r="DS75" s="636"/>
      <c r="DT75" s="615"/>
      <c r="DU75" s="615"/>
      <c r="DV75" s="615"/>
      <c r="DW75" s="615"/>
      <c r="DX75" s="615"/>
      <c r="DY75" s="615"/>
      <c r="DZ75" s="615"/>
      <c r="EA75" s="615"/>
      <c r="EB75" s="615"/>
      <c r="EC75" s="615"/>
      <c r="ED75" s="637"/>
      <c r="EE75" s="692"/>
    </row>
    <row r="76" spans="1:135" x14ac:dyDescent="0.25">
      <c r="A76" s="640" t="s">
        <v>11</v>
      </c>
      <c r="B76" s="367" t="s">
        <v>812</v>
      </c>
      <c r="C76" s="367" t="s">
        <v>620</v>
      </c>
      <c r="D76" s="367" t="s">
        <v>811</v>
      </c>
      <c r="E76" s="503" t="s">
        <v>622</v>
      </c>
      <c r="F76" s="570">
        <v>44545</v>
      </c>
      <c r="G76" s="85" t="s">
        <v>59</v>
      </c>
      <c r="H76" s="85" t="s">
        <v>54</v>
      </c>
      <c r="I76" s="85" t="s">
        <v>358</v>
      </c>
      <c r="J76" s="675" t="s">
        <v>358</v>
      </c>
      <c r="K76" s="85" t="s">
        <v>358</v>
      </c>
      <c r="L76" s="85" t="s">
        <v>40</v>
      </c>
      <c r="M76" s="85" t="s">
        <v>3</v>
      </c>
      <c r="N76" s="668" t="s">
        <v>44</v>
      </c>
      <c r="O76" s="669">
        <v>2.25</v>
      </c>
      <c r="P76" s="615">
        <v>2.25</v>
      </c>
      <c r="Q76" s="615">
        <v>2.25</v>
      </c>
      <c r="R76" s="615">
        <v>2.25</v>
      </c>
      <c r="S76" s="615">
        <v>2.25</v>
      </c>
      <c r="T76" s="615">
        <v>2.25</v>
      </c>
      <c r="U76" s="615">
        <v>2.25</v>
      </c>
      <c r="V76" s="615">
        <v>2.25</v>
      </c>
      <c r="W76" s="615">
        <v>2.25</v>
      </c>
      <c r="X76" s="615">
        <v>2.25</v>
      </c>
      <c r="Y76" s="615">
        <v>2.25</v>
      </c>
      <c r="Z76" s="635">
        <v>2.25</v>
      </c>
      <c r="AA76" s="636"/>
      <c r="AB76" s="615"/>
      <c r="AC76" s="615"/>
      <c r="AD76" s="615"/>
      <c r="AE76" s="615"/>
      <c r="AF76" s="615"/>
      <c r="AG76" s="615"/>
      <c r="AH76" s="615"/>
      <c r="AI76" s="615"/>
      <c r="AJ76" s="615"/>
      <c r="AK76" s="615"/>
      <c r="AL76" s="635"/>
      <c r="AM76" s="636"/>
      <c r="AN76" s="615"/>
      <c r="AO76" s="615"/>
      <c r="AP76" s="615"/>
      <c r="AQ76" s="615"/>
      <c r="AR76" s="615"/>
      <c r="AS76" s="615"/>
      <c r="AT76" s="615"/>
      <c r="AU76" s="615"/>
      <c r="AV76" s="615"/>
      <c r="AW76" s="615"/>
      <c r="AX76" s="635"/>
      <c r="AY76" s="636"/>
      <c r="AZ76" s="615"/>
      <c r="BA76" s="615"/>
      <c r="BB76" s="615"/>
      <c r="BC76" s="615"/>
      <c r="BD76" s="615"/>
      <c r="BE76" s="615"/>
      <c r="BF76" s="615"/>
      <c r="BG76" s="615"/>
      <c r="BH76" s="615"/>
      <c r="BI76" s="615"/>
      <c r="BJ76" s="635"/>
      <c r="BK76" s="636"/>
      <c r="BL76" s="615"/>
      <c r="BM76" s="615"/>
      <c r="BN76" s="615"/>
      <c r="BO76" s="615"/>
      <c r="BP76" s="615"/>
      <c r="BQ76" s="615"/>
      <c r="BR76" s="615"/>
      <c r="BS76" s="615"/>
      <c r="BT76" s="615"/>
      <c r="BU76" s="615"/>
      <c r="BV76" s="637"/>
      <c r="BW76" s="669">
        <v>234</v>
      </c>
      <c r="BX76" s="615">
        <v>234</v>
      </c>
      <c r="BY76" s="615">
        <v>234</v>
      </c>
      <c r="BZ76" s="615">
        <v>234</v>
      </c>
      <c r="CA76" s="615">
        <v>234</v>
      </c>
      <c r="CB76" s="615">
        <v>234</v>
      </c>
      <c r="CC76" s="615">
        <v>234</v>
      </c>
      <c r="CD76" s="615">
        <v>234</v>
      </c>
      <c r="CE76" s="615">
        <v>234</v>
      </c>
      <c r="CF76" s="615">
        <v>234</v>
      </c>
      <c r="CG76" s="615">
        <v>234</v>
      </c>
      <c r="CH76" s="635">
        <v>234</v>
      </c>
      <c r="CI76" s="636"/>
      <c r="CJ76" s="615"/>
      <c r="CK76" s="615"/>
      <c r="CL76" s="615"/>
      <c r="CM76" s="615"/>
      <c r="CN76" s="615"/>
      <c r="CO76" s="615"/>
      <c r="CP76" s="615"/>
      <c r="CQ76" s="615"/>
      <c r="CR76" s="615"/>
      <c r="CS76" s="615"/>
      <c r="CT76" s="635"/>
      <c r="CU76" s="636"/>
      <c r="CV76" s="615"/>
      <c r="CW76" s="615"/>
      <c r="CX76" s="615"/>
      <c r="CY76" s="615"/>
      <c r="CZ76" s="615"/>
      <c r="DA76" s="615"/>
      <c r="DB76" s="615"/>
      <c r="DC76" s="615"/>
      <c r="DD76" s="615"/>
      <c r="DE76" s="615"/>
      <c r="DF76" s="635"/>
      <c r="DG76" s="636"/>
      <c r="DH76" s="615"/>
      <c r="DI76" s="615"/>
      <c r="DJ76" s="615"/>
      <c r="DK76" s="615"/>
      <c r="DL76" s="615"/>
      <c r="DM76" s="615"/>
      <c r="DN76" s="615"/>
      <c r="DO76" s="615"/>
      <c r="DP76" s="615"/>
      <c r="DQ76" s="615"/>
      <c r="DR76" s="635"/>
      <c r="DS76" s="636"/>
      <c r="DT76" s="615"/>
      <c r="DU76" s="615"/>
      <c r="DV76" s="615"/>
      <c r="DW76" s="615"/>
      <c r="DX76" s="615"/>
      <c r="DY76" s="615"/>
      <c r="DZ76" s="615"/>
      <c r="EA76" s="615"/>
      <c r="EB76" s="615"/>
      <c r="EC76" s="615"/>
      <c r="ED76" s="637"/>
      <c r="EE76" s="692"/>
    </row>
    <row r="77" spans="1:135" x14ac:dyDescent="0.25">
      <c r="A77" s="640" t="s">
        <v>11</v>
      </c>
      <c r="B77" s="367" t="s">
        <v>814</v>
      </c>
      <c r="C77" s="367" t="s">
        <v>465</v>
      </c>
      <c r="D77" s="367" t="s">
        <v>813</v>
      </c>
      <c r="E77" s="503" t="s">
        <v>623</v>
      </c>
      <c r="F77" s="570">
        <v>44545</v>
      </c>
      <c r="G77" s="85" t="s">
        <v>59</v>
      </c>
      <c r="H77" s="85" t="s">
        <v>54</v>
      </c>
      <c r="I77" s="85" t="s">
        <v>358</v>
      </c>
      <c r="J77" s="675" t="s">
        <v>358</v>
      </c>
      <c r="K77" s="85" t="s">
        <v>358</v>
      </c>
      <c r="L77" s="85" t="s">
        <v>40</v>
      </c>
      <c r="M77" s="85" t="s">
        <v>3</v>
      </c>
      <c r="N77" s="668" t="s">
        <v>44</v>
      </c>
      <c r="O77" s="669">
        <v>5</v>
      </c>
      <c r="P77" s="615">
        <v>5</v>
      </c>
      <c r="Q77" s="615">
        <v>5</v>
      </c>
      <c r="R77" s="615">
        <v>5</v>
      </c>
      <c r="S77" s="615">
        <v>5</v>
      </c>
      <c r="T77" s="615">
        <v>5</v>
      </c>
      <c r="U77" s="615">
        <v>5</v>
      </c>
      <c r="V77" s="615">
        <v>5</v>
      </c>
      <c r="W77" s="615">
        <v>5</v>
      </c>
      <c r="X77" s="615">
        <v>5</v>
      </c>
      <c r="Y77" s="615">
        <v>5</v>
      </c>
      <c r="Z77" s="635">
        <v>5</v>
      </c>
      <c r="AA77" s="636"/>
      <c r="AB77" s="615"/>
      <c r="AC77" s="615"/>
      <c r="AD77" s="615"/>
      <c r="AE77" s="615"/>
      <c r="AF77" s="615"/>
      <c r="AG77" s="615"/>
      <c r="AH77" s="615"/>
      <c r="AI77" s="615"/>
      <c r="AJ77" s="615"/>
      <c r="AK77" s="615"/>
      <c r="AL77" s="635"/>
      <c r="AM77" s="636"/>
      <c r="AN77" s="615"/>
      <c r="AO77" s="615"/>
      <c r="AP77" s="615"/>
      <c r="AQ77" s="615"/>
      <c r="AR77" s="615"/>
      <c r="AS77" s="615"/>
      <c r="AT77" s="615"/>
      <c r="AU77" s="615"/>
      <c r="AV77" s="615"/>
      <c r="AW77" s="615"/>
      <c r="AX77" s="635"/>
      <c r="AY77" s="636"/>
      <c r="AZ77" s="615"/>
      <c r="BA77" s="615"/>
      <c r="BB77" s="615"/>
      <c r="BC77" s="615"/>
      <c r="BD77" s="615"/>
      <c r="BE77" s="615"/>
      <c r="BF77" s="615"/>
      <c r="BG77" s="615"/>
      <c r="BH77" s="615"/>
      <c r="BI77" s="615"/>
      <c r="BJ77" s="635"/>
      <c r="BK77" s="636"/>
      <c r="BL77" s="615"/>
      <c r="BM77" s="615"/>
      <c r="BN77" s="615"/>
      <c r="BO77" s="615"/>
      <c r="BP77" s="615"/>
      <c r="BQ77" s="615"/>
      <c r="BR77" s="615"/>
      <c r="BS77" s="615"/>
      <c r="BT77" s="615"/>
      <c r="BU77" s="615"/>
      <c r="BV77" s="637"/>
      <c r="BW77" s="669">
        <v>234</v>
      </c>
      <c r="BX77" s="615">
        <v>234</v>
      </c>
      <c r="BY77" s="615">
        <v>234</v>
      </c>
      <c r="BZ77" s="615">
        <v>234</v>
      </c>
      <c r="CA77" s="615">
        <v>234</v>
      </c>
      <c r="CB77" s="615">
        <v>234</v>
      </c>
      <c r="CC77" s="615">
        <v>234</v>
      </c>
      <c r="CD77" s="615">
        <v>234</v>
      </c>
      <c r="CE77" s="615">
        <v>234</v>
      </c>
      <c r="CF77" s="615">
        <v>234</v>
      </c>
      <c r="CG77" s="615">
        <v>234</v>
      </c>
      <c r="CH77" s="635">
        <v>234</v>
      </c>
      <c r="CI77" s="636"/>
      <c r="CJ77" s="615"/>
      <c r="CK77" s="615"/>
      <c r="CL77" s="615"/>
      <c r="CM77" s="615"/>
      <c r="CN77" s="615"/>
      <c r="CO77" s="615"/>
      <c r="CP77" s="615"/>
      <c r="CQ77" s="615"/>
      <c r="CR77" s="615"/>
      <c r="CS77" s="615"/>
      <c r="CT77" s="635"/>
      <c r="CU77" s="636"/>
      <c r="CV77" s="615"/>
      <c r="CW77" s="615"/>
      <c r="CX77" s="615"/>
      <c r="CY77" s="615"/>
      <c r="CZ77" s="615"/>
      <c r="DA77" s="615"/>
      <c r="DB77" s="615"/>
      <c r="DC77" s="615"/>
      <c r="DD77" s="615"/>
      <c r="DE77" s="615"/>
      <c r="DF77" s="635"/>
      <c r="DG77" s="636"/>
      <c r="DH77" s="615"/>
      <c r="DI77" s="615"/>
      <c r="DJ77" s="615"/>
      <c r="DK77" s="615"/>
      <c r="DL77" s="615"/>
      <c r="DM77" s="615"/>
      <c r="DN77" s="615"/>
      <c r="DO77" s="615"/>
      <c r="DP77" s="615"/>
      <c r="DQ77" s="615"/>
      <c r="DR77" s="635"/>
      <c r="DS77" s="636"/>
      <c r="DT77" s="615"/>
      <c r="DU77" s="615"/>
      <c r="DV77" s="615"/>
      <c r="DW77" s="615"/>
      <c r="DX77" s="615"/>
      <c r="DY77" s="615"/>
      <c r="DZ77" s="615"/>
      <c r="EA77" s="615"/>
      <c r="EB77" s="615"/>
      <c r="EC77" s="615"/>
      <c r="ED77" s="637"/>
      <c r="EE77" s="692"/>
    </row>
    <row r="78" spans="1:135" x14ac:dyDescent="0.25">
      <c r="A78" s="640" t="s">
        <v>11</v>
      </c>
      <c r="B78" s="367" t="s">
        <v>817</v>
      </c>
      <c r="C78" s="367" t="s">
        <v>502</v>
      </c>
      <c r="D78" s="367" t="s">
        <v>816</v>
      </c>
      <c r="E78" s="503" t="s">
        <v>625</v>
      </c>
      <c r="F78" s="570">
        <v>44547</v>
      </c>
      <c r="G78" s="85" t="s">
        <v>58</v>
      </c>
      <c r="H78" s="85" t="s">
        <v>54</v>
      </c>
      <c r="I78" s="85" t="s">
        <v>358</v>
      </c>
      <c r="J78" s="675" t="s">
        <v>358</v>
      </c>
      <c r="K78" s="85" t="s">
        <v>358</v>
      </c>
      <c r="L78" s="85" t="s">
        <v>40</v>
      </c>
      <c r="M78" s="85" t="s">
        <v>3</v>
      </c>
      <c r="N78" s="668" t="s">
        <v>44</v>
      </c>
      <c r="O78" s="669">
        <v>-4</v>
      </c>
      <c r="P78" s="615"/>
      <c r="Q78" s="615"/>
      <c r="R78" s="615"/>
      <c r="S78" s="615"/>
      <c r="T78" s="615"/>
      <c r="U78" s="615"/>
      <c r="V78" s="615"/>
      <c r="W78" s="615"/>
      <c r="X78" s="615"/>
      <c r="Y78" s="615"/>
      <c r="Z78" s="635"/>
      <c r="AA78" s="636"/>
      <c r="AB78" s="615"/>
      <c r="AC78" s="615"/>
      <c r="AD78" s="615"/>
      <c r="AE78" s="615"/>
      <c r="AF78" s="615"/>
      <c r="AG78" s="615"/>
      <c r="AH78" s="615"/>
      <c r="AI78" s="615"/>
      <c r="AJ78" s="615"/>
      <c r="AK78" s="615"/>
      <c r="AL78" s="635"/>
      <c r="AM78" s="636"/>
      <c r="AN78" s="615"/>
      <c r="AO78" s="615"/>
      <c r="AP78" s="615"/>
      <c r="AQ78" s="615"/>
      <c r="AR78" s="615"/>
      <c r="AS78" s="615"/>
      <c r="AT78" s="615"/>
      <c r="AU78" s="615"/>
      <c r="AV78" s="615"/>
      <c r="AW78" s="615"/>
      <c r="AX78" s="635"/>
      <c r="AY78" s="636"/>
      <c r="AZ78" s="615"/>
      <c r="BA78" s="615"/>
      <c r="BB78" s="615"/>
      <c r="BC78" s="615"/>
      <c r="BD78" s="615"/>
      <c r="BE78" s="615"/>
      <c r="BF78" s="615"/>
      <c r="BG78" s="615"/>
      <c r="BH78" s="615"/>
      <c r="BI78" s="615"/>
      <c r="BJ78" s="635"/>
      <c r="BK78" s="636"/>
      <c r="BL78" s="615"/>
      <c r="BM78" s="615"/>
      <c r="BN78" s="615"/>
      <c r="BO78" s="615"/>
      <c r="BP78" s="615"/>
      <c r="BQ78" s="615"/>
      <c r="BR78" s="615"/>
      <c r="BS78" s="615"/>
      <c r="BT78" s="615"/>
      <c r="BU78" s="615"/>
      <c r="BV78" s="637"/>
      <c r="BW78" s="669">
        <v>161</v>
      </c>
      <c r="BX78" s="615"/>
      <c r="BY78" s="615"/>
      <c r="BZ78" s="615"/>
      <c r="CA78" s="615"/>
      <c r="CB78" s="615"/>
      <c r="CC78" s="615"/>
      <c r="CD78" s="615"/>
      <c r="CE78" s="615"/>
      <c r="CF78" s="615"/>
      <c r="CG78" s="615"/>
      <c r="CH78" s="635"/>
      <c r="CI78" s="636"/>
      <c r="CJ78" s="615"/>
      <c r="CK78" s="615"/>
      <c r="CL78" s="615"/>
      <c r="CM78" s="615"/>
      <c r="CN78" s="615"/>
      <c r="CO78" s="615"/>
      <c r="CP78" s="615"/>
      <c r="CQ78" s="615"/>
      <c r="CR78" s="615"/>
      <c r="CS78" s="615"/>
      <c r="CT78" s="635"/>
      <c r="CU78" s="636"/>
      <c r="CV78" s="615"/>
      <c r="CW78" s="615"/>
      <c r="CX78" s="615"/>
      <c r="CY78" s="615"/>
      <c r="CZ78" s="615"/>
      <c r="DA78" s="615"/>
      <c r="DB78" s="615"/>
      <c r="DC78" s="615"/>
      <c r="DD78" s="615"/>
      <c r="DE78" s="615"/>
      <c r="DF78" s="635"/>
      <c r="DG78" s="636"/>
      <c r="DH78" s="615"/>
      <c r="DI78" s="615"/>
      <c r="DJ78" s="615"/>
      <c r="DK78" s="615"/>
      <c r="DL78" s="615"/>
      <c r="DM78" s="615"/>
      <c r="DN78" s="615"/>
      <c r="DO78" s="615"/>
      <c r="DP78" s="615"/>
      <c r="DQ78" s="615"/>
      <c r="DR78" s="635"/>
      <c r="DS78" s="636"/>
      <c r="DT78" s="615"/>
      <c r="DU78" s="615"/>
      <c r="DV78" s="615"/>
      <c r="DW78" s="615"/>
      <c r="DX78" s="615"/>
      <c r="DY78" s="615"/>
      <c r="DZ78" s="615"/>
      <c r="EA78" s="615"/>
      <c r="EB78" s="615"/>
      <c r="EC78" s="615"/>
      <c r="ED78" s="637"/>
      <c r="EE78" s="692"/>
    </row>
    <row r="79" spans="1:135" x14ac:dyDescent="0.25">
      <c r="A79" s="640" t="s">
        <v>11</v>
      </c>
      <c r="B79" s="367" t="s">
        <v>819</v>
      </c>
      <c r="C79" s="367" t="s">
        <v>508</v>
      </c>
      <c r="D79" s="367" t="s">
        <v>818</v>
      </c>
      <c r="E79" s="503" t="s">
        <v>626</v>
      </c>
      <c r="F79" s="570">
        <v>44547</v>
      </c>
      <c r="G79" s="85" t="s">
        <v>58</v>
      </c>
      <c r="H79" s="85" t="s">
        <v>54</v>
      </c>
      <c r="I79" s="85" t="s">
        <v>358</v>
      </c>
      <c r="J79" s="675" t="s">
        <v>358</v>
      </c>
      <c r="K79" s="85" t="s">
        <v>358</v>
      </c>
      <c r="L79" s="85" t="s">
        <v>40</v>
      </c>
      <c r="M79" s="85" t="s">
        <v>3</v>
      </c>
      <c r="N79" s="668" t="s">
        <v>44</v>
      </c>
      <c r="O79" s="669"/>
      <c r="P79" s="615"/>
      <c r="Q79" s="615"/>
      <c r="R79" s="615">
        <v>-1</v>
      </c>
      <c r="S79" s="615">
        <v>-1</v>
      </c>
      <c r="T79" s="615">
        <v>-1</v>
      </c>
      <c r="U79" s="615"/>
      <c r="V79" s="615"/>
      <c r="W79" s="615"/>
      <c r="X79" s="615"/>
      <c r="Y79" s="615"/>
      <c r="Z79" s="635"/>
      <c r="AA79" s="636"/>
      <c r="AB79" s="615"/>
      <c r="AC79" s="615"/>
      <c r="AD79" s="615"/>
      <c r="AE79" s="615"/>
      <c r="AF79" s="615"/>
      <c r="AG79" s="615"/>
      <c r="AH79" s="615"/>
      <c r="AI79" s="615"/>
      <c r="AJ79" s="615"/>
      <c r="AK79" s="615"/>
      <c r="AL79" s="635"/>
      <c r="AM79" s="636"/>
      <c r="AN79" s="615"/>
      <c r="AO79" s="615"/>
      <c r="AP79" s="615"/>
      <c r="AQ79" s="615"/>
      <c r="AR79" s="615"/>
      <c r="AS79" s="615"/>
      <c r="AT79" s="615"/>
      <c r="AU79" s="615"/>
      <c r="AV79" s="615"/>
      <c r="AW79" s="615"/>
      <c r="AX79" s="635"/>
      <c r="AY79" s="636"/>
      <c r="AZ79" s="615"/>
      <c r="BA79" s="615"/>
      <c r="BB79" s="615"/>
      <c r="BC79" s="615"/>
      <c r="BD79" s="615"/>
      <c r="BE79" s="615"/>
      <c r="BF79" s="615"/>
      <c r="BG79" s="615"/>
      <c r="BH79" s="615"/>
      <c r="BI79" s="615"/>
      <c r="BJ79" s="635"/>
      <c r="BK79" s="636"/>
      <c r="BL79" s="615"/>
      <c r="BM79" s="615"/>
      <c r="BN79" s="615"/>
      <c r="BO79" s="615"/>
      <c r="BP79" s="615"/>
      <c r="BQ79" s="615"/>
      <c r="BR79" s="615"/>
      <c r="BS79" s="615"/>
      <c r="BT79" s="615"/>
      <c r="BU79" s="615"/>
      <c r="BV79" s="637"/>
      <c r="BW79" s="669"/>
      <c r="BX79" s="615"/>
      <c r="BY79" s="615"/>
      <c r="BZ79" s="615">
        <v>175</v>
      </c>
      <c r="CA79" s="615">
        <v>175</v>
      </c>
      <c r="CB79" s="615">
        <v>175</v>
      </c>
      <c r="CC79" s="615"/>
      <c r="CD79" s="615"/>
      <c r="CE79" s="615"/>
      <c r="CF79" s="615"/>
      <c r="CG79" s="615"/>
      <c r="CH79" s="635"/>
      <c r="CI79" s="636"/>
      <c r="CJ79" s="615"/>
      <c r="CK79" s="615"/>
      <c r="CL79" s="615"/>
      <c r="CM79" s="615"/>
      <c r="CN79" s="615"/>
      <c r="CO79" s="615"/>
      <c r="CP79" s="615"/>
      <c r="CQ79" s="615"/>
      <c r="CR79" s="615"/>
      <c r="CS79" s="615"/>
      <c r="CT79" s="635"/>
      <c r="CU79" s="636"/>
      <c r="CV79" s="615"/>
      <c r="CW79" s="615"/>
      <c r="CX79" s="615"/>
      <c r="CY79" s="615"/>
      <c r="CZ79" s="615"/>
      <c r="DA79" s="615"/>
      <c r="DB79" s="615"/>
      <c r="DC79" s="615"/>
      <c r="DD79" s="615"/>
      <c r="DE79" s="615"/>
      <c r="DF79" s="635"/>
      <c r="DG79" s="636"/>
      <c r="DH79" s="615"/>
      <c r="DI79" s="615"/>
      <c r="DJ79" s="615"/>
      <c r="DK79" s="615"/>
      <c r="DL79" s="615"/>
      <c r="DM79" s="615"/>
      <c r="DN79" s="615"/>
      <c r="DO79" s="615"/>
      <c r="DP79" s="615"/>
      <c r="DQ79" s="615"/>
      <c r="DR79" s="635"/>
      <c r="DS79" s="636"/>
      <c r="DT79" s="615"/>
      <c r="DU79" s="615"/>
      <c r="DV79" s="615"/>
      <c r="DW79" s="615"/>
      <c r="DX79" s="615"/>
      <c r="DY79" s="615"/>
      <c r="DZ79" s="615"/>
      <c r="EA79" s="615"/>
      <c r="EB79" s="615"/>
      <c r="EC79" s="615"/>
      <c r="ED79" s="637"/>
      <c r="EE79" s="692"/>
    </row>
    <row r="80" spans="1:135" x14ac:dyDescent="0.25">
      <c r="A80" s="640" t="s">
        <v>11</v>
      </c>
      <c r="B80" s="367" t="s">
        <v>821</v>
      </c>
      <c r="C80" s="367" t="s">
        <v>505</v>
      </c>
      <c r="D80" s="367" t="s">
        <v>820</v>
      </c>
      <c r="E80" s="503" t="s">
        <v>627</v>
      </c>
      <c r="F80" s="570">
        <v>44547</v>
      </c>
      <c r="G80" s="85" t="s">
        <v>58</v>
      </c>
      <c r="H80" s="85" t="s">
        <v>54</v>
      </c>
      <c r="I80" s="85" t="s">
        <v>358</v>
      </c>
      <c r="J80" s="675" t="s">
        <v>358</v>
      </c>
      <c r="K80" s="85" t="s">
        <v>358</v>
      </c>
      <c r="L80" s="85" t="s">
        <v>40</v>
      </c>
      <c r="M80" s="85" t="s">
        <v>3</v>
      </c>
      <c r="N80" s="668" t="s">
        <v>44</v>
      </c>
      <c r="O80" s="669"/>
      <c r="P80" s="615"/>
      <c r="Q80" s="615"/>
      <c r="R80" s="615">
        <v>-2</v>
      </c>
      <c r="S80" s="615">
        <v>-2</v>
      </c>
      <c r="T80" s="615">
        <v>-2</v>
      </c>
      <c r="U80" s="615"/>
      <c r="V80" s="615"/>
      <c r="W80" s="615"/>
      <c r="X80" s="615"/>
      <c r="Y80" s="615"/>
      <c r="Z80" s="635"/>
      <c r="AA80" s="636"/>
      <c r="AB80" s="615"/>
      <c r="AC80" s="615"/>
      <c r="AD80" s="615"/>
      <c r="AE80" s="615"/>
      <c r="AF80" s="615"/>
      <c r="AG80" s="615"/>
      <c r="AH80" s="615"/>
      <c r="AI80" s="615"/>
      <c r="AJ80" s="615"/>
      <c r="AK80" s="615"/>
      <c r="AL80" s="635"/>
      <c r="AM80" s="636"/>
      <c r="AN80" s="615"/>
      <c r="AO80" s="615"/>
      <c r="AP80" s="615"/>
      <c r="AQ80" s="615"/>
      <c r="AR80" s="615"/>
      <c r="AS80" s="615"/>
      <c r="AT80" s="615"/>
      <c r="AU80" s="615"/>
      <c r="AV80" s="615"/>
      <c r="AW80" s="615"/>
      <c r="AX80" s="635"/>
      <c r="AY80" s="636"/>
      <c r="AZ80" s="615"/>
      <c r="BA80" s="615"/>
      <c r="BB80" s="615"/>
      <c r="BC80" s="615"/>
      <c r="BD80" s="615"/>
      <c r="BE80" s="615"/>
      <c r="BF80" s="615"/>
      <c r="BG80" s="615"/>
      <c r="BH80" s="615"/>
      <c r="BI80" s="615"/>
      <c r="BJ80" s="635"/>
      <c r="BK80" s="636"/>
      <c r="BL80" s="615"/>
      <c r="BM80" s="615"/>
      <c r="BN80" s="615"/>
      <c r="BO80" s="615"/>
      <c r="BP80" s="615"/>
      <c r="BQ80" s="615"/>
      <c r="BR80" s="615"/>
      <c r="BS80" s="615"/>
      <c r="BT80" s="615"/>
      <c r="BU80" s="615"/>
      <c r="BV80" s="637"/>
      <c r="BW80" s="669"/>
      <c r="BX80" s="615"/>
      <c r="BY80" s="615"/>
      <c r="BZ80" s="615">
        <v>175</v>
      </c>
      <c r="CA80" s="615">
        <v>175</v>
      </c>
      <c r="CB80" s="615">
        <v>175</v>
      </c>
      <c r="CC80" s="615"/>
      <c r="CD80" s="615"/>
      <c r="CE80" s="615"/>
      <c r="CF80" s="615"/>
      <c r="CG80" s="615"/>
      <c r="CH80" s="635"/>
      <c r="CI80" s="636"/>
      <c r="CJ80" s="615"/>
      <c r="CK80" s="615"/>
      <c r="CL80" s="615"/>
      <c r="CM80" s="615"/>
      <c r="CN80" s="615"/>
      <c r="CO80" s="615"/>
      <c r="CP80" s="615"/>
      <c r="CQ80" s="615"/>
      <c r="CR80" s="615"/>
      <c r="CS80" s="615"/>
      <c r="CT80" s="635"/>
      <c r="CU80" s="636"/>
      <c r="CV80" s="615"/>
      <c r="CW80" s="615"/>
      <c r="CX80" s="615"/>
      <c r="CY80" s="615"/>
      <c r="CZ80" s="615"/>
      <c r="DA80" s="615"/>
      <c r="DB80" s="615"/>
      <c r="DC80" s="615"/>
      <c r="DD80" s="615"/>
      <c r="DE80" s="615"/>
      <c r="DF80" s="635"/>
      <c r="DG80" s="636"/>
      <c r="DH80" s="615"/>
      <c r="DI80" s="615"/>
      <c r="DJ80" s="615"/>
      <c r="DK80" s="615"/>
      <c r="DL80" s="615"/>
      <c r="DM80" s="615"/>
      <c r="DN80" s="615"/>
      <c r="DO80" s="615"/>
      <c r="DP80" s="615"/>
      <c r="DQ80" s="615"/>
      <c r="DR80" s="635"/>
      <c r="DS80" s="636"/>
      <c r="DT80" s="615"/>
      <c r="DU80" s="615"/>
      <c r="DV80" s="615"/>
      <c r="DW80" s="615"/>
      <c r="DX80" s="615"/>
      <c r="DY80" s="615"/>
      <c r="DZ80" s="615"/>
      <c r="EA80" s="615"/>
      <c r="EB80" s="615"/>
      <c r="EC80" s="615"/>
      <c r="ED80" s="637"/>
      <c r="EE80" s="692"/>
    </row>
    <row r="81" spans="1:135" x14ac:dyDescent="0.25">
      <c r="A81" s="640" t="s">
        <v>11</v>
      </c>
      <c r="B81" s="367" t="s">
        <v>823</v>
      </c>
      <c r="C81" s="367" t="s">
        <v>404</v>
      </c>
      <c r="D81" s="367" t="s">
        <v>822</v>
      </c>
      <c r="E81" s="503" t="s">
        <v>628</v>
      </c>
      <c r="F81" s="570">
        <v>44551</v>
      </c>
      <c r="G81" s="85" t="s">
        <v>58</v>
      </c>
      <c r="H81" s="85" t="s">
        <v>54</v>
      </c>
      <c r="I81" s="85" t="s">
        <v>649</v>
      </c>
      <c r="J81" s="675">
        <v>44551</v>
      </c>
      <c r="K81" s="85">
        <v>1</v>
      </c>
      <c r="L81" s="85" t="s">
        <v>40</v>
      </c>
      <c r="M81" s="85" t="s">
        <v>3</v>
      </c>
      <c r="N81" s="668" t="s">
        <v>11</v>
      </c>
      <c r="O81" s="669"/>
      <c r="P81" s="615"/>
      <c r="Q81" s="615"/>
      <c r="R81" s="615"/>
      <c r="S81" s="615"/>
      <c r="T81" s="615"/>
      <c r="U81" s="615"/>
      <c r="V81" s="615"/>
      <c r="W81" s="615"/>
      <c r="X81" s="615"/>
      <c r="Y81" s="615"/>
      <c r="Z81" s="635"/>
      <c r="AA81" s="636">
        <v>-1</v>
      </c>
      <c r="AB81" s="615">
        <v>-1</v>
      </c>
      <c r="AC81" s="615">
        <v>-1</v>
      </c>
      <c r="AD81" s="615">
        <v>-1</v>
      </c>
      <c r="AE81" s="615">
        <v>-1</v>
      </c>
      <c r="AF81" s="615">
        <v>-1</v>
      </c>
      <c r="AG81" s="615">
        <v>-1</v>
      </c>
      <c r="AH81" s="615">
        <v>-1</v>
      </c>
      <c r="AI81" s="615">
        <v>-1</v>
      </c>
      <c r="AJ81" s="615">
        <v>-1</v>
      </c>
      <c r="AK81" s="615">
        <v>-1</v>
      </c>
      <c r="AL81" s="635">
        <v>-1</v>
      </c>
      <c r="AM81" s="636"/>
      <c r="AN81" s="615"/>
      <c r="AO81" s="615"/>
      <c r="AP81" s="615"/>
      <c r="AQ81" s="615"/>
      <c r="AR81" s="615"/>
      <c r="AS81" s="615"/>
      <c r="AT81" s="615"/>
      <c r="AU81" s="615"/>
      <c r="AV81" s="615"/>
      <c r="AW81" s="615"/>
      <c r="AX81" s="635"/>
      <c r="AY81" s="636"/>
      <c r="AZ81" s="615"/>
      <c r="BA81" s="615"/>
      <c r="BB81" s="615"/>
      <c r="BC81" s="615"/>
      <c r="BD81" s="615"/>
      <c r="BE81" s="615"/>
      <c r="BF81" s="615"/>
      <c r="BG81" s="615"/>
      <c r="BH81" s="615"/>
      <c r="BI81" s="615"/>
      <c r="BJ81" s="635"/>
      <c r="BK81" s="636"/>
      <c r="BL81" s="615"/>
      <c r="BM81" s="615"/>
      <c r="BN81" s="615"/>
      <c r="BO81" s="615"/>
      <c r="BP81" s="615"/>
      <c r="BQ81" s="615"/>
      <c r="BR81" s="615"/>
      <c r="BS81" s="615"/>
      <c r="BT81" s="615"/>
      <c r="BU81" s="615"/>
      <c r="BV81" s="637"/>
      <c r="BW81" s="669"/>
      <c r="BX81" s="615"/>
      <c r="BY81" s="615"/>
      <c r="BZ81" s="615"/>
      <c r="CA81" s="615"/>
      <c r="CB81" s="615"/>
      <c r="CC81" s="615"/>
      <c r="CD81" s="615"/>
      <c r="CE81" s="615"/>
      <c r="CF81" s="615"/>
      <c r="CG81" s="615"/>
      <c r="CH81" s="635"/>
      <c r="CI81" s="636">
        <v>202.17712386254072</v>
      </c>
      <c r="CJ81" s="615">
        <v>202.17712386254072</v>
      </c>
      <c r="CK81" s="615">
        <v>202.17712386254072</v>
      </c>
      <c r="CL81" s="615">
        <v>202.17712386254072</v>
      </c>
      <c r="CM81" s="615">
        <v>202.17712386254072</v>
      </c>
      <c r="CN81" s="615">
        <v>202.17712386254072</v>
      </c>
      <c r="CO81" s="615">
        <v>202.17712386254072</v>
      </c>
      <c r="CP81" s="615">
        <v>202.17712386254072</v>
      </c>
      <c r="CQ81" s="615">
        <v>202.17712386254072</v>
      </c>
      <c r="CR81" s="615">
        <v>202.17712386254072</v>
      </c>
      <c r="CS81" s="615">
        <v>202.17712386254072</v>
      </c>
      <c r="CT81" s="635">
        <v>202.17712386254072</v>
      </c>
      <c r="CU81" s="636"/>
      <c r="CV81" s="615"/>
      <c r="CW81" s="615"/>
      <c r="CX81" s="615"/>
      <c r="CY81" s="615"/>
      <c r="CZ81" s="615"/>
      <c r="DA81" s="615"/>
      <c r="DB81" s="615"/>
      <c r="DC81" s="615"/>
      <c r="DD81" s="615"/>
      <c r="DE81" s="615"/>
      <c r="DF81" s="635"/>
      <c r="DG81" s="636"/>
      <c r="DH81" s="615"/>
      <c r="DI81" s="615"/>
      <c r="DJ81" s="615"/>
      <c r="DK81" s="615"/>
      <c r="DL81" s="615"/>
      <c r="DM81" s="615"/>
      <c r="DN81" s="615"/>
      <c r="DO81" s="615"/>
      <c r="DP81" s="615"/>
      <c r="DQ81" s="615"/>
      <c r="DR81" s="635"/>
      <c r="DS81" s="636"/>
      <c r="DT81" s="615"/>
      <c r="DU81" s="615"/>
      <c r="DV81" s="615"/>
      <c r="DW81" s="615"/>
      <c r="DX81" s="615"/>
      <c r="DY81" s="615"/>
      <c r="DZ81" s="615"/>
      <c r="EA81" s="615"/>
      <c r="EB81" s="615"/>
      <c r="EC81" s="615"/>
      <c r="ED81" s="637"/>
      <c r="EE81" s="692"/>
    </row>
    <row r="82" spans="1:135" x14ac:dyDescent="0.25">
      <c r="A82" s="640" t="s">
        <v>11</v>
      </c>
      <c r="B82" s="367" t="s">
        <v>825</v>
      </c>
      <c r="C82" s="367" t="s">
        <v>404</v>
      </c>
      <c r="D82" s="367" t="s">
        <v>824</v>
      </c>
      <c r="E82" s="503" t="s">
        <v>630</v>
      </c>
      <c r="F82" s="570">
        <v>44553</v>
      </c>
      <c r="G82" s="85" t="s">
        <v>58</v>
      </c>
      <c r="H82" s="85" t="s">
        <v>54</v>
      </c>
      <c r="I82" s="85" t="s">
        <v>649</v>
      </c>
      <c r="J82" s="675">
        <v>44553</v>
      </c>
      <c r="K82" s="85">
        <v>1</v>
      </c>
      <c r="L82" s="85" t="s">
        <v>40</v>
      </c>
      <c r="M82" s="85" t="s">
        <v>3</v>
      </c>
      <c r="N82" s="668" t="s">
        <v>13</v>
      </c>
      <c r="O82" s="669"/>
      <c r="P82" s="615"/>
      <c r="Q82" s="615"/>
      <c r="R82" s="615"/>
      <c r="S82" s="615"/>
      <c r="T82" s="615"/>
      <c r="U82" s="615"/>
      <c r="V82" s="615"/>
      <c r="W82" s="615"/>
      <c r="X82" s="615"/>
      <c r="Y82" s="615"/>
      <c r="Z82" s="635"/>
      <c r="AA82" s="636">
        <v>-0.7</v>
      </c>
      <c r="AB82" s="615">
        <v>-0.7</v>
      </c>
      <c r="AC82" s="615">
        <v>-0.7</v>
      </c>
      <c r="AD82" s="615">
        <v>-0.7</v>
      </c>
      <c r="AE82" s="615">
        <v>-0.7</v>
      </c>
      <c r="AF82" s="615">
        <v>-0.7</v>
      </c>
      <c r="AG82" s="615">
        <v>-0.7</v>
      </c>
      <c r="AH82" s="615">
        <v>-0.7</v>
      </c>
      <c r="AI82" s="615">
        <v>-0.7</v>
      </c>
      <c r="AJ82" s="615">
        <v>-0.7</v>
      </c>
      <c r="AK82" s="615">
        <v>-0.7</v>
      </c>
      <c r="AL82" s="635">
        <v>-0.7</v>
      </c>
      <c r="AM82" s="636"/>
      <c r="AN82" s="615"/>
      <c r="AO82" s="615"/>
      <c r="AP82" s="615"/>
      <c r="AQ82" s="615"/>
      <c r="AR82" s="615"/>
      <c r="AS82" s="615"/>
      <c r="AT82" s="615"/>
      <c r="AU82" s="615"/>
      <c r="AV82" s="615"/>
      <c r="AW82" s="615"/>
      <c r="AX82" s="635"/>
      <c r="AY82" s="636"/>
      <c r="AZ82" s="615"/>
      <c r="BA82" s="615"/>
      <c r="BB82" s="615"/>
      <c r="BC82" s="615"/>
      <c r="BD82" s="615"/>
      <c r="BE82" s="615"/>
      <c r="BF82" s="615"/>
      <c r="BG82" s="615"/>
      <c r="BH82" s="615"/>
      <c r="BI82" s="615"/>
      <c r="BJ82" s="635"/>
      <c r="BK82" s="636"/>
      <c r="BL82" s="615"/>
      <c r="BM82" s="615"/>
      <c r="BN82" s="615"/>
      <c r="BO82" s="615"/>
      <c r="BP82" s="615"/>
      <c r="BQ82" s="615"/>
      <c r="BR82" s="615"/>
      <c r="BS82" s="615"/>
      <c r="BT82" s="615"/>
      <c r="BU82" s="615"/>
      <c r="BV82" s="637"/>
      <c r="BW82" s="669"/>
      <c r="BX82" s="615"/>
      <c r="BY82" s="615"/>
      <c r="BZ82" s="615"/>
      <c r="CA82" s="615"/>
      <c r="CB82" s="615"/>
      <c r="CC82" s="615"/>
      <c r="CD82" s="615"/>
      <c r="CE82" s="615"/>
      <c r="CF82" s="615"/>
      <c r="CG82" s="615"/>
      <c r="CH82" s="635"/>
      <c r="CI82" s="636">
        <v>214.94620536964857</v>
      </c>
      <c r="CJ82" s="615">
        <v>214.94620536964857</v>
      </c>
      <c r="CK82" s="615">
        <v>214.94620536964857</v>
      </c>
      <c r="CL82" s="615">
        <v>214.94620536964857</v>
      </c>
      <c r="CM82" s="615">
        <v>214.94620536964857</v>
      </c>
      <c r="CN82" s="615">
        <v>214.94620536964857</v>
      </c>
      <c r="CO82" s="615">
        <v>214.94620536964857</v>
      </c>
      <c r="CP82" s="615">
        <v>214.94620536964857</v>
      </c>
      <c r="CQ82" s="615">
        <v>214.94620536964857</v>
      </c>
      <c r="CR82" s="615">
        <v>214.94620536964857</v>
      </c>
      <c r="CS82" s="615">
        <v>214.94620536964857</v>
      </c>
      <c r="CT82" s="635">
        <v>214.94620536964857</v>
      </c>
      <c r="CU82" s="636"/>
      <c r="CV82" s="615"/>
      <c r="CW82" s="615"/>
      <c r="CX82" s="615"/>
      <c r="CY82" s="615"/>
      <c r="CZ82" s="615"/>
      <c r="DA82" s="615"/>
      <c r="DB82" s="615"/>
      <c r="DC82" s="615"/>
      <c r="DD82" s="615"/>
      <c r="DE82" s="615"/>
      <c r="DF82" s="635"/>
      <c r="DG82" s="636"/>
      <c r="DH82" s="615"/>
      <c r="DI82" s="615"/>
      <c r="DJ82" s="615"/>
      <c r="DK82" s="615"/>
      <c r="DL82" s="615"/>
      <c r="DM82" s="615"/>
      <c r="DN82" s="615"/>
      <c r="DO82" s="615"/>
      <c r="DP82" s="615"/>
      <c r="DQ82" s="615"/>
      <c r="DR82" s="635"/>
      <c r="DS82" s="636"/>
      <c r="DT82" s="615"/>
      <c r="DU82" s="615"/>
      <c r="DV82" s="615"/>
      <c r="DW82" s="615"/>
      <c r="DX82" s="615"/>
      <c r="DY82" s="615"/>
      <c r="DZ82" s="615"/>
      <c r="EA82" s="615"/>
      <c r="EB82" s="615"/>
      <c r="EC82" s="615"/>
      <c r="ED82" s="637"/>
      <c r="EE82" s="692"/>
    </row>
    <row r="83" spans="1:135" x14ac:dyDescent="0.25">
      <c r="A83" s="640" t="s">
        <v>11</v>
      </c>
      <c r="B83" s="367" t="s">
        <v>850</v>
      </c>
      <c r="C83" s="367" t="s">
        <v>475</v>
      </c>
      <c r="D83" s="367" t="s">
        <v>851</v>
      </c>
      <c r="E83" s="503" t="s">
        <v>841</v>
      </c>
      <c r="F83" s="570">
        <v>44568</v>
      </c>
      <c r="G83" s="85" t="s">
        <v>59</v>
      </c>
      <c r="H83" s="85" t="s">
        <v>54</v>
      </c>
      <c r="I83" s="85" t="s">
        <v>358</v>
      </c>
      <c r="J83" s="675" t="s">
        <v>358</v>
      </c>
      <c r="K83" s="85" t="s">
        <v>358</v>
      </c>
      <c r="L83" s="85" t="s">
        <v>40</v>
      </c>
      <c r="M83" s="85" t="s">
        <v>3</v>
      </c>
      <c r="N83" s="668" t="s">
        <v>44</v>
      </c>
      <c r="O83" s="669"/>
      <c r="P83" s="615"/>
      <c r="Q83" s="615">
        <v>20</v>
      </c>
      <c r="R83" s="615"/>
      <c r="S83" s="615"/>
      <c r="T83" s="615"/>
      <c r="U83" s="615"/>
      <c r="V83" s="615"/>
      <c r="W83" s="615"/>
      <c r="X83" s="615"/>
      <c r="Y83" s="615"/>
      <c r="Z83" s="635"/>
      <c r="AA83" s="636"/>
      <c r="AB83" s="615"/>
      <c r="AC83" s="615"/>
      <c r="AD83" s="615"/>
      <c r="AE83" s="615"/>
      <c r="AF83" s="615"/>
      <c r="AG83" s="615"/>
      <c r="AH83" s="615"/>
      <c r="AI83" s="615"/>
      <c r="AJ83" s="615"/>
      <c r="AK83" s="615"/>
      <c r="AL83" s="635"/>
      <c r="AM83" s="636"/>
      <c r="AN83" s="615"/>
      <c r="AO83" s="615"/>
      <c r="AP83" s="615"/>
      <c r="AQ83" s="615"/>
      <c r="AR83" s="615"/>
      <c r="AS83" s="615"/>
      <c r="AT83" s="615"/>
      <c r="AU83" s="615"/>
      <c r="AV83" s="615"/>
      <c r="AW83" s="615"/>
      <c r="AX83" s="635"/>
      <c r="AY83" s="636"/>
      <c r="AZ83" s="615"/>
      <c r="BA83" s="615"/>
      <c r="BB83" s="615"/>
      <c r="BC83" s="615"/>
      <c r="BD83" s="615"/>
      <c r="BE83" s="615"/>
      <c r="BF83" s="615"/>
      <c r="BG83" s="615"/>
      <c r="BH83" s="615"/>
      <c r="BI83" s="615"/>
      <c r="BJ83" s="635"/>
      <c r="BK83" s="636"/>
      <c r="BL83" s="615"/>
      <c r="BM83" s="615"/>
      <c r="BN83" s="615"/>
      <c r="BO83" s="615"/>
      <c r="BP83" s="615"/>
      <c r="BQ83" s="615"/>
      <c r="BR83" s="615"/>
      <c r="BS83" s="615"/>
      <c r="BT83" s="615"/>
      <c r="BU83" s="615"/>
      <c r="BV83" s="637"/>
      <c r="BW83" s="669"/>
      <c r="BX83" s="615"/>
      <c r="BY83" s="615">
        <v>130</v>
      </c>
      <c r="BZ83" s="615"/>
      <c r="CA83" s="615"/>
      <c r="CB83" s="615"/>
      <c r="CC83" s="615"/>
      <c r="CD83" s="615"/>
      <c r="CE83" s="615"/>
      <c r="CF83" s="615"/>
      <c r="CG83" s="615"/>
      <c r="CH83" s="635"/>
      <c r="CI83" s="636"/>
      <c r="CJ83" s="615"/>
      <c r="CK83" s="615"/>
      <c r="CL83" s="615"/>
      <c r="CM83" s="615"/>
      <c r="CN83" s="615"/>
      <c r="CO83" s="615"/>
      <c r="CP83" s="615"/>
      <c r="CQ83" s="615"/>
      <c r="CR83" s="615"/>
      <c r="CS83" s="615"/>
      <c r="CT83" s="635"/>
      <c r="CU83" s="636"/>
      <c r="CV83" s="615"/>
      <c r="CW83" s="615"/>
      <c r="CX83" s="615"/>
      <c r="CY83" s="615"/>
      <c r="CZ83" s="615"/>
      <c r="DA83" s="615"/>
      <c r="DB83" s="615"/>
      <c r="DC83" s="615"/>
      <c r="DD83" s="615"/>
      <c r="DE83" s="615"/>
      <c r="DF83" s="635"/>
      <c r="DG83" s="636"/>
      <c r="DH83" s="615"/>
      <c r="DI83" s="615"/>
      <c r="DJ83" s="615"/>
      <c r="DK83" s="615"/>
      <c r="DL83" s="615"/>
      <c r="DM83" s="615"/>
      <c r="DN83" s="615"/>
      <c r="DO83" s="615"/>
      <c r="DP83" s="615"/>
      <c r="DQ83" s="615"/>
      <c r="DR83" s="635"/>
      <c r="DS83" s="636"/>
      <c r="DT83" s="615"/>
      <c r="DU83" s="615"/>
      <c r="DV83" s="615"/>
      <c r="DW83" s="615"/>
      <c r="DX83" s="615"/>
      <c r="DY83" s="615"/>
      <c r="DZ83" s="615"/>
      <c r="EA83" s="615"/>
      <c r="EB83" s="615"/>
      <c r="EC83" s="615"/>
      <c r="ED83" s="637"/>
      <c r="EE83" s="692"/>
    </row>
    <row r="84" spans="1:135" x14ac:dyDescent="0.25">
      <c r="A84" s="640" t="s">
        <v>11</v>
      </c>
      <c r="B84" s="367" t="s">
        <v>852</v>
      </c>
      <c r="C84" s="367" t="s">
        <v>502</v>
      </c>
      <c r="D84" s="367" t="s">
        <v>853</v>
      </c>
      <c r="E84" s="503" t="s">
        <v>842</v>
      </c>
      <c r="F84" s="570">
        <v>44568</v>
      </c>
      <c r="G84" s="85" t="s">
        <v>58</v>
      </c>
      <c r="H84" s="85" t="s">
        <v>54</v>
      </c>
      <c r="I84" s="85" t="s">
        <v>358</v>
      </c>
      <c r="J84" s="675" t="s">
        <v>358</v>
      </c>
      <c r="K84" s="85" t="s">
        <v>358</v>
      </c>
      <c r="L84" s="85" t="s">
        <v>40</v>
      </c>
      <c r="M84" s="85" t="s">
        <v>3</v>
      </c>
      <c r="N84" s="668" t="s">
        <v>44</v>
      </c>
      <c r="O84" s="669"/>
      <c r="P84" s="615"/>
      <c r="Q84" s="615"/>
      <c r="R84" s="615"/>
      <c r="S84" s="615"/>
      <c r="T84" s="615"/>
      <c r="U84" s="615">
        <v>-20</v>
      </c>
      <c r="V84" s="615"/>
      <c r="W84" s="615"/>
      <c r="X84" s="615"/>
      <c r="Y84" s="615"/>
      <c r="Z84" s="635"/>
      <c r="AA84" s="636"/>
      <c r="AB84" s="615"/>
      <c r="AC84" s="615"/>
      <c r="AD84" s="615"/>
      <c r="AE84" s="615"/>
      <c r="AF84" s="615"/>
      <c r="AG84" s="615"/>
      <c r="AH84" s="615"/>
      <c r="AI84" s="615"/>
      <c r="AJ84" s="615"/>
      <c r="AK84" s="615"/>
      <c r="AL84" s="635"/>
      <c r="AM84" s="636"/>
      <c r="AN84" s="615"/>
      <c r="AO84" s="615"/>
      <c r="AP84" s="615"/>
      <c r="AQ84" s="615"/>
      <c r="AR84" s="615"/>
      <c r="AS84" s="615"/>
      <c r="AT84" s="615"/>
      <c r="AU84" s="615"/>
      <c r="AV84" s="615"/>
      <c r="AW84" s="615"/>
      <c r="AX84" s="635"/>
      <c r="AY84" s="636"/>
      <c r="AZ84" s="615"/>
      <c r="BA84" s="615"/>
      <c r="BB84" s="615"/>
      <c r="BC84" s="615"/>
      <c r="BD84" s="615"/>
      <c r="BE84" s="615"/>
      <c r="BF84" s="615"/>
      <c r="BG84" s="615"/>
      <c r="BH84" s="615"/>
      <c r="BI84" s="615"/>
      <c r="BJ84" s="635"/>
      <c r="BK84" s="636"/>
      <c r="BL84" s="615"/>
      <c r="BM84" s="615"/>
      <c r="BN84" s="615"/>
      <c r="BO84" s="615"/>
      <c r="BP84" s="615"/>
      <c r="BQ84" s="615"/>
      <c r="BR84" s="615"/>
      <c r="BS84" s="615"/>
      <c r="BT84" s="615"/>
      <c r="BU84" s="615"/>
      <c r="BV84" s="637"/>
      <c r="BW84" s="669"/>
      <c r="BX84" s="615"/>
      <c r="BY84" s="615"/>
      <c r="BZ84" s="615"/>
      <c r="CA84" s="615"/>
      <c r="CB84" s="615"/>
      <c r="CC84" s="615">
        <v>210</v>
      </c>
      <c r="CD84" s="615"/>
      <c r="CE84" s="615"/>
      <c r="CF84" s="615"/>
      <c r="CG84" s="615"/>
      <c r="CH84" s="635"/>
      <c r="CI84" s="636"/>
      <c r="CJ84" s="615"/>
      <c r="CK84" s="615"/>
      <c r="CL84" s="615"/>
      <c r="CM84" s="615"/>
      <c r="CN84" s="615"/>
      <c r="CO84" s="615"/>
      <c r="CP84" s="615"/>
      <c r="CQ84" s="615"/>
      <c r="CR84" s="615"/>
      <c r="CS84" s="615"/>
      <c r="CT84" s="635"/>
      <c r="CU84" s="636"/>
      <c r="CV84" s="615"/>
      <c r="CW84" s="615"/>
      <c r="CX84" s="615"/>
      <c r="CY84" s="615"/>
      <c r="CZ84" s="615"/>
      <c r="DA84" s="615"/>
      <c r="DB84" s="615"/>
      <c r="DC84" s="615"/>
      <c r="DD84" s="615"/>
      <c r="DE84" s="615"/>
      <c r="DF84" s="635"/>
      <c r="DG84" s="636"/>
      <c r="DH84" s="615"/>
      <c r="DI84" s="615"/>
      <c r="DJ84" s="615"/>
      <c r="DK84" s="615"/>
      <c r="DL84" s="615"/>
      <c r="DM84" s="615"/>
      <c r="DN84" s="615"/>
      <c r="DO84" s="615"/>
      <c r="DP84" s="615"/>
      <c r="DQ84" s="615"/>
      <c r="DR84" s="635"/>
      <c r="DS84" s="636"/>
      <c r="DT84" s="615"/>
      <c r="DU84" s="615"/>
      <c r="DV84" s="615"/>
      <c r="DW84" s="615"/>
      <c r="DX84" s="615"/>
      <c r="DY84" s="615"/>
      <c r="DZ84" s="615"/>
      <c r="EA84" s="615"/>
      <c r="EB84" s="615"/>
      <c r="EC84" s="615"/>
      <c r="ED84" s="637"/>
      <c r="EE84" s="692"/>
    </row>
    <row r="85" spans="1:135" x14ac:dyDescent="0.25">
      <c r="A85" s="640" t="s">
        <v>11</v>
      </c>
      <c r="B85" s="367" t="s">
        <v>854</v>
      </c>
      <c r="C85" s="367" t="s">
        <v>510</v>
      </c>
      <c r="D85" s="367" t="s">
        <v>855</v>
      </c>
      <c r="E85" s="503" t="s">
        <v>843</v>
      </c>
      <c r="F85" s="570">
        <v>44568</v>
      </c>
      <c r="G85" s="85" t="s">
        <v>58</v>
      </c>
      <c r="H85" s="85" t="s">
        <v>54</v>
      </c>
      <c r="I85" s="85" t="s">
        <v>358</v>
      </c>
      <c r="J85" s="675" t="s">
        <v>358</v>
      </c>
      <c r="K85" s="85" t="s">
        <v>358</v>
      </c>
      <c r="L85" s="85" t="s">
        <v>40</v>
      </c>
      <c r="M85" s="85" t="s">
        <v>3</v>
      </c>
      <c r="N85" s="668" t="s">
        <v>44</v>
      </c>
      <c r="O85" s="669"/>
      <c r="P85" s="615">
        <v>-0.6</v>
      </c>
      <c r="Q85" s="615"/>
      <c r="R85" s="615"/>
      <c r="S85" s="615"/>
      <c r="T85" s="615"/>
      <c r="U85" s="615"/>
      <c r="V85" s="615"/>
      <c r="W85" s="615"/>
      <c r="X85" s="615"/>
      <c r="Y85" s="615"/>
      <c r="Z85" s="635"/>
      <c r="AA85" s="636"/>
      <c r="AB85" s="615"/>
      <c r="AC85" s="615"/>
      <c r="AD85" s="615"/>
      <c r="AE85" s="615"/>
      <c r="AF85" s="615"/>
      <c r="AG85" s="615"/>
      <c r="AH85" s="615"/>
      <c r="AI85" s="615"/>
      <c r="AJ85" s="615"/>
      <c r="AK85" s="615"/>
      <c r="AL85" s="635"/>
      <c r="AM85" s="636"/>
      <c r="AN85" s="615"/>
      <c r="AO85" s="615"/>
      <c r="AP85" s="615"/>
      <c r="AQ85" s="615"/>
      <c r="AR85" s="615"/>
      <c r="AS85" s="615"/>
      <c r="AT85" s="615"/>
      <c r="AU85" s="615"/>
      <c r="AV85" s="615"/>
      <c r="AW85" s="615"/>
      <c r="AX85" s="635"/>
      <c r="AY85" s="636"/>
      <c r="AZ85" s="615"/>
      <c r="BA85" s="615"/>
      <c r="BB85" s="615"/>
      <c r="BC85" s="615"/>
      <c r="BD85" s="615"/>
      <c r="BE85" s="615"/>
      <c r="BF85" s="615"/>
      <c r="BG85" s="615"/>
      <c r="BH85" s="615"/>
      <c r="BI85" s="615"/>
      <c r="BJ85" s="635"/>
      <c r="BK85" s="636"/>
      <c r="BL85" s="615"/>
      <c r="BM85" s="615"/>
      <c r="BN85" s="615"/>
      <c r="BO85" s="615"/>
      <c r="BP85" s="615"/>
      <c r="BQ85" s="615"/>
      <c r="BR85" s="615"/>
      <c r="BS85" s="615"/>
      <c r="BT85" s="615"/>
      <c r="BU85" s="615"/>
      <c r="BV85" s="637"/>
      <c r="BW85" s="669"/>
      <c r="BX85" s="615">
        <v>107</v>
      </c>
      <c r="BY85" s="615"/>
      <c r="BZ85" s="615"/>
      <c r="CA85" s="615"/>
      <c r="CB85" s="615"/>
      <c r="CC85" s="615"/>
      <c r="CD85" s="615"/>
      <c r="CE85" s="615"/>
      <c r="CF85" s="615"/>
      <c r="CG85" s="615"/>
      <c r="CH85" s="635"/>
      <c r="CI85" s="636"/>
      <c r="CJ85" s="615"/>
      <c r="CK85" s="615"/>
      <c r="CL85" s="615"/>
      <c r="CM85" s="615"/>
      <c r="CN85" s="615"/>
      <c r="CO85" s="615"/>
      <c r="CP85" s="615"/>
      <c r="CQ85" s="615"/>
      <c r="CR85" s="615"/>
      <c r="CS85" s="615"/>
      <c r="CT85" s="635"/>
      <c r="CU85" s="636"/>
      <c r="CV85" s="615"/>
      <c r="CW85" s="615"/>
      <c r="CX85" s="615"/>
      <c r="CY85" s="615"/>
      <c r="CZ85" s="615"/>
      <c r="DA85" s="615"/>
      <c r="DB85" s="615"/>
      <c r="DC85" s="615"/>
      <c r="DD85" s="615"/>
      <c r="DE85" s="615"/>
      <c r="DF85" s="635"/>
      <c r="DG85" s="636"/>
      <c r="DH85" s="615"/>
      <c r="DI85" s="615"/>
      <c r="DJ85" s="615"/>
      <c r="DK85" s="615"/>
      <c r="DL85" s="615"/>
      <c r="DM85" s="615"/>
      <c r="DN85" s="615"/>
      <c r="DO85" s="615"/>
      <c r="DP85" s="615"/>
      <c r="DQ85" s="615"/>
      <c r="DR85" s="635"/>
      <c r="DS85" s="636"/>
      <c r="DT85" s="615"/>
      <c r="DU85" s="615"/>
      <c r="DV85" s="615"/>
      <c r="DW85" s="615"/>
      <c r="DX85" s="615"/>
      <c r="DY85" s="615"/>
      <c r="DZ85" s="615"/>
      <c r="EA85" s="615"/>
      <c r="EB85" s="615"/>
      <c r="EC85" s="615"/>
      <c r="ED85" s="637"/>
      <c r="EE85" s="692"/>
    </row>
    <row r="86" spans="1:135" x14ac:dyDescent="0.25">
      <c r="A86" s="640" t="s">
        <v>11</v>
      </c>
      <c r="B86" s="367" t="s">
        <v>856</v>
      </c>
      <c r="C86" s="367" t="s">
        <v>620</v>
      </c>
      <c r="D86" s="367" t="s">
        <v>857</v>
      </c>
      <c r="E86" s="503" t="s">
        <v>844</v>
      </c>
      <c r="F86" s="570">
        <v>44568</v>
      </c>
      <c r="G86" s="85" t="s">
        <v>58</v>
      </c>
      <c r="H86" s="85" t="s">
        <v>54</v>
      </c>
      <c r="I86" s="85" t="s">
        <v>358</v>
      </c>
      <c r="J86" s="675" t="s">
        <v>358</v>
      </c>
      <c r="K86" s="85" t="s">
        <v>358</v>
      </c>
      <c r="L86" s="85" t="s">
        <v>40</v>
      </c>
      <c r="M86" s="85" t="s">
        <v>3</v>
      </c>
      <c r="N86" s="668" t="s">
        <v>44</v>
      </c>
      <c r="O86" s="669"/>
      <c r="P86" s="615">
        <v>-1</v>
      </c>
      <c r="Q86" s="615"/>
      <c r="R86" s="615"/>
      <c r="S86" s="615"/>
      <c r="T86" s="615"/>
      <c r="U86" s="615"/>
      <c r="V86" s="615"/>
      <c r="W86" s="615"/>
      <c r="X86" s="615"/>
      <c r="Y86" s="615"/>
      <c r="Z86" s="635"/>
      <c r="AA86" s="636"/>
      <c r="AB86" s="615"/>
      <c r="AC86" s="615"/>
      <c r="AD86" s="615"/>
      <c r="AE86" s="615"/>
      <c r="AF86" s="615"/>
      <c r="AG86" s="615"/>
      <c r="AH86" s="615"/>
      <c r="AI86" s="615"/>
      <c r="AJ86" s="615"/>
      <c r="AK86" s="615"/>
      <c r="AL86" s="635"/>
      <c r="AM86" s="636"/>
      <c r="AN86" s="615"/>
      <c r="AO86" s="615"/>
      <c r="AP86" s="615"/>
      <c r="AQ86" s="615"/>
      <c r="AR86" s="615"/>
      <c r="AS86" s="615"/>
      <c r="AT86" s="615"/>
      <c r="AU86" s="615"/>
      <c r="AV86" s="615"/>
      <c r="AW86" s="615"/>
      <c r="AX86" s="635"/>
      <c r="AY86" s="636"/>
      <c r="AZ86" s="615"/>
      <c r="BA86" s="615"/>
      <c r="BB86" s="615"/>
      <c r="BC86" s="615"/>
      <c r="BD86" s="615"/>
      <c r="BE86" s="615"/>
      <c r="BF86" s="615"/>
      <c r="BG86" s="615"/>
      <c r="BH86" s="615"/>
      <c r="BI86" s="615"/>
      <c r="BJ86" s="635"/>
      <c r="BK86" s="636"/>
      <c r="BL86" s="615"/>
      <c r="BM86" s="615"/>
      <c r="BN86" s="615"/>
      <c r="BO86" s="615"/>
      <c r="BP86" s="615"/>
      <c r="BQ86" s="615"/>
      <c r="BR86" s="615"/>
      <c r="BS86" s="615"/>
      <c r="BT86" s="615"/>
      <c r="BU86" s="615"/>
      <c r="BV86" s="637"/>
      <c r="BW86" s="669"/>
      <c r="BX86" s="615">
        <v>106</v>
      </c>
      <c r="BY86" s="615"/>
      <c r="BZ86" s="615"/>
      <c r="CA86" s="615"/>
      <c r="CB86" s="615"/>
      <c r="CC86" s="615"/>
      <c r="CD86" s="615"/>
      <c r="CE86" s="615"/>
      <c r="CF86" s="615"/>
      <c r="CG86" s="615"/>
      <c r="CH86" s="635"/>
      <c r="CI86" s="636"/>
      <c r="CJ86" s="615"/>
      <c r="CK86" s="615"/>
      <c r="CL86" s="615"/>
      <c r="CM86" s="615"/>
      <c r="CN86" s="615"/>
      <c r="CO86" s="615"/>
      <c r="CP86" s="615"/>
      <c r="CQ86" s="615"/>
      <c r="CR86" s="615"/>
      <c r="CS86" s="615"/>
      <c r="CT86" s="635"/>
      <c r="CU86" s="636"/>
      <c r="CV86" s="615"/>
      <c r="CW86" s="615"/>
      <c r="CX86" s="615"/>
      <c r="CY86" s="615"/>
      <c r="CZ86" s="615"/>
      <c r="DA86" s="615"/>
      <c r="DB86" s="615"/>
      <c r="DC86" s="615"/>
      <c r="DD86" s="615"/>
      <c r="DE86" s="615"/>
      <c r="DF86" s="635"/>
      <c r="DG86" s="636"/>
      <c r="DH86" s="615"/>
      <c r="DI86" s="615"/>
      <c r="DJ86" s="615"/>
      <c r="DK86" s="615"/>
      <c r="DL86" s="615"/>
      <c r="DM86" s="615"/>
      <c r="DN86" s="615"/>
      <c r="DO86" s="615"/>
      <c r="DP86" s="615"/>
      <c r="DQ86" s="615"/>
      <c r="DR86" s="635"/>
      <c r="DS86" s="636"/>
      <c r="DT86" s="615"/>
      <c r="DU86" s="615"/>
      <c r="DV86" s="615"/>
      <c r="DW86" s="615"/>
      <c r="DX86" s="615"/>
      <c r="DY86" s="615"/>
      <c r="DZ86" s="615"/>
      <c r="EA86" s="615"/>
      <c r="EB86" s="615"/>
      <c r="EC86" s="615"/>
      <c r="ED86" s="637"/>
      <c r="EE86" s="692"/>
    </row>
    <row r="87" spans="1:135" x14ac:dyDescent="0.25">
      <c r="A87" s="640" t="s">
        <v>11</v>
      </c>
      <c r="B87" s="367" t="s">
        <v>858</v>
      </c>
      <c r="C87" s="367" t="s">
        <v>467</v>
      </c>
      <c r="D87" s="367" t="s">
        <v>859</v>
      </c>
      <c r="E87" s="503" t="s">
        <v>845</v>
      </c>
      <c r="F87" s="570">
        <v>44568</v>
      </c>
      <c r="G87" s="85" t="s">
        <v>58</v>
      </c>
      <c r="H87" s="85" t="s">
        <v>54</v>
      </c>
      <c r="I87" s="85" t="s">
        <v>358</v>
      </c>
      <c r="J87" s="675" t="s">
        <v>358</v>
      </c>
      <c r="K87" s="85" t="s">
        <v>358</v>
      </c>
      <c r="L87" s="85" t="s">
        <v>40</v>
      </c>
      <c r="M87" s="85" t="s">
        <v>3</v>
      </c>
      <c r="N87" s="668" t="s">
        <v>44</v>
      </c>
      <c r="O87" s="669">
        <v>-1.6</v>
      </c>
      <c r="P87" s="615"/>
      <c r="Q87" s="615"/>
      <c r="R87" s="615"/>
      <c r="S87" s="615"/>
      <c r="T87" s="615"/>
      <c r="U87" s="615"/>
      <c r="V87" s="615"/>
      <c r="W87" s="615"/>
      <c r="X87" s="615"/>
      <c r="Y87" s="615"/>
      <c r="Z87" s="635"/>
      <c r="AA87" s="636"/>
      <c r="AB87" s="615"/>
      <c r="AC87" s="615"/>
      <c r="AD87" s="615"/>
      <c r="AE87" s="615"/>
      <c r="AF87" s="615"/>
      <c r="AG87" s="615"/>
      <c r="AH87" s="615"/>
      <c r="AI87" s="615"/>
      <c r="AJ87" s="615"/>
      <c r="AK87" s="615"/>
      <c r="AL87" s="635"/>
      <c r="AM87" s="636"/>
      <c r="AN87" s="615"/>
      <c r="AO87" s="615"/>
      <c r="AP87" s="615"/>
      <c r="AQ87" s="615"/>
      <c r="AR87" s="615"/>
      <c r="AS87" s="615"/>
      <c r="AT87" s="615"/>
      <c r="AU87" s="615"/>
      <c r="AV87" s="615"/>
      <c r="AW87" s="615"/>
      <c r="AX87" s="635"/>
      <c r="AY87" s="636"/>
      <c r="AZ87" s="615"/>
      <c r="BA87" s="615"/>
      <c r="BB87" s="615"/>
      <c r="BC87" s="615"/>
      <c r="BD87" s="615"/>
      <c r="BE87" s="615"/>
      <c r="BF87" s="615"/>
      <c r="BG87" s="615"/>
      <c r="BH87" s="615"/>
      <c r="BI87" s="615"/>
      <c r="BJ87" s="635"/>
      <c r="BK87" s="636"/>
      <c r="BL87" s="615"/>
      <c r="BM87" s="615"/>
      <c r="BN87" s="615"/>
      <c r="BO87" s="615"/>
      <c r="BP87" s="615"/>
      <c r="BQ87" s="615"/>
      <c r="BR87" s="615"/>
      <c r="BS87" s="615"/>
      <c r="BT87" s="615"/>
      <c r="BU87" s="615"/>
      <c r="BV87" s="637"/>
      <c r="BW87" s="669">
        <v>71</v>
      </c>
      <c r="BX87" s="615"/>
      <c r="BY87" s="615"/>
      <c r="BZ87" s="615"/>
      <c r="CA87" s="615"/>
      <c r="CB87" s="615"/>
      <c r="CC87" s="615"/>
      <c r="CD87" s="615"/>
      <c r="CE87" s="615"/>
      <c r="CF87" s="615"/>
      <c r="CG87" s="615"/>
      <c r="CH87" s="635"/>
      <c r="CI87" s="636"/>
      <c r="CJ87" s="615"/>
      <c r="CK87" s="615"/>
      <c r="CL87" s="615"/>
      <c r="CM87" s="615"/>
      <c r="CN87" s="615"/>
      <c r="CO87" s="615"/>
      <c r="CP87" s="615"/>
      <c r="CQ87" s="615"/>
      <c r="CR87" s="615"/>
      <c r="CS87" s="615"/>
      <c r="CT87" s="635"/>
      <c r="CU87" s="636"/>
      <c r="CV87" s="615"/>
      <c r="CW87" s="615"/>
      <c r="CX87" s="615"/>
      <c r="CY87" s="615"/>
      <c r="CZ87" s="615"/>
      <c r="DA87" s="615"/>
      <c r="DB87" s="615"/>
      <c r="DC87" s="615"/>
      <c r="DD87" s="615"/>
      <c r="DE87" s="615"/>
      <c r="DF87" s="635"/>
      <c r="DG87" s="636"/>
      <c r="DH87" s="615"/>
      <c r="DI87" s="615"/>
      <c r="DJ87" s="615"/>
      <c r="DK87" s="615"/>
      <c r="DL87" s="615"/>
      <c r="DM87" s="615"/>
      <c r="DN87" s="615"/>
      <c r="DO87" s="615"/>
      <c r="DP87" s="615"/>
      <c r="DQ87" s="615"/>
      <c r="DR87" s="635"/>
      <c r="DS87" s="636"/>
      <c r="DT87" s="615"/>
      <c r="DU87" s="615"/>
      <c r="DV87" s="615"/>
      <c r="DW87" s="615"/>
      <c r="DX87" s="615"/>
      <c r="DY87" s="615"/>
      <c r="DZ87" s="615"/>
      <c r="EA87" s="615"/>
      <c r="EB87" s="615"/>
      <c r="EC87" s="615"/>
      <c r="ED87" s="637"/>
      <c r="EE87" s="692"/>
    </row>
    <row r="88" spans="1:135" x14ac:dyDescent="0.25">
      <c r="A88" s="640" t="s">
        <v>11</v>
      </c>
      <c r="B88" s="367" t="s">
        <v>860</v>
      </c>
      <c r="C88" s="367" t="s">
        <v>350</v>
      </c>
      <c r="D88" s="367" t="s">
        <v>861</v>
      </c>
      <c r="E88" s="503" t="s">
        <v>846</v>
      </c>
      <c r="F88" s="570">
        <v>44568</v>
      </c>
      <c r="G88" s="85" t="s">
        <v>58</v>
      </c>
      <c r="H88" s="85" t="s">
        <v>54</v>
      </c>
      <c r="I88" s="85" t="s">
        <v>358</v>
      </c>
      <c r="J88" s="675" t="s">
        <v>358</v>
      </c>
      <c r="K88" s="85" t="s">
        <v>358</v>
      </c>
      <c r="L88" s="85" t="s">
        <v>40</v>
      </c>
      <c r="M88" s="85" t="s">
        <v>3</v>
      </c>
      <c r="N88" s="668" t="s">
        <v>44</v>
      </c>
      <c r="O88" s="669"/>
      <c r="P88" s="615"/>
      <c r="Q88" s="615"/>
      <c r="R88" s="615">
        <v>-1.6</v>
      </c>
      <c r="S88" s="615">
        <v>-1.6</v>
      </c>
      <c r="T88" s="615">
        <v>-1.6</v>
      </c>
      <c r="U88" s="615"/>
      <c r="V88" s="615"/>
      <c r="W88" s="615"/>
      <c r="X88" s="615"/>
      <c r="Y88" s="615"/>
      <c r="Z88" s="635"/>
      <c r="AA88" s="636"/>
      <c r="AB88" s="615"/>
      <c r="AC88" s="615"/>
      <c r="AD88" s="615"/>
      <c r="AE88" s="615"/>
      <c r="AF88" s="615"/>
      <c r="AG88" s="615"/>
      <c r="AH88" s="615"/>
      <c r="AI88" s="615"/>
      <c r="AJ88" s="615"/>
      <c r="AK88" s="615"/>
      <c r="AL88" s="635"/>
      <c r="AM88" s="636"/>
      <c r="AN88" s="615"/>
      <c r="AO88" s="615"/>
      <c r="AP88" s="615"/>
      <c r="AQ88" s="615"/>
      <c r="AR88" s="615"/>
      <c r="AS88" s="615"/>
      <c r="AT88" s="615"/>
      <c r="AU88" s="615"/>
      <c r="AV88" s="615"/>
      <c r="AW88" s="615"/>
      <c r="AX88" s="635"/>
      <c r="AY88" s="636"/>
      <c r="AZ88" s="615"/>
      <c r="BA88" s="615"/>
      <c r="BB88" s="615"/>
      <c r="BC88" s="615"/>
      <c r="BD88" s="615"/>
      <c r="BE88" s="615"/>
      <c r="BF88" s="615"/>
      <c r="BG88" s="615"/>
      <c r="BH88" s="615"/>
      <c r="BI88" s="615"/>
      <c r="BJ88" s="635"/>
      <c r="BK88" s="636"/>
      <c r="BL88" s="615"/>
      <c r="BM88" s="615"/>
      <c r="BN88" s="615"/>
      <c r="BO88" s="615"/>
      <c r="BP88" s="615"/>
      <c r="BQ88" s="615"/>
      <c r="BR88" s="615"/>
      <c r="BS88" s="615"/>
      <c r="BT88" s="615"/>
      <c r="BU88" s="615"/>
      <c r="BV88" s="637"/>
      <c r="BW88" s="669"/>
      <c r="BX88" s="615"/>
      <c r="BY88" s="615"/>
      <c r="BZ88" s="615">
        <v>139</v>
      </c>
      <c r="CA88" s="615">
        <v>139</v>
      </c>
      <c r="CB88" s="615">
        <v>139</v>
      </c>
      <c r="CC88" s="615"/>
      <c r="CD88" s="615"/>
      <c r="CE88" s="615"/>
      <c r="CF88" s="615"/>
      <c r="CG88" s="615"/>
      <c r="CH88" s="635"/>
      <c r="CI88" s="636"/>
      <c r="CJ88" s="615"/>
      <c r="CK88" s="615"/>
      <c r="CL88" s="615"/>
      <c r="CM88" s="615"/>
      <c r="CN88" s="615"/>
      <c r="CO88" s="615"/>
      <c r="CP88" s="615"/>
      <c r="CQ88" s="615"/>
      <c r="CR88" s="615"/>
      <c r="CS88" s="615"/>
      <c r="CT88" s="635"/>
      <c r="CU88" s="636"/>
      <c r="CV88" s="615"/>
      <c r="CW88" s="615"/>
      <c r="CX88" s="615"/>
      <c r="CY88" s="615"/>
      <c r="CZ88" s="615"/>
      <c r="DA88" s="615"/>
      <c r="DB88" s="615"/>
      <c r="DC88" s="615"/>
      <c r="DD88" s="615"/>
      <c r="DE88" s="615"/>
      <c r="DF88" s="635"/>
      <c r="DG88" s="636"/>
      <c r="DH88" s="615"/>
      <c r="DI88" s="615"/>
      <c r="DJ88" s="615"/>
      <c r="DK88" s="615"/>
      <c r="DL88" s="615"/>
      <c r="DM88" s="615"/>
      <c r="DN88" s="615"/>
      <c r="DO88" s="615"/>
      <c r="DP88" s="615"/>
      <c r="DQ88" s="615"/>
      <c r="DR88" s="635"/>
      <c r="DS88" s="636"/>
      <c r="DT88" s="615"/>
      <c r="DU88" s="615"/>
      <c r="DV88" s="615"/>
      <c r="DW88" s="615"/>
      <c r="DX88" s="615"/>
      <c r="DY88" s="615"/>
      <c r="DZ88" s="615"/>
      <c r="EA88" s="615"/>
      <c r="EB88" s="615"/>
      <c r="EC88" s="615"/>
      <c r="ED88" s="637"/>
      <c r="EE88" s="692"/>
    </row>
    <row r="89" spans="1:135" x14ac:dyDescent="0.25">
      <c r="A89" s="640" t="s">
        <v>11</v>
      </c>
      <c r="B89" s="367" t="s">
        <v>862</v>
      </c>
      <c r="C89" s="367" t="s">
        <v>409</v>
      </c>
      <c r="D89" s="367" t="s">
        <v>863</v>
      </c>
      <c r="E89" s="503" t="s">
        <v>847</v>
      </c>
      <c r="F89" s="570">
        <v>44568</v>
      </c>
      <c r="G89" s="85" t="s">
        <v>58</v>
      </c>
      <c r="H89" s="85" t="s">
        <v>54</v>
      </c>
      <c r="I89" s="85" t="s">
        <v>358</v>
      </c>
      <c r="J89" s="675" t="s">
        <v>358</v>
      </c>
      <c r="K89" s="85" t="s">
        <v>358</v>
      </c>
      <c r="L89" s="85" t="s">
        <v>40</v>
      </c>
      <c r="M89" s="85" t="s">
        <v>3</v>
      </c>
      <c r="N89" s="668" t="s">
        <v>44</v>
      </c>
      <c r="O89" s="669"/>
      <c r="P89" s="615"/>
      <c r="Q89" s="615"/>
      <c r="R89" s="615"/>
      <c r="S89" s="615"/>
      <c r="T89" s="615"/>
      <c r="U89" s="615">
        <v>-1.6</v>
      </c>
      <c r="V89" s="615">
        <v>-1.6</v>
      </c>
      <c r="W89" s="615">
        <v>-1.6</v>
      </c>
      <c r="X89" s="615">
        <v>-1.6</v>
      </c>
      <c r="Y89" s="615">
        <v>-1.6</v>
      </c>
      <c r="Z89" s="635">
        <v>-1.6</v>
      </c>
      <c r="AA89" s="636"/>
      <c r="AB89" s="615"/>
      <c r="AC89" s="615"/>
      <c r="AD89" s="615"/>
      <c r="AE89" s="615"/>
      <c r="AF89" s="615"/>
      <c r="AG89" s="615"/>
      <c r="AH89" s="615"/>
      <c r="AI89" s="615"/>
      <c r="AJ89" s="615"/>
      <c r="AK89" s="615"/>
      <c r="AL89" s="635"/>
      <c r="AM89" s="636"/>
      <c r="AN89" s="615"/>
      <c r="AO89" s="615"/>
      <c r="AP89" s="615"/>
      <c r="AQ89" s="615"/>
      <c r="AR89" s="615"/>
      <c r="AS89" s="615"/>
      <c r="AT89" s="615"/>
      <c r="AU89" s="615"/>
      <c r="AV89" s="615"/>
      <c r="AW89" s="615"/>
      <c r="AX89" s="635"/>
      <c r="AY89" s="636"/>
      <c r="AZ89" s="615"/>
      <c r="BA89" s="615"/>
      <c r="BB89" s="615"/>
      <c r="BC89" s="615"/>
      <c r="BD89" s="615"/>
      <c r="BE89" s="615"/>
      <c r="BF89" s="615"/>
      <c r="BG89" s="615"/>
      <c r="BH89" s="615"/>
      <c r="BI89" s="615"/>
      <c r="BJ89" s="635"/>
      <c r="BK89" s="636"/>
      <c r="BL89" s="615"/>
      <c r="BM89" s="615"/>
      <c r="BN89" s="615"/>
      <c r="BO89" s="615"/>
      <c r="BP89" s="615"/>
      <c r="BQ89" s="615"/>
      <c r="BR89" s="615"/>
      <c r="BS89" s="615"/>
      <c r="BT89" s="615"/>
      <c r="BU89" s="615"/>
      <c r="BV89" s="637"/>
      <c r="BW89" s="669"/>
      <c r="BX89" s="615"/>
      <c r="BY89" s="615"/>
      <c r="BZ89" s="615"/>
      <c r="CA89" s="615"/>
      <c r="CB89" s="615"/>
      <c r="CC89" s="615">
        <v>212</v>
      </c>
      <c r="CD89" s="615">
        <v>212</v>
      </c>
      <c r="CE89" s="615">
        <v>212</v>
      </c>
      <c r="CF89" s="615">
        <v>212</v>
      </c>
      <c r="CG89" s="615">
        <v>212</v>
      </c>
      <c r="CH89" s="635">
        <v>212</v>
      </c>
      <c r="CI89" s="636"/>
      <c r="CJ89" s="615"/>
      <c r="CK89" s="615"/>
      <c r="CL89" s="615"/>
      <c r="CM89" s="615"/>
      <c r="CN89" s="615"/>
      <c r="CO89" s="615"/>
      <c r="CP89" s="615"/>
      <c r="CQ89" s="615"/>
      <c r="CR89" s="615"/>
      <c r="CS89" s="615"/>
      <c r="CT89" s="635"/>
      <c r="CU89" s="636"/>
      <c r="CV89" s="615"/>
      <c r="CW89" s="615"/>
      <c r="CX89" s="615"/>
      <c r="CY89" s="615"/>
      <c r="CZ89" s="615"/>
      <c r="DA89" s="615"/>
      <c r="DB89" s="615"/>
      <c r="DC89" s="615"/>
      <c r="DD89" s="615"/>
      <c r="DE89" s="615"/>
      <c r="DF89" s="635"/>
      <c r="DG89" s="636"/>
      <c r="DH89" s="615"/>
      <c r="DI89" s="615"/>
      <c r="DJ89" s="615"/>
      <c r="DK89" s="615"/>
      <c r="DL89" s="615"/>
      <c r="DM89" s="615"/>
      <c r="DN89" s="615"/>
      <c r="DO89" s="615"/>
      <c r="DP89" s="615"/>
      <c r="DQ89" s="615"/>
      <c r="DR89" s="635"/>
      <c r="DS89" s="636"/>
      <c r="DT89" s="615"/>
      <c r="DU89" s="615"/>
      <c r="DV89" s="615"/>
      <c r="DW89" s="615"/>
      <c r="DX89" s="615"/>
      <c r="DY89" s="615"/>
      <c r="DZ89" s="615"/>
      <c r="EA89" s="615"/>
      <c r="EB89" s="615"/>
      <c r="EC89" s="615"/>
      <c r="ED89" s="637"/>
      <c r="EE89" s="692"/>
    </row>
    <row r="90" spans="1:135" x14ac:dyDescent="0.25">
      <c r="A90" s="640" t="s">
        <v>11</v>
      </c>
      <c r="B90" s="367" t="s">
        <v>877</v>
      </c>
      <c r="C90" s="367" t="s">
        <v>585</v>
      </c>
      <c r="D90" s="367" t="s">
        <v>878</v>
      </c>
      <c r="E90" s="503" t="s">
        <v>867</v>
      </c>
      <c r="F90" s="570">
        <v>44571</v>
      </c>
      <c r="G90" s="85" t="s">
        <v>59</v>
      </c>
      <c r="H90" s="85" t="s">
        <v>54</v>
      </c>
      <c r="I90" s="85" t="s">
        <v>358</v>
      </c>
      <c r="J90" s="675" t="s">
        <v>358</v>
      </c>
      <c r="K90" s="85" t="s">
        <v>358</v>
      </c>
      <c r="L90" s="85" t="s">
        <v>40</v>
      </c>
      <c r="M90" s="85" t="s">
        <v>3</v>
      </c>
      <c r="N90" s="668" t="s">
        <v>44</v>
      </c>
      <c r="O90" s="669"/>
      <c r="P90" s="615"/>
      <c r="Q90" s="615"/>
      <c r="R90" s="615"/>
      <c r="S90" s="615">
        <v>5</v>
      </c>
      <c r="T90" s="615"/>
      <c r="U90" s="615"/>
      <c r="V90" s="615"/>
      <c r="W90" s="615"/>
      <c r="X90" s="615"/>
      <c r="Y90" s="615"/>
      <c r="Z90" s="635"/>
      <c r="AA90" s="636"/>
      <c r="AB90" s="615"/>
      <c r="AC90" s="615"/>
      <c r="AD90" s="615"/>
      <c r="AE90" s="615"/>
      <c r="AF90" s="615"/>
      <c r="AG90" s="615"/>
      <c r="AH90" s="615"/>
      <c r="AI90" s="615"/>
      <c r="AJ90" s="615"/>
      <c r="AK90" s="615"/>
      <c r="AL90" s="635"/>
      <c r="AM90" s="636"/>
      <c r="AN90" s="615"/>
      <c r="AO90" s="615"/>
      <c r="AP90" s="615"/>
      <c r="AQ90" s="615"/>
      <c r="AR90" s="615"/>
      <c r="AS90" s="615"/>
      <c r="AT90" s="615"/>
      <c r="AU90" s="615"/>
      <c r="AV90" s="615"/>
      <c r="AW90" s="615"/>
      <c r="AX90" s="635"/>
      <c r="AY90" s="636"/>
      <c r="AZ90" s="615"/>
      <c r="BA90" s="615"/>
      <c r="BB90" s="615"/>
      <c r="BC90" s="615"/>
      <c r="BD90" s="615"/>
      <c r="BE90" s="615"/>
      <c r="BF90" s="615"/>
      <c r="BG90" s="615"/>
      <c r="BH90" s="615"/>
      <c r="BI90" s="615"/>
      <c r="BJ90" s="635"/>
      <c r="BK90" s="636"/>
      <c r="BL90" s="615"/>
      <c r="BM90" s="615"/>
      <c r="BN90" s="615"/>
      <c r="BO90" s="615"/>
      <c r="BP90" s="615"/>
      <c r="BQ90" s="615"/>
      <c r="BR90" s="615"/>
      <c r="BS90" s="615"/>
      <c r="BT90" s="615"/>
      <c r="BU90" s="615"/>
      <c r="BV90" s="637"/>
      <c r="BW90" s="669"/>
      <c r="BX90" s="615"/>
      <c r="BY90" s="615"/>
      <c r="BZ90" s="615"/>
      <c r="CA90" s="615">
        <v>132</v>
      </c>
      <c r="CB90" s="615"/>
      <c r="CC90" s="615"/>
      <c r="CD90" s="615"/>
      <c r="CE90" s="615"/>
      <c r="CF90" s="615"/>
      <c r="CG90" s="615"/>
      <c r="CH90" s="635"/>
      <c r="CI90" s="636"/>
      <c r="CJ90" s="615"/>
      <c r="CK90" s="615"/>
      <c r="CL90" s="615"/>
      <c r="CM90" s="615"/>
      <c r="CN90" s="615"/>
      <c r="CO90" s="615"/>
      <c r="CP90" s="615"/>
      <c r="CQ90" s="615"/>
      <c r="CR90" s="615"/>
      <c r="CS90" s="615"/>
      <c r="CT90" s="635"/>
      <c r="CU90" s="636"/>
      <c r="CV90" s="615"/>
      <c r="CW90" s="615"/>
      <c r="CX90" s="615"/>
      <c r="CY90" s="615"/>
      <c r="CZ90" s="615"/>
      <c r="DA90" s="615"/>
      <c r="DB90" s="615"/>
      <c r="DC90" s="615"/>
      <c r="DD90" s="615"/>
      <c r="DE90" s="615"/>
      <c r="DF90" s="635"/>
      <c r="DG90" s="636"/>
      <c r="DH90" s="615"/>
      <c r="DI90" s="615"/>
      <c r="DJ90" s="615"/>
      <c r="DK90" s="615"/>
      <c r="DL90" s="615"/>
      <c r="DM90" s="615"/>
      <c r="DN90" s="615"/>
      <c r="DO90" s="615"/>
      <c r="DP90" s="615"/>
      <c r="DQ90" s="615"/>
      <c r="DR90" s="635"/>
      <c r="DS90" s="636"/>
      <c r="DT90" s="615"/>
      <c r="DU90" s="615"/>
      <c r="DV90" s="615"/>
      <c r="DW90" s="615"/>
      <c r="DX90" s="615"/>
      <c r="DY90" s="615"/>
      <c r="DZ90" s="615"/>
      <c r="EA90" s="615"/>
      <c r="EB90" s="615"/>
      <c r="EC90" s="615"/>
      <c r="ED90" s="637"/>
      <c r="EE90" s="692"/>
    </row>
    <row r="91" spans="1:135" x14ac:dyDescent="0.25">
      <c r="A91" s="640" t="s">
        <v>11</v>
      </c>
      <c r="B91" s="367" t="s">
        <v>879</v>
      </c>
      <c r="C91" s="367" t="s">
        <v>585</v>
      </c>
      <c r="D91" s="367" t="s">
        <v>880</v>
      </c>
      <c r="E91" s="503" t="s">
        <v>868</v>
      </c>
      <c r="F91" s="570">
        <v>44571</v>
      </c>
      <c r="G91" s="85" t="s">
        <v>59</v>
      </c>
      <c r="H91" s="85" t="s">
        <v>54</v>
      </c>
      <c r="I91" s="85" t="s">
        <v>358</v>
      </c>
      <c r="J91" s="675" t="s">
        <v>358</v>
      </c>
      <c r="K91" s="85" t="s">
        <v>358</v>
      </c>
      <c r="L91" s="85" t="s">
        <v>40</v>
      </c>
      <c r="M91" s="85" t="s">
        <v>3</v>
      </c>
      <c r="N91" s="668" t="s">
        <v>44</v>
      </c>
      <c r="O91" s="669"/>
      <c r="P91" s="615"/>
      <c r="Q91" s="615">
        <v>5</v>
      </c>
      <c r="R91" s="615"/>
      <c r="S91" s="615"/>
      <c r="T91" s="615"/>
      <c r="U91" s="615"/>
      <c r="V91" s="615"/>
      <c r="W91" s="615"/>
      <c r="X91" s="615"/>
      <c r="Y91" s="615"/>
      <c r="Z91" s="635"/>
      <c r="AA91" s="636"/>
      <c r="AB91" s="615"/>
      <c r="AC91" s="615"/>
      <c r="AD91" s="615"/>
      <c r="AE91" s="615"/>
      <c r="AF91" s="615"/>
      <c r="AG91" s="615"/>
      <c r="AH91" s="615"/>
      <c r="AI91" s="615"/>
      <c r="AJ91" s="615"/>
      <c r="AK91" s="615"/>
      <c r="AL91" s="635"/>
      <c r="AM91" s="636"/>
      <c r="AN91" s="615"/>
      <c r="AO91" s="615"/>
      <c r="AP91" s="615"/>
      <c r="AQ91" s="615"/>
      <c r="AR91" s="615"/>
      <c r="AS91" s="615"/>
      <c r="AT91" s="615"/>
      <c r="AU91" s="615"/>
      <c r="AV91" s="615"/>
      <c r="AW91" s="615"/>
      <c r="AX91" s="635"/>
      <c r="AY91" s="636"/>
      <c r="AZ91" s="615"/>
      <c r="BA91" s="615"/>
      <c r="BB91" s="615"/>
      <c r="BC91" s="615"/>
      <c r="BD91" s="615"/>
      <c r="BE91" s="615"/>
      <c r="BF91" s="615"/>
      <c r="BG91" s="615"/>
      <c r="BH91" s="615"/>
      <c r="BI91" s="615"/>
      <c r="BJ91" s="635"/>
      <c r="BK91" s="636"/>
      <c r="BL91" s="615"/>
      <c r="BM91" s="615"/>
      <c r="BN91" s="615"/>
      <c r="BO91" s="615"/>
      <c r="BP91" s="615"/>
      <c r="BQ91" s="615"/>
      <c r="BR91" s="615"/>
      <c r="BS91" s="615"/>
      <c r="BT91" s="615"/>
      <c r="BU91" s="615"/>
      <c r="BV91" s="637"/>
      <c r="BW91" s="669"/>
      <c r="BX91" s="615"/>
      <c r="BY91" s="615">
        <v>125</v>
      </c>
      <c r="BZ91" s="615"/>
      <c r="CA91" s="615"/>
      <c r="CB91" s="615"/>
      <c r="CC91" s="615"/>
      <c r="CD91" s="615"/>
      <c r="CE91" s="615"/>
      <c r="CF91" s="615"/>
      <c r="CG91" s="615"/>
      <c r="CH91" s="635"/>
      <c r="CI91" s="636"/>
      <c r="CJ91" s="615"/>
      <c r="CK91" s="615"/>
      <c r="CL91" s="615"/>
      <c r="CM91" s="615"/>
      <c r="CN91" s="615"/>
      <c r="CO91" s="615"/>
      <c r="CP91" s="615"/>
      <c r="CQ91" s="615"/>
      <c r="CR91" s="615"/>
      <c r="CS91" s="615"/>
      <c r="CT91" s="635"/>
      <c r="CU91" s="636"/>
      <c r="CV91" s="615"/>
      <c r="CW91" s="615"/>
      <c r="CX91" s="615"/>
      <c r="CY91" s="615"/>
      <c r="CZ91" s="615"/>
      <c r="DA91" s="615"/>
      <c r="DB91" s="615"/>
      <c r="DC91" s="615"/>
      <c r="DD91" s="615"/>
      <c r="DE91" s="615"/>
      <c r="DF91" s="635"/>
      <c r="DG91" s="636"/>
      <c r="DH91" s="615"/>
      <c r="DI91" s="615"/>
      <c r="DJ91" s="615"/>
      <c r="DK91" s="615"/>
      <c r="DL91" s="615"/>
      <c r="DM91" s="615"/>
      <c r="DN91" s="615"/>
      <c r="DO91" s="615"/>
      <c r="DP91" s="615"/>
      <c r="DQ91" s="615"/>
      <c r="DR91" s="635"/>
      <c r="DS91" s="636"/>
      <c r="DT91" s="615"/>
      <c r="DU91" s="615"/>
      <c r="DV91" s="615"/>
      <c r="DW91" s="615"/>
      <c r="DX91" s="615"/>
      <c r="DY91" s="615"/>
      <c r="DZ91" s="615"/>
      <c r="EA91" s="615"/>
      <c r="EB91" s="615"/>
      <c r="EC91" s="615"/>
      <c r="ED91" s="637"/>
      <c r="EE91" s="692"/>
    </row>
    <row r="92" spans="1:135" x14ac:dyDescent="0.25">
      <c r="A92" s="640" t="s">
        <v>11</v>
      </c>
      <c r="B92" s="367" t="s">
        <v>881</v>
      </c>
      <c r="C92" s="367" t="s">
        <v>349</v>
      </c>
      <c r="D92" s="367" t="s">
        <v>882</v>
      </c>
      <c r="E92" s="503" t="s">
        <v>869</v>
      </c>
      <c r="F92" s="570">
        <v>44571</v>
      </c>
      <c r="G92" s="85" t="s">
        <v>59</v>
      </c>
      <c r="H92" s="85" t="s">
        <v>54</v>
      </c>
      <c r="I92" s="85" t="s">
        <v>358</v>
      </c>
      <c r="J92" s="675" t="s">
        <v>358</v>
      </c>
      <c r="K92" s="85" t="s">
        <v>358</v>
      </c>
      <c r="L92" s="85" t="s">
        <v>40</v>
      </c>
      <c r="M92" s="85" t="s">
        <v>3</v>
      </c>
      <c r="N92" s="668" t="s">
        <v>44</v>
      </c>
      <c r="O92" s="669"/>
      <c r="P92" s="615"/>
      <c r="Q92" s="615">
        <v>20</v>
      </c>
      <c r="R92" s="615"/>
      <c r="S92" s="615"/>
      <c r="T92" s="615"/>
      <c r="U92" s="615"/>
      <c r="V92" s="615"/>
      <c r="W92" s="615"/>
      <c r="X92" s="615"/>
      <c r="Y92" s="615"/>
      <c r="Z92" s="635"/>
      <c r="AA92" s="636"/>
      <c r="AB92" s="615"/>
      <c r="AC92" s="615"/>
      <c r="AD92" s="615"/>
      <c r="AE92" s="615"/>
      <c r="AF92" s="615"/>
      <c r="AG92" s="615"/>
      <c r="AH92" s="615"/>
      <c r="AI92" s="615"/>
      <c r="AJ92" s="615"/>
      <c r="AK92" s="615"/>
      <c r="AL92" s="635"/>
      <c r="AM92" s="636"/>
      <c r="AN92" s="615"/>
      <c r="AO92" s="615"/>
      <c r="AP92" s="615"/>
      <c r="AQ92" s="615"/>
      <c r="AR92" s="615"/>
      <c r="AS92" s="615"/>
      <c r="AT92" s="615"/>
      <c r="AU92" s="615"/>
      <c r="AV92" s="615"/>
      <c r="AW92" s="615"/>
      <c r="AX92" s="635"/>
      <c r="AY92" s="636"/>
      <c r="AZ92" s="615"/>
      <c r="BA92" s="615"/>
      <c r="BB92" s="615"/>
      <c r="BC92" s="615"/>
      <c r="BD92" s="615"/>
      <c r="BE92" s="615"/>
      <c r="BF92" s="615"/>
      <c r="BG92" s="615"/>
      <c r="BH92" s="615"/>
      <c r="BI92" s="615"/>
      <c r="BJ92" s="635"/>
      <c r="BK92" s="636"/>
      <c r="BL92" s="615"/>
      <c r="BM92" s="615"/>
      <c r="BN92" s="615"/>
      <c r="BO92" s="615"/>
      <c r="BP92" s="615"/>
      <c r="BQ92" s="615"/>
      <c r="BR92" s="615"/>
      <c r="BS92" s="615"/>
      <c r="BT92" s="615"/>
      <c r="BU92" s="615"/>
      <c r="BV92" s="637"/>
      <c r="BW92" s="669"/>
      <c r="BX92" s="615"/>
      <c r="BY92" s="615">
        <v>124</v>
      </c>
      <c r="BZ92" s="615"/>
      <c r="CA92" s="615"/>
      <c r="CB92" s="615"/>
      <c r="CC92" s="615"/>
      <c r="CD92" s="615"/>
      <c r="CE92" s="615"/>
      <c r="CF92" s="615"/>
      <c r="CG92" s="615"/>
      <c r="CH92" s="635"/>
      <c r="CI92" s="636"/>
      <c r="CJ92" s="615"/>
      <c r="CK92" s="615"/>
      <c r="CL92" s="615"/>
      <c r="CM92" s="615"/>
      <c r="CN92" s="615"/>
      <c r="CO92" s="615"/>
      <c r="CP92" s="615"/>
      <c r="CQ92" s="615"/>
      <c r="CR92" s="615"/>
      <c r="CS92" s="615"/>
      <c r="CT92" s="635"/>
      <c r="CU92" s="636"/>
      <c r="CV92" s="615"/>
      <c r="CW92" s="615"/>
      <c r="CX92" s="615"/>
      <c r="CY92" s="615"/>
      <c r="CZ92" s="615"/>
      <c r="DA92" s="615"/>
      <c r="DB92" s="615"/>
      <c r="DC92" s="615"/>
      <c r="DD92" s="615"/>
      <c r="DE92" s="615"/>
      <c r="DF92" s="635"/>
      <c r="DG92" s="636"/>
      <c r="DH92" s="615"/>
      <c r="DI92" s="615"/>
      <c r="DJ92" s="615"/>
      <c r="DK92" s="615"/>
      <c r="DL92" s="615"/>
      <c r="DM92" s="615"/>
      <c r="DN92" s="615"/>
      <c r="DO92" s="615"/>
      <c r="DP92" s="615"/>
      <c r="DQ92" s="615"/>
      <c r="DR92" s="635"/>
      <c r="DS92" s="636"/>
      <c r="DT92" s="615"/>
      <c r="DU92" s="615"/>
      <c r="DV92" s="615"/>
      <c r="DW92" s="615"/>
      <c r="DX92" s="615"/>
      <c r="DY92" s="615"/>
      <c r="DZ92" s="615"/>
      <c r="EA92" s="615"/>
      <c r="EB92" s="615"/>
      <c r="EC92" s="615"/>
      <c r="ED92" s="637"/>
      <c r="EE92" s="692"/>
    </row>
    <row r="93" spans="1:135" x14ac:dyDescent="0.25">
      <c r="A93" s="640" t="s">
        <v>11</v>
      </c>
      <c r="B93" s="367" t="s">
        <v>883</v>
      </c>
      <c r="C93" s="367" t="s">
        <v>349</v>
      </c>
      <c r="D93" s="367" t="s">
        <v>884</v>
      </c>
      <c r="E93" s="503" t="s">
        <v>870</v>
      </c>
      <c r="F93" s="570">
        <v>44571</v>
      </c>
      <c r="G93" s="85" t="s">
        <v>58</v>
      </c>
      <c r="H93" s="85" t="s">
        <v>54</v>
      </c>
      <c r="I93" s="85" t="s">
        <v>358</v>
      </c>
      <c r="J93" s="675" t="s">
        <v>358</v>
      </c>
      <c r="K93" s="85" t="s">
        <v>358</v>
      </c>
      <c r="L93" s="85" t="s">
        <v>40</v>
      </c>
      <c r="M93" s="85" t="s">
        <v>3</v>
      </c>
      <c r="N93" s="668" t="s">
        <v>44</v>
      </c>
      <c r="O93" s="669"/>
      <c r="P93" s="615"/>
      <c r="Q93" s="615"/>
      <c r="R93" s="615"/>
      <c r="S93" s="615"/>
      <c r="T93" s="615"/>
      <c r="U93" s="615">
        <v>-20</v>
      </c>
      <c r="V93" s="615"/>
      <c r="W93" s="615"/>
      <c r="X93" s="615"/>
      <c r="Y93" s="615"/>
      <c r="Z93" s="635"/>
      <c r="AA93" s="636"/>
      <c r="AB93" s="615"/>
      <c r="AC93" s="615"/>
      <c r="AD93" s="615"/>
      <c r="AE93" s="615"/>
      <c r="AF93" s="615"/>
      <c r="AG93" s="615"/>
      <c r="AH93" s="615"/>
      <c r="AI93" s="615"/>
      <c r="AJ93" s="615"/>
      <c r="AK93" s="615"/>
      <c r="AL93" s="635"/>
      <c r="AM93" s="636"/>
      <c r="AN93" s="615"/>
      <c r="AO93" s="615"/>
      <c r="AP93" s="615"/>
      <c r="AQ93" s="615"/>
      <c r="AR93" s="615"/>
      <c r="AS93" s="615"/>
      <c r="AT93" s="615"/>
      <c r="AU93" s="615"/>
      <c r="AV93" s="615"/>
      <c r="AW93" s="615"/>
      <c r="AX93" s="635"/>
      <c r="AY93" s="636"/>
      <c r="AZ93" s="615"/>
      <c r="BA93" s="615"/>
      <c r="BB93" s="615"/>
      <c r="BC93" s="615"/>
      <c r="BD93" s="615"/>
      <c r="BE93" s="615"/>
      <c r="BF93" s="615"/>
      <c r="BG93" s="615"/>
      <c r="BH93" s="615"/>
      <c r="BI93" s="615"/>
      <c r="BJ93" s="635"/>
      <c r="BK93" s="636"/>
      <c r="BL93" s="615"/>
      <c r="BM93" s="615"/>
      <c r="BN93" s="615"/>
      <c r="BO93" s="615"/>
      <c r="BP93" s="615"/>
      <c r="BQ93" s="615"/>
      <c r="BR93" s="615"/>
      <c r="BS93" s="615"/>
      <c r="BT93" s="615"/>
      <c r="BU93" s="615"/>
      <c r="BV93" s="637"/>
      <c r="BW93" s="669"/>
      <c r="BX93" s="615"/>
      <c r="BY93" s="615"/>
      <c r="BZ93" s="615"/>
      <c r="CA93" s="615"/>
      <c r="CB93" s="615"/>
      <c r="CC93" s="615">
        <v>210</v>
      </c>
      <c r="CD93" s="615"/>
      <c r="CE93" s="615"/>
      <c r="CF93" s="615"/>
      <c r="CG93" s="615"/>
      <c r="CH93" s="635"/>
      <c r="CI93" s="636"/>
      <c r="CJ93" s="615"/>
      <c r="CK93" s="615"/>
      <c r="CL93" s="615"/>
      <c r="CM93" s="615"/>
      <c r="CN93" s="615"/>
      <c r="CO93" s="615"/>
      <c r="CP93" s="615"/>
      <c r="CQ93" s="615"/>
      <c r="CR93" s="615"/>
      <c r="CS93" s="615"/>
      <c r="CT93" s="635"/>
      <c r="CU93" s="636"/>
      <c r="CV93" s="615"/>
      <c r="CW93" s="615"/>
      <c r="CX93" s="615"/>
      <c r="CY93" s="615"/>
      <c r="CZ93" s="615"/>
      <c r="DA93" s="615"/>
      <c r="DB93" s="615"/>
      <c r="DC93" s="615"/>
      <c r="DD93" s="615"/>
      <c r="DE93" s="615"/>
      <c r="DF93" s="635"/>
      <c r="DG93" s="636"/>
      <c r="DH93" s="615"/>
      <c r="DI93" s="615"/>
      <c r="DJ93" s="615"/>
      <c r="DK93" s="615"/>
      <c r="DL93" s="615"/>
      <c r="DM93" s="615"/>
      <c r="DN93" s="615"/>
      <c r="DO93" s="615"/>
      <c r="DP93" s="615"/>
      <c r="DQ93" s="615"/>
      <c r="DR93" s="635"/>
      <c r="DS93" s="636"/>
      <c r="DT93" s="615"/>
      <c r="DU93" s="615"/>
      <c r="DV93" s="615"/>
      <c r="DW93" s="615"/>
      <c r="DX93" s="615"/>
      <c r="DY93" s="615"/>
      <c r="DZ93" s="615"/>
      <c r="EA93" s="615"/>
      <c r="EB93" s="615"/>
      <c r="EC93" s="615"/>
      <c r="ED93" s="637"/>
      <c r="EE93" s="692"/>
    </row>
    <row r="94" spans="1:135" x14ac:dyDescent="0.25">
      <c r="A94" s="640" t="s">
        <v>11</v>
      </c>
      <c r="B94" s="367" t="s">
        <v>885</v>
      </c>
      <c r="C94" s="367" t="s">
        <v>410</v>
      </c>
      <c r="D94" s="367" t="s">
        <v>886</v>
      </c>
      <c r="E94" s="503" t="s">
        <v>871</v>
      </c>
      <c r="F94" s="570">
        <v>44571</v>
      </c>
      <c r="G94" s="85" t="s">
        <v>58</v>
      </c>
      <c r="H94" s="85" t="s">
        <v>54</v>
      </c>
      <c r="I94" s="85" t="s">
        <v>358</v>
      </c>
      <c r="J94" s="675" t="s">
        <v>358</v>
      </c>
      <c r="K94" s="85" t="s">
        <v>358</v>
      </c>
      <c r="L94" s="85" t="s">
        <v>40</v>
      </c>
      <c r="M94" s="85" t="s">
        <v>3</v>
      </c>
      <c r="N94" s="668" t="s">
        <v>44</v>
      </c>
      <c r="O94" s="669"/>
      <c r="P94" s="615"/>
      <c r="Q94" s="615"/>
      <c r="R94" s="615">
        <v>-2</v>
      </c>
      <c r="S94" s="615">
        <v>-2</v>
      </c>
      <c r="T94" s="615">
        <v>-2</v>
      </c>
      <c r="U94" s="615"/>
      <c r="V94" s="615"/>
      <c r="W94" s="615"/>
      <c r="X94" s="615"/>
      <c r="Y94" s="615"/>
      <c r="Z94" s="635"/>
      <c r="AA94" s="636"/>
      <c r="AB94" s="615"/>
      <c r="AC94" s="615"/>
      <c r="AD94" s="615"/>
      <c r="AE94" s="615"/>
      <c r="AF94" s="615"/>
      <c r="AG94" s="615"/>
      <c r="AH94" s="615"/>
      <c r="AI94" s="615"/>
      <c r="AJ94" s="615"/>
      <c r="AK94" s="615"/>
      <c r="AL94" s="635"/>
      <c r="AM94" s="636"/>
      <c r="AN94" s="615"/>
      <c r="AO94" s="615"/>
      <c r="AP94" s="615"/>
      <c r="AQ94" s="615"/>
      <c r="AR94" s="615"/>
      <c r="AS94" s="615"/>
      <c r="AT94" s="615"/>
      <c r="AU94" s="615"/>
      <c r="AV94" s="615"/>
      <c r="AW94" s="615"/>
      <c r="AX94" s="635"/>
      <c r="AY94" s="636"/>
      <c r="AZ94" s="615"/>
      <c r="BA94" s="615"/>
      <c r="BB94" s="615"/>
      <c r="BC94" s="615"/>
      <c r="BD94" s="615"/>
      <c r="BE94" s="615"/>
      <c r="BF94" s="615"/>
      <c r="BG94" s="615"/>
      <c r="BH94" s="615"/>
      <c r="BI94" s="615"/>
      <c r="BJ94" s="635"/>
      <c r="BK94" s="636"/>
      <c r="BL94" s="615"/>
      <c r="BM94" s="615"/>
      <c r="BN94" s="615"/>
      <c r="BO94" s="615"/>
      <c r="BP94" s="615"/>
      <c r="BQ94" s="615"/>
      <c r="BR94" s="615"/>
      <c r="BS94" s="615"/>
      <c r="BT94" s="615"/>
      <c r="BU94" s="615"/>
      <c r="BV94" s="637"/>
      <c r="BW94" s="669"/>
      <c r="BX94" s="615"/>
      <c r="BY94" s="615"/>
      <c r="BZ94" s="615">
        <v>139</v>
      </c>
      <c r="CA94" s="615">
        <v>139</v>
      </c>
      <c r="CB94" s="615">
        <v>139</v>
      </c>
      <c r="CC94" s="615"/>
      <c r="CD94" s="615"/>
      <c r="CE94" s="615"/>
      <c r="CF94" s="615"/>
      <c r="CG94" s="615"/>
      <c r="CH94" s="635"/>
      <c r="CI94" s="636"/>
      <c r="CJ94" s="615"/>
      <c r="CK94" s="615"/>
      <c r="CL94" s="615"/>
      <c r="CM94" s="615"/>
      <c r="CN94" s="615"/>
      <c r="CO94" s="615"/>
      <c r="CP94" s="615"/>
      <c r="CQ94" s="615"/>
      <c r="CR94" s="615"/>
      <c r="CS94" s="615"/>
      <c r="CT94" s="635"/>
      <c r="CU94" s="636"/>
      <c r="CV94" s="615"/>
      <c r="CW94" s="615"/>
      <c r="CX94" s="615"/>
      <c r="CY94" s="615"/>
      <c r="CZ94" s="615"/>
      <c r="DA94" s="615"/>
      <c r="DB94" s="615"/>
      <c r="DC94" s="615"/>
      <c r="DD94" s="615"/>
      <c r="DE94" s="615"/>
      <c r="DF94" s="635"/>
      <c r="DG94" s="636"/>
      <c r="DH94" s="615"/>
      <c r="DI94" s="615"/>
      <c r="DJ94" s="615"/>
      <c r="DK94" s="615"/>
      <c r="DL94" s="615"/>
      <c r="DM94" s="615"/>
      <c r="DN94" s="615"/>
      <c r="DO94" s="615"/>
      <c r="DP94" s="615"/>
      <c r="DQ94" s="615"/>
      <c r="DR94" s="635"/>
      <c r="DS94" s="636"/>
      <c r="DT94" s="615"/>
      <c r="DU94" s="615"/>
      <c r="DV94" s="615"/>
      <c r="DW94" s="615"/>
      <c r="DX94" s="615"/>
      <c r="DY94" s="615"/>
      <c r="DZ94" s="615"/>
      <c r="EA94" s="615"/>
      <c r="EB94" s="615"/>
      <c r="EC94" s="615"/>
      <c r="ED94" s="637"/>
      <c r="EE94" s="692"/>
    </row>
    <row r="95" spans="1:135" x14ac:dyDescent="0.25">
      <c r="A95" s="640" t="s">
        <v>11</v>
      </c>
      <c r="B95" s="367" t="s">
        <v>887</v>
      </c>
      <c r="C95" s="367" t="s">
        <v>875</v>
      </c>
      <c r="D95" s="367" t="s">
        <v>888</v>
      </c>
      <c r="E95" s="503" t="s">
        <v>872</v>
      </c>
      <c r="F95" s="570">
        <v>44571</v>
      </c>
      <c r="G95" s="85" t="s">
        <v>58</v>
      </c>
      <c r="H95" s="85" t="s">
        <v>54</v>
      </c>
      <c r="I95" s="85" t="s">
        <v>358</v>
      </c>
      <c r="J95" s="675" t="s">
        <v>358</v>
      </c>
      <c r="K95" s="85" t="s">
        <v>358</v>
      </c>
      <c r="L95" s="85" t="s">
        <v>40</v>
      </c>
      <c r="M95" s="85" t="s">
        <v>3</v>
      </c>
      <c r="N95" s="668" t="s">
        <v>44</v>
      </c>
      <c r="O95" s="669"/>
      <c r="P95" s="615"/>
      <c r="Q95" s="615"/>
      <c r="R95" s="615">
        <v>-1</v>
      </c>
      <c r="S95" s="615">
        <v>-1</v>
      </c>
      <c r="T95" s="615">
        <v>-1</v>
      </c>
      <c r="U95" s="615"/>
      <c r="V95" s="615"/>
      <c r="W95" s="615"/>
      <c r="X95" s="615"/>
      <c r="Y95" s="615"/>
      <c r="Z95" s="635"/>
      <c r="AA95" s="636"/>
      <c r="AB95" s="615"/>
      <c r="AC95" s="615"/>
      <c r="AD95" s="615"/>
      <c r="AE95" s="615"/>
      <c r="AF95" s="615"/>
      <c r="AG95" s="615"/>
      <c r="AH95" s="615"/>
      <c r="AI95" s="615"/>
      <c r="AJ95" s="615"/>
      <c r="AK95" s="615"/>
      <c r="AL95" s="635"/>
      <c r="AM95" s="636"/>
      <c r="AN95" s="615"/>
      <c r="AO95" s="615"/>
      <c r="AP95" s="615"/>
      <c r="AQ95" s="615"/>
      <c r="AR95" s="615"/>
      <c r="AS95" s="615"/>
      <c r="AT95" s="615"/>
      <c r="AU95" s="615"/>
      <c r="AV95" s="615"/>
      <c r="AW95" s="615"/>
      <c r="AX95" s="635"/>
      <c r="AY95" s="636"/>
      <c r="AZ95" s="615"/>
      <c r="BA95" s="615"/>
      <c r="BB95" s="615"/>
      <c r="BC95" s="615"/>
      <c r="BD95" s="615"/>
      <c r="BE95" s="615"/>
      <c r="BF95" s="615"/>
      <c r="BG95" s="615"/>
      <c r="BH95" s="615"/>
      <c r="BI95" s="615"/>
      <c r="BJ95" s="635"/>
      <c r="BK95" s="636"/>
      <c r="BL95" s="615"/>
      <c r="BM95" s="615"/>
      <c r="BN95" s="615"/>
      <c r="BO95" s="615"/>
      <c r="BP95" s="615"/>
      <c r="BQ95" s="615"/>
      <c r="BR95" s="615"/>
      <c r="BS95" s="615"/>
      <c r="BT95" s="615"/>
      <c r="BU95" s="615"/>
      <c r="BV95" s="637"/>
      <c r="BW95" s="669"/>
      <c r="BX95" s="615"/>
      <c r="BY95" s="615"/>
      <c r="BZ95" s="615">
        <v>140</v>
      </c>
      <c r="CA95" s="615">
        <v>140</v>
      </c>
      <c r="CB95" s="615">
        <v>140</v>
      </c>
      <c r="CC95" s="615"/>
      <c r="CD95" s="615"/>
      <c r="CE95" s="615"/>
      <c r="CF95" s="615"/>
      <c r="CG95" s="615"/>
      <c r="CH95" s="635"/>
      <c r="CI95" s="636"/>
      <c r="CJ95" s="615"/>
      <c r="CK95" s="615"/>
      <c r="CL95" s="615"/>
      <c r="CM95" s="615"/>
      <c r="CN95" s="615"/>
      <c r="CO95" s="615"/>
      <c r="CP95" s="615"/>
      <c r="CQ95" s="615"/>
      <c r="CR95" s="615"/>
      <c r="CS95" s="615"/>
      <c r="CT95" s="635"/>
      <c r="CU95" s="636"/>
      <c r="CV95" s="615"/>
      <c r="CW95" s="615"/>
      <c r="CX95" s="615"/>
      <c r="CY95" s="615"/>
      <c r="CZ95" s="615"/>
      <c r="DA95" s="615"/>
      <c r="DB95" s="615"/>
      <c r="DC95" s="615"/>
      <c r="DD95" s="615"/>
      <c r="DE95" s="615"/>
      <c r="DF95" s="635"/>
      <c r="DG95" s="636"/>
      <c r="DH95" s="615"/>
      <c r="DI95" s="615"/>
      <c r="DJ95" s="615"/>
      <c r="DK95" s="615"/>
      <c r="DL95" s="615"/>
      <c r="DM95" s="615"/>
      <c r="DN95" s="615"/>
      <c r="DO95" s="615"/>
      <c r="DP95" s="615"/>
      <c r="DQ95" s="615"/>
      <c r="DR95" s="635"/>
      <c r="DS95" s="636"/>
      <c r="DT95" s="615"/>
      <c r="DU95" s="615"/>
      <c r="DV95" s="615"/>
      <c r="DW95" s="615"/>
      <c r="DX95" s="615"/>
      <c r="DY95" s="615"/>
      <c r="DZ95" s="615"/>
      <c r="EA95" s="615"/>
      <c r="EB95" s="615"/>
      <c r="EC95" s="615"/>
      <c r="ED95" s="637"/>
      <c r="EE95" s="692"/>
    </row>
    <row r="96" spans="1:135" x14ac:dyDescent="0.25">
      <c r="A96" s="640" t="s">
        <v>11</v>
      </c>
      <c r="B96" s="367" t="s">
        <v>889</v>
      </c>
      <c r="C96" s="367" t="s">
        <v>585</v>
      </c>
      <c r="D96" s="367" t="s">
        <v>890</v>
      </c>
      <c r="E96" s="503" t="s">
        <v>873</v>
      </c>
      <c r="F96" s="570">
        <v>44571</v>
      </c>
      <c r="G96" s="85" t="s">
        <v>59</v>
      </c>
      <c r="H96" s="85" t="s">
        <v>54</v>
      </c>
      <c r="I96" s="85" t="s">
        <v>358</v>
      </c>
      <c r="J96" s="675" t="s">
        <v>358</v>
      </c>
      <c r="K96" s="85" t="s">
        <v>358</v>
      </c>
      <c r="L96" s="85" t="s">
        <v>40</v>
      </c>
      <c r="M96" s="85" t="s">
        <v>3</v>
      </c>
      <c r="N96" s="668" t="s">
        <v>44</v>
      </c>
      <c r="O96" s="669"/>
      <c r="P96" s="615"/>
      <c r="Q96" s="615"/>
      <c r="R96" s="615">
        <v>5</v>
      </c>
      <c r="S96" s="615"/>
      <c r="T96" s="615"/>
      <c r="U96" s="615"/>
      <c r="V96" s="615"/>
      <c r="W96" s="615"/>
      <c r="X96" s="615"/>
      <c r="Y96" s="615"/>
      <c r="Z96" s="635"/>
      <c r="AA96" s="636"/>
      <c r="AB96" s="615"/>
      <c r="AC96" s="615"/>
      <c r="AD96" s="615"/>
      <c r="AE96" s="615"/>
      <c r="AF96" s="615"/>
      <c r="AG96" s="615"/>
      <c r="AH96" s="615"/>
      <c r="AI96" s="615"/>
      <c r="AJ96" s="615"/>
      <c r="AK96" s="615"/>
      <c r="AL96" s="635"/>
      <c r="AM96" s="636"/>
      <c r="AN96" s="615"/>
      <c r="AO96" s="615"/>
      <c r="AP96" s="615"/>
      <c r="AQ96" s="615"/>
      <c r="AR96" s="615"/>
      <c r="AS96" s="615"/>
      <c r="AT96" s="615"/>
      <c r="AU96" s="615"/>
      <c r="AV96" s="615"/>
      <c r="AW96" s="615"/>
      <c r="AX96" s="635"/>
      <c r="AY96" s="636"/>
      <c r="AZ96" s="615"/>
      <c r="BA96" s="615"/>
      <c r="BB96" s="615"/>
      <c r="BC96" s="615"/>
      <c r="BD96" s="615"/>
      <c r="BE96" s="615"/>
      <c r="BF96" s="615"/>
      <c r="BG96" s="615"/>
      <c r="BH96" s="615"/>
      <c r="BI96" s="615"/>
      <c r="BJ96" s="635"/>
      <c r="BK96" s="636"/>
      <c r="BL96" s="615"/>
      <c r="BM96" s="615"/>
      <c r="BN96" s="615"/>
      <c r="BO96" s="615"/>
      <c r="BP96" s="615"/>
      <c r="BQ96" s="615"/>
      <c r="BR96" s="615"/>
      <c r="BS96" s="615"/>
      <c r="BT96" s="615"/>
      <c r="BU96" s="615"/>
      <c r="BV96" s="637"/>
      <c r="BW96" s="669"/>
      <c r="BX96" s="615"/>
      <c r="BY96" s="615"/>
      <c r="BZ96" s="615">
        <v>120</v>
      </c>
      <c r="CA96" s="615"/>
      <c r="CB96" s="615"/>
      <c r="CC96" s="615"/>
      <c r="CD96" s="615"/>
      <c r="CE96" s="615"/>
      <c r="CF96" s="615"/>
      <c r="CG96" s="615"/>
      <c r="CH96" s="635"/>
      <c r="CI96" s="636"/>
      <c r="CJ96" s="615"/>
      <c r="CK96" s="615"/>
      <c r="CL96" s="615"/>
      <c r="CM96" s="615"/>
      <c r="CN96" s="615"/>
      <c r="CO96" s="615"/>
      <c r="CP96" s="615"/>
      <c r="CQ96" s="615"/>
      <c r="CR96" s="615"/>
      <c r="CS96" s="615"/>
      <c r="CT96" s="635"/>
      <c r="CU96" s="636"/>
      <c r="CV96" s="615"/>
      <c r="CW96" s="615"/>
      <c r="CX96" s="615"/>
      <c r="CY96" s="615"/>
      <c r="CZ96" s="615"/>
      <c r="DA96" s="615"/>
      <c r="DB96" s="615"/>
      <c r="DC96" s="615"/>
      <c r="DD96" s="615"/>
      <c r="DE96" s="615"/>
      <c r="DF96" s="635"/>
      <c r="DG96" s="636"/>
      <c r="DH96" s="615"/>
      <c r="DI96" s="615"/>
      <c r="DJ96" s="615"/>
      <c r="DK96" s="615"/>
      <c r="DL96" s="615"/>
      <c r="DM96" s="615"/>
      <c r="DN96" s="615"/>
      <c r="DO96" s="615"/>
      <c r="DP96" s="615"/>
      <c r="DQ96" s="615"/>
      <c r="DR96" s="635"/>
      <c r="DS96" s="636"/>
      <c r="DT96" s="615"/>
      <c r="DU96" s="615"/>
      <c r="DV96" s="615"/>
      <c r="DW96" s="615"/>
      <c r="DX96" s="615"/>
      <c r="DY96" s="615"/>
      <c r="DZ96" s="615"/>
      <c r="EA96" s="615"/>
      <c r="EB96" s="615"/>
      <c r="EC96" s="615"/>
      <c r="ED96" s="637"/>
      <c r="EE96" s="692"/>
    </row>
    <row r="97" spans="1:135" x14ac:dyDescent="0.25">
      <c r="A97" s="640" t="s">
        <v>11</v>
      </c>
      <c r="B97" s="367" t="s">
        <v>891</v>
      </c>
      <c r="C97" s="367" t="s">
        <v>876</v>
      </c>
      <c r="D97" s="367" t="s">
        <v>892</v>
      </c>
      <c r="E97" s="503" t="s">
        <v>874</v>
      </c>
      <c r="F97" s="570">
        <v>44571</v>
      </c>
      <c r="G97" s="85" t="s">
        <v>58</v>
      </c>
      <c r="H97" s="85" t="s">
        <v>54</v>
      </c>
      <c r="I97" s="85" t="s">
        <v>358</v>
      </c>
      <c r="J97" s="675" t="s">
        <v>358</v>
      </c>
      <c r="K97" s="85" t="s">
        <v>358</v>
      </c>
      <c r="L97" s="85" t="s">
        <v>40</v>
      </c>
      <c r="M97" s="85" t="s">
        <v>3</v>
      </c>
      <c r="N97" s="668" t="s">
        <v>44</v>
      </c>
      <c r="O97" s="669"/>
      <c r="P97" s="615"/>
      <c r="Q97" s="615"/>
      <c r="R97" s="615">
        <v>-2</v>
      </c>
      <c r="S97" s="615">
        <v>-2</v>
      </c>
      <c r="T97" s="615">
        <v>-2</v>
      </c>
      <c r="U97" s="615"/>
      <c r="V97" s="615"/>
      <c r="W97" s="615"/>
      <c r="X97" s="615"/>
      <c r="Y97" s="615"/>
      <c r="Z97" s="635"/>
      <c r="AA97" s="636"/>
      <c r="AB97" s="615"/>
      <c r="AC97" s="615"/>
      <c r="AD97" s="615"/>
      <c r="AE97" s="615"/>
      <c r="AF97" s="615"/>
      <c r="AG97" s="615"/>
      <c r="AH97" s="615"/>
      <c r="AI97" s="615"/>
      <c r="AJ97" s="615"/>
      <c r="AK97" s="615"/>
      <c r="AL97" s="635"/>
      <c r="AM97" s="636"/>
      <c r="AN97" s="615"/>
      <c r="AO97" s="615"/>
      <c r="AP97" s="615"/>
      <c r="AQ97" s="615"/>
      <c r="AR97" s="615"/>
      <c r="AS97" s="615"/>
      <c r="AT97" s="615"/>
      <c r="AU97" s="615"/>
      <c r="AV97" s="615"/>
      <c r="AW97" s="615"/>
      <c r="AX97" s="635"/>
      <c r="AY97" s="636"/>
      <c r="AZ97" s="615"/>
      <c r="BA97" s="615"/>
      <c r="BB97" s="615"/>
      <c r="BC97" s="615"/>
      <c r="BD97" s="615"/>
      <c r="BE97" s="615"/>
      <c r="BF97" s="615"/>
      <c r="BG97" s="615"/>
      <c r="BH97" s="615"/>
      <c r="BI97" s="615"/>
      <c r="BJ97" s="635"/>
      <c r="BK97" s="636"/>
      <c r="BL97" s="615"/>
      <c r="BM97" s="615"/>
      <c r="BN97" s="615"/>
      <c r="BO97" s="615"/>
      <c r="BP97" s="615"/>
      <c r="BQ97" s="615"/>
      <c r="BR97" s="615"/>
      <c r="BS97" s="615"/>
      <c r="BT97" s="615"/>
      <c r="BU97" s="615"/>
      <c r="BV97" s="637"/>
      <c r="BW97" s="669"/>
      <c r="BX97" s="615"/>
      <c r="BY97" s="615"/>
      <c r="BZ97" s="615">
        <v>140</v>
      </c>
      <c r="CA97" s="615">
        <v>140</v>
      </c>
      <c r="CB97" s="615">
        <v>140</v>
      </c>
      <c r="CC97" s="615"/>
      <c r="CD97" s="615"/>
      <c r="CE97" s="615"/>
      <c r="CF97" s="615"/>
      <c r="CG97" s="615"/>
      <c r="CH97" s="635"/>
      <c r="CI97" s="636"/>
      <c r="CJ97" s="615"/>
      <c r="CK97" s="615"/>
      <c r="CL97" s="615"/>
      <c r="CM97" s="615"/>
      <c r="CN97" s="615"/>
      <c r="CO97" s="615"/>
      <c r="CP97" s="615"/>
      <c r="CQ97" s="615"/>
      <c r="CR97" s="615"/>
      <c r="CS97" s="615"/>
      <c r="CT97" s="635"/>
      <c r="CU97" s="636"/>
      <c r="CV97" s="615"/>
      <c r="CW97" s="615"/>
      <c r="CX97" s="615"/>
      <c r="CY97" s="615"/>
      <c r="CZ97" s="615"/>
      <c r="DA97" s="615"/>
      <c r="DB97" s="615"/>
      <c r="DC97" s="615"/>
      <c r="DD97" s="615"/>
      <c r="DE97" s="615"/>
      <c r="DF97" s="635"/>
      <c r="DG97" s="636"/>
      <c r="DH97" s="615"/>
      <c r="DI97" s="615"/>
      <c r="DJ97" s="615"/>
      <c r="DK97" s="615"/>
      <c r="DL97" s="615"/>
      <c r="DM97" s="615"/>
      <c r="DN97" s="615"/>
      <c r="DO97" s="615"/>
      <c r="DP97" s="615"/>
      <c r="DQ97" s="615"/>
      <c r="DR97" s="635"/>
      <c r="DS97" s="636"/>
      <c r="DT97" s="615"/>
      <c r="DU97" s="615"/>
      <c r="DV97" s="615"/>
      <c r="DW97" s="615"/>
      <c r="DX97" s="615"/>
      <c r="DY97" s="615"/>
      <c r="DZ97" s="615"/>
      <c r="EA97" s="615"/>
      <c r="EB97" s="615"/>
      <c r="EC97" s="615"/>
      <c r="ED97" s="637"/>
      <c r="EE97" s="692"/>
    </row>
    <row r="98" spans="1:135" x14ac:dyDescent="0.25">
      <c r="A98" s="640" t="s">
        <v>11</v>
      </c>
      <c r="B98" s="367" t="s">
        <v>903</v>
      </c>
      <c r="C98" s="367" t="s">
        <v>469</v>
      </c>
      <c r="D98" s="367" t="s">
        <v>904</v>
      </c>
      <c r="E98" s="503" t="s">
        <v>893</v>
      </c>
      <c r="F98" s="570">
        <v>44572</v>
      </c>
      <c r="G98" s="85" t="s">
        <v>59</v>
      </c>
      <c r="H98" s="85" t="s">
        <v>54</v>
      </c>
      <c r="I98" s="85" t="s">
        <v>358</v>
      </c>
      <c r="J98" s="675" t="s">
        <v>358</v>
      </c>
      <c r="K98" s="85" t="s">
        <v>358</v>
      </c>
      <c r="L98" s="85" t="s">
        <v>40</v>
      </c>
      <c r="M98" s="85" t="s">
        <v>3</v>
      </c>
      <c r="N98" s="668" t="s">
        <v>44</v>
      </c>
      <c r="O98" s="669"/>
      <c r="P98" s="615"/>
      <c r="Q98" s="615">
        <v>2</v>
      </c>
      <c r="R98" s="615"/>
      <c r="S98" s="615"/>
      <c r="T98" s="615"/>
      <c r="U98" s="615"/>
      <c r="V98" s="615"/>
      <c r="W98" s="615"/>
      <c r="X98" s="615"/>
      <c r="Y98" s="615"/>
      <c r="Z98" s="635"/>
      <c r="AA98" s="636"/>
      <c r="AB98" s="615"/>
      <c r="AC98" s="615"/>
      <c r="AD98" s="615"/>
      <c r="AE98" s="615"/>
      <c r="AF98" s="615"/>
      <c r="AG98" s="615"/>
      <c r="AH98" s="615"/>
      <c r="AI98" s="615"/>
      <c r="AJ98" s="615"/>
      <c r="AK98" s="615"/>
      <c r="AL98" s="635"/>
      <c r="AM98" s="636"/>
      <c r="AN98" s="615"/>
      <c r="AO98" s="615"/>
      <c r="AP98" s="615"/>
      <c r="AQ98" s="615"/>
      <c r="AR98" s="615"/>
      <c r="AS98" s="615"/>
      <c r="AT98" s="615"/>
      <c r="AU98" s="615"/>
      <c r="AV98" s="615"/>
      <c r="AW98" s="615"/>
      <c r="AX98" s="635"/>
      <c r="AY98" s="636"/>
      <c r="AZ98" s="615"/>
      <c r="BA98" s="615"/>
      <c r="BB98" s="615"/>
      <c r="BC98" s="615"/>
      <c r="BD98" s="615"/>
      <c r="BE98" s="615"/>
      <c r="BF98" s="615"/>
      <c r="BG98" s="615"/>
      <c r="BH98" s="615"/>
      <c r="BI98" s="615"/>
      <c r="BJ98" s="635"/>
      <c r="BK98" s="636"/>
      <c r="BL98" s="615"/>
      <c r="BM98" s="615"/>
      <c r="BN98" s="615"/>
      <c r="BO98" s="615"/>
      <c r="BP98" s="615"/>
      <c r="BQ98" s="615"/>
      <c r="BR98" s="615"/>
      <c r="BS98" s="615"/>
      <c r="BT98" s="615"/>
      <c r="BU98" s="615"/>
      <c r="BV98" s="637"/>
      <c r="BW98" s="669"/>
      <c r="BX98" s="615"/>
      <c r="BY98" s="615">
        <v>117</v>
      </c>
      <c r="BZ98" s="615"/>
      <c r="CA98" s="615"/>
      <c r="CB98" s="615"/>
      <c r="CC98" s="615"/>
      <c r="CD98" s="615"/>
      <c r="CE98" s="615"/>
      <c r="CF98" s="615"/>
      <c r="CG98" s="615"/>
      <c r="CH98" s="635"/>
      <c r="CI98" s="636"/>
      <c r="CJ98" s="615"/>
      <c r="CK98" s="615"/>
      <c r="CL98" s="615"/>
      <c r="CM98" s="615"/>
      <c r="CN98" s="615"/>
      <c r="CO98" s="615"/>
      <c r="CP98" s="615"/>
      <c r="CQ98" s="615"/>
      <c r="CR98" s="615"/>
      <c r="CS98" s="615"/>
      <c r="CT98" s="635"/>
      <c r="CU98" s="636"/>
      <c r="CV98" s="615"/>
      <c r="CW98" s="615"/>
      <c r="CX98" s="615"/>
      <c r="CY98" s="615"/>
      <c r="CZ98" s="615"/>
      <c r="DA98" s="615"/>
      <c r="DB98" s="615"/>
      <c r="DC98" s="615"/>
      <c r="DD98" s="615"/>
      <c r="DE98" s="615"/>
      <c r="DF98" s="635"/>
      <c r="DG98" s="636"/>
      <c r="DH98" s="615"/>
      <c r="DI98" s="615"/>
      <c r="DJ98" s="615"/>
      <c r="DK98" s="615"/>
      <c r="DL98" s="615"/>
      <c r="DM98" s="615"/>
      <c r="DN98" s="615"/>
      <c r="DO98" s="615"/>
      <c r="DP98" s="615"/>
      <c r="DQ98" s="615"/>
      <c r="DR98" s="635"/>
      <c r="DS98" s="636"/>
      <c r="DT98" s="615"/>
      <c r="DU98" s="615"/>
      <c r="DV98" s="615"/>
      <c r="DW98" s="615"/>
      <c r="DX98" s="615"/>
      <c r="DY98" s="615"/>
      <c r="DZ98" s="615"/>
      <c r="EA98" s="615"/>
      <c r="EB98" s="615"/>
      <c r="EC98" s="615"/>
      <c r="ED98" s="637"/>
      <c r="EE98" s="692"/>
    </row>
    <row r="99" spans="1:135" x14ac:dyDescent="0.25">
      <c r="A99" s="640" t="s">
        <v>11</v>
      </c>
      <c r="B99" s="367" t="s">
        <v>905</v>
      </c>
      <c r="C99" s="367" t="s">
        <v>474</v>
      </c>
      <c r="D99" s="367" t="s">
        <v>906</v>
      </c>
      <c r="E99" s="503" t="s">
        <v>894</v>
      </c>
      <c r="F99" s="570">
        <v>44572</v>
      </c>
      <c r="G99" s="85" t="s">
        <v>59</v>
      </c>
      <c r="H99" s="85" t="s">
        <v>54</v>
      </c>
      <c r="I99" s="85" t="s">
        <v>358</v>
      </c>
      <c r="J99" s="675" t="s">
        <v>358</v>
      </c>
      <c r="K99" s="85" t="s">
        <v>358</v>
      </c>
      <c r="L99" s="85" t="s">
        <v>40</v>
      </c>
      <c r="M99" s="85" t="s">
        <v>3</v>
      </c>
      <c r="N99" s="668" t="s">
        <v>44</v>
      </c>
      <c r="O99" s="669"/>
      <c r="P99" s="615"/>
      <c r="Q99" s="615"/>
      <c r="R99" s="615">
        <v>3</v>
      </c>
      <c r="S99" s="615"/>
      <c r="T99" s="615"/>
      <c r="U99" s="615"/>
      <c r="V99" s="615"/>
      <c r="W99" s="615"/>
      <c r="X99" s="615"/>
      <c r="Y99" s="615"/>
      <c r="Z99" s="635"/>
      <c r="AA99" s="636"/>
      <c r="AB99" s="615"/>
      <c r="AC99" s="615"/>
      <c r="AD99" s="615"/>
      <c r="AE99" s="615"/>
      <c r="AF99" s="615"/>
      <c r="AG99" s="615"/>
      <c r="AH99" s="615"/>
      <c r="AI99" s="615"/>
      <c r="AJ99" s="615"/>
      <c r="AK99" s="615"/>
      <c r="AL99" s="635"/>
      <c r="AM99" s="636"/>
      <c r="AN99" s="615"/>
      <c r="AO99" s="615"/>
      <c r="AP99" s="615"/>
      <c r="AQ99" s="615"/>
      <c r="AR99" s="615"/>
      <c r="AS99" s="615"/>
      <c r="AT99" s="615"/>
      <c r="AU99" s="615"/>
      <c r="AV99" s="615"/>
      <c r="AW99" s="615"/>
      <c r="AX99" s="635"/>
      <c r="AY99" s="636"/>
      <c r="AZ99" s="615"/>
      <c r="BA99" s="615"/>
      <c r="BB99" s="615"/>
      <c r="BC99" s="615"/>
      <c r="BD99" s="615"/>
      <c r="BE99" s="615"/>
      <c r="BF99" s="615"/>
      <c r="BG99" s="615"/>
      <c r="BH99" s="615"/>
      <c r="BI99" s="615"/>
      <c r="BJ99" s="635"/>
      <c r="BK99" s="636"/>
      <c r="BL99" s="615"/>
      <c r="BM99" s="615"/>
      <c r="BN99" s="615"/>
      <c r="BO99" s="615"/>
      <c r="BP99" s="615"/>
      <c r="BQ99" s="615"/>
      <c r="BR99" s="615"/>
      <c r="BS99" s="615"/>
      <c r="BT99" s="615"/>
      <c r="BU99" s="615"/>
      <c r="BV99" s="637"/>
      <c r="BW99" s="669"/>
      <c r="BX99" s="615"/>
      <c r="BY99" s="615"/>
      <c r="BZ99" s="615">
        <v>115.5</v>
      </c>
      <c r="CA99" s="615"/>
      <c r="CB99" s="615"/>
      <c r="CC99" s="615"/>
      <c r="CD99" s="615"/>
      <c r="CE99" s="615"/>
      <c r="CF99" s="615"/>
      <c r="CG99" s="615"/>
      <c r="CH99" s="635"/>
      <c r="CI99" s="636"/>
      <c r="CJ99" s="615"/>
      <c r="CK99" s="615"/>
      <c r="CL99" s="615"/>
      <c r="CM99" s="615"/>
      <c r="CN99" s="615"/>
      <c r="CO99" s="615"/>
      <c r="CP99" s="615"/>
      <c r="CQ99" s="615"/>
      <c r="CR99" s="615"/>
      <c r="CS99" s="615"/>
      <c r="CT99" s="635"/>
      <c r="CU99" s="636"/>
      <c r="CV99" s="615"/>
      <c r="CW99" s="615"/>
      <c r="CX99" s="615"/>
      <c r="CY99" s="615"/>
      <c r="CZ99" s="615"/>
      <c r="DA99" s="615"/>
      <c r="DB99" s="615"/>
      <c r="DC99" s="615"/>
      <c r="DD99" s="615"/>
      <c r="DE99" s="615"/>
      <c r="DF99" s="635"/>
      <c r="DG99" s="636"/>
      <c r="DH99" s="615"/>
      <c r="DI99" s="615"/>
      <c r="DJ99" s="615"/>
      <c r="DK99" s="615"/>
      <c r="DL99" s="615"/>
      <c r="DM99" s="615"/>
      <c r="DN99" s="615"/>
      <c r="DO99" s="615"/>
      <c r="DP99" s="615"/>
      <c r="DQ99" s="615"/>
      <c r="DR99" s="635"/>
      <c r="DS99" s="636"/>
      <c r="DT99" s="615"/>
      <c r="DU99" s="615"/>
      <c r="DV99" s="615"/>
      <c r="DW99" s="615"/>
      <c r="DX99" s="615"/>
      <c r="DY99" s="615"/>
      <c r="DZ99" s="615"/>
      <c r="EA99" s="615"/>
      <c r="EB99" s="615"/>
      <c r="EC99" s="615"/>
      <c r="ED99" s="637"/>
      <c r="EE99" s="692"/>
    </row>
    <row r="100" spans="1:135" x14ac:dyDescent="0.25">
      <c r="A100" s="640" t="s">
        <v>11</v>
      </c>
      <c r="B100" s="367" t="s">
        <v>907</v>
      </c>
      <c r="C100" s="367" t="s">
        <v>902</v>
      </c>
      <c r="D100" s="367" t="s">
        <v>908</v>
      </c>
      <c r="E100" s="503" t="s">
        <v>895</v>
      </c>
      <c r="F100" s="570">
        <v>44572</v>
      </c>
      <c r="G100" s="85" t="s">
        <v>59</v>
      </c>
      <c r="H100" s="85" t="s">
        <v>54</v>
      </c>
      <c r="I100" s="85" t="s">
        <v>358</v>
      </c>
      <c r="J100" s="675" t="s">
        <v>358</v>
      </c>
      <c r="K100" s="85" t="s">
        <v>358</v>
      </c>
      <c r="L100" s="85" t="s">
        <v>40</v>
      </c>
      <c r="M100" s="85" t="s">
        <v>3</v>
      </c>
      <c r="N100" s="668" t="s">
        <v>44</v>
      </c>
      <c r="O100" s="669">
        <v>1.6</v>
      </c>
      <c r="P100" s="615"/>
      <c r="Q100" s="615"/>
      <c r="R100" s="615"/>
      <c r="S100" s="615"/>
      <c r="T100" s="615"/>
      <c r="U100" s="615"/>
      <c r="V100" s="615"/>
      <c r="W100" s="615"/>
      <c r="X100" s="615"/>
      <c r="Y100" s="615"/>
      <c r="Z100" s="635"/>
      <c r="AA100" s="636"/>
      <c r="AB100" s="615"/>
      <c r="AC100" s="615"/>
      <c r="AD100" s="615"/>
      <c r="AE100" s="615"/>
      <c r="AF100" s="615"/>
      <c r="AG100" s="615"/>
      <c r="AH100" s="615"/>
      <c r="AI100" s="615"/>
      <c r="AJ100" s="615"/>
      <c r="AK100" s="615"/>
      <c r="AL100" s="635"/>
      <c r="AM100" s="636"/>
      <c r="AN100" s="615"/>
      <c r="AO100" s="615"/>
      <c r="AP100" s="615"/>
      <c r="AQ100" s="615"/>
      <c r="AR100" s="615"/>
      <c r="AS100" s="615"/>
      <c r="AT100" s="615"/>
      <c r="AU100" s="615"/>
      <c r="AV100" s="615"/>
      <c r="AW100" s="615"/>
      <c r="AX100" s="635"/>
      <c r="AY100" s="636"/>
      <c r="AZ100" s="615"/>
      <c r="BA100" s="615"/>
      <c r="BB100" s="615"/>
      <c r="BC100" s="615"/>
      <c r="BD100" s="615"/>
      <c r="BE100" s="615"/>
      <c r="BF100" s="615"/>
      <c r="BG100" s="615"/>
      <c r="BH100" s="615"/>
      <c r="BI100" s="615"/>
      <c r="BJ100" s="635"/>
      <c r="BK100" s="636"/>
      <c r="BL100" s="615"/>
      <c r="BM100" s="615"/>
      <c r="BN100" s="615"/>
      <c r="BO100" s="615"/>
      <c r="BP100" s="615"/>
      <c r="BQ100" s="615"/>
      <c r="BR100" s="615"/>
      <c r="BS100" s="615"/>
      <c r="BT100" s="615"/>
      <c r="BU100" s="615"/>
      <c r="BV100" s="637"/>
      <c r="BW100" s="669">
        <v>68.2</v>
      </c>
      <c r="BX100" s="615"/>
      <c r="BY100" s="615"/>
      <c r="BZ100" s="615"/>
      <c r="CA100" s="615"/>
      <c r="CB100" s="615"/>
      <c r="CC100" s="615"/>
      <c r="CD100" s="615"/>
      <c r="CE100" s="615"/>
      <c r="CF100" s="615"/>
      <c r="CG100" s="615"/>
      <c r="CH100" s="635"/>
      <c r="CI100" s="636"/>
      <c r="CJ100" s="615"/>
      <c r="CK100" s="615"/>
      <c r="CL100" s="615"/>
      <c r="CM100" s="615"/>
      <c r="CN100" s="615"/>
      <c r="CO100" s="615"/>
      <c r="CP100" s="615"/>
      <c r="CQ100" s="615"/>
      <c r="CR100" s="615"/>
      <c r="CS100" s="615"/>
      <c r="CT100" s="635"/>
      <c r="CU100" s="636"/>
      <c r="CV100" s="615"/>
      <c r="CW100" s="615"/>
      <c r="CX100" s="615"/>
      <c r="CY100" s="615"/>
      <c r="CZ100" s="615"/>
      <c r="DA100" s="615"/>
      <c r="DB100" s="615"/>
      <c r="DC100" s="615"/>
      <c r="DD100" s="615"/>
      <c r="DE100" s="615"/>
      <c r="DF100" s="635"/>
      <c r="DG100" s="636"/>
      <c r="DH100" s="615"/>
      <c r="DI100" s="615"/>
      <c r="DJ100" s="615"/>
      <c r="DK100" s="615"/>
      <c r="DL100" s="615"/>
      <c r="DM100" s="615"/>
      <c r="DN100" s="615"/>
      <c r="DO100" s="615"/>
      <c r="DP100" s="615"/>
      <c r="DQ100" s="615"/>
      <c r="DR100" s="635"/>
      <c r="DS100" s="636"/>
      <c r="DT100" s="615"/>
      <c r="DU100" s="615"/>
      <c r="DV100" s="615"/>
      <c r="DW100" s="615"/>
      <c r="DX100" s="615"/>
      <c r="DY100" s="615"/>
      <c r="DZ100" s="615"/>
      <c r="EA100" s="615"/>
      <c r="EB100" s="615"/>
      <c r="EC100" s="615"/>
      <c r="ED100" s="637"/>
      <c r="EE100" s="692"/>
    </row>
    <row r="101" spans="1:135" x14ac:dyDescent="0.25">
      <c r="A101" s="640" t="s">
        <v>11</v>
      </c>
      <c r="B101" s="367" t="s">
        <v>909</v>
      </c>
      <c r="C101" s="367" t="s">
        <v>475</v>
      </c>
      <c r="D101" s="367" t="s">
        <v>910</v>
      </c>
      <c r="E101" s="503" t="s">
        <v>896</v>
      </c>
      <c r="F101" s="570">
        <v>44572</v>
      </c>
      <c r="G101" s="85" t="s">
        <v>58</v>
      </c>
      <c r="H101" s="85" t="s">
        <v>54</v>
      </c>
      <c r="I101" s="85" t="s">
        <v>358</v>
      </c>
      <c r="J101" s="675" t="s">
        <v>358</v>
      </c>
      <c r="K101" s="85" t="s">
        <v>358</v>
      </c>
      <c r="L101" s="85" t="s">
        <v>40</v>
      </c>
      <c r="M101" s="85" t="s">
        <v>3</v>
      </c>
      <c r="N101" s="668" t="s">
        <v>44</v>
      </c>
      <c r="O101" s="669"/>
      <c r="P101" s="615"/>
      <c r="Q101" s="615"/>
      <c r="R101" s="615">
        <v>-5</v>
      </c>
      <c r="S101" s="615">
        <v>-5</v>
      </c>
      <c r="T101" s="615">
        <v>-5</v>
      </c>
      <c r="U101" s="615"/>
      <c r="V101" s="615"/>
      <c r="W101" s="615"/>
      <c r="X101" s="615"/>
      <c r="Y101" s="615"/>
      <c r="Z101" s="635"/>
      <c r="AA101" s="636"/>
      <c r="AB101" s="615"/>
      <c r="AC101" s="615"/>
      <c r="AD101" s="615"/>
      <c r="AE101" s="615"/>
      <c r="AF101" s="615"/>
      <c r="AG101" s="615"/>
      <c r="AH101" s="615"/>
      <c r="AI101" s="615"/>
      <c r="AJ101" s="615"/>
      <c r="AK101" s="615"/>
      <c r="AL101" s="635"/>
      <c r="AM101" s="636"/>
      <c r="AN101" s="615"/>
      <c r="AO101" s="615"/>
      <c r="AP101" s="615"/>
      <c r="AQ101" s="615"/>
      <c r="AR101" s="615"/>
      <c r="AS101" s="615"/>
      <c r="AT101" s="615"/>
      <c r="AU101" s="615"/>
      <c r="AV101" s="615"/>
      <c r="AW101" s="615"/>
      <c r="AX101" s="635"/>
      <c r="AY101" s="636"/>
      <c r="AZ101" s="615"/>
      <c r="BA101" s="615"/>
      <c r="BB101" s="615"/>
      <c r="BC101" s="615"/>
      <c r="BD101" s="615"/>
      <c r="BE101" s="615"/>
      <c r="BF101" s="615"/>
      <c r="BG101" s="615"/>
      <c r="BH101" s="615"/>
      <c r="BI101" s="615"/>
      <c r="BJ101" s="635"/>
      <c r="BK101" s="636"/>
      <c r="BL101" s="615"/>
      <c r="BM101" s="615"/>
      <c r="BN101" s="615"/>
      <c r="BO101" s="615"/>
      <c r="BP101" s="615"/>
      <c r="BQ101" s="615"/>
      <c r="BR101" s="615"/>
      <c r="BS101" s="615"/>
      <c r="BT101" s="615"/>
      <c r="BU101" s="615"/>
      <c r="BV101" s="637"/>
      <c r="BW101" s="669"/>
      <c r="BX101" s="615"/>
      <c r="BY101" s="615"/>
      <c r="BZ101" s="615">
        <v>140</v>
      </c>
      <c r="CA101" s="615">
        <v>140</v>
      </c>
      <c r="CB101" s="615">
        <v>140</v>
      </c>
      <c r="CC101" s="615"/>
      <c r="CD101" s="615"/>
      <c r="CE101" s="615"/>
      <c r="CF101" s="615"/>
      <c r="CG101" s="615"/>
      <c r="CH101" s="635"/>
      <c r="CI101" s="636"/>
      <c r="CJ101" s="615"/>
      <c r="CK101" s="615"/>
      <c r="CL101" s="615"/>
      <c r="CM101" s="615"/>
      <c r="CN101" s="615"/>
      <c r="CO101" s="615"/>
      <c r="CP101" s="615"/>
      <c r="CQ101" s="615"/>
      <c r="CR101" s="615"/>
      <c r="CS101" s="615"/>
      <c r="CT101" s="635"/>
      <c r="CU101" s="636"/>
      <c r="CV101" s="615"/>
      <c r="CW101" s="615"/>
      <c r="CX101" s="615"/>
      <c r="CY101" s="615"/>
      <c r="CZ101" s="615"/>
      <c r="DA101" s="615"/>
      <c r="DB101" s="615"/>
      <c r="DC101" s="615"/>
      <c r="DD101" s="615"/>
      <c r="DE101" s="615"/>
      <c r="DF101" s="635"/>
      <c r="DG101" s="636"/>
      <c r="DH101" s="615"/>
      <c r="DI101" s="615"/>
      <c r="DJ101" s="615"/>
      <c r="DK101" s="615"/>
      <c r="DL101" s="615"/>
      <c r="DM101" s="615"/>
      <c r="DN101" s="615"/>
      <c r="DO101" s="615"/>
      <c r="DP101" s="615"/>
      <c r="DQ101" s="615"/>
      <c r="DR101" s="635"/>
      <c r="DS101" s="636"/>
      <c r="DT101" s="615"/>
      <c r="DU101" s="615"/>
      <c r="DV101" s="615"/>
      <c r="DW101" s="615"/>
      <c r="DX101" s="615"/>
      <c r="DY101" s="615"/>
      <c r="DZ101" s="615"/>
      <c r="EA101" s="615"/>
      <c r="EB101" s="615"/>
      <c r="EC101" s="615"/>
      <c r="ED101" s="637"/>
      <c r="EE101" s="692"/>
    </row>
    <row r="102" spans="1:135" x14ac:dyDescent="0.25">
      <c r="A102" s="640" t="s">
        <v>11</v>
      </c>
      <c r="B102" s="367" t="s">
        <v>911</v>
      </c>
      <c r="C102" s="367" t="s">
        <v>585</v>
      </c>
      <c r="D102" s="367" t="s">
        <v>912</v>
      </c>
      <c r="E102" s="503" t="s">
        <v>897</v>
      </c>
      <c r="F102" s="570">
        <v>44572</v>
      </c>
      <c r="G102" s="85" t="s">
        <v>59</v>
      </c>
      <c r="H102" s="85" t="s">
        <v>54</v>
      </c>
      <c r="I102" s="85" t="s">
        <v>358</v>
      </c>
      <c r="J102" s="675" t="s">
        <v>358</v>
      </c>
      <c r="K102" s="85" t="s">
        <v>358</v>
      </c>
      <c r="L102" s="85" t="s">
        <v>40</v>
      </c>
      <c r="M102" s="85" t="s">
        <v>3</v>
      </c>
      <c r="N102" s="668" t="s">
        <v>44</v>
      </c>
      <c r="O102" s="669"/>
      <c r="P102" s="615"/>
      <c r="Q102" s="615"/>
      <c r="R102" s="615">
        <v>5</v>
      </c>
      <c r="S102" s="615"/>
      <c r="T102" s="615"/>
      <c r="U102" s="615"/>
      <c r="V102" s="615"/>
      <c r="W102" s="615"/>
      <c r="X102" s="615"/>
      <c r="Y102" s="615"/>
      <c r="Z102" s="635"/>
      <c r="AA102" s="636"/>
      <c r="AB102" s="615"/>
      <c r="AC102" s="615"/>
      <c r="AD102" s="615"/>
      <c r="AE102" s="615"/>
      <c r="AF102" s="615"/>
      <c r="AG102" s="615"/>
      <c r="AH102" s="615"/>
      <c r="AI102" s="615"/>
      <c r="AJ102" s="615"/>
      <c r="AK102" s="615"/>
      <c r="AL102" s="635"/>
      <c r="AM102" s="636"/>
      <c r="AN102" s="615"/>
      <c r="AO102" s="615"/>
      <c r="AP102" s="615"/>
      <c r="AQ102" s="615"/>
      <c r="AR102" s="615"/>
      <c r="AS102" s="615"/>
      <c r="AT102" s="615"/>
      <c r="AU102" s="615"/>
      <c r="AV102" s="615"/>
      <c r="AW102" s="615"/>
      <c r="AX102" s="635"/>
      <c r="AY102" s="636"/>
      <c r="AZ102" s="615"/>
      <c r="BA102" s="615"/>
      <c r="BB102" s="615"/>
      <c r="BC102" s="615"/>
      <c r="BD102" s="615"/>
      <c r="BE102" s="615"/>
      <c r="BF102" s="615"/>
      <c r="BG102" s="615"/>
      <c r="BH102" s="615"/>
      <c r="BI102" s="615"/>
      <c r="BJ102" s="635"/>
      <c r="BK102" s="636"/>
      <c r="BL102" s="615"/>
      <c r="BM102" s="615"/>
      <c r="BN102" s="615"/>
      <c r="BO102" s="615"/>
      <c r="BP102" s="615"/>
      <c r="BQ102" s="615"/>
      <c r="BR102" s="615"/>
      <c r="BS102" s="615"/>
      <c r="BT102" s="615"/>
      <c r="BU102" s="615"/>
      <c r="BV102" s="637"/>
      <c r="BW102" s="669"/>
      <c r="BX102" s="615"/>
      <c r="BY102" s="615"/>
      <c r="BZ102" s="615">
        <v>120</v>
      </c>
      <c r="CA102" s="615"/>
      <c r="CB102" s="615"/>
      <c r="CC102" s="615"/>
      <c r="CD102" s="615"/>
      <c r="CE102" s="615"/>
      <c r="CF102" s="615"/>
      <c r="CG102" s="615"/>
      <c r="CH102" s="635"/>
      <c r="CI102" s="636"/>
      <c r="CJ102" s="615"/>
      <c r="CK102" s="615"/>
      <c r="CL102" s="615"/>
      <c r="CM102" s="615"/>
      <c r="CN102" s="615"/>
      <c r="CO102" s="615"/>
      <c r="CP102" s="615"/>
      <c r="CQ102" s="615"/>
      <c r="CR102" s="615"/>
      <c r="CS102" s="615"/>
      <c r="CT102" s="635"/>
      <c r="CU102" s="636"/>
      <c r="CV102" s="615"/>
      <c r="CW102" s="615"/>
      <c r="CX102" s="615"/>
      <c r="CY102" s="615"/>
      <c r="CZ102" s="615"/>
      <c r="DA102" s="615"/>
      <c r="DB102" s="615"/>
      <c r="DC102" s="615"/>
      <c r="DD102" s="615"/>
      <c r="DE102" s="615"/>
      <c r="DF102" s="635"/>
      <c r="DG102" s="636"/>
      <c r="DH102" s="615"/>
      <c r="DI102" s="615"/>
      <c r="DJ102" s="615"/>
      <c r="DK102" s="615"/>
      <c r="DL102" s="615"/>
      <c r="DM102" s="615"/>
      <c r="DN102" s="615"/>
      <c r="DO102" s="615"/>
      <c r="DP102" s="615"/>
      <c r="DQ102" s="615"/>
      <c r="DR102" s="635"/>
      <c r="DS102" s="636"/>
      <c r="DT102" s="615"/>
      <c r="DU102" s="615"/>
      <c r="DV102" s="615"/>
      <c r="DW102" s="615"/>
      <c r="DX102" s="615"/>
      <c r="DY102" s="615"/>
      <c r="DZ102" s="615"/>
      <c r="EA102" s="615"/>
      <c r="EB102" s="615"/>
      <c r="EC102" s="615"/>
      <c r="ED102" s="637"/>
      <c r="EE102" s="692"/>
    </row>
    <row r="103" spans="1:135" x14ac:dyDescent="0.25">
      <c r="A103" s="640" t="s">
        <v>11</v>
      </c>
      <c r="B103" s="367" t="s">
        <v>913</v>
      </c>
      <c r="C103" s="367" t="s">
        <v>585</v>
      </c>
      <c r="D103" s="367" t="s">
        <v>914</v>
      </c>
      <c r="E103" s="503" t="s">
        <v>898</v>
      </c>
      <c r="F103" s="570">
        <v>44572</v>
      </c>
      <c r="G103" s="85" t="s">
        <v>59</v>
      </c>
      <c r="H103" s="85" t="s">
        <v>54</v>
      </c>
      <c r="I103" s="85" t="s">
        <v>358</v>
      </c>
      <c r="J103" s="675" t="s">
        <v>358</v>
      </c>
      <c r="K103" s="85" t="s">
        <v>358</v>
      </c>
      <c r="L103" s="85" t="s">
        <v>40</v>
      </c>
      <c r="M103" s="85" t="s">
        <v>3</v>
      </c>
      <c r="N103" s="668" t="s">
        <v>44</v>
      </c>
      <c r="O103" s="669"/>
      <c r="P103" s="615"/>
      <c r="Q103" s="615"/>
      <c r="R103" s="615"/>
      <c r="S103" s="615">
        <v>5</v>
      </c>
      <c r="T103" s="615"/>
      <c r="U103" s="615"/>
      <c r="V103" s="615"/>
      <c r="W103" s="615"/>
      <c r="X103" s="615"/>
      <c r="Y103" s="615"/>
      <c r="Z103" s="635"/>
      <c r="AA103" s="636"/>
      <c r="AB103" s="615"/>
      <c r="AC103" s="615"/>
      <c r="AD103" s="615"/>
      <c r="AE103" s="615"/>
      <c r="AF103" s="615"/>
      <c r="AG103" s="615"/>
      <c r="AH103" s="615"/>
      <c r="AI103" s="615"/>
      <c r="AJ103" s="615"/>
      <c r="AK103" s="615"/>
      <c r="AL103" s="635"/>
      <c r="AM103" s="636"/>
      <c r="AN103" s="615"/>
      <c r="AO103" s="615"/>
      <c r="AP103" s="615"/>
      <c r="AQ103" s="615"/>
      <c r="AR103" s="615"/>
      <c r="AS103" s="615"/>
      <c r="AT103" s="615"/>
      <c r="AU103" s="615"/>
      <c r="AV103" s="615"/>
      <c r="AW103" s="615"/>
      <c r="AX103" s="635"/>
      <c r="AY103" s="636"/>
      <c r="AZ103" s="615"/>
      <c r="BA103" s="615"/>
      <c r="BB103" s="615"/>
      <c r="BC103" s="615"/>
      <c r="BD103" s="615"/>
      <c r="BE103" s="615"/>
      <c r="BF103" s="615"/>
      <c r="BG103" s="615"/>
      <c r="BH103" s="615"/>
      <c r="BI103" s="615"/>
      <c r="BJ103" s="635"/>
      <c r="BK103" s="636"/>
      <c r="BL103" s="615"/>
      <c r="BM103" s="615"/>
      <c r="BN103" s="615"/>
      <c r="BO103" s="615"/>
      <c r="BP103" s="615"/>
      <c r="BQ103" s="615"/>
      <c r="BR103" s="615"/>
      <c r="BS103" s="615"/>
      <c r="BT103" s="615"/>
      <c r="BU103" s="615"/>
      <c r="BV103" s="637"/>
      <c r="BW103" s="669"/>
      <c r="BX103" s="615"/>
      <c r="BY103" s="615"/>
      <c r="BZ103" s="615"/>
      <c r="CA103" s="615">
        <v>132</v>
      </c>
      <c r="CB103" s="615"/>
      <c r="CC103" s="615"/>
      <c r="CD103" s="615"/>
      <c r="CE103" s="615"/>
      <c r="CF103" s="615"/>
      <c r="CG103" s="615"/>
      <c r="CH103" s="635"/>
      <c r="CI103" s="636"/>
      <c r="CJ103" s="615"/>
      <c r="CK103" s="615"/>
      <c r="CL103" s="615"/>
      <c r="CM103" s="615"/>
      <c r="CN103" s="615"/>
      <c r="CO103" s="615"/>
      <c r="CP103" s="615"/>
      <c r="CQ103" s="615"/>
      <c r="CR103" s="615"/>
      <c r="CS103" s="615"/>
      <c r="CT103" s="635"/>
      <c r="CU103" s="636"/>
      <c r="CV103" s="615"/>
      <c r="CW103" s="615"/>
      <c r="CX103" s="615"/>
      <c r="CY103" s="615"/>
      <c r="CZ103" s="615"/>
      <c r="DA103" s="615"/>
      <c r="DB103" s="615"/>
      <c r="DC103" s="615"/>
      <c r="DD103" s="615"/>
      <c r="DE103" s="615"/>
      <c r="DF103" s="635"/>
      <c r="DG103" s="636"/>
      <c r="DH103" s="615"/>
      <c r="DI103" s="615"/>
      <c r="DJ103" s="615"/>
      <c r="DK103" s="615"/>
      <c r="DL103" s="615"/>
      <c r="DM103" s="615"/>
      <c r="DN103" s="615"/>
      <c r="DO103" s="615"/>
      <c r="DP103" s="615"/>
      <c r="DQ103" s="615"/>
      <c r="DR103" s="635"/>
      <c r="DS103" s="636"/>
      <c r="DT103" s="615"/>
      <c r="DU103" s="615"/>
      <c r="DV103" s="615"/>
      <c r="DW103" s="615"/>
      <c r="DX103" s="615"/>
      <c r="DY103" s="615"/>
      <c r="DZ103" s="615"/>
      <c r="EA103" s="615"/>
      <c r="EB103" s="615"/>
      <c r="EC103" s="615"/>
      <c r="ED103" s="637"/>
      <c r="EE103" s="692"/>
    </row>
    <row r="104" spans="1:135" x14ac:dyDescent="0.25">
      <c r="A104" s="640" t="s">
        <v>11</v>
      </c>
      <c r="B104" s="367" t="s">
        <v>915</v>
      </c>
      <c r="C104" s="367" t="s">
        <v>466</v>
      </c>
      <c r="D104" s="367" t="s">
        <v>916</v>
      </c>
      <c r="E104" s="503" t="s">
        <v>899</v>
      </c>
      <c r="F104" s="570">
        <v>44572</v>
      </c>
      <c r="G104" s="85" t="s">
        <v>58</v>
      </c>
      <c r="H104" s="85" t="s">
        <v>54</v>
      </c>
      <c r="I104" s="85" t="s">
        <v>358</v>
      </c>
      <c r="J104" s="675" t="s">
        <v>358</v>
      </c>
      <c r="K104" s="85" t="s">
        <v>358</v>
      </c>
      <c r="L104" s="85" t="s">
        <v>40</v>
      </c>
      <c r="M104" s="85" t="s">
        <v>3</v>
      </c>
      <c r="N104" s="668" t="s">
        <v>44</v>
      </c>
      <c r="O104" s="669"/>
      <c r="P104" s="615">
        <v>-1.3</v>
      </c>
      <c r="Q104" s="615"/>
      <c r="R104" s="615"/>
      <c r="S104" s="615"/>
      <c r="T104" s="615"/>
      <c r="U104" s="615"/>
      <c r="V104" s="615"/>
      <c r="W104" s="615"/>
      <c r="X104" s="615"/>
      <c r="Y104" s="615"/>
      <c r="Z104" s="635"/>
      <c r="AA104" s="636"/>
      <c r="AB104" s="615"/>
      <c r="AC104" s="615"/>
      <c r="AD104" s="615"/>
      <c r="AE104" s="615"/>
      <c r="AF104" s="615"/>
      <c r="AG104" s="615"/>
      <c r="AH104" s="615"/>
      <c r="AI104" s="615"/>
      <c r="AJ104" s="615"/>
      <c r="AK104" s="615"/>
      <c r="AL104" s="635"/>
      <c r="AM104" s="636"/>
      <c r="AN104" s="615"/>
      <c r="AO104" s="615"/>
      <c r="AP104" s="615"/>
      <c r="AQ104" s="615"/>
      <c r="AR104" s="615"/>
      <c r="AS104" s="615"/>
      <c r="AT104" s="615"/>
      <c r="AU104" s="615"/>
      <c r="AV104" s="615"/>
      <c r="AW104" s="615"/>
      <c r="AX104" s="635"/>
      <c r="AY104" s="636"/>
      <c r="AZ104" s="615"/>
      <c r="BA104" s="615"/>
      <c r="BB104" s="615"/>
      <c r="BC104" s="615"/>
      <c r="BD104" s="615"/>
      <c r="BE104" s="615"/>
      <c r="BF104" s="615"/>
      <c r="BG104" s="615"/>
      <c r="BH104" s="615"/>
      <c r="BI104" s="615"/>
      <c r="BJ104" s="635"/>
      <c r="BK104" s="636"/>
      <c r="BL104" s="615"/>
      <c r="BM104" s="615"/>
      <c r="BN104" s="615"/>
      <c r="BO104" s="615"/>
      <c r="BP104" s="615"/>
      <c r="BQ104" s="615"/>
      <c r="BR104" s="615"/>
      <c r="BS104" s="615"/>
      <c r="BT104" s="615"/>
      <c r="BU104" s="615"/>
      <c r="BV104" s="637"/>
      <c r="BW104" s="669"/>
      <c r="BX104" s="615">
        <v>94</v>
      </c>
      <c r="BY104" s="615"/>
      <c r="BZ104" s="615"/>
      <c r="CA104" s="615"/>
      <c r="CB104" s="615"/>
      <c r="CC104" s="615"/>
      <c r="CD104" s="615"/>
      <c r="CE104" s="615"/>
      <c r="CF104" s="615"/>
      <c r="CG104" s="615"/>
      <c r="CH104" s="635"/>
      <c r="CI104" s="636"/>
      <c r="CJ104" s="615"/>
      <c r="CK104" s="615"/>
      <c r="CL104" s="615"/>
      <c r="CM104" s="615"/>
      <c r="CN104" s="615"/>
      <c r="CO104" s="615"/>
      <c r="CP104" s="615"/>
      <c r="CQ104" s="615"/>
      <c r="CR104" s="615"/>
      <c r="CS104" s="615"/>
      <c r="CT104" s="635"/>
      <c r="CU104" s="636"/>
      <c r="CV104" s="615"/>
      <c r="CW104" s="615"/>
      <c r="CX104" s="615"/>
      <c r="CY104" s="615"/>
      <c r="CZ104" s="615"/>
      <c r="DA104" s="615"/>
      <c r="DB104" s="615"/>
      <c r="DC104" s="615"/>
      <c r="DD104" s="615"/>
      <c r="DE104" s="615"/>
      <c r="DF104" s="635"/>
      <c r="DG104" s="636"/>
      <c r="DH104" s="615"/>
      <c r="DI104" s="615"/>
      <c r="DJ104" s="615"/>
      <c r="DK104" s="615"/>
      <c r="DL104" s="615"/>
      <c r="DM104" s="615"/>
      <c r="DN104" s="615"/>
      <c r="DO104" s="615"/>
      <c r="DP104" s="615"/>
      <c r="DQ104" s="615"/>
      <c r="DR104" s="635"/>
      <c r="DS104" s="636"/>
      <c r="DT104" s="615"/>
      <c r="DU104" s="615"/>
      <c r="DV104" s="615"/>
      <c r="DW104" s="615"/>
      <c r="DX104" s="615"/>
      <c r="DY104" s="615"/>
      <c r="DZ104" s="615"/>
      <c r="EA104" s="615"/>
      <c r="EB104" s="615"/>
      <c r="EC104" s="615"/>
      <c r="ED104" s="637"/>
      <c r="EE104" s="692"/>
    </row>
    <row r="105" spans="1:135" x14ac:dyDescent="0.25">
      <c r="A105" s="640" t="s">
        <v>11</v>
      </c>
      <c r="B105" s="367" t="s">
        <v>917</v>
      </c>
      <c r="C105" s="367" t="s">
        <v>502</v>
      </c>
      <c r="D105" s="367" t="s">
        <v>918</v>
      </c>
      <c r="E105" s="503" t="s">
        <v>900</v>
      </c>
      <c r="F105" s="570">
        <v>44572</v>
      </c>
      <c r="G105" s="85" t="s">
        <v>58</v>
      </c>
      <c r="H105" s="85" t="s">
        <v>54</v>
      </c>
      <c r="I105" s="85" t="s">
        <v>358</v>
      </c>
      <c r="J105" s="675" t="s">
        <v>358</v>
      </c>
      <c r="K105" s="85" t="s">
        <v>358</v>
      </c>
      <c r="L105" s="85" t="s">
        <v>40</v>
      </c>
      <c r="M105" s="85" t="s">
        <v>3</v>
      </c>
      <c r="N105" s="668" t="s">
        <v>44</v>
      </c>
      <c r="O105" s="669"/>
      <c r="P105" s="615"/>
      <c r="Q105" s="615"/>
      <c r="R105" s="615"/>
      <c r="S105" s="615"/>
      <c r="T105" s="615"/>
      <c r="U105" s="615">
        <v>-5</v>
      </c>
      <c r="V105" s="615"/>
      <c r="W105" s="615"/>
      <c r="X105" s="615"/>
      <c r="Y105" s="615"/>
      <c r="Z105" s="635"/>
      <c r="AA105" s="636"/>
      <c r="AB105" s="615"/>
      <c r="AC105" s="615"/>
      <c r="AD105" s="615"/>
      <c r="AE105" s="615"/>
      <c r="AF105" s="615"/>
      <c r="AG105" s="615"/>
      <c r="AH105" s="615"/>
      <c r="AI105" s="615"/>
      <c r="AJ105" s="615"/>
      <c r="AK105" s="615"/>
      <c r="AL105" s="635"/>
      <c r="AM105" s="636"/>
      <c r="AN105" s="615"/>
      <c r="AO105" s="615"/>
      <c r="AP105" s="615"/>
      <c r="AQ105" s="615"/>
      <c r="AR105" s="615"/>
      <c r="AS105" s="615"/>
      <c r="AT105" s="615"/>
      <c r="AU105" s="615"/>
      <c r="AV105" s="615"/>
      <c r="AW105" s="615"/>
      <c r="AX105" s="635"/>
      <c r="AY105" s="636"/>
      <c r="AZ105" s="615"/>
      <c r="BA105" s="615"/>
      <c r="BB105" s="615"/>
      <c r="BC105" s="615"/>
      <c r="BD105" s="615"/>
      <c r="BE105" s="615"/>
      <c r="BF105" s="615"/>
      <c r="BG105" s="615"/>
      <c r="BH105" s="615"/>
      <c r="BI105" s="615"/>
      <c r="BJ105" s="635"/>
      <c r="BK105" s="636"/>
      <c r="BL105" s="615"/>
      <c r="BM105" s="615"/>
      <c r="BN105" s="615"/>
      <c r="BO105" s="615"/>
      <c r="BP105" s="615"/>
      <c r="BQ105" s="615"/>
      <c r="BR105" s="615"/>
      <c r="BS105" s="615"/>
      <c r="BT105" s="615"/>
      <c r="BU105" s="615"/>
      <c r="BV105" s="637"/>
      <c r="BW105" s="669"/>
      <c r="BX105" s="615"/>
      <c r="BY105" s="615"/>
      <c r="BZ105" s="615"/>
      <c r="CA105" s="615"/>
      <c r="CB105" s="615"/>
      <c r="CC105" s="615">
        <v>205</v>
      </c>
      <c r="CD105" s="615"/>
      <c r="CE105" s="615"/>
      <c r="CF105" s="615"/>
      <c r="CG105" s="615"/>
      <c r="CH105" s="635"/>
      <c r="CI105" s="636"/>
      <c r="CJ105" s="615"/>
      <c r="CK105" s="615"/>
      <c r="CL105" s="615"/>
      <c r="CM105" s="615"/>
      <c r="CN105" s="615"/>
      <c r="CO105" s="615"/>
      <c r="CP105" s="615"/>
      <c r="CQ105" s="615"/>
      <c r="CR105" s="615"/>
      <c r="CS105" s="615"/>
      <c r="CT105" s="635"/>
      <c r="CU105" s="636"/>
      <c r="CV105" s="615"/>
      <c r="CW105" s="615"/>
      <c r="CX105" s="615"/>
      <c r="CY105" s="615"/>
      <c r="CZ105" s="615"/>
      <c r="DA105" s="615"/>
      <c r="DB105" s="615"/>
      <c r="DC105" s="615"/>
      <c r="DD105" s="615"/>
      <c r="DE105" s="615"/>
      <c r="DF105" s="635"/>
      <c r="DG105" s="636"/>
      <c r="DH105" s="615"/>
      <c r="DI105" s="615"/>
      <c r="DJ105" s="615"/>
      <c r="DK105" s="615"/>
      <c r="DL105" s="615"/>
      <c r="DM105" s="615"/>
      <c r="DN105" s="615"/>
      <c r="DO105" s="615"/>
      <c r="DP105" s="615"/>
      <c r="DQ105" s="615"/>
      <c r="DR105" s="635"/>
      <c r="DS105" s="636"/>
      <c r="DT105" s="615"/>
      <c r="DU105" s="615"/>
      <c r="DV105" s="615"/>
      <c r="DW105" s="615"/>
      <c r="DX105" s="615"/>
      <c r="DY105" s="615"/>
      <c r="DZ105" s="615"/>
      <c r="EA105" s="615"/>
      <c r="EB105" s="615"/>
      <c r="EC105" s="615"/>
      <c r="ED105" s="637"/>
      <c r="EE105" s="692"/>
    </row>
    <row r="106" spans="1:135" x14ac:dyDescent="0.25">
      <c r="A106" s="640" t="s">
        <v>11</v>
      </c>
      <c r="B106" s="367" t="s">
        <v>919</v>
      </c>
      <c r="C106" s="367" t="s">
        <v>466</v>
      </c>
      <c r="D106" s="367" t="s">
        <v>920</v>
      </c>
      <c r="E106" s="503" t="s">
        <v>901</v>
      </c>
      <c r="F106" s="570">
        <v>44572</v>
      </c>
      <c r="G106" s="85" t="s">
        <v>58</v>
      </c>
      <c r="H106" s="85" t="s">
        <v>54</v>
      </c>
      <c r="I106" s="85" t="s">
        <v>358</v>
      </c>
      <c r="J106" s="675" t="s">
        <v>358</v>
      </c>
      <c r="K106" s="85" t="s">
        <v>358</v>
      </c>
      <c r="L106" s="85" t="s">
        <v>40</v>
      </c>
      <c r="M106" s="85" t="s">
        <v>3</v>
      </c>
      <c r="N106" s="668" t="s">
        <v>44</v>
      </c>
      <c r="O106" s="669"/>
      <c r="P106" s="615">
        <v>-1</v>
      </c>
      <c r="Q106" s="615"/>
      <c r="R106" s="615"/>
      <c r="S106" s="615"/>
      <c r="T106" s="615"/>
      <c r="U106" s="615"/>
      <c r="V106" s="615"/>
      <c r="W106" s="615"/>
      <c r="X106" s="615"/>
      <c r="Y106" s="615"/>
      <c r="Z106" s="635"/>
      <c r="AA106" s="636"/>
      <c r="AB106" s="615"/>
      <c r="AC106" s="615"/>
      <c r="AD106" s="615"/>
      <c r="AE106" s="615"/>
      <c r="AF106" s="615"/>
      <c r="AG106" s="615"/>
      <c r="AH106" s="615"/>
      <c r="AI106" s="615"/>
      <c r="AJ106" s="615"/>
      <c r="AK106" s="615"/>
      <c r="AL106" s="635"/>
      <c r="AM106" s="636"/>
      <c r="AN106" s="615"/>
      <c r="AO106" s="615"/>
      <c r="AP106" s="615"/>
      <c r="AQ106" s="615"/>
      <c r="AR106" s="615"/>
      <c r="AS106" s="615"/>
      <c r="AT106" s="615"/>
      <c r="AU106" s="615"/>
      <c r="AV106" s="615"/>
      <c r="AW106" s="615"/>
      <c r="AX106" s="635"/>
      <c r="AY106" s="636"/>
      <c r="AZ106" s="615"/>
      <c r="BA106" s="615"/>
      <c r="BB106" s="615"/>
      <c r="BC106" s="615"/>
      <c r="BD106" s="615"/>
      <c r="BE106" s="615"/>
      <c r="BF106" s="615"/>
      <c r="BG106" s="615"/>
      <c r="BH106" s="615"/>
      <c r="BI106" s="615"/>
      <c r="BJ106" s="635"/>
      <c r="BK106" s="636"/>
      <c r="BL106" s="615"/>
      <c r="BM106" s="615"/>
      <c r="BN106" s="615"/>
      <c r="BO106" s="615"/>
      <c r="BP106" s="615"/>
      <c r="BQ106" s="615"/>
      <c r="BR106" s="615"/>
      <c r="BS106" s="615"/>
      <c r="BT106" s="615"/>
      <c r="BU106" s="615"/>
      <c r="BV106" s="637"/>
      <c r="BW106" s="669"/>
      <c r="BX106" s="615">
        <v>95</v>
      </c>
      <c r="BY106" s="615"/>
      <c r="BZ106" s="615"/>
      <c r="CA106" s="615"/>
      <c r="CB106" s="615"/>
      <c r="CC106" s="615"/>
      <c r="CD106" s="615"/>
      <c r="CE106" s="615"/>
      <c r="CF106" s="615"/>
      <c r="CG106" s="615"/>
      <c r="CH106" s="635"/>
      <c r="CI106" s="636"/>
      <c r="CJ106" s="615"/>
      <c r="CK106" s="615"/>
      <c r="CL106" s="615"/>
      <c r="CM106" s="615"/>
      <c r="CN106" s="615"/>
      <c r="CO106" s="615"/>
      <c r="CP106" s="615"/>
      <c r="CQ106" s="615"/>
      <c r="CR106" s="615"/>
      <c r="CS106" s="615"/>
      <c r="CT106" s="635"/>
      <c r="CU106" s="636"/>
      <c r="CV106" s="615"/>
      <c r="CW106" s="615"/>
      <c r="CX106" s="615"/>
      <c r="CY106" s="615"/>
      <c r="CZ106" s="615"/>
      <c r="DA106" s="615"/>
      <c r="DB106" s="615"/>
      <c r="DC106" s="615"/>
      <c r="DD106" s="615"/>
      <c r="DE106" s="615"/>
      <c r="DF106" s="635"/>
      <c r="DG106" s="636"/>
      <c r="DH106" s="615"/>
      <c r="DI106" s="615"/>
      <c r="DJ106" s="615"/>
      <c r="DK106" s="615"/>
      <c r="DL106" s="615"/>
      <c r="DM106" s="615"/>
      <c r="DN106" s="615"/>
      <c r="DO106" s="615"/>
      <c r="DP106" s="615"/>
      <c r="DQ106" s="615"/>
      <c r="DR106" s="635"/>
      <c r="DS106" s="636"/>
      <c r="DT106" s="615"/>
      <c r="DU106" s="615"/>
      <c r="DV106" s="615"/>
      <c r="DW106" s="615"/>
      <c r="DX106" s="615"/>
      <c r="DY106" s="615"/>
      <c r="DZ106" s="615"/>
      <c r="EA106" s="615"/>
      <c r="EB106" s="615"/>
      <c r="EC106" s="615"/>
      <c r="ED106" s="637"/>
      <c r="EE106" s="692"/>
    </row>
    <row r="107" spans="1:135" x14ac:dyDescent="0.25">
      <c r="A107" s="640" t="s">
        <v>11</v>
      </c>
      <c r="B107" s="367" t="s">
        <v>926</v>
      </c>
      <c r="C107" s="367" t="s">
        <v>411</v>
      </c>
      <c r="D107" s="367" t="s">
        <v>927</v>
      </c>
      <c r="E107" s="503" t="s">
        <v>921</v>
      </c>
      <c r="F107" s="570">
        <v>44573</v>
      </c>
      <c r="G107" s="85" t="s">
        <v>59</v>
      </c>
      <c r="H107" s="85" t="s">
        <v>54</v>
      </c>
      <c r="I107" s="85" t="s">
        <v>358</v>
      </c>
      <c r="J107" s="675" t="s">
        <v>358</v>
      </c>
      <c r="K107" s="85" t="s">
        <v>358</v>
      </c>
      <c r="L107" s="85" t="s">
        <v>40</v>
      </c>
      <c r="M107" s="85" t="s">
        <v>3</v>
      </c>
      <c r="N107" s="668" t="s">
        <v>44</v>
      </c>
      <c r="O107" s="669">
        <v>1</v>
      </c>
      <c r="P107" s="615"/>
      <c r="Q107" s="615"/>
      <c r="R107" s="615"/>
      <c r="S107" s="615"/>
      <c r="T107" s="615"/>
      <c r="U107" s="615"/>
      <c r="V107" s="615"/>
      <c r="W107" s="615"/>
      <c r="X107" s="615"/>
      <c r="Y107" s="615"/>
      <c r="Z107" s="635"/>
      <c r="AA107" s="636"/>
      <c r="AB107" s="615"/>
      <c r="AC107" s="615"/>
      <c r="AD107" s="615"/>
      <c r="AE107" s="615"/>
      <c r="AF107" s="615"/>
      <c r="AG107" s="615"/>
      <c r="AH107" s="615"/>
      <c r="AI107" s="615"/>
      <c r="AJ107" s="615"/>
      <c r="AK107" s="615"/>
      <c r="AL107" s="635"/>
      <c r="AM107" s="636"/>
      <c r="AN107" s="615"/>
      <c r="AO107" s="615"/>
      <c r="AP107" s="615"/>
      <c r="AQ107" s="615"/>
      <c r="AR107" s="615"/>
      <c r="AS107" s="615"/>
      <c r="AT107" s="615"/>
      <c r="AU107" s="615"/>
      <c r="AV107" s="615"/>
      <c r="AW107" s="615"/>
      <c r="AX107" s="635"/>
      <c r="AY107" s="636"/>
      <c r="AZ107" s="615"/>
      <c r="BA107" s="615"/>
      <c r="BB107" s="615"/>
      <c r="BC107" s="615"/>
      <c r="BD107" s="615"/>
      <c r="BE107" s="615"/>
      <c r="BF107" s="615"/>
      <c r="BG107" s="615"/>
      <c r="BH107" s="615"/>
      <c r="BI107" s="615"/>
      <c r="BJ107" s="635"/>
      <c r="BK107" s="636"/>
      <c r="BL107" s="615"/>
      <c r="BM107" s="615"/>
      <c r="BN107" s="615"/>
      <c r="BO107" s="615"/>
      <c r="BP107" s="615"/>
      <c r="BQ107" s="615"/>
      <c r="BR107" s="615"/>
      <c r="BS107" s="615"/>
      <c r="BT107" s="615"/>
      <c r="BU107" s="615"/>
      <c r="BV107" s="637"/>
      <c r="BW107" s="669">
        <v>68</v>
      </c>
      <c r="BX107" s="615"/>
      <c r="BY107" s="615"/>
      <c r="BZ107" s="615"/>
      <c r="CA107" s="615"/>
      <c r="CB107" s="615"/>
      <c r="CC107" s="615"/>
      <c r="CD107" s="615"/>
      <c r="CE107" s="615"/>
      <c r="CF107" s="615"/>
      <c r="CG107" s="615"/>
      <c r="CH107" s="635"/>
      <c r="CI107" s="636"/>
      <c r="CJ107" s="615"/>
      <c r="CK107" s="615"/>
      <c r="CL107" s="615"/>
      <c r="CM107" s="615"/>
      <c r="CN107" s="615"/>
      <c r="CO107" s="615"/>
      <c r="CP107" s="615"/>
      <c r="CQ107" s="615"/>
      <c r="CR107" s="615"/>
      <c r="CS107" s="615"/>
      <c r="CT107" s="635"/>
      <c r="CU107" s="636"/>
      <c r="CV107" s="615"/>
      <c r="CW107" s="615"/>
      <c r="CX107" s="615"/>
      <c r="CY107" s="615"/>
      <c r="CZ107" s="615"/>
      <c r="DA107" s="615"/>
      <c r="DB107" s="615"/>
      <c r="DC107" s="615"/>
      <c r="DD107" s="615"/>
      <c r="DE107" s="615"/>
      <c r="DF107" s="635"/>
      <c r="DG107" s="636"/>
      <c r="DH107" s="615"/>
      <c r="DI107" s="615"/>
      <c r="DJ107" s="615"/>
      <c r="DK107" s="615"/>
      <c r="DL107" s="615"/>
      <c r="DM107" s="615"/>
      <c r="DN107" s="615"/>
      <c r="DO107" s="615"/>
      <c r="DP107" s="615"/>
      <c r="DQ107" s="615"/>
      <c r="DR107" s="635"/>
      <c r="DS107" s="636"/>
      <c r="DT107" s="615"/>
      <c r="DU107" s="615"/>
      <c r="DV107" s="615"/>
      <c r="DW107" s="615"/>
      <c r="DX107" s="615"/>
      <c r="DY107" s="615"/>
      <c r="DZ107" s="615"/>
      <c r="EA107" s="615"/>
      <c r="EB107" s="615"/>
      <c r="EC107" s="615"/>
      <c r="ED107" s="637"/>
      <c r="EE107" s="692"/>
    </row>
    <row r="108" spans="1:135" x14ac:dyDescent="0.25">
      <c r="A108" s="640" t="s">
        <v>11</v>
      </c>
      <c r="B108" s="367" t="s">
        <v>928</v>
      </c>
      <c r="C108" s="367" t="s">
        <v>475</v>
      </c>
      <c r="D108" s="367" t="s">
        <v>929</v>
      </c>
      <c r="E108" s="503" t="s">
        <v>922</v>
      </c>
      <c r="F108" s="570">
        <v>44573</v>
      </c>
      <c r="G108" s="85" t="s">
        <v>59</v>
      </c>
      <c r="H108" s="85" t="s">
        <v>54</v>
      </c>
      <c r="I108" s="85" t="s">
        <v>358</v>
      </c>
      <c r="J108" s="675" t="s">
        <v>358</v>
      </c>
      <c r="K108" s="85" t="s">
        <v>358</v>
      </c>
      <c r="L108" s="85" t="s">
        <v>40</v>
      </c>
      <c r="M108" s="85" t="s">
        <v>3</v>
      </c>
      <c r="N108" s="668" t="s">
        <v>44</v>
      </c>
      <c r="O108" s="669"/>
      <c r="P108" s="615"/>
      <c r="Q108" s="615">
        <v>2</v>
      </c>
      <c r="R108" s="615"/>
      <c r="S108" s="615"/>
      <c r="T108" s="615"/>
      <c r="U108" s="615"/>
      <c r="V108" s="615"/>
      <c r="W108" s="615"/>
      <c r="X108" s="615"/>
      <c r="Y108" s="615"/>
      <c r="Z108" s="635"/>
      <c r="AA108" s="636"/>
      <c r="AB108" s="615"/>
      <c r="AC108" s="615"/>
      <c r="AD108" s="615"/>
      <c r="AE108" s="615"/>
      <c r="AF108" s="615"/>
      <c r="AG108" s="615"/>
      <c r="AH108" s="615"/>
      <c r="AI108" s="615"/>
      <c r="AJ108" s="615"/>
      <c r="AK108" s="615"/>
      <c r="AL108" s="635"/>
      <c r="AM108" s="636"/>
      <c r="AN108" s="615"/>
      <c r="AO108" s="615"/>
      <c r="AP108" s="615"/>
      <c r="AQ108" s="615"/>
      <c r="AR108" s="615"/>
      <c r="AS108" s="615"/>
      <c r="AT108" s="615"/>
      <c r="AU108" s="615"/>
      <c r="AV108" s="615"/>
      <c r="AW108" s="615"/>
      <c r="AX108" s="635"/>
      <c r="AY108" s="636"/>
      <c r="AZ108" s="615"/>
      <c r="BA108" s="615"/>
      <c r="BB108" s="615"/>
      <c r="BC108" s="615"/>
      <c r="BD108" s="615"/>
      <c r="BE108" s="615"/>
      <c r="BF108" s="615"/>
      <c r="BG108" s="615"/>
      <c r="BH108" s="615"/>
      <c r="BI108" s="615"/>
      <c r="BJ108" s="635"/>
      <c r="BK108" s="636"/>
      <c r="BL108" s="615"/>
      <c r="BM108" s="615"/>
      <c r="BN108" s="615"/>
      <c r="BO108" s="615"/>
      <c r="BP108" s="615"/>
      <c r="BQ108" s="615"/>
      <c r="BR108" s="615"/>
      <c r="BS108" s="615"/>
      <c r="BT108" s="615"/>
      <c r="BU108" s="615"/>
      <c r="BV108" s="637"/>
      <c r="BW108" s="669"/>
      <c r="BX108" s="615"/>
      <c r="BY108" s="615">
        <v>122</v>
      </c>
      <c r="BZ108" s="615"/>
      <c r="CA108" s="615"/>
      <c r="CB108" s="615"/>
      <c r="CC108" s="615"/>
      <c r="CD108" s="615"/>
      <c r="CE108" s="615"/>
      <c r="CF108" s="615"/>
      <c r="CG108" s="615"/>
      <c r="CH108" s="635"/>
      <c r="CI108" s="636"/>
      <c r="CJ108" s="615"/>
      <c r="CK108" s="615"/>
      <c r="CL108" s="615"/>
      <c r="CM108" s="615"/>
      <c r="CN108" s="615"/>
      <c r="CO108" s="615"/>
      <c r="CP108" s="615"/>
      <c r="CQ108" s="615"/>
      <c r="CR108" s="615"/>
      <c r="CS108" s="615"/>
      <c r="CT108" s="635"/>
      <c r="CU108" s="636"/>
      <c r="CV108" s="615"/>
      <c r="CW108" s="615"/>
      <c r="CX108" s="615"/>
      <c r="CY108" s="615"/>
      <c r="CZ108" s="615"/>
      <c r="DA108" s="615"/>
      <c r="DB108" s="615"/>
      <c r="DC108" s="615"/>
      <c r="DD108" s="615"/>
      <c r="DE108" s="615"/>
      <c r="DF108" s="635"/>
      <c r="DG108" s="636"/>
      <c r="DH108" s="615"/>
      <c r="DI108" s="615"/>
      <c r="DJ108" s="615"/>
      <c r="DK108" s="615"/>
      <c r="DL108" s="615"/>
      <c r="DM108" s="615"/>
      <c r="DN108" s="615"/>
      <c r="DO108" s="615"/>
      <c r="DP108" s="615"/>
      <c r="DQ108" s="615"/>
      <c r="DR108" s="635"/>
      <c r="DS108" s="636"/>
      <c r="DT108" s="615"/>
      <c r="DU108" s="615"/>
      <c r="DV108" s="615"/>
      <c r="DW108" s="615"/>
      <c r="DX108" s="615"/>
      <c r="DY108" s="615"/>
      <c r="DZ108" s="615"/>
      <c r="EA108" s="615"/>
      <c r="EB108" s="615"/>
      <c r="EC108" s="615"/>
      <c r="ED108" s="637"/>
      <c r="EE108" s="692"/>
    </row>
    <row r="109" spans="1:135" x14ac:dyDescent="0.25">
      <c r="A109" s="640" t="s">
        <v>11</v>
      </c>
      <c r="B109" s="367" t="s">
        <v>930</v>
      </c>
      <c r="C109" s="367" t="s">
        <v>475</v>
      </c>
      <c r="D109" s="367" t="s">
        <v>931</v>
      </c>
      <c r="E109" s="503" t="s">
        <v>923</v>
      </c>
      <c r="F109" s="570">
        <v>44573</v>
      </c>
      <c r="G109" s="85" t="s">
        <v>59</v>
      </c>
      <c r="H109" s="85" t="s">
        <v>54</v>
      </c>
      <c r="I109" s="85" t="s">
        <v>358</v>
      </c>
      <c r="J109" s="675" t="s">
        <v>358</v>
      </c>
      <c r="K109" s="85" t="s">
        <v>358</v>
      </c>
      <c r="L109" s="85" t="s">
        <v>40</v>
      </c>
      <c r="M109" s="85" t="s">
        <v>3</v>
      </c>
      <c r="N109" s="668" t="s">
        <v>44</v>
      </c>
      <c r="O109" s="669"/>
      <c r="P109" s="615"/>
      <c r="Q109" s="615">
        <v>2</v>
      </c>
      <c r="R109" s="615"/>
      <c r="S109" s="615"/>
      <c r="T109" s="615"/>
      <c r="U109" s="615"/>
      <c r="V109" s="615"/>
      <c r="W109" s="615"/>
      <c r="X109" s="615"/>
      <c r="Y109" s="615"/>
      <c r="Z109" s="635"/>
      <c r="AA109" s="636"/>
      <c r="AB109" s="615"/>
      <c r="AC109" s="615"/>
      <c r="AD109" s="615"/>
      <c r="AE109" s="615"/>
      <c r="AF109" s="615"/>
      <c r="AG109" s="615"/>
      <c r="AH109" s="615"/>
      <c r="AI109" s="615"/>
      <c r="AJ109" s="615"/>
      <c r="AK109" s="615"/>
      <c r="AL109" s="635"/>
      <c r="AM109" s="636"/>
      <c r="AN109" s="615"/>
      <c r="AO109" s="615"/>
      <c r="AP109" s="615"/>
      <c r="AQ109" s="615"/>
      <c r="AR109" s="615"/>
      <c r="AS109" s="615"/>
      <c r="AT109" s="615"/>
      <c r="AU109" s="615"/>
      <c r="AV109" s="615"/>
      <c r="AW109" s="615"/>
      <c r="AX109" s="635"/>
      <c r="AY109" s="636"/>
      <c r="AZ109" s="615"/>
      <c r="BA109" s="615"/>
      <c r="BB109" s="615"/>
      <c r="BC109" s="615"/>
      <c r="BD109" s="615"/>
      <c r="BE109" s="615"/>
      <c r="BF109" s="615"/>
      <c r="BG109" s="615"/>
      <c r="BH109" s="615"/>
      <c r="BI109" s="615"/>
      <c r="BJ109" s="635"/>
      <c r="BK109" s="636"/>
      <c r="BL109" s="615"/>
      <c r="BM109" s="615"/>
      <c r="BN109" s="615"/>
      <c r="BO109" s="615"/>
      <c r="BP109" s="615"/>
      <c r="BQ109" s="615"/>
      <c r="BR109" s="615"/>
      <c r="BS109" s="615"/>
      <c r="BT109" s="615"/>
      <c r="BU109" s="615"/>
      <c r="BV109" s="637"/>
      <c r="BW109" s="669"/>
      <c r="BX109" s="615"/>
      <c r="BY109" s="615">
        <v>122</v>
      </c>
      <c r="BZ109" s="615"/>
      <c r="CA109" s="615"/>
      <c r="CB109" s="615"/>
      <c r="CC109" s="615"/>
      <c r="CD109" s="615"/>
      <c r="CE109" s="615"/>
      <c r="CF109" s="615"/>
      <c r="CG109" s="615"/>
      <c r="CH109" s="635"/>
      <c r="CI109" s="636"/>
      <c r="CJ109" s="615"/>
      <c r="CK109" s="615"/>
      <c r="CL109" s="615"/>
      <c r="CM109" s="615"/>
      <c r="CN109" s="615"/>
      <c r="CO109" s="615"/>
      <c r="CP109" s="615"/>
      <c r="CQ109" s="615"/>
      <c r="CR109" s="615"/>
      <c r="CS109" s="615"/>
      <c r="CT109" s="635"/>
      <c r="CU109" s="636"/>
      <c r="CV109" s="615"/>
      <c r="CW109" s="615"/>
      <c r="CX109" s="615"/>
      <c r="CY109" s="615"/>
      <c r="CZ109" s="615"/>
      <c r="DA109" s="615"/>
      <c r="DB109" s="615"/>
      <c r="DC109" s="615"/>
      <c r="DD109" s="615"/>
      <c r="DE109" s="615"/>
      <c r="DF109" s="635"/>
      <c r="DG109" s="636"/>
      <c r="DH109" s="615"/>
      <c r="DI109" s="615"/>
      <c r="DJ109" s="615"/>
      <c r="DK109" s="615"/>
      <c r="DL109" s="615"/>
      <c r="DM109" s="615"/>
      <c r="DN109" s="615"/>
      <c r="DO109" s="615"/>
      <c r="DP109" s="615"/>
      <c r="DQ109" s="615"/>
      <c r="DR109" s="635"/>
      <c r="DS109" s="636"/>
      <c r="DT109" s="615"/>
      <c r="DU109" s="615"/>
      <c r="DV109" s="615"/>
      <c r="DW109" s="615"/>
      <c r="DX109" s="615"/>
      <c r="DY109" s="615"/>
      <c r="DZ109" s="615"/>
      <c r="EA109" s="615"/>
      <c r="EB109" s="615"/>
      <c r="EC109" s="615"/>
      <c r="ED109" s="637"/>
      <c r="EE109" s="692"/>
    </row>
    <row r="110" spans="1:135" x14ac:dyDescent="0.25">
      <c r="A110" s="640" t="s">
        <v>11</v>
      </c>
      <c r="B110" s="367" t="s">
        <v>932</v>
      </c>
      <c r="C110" s="367" t="s">
        <v>876</v>
      </c>
      <c r="D110" s="367" t="s">
        <v>933</v>
      </c>
      <c r="E110" s="503" t="s">
        <v>924</v>
      </c>
      <c r="F110" s="570">
        <v>44573</v>
      </c>
      <c r="G110" s="85" t="s">
        <v>59</v>
      </c>
      <c r="H110" s="85" t="s">
        <v>54</v>
      </c>
      <c r="I110" s="85" t="s">
        <v>358</v>
      </c>
      <c r="J110" s="675" t="s">
        <v>358</v>
      </c>
      <c r="K110" s="85" t="s">
        <v>358</v>
      </c>
      <c r="L110" s="85" t="s">
        <v>40</v>
      </c>
      <c r="M110" s="85" t="s">
        <v>3</v>
      </c>
      <c r="N110" s="668" t="s">
        <v>44</v>
      </c>
      <c r="O110" s="669"/>
      <c r="P110" s="615"/>
      <c r="Q110" s="615">
        <v>2</v>
      </c>
      <c r="R110" s="615"/>
      <c r="S110" s="615"/>
      <c r="T110" s="615"/>
      <c r="U110" s="615"/>
      <c r="V110" s="615"/>
      <c r="W110" s="615"/>
      <c r="X110" s="615"/>
      <c r="Y110" s="615"/>
      <c r="Z110" s="635"/>
      <c r="AA110" s="636"/>
      <c r="AB110" s="615"/>
      <c r="AC110" s="615"/>
      <c r="AD110" s="615"/>
      <c r="AE110" s="615"/>
      <c r="AF110" s="615"/>
      <c r="AG110" s="615"/>
      <c r="AH110" s="615"/>
      <c r="AI110" s="615"/>
      <c r="AJ110" s="615"/>
      <c r="AK110" s="615"/>
      <c r="AL110" s="635"/>
      <c r="AM110" s="636"/>
      <c r="AN110" s="615"/>
      <c r="AO110" s="615"/>
      <c r="AP110" s="615"/>
      <c r="AQ110" s="615"/>
      <c r="AR110" s="615"/>
      <c r="AS110" s="615"/>
      <c r="AT110" s="615"/>
      <c r="AU110" s="615"/>
      <c r="AV110" s="615"/>
      <c r="AW110" s="615"/>
      <c r="AX110" s="635"/>
      <c r="AY110" s="636"/>
      <c r="AZ110" s="615"/>
      <c r="BA110" s="615"/>
      <c r="BB110" s="615"/>
      <c r="BC110" s="615"/>
      <c r="BD110" s="615"/>
      <c r="BE110" s="615"/>
      <c r="BF110" s="615"/>
      <c r="BG110" s="615"/>
      <c r="BH110" s="615"/>
      <c r="BI110" s="615"/>
      <c r="BJ110" s="635"/>
      <c r="BK110" s="636"/>
      <c r="BL110" s="615"/>
      <c r="BM110" s="615"/>
      <c r="BN110" s="615"/>
      <c r="BO110" s="615"/>
      <c r="BP110" s="615"/>
      <c r="BQ110" s="615"/>
      <c r="BR110" s="615"/>
      <c r="BS110" s="615"/>
      <c r="BT110" s="615"/>
      <c r="BU110" s="615"/>
      <c r="BV110" s="637"/>
      <c r="BW110" s="669"/>
      <c r="BX110" s="615"/>
      <c r="BY110" s="615">
        <v>121</v>
      </c>
      <c r="BZ110" s="615"/>
      <c r="CA110" s="615"/>
      <c r="CB110" s="615"/>
      <c r="CC110" s="615"/>
      <c r="CD110" s="615"/>
      <c r="CE110" s="615"/>
      <c r="CF110" s="615"/>
      <c r="CG110" s="615"/>
      <c r="CH110" s="635"/>
      <c r="CI110" s="636"/>
      <c r="CJ110" s="615"/>
      <c r="CK110" s="615"/>
      <c r="CL110" s="615"/>
      <c r="CM110" s="615"/>
      <c r="CN110" s="615"/>
      <c r="CO110" s="615"/>
      <c r="CP110" s="615"/>
      <c r="CQ110" s="615"/>
      <c r="CR110" s="615"/>
      <c r="CS110" s="615"/>
      <c r="CT110" s="635"/>
      <c r="CU110" s="636"/>
      <c r="CV110" s="615"/>
      <c r="CW110" s="615"/>
      <c r="CX110" s="615"/>
      <c r="CY110" s="615"/>
      <c r="CZ110" s="615"/>
      <c r="DA110" s="615"/>
      <c r="DB110" s="615"/>
      <c r="DC110" s="615"/>
      <c r="DD110" s="615"/>
      <c r="DE110" s="615"/>
      <c r="DF110" s="635"/>
      <c r="DG110" s="636"/>
      <c r="DH110" s="615"/>
      <c r="DI110" s="615"/>
      <c r="DJ110" s="615"/>
      <c r="DK110" s="615"/>
      <c r="DL110" s="615"/>
      <c r="DM110" s="615"/>
      <c r="DN110" s="615"/>
      <c r="DO110" s="615"/>
      <c r="DP110" s="615"/>
      <c r="DQ110" s="615"/>
      <c r="DR110" s="635"/>
      <c r="DS110" s="636"/>
      <c r="DT110" s="615"/>
      <c r="DU110" s="615"/>
      <c r="DV110" s="615"/>
      <c r="DW110" s="615"/>
      <c r="DX110" s="615"/>
      <c r="DY110" s="615"/>
      <c r="DZ110" s="615"/>
      <c r="EA110" s="615"/>
      <c r="EB110" s="615"/>
      <c r="EC110" s="615"/>
      <c r="ED110" s="637"/>
      <c r="EE110" s="692"/>
    </row>
    <row r="111" spans="1:135" x14ac:dyDescent="0.25">
      <c r="A111" s="640" t="s">
        <v>11</v>
      </c>
      <c r="B111" s="367" t="s">
        <v>934</v>
      </c>
      <c r="C111" s="367" t="s">
        <v>466</v>
      </c>
      <c r="D111" s="367" t="s">
        <v>935</v>
      </c>
      <c r="E111" s="503" t="s">
        <v>925</v>
      </c>
      <c r="F111" s="570">
        <v>44573</v>
      </c>
      <c r="G111" s="85" t="s">
        <v>59</v>
      </c>
      <c r="H111" s="85" t="s">
        <v>54</v>
      </c>
      <c r="I111" s="85" t="s">
        <v>358</v>
      </c>
      <c r="J111" s="675" t="s">
        <v>358</v>
      </c>
      <c r="K111" s="85" t="s">
        <v>358</v>
      </c>
      <c r="L111" s="85" t="s">
        <v>40</v>
      </c>
      <c r="M111" s="85" t="s">
        <v>3</v>
      </c>
      <c r="N111" s="668" t="s">
        <v>44</v>
      </c>
      <c r="O111" s="669"/>
      <c r="P111" s="615"/>
      <c r="Q111" s="615">
        <v>3</v>
      </c>
      <c r="R111" s="615"/>
      <c r="S111" s="615"/>
      <c r="T111" s="615"/>
      <c r="U111" s="615"/>
      <c r="V111" s="615"/>
      <c r="W111" s="615"/>
      <c r="X111" s="615"/>
      <c r="Y111" s="615"/>
      <c r="Z111" s="635"/>
      <c r="AA111" s="636"/>
      <c r="AB111" s="615"/>
      <c r="AC111" s="615"/>
      <c r="AD111" s="615"/>
      <c r="AE111" s="615"/>
      <c r="AF111" s="615"/>
      <c r="AG111" s="615"/>
      <c r="AH111" s="615"/>
      <c r="AI111" s="615"/>
      <c r="AJ111" s="615"/>
      <c r="AK111" s="615"/>
      <c r="AL111" s="635"/>
      <c r="AM111" s="636"/>
      <c r="AN111" s="615"/>
      <c r="AO111" s="615"/>
      <c r="AP111" s="615"/>
      <c r="AQ111" s="615"/>
      <c r="AR111" s="615"/>
      <c r="AS111" s="615"/>
      <c r="AT111" s="615"/>
      <c r="AU111" s="615"/>
      <c r="AV111" s="615"/>
      <c r="AW111" s="615"/>
      <c r="AX111" s="635"/>
      <c r="AY111" s="636"/>
      <c r="AZ111" s="615"/>
      <c r="BA111" s="615"/>
      <c r="BB111" s="615"/>
      <c r="BC111" s="615"/>
      <c r="BD111" s="615"/>
      <c r="BE111" s="615"/>
      <c r="BF111" s="615"/>
      <c r="BG111" s="615"/>
      <c r="BH111" s="615"/>
      <c r="BI111" s="615"/>
      <c r="BJ111" s="635"/>
      <c r="BK111" s="636"/>
      <c r="BL111" s="615"/>
      <c r="BM111" s="615"/>
      <c r="BN111" s="615"/>
      <c r="BO111" s="615"/>
      <c r="BP111" s="615"/>
      <c r="BQ111" s="615"/>
      <c r="BR111" s="615"/>
      <c r="BS111" s="615"/>
      <c r="BT111" s="615"/>
      <c r="BU111" s="615"/>
      <c r="BV111" s="637"/>
      <c r="BW111" s="669"/>
      <c r="BX111" s="615"/>
      <c r="BY111" s="615">
        <v>120</v>
      </c>
      <c r="BZ111" s="615"/>
      <c r="CA111" s="615"/>
      <c r="CB111" s="615"/>
      <c r="CC111" s="615"/>
      <c r="CD111" s="615"/>
      <c r="CE111" s="615"/>
      <c r="CF111" s="615"/>
      <c r="CG111" s="615"/>
      <c r="CH111" s="635"/>
      <c r="CI111" s="636"/>
      <c r="CJ111" s="615"/>
      <c r="CK111" s="615"/>
      <c r="CL111" s="615"/>
      <c r="CM111" s="615"/>
      <c r="CN111" s="615"/>
      <c r="CO111" s="615"/>
      <c r="CP111" s="615"/>
      <c r="CQ111" s="615"/>
      <c r="CR111" s="615"/>
      <c r="CS111" s="615"/>
      <c r="CT111" s="635"/>
      <c r="CU111" s="636"/>
      <c r="CV111" s="615"/>
      <c r="CW111" s="615"/>
      <c r="CX111" s="615"/>
      <c r="CY111" s="615"/>
      <c r="CZ111" s="615"/>
      <c r="DA111" s="615"/>
      <c r="DB111" s="615"/>
      <c r="DC111" s="615"/>
      <c r="DD111" s="615"/>
      <c r="DE111" s="615"/>
      <c r="DF111" s="635"/>
      <c r="DG111" s="636"/>
      <c r="DH111" s="615"/>
      <c r="DI111" s="615"/>
      <c r="DJ111" s="615"/>
      <c r="DK111" s="615"/>
      <c r="DL111" s="615"/>
      <c r="DM111" s="615"/>
      <c r="DN111" s="615"/>
      <c r="DO111" s="615"/>
      <c r="DP111" s="615"/>
      <c r="DQ111" s="615"/>
      <c r="DR111" s="635"/>
      <c r="DS111" s="636"/>
      <c r="DT111" s="615"/>
      <c r="DU111" s="615"/>
      <c r="DV111" s="615"/>
      <c r="DW111" s="615"/>
      <c r="DX111" s="615"/>
      <c r="DY111" s="615"/>
      <c r="DZ111" s="615"/>
      <c r="EA111" s="615"/>
      <c r="EB111" s="615"/>
      <c r="EC111" s="615"/>
      <c r="ED111" s="637"/>
      <c r="EE111" s="692"/>
    </row>
    <row r="112" spans="1:135" x14ac:dyDescent="0.25">
      <c r="A112" s="640" t="s">
        <v>11</v>
      </c>
      <c r="B112" s="367" t="s">
        <v>946</v>
      </c>
      <c r="C112" s="367" t="s">
        <v>876</v>
      </c>
      <c r="D112" s="367" t="s">
        <v>947</v>
      </c>
      <c r="E112" s="503" t="s">
        <v>936</v>
      </c>
      <c r="F112" s="570">
        <v>44574</v>
      </c>
      <c r="G112" s="85" t="s">
        <v>59</v>
      </c>
      <c r="H112" s="85" t="s">
        <v>54</v>
      </c>
      <c r="I112" s="85" t="s">
        <v>358</v>
      </c>
      <c r="J112" s="675" t="s">
        <v>358</v>
      </c>
      <c r="K112" s="85" t="s">
        <v>358</v>
      </c>
      <c r="L112" s="85" t="s">
        <v>40</v>
      </c>
      <c r="M112" s="85" t="s">
        <v>3</v>
      </c>
      <c r="N112" s="668" t="s">
        <v>44</v>
      </c>
      <c r="O112" s="669"/>
      <c r="P112" s="615"/>
      <c r="Q112" s="615"/>
      <c r="R112" s="615"/>
      <c r="S112" s="615">
        <v>1</v>
      </c>
      <c r="T112" s="615"/>
      <c r="U112" s="615"/>
      <c r="V112" s="615"/>
      <c r="W112" s="615"/>
      <c r="X112" s="615"/>
      <c r="Y112" s="615"/>
      <c r="Z112" s="635"/>
      <c r="AA112" s="636"/>
      <c r="AB112" s="615"/>
      <c r="AC112" s="615"/>
      <c r="AD112" s="615"/>
      <c r="AE112" s="615"/>
      <c r="AF112" s="615"/>
      <c r="AG112" s="615"/>
      <c r="AH112" s="615"/>
      <c r="AI112" s="615"/>
      <c r="AJ112" s="615"/>
      <c r="AK112" s="615"/>
      <c r="AL112" s="635"/>
      <c r="AM112" s="636"/>
      <c r="AN112" s="615"/>
      <c r="AO112" s="615"/>
      <c r="AP112" s="615"/>
      <c r="AQ112" s="615"/>
      <c r="AR112" s="615"/>
      <c r="AS112" s="615"/>
      <c r="AT112" s="615"/>
      <c r="AU112" s="615"/>
      <c r="AV112" s="615"/>
      <c r="AW112" s="615"/>
      <c r="AX112" s="635"/>
      <c r="AY112" s="636"/>
      <c r="AZ112" s="615"/>
      <c r="BA112" s="615"/>
      <c r="BB112" s="615"/>
      <c r="BC112" s="615"/>
      <c r="BD112" s="615"/>
      <c r="BE112" s="615"/>
      <c r="BF112" s="615"/>
      <c r="BG112" s="615"/>
      <c r="BH112" s="615"/>
      <c r="BI112" s="615"/>
      <c r="BJ112" s="635"/>
      <c r="BK112" s="636"/>
      <c r="BL112" s="615"/>
      <c r="BM112" s="615"/>
      <c r="BN112" s="615"/>
      <c r="BO112" s="615"/>
      <c r="BP112" s="615"/>
      <c r="BQ112" s="615"/>
      <c r="BR112" s="615"/>
      <c r="BS112" s="615"/>
      <c r="BT112" s="615"/>
      <c r="BU112" s="615"/>
      <c r="BV112" s="637"/>
      <c r="BW112" s="669"/>
      <c r="BX112" s="615"/>
      <c r="BY112" s="615"/>
      <c r="BZ112" s="615"/>
      <c r="CA112" s="615">
        <v>130</v>
      </c>
      <c r="CB112" s="615"/>
      <c r="CC112" s="615"/>
      <c r="CD112" s="615"/>
      <c r="CE112" s="615"/>
      <c r="CF112" s="615"/>
      <c r="CG112" s="615"/>
      <c r="CH112" s="635"/>
      <c r="CI112" s="636"/>
      <c r="CJ112" s="615"/>
      <c r="CK112" s="615"/>
      <c r="CL112" s="615"/>
      <c r="CM112" s="615"/>
      <c r="CN112" s="615"/>
      <c r="CO112" s="615"/>
      <c r="CP112" s="615"/>
      <c r="CQ112" s="615"/>
      <c r="CR112" s="615"/>
      <c r="CS112" s="615"/>
      <c r="CT112" s="635"/>
      <c r="CU112" s="636"/>
      <c r="CV112" s="615"/>
      <c r="CW112" s="615"/>
      <c r="CX112" s="615"/>
      <c r="CY112" s="615"/>
      <c r="CZ112" s="615"/>
      <c r="DA112" s="615"/>
      <c r="DB112" s="615"/>
      <c r="DC112" s="615"/>
      <c r="DD112" s="615"/>
      <c r="DE112" s="615"/>
      <c r="DF112" s="635"/>
      <c r="DG112" s="636"/>
      <c r="DH112" s="615"/>
      <c r="DI112" s="615"/>
      <c r="DJ112" s="615"/>
      <c r="DK112" s="615"/>
      <c r="DL112" s="615"/>
      <c r="DM112" s="615"/>
      <c r="DN112" s="615"/>
      <c r="DO112" s="615"/>
      <c r="DP112" s="615"/>
      <c r="DQ112" s="615"/>
      <c r="DR112" s="635"/>
      <c r="DS112" s="636"/>
      <c r="DT112" s="615"/>
      <c r="DU112" s="615"/>
      <c r="DV112" s="615"/>
      <c r="DW112" s="615"/>
      <c r="DX112" s="615"/>
      <c r="DY112" s="615"/>
      <c r="DZ112" s="615"/>
      <c r="EA112" s="615"/>
      <c r="EB112" s="615"/>
      <c r="EC112" s="615"/>
      <c r="ED112" s="637"/>
      <c r="EE112" s="692"/>
    </row>
    <row r="113" spans="1:135" x14ac:dyDescent="0.25">
      <c r="A113" s="640" t="s">
        <v>11</v>
      </c>
      <c r="B113" s="367" t="s">
        <v>948</v>
      </c>
      <c r="C113" s="367" t="s">
        <v>944</v>
      </c>
      <c r="D113" s="367" t="s">
        <v>949</v>
      </c>
      <c r="E113" s="503" t="s">
        <v>937</v>
      </c>
      <c r="F113" s="570">
        <v>44574</v>
      </c>
      <c r="G113" s="85" t="s">
        <v>58</v>
      </c>
      <c r="H113" s="85" t="s">
        <v>54</v>
      </c>
      <c r="I113" s="85" t="s">
        <v>358</v>
      </c>
      <c r="J113" s="675" t="s">
        <v>358</v>
      </c>
      <c r="K113" s="85" t="s">
        <v>358</v>
      </c>
      <c r="L113" s="85" t="s">
        <v>40</v>
      </c>
      <c r="M113" s="85" t="s">
        <v>3</v>
      </c>
      <c r="N113" s="668" t="s">
        <v>44</v>
      </c>
      <c r="O113" s="669"/>
      <c r="P113" s="615"/>
      <c r="Q113" s="615"/>
      <c r="R113" s="615">
        <v>-3</v>
      </c>
      <c r="S113" s="615">
        <v>-3</v>
      </c>
      <c r="T113" s="615">
        <v>-3</v>
      </c>
      <c r="U113" s="615"/>
      <c r="V113" s="615"/>
      <c r="W113" s="615"/>
      <c r="X113" s="615"/>
      <c r="Y113" s="615"/>
      <c r="Z113" s="635"/>
      <c r="AA113" s="636"/>
      <c r="AB113" s="615"/>
      <c r="AC113" s="615"/>
      <c r="AD113" s="615"/>
      <c r="AE113" s="615"/>
      <c r="AF113" s="615"/>
      <c r="AG113" s="615"/>
      <c r="AH113" s="615"/>
      <c r="AI113" s="615"/>
      <c r="AJ113" s="615"/>
      <c r="AK113" s="615"/>
      <c r="AL113" s="635"/>
      <c r="AM113" s="636"/>
      <c r="AN113" s="615"/>
      <c r="AO113" s="615"/>
      <c r="AP113" s="615"/>
      <c r="AQ113" s="615"/>
      <c r="AR113" s="615"/>
      <c r="AS113" s="615"/>
      <c r="AT113" s="615"/>
      <c r="AU113" s="615"/>
      <c r="AV113" s="615"/>
      <c r="AW113" s="615"/>
      <c r="AX113" s="635"/>
      <c r="AY113" s="636"/>
      <c r="AZ113" s="615"/>
      <c r="BA113" s="615"/>
      <c r="BB113" s="615"/>
      <c r="BC113" s="615"/>
      <c r="BD113" s="615"/>
      <c r="BE113" s="615"/>
      <c r="BF113" s="615"/>
      <c r="BG113" s="615"/>
      <c r="BH113" s="615"/>
      <c r="BI113" s="615"/>
      <c r="BJ113" s="635"/>
      <c r="BK113" s="636"/>
      <c r="BL113" s="615"/>
      <c r="BM113" s="615"/>
      <c r="BN113" s="615"/>
      <c r="BO113" s="615"/>
      <c r="BP113" s="615"/>
      <c r="BQ113" s="615"/>
      <c r="BR113" s="615"/>
      <c r="BS113" s="615"/>
      <c r="BT113" s="615"/>
      <c r="BU113" s="615"/>
      <c r="BV113" s="637"/>
      <c r="BW113" s="669"/>
      <c r="BX113" s="615"/>
      <c r="BY113" s="615"/>
      <c r="BZ113" s="615">
        <v>139</v>
      </c>
      <c r="CA113" s="615">
        <v>139</v>
      </c>
      <c r="CB113" s="615">
        <v>139</v>
      </c>
      <c r="CC113" s="615"/>
      <c r="CD113" s="615"/>
      <c r="CE113" s="615"/>
      <c r="CF113" s="615"/>
      <c r="CG113" s="615"/>
      <c r="CH113" s="635"/>
      <c r="CI113" s="636"/>
      <c r="CJ113" s="615"/>
      <c r="CK113" s="615"/>
      <c r="CL113" s="615"/>
      <c r="CM113" s="615"/>
      <c r="CN113" s="615"/>
      <c r="CO113" s="615"/>
      <c r="CP113" s="615"/>
      <c r="CQ113" s="615"/>
      <c r="CR113" s="615"/>
      <c r="CS113" s="615"/>
      <c r="CT113" s="635"/>
      <c r="CU113" s="636"/>
      <c r="CV113" s="615"/>
      <c r="CW113" s="615"/>
      <c r="CX113" s="615"/>
      <c r="CY113" s="615"/>
      <c r="CZ113" s="615"/>
      <c r="DA113" s="615"/>
      <c r="DB113" s="615"/>
      <c r="DC113" s="615"/>
      <c r="DD113" s="615"/>
      <c r="DE113" s="615"/>
      <c r="DF113" s="635"/>
      <c r="DG113" s="636"/>
      <c r="DH113" s="615"/>
      <c r="DI113" s="615"/>
      <c r="DJ113" s="615"/>
      <c r="DK113" s="615"/>
      <c r="DL113" s="615"/>
      <c r="DM113" s="615"/>
      <c r="DN113" s="615"/>
      <c r="DO113" s="615"/>
      <c r="DP113" s="615"/>
      <c r="DQ113" s="615"/>
      <c r="DR113" s="635"/>
      <c r="DS113" s="636"/>
      <c r="DT113" s="615"/>
      <c r="DU113" s="615"/>
      <c r="DV113" s="615"/>
      <c r="DW113" s="615"/>
      <c r="DX113" s="615"/>
      <c r="DY113" s="615"/>
      <c r="DZ113" s="615"/>
      <c r="EA113" s="615"/>
      <c r="EB113" s="615"/>
      <c r="EC113" s="615"/>
      <c r="ED113" s="637"/>
      <c r="EE113" s="692"/>
    </row>
    <row r="114" spans="1:135" x14ac:dyDescent="0.25">
      <c r="A114" s="640" t="s">
        <v>11</v>
      </c>
      <c r="B114" s="367" t="s">
        <v>950</v>
      </c>
      <c r="C114" s="367" t="s">
        <v>945</v>
      </c>
      <c r="D114" s="367" t="s">
        <v>951</v>
      </c>
      <c r="E114" s="503" t="s">
        <v>938</v>
      </c>
      <c r="F114" s="570">
        <v>44574</v>
      </c>
      <c r="G114" s="85" t="s">
        <v>58</v>
      </c>
      <c r="H114" s="85" t="s">
        <v>54</v>
      </c>
      <c r="I114" s="85" t="s">
        <v>358</v>
      </c>
      <c r="J114" s="675" t="s">
        <v>358</v>
      </c>
      <c r="K114" s="85" t="s">
        <v>358</v>
      </c>
      <c r="L114" s="85" t="s">
        <v>40</v>
      </c>
      <c r="M114" s="85" t="s">
        <v>3</v>
      </c>
      <c r="N114" s="668" t="s">
        <v>44</v>
      </c>
      <c r="O114" s="669"/>
      <c r="P114" s="615"/>
      <c r="Q114" s="615"/>
      <c r="R114" s="615">
        <v>-0.1</v>
      </c>
      <c r="S114" s="615">
        <v>-0.1</v>
      </c>
      <c r="T114" s="615">
        <v>-0.1</v>
      </c>
      <c r="U114" s="615"/>
      <c r="V114" s="615"/>
      <c r="W114" s="615"/>
      <c r="X114" s="615"/>
      <c r="Y114" s="615"/>
      <c r="Z114" s="635"/>
      <c r="AA114" s="636"/>
      <c r="AB114" s="615"/>
      <c r="AC114" s="615"/>
      <c r="AD114" s="615"/>
      <c r="AE114" s="615"/>
      <c r="AF114" s="615"/>
      <c r="AG114" s="615"/>
      <c r="AH114" s="615"/>
      <c r="AI114" s="615"/>
      <c r="AJ114" s="615"/>
      <c r="AK114" s="615"/>
      <c r="AL114" s="635"/>
      <c r="AM114" s="636"/>
      <c r="AN114" s="615"/>
      <c r="AO114" s="615"/>
      <c r="AP114" s="615"/>
      <c r="AQ114" s="615"/>
      <c r="AR114" s="615"/>
      <c r="AS114" s="615"/>
      <c r="AT114" s="615"/>
      <c r="AU114" s="615"/>
      <c r="AV114" s="615"/>
      <c r="AW114" s="615"/>
      <c r="AX114" s="635"/>
      <c r="AY114" s="636"/>
      <c r="AZ114" s="615"/>
      <c r="BA114" s="615"/>
      <c r="BB114" s="615"/>
      <c r="BC114" s="615"/>
      <c r="BD114" s="615"/>
      <c r="BE114" s="615"/>
      <c r="BF114" s="615"/>
      <c r="BG114" s="615"/>
      <c r="BH114" s="615"/>
      <c r="BI114" s="615"/>
      <c r="BJ114" s="635"/>
      <c r="BK114" s="636"/>
      <c r="BL114" s="615"/>
      <c r="BM114" s="615"/>
      <c r="BN114" s="615"/>
      <c r="BO114" s="615"/>
      <c r="BP114" s="615"/>
      <c r="BQ114" s="615"/>
      <c r="BR114" s="615"/>
      <c r="BS114" s="615"/>
      <c r="BT114" s="615"/>
      <c r="BU114" s="615"/>
      <c r="BV114" s="637"/>
      <c r="BW114" s="669"/>
      <c r="BX114" s="615"/>
      <c r="BY114" s="615"/>
      <c r="BZ114" s="615">
        <v>138.5</v>
      </c>
      <c r="CA114" s="615">
        <v>138.5</v>
      </c>
      <c r="CB114" s="615">
        <v>138.5</v>
      </c>
      <c r="CC114" s="615"/>
      <c r="CD114" s="615"/>
      <c r="CE114" s="615"/>
      <c r="CF114" s="615"/>
      <c r="CG114" s="615"/>
      <c r="CH114" s="635"/>
      <c r="CI114" s="636"/>
      <c r="CJ114" s="615"/>
      <c r="CK114" s="615"/>
      <c r="CL114" s="615"/>
      <c r="CM114" s="615"/>
      <c r="CN114" s="615"/>
      <c r="CO114" s="615"/>
      <c r="CP114" s="615"/>
      <c r="CQ114" s="615"/>
      <c r="CR114" s="615"/>
      <c r="CS114" s="615"/>
      <c r="CT114" s="635"/>
      <c r="CU114" s="636"/>
      <c r="CV114" s="615"/>
      <c r="CW114" s="615"/>
      <c r="CX114" s="615"/>
      <c r="CY114" s="615"/>
      <c r="CZ114" s="615"/>
      <c r="DA114" s="615"/>
      <c r="DB114" s="615"/>
      <c r="DC114" s="615"/>
      <c r="DD114" s="615"/>
      <c r="DE114" s="615"/>
      <c r="DF114" s="635"/>
      <c r="DG114" s="636"/>
      <c r="DH114" s="615"/>
      <c r="DI114" s="615"/>
      <c r="DJ114" s="615"/>
      <c r="DK114" s="615"/>
      <c r="DL114" s="615"/>
      <c r="DM114" s="615"/>
      <c r="DN114" s="615"/>
      <c r="DO114" s="615"/>
      <c r="DP114" s="615"/>
      <c r="DQ114" s="615"/>
      <c r="DR114" s="635"/>
      <c r="DS114" s="636"/>
      <c r="DT114" s="615"/>
      <c r="DU114" s="615"/>
      <c r="DV114" s="615"/>
      <c r="DW114" s="615"/>
      <c r="DX114" s="615"/>
      <c r="DY114" s="615"/>
      <c r="DZ114" s="615"/>
      <c r="EA114" s="615"/>
      <c r="EB114" s="615"/>
      <c r="EC114" s="615"/>
      <c r="ED114" s="637"/>
      <c r="EE114" s="692"/>
    </row>
    <row r="115" spans="1:135" x14ac:dyDescent="0.25">
      <c r="A115" s="640" t="s">
        <v>11</v>
      </c>
      <c r="B115" s="367" t="s">
        <v>952</v>
      </c>
      <c r="C115" s="367" t="s">
        <v>876</v>
      </c>
      <c r="D115" s="367" t="s">
        <v>953</v>
      </c>
      <c r="E115" s="503" t="s">
        <v>939</v>
      </c>
      <c r="F115" s="570">
        <v>44574</v>
      </c>
      <c r="G115" s="85" t="s">
        <v>59</v>
      </c>
      <c r="H115" s="85" t="s">
        <v>54</v>
      </c>
      <c r="I115" s="85" t="s">
        <v>358</v>
      </c>
      <c r="J115" s="675" t="s">
        <v>358</v>
      </c>
      <c r="K115" s="85" t="s">
        <v>358</v>
      </c>
      <c r="L115" s="85" t="s">
        <v>40</v>
      </c>
      <c r="M115" s="85" t="s">
        <v>3</v>
      </c>
      <c r="N115" s="668" t="s">
        <v>44</v>
      </c>
      <c r="O115" s="669"/>
      <c r="P115" s="615"/>
      <c r="Q115" s="615"/>
      <c r="R115" s="615"/>
      <c r="S115" s="615">
        <v>5</v>
      </c>
      <c r="T115" s="615"/>
      <c r="U115" s="615"/>
      <c r="V115" s="615"/>
      <c r="W115" s="615"/>
      <c r="X115" s="615"/>
      <c r="Y115" s="615"/>
      <c r="Z115" s="635"/>
      <c r="AA115" s="636"/>
      <c r="AB115" s="615"/>
      <c r="AC115" s="615"/>
      <c r="AD115" s="615"/>
      <c r="AE115" s="615"/>
      <c r="AF115" s="615"/>
      <c r="AG115" s="615"/>
      <c r="AH115" s="615"/>
      <c r="AI115" s="615"/>
      <c r="AJ115" s="615"/>
      <c r="AK115" s="615"/>
      <c r="AL115" s="635"/>
      <c r="AM115" s="636"/>
      <c r="AN115" s="615"/>
      <c r="AO115" s="615"/>
      <c r="AP115" s="615"/>
      <c r="AQ115" s="615"/>
      <c r="AR115" s="615"/>
      <c r="AS115" s="615"/>
      <c r="AT115" s="615"/>
      <c r="AU115" s="615"/>
      <c r="AV115" s="615"/>
      <c r="AW115" s="615"/>
      <c r="AX115" s="635"/>
      <c r="AY115" s="636"/>
      <c r="AZ115" s="615"/>
      <c r="BA115" s="615"/>
      <c r="BB115" s="615"/>
      <c r="BC115" s="615"/>
      <c r="BD115" s="615"/>
      <c r="BE115" s="615"/>
      <c r="BF115" s="615"/>
      <c r="BG115" s="615"/>
      <c r="BH115" s="615"/>
      <c r="BI115" s="615"/>
      <c r="BJ115" s="635"/>
      <c r="BK115" s="636"/>
      <c r="BL115" s="615"/>
      <c r="BM115" s="615"/>
      <c r="BN115" s="615"/>
      <c r="BO115" s="615"/>
      <c r="BP115" s="615"/>
      <c r="BQ115" s="615"/>
      <c r="BR115" s="615"/>
      <c r="BS115" s="615"/>
      <c r="BT115" s="615"/>
      <c r="BU115" s="615"/>
      <c r="BV115" s="637"/>
      <c r="BW115" s="669"/>
      <c r="BX115" s="615"/>
      <c r="BY115" s="615"/>
      <c r="BZ115" s="615"/>
      <c r="CA115" s="615">
        <v>130</v>
      </c>
      <c r="CB115" s="615"/>
      <c r="CC115" s="615"/>
      <c r="CD115" s="615"/>
      <c r="CE115" s="615"/>
      <c r="CF115" s="615"/>
      <c r="CG115" s="615"/>
      <c r="CH115" s="635"/>
      <c r="CI115" s="636"/>
      <c r="CJ115" s="615"/>
      <c r="CK115" s="615"/>
      <c r="CL115" s="615"/>
      <c r="CM115" s="615"/>
      <c r="CN115" s="615"/>
      <c r="CO115" s="615"/>
      <c r="CP115" s="615"/>
      <c r="CQ115" s="615"/>
      <c r="CR115" s="615"/>
      <c r="CS115" s="615"/>
      <c r="CT115" s="635"/>
      <c r="CU115" s="636"/>
      <c r="CV115" s="615"/>
      <c r="CW115" s="615"/>
      <c r="CX115" s="615"/>
      <c r="CY115" s="615"/>
      <c r="CZ115" s="615"/>
      <c r="DA115" s="615"/>
      <c r="DB115" s="615"/>
      <c r="DC115" s="615"/>
      <c r="DD115" s="615"/>
      <c r="DE115" s="615"/>
      <c r="DF115" s="635"/>
      <c r="DG115" s="636"/>
      <c r="DH115" s="615"/>
      <c r="DI115" s="615"/>
      <c r="DJ115" s="615"/>
      <c r="DK115" s="615"/>
      <c r="DL115" s="615"/>
      <c r="DM115" s="615"/>
      <c r="DN115" s="615"/>
      <c r="DO115" s="615"/>
      <c r="DP115" s="615"/>
      <c r="DQ115" s="615"/>
      <c r="DR115" s="635"/>
      <c r="DS115" s="636"/>
      <c r="DT115" s="615"/>
      <c r="DU115" s="615"/>
      <c r="DV115" s="615"/>
      <c r="DW115" s="615"/>
      <c r="DX115" s="615"/>
      <c r="DY115" s="615"/>
      <c r="DZ115" s="615"/>
      <c r="EA115" s="615"/>
      <c r="EB115" s="615"/>
      <c r="EC115" s="615"/>
      <c r="ED115" s="637"/>
      <c r="EE115" s="692"/>
    </row>
    <row r="116" spans="1:135" x14ac:dyDescent="0.25">
      <c r="A116" s="640" t="s">
        <v>11</v>
      </c>
      <c r="B116" s="367" t="s">
        <v>954</v>
      </c>
      <c r="C116" s="367" t="s">
        <v>409</v>
      </c>
      <c r="D116" s="367" t="s">
        <v>955</v>
      </c>
      <c r="E116" s="503" t="s">
        <v>940</v>
      </c>
      <c r="F116" s="570">
        <v>44574</v>
      </c>
      <c r="G116" s="85" t="s">
        <v>59</v>
      </c>
      <c r="H116" s="85" t="s">
        <v>54</v>
      </c>
      <c r="I116" s="85" t="s">
        <v>358</v>
      </c>
      <c r="J116" s="675" t="s">
        <v>358</v>
      </c>
      <c r="K116" s="85" t="s">
        <v>358</v>
      </c>
      <c r="L116" s="85" t="s">
        <v>40</v>
      </c>
      <c r="M116" s="85" t="s">
        <v>3</v>
      </c>
      <c r="N116" s="668" t="s">
        <v>44</v>
      </c>
      <c r="O116" s="669"/>
      <c r="P116" s="615"/>
      <c r="Q116" s="615">
        <v>1</v>
      </c>
      <c r="R116" s="615"/>
      <c r="S116" s="615"/>
      <c r="T116" s="615"/>
      <c r="U116" s="615"/>
      <c r="V116" s="615"/>
      <c r="W116" s="615"/>
      <c r="X116" s="615"/>
      <c r="Y116" s="615"/>
      <c r="Z116" s="635"/>
      <c r="AA116" s="636"/>
      <c r="AB116" s="615"/>
      <c r="AC116" s="615"/>
      <c r="AD116" s="615"/>
      <c r="AE116" s="615"/>
      <c r="AF116" s="615"/>
      <c r="AG116" s="615"/>
      <c r="AH116" s="615"/>
      <c r="AI116" s="615"/>
      <c r="AJ116" s="615"/>
      <c r="AK116" s="615"/>
      <c r="AL116" s="635"/>
      <c r="AM116" s="636"/>
      <c r="AN116" s="615"/>
      <c r="AO116" s="615"/>
      <c r="AP116" s="615"/>
      <c r="AQ116" s="615"/>
      <c r="AR116" s="615"/>
      <c r="AS116" s="615"/>
      <c r="AT116" s="615"/>
      <c r="AU116" s="615"/>
      <c r="AV116" s="615"/>
      <c r="AW116" s="615"/>
      <c r="AX116" s="635"/>
      <c r="AY116" s="636"/>
      <c r="AZ116" s="615"/>
      <c r="BA116" s="615"/>
      <c r="BB116" s="615"/>
      <c r="BC116" s="615"/>
      <c r="BD116" s="615"/>
      <c r="BE116" s="615"/>
      <c r="BF116" s="615"/>
      <c r="BG116" s="615"/>
      <c r="BH116" s="615"/>
      <c r="BI116" s="615"/>
      <c r="BJ116" s="635"/>
      <c r="BK116" s="636"/>
      <c r="BL116" s="615"/>
      <c r="BM116" s="615"/>
      <c r="BN116" s="615"/>
      <c r="BO116" s="615"/>
      <c r="BP116" s="615"/>
      <c r="BQ116" s="615"/>
      <c r="BR116" s="615"/>
      <c r="BS116" s="615"/>
      <c r="BT116" s="615"/>
      <c r="BU116" s="615"/>
      <c r="BV116" s="637"/>
      <c r="BW116" s="669"/>
      <c r="BX116" s="615"/>
      <c r="BY116" s="615">
        <v>125</v>
      </c>
      <c r="BZ116" s="615"/>
      <c r="CA116" s="615"/>
      <c r="CB116" s="615"/>
      <c r="CC116" s="615"/>
      <c r="CD116" s="615"/>
      <c r="CE116" s="615"/>
      <c r="CF116" s="615"/>
      <c r="CG116" s="615"/>
      <c r="CH116" s="635"/>
      <c r="CI116" s="636"/>
      <c r="CJ116" s="615"/>
      <c r="CK116" s="615"/>
      <c r="CL116" s="615"/>
      <c r="CM116" s="615"/>
      <c r="CN116" s="615"/>
      <c r="CO116" s="615"/>
      <c r="CP116" s="615"/>
      <c r="CQ116" s="615"/>
      <c r="CR116" s="615"/>
      <c r="CS116" s="615"/>
      <c r="CT116" s="635"/>
      <c r="CU116" s="636"/>
      <c r="CV116" s="615"/>
      <c r="CW116" s="615"/>
      <c r="CX116" s="615"/>
      <c r="CY116" s="615"/>
      <c r="CZ116" s="615"/>
      <c r="DA116" s="615"/>
      <c r="DB116" s="615"/>
      <c r="DC116" s="615"/>
      <c r="DD116" s="615"/>
      <c r="DE116" s="615"/>
      <c r="DF116" s="635"/>
      <c r="DG116" s="636"/>
      <c r="DH116" s="615"/>
      <c r="DI116" s="615"/>
      <c r="DJ116" s="615"/>
      <c r="DK116" s="615"/>
      <c r="DL116" s="615"/>
      <c r="DM116" s="615"/>
      <c r="DN116" s="615"/>
      <c r="DO116" s="615"/>
      <c r="DP116" s="615"/>
      <c r="DQ116" s="615"/>
      <c r="DR116" s="635"/>
      <c r="DS116" s="636"/>
      <c r="DT116" s="615"/>
      <c r="DU116" s="615"/>
      <c r="DV116" s="615"/>
      <c r="DW116" s="615"/>
      <c r="DX116" s="615"/>
      <c r="DY116" s="615"/>
      <c r="DZ116" s="615"/>
      <c r="EA116" s="615"/>
      <c r="EB116" s="615"/>
      <c r="EC116" s="615"/>
      <c r="ED116" s="637"/>
      <c r="EE116" s="692"/>
    </row>
    <row r="117" spans="1:135" x14ac:dyDescent="0.25">
      <c r="A117" s="640" t="s">
        <v>11</v>
      </c>
      <c r="B117" s="367" t="s">
        <v>956</v>
      </c>
      <c r="C117" s="367" t="s">
        <v>876</v>
      </c>
      <c r="D117" s="367" t="s">
        <v>957</v>
      </c>
      <c r="E117" s="503" t="s">
        <v>941</v>
      </c>
      <c r="F117" s="570">
        <v>44574</v>
      </c>
      <c r="G117" s="85" t="s">
        <v>59</v>
      </c>
      <c r="H117" s="85" t="s">
        <v>54</v>
      </c>
      <c r="I117" s="85" t="s">
        <v>358</v>
      </c>
      <c r="J117" s="675" t="s">
        <v>358</v>
      </c>
      <c r="K117" s="85" t="s">
        <v>358</v>
      </c>
      <c r="L117" s="85" t="s">
        <v>40</v>
      </c>
      <c r="M117" s="85" t="s">
        <v>3</v>
      </c>
      <c r="N117" s="668" t="s">
        <v>44</v>
      </c>
      <c r="O117" s="669"/>
      <c r="P117" s="615"/>
      <c r="Q117" s="615"/>
      <c r="R117" s="615">
        <v>5</v>
      </c>
      <c r="S117" s="615"/>
      <c r="T117" s="615"/>
      <c r="U117" s="615"/>
      <c r="V117" s="615"/>
      <c r="W117" s="615"/>
      <c r="X117" s="615"/>
      <c r="Y117" s="615"/>
      <c r="Z117" s="635"/>
      <c r="AA117" s="636"/>
      <c r="AB117" s="615"/>
      <c r="AC117" s="615"/>
      <c r="AD117" s="615"/>
      <c r="AE117" s="615"/>
      <c r="AF117" s="615"/>
      <c r="AG117" s="615"/>
      <c r="AH117" s="615"/>
      <c r="AI117" s="615"/>
      <c r="AJ117" s="615"/>
      <c r="AK117" s="615"/>
      <c r="AL117" s="635"/>
      <c r="AM117" s="636"/>
      <c r="AN117" s="615"/>
      <c r="AO117" s="615"/>
      <c r="AP117" s="615"/>
      <c r="AQ117" s="615"/>
      <c r="AR117" s="615"/>
      <c r="AS117" s="615"/>
      <c r="AT117" s="615"/>
      <c r="AU117" s="615"/>
      <c r="AV117" s="615"/>
      <c r="AW117" s="615"/>
      <c r="AX117" s="635"/>
      <c r="AY117" s="636"/>
      <c r="AZ117" s="615"/>
      <c r="BA117" s="615"/>
      <c r="BB117" s="615"/>
      <c r="BC117" s="615"/>
      <c r="BD117" s="615"/>
      <c r="BE117" s="615"/>
      <c r="BF117" s="615"/>
      <c r="BG117" s="615"/>
      <c r="BH117" s="615"/>
      <c r="BI117" s="615"/>
      <c r="BJ117" s="635"/>
      <c r="BK117" s="636"/>
      <c r="BL117" s="615"/>
      <c r="BM117" s="615"/>
      <c r="BN117" s="615"/>
      <c r="BO117" s="615"/>
      <c r="BP117" s="615"/>
      <c r="BQ117" s="615"/>
      <c r="BR117" s="615"/>
      <c r="BS117" s="615"/>
      <c r="BT117" s="615"/>
      <c r="BU117" s="615"/>
      <c r="BV117" s="637"/>
      <c r="BW117" s="669"/>
      <c r="BX117" s="615"/>
      <c r="BY117" s="615"/>
      <c r="BZ117" s="615">
        <v>120</v>
      </c>
      <c r="CA117" s="615"/>
      <c r="CB117" s="615"/>
      <c r="CC117" s="615"/>
      <c r="CD117" s="615"/>
      <c r="CE117" s="615"/>
      <c r="CF117" s="615"/>
      <c r="CG117" s="615"/>
      <c r="CH117" s="635"/>
      <c r="CI117" s="636"/>
      <c r="CJ117" s="615"/>
      <c r="CK117" s="615"/>
      <c r="CL117" s="615"/>
      <c r="CM117" s="615"/>
      <c r="CN117" s="615"/>
      <c r="CO117" s="615"/>
      <c r="CP117" s="615"/>
      <c r="CQ117" s="615"/>
      <c r="CR117" s="615"/>
      <c r="CS117" s="615"/>
      <c r="CT117" s="635"/>
      <c r="CU117" s="636"/>
      <c r="CV117" s="615"/>
      <c r="CW117" s="615"/>
      <c r="CX117" s="615"/>
      <c r="CY117" s="615"/>
      <c r="CZ117" s="615"/>
      <c r="DA117" s="615"/>
      <c r="DB117" s="615"/>
      <c r="DC117" s="615"/>
      <c r="DD117" s="615"/>
      <c r="DE117" s="615"/>
      <c r="DF117" s="635"/>
      <c r="DG117" s="636"/>
      <c r="DH117" s="615"/>
      <c r="DI117" s="615"/>
      <c r="DJ117" s="615"/>
      <c r="DK117" s="615"/>
      <c r="DL117" s="615"/>
      <c r="DM117" s="615"/>
      <c r="DN117" s="615"/>
      <c r="DO117" s="615"/>
      <c r="DP117" s="615"/>
      <c r="DQ117" s="615"/>
      <c r="DR117" s="635"/>
      <c r="DS117" s="636"/>
      <c r="DT117" s="615"/>
      <c r="DU117" s="615"/>
      <c r="DV117" s="615"/>
      <c r="DW117" s="615"/>
      <c r="DX117" s="615"/>
      <c r="DY117" s="615"/>
      <c r="DZ117" s="615"/>
      <c r="EA117" s="615"/>
      <c r="EB117" s="615"/>
      <c r="EC117" s="615"/>
      <c r="ED117" s="637"/>
      <c r="EE117" s="692"/>
    </row>
    <row r="118" spans="1:135" x14ac:dyDescent="0.25">
      <c r="A118" s="640" t="s">
        <v>11</v>
      </c>
      <c r="B118" s="367" t="s">
        <v>958</v>
      </c>
      <c r="C118" s="367" t="s">
        <v>409</v>
      </c>
      <c r="D118" s="367" t="s">
        <v>959</v>
      </c>
      <c r="E118" s="503" t="s">
        <v>942</v>
      </c>
      <c r="F118" s="570">
        <v>44574</v>
      </c>
      <c r="G118" s="85" t="s">
        <v>59</v>
      </c>
      <c r="H118" s="85" t="s">
        <v>54</v>
      </c>
      <c r="I118" s="85" t="s">
        <v>358</v>
      </c>
      <c r="J118" s="675" t="s">
        <v>358</v>
      </c>
      <c r="K118" s="85" t="s">
        <v>358</v>
      </c>
      <c r="L118" s="85" t="s">
        <v>40</v>
      </c>
      <c r="M118" s="85" t="s">
        <v>3</v>
      </c>
      <c r="N118" s="668" t="s">
        <v>44</v>
      </c>
      <c r="O118" s="669"/>
      <c r="P118" s="615"/>
      <c r="Q118" s="615">
        <v>1</v>
      </c>
      <c r="R118" s="615"/>
      <c r="S118" s="615"/>
      <c r="T118" s="615"/>
      <c r="U118" s="615"/>
      <c r="V118" s="615"/>
      <c r="W118" s="615"/>
      <c r="X118" s="615"/>
      <c r="Y118" s="615"/>
      <c r="Z118" s="635"/>
      <c r="AA118" s="636"/>
      <c r="AB118" s="615"/>
      <c r="AC118" s="615"/>
      <c r="AD118" s="615"/>
      <c r="AE118" s="615"/>
      <c r="AF118" s="615"/>
      <c r="AG118" s="615"/>
      <c r="AH118" s="615"/>
      <c r="AI118" s="615"/>
      <c r="AJ118" s="615"/>
      <c r="AK118" s="615"/>
      <c r="AL118" s="635"/>
      <c r="AM118" s="636"/>
      <c r="AN118" s="615"/>
      <c r="AO118" s="615"/>
      <c r="AP118" s="615"/>
      <c r="AQ118" s="615"/>
      <c r="AR118" s="615"/>
      <c r="AS118" s="615"/>
      <c r="AT118" s="615"/>
      <c r="AU118" s="615"/>
      <c r="AV118" s="615"/>
      <c r="AW118" s="615"/>
      <c r="AX118" s="635"/>
      <c r="AY118" s="636"/>
      <c r="AZ118" s="615"/>
      <c r="BA118" s="615"/>
      <c r="BB118" s="615"/>
      <c r="BC118" s="615"/>
      <c r="BD118" s="615"/>
      <c r="BE118" s="615"/>
      <c r="BF118" s="615"/>
      <c r="BG118" s="615"/>
      <c r="BH118" s="615"/>
      <c r="BI118" s="615"/>
      <c r="BJ118" s="635"/>
      <c r="BK118" s="636"/>
      <c r="BL118" s="615"/>
      <c r="BM118" s="615"/>
      <c r="BN118" s="615"/>
      <c r="BO118" s="615"/>
      <c r="BP118" s="615"/>
      <c r="BQ118" s="615"/>
      <c r="BR118" s="615"/>
      <c r="BS118" s="615"/>
      <c r="BT118" s="615"/>
      <c r="BU118" s="615"/>
      <c r="BV118" s="637"/>
      <c r="BW118" s="669"/>
      <c r="BX118" s="615"/>
      <c r="BY118" s="615">
        <v>125</v>
      </c>
      <c r="BZ118" s="615"/>
      <c r="CA118" s="615"/>
      <c r="CB118" s="615"/>
      <c r="CC118" s="615"/>
      <c r="CD118" s="615"/>
      <c r="CE118" s="615"/>
      <c r="CF118" s="615"/>
      <c r="CG118" s="615"/>
      <c r="CH118" s="635"/>
      <c r="CI118" s="636"/>
      <c r="CJ118" s="615"/>
      <c r="CK118" s="615"/>
      <c r="CL118" s="615"/>
      <c r="CM118" s="615"/>
      <c r="CN118" s="615"/>
      <c r="CO118" s="615"/>
      <c r="CP118" s="615"/>
      <c r="CQ118" s="615"/>
      <c r="CR118" s="615"/>
      <c r="CS118" s="615"/>
      <c r="CT118" s="635"/>
      <c r="CU118" s="636"/>
      <c r="CV118" s="615"/>
      <c r="CW118" s="615"/>
      <c r="CX118" s="615"/>
      <c r="CY118" s="615"/>
      <c r="CZ118" s="615"/>
      <c r="DA118" s="615"/>
      <c r="DB118" s="615"/>
      <c r="DC118" s="615"/>
      <c r="DD118" s="615"/>
      <c r="DE118" s="615"/>
      <c r="DF118" s="635"/>
      <c r="DG118" s="636"/>
      <c r="DH118" s="615"/>
      <c r="DI118" s="615"/>
      <c r="DJ118" s="615"/>
      <c r="DK118" s="615"/>
      <c r="DL118" s="615"/>
      <c r="DM118" s="615"/>
      <c r="DN118" s="615"/>
      <c r="DO118" s="615"/>
      <c r="DP118" s="615"/>
      <c r="DQ118" s="615"/>
      <c r="DR118" s="635"/>
      <c r="DS118" s="636"/>
      <c r="DT118" s="615"/>
      <c r="DU118" s="615"/>
      <c r="DV118" s="615"/>
      <c r="DW118" s="615"/>
      <c r="DX118" s="615"/>
      <c r="DY118" s="615"/>
      <c r="DZ118" s="615"/>
      <c r="EA118" s="615"/>
      <c r="EB118" s="615"/>
      <c r="EC118" s="615"/>
      <c r="ED118" s="637"/>
      <c r="EE118" s="692"/>
    </row>
    <row r="119" spans="1:135" x14ac:dyDescent="0.25">
      <c r="A119" s="640" t="s">
        <v>11</v>
      </c>
      <c r="B119" s="367" t="s">
        <v>960</v>
      </c>
      <c r="C119" s="367" t="s">
        <v>409</v>
      </c>
      <c r="D119" s="367" t="s">
        <v>961</v>
      </c>
      <c r="E119" s="503" t="s">
        <v>943</v>
      </c>
      <c r="F119" s="570">
        <v>44574</v>
      </c>
      <c r="G119" s="85" t="s">
        <v>58</v>
      </c>
      <c r="H119" s="85" t="s">
        <v>54</v>
      </c>
      <c r="I119" s="85" t="s">
        <v>358</v>
      </c>
      <c r="J119" s="675" t="s">
        <v>358</v>
      </c>
      <c r="K119" s="85" t="s">
        <v>358</v>
      </c>
      <c r="L119" s="85" t="s">
        <v>40</v>
      </c>
      <c r="M119" s="85" t="s">
        <v>3</v>
      </c>
      <c r="N119" s="668" t="s">
        <v>44</v>
      </c>
      <c r="O119" s="669"/>
      <c r="P119" s="615"/>
      <c r="Q119" s="615"/>
      <c r="R119" s="615">
        <v>-2</v>
      </c>
      <c r="S119" s="615">
        <v>-2</v>
      </c>
      <c r="T119" s="615">
        <v>-2</v>
      </c>
      <c r="U119" s="615"/>
      <c r="V119" s="615"/>
      <c r="W119" s="615"/>
      <c r="X119" s="615"/>
      <c r="Y119" s="615"/>
      <c r="Z119" s="635"/>
      <c r="AA119" s="636"/>
      <c r="AB119" s="615"/>
      <c r="AC119" s="615"/>
      <c r="AD119" s="615"/>
      <c r="AE119" s="615"/>
      <c r="AF119" s="615"/>
      <c r="AG119" s="615"/>
      <c r="AH119" s="615"/>
      <c r="AI119" s="615"/>
      <c r="AJ119" s="615"/>
      <c r="AK119" s="615"/>
      <c r="AL119" s="635"/>
      <c r="AM119" s="636"/>
      <c r="AN119" s="615"/>
      <c r="AO119" s="615"/>
      <c r="AP119" s="615"/>
      <c r="AQ119" s="615"/>
      <c r="AR119" s="615"/>
      <c r="AS119" s="615"/>
      <c r="AT119" s="615"/>
      <c r="AU119" s="615"/>
      <c r="AV119" s="615"/>
      <c r="AW119" s="615"/>
      <c r="AX119" s="635"/>
      <c r="AY119" s="636"/>
      <c r="AZ119" s="615"/>
      <c r="BA119" s="615"/>
      <c r="BB119" s="615"/>
      <c r="BC119" s="615"/>
      <c r="BD119" s="615"/>
      <c r="BE119" s="615"/>
      <c r="BF119" s="615"/>
      <c r="BG119" s="615"/>
      <c r="BH119" s="615"/>
      <c r="BI119" s="615"/>
      <c r="BJ119" s="635"/>
      <c r="BK119" s="636"/>
      <c r="BL119" s="615"/>
      <c r="BM119" s="615"/>
      <c r="BN119" s="615"/>
      <c r="BO119" s="615"/>
      <c r="BP119" s="615"/>
      <c r="BQ119" s="615"/>
      <c r="BR119" s="615"/>
      <c r="BS119" s="615"/>
      <c r="BT119" s="615"/>
      <c r="BU119" s="615"/>
      <c r="BV119" s="637"/>
      <c r="BW119" s="669"/>
      <c r="BX119" s="615"/>
      <c r="BY119" s="615"/>
      <c r="BZ119" s="615">
        <v>139</v>
      </c>
      <c r="CA119" s="615">
        <v>139</v>
      </c>
      <c r="CB119" s="615">
        <v>139</v>
      </c>
      <c r="CC119" s="615"/>
      <c r="CD119" s="615"/>
      <c r="CE119" s="615"/>
      <c r="CF119" s="615"/>
      <c r="CG119" s="615"/>
      <c r="CH119" s="635"/>
      <c r="CI119" s="636"/>
      <c r="CJ119" s="615"/>
      <c r="CK119" s="615"/>
      <c r="CL119" s="615"/>
      <c r="CM119" s="615"/>
      <c r="CN119" s="615"/>
      <c r="CO119" s="615"/>
      <c r="CP119" s="615"/>
      <c r="CQ119" s="615"/>
      <c r="CR119" s="615"/>
      <c r="CS119" s="615"/>
      <c r="CT119" s="635"/>
      <c r="CU119" s="636"/>
      <c r="CV119" s="615"/>
      <c r="CW119" s="615"/>
      <c r="CX119" s="615"/>
      <c r="CY119" s="615"/>
      <c r="CZ119" s="615"/>
      <c r="DA119" s="615"/>
      <c r="DB119" s="615"/>
      <c r="DC119" s="615"/>
      <c r="DD119" s="615"/>
      <c r="DE119" s="615"/>
      <c r="DF119" s="635"/>
      <c r="DG119" s="636"/>
      <c r="DH119" s="615"/>
      <c r="DI119" s="615"/>
      <c r="DJ119" s="615"/>
      <c r="DK119" s="615"/>
      <c r="DL119" s="615"/>
      <c r="DM119" s="615"/>
      <c r="DN119" s="615"/>
      <c r="DO119" s="615"/>
      <c r="DP119" s="615"/>
      <c r="DQ119" s="615"/>
      <c r="DR119" s="635"/>
      <c r="DS119" s="636"/>
      <c r="DT119" s="615"/>
      <c r="DU119" s="615"/>
      <c r="DV119" s="615"/>
      <c r="DW119" s="615"/>
      <c r="DX119" s="615"/>
      <c r="DY119" s="615"/>
      <c r="DZ119" s="615"/>
      <c r="EA119" s="615"/>
      <c r="EB119" s="615"/>
      <c r="EC119" s="615"/>
      <c r="ED119" s="637"/>
      <c r="EE119" s="692"/>
    </row>
    <row r="120" spans="1:135" x14ac:dyDescent="0.25">
      <c r="A120" s="640" t="s">
        <v>11</v>
      </c>
      <c r="B120" s="367" t="s">
        <v>969</v>
      </c>
      <c r="C120" s="367" t="s">
        <v>967</v>
      </c>
      <c r="D120" s="367" t="s">
        <v>970</v>
      </c>
      <c r="E120" s="503" t="s">
        <v>962</v>
      </c>
      <c r="F120" s="570">
        <v>44575</v>
      </c>
      <c r="G120" s="85" t="s">
        <v>59</v>
      </c>
      <c r="H120" s="85" t="s">
        <v>54</v>
      </c>
      <c r="I120" s="85" t="s">
        <v>358</v>
      </c>
      <c r="J120" s="675" t="s">
        <v>358</v>
      </c>
      <c r="K120" s="85" t="s">
        <v>358</v>
      </c>
      <c r="L120" s="85" t="s">
        <v>40</v>
      </c>
      <c r="M120" s="85" t="s">
        <v>3</v>
      </c>
      <c r="N120" s="668" t="s">
        <v>44</v>
      </c>
      <c r="O120" s="669"/>
      <c r="P120" s="615"/>
      <c r="Q120" s="615"/>
      <c r="R120" s="615"/>
      <c r="S120" s="615"/>
      <c r="T120" s="615"/>
      <c r="U120" s="615"/>
      <c r="V120" s="615"/>
      <c r="W120" s="615"/>
      <c r="X120" s="615"/>
      <c r="Y120" s="615"/>
      <c r="Z120" s="635">
        <v>10</v>
      </c>
      <c r="AA120" s="636"/>
      <c r="AB120" s="615"/>
      <c r="AC120" s="615"/>
      <c r="AD120" s="615"/>
      <c r="AE120" s="615"/>
      <c r="AF120" s="615"/>
      <c r="AG120" s="615"/>
      <c r="AH120" s="615"/>
      <c r="AI120" s="615"/>
      <c r="AJ120" s="615"/>
      <c r="AK120" s="615"/>
      <c r="AL120" s="635"/>
      <c r="AM120" s="636"/>
      <c r="AN120" s="615"/>
      <c r="AO120" s="615"/>
      <c r="AP120" s="615"/>
      <c r="AQ120" s="615"/>
      <c r="AR120" s="615"/>
      <c r="AS120" s="615"/>
      <c r="AT120" s="615"/>
      <c r="AU120" s="615"/>
      <c r="AV120" s="615"/>
      <c r="AW120" s="615"/>
      <c r="AX120" s="635"/>
      <c r="AY120" s="636"/>
      <c r="AZ120" s="615"/>
      <c r="BA120" s="615"/>
      <c r="BB120" s="615"/>
      <c r="BC120" s="615"/>
      <c r="BD120" s="615"/>
      <c r="BE120" s="615"/>
      <c r="BF120" s="615"/>
      <c r="BG120" s="615"/>
      <c r="BH120" s="615"/>
      <c r="BI120" s="615"/>
      <c r="BJ120" s="635"/>
      <c r="BK120" s="636"/>
      <c r="BL120" s="615"/>
      <c r="BM120" s="615"/>
      <c r="BN120" s="615"/>
      <c r="BO120" s="615"/>
      <c r="BP120" s="615"/>
      <c r="BQ120" s="615"/>
      <c r="BR120" s="615"/>
      <c r="BS120" s="615"/>
      <c r="BT120" s="615"/>
      <c r="BU120" s="615"/>
      <c r="BV120" s="637"/>
      <c r="BW120" s="669"/>
      <c r="BX120" s="615"/>
      <c r="BY120" s="615"/>
      <c r="BZ120" s="615"/>
      <c r="CA120" s="615"/>
      <c r="CB120" s="615"/>
      <c r="CC120" s="615"/>
      <c r="CD120" s="615"/>
      <c r="CE120" s="615"/>
      <c r="CF120" s="615"/>
      <c r="CG120" s="615"/>
      <c r="CH120" s="635">
        <v>180</v>
      </c>
      <c r="CI120" s="636"/>
      <c r="CJ120" s="615"/>
      <c r="CK120" s="615"/>
      <c r="CL120" s="615"/>
      <c r="CM120" s="615"/>
      <c r="CN120" s="615"/>
      <c r="CO120" s="615"/>
      <c r="CP120" s="615"/>
      <c r="CQ120" s="615"/>
      <c r="CR120" s="615"/>
      <c r="CS120" s="615"/>
      <c r="CT120" s="635"/>
      <c r="CU120" s="636"/>
      <c r="CV120" s="615"/>
      <c r="CW120" s="615"/>
      <c r="CX120" s="615"/>
      <c r="CY120" s="615"/>
      <c r="CZ120" s="615"/>
      <c r="DA120" s="615"/>
      <c r="DB120" s="615"/>
      <c r="DC120" s="615"/>
      <c r="DD120" s="615"/>
      <c r="DE120" s="615"/>
      <c r="DF120" s="635"/>
      <c r="DG120" s="636"/>
      <c r="DH120" s="615"/>
      <c r="DI120" s="615"/>
      <c r="DJ120" s="615"/>
      <c r="DK120" s="615"/>
      <c r="DL120" s="615"/>
      <c r="DM120" s="615"/>
      <c r="DN120" s="615"/>
      <c r="DO120" s="615"/>
      <c r="DP120" s="615"/>
      <c r="DQ120" s="615"/>
      <c r="DR120" s="635"/>
      <c r="DS120" s="636"/>
      <c r="DT120" s="615"/>
      <c r="DU120" s="615"/>
      <c r="DV120" s="615"/>
      <c r="DW120" s="615"/>
      <c r="DX120" s="615"/>
      <c r="DY120" s="615"/>
      <c r="DZ120" s="615"/>
      <c r="EA120" s="615"/>
      <c r="EB120" s="615"/>
      <c r="EC120" s="615"/>
      <c r="ED120" s="637"/>
      <c r="EE120" s="692"/>
    </row>
    <row r="121" spans="1:135" x14ac:dyDescent="0.25">
      <c r="A121" s="640" t="s">
        <v>11</v>
      </c>
      <c r="B121" s="367" t="s">
        <v>971</v>
      </c>
      <c r="C121" s="367" t="s">
        <v>968</v>
      </c>
      <c r="D121" s="367" t="s">
        <v>972</v>
      </c>
      <c r="E121" s="503" t="s">
        <v>963</v>
      </c>
      <c r="F121" s="570">
        <v>44575</v>
      </c>
      <c r="G121" s="85" t="s">
        <v>59</v>
      </c>
      <c r="H121" s="85" t="s">
        <v>54</v>
      </c>
      <c r="I121" s="85" t="s">
        <v>358</v>
      </c>
      <c r="J121" s="675" t="s">
        <v>358</v>
      </c>
      <c r="K121" s="85" t="s">
        <v>358</v>
      </c>
      <c r="L121" s="85" t="s">
        <v>40</v>
      </c>
      <c r="M121" s="85" t="s">
        <v>3</v>
      </c>
      <c r="N121" s="668" t="s">
        <v>44</v>
      </c>
      <c r="O121" s="669"/>
      <c r="P121" s="615"/>
      <c r="Q121" s="615">
        <v>1</v>
      </c>
      <c r="R121" s="615"/>
      <c r="S121" s="615"/>
      <c r="T121" s="615"/>
      <c r="U121" s="615"/>
      <c r="V121" s="615"/>
      <c r="W121" s="615"/>
      <c r="X121" s="615"/>
      <c r="Y121" s="615"/>
      <c r="Z121" s="635"/>
      <c r="AA121" s="636"/>
      <c r="AB121" s="615"/>
      <c r="AC121" s="615"/>
      <c r="AD121" s="615"/>
      <c r="AE121" s="615"/>
      <c r="AF121" s="615"/>
      <c r="AG121" s="615"/>
      <c r="AH121" s="615"/>
      <c r="AI121" s="615"/>
      <c r="AJ121" s="615"/>
      <c r="AK121" s="615"/>
      <c r="AL121" s="635"/>
      <c r="AM121" s="636"/>
      <c r="AN121" s="615"/>
      <c r="AO121" s="615"/>
      <c r="AP121" s="615"/>
      <c r="AQ121" s="615"/>
      <c r="AR121" s="615"/>
      <c r="AS121" s="615"/>
      <c r="AT121" s="615"/>
      <c r="AU121" s="615"/>
      <c r="AV121" s="615"/>
      <c r="AW121" s="615"/>
      <c r="AX121" s="635"/>
      <c r="AY121" s="636"/>
      <c r="AZ121" s="615"/>
      <c r="BA121" s="615"/>
      <c r="BB121" s="615"/>
      <c r="BC121" s="615"/>
      <c r="BD121" s="615"/>
      <c r="BE121" s="615"/>
      <c r="BF121" s="615"/>
      <c r="BG121" s="615"/>
      <c r="BH121" s="615"/>
      <c r="BI121" s="615"/>
      <c r="BJ121" s="635"/>
      <c r="BK121" s="636"/>
      <c r="BL121" s="615"/>
      <c r="BM121" s="615"/>
      <c r="BN121" s="615"/>
      <c r="BO121" s="615"/>
      <c r="BP121" s="615"/>
      <c r="BQ121" s="615"/>
      <c r="BR121" s="615"/>
      <c r="BS121" s="615"/>
      <c r="BT121" s="615"/>
      <c r="BU121" s="615"/>
      <c r="BV121" s="637"/>
      <c r="BW121" s="669"/>
      <c r="BX121" s="615"/>
      <c r="BY121" s="615">
        <v>124</v>
      </c>
      <c r="BZ121" s="615"/>
      <c r="CA121" s="615"/>
      <c r="CB121" s="615"/>
      <c r="CC121" s="615"/>
      <c r="CD121" s="615"/>
      <c r="CE121" s="615"/>
      <c r="CF121" s="615"/>
      <c r="CG121" s="615"/>
      <c r="CH121" s="635"/>
      <c r="CI121" s="636"/>
      <c r="CJ121" s="615"/>
      <c r="CK121" s="615"/>
      <c r="CL121" s="615"/>
      <c r="CM121" s="615"/>
      <c r="CN121" s="615"/>
      <c r="CO121" s="615"/>
      <c r="CP121" s="615"/>
      <c r="CQ121" s="615"/>
      <c r="CR121" s="615"/>
      <c r="CS121" s="615"/>
      <c r="CT121" s="635"/>
      <c r="CU121" s="636"/>
      <c r="CV121" s="615"/>
      <c r="CW121" s="615"/>
      <c r="CX121" s="615"/>
      <c r="CY121" s="615"/>
      <c r="CZ121" s="615"/>
      <c r="DA121" s="615"/>
      <c r="DB121" s="615"/>
      <c r="DC121" s="615"/>
      <c r="DD121" s="615"/>
      <c r="DE121" s="615"/>
      <c r="DF121" s="635"/>
      <c r="DG121" s="636"/>
      <c r="DH121" s="615"/>
      <c r="DI121" s="615"/>
      <c r="DJ121" s="615"/>
      <c r="DK121" s="615"/>
      <c r="DL121" s="615"/>
      <c r="DM121" s="615"/>
      <c r="DN121" s="615"/>
      <c r="DO121" s="615"/>
      <c r="DP121" s="615"/>
      <c r="DQ121" s="615"/>
      <c r="DR121" s="635"/>
      <c r="DS121" s="636"/>
      <c r="DT121" s="615"/>
      <c r="DU121" s="615"/>
      <c r="DV121" s="615"/>
      <c r="DW121" s="615"/>
      <c r="DX121" s="615"/>
      <c r="DY121" s="615"/>
      <c r="DZ121" s="615"/>
      <c r="EA121" s="615"/>
      <c r="EB121" s="615"/>
      <c r="EC121" s="615"/>
      <c r="ED121" s="637"/>
      <c r="EE121" s="692"/>
    </row>
    <row r="122" spans="1:135" x14ac:dyDescent="0.25">
      <c r="A122" s="640" t="s">
        <v>11</v>
      </c>
      <c r="B122" s="367" t="s">
        <v>973</v>
      </c>
      <c r="C122" s="367" t="s">
        <v>508</v>
      </c>
      <c r="D122" s="367" t="s">
        <v>974</v>
      </c>
      <c r="E122" s="503" t="s">
        <v>964</v>
      </c>
      <c r="F122" s="570">
        <v>44575</v>
      </c>
      <c r="G122" s="85" t="s">
        <v>59</v>
      </c>
      <c r="H122" s="85" t="s">
        <v>54</v>
      </c>
      <c r="I122" s="85" t="s">
        <v>358</v>
      </c>
      <c r="J122" s="675" t="s">
        <v>358</v>
      </c>
      <c r="K122" s="85" t="s">
        <v>358</v>
      </c>
      <c r="L122" s="85" t="s">
        <v>40</v>
      </c>
      <c r="M122" s="85" t="s">
        <v>3</v>
      </c>
      <c r="N122" s="668" t="s">
        <v>44</v>
      </c>
      <c r="O122" s="669"/>
      <c r="P122" s="615"/>
      <c r="Q122" s="615"/>
      <c r="R122" s="615">
        <v>0.6</v>
      </c>
      <c r="S122" s="615"/>
      <c r="T122" s="615"/>
      <c r="U122" s="615"/>
      <c r="V122" s="615"/>
      <c r="W122" s="615"/>
      <c r="X122" s="615"/>
      <c r="Y122" s="615"/>
      <c r="Z122" s="635"/>
      <c r="AA122" s="636"/>
      <c r="AB122" s="615"/>
      <c r="AC122" s="615"/>
      <c r="AD122" s="615"/>
      <c r="AE122" s="615"/>
      <c r="AF122" s="615"/>
      <c r="AG122" s="615"/>
      <c r="AH122" s="615"/>
      <c r="AI122" s="615"/>
      <c r="AJ122" s="615"/>
      <c r="AK122" s="615"/>
      <c r="AL122" s="635"/>
      <c r="AM122" s="636"/>
      <c r="AN122" s="615"/>
      <c r="AO122" s="615"/>
      <c r="AP122" s="615"/>
      <c r="AQ122" s="615"/>
      <c r="AR122" s="615"/>
      <c r="AS122" s="615"/>
      <c r="AT122" s="615"/>
      <c r="AU122" s="615"/>
      <c r="AV122" s="615"/>
      <c r="AW122" s="615"/>
      <c r="AX122" s="635"/>
      <c r="AY122" s="636"/>
      <c r="AZ122" s="615"/>
      <c r="BA122" s="615"/>
      <c r="BB122" s="615"/>
      <c r="BC122" s="615"/>
      <c r="BD122" s="615"/>
      <c r="BE122" s="615"/>
      <c r="BF122" s="615"/>
      <c r="BG122" s="615"/>
      <c r="BH122" s="615"/>
      <c r="BI122" s="615"/>
      <c r="BJ122" s="635"/>
      <c r="BK122" s="636"/>
      <c r="BL122" s="615"/>
      <c r="BM122" s="615"/>
      <c r="BN122" s="615"/>
      <c r="BO122" s="615"/>
      <c r="BP122" s="615"/>
      <c r="BQ122" s="615"/>
      <c r="BR122" s="615"/>
      <c r="BS122" s="615"/>
      <c r="BT122" s="615"/>
      <c r="BU122" s="615"/>
      <c r="BV122" s="637"/>
      <c r="BW122" s="669"/>
      <c r="BX122" s="615"/>
      <c r="BY122" s="615"/>
      <c r="BZ122" s="615">
        <v>124</v>
      </c>
      <c r="CA122" s="615"/>
      <c r="CB122" s="615"/>
      <c r="CC122" s="615"/>
      <c r="CD122" s="615"/>
      <c r="CE122" s="615"/>
      <c r="CF122" s="615"/>
      <c r="CG122" s="615"/>
      <c r="CH122" s="635"/>
      <c r="CI122" s="636"/>
      <c r="CJ122" s="615"/>
      <c r="CK122" s="615"/>
      <c r="CL122" s="615"/>
      <c r="CM122" s="615"/>
      <c r="CN122" s="615"/>
      <c r="CO122" s="615"/>
      <c r="CP122" s="615"/>
      <c r="CQ122" s="615"/>
      <c r="CR122" s="615"/>
      <c r="CS122" s="615"/>
      <c r="CT122" s="635"/>
      <c r="CU122" s="636"/>
      <c r="CV122" s="615"/>
      <c r="CW122" s="615"/>
      <c r="CX122" s="615"/>
      <c r="CY122" s="615"/>
      <c r="CZ122" s="615"/>
      <c r="DA122" s="615"/>
      <c r="DB122" s="615"/>
      <c r="DC122" s="615"/>
      <c r="DD122" s="615"/>
      <c r="DE122" s="615"/>
      <c r="DF122" s="635"/>
      <c r="DG122" s="636"/>
      <c r="DH122" s="615"/>
      <c r="DI122" s="615"/>
      <c r="DJ122" s="615"/>
      <c r="DK122" s="615"/>
      <c r="DL122" s="615"/>
      <c r="DM122" s="615"/>
      <c r="DN122" s="615"/>
      <c r="DO122" s="615"/>
      <c r="DP122" s="615"/>
      <c r="DQ122" s="615"/>
      <c r="DR122" s="635"/>
      <c r="DS122" s="636"/>
      <c r="DT122" s="615"/>
      <c r="DU122" s="615"/>
      <c r="DV122" s="615"/>
      <c r="DW122" s="615"/>
      <c r="DX122" s="615"/>
      <c r="DY122" s="615"/>
      <c r="DZ122" s="615"/>
      <c r="EA122" s="615"/>
      <c r="EB122" s="615"/>
      <c r="EC122" s="615"/>
      <c r="ED122" s="637"/>
      <c r="EE122" s="692"/>
    </row>
    <row r="123" spans="1:135" x14ac:dyDescent="0.25">
      <c r="A123" s="640" t="s">
        <v>11</v>
      </c>
      <c r="B123" s="367" t="s">
        <v>975</v>
      </c>
      <c r="C123" s="367" t="s">
        <v>478</v>
      </c>
      <c r="D123" s="367" t="s">
        <v>976</v>
      </c>
      <c r="E123" s="503" t="s">
        <v>965</v>
      </c>
      <c r="F123" s="570">
        <v>44575</v>
      </c>
      <c r="G123" s="85" t="s">
        <v>59</v>
      </c>
      <c r="H123" s="85" t="s">
        <v>54</v>
      </c>
      <c r="I123" s="85" t="s">
        <v>358</v>
      </c>
      <c r="J123" s="675" t="s">
        <v>358</v>
      </c>
      <c r="K123" s="85" t="s">
        <v>358</v>
      </c>
      <c r="L123" s="85" t="s">
        <v>40</v>
      </c>
      <c r="M123" s="85" t="s">
        <v>3</v>
      </c>
      <c r="N123" s="668" t="s">
        <v>44</v>
      </c>
      <c r="O123" s="669"/>
      <c r="P123" s="615"/>
      <c r="Q123" s="615">
        <v>3</v>
      </c>
      <c r="R123" s="615"/>
      <c r="S123" s="615"/>
      <c r="T123" s="615"/>
      <c r="U123" s="615"/>
      <c r="V123" s="615"/>
      <c r="W123" s="615"/>
      <c r="X123" s="615"/>
      <c r="Y123" s="615"/>
      <c r="Z123" s="635"/>
      <c r="AA123" s="636"/>
      <c r="AB123" s="615"/>
      <c r="AC123" s="615"/>
      <c r="AD123" s="615"/>
      <c r="AE123" s="615"/>
      <c r="AF123" s="615"/>
      <c r="AG123" s="615"/>
      <c r="AH123" s="615"/>
      <c r="AI123" s="615"/>
      <c r="AJ123" s="615"/>
      <c r="AK123" s="615"/>
      <c r="AL123" s="635"/>
      <c r="AM123" s="636"/>
      <c r="AN123" s="615"/>
      <c r="AO123" s="615"/>
      <c r="AP123" s="615"/>
      <c r="AQ123" s="615"/>
      <c r="AR123" s="615"/>
      <c r="AS123" s="615"/>
      <c r="AT123" s="615"/>
      <c r="AU123" s="615"/>
      <c r="AV123" s="615"/>
      <c r="AW123" s="615"/>
      <c r="AX123" s="635"/>
      <c r="AY123" s="636"/>
      <c r="AZ123" s="615"/>
      <c r="BA123" s="615"/>
      <c r="BB123" s="615"/>
      <c r="BC123" s="615"/>
      <c r="BD123" s="615"/>
      <c r="BE123" s="615"/>
      <c r="BF123" s="615"/>
      <c r="BG123" s="615"/>
      <c r="BH123" s="615"/>
      <c r="BI123" s="615"/>
      <c r="BJ123" s="635"/>
      <c r="BK123" s="636"/>
      <c r="BL123" s="615"/>
      <c r="BM123" s="615"/>
      <c r="BN123" s="615"/>
      <c r="BO123" s="615"/>
      <c r="BP123" s="615"/>
      <c r="BQ123" s="615"/>
      <c r="BR123" s="615"/>
      <c r="BS123" s="615"/>
      <c r="BT123" s="615"/>
      <c r="BU123" s="615"/>
      <c r="BV123" s="637"/>
      <c r="BW123" s="669"/>
      <c r="BX123" s="615"/>
      <c r="BY123" s="615">
        <v>121</v>
      </c>
      <c r="BZ123" s="615"/>
      <c r="CA123" s="615"/>
      <c r="CB123" s="615"/>
      <c r="CC123" s="615"/>
      <c r="CD123" s="615"/>
      <c r="CE123" s="615"/>
      <c r="CF123" s="615"/>
      <c r="CG123" s="615"/>
      <c r="CH123" s="635"/>
      <c r="CI123" s="636"/>
      <c r="CJ123" s="615"/>
      <c r="CK123" s="615"/>
      <c r="CL123" s="615"/>
      <c r="CM123" s="615"/>
      <c r="CN123" s="615"/>
      <c r="CO123" s="615"/>
      <c r="CP123" s="615"/>
      <c r="CQ123" s="615"/>
      <c r="CR123" s="615"/>
      <c r="CS123" s="615"/>
      <c r="CT123" s="635"/>
      <c r="CU123" s="636"/>
      <c r="CV123" s="615"/>
      <c r="CW123" s="615"/>
      <c r="CX123" s="615"/>
      <c r="CY123" s="615"/>
      <c r="CZ123" s="615"/>
      <c r="DA123" s="615"/>
      <c r="DB123" s="615"/>
      <c r="DC123" s="615"/>
      <c r="DD123" s="615"/>
      <c r="DE123" s="615"/>
      <c r="DF123" s="635"/>
      <c r="DG123" s="636"/>
      <c r="DH123" s="615"/>
      <c r="DI123" s="615"/>
      <c r="DJ123" s="615"/>
      <c r="DK123" s="615"/>
      <c r="DL123" s="615"/>
      <c r="DM123" s="615"/>
      <c r="DN123" s="615"/>
      <c r="DO123" s="615"/>
      <c r="DP123" s="615"/>
      <c r="DQ123" s="615"/>
      <c r="DR123" s="635"/>
      <c r="DS123" s="636"/>
      <c r="DT123" s="615"/>
      <c r="DU123" s="615"/>
      <c r="DV123" s="615"/>
      <c r="DW123" s="615"/>
      <c r="DX123" s="615"/>
      <c r="DY123" s="615"/>
      <c r="DZ123" s="615"/>
      <c r="EA123" s="615"/>
      <c r="EB123" s="615"/>
      <c r="EC123" s="615"/>
      <c r="ED123" s="637"/>
      <c r="EE123" s="692"/>
    </row>
    <row r="124" spans="1:135" x14ac:dyDescent="0.25">
      <c r="A124" s="640" t="s">
        <v>11</v>
      </c>
      <c r="B124" s="367" t="s">
        <v>977</v>
      </c>
      <c r="C124" s="367" t="s">
        <v>409</v>
      </c>
      <c r="D124" s="367" t="s">
        <v>978</v>
      </c>
      <c r="E124" s="503" t="s">
        <v>966</v>
      </c>
      <c r="F124" s="570">
        <v>44575</v>
      </c>
      <c r="G124" s="85" t="s">
        <v>59</v>
      </c>
      <c r="H124" s="85" t="s">
        <v>54</v>
      </c>
      <c r="I124" s="85" t="s">
        <v>358</v>
      </c>
      <c r="J124" s="675" t="s">
        <v>358</v>
      </c>
      <c r="K124" s="85" t="s">
        <v>358</v>
      </c>
      <c r="L124" s="85" t="s">
        <v>40</v>
      </c>
      <c r="M124" s="85" t="s">
        <v>3</v>
      </c>
      <c r="N124" s="668" t="s">
        <v>44</v>
      </c>
      <c r="O124" s="669"/>
      <c r="P124" s="615"/>
      <c r="Q124" s="615">
        <v>5</v>
      </c>
      <c r="R124" s="615"/>
      <c r="S124" s="615"/>
      <c r="T124" s="615"/>
      <c r="U124" s="615"/>
      <c r="V124" s="615"/>
      <c r="W124" s="615"/>
      <c r="X124" s="615"/>
      <c r="Y124" s="615"/>
      <c r="Z124" s="635"/>
      <c r="AA124" s="636"/>
      <c r="AB124" s="615"/>
      <c r="AC124" s="615"/>
      <c r="AD124" s="615"/>
      <c r="AE124" s="615"/>
      <c r="AF124" s="615"/>
      <c r="AG124" s="615"/>
      <c r="AH124" s="615"/>
      <c r="AI124" s="615"/>
      <c r="AJ124" s="615"/>
      <c r="AK124" s="615"/>
      <c r="AL124" s="635"/>
      <c r="AM124" s="636"/>
      <c r="AN124" s="615"/>
      <c r="AO124" s="615"/>
      <c r="AP124" s="615"/>
      <c r="AQ124" s="615"/>
      <c r="AR124" s="615"/>
      <c r="AS124" s="615"/>
      <c r="AT124" s="615"/>
      <c r="AU124" s="615"/>
      <c r="AV124" s="615"/>
      <c r="AW124" s="615"/>
      <c r="AX124" s="635"/>
      <c r="AY124" s="636"/>
      <c r="AZ124" s="615"/>
      <c r="BA124" s="615"/>
      <c r="BB124" s="615"/>
      <c r="BC124" s="615"/>
      <c r="BD124" s="615"/>
      <c r="BE124" s="615"/>
      <c r="BF124" s="615"/>
      <c r="BG124" s="615"/>
      <c r="BH124" s="615"/>
      <c r="BI124" s="615"/>
      <c r="BJ124" s="635"/>
      <c r="BK124" s="636"/>
      <c r="BL124" s="615"/>
      <c r="BM124" s="615"/>
      <c r="BN124" s="615"/>
      <c r="BO124" s="615"/>
      <c r="BP124" s="615"/>
      <c r="BQ124" s="615"/>
      <c r="BR124" s="615"/>
      <c r="BS124" s="615"/>
      <c r="BT124" s="615"/>
      <c r="BU124" s="615"/>
      <c r="BV124" s="637"/>
      <c r="BW124" s="669"/>
      <c r="BX124" s="615"/>
      <c r="BY124" s="615">
        <v>120</v>
      </c>
      <c r="BZ124" s="615"/>
      <c r="CA124" s="615"/>
      <c r="CB124" s="615"/>
      <c r="CC124" s="615"/>
      <c r="CD124" s="615"/>
      <c r="CE124" s="615"/>
      <c r="CF124" s="615"/>
      <c r="CG124" s="615"/>
      <c r="CH124" s="635"/>
      <c r="CI124" s="636"/>
      <c r="CJ124" s="615"/>
      <c r="CK124" s="615"/>
      <c r="CL124" s="615"/>
      <c r="CM124" s="615"/>
      <c r="CN124" s="615"/>
      <c r="CO124" s="615"/>
      <c r="CP124" s="615"/>
      <c r="CQ124" s="615"/>
      <c r="CR124" s="615"/>
      <c r="CS124" s="615"/>
      <c r="CT124" s="635"/>
      <c r="CU124" s="636"/>
      <c r="CV124" s="615"/>
      <c r="CW124" s="615"/>
      <c r="CX124" s="615"/>
      <c r="CY124" s="615"/>
      <c r="CZ124" s="615"/>
      <c r="DA124" s="615"/>
      <c r="DB124" s="615"/>
      <c r="DC124" s="615"/>
      <c r="DD124" s="615"/>
      <c r="DE124" s="615"/>
      <c r="DF124" s="635"/>
      <c r="DG124" s="636"/>
      <c r="DH124" s="615"/>
      <c r="DI124" s="615"/>
      <c r="DJ124" s="615"/>
      <c r="DK124" s="615"/>
      <c r="DL124" s="615"/>
      <c r="DM124" s="615"/>
      <c r="DN124" s="615"/>
      <c r="DO124" s="615"/>
      <c r="DP124" s="615"/>
      <c r="DQ124" s="615"/>
      <c r="DR124" s="635"/>
      <c r="DS124" s="636"/>
      <c r="DT124" s="615"/>
      <c r="DU124" s="615"/>
      <c r="DV124" s="615"/>
      <c r="DW124" s="615"/>
      <c r="DX124" s="615"/>
      <c r="DY124" s="615"/>
      <c r="DZ124" s="615"/>
      <c r="EA124" s="615"/>
      <c r="EB124" s="615"/>
      <c r="EC124" s="615"/>
      <c r="ED124" s="637"/>
      <c r="EE124" s="692"/>
    </row>
    <row r="125" spans="1:135" x14ac:dyDescent="0.25">
      <c r="A125" s="640" t="s">
        <v>11</v>
      </c>
      <c r="B125" s="367" t="s">
        <v>982</v>
      </c>
      <c r="C125" s="367" t="s">
        <v>981</v>
      </c>
      <c r="D125" s="367" t="s">
        <v>983</v>
      </c>
      <c r="E125" s="503" t="s">
        <v>979</v>
      </c>
      <c r="F125" s="570">
        <v>44578</v>
      </c>
      <c r="G125" s="85" t="s">
        <v>59</v>
      </c>
      <c r="H125" s="85" t="s">
        <v>54</v>
      </c>
      <c r="I125" s="85" t="s">
        <v>358</v>
      </c>
      <c r="J125" s="675" t="s">
        <v>358</v>
      </c>
      <c r="K125" s="85" t="s">
        <v>358</v>
      </c>
      <c r="L125" s="85" t="s">
        <v>40</v>
      </c>
      <c r="M125" s="85" t="s">
        <v>3</v>
      </c>
      <c r="N125" s="668" t="s">
        <v>44</v>
      </c>
      <c r="O125" s="669"/>
      <c r="P125" s="615"/>
      <c r="Q125" s="615">
        <v>1</v>
      </c>
      <c r="R125" s="615"/>
      <c r="S125" s="615"/>
      <c r="T125" s="615"/>
      <c r="U125" s="615"/>
      <c r="V125" s="615"/>
      <c r="W125" s="615"/>
      <c r="X125" s="615"/>
      <c r="Y125" s="615"/>
      <c r="Z125" s="635"/>
      <c r="AA125" s="636"/>
      <c r="AB125" s="615"/>
      <c r="AC125" s="615"/>
      <c r="AD125" s="615"/>
      <c r="AE125" s="615"/>
      <c r="AF125" s="615"/>
      <c r="AG125" s="615"/>
      <c r="AH125" s="615"/>
      <c r="AI125" s="615"/>
      <c r="AJ125" s="615"/>
      <c r="AK125" s="615"/>
      <c r="AL125" s="635"/>
      <c r="AM125" s="636"/>
      <c r="AN125" s="615"/>
      <c r="AO125" s="615"/>
      <c r="AP125" s="615"/>
      <c r="AQ125" s="615"/>
      <c r="AR125" s="615"/>
      <c r="AS125" s="615"/>
      <c r="AT125" s="615"/>
      <c r="AU125" s="615"/>
      <c r="AV125" s="615"/>
      <c r="AW125" s="615"/>
      <c r="AX125" s="635"/>
      <c r="AY125" s="636"/>
      <c r="AZ125" s="615"/>
      <c r="BA125" s="615"/>
      <c r="BB125" s="615"/>
      <c r="BC125" s="615"/>
      <c r="BD125" s="615"/>
      <c r="BE125" s="615"/>
      <c r="BF125" s="615"/>
      <c r="BG125" s="615"/>
      <c r="BH125" s="615"/>
      <c r="BI125" s="615"/>
      <c r="BJ125" s="635"/>
      <c r="BK125" s="636"/>
      <c r="BL125" s="615"/>
      <c r="BM125" s="615"/>
      <c r="BN125" s="615"/>
      <c r="BO125" s="615"/>
      <c r="BP125" s="615"/>
      <c r="BQ125" s="615"/>
      <c r="BR125" s="615"/>
      <c r="BS125" s="615"/>
      <c r="BT125" s="615"/>
      <c r="BU125" s="615"/>
      <c r="BV125" s="637"/>
      <c r="BW125" s="669"/>
      <c r="BX125" s="615"/>
      <c r="BY125" s="615">
        <v>125</v>
      </c>
      <c r="BZ125" s="615"/>
      <c r="CA125" s="615"/>
      <c r="CB125" s="615"/>
      <c r="CC125" s="615"/>
      <c r="CD125" s="615"/>
      <c r="CE125" s="615"/>
      <c r="CF125" s="615"/>
      <c r="CG125" s="615"/>
      <c r="CH125" s="635"/>
      <c r="CI125" s="636"/>
      <c r="CJ125" s="615"/>
      <c r="CK125" s="615"/>
      <c r="CL125" s="615"/>
      <c r="CM125" s="615"/>
      <c r="CN125" s="615"/>
      <c r="CO125" s="615"/>
      <c r="CP125" s="615"/>
      <c r="CQ125" s="615"/>
      <c r="CR125" s="615"/>
      <c r="CS125" s="615"/>
      <c r="CT125" s="635"/>
      <c r="CU125" s="636"/>
      <c r="CV125" s="615"/>
      <c r="CW125" s="615"/>
      <c r="CX125" s="615"/>
      <c r="CY125" s="615"/>
      <c r="CZ125" s="615"/>
      <c r="DA125" s="615"/>
      <c r="DB125" s="615"/>
      <c r="DC125" s="615"/>
      <c r="DD125" s="615"/>
      <c r="DE125" s="615"/>
      <c r="DF125" s="635"/>
      <c r="DG125" s="636"/>
      <c r="DH125" s="615"/>
      <c r="DI125" s="615"/>
      <c r="DJ125" s="615"/>
      <c r="DK125" s="615"/>
      <c r="DL125" s="615"/>
      <c r="DM125" s="615"/>
      <c r="DN125" s="615"/>
      <c r="DO125" s="615"/>
      <c r="DP125" s="615"/>
      <c r="DQ125" s="615"/>
      <c r="DR125" s="635"/>
      <c r="DS125" s="636"/>
      <c r="DT125" s="615"/>
      <c r="DU125" s="615"/>
      <c r="DV125" s="615"/>
      <c r="DW125" s="615"/>
      <c r="DX125" s="615"/>
      <c r="DY125" s="615"/>
      <c r="DZ125" s="615"/>
      <c r="EA125" s="615"/>
      <c r="EB125" s="615"/>
      <c r="EC125" s="615"/>
      <c r="ED125" s="637"/>
      <c r="EE125" s="692"/>
    </row>
    <row r="126" spans="1:135" x14ac:dyDescent="0.25">
      <c r="A126" s="640" t="s">
        <v>11</v>
      </c>
      <c r="B126" s="367" t="s">
        <v>984</v>
      </c>
      <c r="C126" s="367" t="s">
        <v>409</v>
      </c>
      <c r="D126" s="367" t="s">
        <v>985</v>
      </c>
      <c r="E126" s="503" t="s">
        <v>980</v>
      </c>
      <c r="F126" s="570">
        <v>44578</v>
      </c>
      <c r="G126" s="85" t="s">
        <v>59</v>
      </c>
      <c r="H126" s="85" t="s">
        <v>54</v>
      </c>
      <c r="I126" s="85" t="s">
        <v>358</v>
      </c>
      <c r="J126" s="675" t="s">
        <v>358</v>
      </c>
      <c r="K126" s="85" t="s">
        <v>358</v>
      </c>
      <c r="L126" s="85" t="s">
        <v>40</v>
      </c>
      <c r="M126" s="85" t="s">
        <v>3</v>
      </c>
      <c r="N126" s="668" t="s">
        <v>44</v>
      </c>
      <c r="O126" s="669"/>
      <c r="P126" s="615"/>
      <c r="Q126" s="615">
        <v>5</v>
      </c>
      <c r="R126" s="615"/>
      <c r="S126" s="615"/>
      <c r="T126" s="615"/>
      <c r="U126" s="615"/>
      <c r="V126" s="615"/>
      <c r="W126" s="615"/>
      <c r="X126" s="615"/>
      <c r="Y126" s="615"/>
      <c r="Z126" s="635"/>
      <c r="AA126" s="636"/>
      <c r="AB126" s="615"/>
      <c r="AC126" s="615"/>
      <c r="AD126" s="615"/>
      <c r="AE126" s="615"/>
      <c r="AF126" s="615"/>
      <c r="AG126" s="615"/>
      <c r="AH126" s="615"/>
      <c r="AI126" s="615"/>
      <c r="AJ126" s="615"/>
      <c r="AK126" s="615"/>
      <c r="AL126" s="635"/>
      <c r="AM126" s="636"/>
      <c r="AN126" s="615"/>
      <c r="AO126" s="615"/>
      <c r="AP126" s="615"/>
      <c r="AQ126" s="615"/>
      <c r="AR126" s="615"/>
      <c r="AS126" s="615"/>
      <c r="AT126" s="615"/>
      <c r="AU126" s="615"/>
      <c r="AV126" s="615"/>
      <c r="AW126" s="615"/>
      <c r="AX126" s="635"/>
      <c r="AY126" s="636"/>
      <c r="AZ126" s="615"/>
      <c r="BA126" s="615"/>
      <c r="BB126" s="615"/>
      <c r="BC126" s="615"/>
      <c r="BD126" s="615"/>
      <c r="BE126" s="615"/>
      <c r="BF126" s="615"/>
      <c r="BG126" s="615"/>
      <c r="BH126" s="615"/>
      <c r="BI126" s="615"/>
      <c r="BJ126" s="635"/>
      <c r="BK126" s="636"/>
      <c r="BL126" s="615"/>
      <c r="BM126" s="615"/>
      <c r="BN126" s="615"/>
      <c r="BO126" s="615"/>
      <c r="BP126" s="615"/>
      <c r="BQ126" s="615"/>
      <c r="BR126" s="615"/>
      <c r="BS126" s="615"/>
      <c r="BT126" s="615"/>
      <c r="BU126" s="615"/>
      <c r="BV126" s="637"/>
      <c r="BW126" s="669"/>
      <c r="BX126" s="615"/>
      <c r="BY126" s="615">
        <v>123</v>
      </c>
      <c r="BZ126" s="615"/>
      <c r="CA126" s="615"/>
      <c r="CB126" s="615"/>
      <c r="CC126" s="615"/>
      <c r="CD126" s="615"/>
      <c r="CE126" s="615"/>
      <c r="CF126" s="615"/>
      <c r="CG126" s="615"/>
      <c r="CH126" s="635"/>
      <c r="CI126" s="636"/>
      <c r="CJ126" s="615"/>
      <c r="CK126" s="615"/>
      <c r="CL126" s="615"/>
      <c r="CM126" s="615"/>
      <c r="CN126" s="615"/>
      <c r="CO126" s="615"/>
      <c r="CP126" s="615"/>
      <c r="CQ126" s="615"/>
      <c r="CR126" s="615"/>
      <c r="CS126" s="615"/>
      <c r="CT126" s="635"/>
      <c r="CU126" s="636"/>
      <c r="CV126" s="615"/>
      <c r="CW126" s="615"/>
      <c r="CX126" s="615"/>
      <c r="CY126" s="615"/>
      <c r="CZ126" s="615"/>
      <c r="DA126" s="615"/>
      <c r="DB126" s="615"/>
      <c r="DC126" s="615"/>
      <c r="DD126" s="615"/>
      <c r="DE126" s="615"/>
      <c r="DF126" s="635"/>
      <c r="DG126" s="636"/>
      <c r="DH126" s="615"/>
      <c r="DI126" s="615"/>
      <c r="DJ126" s="615"/>
      <c r="DK126" s="615"/>
      <c r="DL126" s="615"/>
      <c r="DM126" s="615"/>
      <c r="DN126" s="615"/>
      <c r="DO126" s="615"/>
      <c r="DP126" s="615"/>
      <c r="DQ126" s="615"/>
      <c r="DR126" s="635"/>
      <c r="DS126" s="636"/>
      <c r="DT126" s="615"/>
      <c r="DU126" s="615"/>
      <c r="DV126" s="615"/>
      <c r="DW126" s="615"/>
      <c r="DX126" s="615"/>
      <c r="DY126" s="615"/>
      <c r="DZ126" s="615"/>
      <c r="EA126" s="615"/>
      <c r="EB126" s="615"/>
      <c r="EC126" s="615"/>
      <c r="ED126" s="637"/>
      <c r="EE126" s="692"/>
    </row>
    <row r="127" spans="1:135" x14ac:dyDescent="0.25">
      <c r="A127" s="640" t="s">
        <v>11</v>
      </c>
      <c r="B127" s="367" t="s">
        <v>1001</v>
      </c>
      <c r="C127" s="367" t="s">
        <v>475</v>
      </c>
      <c r="D127" s="367" t="s">
        <v>1002</v>
      </c>
      <c r="E127" s="503" t="s">
        <v>986</v>
      </c>
      <c r="F127" s="570">
        <v>44579</v>
      </c>
      <c r="G127" s="85" t="s">
        <v>59</v>
      </c>
      <c r="H127" s="85" t="s">
        <v>54</v>
      </c>
      <c r="I127" s="85" t="s">
        <v>358</v>
      </c>
      <c r="J127" s="675" t="s">
        <v>358</v>
      </c>
      <c r="K127" s="85" t="s">
        <v>358</v>
      </c>
      <c r="L127" s="85" t="s">
        <v>40</v>
      </c>
      <c r="M127" s="85" t="s">
        <v>3</v>
      </c>
      <c r="N127" s="668" t="s">
        <v>44</v>
      </c>
      <c r="O127" s="669"/>
      <c r="P127" s="615"/>
      <c r="Q127" s="615"/>
      <c r="R127" s="615">
        <v>20</v>
      </c>
      <c r="S127" s="615"/>
      <c r="T127" s="615"/>
      <c r="U127" s="615"/>
      <c r="V127" s="615"/>
      <c r="W127" s="615"/>
      <c r="X127" s="615"/>
      <c r="Y127" s="615"/>
      <c r="Z127" s="635"/>
      <c r="AA127" s="636"/>
      <c r="AB127" s="615"/>
      <c r="AC127" s="615"/>
      <c r="AD127" s="615"/>
      <c r="AE127" s="615"/>
      <c r="AF127" s="615"/>
      <c r="AG127" s="615"/>
      <c r="AH127" s="615"/>
      <c r="AI127" s="615"/>
      <c r="AJ127" s="615"/>
      <c r="AK127" s="615"/>
      <c r="AL127" s="635"/>
      <c r="AM127" s="636"/>
      <c r="AN127" s="615"/>
      <c r="AO127" s="615"/>
      <c r="AP127" s="615"/>
      <c r="AQ127" s="615"/>
      <c r="AR127" s="615"/>
      <c r="AS127" s="615"/>
      <c r="AT127" s="615"/>
      <c r="AU127" s="615"/>
      <c r="AV127" s="615"/>
      <c r="AW127" s="615"/>
      <c r="AX127" s="635"/>
      <c r="AY127" s="636"/>
      <c r="AZ127" s="615"/>
      <c r="BA127" s="615"/>
      <c r="BB127" s="615"/>
      <c r="BC127" s="615"/>
      <c r="BD127" s="615"/>
      <c r="BE127" s="615"/>
      <c r="BF127" s="615"/>
      <c r="BG127" s="615"/>
      <c r="BH127" s="615"/>
      <c r="BI127" s="615"/>
      <c r="BJ127" s="635"/>
      <c r="BK127" s="636"/>
      <c r="BL127" s="615"/>
      <c r="BM127" s="615"/>
      <c r="BN127" s="615"/>
      <c r="BO127" s="615"/>
      <c r="BP127" s="615"/>
      <c r="BQ127" s="615"/>
      <c r="BR127" s="615"/>
      <c r="BS127" s="615"/>
      <c r="BT127" s="615"/>
      <c r="BU127" s="615"/>
      <c r="BV127" s="637"/>
      <c r="BW127" s="669"/>
      <c r="BX127" s="615"/>
      <c r="BY127" s="615"/>
      <c r="BZ127" s="615">
        <v>132</v>
      </c>
      <c r="CA127" s="615"/>
      <c r="CB127" s="615"/>
      <c r="CC127" s="615"/>
      <c r="CD127" s="615"/>
      <c r="CE127" s="615"/>
      <c r="CF127" s="615"/>
      <c r="CG127" s="615"/>
      <c r="CH127" s="635"/>
      <c r="CI127" s="636"/>
      <c r="CJ127" s="615"/>
      <c r="CK127" s="615"/>
      <c r="CL127" s="615"/>
      <c r="CM127" s="615"/>
      <c r="CN127" s="615"/>
      <c r="CO127" s="615"/>
      <c r="CP127" s="615"/>
      <c r="CQ127" s="615"/>
      <c r="CR127" s="615"/>
      <c r="CS127" s="615"/>
      <c r="CT127" s="635"/>
      <c r="CU127" s="636"/>
      <c r="CV127" s="615"/>
      <c r="CW127" s="615"/>
      <c r="CX127" s="615"/>
      <c r="CY127" s="615"/>
      <c r="CZ127" s="615"/>
      <c r="DA127" s="615"/>
      <c r="DB127" s="615"/>
      <c r="DC127" s="615"/>
      <c r="DD127" s="615"/>
      <c r="DE127" s="615"/>
      <c r="DF127" s="635"/>
      <c r="DG127" s="636"/>
      <c r="DH127" s="615"/>
      <c r="DI127" s="615"/>
      <c r="DJ127" s="615"/>
      <c r="DK127" s="615"/>
      <c r="DL127" s="615"/>
      <c r="DM127" s="615"/>
      <c r="DN127" s="615"/>
      <c r="DO127" s="615"/>
      <c r="DP127" s="615"/>
      <c r="DQ127" s="615"/>
      <c r="DR127" s="635"/>
      <c r="DS127" s="636"/>
      <c r="DT127" s="615"/>
      <c r="DU127" s="615"/>
      <c r="DV127" s="615"/>
      <c r="DW127" s="615"/>
      <c r="DX127" s="615"/>
      <c r="DY127" s="615"/>
      <c r="DZ127" s="615"/>
      <c r="EA127" s="615"/>
      <c r="EB127" s="615"/>
      <c r="EC127" s="615"/>
      <c r="ED127" s="637"/>
      <c r="EE127" s="692"/>
    </row>
    <row r="128" spans="1:135" x14ac:dyDescent="0.25">
      <c r="A128" s="640" t="s">
        <v>11</v>
      </c>
      <c r="B128" s="367" t="s">
        <v>1003</v>
      </c>
      <c r="C128" s="367" t="s">
        <v>475</v>
      </c>
      <c r="D128" s="367" t="s">
        <v>1004</v>
      </c>
      <c r="E128" s="503" t="s">
        <v>987</v>
      </c>
      <c r="F128" s="570">
        <v>44579</v>
      </c>
      <c r="G128" s="85" t="s">
        <v>58</v>
      </c>
      <c r="H128" s="85" t="s">
        <v>54</v>
      </c>
      <c r="I128" s="85" t="s">
        <v>358</v>
      </c>
      <c r="J128" s="675" t="s">
        <v>358</v>
      </c>
      <c r="K128" s="85" t="s">
        <v>358</v>
      </c>
      <c r="L128" s="85" t="s">
        <v>40</v>
      </c>
      <c r="M128" s="85" t="s">
        <v>3</v>
      </c>
      <c r="N128" s="668" t="s">
        <v>44</v>
      </c>
      <c r="O128" s="669"/>
      <c r="P128" s="615"/>
      <c r="Q128" s="615"/>
      <c r="R128" s="615"/>
      <c r="S128" s="615"/>
      <c r="T128" s="615"/>
      <c r="U128" s="615"/>
      <c r="V128" s="615">
        <v>-5</v>
      </c>
      <c r="W128" s="615"/>
      <c r="X128" s="615"/>
      <c r="Y128" s="615"/>
      <c r="Z128" s="635"/>
      <c r="AA128" s="636"/>
      <c r="AB128" s="615"/>
      <c r="AC128" s="615"/>
      <c r="AD128" s="615"/>
      <c r="AE128" s="615"/>
      <c r="AF128" s="615"/>
      <c r="AG128" s="615"/>
      <c r="AH128" s="615"/>
      <c r="AI128" s="615"/>
      <c r="AJ128" s="615"/>
      <c r="AK128" s="615"/>
      <c r="AL128" s="635"/>
      <c r="AM128" s="636"/>
      <c r="AN128" s="615"/>
      <c r="AO128" s="615"/>
      <c r="AP128" s="615"/>
      <c r="AQ128" s="615"/>
      <c r="AR128" s="615"/>
      <c r="AS128" s="615"/>
      <c r="AT128" s="615"/>
      <c r="AU128" s="615"/>
      <c r="AV128" s="615"/>
      <c r="AW128" s="615"/>
      <c r="AX128" s="635"/>
      <c r="AY128" s="636"/>
      <c r="AZ128" s="615"/>
      <c r="BA128" s="615"/>
      <c r="BB128" s="615"/>
      <c r="BC128" s="615"/>
      <c r="BD128" s="615"/>
      <c r="BE128" s="615"/>
      <c r="BF128" s="615"/>
      <c r="BG128" s="615"/>
      <c r="BH128" s="615"/>
      <c r="BI128" s="615"/>
      <c r="BJ128" s="635"/>
      <c r="BK128" s="636"/>
      <c r="BL128" s="615"/>
      <c r="BM128" s="615"/>
      <c r="BN128" s="615"/>
      <c r="BO128" s="615"/>
      <c r="BP128" s="615"/>
      <c r="BQ128" s="615"/>
      <c r="BR128" s="615"/>
      <c r="BS128" s="615"/>
      <c r="BT128" s="615"/>
      <c r="BU128" s="615"/>
      <c r="BV128" s="637"/>
      <c r="BW128" s="669"/>
      <c r="BX128" s="615"/>
      <c r="BY128" s="615"/>
      <c r="BZ128" s="615"/>
      <c r="CA128" s="615"/>
      <c r="CB128" s="615"/>
      <c r="CC128" s="615"/>
      <c r="CD128" s="615">
        <v>245</v>
      </c>
      <c r="CE128" s="615"/>
      <c r="CF128" s="615"/>
      <c r="CG128" s="615"/>
      <c r="CH128" s="635"/>
      <c r="CI128" s="636"/>
      <c r="CJ128" s="615"/>
      <c r="CK128" s="615"/>
      <c r="CL128" s="615"/>
      <c r="CM128" s="615"/>
      <c r="CN128" s="615"/>
      <c r="CO128" s="615"/>
      <c r="CP128" s="615"/>
      <c r="CQ128" s="615"/>
      <c r="CR128" s="615"/>
      <c r="CS128" s="615"/>
      <c r="CT128" s="635"/>
      <c r="CU128" s="636"/>
      <c r="CV128" s="615"/>
      <c r="CW128" s="615"/>
      <c r="CX128" s="615"/>
      <c r="CY128" s="615"/>
      <c r="CZ128" s="615"/>
      <c r="DA128" s="615"/>
      <c r="DB128" s="615"/>
      <c r="DC128" s="615"/>
      <c r="DD128" s="615"/>
      <c r="DE128" s="615"/>
      <c r="DF128" s="635"/>
      <c r="DG128" s="636"/>
      <c r="DH128" s="615"/>
      <c r="DI128" s="615"/>
      <c r="DJ128" s="615"/>
      <c r="DK128" s="615"/>
      <c r="DL128" s="615"/>
      <c r="DM128" s="615"/>
      <c r="DN128" s="615"/>
      <c r="DO128" s="615"/>
      <c r="DP128" s="615"/>
      <c r="DQ128" s="615"/>
      <c r="DR128" s="635"/>
      <c r="DS128" s="636"/>
      <c r="DT128" s="615"/>
      <c r="DU128" s="615"/>
      <c r="DV128" s="615"/>
      <c r="DW128" s="615"/>
      <c r="DX128" s="615"/>
      <c r="DY128" s="615"/>
      <c r="DZ128" s="615"/>
      <c r="EA128" s="615"/>
      <c r="EB128" s="615"/>
      <c r="EC128" s="615"/>
      <c r="ED128" s="637"/>
      <c r="EE128" s="692"/>
    </row>
    <row r="129" spans="1:135" x14ac:dyDescent="0.25">
      <c r="A129" s="640" t="s">
        <v>11</v>
      </c>
      <c r="B129" s="367" t="s">
        <v>1005</v>
      </c>
      <c r="C129" s="367" t="s">
        <v>475</v>
      </c>
      <c r="D129" s="367" t="s">
        <v>1006</v>
      </c>
      <c r="E129" s="503" t="s">
        <v>988</v>
      </c>
      <c r="F129" s="570">
        <v>44579</v>
      </c>
      <c r="G129" s="85" t="s">
        <v>58</v>
      </c>
      <c r="H129" s="85" t="s">
        <v>54</v>
      </c>
      <c r="I129" s="85" t="s">
        <v>358</v>
      </c>
      <c r="J129" s="675" t="s">
        <v>358</v>
      </c>
      <c r="K129" s="85" t="s">
        <v>358</v>
      </c>
      <c r="L129" s="85" t="s">
        <v>40</v>
      </c>
      <c r="M129" s="85" t="s">
        <v>3</v>
      </c>
      <c r="N129" s="668" t="s">
        <v>44</v>
      </c>
      <c r="O129" s="669"/>
      <c r="P129" s="615"/>
      <c r="Q129" s="615"/>
      <c r="R129" s="615"/>
      <c r="S129" s="615"/>
      <c r="T129" s="615"/>
      <c r="U129" s="615"/>
      <c r="V129" s="615"/>
      <c r="W129" s="615">
        <v>-15</v>
      </c>
      <c r="X129" s="615"/>
      <c r="Y129" s="615"/>
      <c r="Z129" s="635"/>
      <c r="AA129" s="636"/>
      <c r="AB129" s="615"/>
      <c r="AC129" s="615"/>
      <c r="AD129" s="615"/>
      <c r="AE129" s="615"/>
      <c r="AF129" s="615"/>
      <c r="AG129" s="615"/>
      <c r="AH129" s="615"/>
      <c r="AI129" s="615"/>
      <c r="AJ129" s="615"/>
      <c r="AK129" s="615"/>
      <c r="AL129" s="635"/>
      <c r="AM129" s="636"/>
      <c r="AN129" s="615"/>
      <c r="AO129" s="615"/>
      <c r="AP129" s="615"/>
      <c r="AQ129" s="615"/>
      <c r="AR129" s="615"/>
      <c r="AS129" s="615"/>
      <c r="AT129" s="615"/>
      <c r="AU129" s="615"/>
      <c r="AV129" s="615"/>
      <c r="AW129" s="615"/>
      <c r="AX129" s="635"/>
      <c r="AY129" s="636"/>
      <c r="AZ129" s="615"/>
      <c r="BA129" s="615"/>
      <c r="BB129" s="615"/>
      <c r="BC129" s="615"/>
      <c r="BD129" s="615"/>
      <c r="BE129" s="615"/>
      <c r="BF129" s="615"/>
      <c r="BG129" s="615"/>
      <c r="BH129" s="615"/>
      <c r="BI129" s="615"/>
      <c r="BJ129" s="635"/>
      <c r="BK129" s="636"/>
      <c r="BL129" s="615"/>
      <c r="BM129" s="615"/>
      <c r="BN129" s="615"/>
      <c r="BO129" s="615"/>
      <c r="BP129" s="615"/>
      <c r="BQ129" s="615"/>
      <c r="BR129" s="615"/>
      <c r="BS129" s="615"/>
      <c r="BT129" s="615"/>
      <c r="BU129" s="615"/>
      <c r="BV129" s="637"/>
      <c r="BW129" s="669"/>
      <c r="BX129" s="615"/>
      <c r="BY129" s="615"/>
      <c r="BZ129" s="615"/>
      <c r="CA129" s="615"/>
      <c r="CB129" s="615"/>
      <c r="CC129" s="615"/>
      <c r="CD129" s="615"/>
      <c r="CE129" s="615">
        <v>245</v>
      </c>
      <c r="CF129" s="615"/>
      <c r="CG129" s="615"/>
      <c r="CH129" s="635"/>
      <c r="CI129" s="636"/>
      <c r="CJ129" s="615"/>
      <c r="CK129" s="615"/>
      <c r="CL129" s="615"/>
      <c r="CM129" s="615"/>
      <c r="CN129" s="615"/>
      <c r="CO129" s="615"/>
      <c r="CP129" s="615"/>
      <c r="CQ129" s="615"/>
      <c r="CR129" s="615"/>
      <c r="CS129" s="615"/>
      <c r="CT129" s="635"/>
      <c r="CU129" s="636"/>
      <c r="CV129" s="615"/>
      <c r="CW129" s="615"/>
      <c r="CX129" s="615"/>
      <c r="CY129" s="615"/>
      <c r="CZ129" s="615"/>
      <c r="DA129" s="615"/>
      <c r="DB129" s="615"/>
      <c r="DC129" s="615"/>
      <c r="DD129" s="615"/>
      <c r="DE129" s="615"/>
      <c r="DF129" s="635"/>
      <c r="DG129" s="636"/>
      <c r="DH129" s="615"/>
      <c r="DI129" s="615"/>
      <c r="DJ129" s="615"/>
      <c r="DK129" s="615"/>
      <c r="DL129" s="615"/>
      <c r="DM129" s="615"/>
      <c r="DN129" s="615"/>
      <c r="DO129" s="615"/>
      <c r="DP129" s="615"/>
      <c r="DQ129" s="615"/>
      <c r="DR129" s="635"/>
      <c r="DS129" s="636"/>
      <c r="DT129" s="615"/>
      <c r="DU129" s="615"/>
      <c r="DV129" s="615"/>
      <c r="DW129" s="615"/>
      <c r="DX129" s="615"/>
      <c r="DY129" s="615"/>
      <c r="DZ129" s="615"/>
      <c r="EA129" s="615"/>
      <c r="EB129" s="615"/>
      <c r="EC129" s="615"/>
      <c r="ED129" s="637"/>
      <c r="EE129" s="692"/>
    </row>
    <row r="130" spans="1:135" x14ac:dyDescent="0.25">
      <c r="A130" s="640" t="s">
        <v>11</v>
      </c>
      <c r="B130" s="367" t="s">
        <v>1007</v>
      </c>
      <c r="C130" s="367" t="s">
        <v>353</v>
      </c>
      <c r="D130" s="367" t="s">
        <v>1008</v>
      </c>
      <c r="E130" s="503" t="s">
        <v>989</v>
      </c>
      <c r="F130" s="570">
        <v>44579</v>
      </c>
      <c r="G130" s="85" t="s">
        <v>58</v>
      </c>
      <c r="H130" s="85" t="s">
        <v>54</v>
      </c>
      <c r="I130" s="85" t="s">
        <v>358</v>
      </c>
      <c r="J130" s="675" t="s">
        <v>358</v>
      </c>
      <c r="K130" s="85" t="s">
        <v>358</v>
      </c>
      <c r="L130" s="85" t="s">
        <v>40</v>
      </c>
      <c r="M130" s="85" t="s">
        <v>3</v>
      </c>
      <c r="N130" s="668" t="s">
        <v>44</v>
      </c>
      <c r="O130" s="669"/>
      <c r="P130" s="615"/>
      <c r="Q130" s="615"/>
      <c r="R130" s="615"/>
      <c r="S130" s="615"/>
      <c r="T130" s="615"/>
      <c r="U130" s="615"/>
      <c r="V130" s="615"/>
      <c r="W130" s="615">
        <v>-5</v>
      </c>
      <c r="X130" s="615"/>
      <c r="Y130" s="615"/>
      <c r="Z130" s="635"/>
      <c r="AA130" s="636"/>
      <c r="AB130" s="615"/>
      <c r="AC130" s="615"/>
      <c r="AD130" s="615"/>
      <c r="AE130" s="615"/>
      <c r="AF130" s="615"/>
      <c r="AG130" s="615"/>
      <c r="AH130" s="615"/>
      <c r="AI130" s="615"/>
      <c r="AJ130" s="615"/>
      <c r="AK130" s="615"/>
      <c r="AL130" s="635"/>
      <c r="AM130" s="636"/>
      <c r="AN130" s="615"/>
      <c r="AO130" s="615"/>
      <c r="AP130" s="615"/>
      <c r="AQ130" s="615"/>
      <c r="AR130" s="615"/>
      <c r="AS130" s="615"/>
      <c r="AT130" s="615"/>
      <c r="AU130" s="615"/>
      <c r="AV130" s="615"/>
      <c r="AW130" s="615"/>
      <c r="AX130" s="635"/>
      <c r="AY130" s="636"/>
      <c r="AZ130" s="615"/>
      <c r="BA130" s="615"/>
      <c r="BB130" s="615"/>
      <c r="BC130" s="615"/>
      <c r="BD130" s="615"/>
      <c r="BE130" s="615"/>
      <c r="BF130" s="615"/>
      <c r="BG130" s="615"/>
      <c r="BH130" s="615"/>
      <c r="BI130" s="615"/>
      <c r="BJ130" s="635"/>
      <c r="BK130" s="636"/>
      <c r="BL130" s="615"/>
      <c r="BM130" s="615"/>
      <c r="BN130" s="615"/>
      <c r="BO130" s="615"/>
      <c r="BP130" s="615"/>
      <c r="BQ130" s="615"/>
      <c r="BR130" s="615"/>
      <c r="BS130" s="615"/>
      <c r="BT130" s="615"/>
      <c r="BU130" s="615"/>
      <c r="BV130" s="637"/>
      <c r="BW130" s="669"/>
      <c r="BX130" s="615"/>
      <c r="BY130" s="615"/>
      <c r="BZ130" s="615"/>
      <c r="CA130" s="615"/>
      <c r="CB130" s="615"/>
      <c r="CC130" s="615"/>
      <c r="CD130" s="615"/>
      <c r="CE130" s="615">
        <v>244</v>
      </c>
      <c r="CF130" s="615"/>
      <c r="CG130" s="615"/>
      <c r="CH130" s="635"/>
      <c r="CI130" s="636"/>
      <c r="CJ130" s="615"/>
      <c r="CK130" s="615"/>
      <c r="CL130" s="615"/>
      <c r="CM130" s="615"/>
      <c r="CN130" s="615"/>
      <c r="CO130" s="615"/>
      <c r="CP130" s="615"/>
      <c r="CQ130" s="615"/>
      <c r="CR130" s="615"/>
      <c r="CS130" s="615"/>
      <c r="CT130" s="635"/>
      <c r="CU130" s="636"/>
      <c r="CV130" s="615"/>
      <c r="CW130" s="615"/>
      <c r="CX130" s="615"/>
      <c r="CY130" s="615"/>
      <c r="CZ130" s="615"/>
      <c r="DA130" s="615"/>
      <c r="DB130" s="615"/>
      <c r="DC130" s="615"/>
      <c r="DD130" s="615"/>
      <c r="DE130" s="615"/>
      <c r="DF130" s="635"/>
      <c r="DG130" s="636"/>
      <c r="DH130" s="615"/>
      <c r="DI130" s="615"/>
      <c r="DJ130" s="615"/>
      <c r="DK130" s="615"/>
      <c r="DL130" s="615"/>
      <c r="DM130" s="615"/>
      <c r="DN130" s="615"/>
      <c r="DO130" s="615"/>
      <c r="DP130" s="615"/>
      <c r="DQ130" s="615"/>
      <c r="DR130" s="635"/>
      <c r="DS130" s="636"/>
      <c r="DT130" s="615"/>
      <c r="DU130" s="615"/>
      <c r="DV130" s="615"/>
      <c r="DW130" s="615"/>
      <c r="DX130" s="615"/>
      <c r="DY130" s="615"/>
      <c r="DZ130" s="615"/>
      <c r="EA130" s="615"/>
      <c r="EB130" s="615"/>
      <c r="EC130" s="615"/>
      <c r="ED130" s="637"/>
      <c r="EE130" s="692"/>
    </row>
    <row r="131" spans="1:135" x14ac:dyDescent="0.25">
      <c r="A131" s="640" t="s">
        <v>11</v>
      </c>
      <c r="B131" s="367" t="s">
        <v>1009</v>
      </c>
      <c r="C131" s="367" t="s">
        <v>1000</v>
      </c>
      <c r="D131" s="367" t="s">
        <v>1010</v>
      </c>
      <c r="E131" s="503" t="s">
        <v>990</v>
      </c>
      <c r="F131" s="570">
        <v>44579</v>
      </c>
      <c r="G131" s="85" t="s">
        <v>59</v>
      </c>
      <c r="H131" s="85" t="s">
        <v>54</v>
      </c>
      <c r="I131" s="85" t="s">
        <v>358</v>
      </c>
      <c r="J131" s="675" t="s">
        <v>358</v>
      </c>
      <c r="K131" s="85" t="s">
        <v>358</v>
      </c>
      <c r="L131" s="85" t="s">
        <v>40</v>
      </c>
      <c r="M131" s="85" t="s">
        <v>3</v>
      </c>
      <c r="N131" s="668" t="s">
        <v>44</v>
      </c>
      <c r="O131" s="669"/>
      <c r="P131" s="615"/>
      <c r="Q131" s="615">
        <v>3</v>
      </c>
      <c r="R131" s="615"/>
      <c r="S131" s="615"/>
      <c r="T131" s="615"/>
      <c r="U131" s="615"/>
      <c r="V131" s="615"/>
      <c r="W131" s="615"/>
      <c r="X131" s="615"/>
      <c r="Y131" s="615"/>
      <c r="Z131" s="635"/>
      <c r="AA131" s="636"/>
      <c r="AB131" s="615"/>
      <c r="AC131" s="615"/>
      <c r="AD131" s="615"/>
      <c r="AE131" s="615"/>
      <c r="AF131" s="615"/>
      <c r="AG131" s="615"/>
      <c r="AH131" s="615"/>
      <c r="AI131" s="615"/>
      <c r="AJ131" s="615"/>
      <c r="AK131" s="615"/>
      <c r="AL131" s="635"/>
      <c r="AM131" s="636"/>
      <c r="AN131" s="615"/>
      <c r="AO131" s="615"/>
      <c r="AP131" s="615"/>
      <c r="AQ131" s="615"/>
      <c r="AR131" s="615"/>
      <c r="AS131" s="615"/>
      <c r="AT131" s="615"/>
      <c r="AU131" s="615"/>
      <c r="AV131" s="615"/>
      <c r="AW131" s="615"/>
      <c r="AX131" s="635"/>
      <c r="AY131" s="636"/>
      <c r="AZ131" s="615"/>
      <c r="BA131" s="615"/>
      <c r="BB131" s="615"/>
      <c r="BC131" s="615"/>
      <c r="BD131" s="615"/>
      <c r="BE131" s="615"/>
      <c r="BF131" s="615"/>
      <c r="BG131" s="615"/>
      <c r="BH131" s="615"/>
      <c r="BI131" s="615"/>
      <c r="BJ131" s="635"/>
      <c r="BK131" s="636"/>
      <c r="BL131" s="615"/>
      <c r="BM131" s="615"/>
      <c r="BN131" s="615"/>
      <c r="BO131" s="615"/>
      <c r="BP131" s="615"/>
      <c r="BQ131" s="615"/>
      <c r="BR131" s="615"/>
      <c r="BS131" s="615"/>
      <c r="BT131" s="615"/>
      <c r="BU131" s="615"/>
      <c r="BV131" s="637"/>
      <c r="BW131" s="669"/>
      <c r="BX131" s="615"/>
      <c r="BY131" s="615">
        <v>133</v>
      </c>
      <c r="BZ131" s="615"/>
      <c r="CA131" s="615"/>
      <c r="CB131" s="615"/>
      <c r="CC131" s="615"/>
      <c r="CD131" s="615"/>
      <c r="CE131" s="615"/>
      <c r="CF131" s="615"/>
      <c r="CG131" s="615"/>
      <c r="CH131" s="635"/>
      <c r="CI131" s="636"/>
      <c r="CJ131" s="615"/>
      <c r="CK131" s="615"/>
      <c r="CL131" s="615"/>
      <c r="CM131" s="615"/>
      <c r="CN131" s="615"/>
      <c r="CO131" s="615"/>
      <c r="CP131" s="615"/>
      <c r="CQ131" s="615"/>
      <c r="CR131" s="615"/>
      <c r="CS131" s="615"/>
      <c r="CT131" s="635"/>
      <c r="CU131" s="636"/>
      <c r="CV131" s="615"/>
      <c r="CW131" s="615"/>
      <c r="CX131" s="615"/>
      <c r="CY131" s="615"/>
      <c r="CZ131" s="615"/>
      <c r="DA131" s="615"/>
      <c r="DB131" s="615"/>
      <c r="DC131" s="615"/>
      <c r="DD131" s="615"/>
      <c r="DE131" s="615"/>
      <c r="DF131" s="635"/>
      <c r="DG131" s="636"/>
      <c r="DH131" s="615"/>
      <c r="DI131" s="615"/>
      <c r="DJ131" s="615"/>
      <c r="DK131" s="615"/>
      <c r="DL131" s="615"/>
      <c r="DM131" s="615"/>
      <c r="DN131" s="615"/>
      <c r="DO131" s="615"/>
      <c r="DP131" s="615"/>
      <c r="DQ131" s="615"/>
      <c r="DR131" s="635"/>
      <c r="DS131" s="636"/>
      <c r="DT131" s="615"/>
      <c r="DU131" s="615"/>
      <c r="DV131" s="615"/>
      <c r="DW131" s="615"/>
      <c r="DX131" s="615"/>
      <c r="DY131" s="615"/>
      <c r="DZ131" s="615"/>
      <c r="EA131" s="615"/>
      <c r="EB131" s="615"/>
      <c r="EC131" s="615"/>
      <c r="ED131" s="637"/>
      <c r="EE131" s="692"/>
    </row>
    <row r="132" spans="1:135" x14ac:dyDescent="0.25">
      <c r="A132" s="640" t="s">
        <v>11</v>
      </c>
      <c r="B132" s="367" t="s">
        <v>1011</v>
      </c>
      <c r="C132" s="367" t="s">
        <v>353</v>
      </c>
      <c r="D132" s="367" t="s">
        <v>1012</v>
      </c>
      <c r="E132" s="503" t="s">
        <v>991</v>
      </c>
      <c r="F132" s="570">
        <v>44579</v>
      </c>
      <c r="G132" s="85" t="s">
        <v>58</v>
      </c>
      <c r="H132" s="85" t="s">
        <v>54</v>
      </c>
      <c r="I132" s="85" t="s">
        <v>358</v>
      </c>
      <c r="J132" s="675" t="s">
        <v>358</v>
      </c>
      <c r="K132" s="85" t="s">
        <v>358</v>
      </c>
      <c r="L132" s="85" t="s">
        <v>40</v>
      </c>
      <c r="M132" s="85" t="s">
        <v>3</v>
      </c>
      <c r="N132" s="668" t="s">
        <v>44</v>
      </c>
      <c r="O132" s="669"/>
      <c r="P132" s="615"/>
      <c r="Q132" s="615"/>
      <c r="R132" s="615"/>
      <c r="S132" s="615"/>
      <c r="T132" s="615"/>
      <c r="U132" s="615"/>
      <c r="V132" s="615">
        <v>-5</v>
      </c>
      <c r="W132" s="615"/>
      <c r="X132" s="615"/>
      <c r="Y132" s="615"/>
      <c r="Z132" s="635"/>
      <c r="AA132" s="636"/>
      <c r="AB132" s="615"/>
      <c r="AC132" s="615"/>
      <c r="AD132" s="615"/>
      <c r="AE132" s="615"/>
      <c r="AF132" s="615"/>
      <c r="AG132" s="615"/>
      <c r="AH132" s="615"/>
      <c r="AI132" s="615"/>
      <c r="AJ132" s="615"/>
      <c r="AK132" s="615"/>
      <c r="AL132" s="635"/>
      <c r="AM132" s="636"/>
      <c r="AN132" s="615"/>
      <c r="AO132" s="615"/>
      <c r="AP132" s="615"/>
      <c r="AQ132" s="615"/>
      <c r="AR132" s="615"/>
      <c r="AS132" s="615"/>
      <c r="AT132" s="615"/>
      <c r="AU132" s="615"/>
      <c r="AV132" s="615"/>
      <c r="AW132" s="615"/>
      <c r="AX132" s="635"/>
      <c r="AY132" s="636"/>
      <c r="AZ132" s="615"/>
      <c r="BA132" s="615"/>
      <c r="BB132" s="615"/>
      <c r="BC132" s="615"/>
      <c r="BD132" s="615"/>
      <c r="BE132" s="615"/>
      <c r="BF132" s="615"/>
      <c r="BG132" s="615"/>
      <c r="BH132" s="615"/>
      <c r="BI132" s="615"/>
      <c r="BJ132" s="635"/>
      <c r="BK132" s="636"/>
      <c r="BL132" s="615"/>
      <c r="BM132" s="615"/>
      <c r="BN132" s="615"/>
      <c r="BO132" s="615"/>
      <c r="BP132" s="615"/>
      <c r="BQ132" s="615"/>
      <c r="BR132" s="615"/>
      <c r="BS132" s="615"/>
      <c r="BT132" s="615"/>
      <c r="BU132" s="615"/>
      <c r="BV132" s="637"/>
      <c r="BW132" s="669"/>
      <c r="BX132" s="615"/>
      <c r="BY132" s="615"/>
      <c r="BZ132" s="615"/>
      <c r="CA132" s="615"/>
      <c r="CB132" s="615"/>
      <c r="CC132" s="615"/>
      <c r="CD132" s="615">
        <v>244</v>
      </c>
      <c r="CE132" s="615"/>
      <c r="CF132" s="615"/>
      <c r="CG132" s="615"/>
      <c r="CH132" s="635"/>
      <c r="CI132" s="636"/>
      <c r="CJ132" s="615"/>
      <c r="CK132" s="615"/>
      <c r="CL132" s="615"/>
      <c r="CM132" s="615"/>
      <c r="CN132" s="615"/>
      <c r="CO132" s="615"/>
      <c r="CP132" s="615"/>
      <c r="CQ132" s="615"/>
      <c r="CR132" s="615"/>
      <c r="CS132" s="615"/>
      <c r="CT132" s="635"/>
      <c r="CU132" s="636"/>
      <c r="CV132" s="615"/>
      <c r="CW132" s="615"/>
      <c r="CX132" s="615"/>
      <c r="CY132" s="615"/>
      <c r="CZ132" s="615"/>
      <c r="DA132" s="615"/>
      <c r="DB132" s="615"/>
      <c r="DC132" s="615"/>
      <c r="DD132" s="615"/>
      <c r="DE132" s="615"/>
      <c r="DF132" s="635"/>
      <c r="DG132" s="636"/>
      <c r="DH132" s="615"/>
      <c r="DI132" s="615"/>
      <c r="DJ132" s="615"/>
      <c r="DK132" s="615"/>
      <c r="DL132" s="615"/>
      <c r="DM132" s="615"/>
      <c r="DN132" s="615"/>
      <c r="DO132" s="615"/>
      <c r="DP132" s="615"/>
      <c r="DQ132" s="615"/>
      <c r="DR132" s="635"/>
      <c r="DS132" s="636"/>
      <c r="DT132" s="615"/>
      <c r="DU132" s="615"/>
      <c r="DV132" s="615"/>
      <c r="DW132" s="615"/>
      <c r="DX132" s="615"/>
      <c r="DY132" s="615"/>
      <c r="DZ132" s="615"/>
      <c r="EA132" s="615"/>
      <c r="EB132" s="615"/>
      <c r="EC132" s="615"/>
      <c r="ED132" s="637"/>
      <c r="EE132" s="692"/>
    </row>
    <row r="133" spans="1:135" x14ac:dyDescent="0.25">
      <c r="A133" s="640" t="s">
        <v>11</v>
      </c>
      <c r="B133" s="367" t="s">
        <v>1013</v>
      </c>
      <c r="C133" s="367" t="s">
        <v>353</v>
      </c>
      <c r="D133" s="367" t="s">
        <v>1014</v>
      </c>
      <c r="E133" s="503" t="s">
        <v>992</v>
      </c>
      <c r="F133" s="570">
        <v>44579</v>
      </c>
      <c r="G133" s="85" t="s">
        <v>59</v>
      </c>
      <c r="H133" s="85" t="s">
        <v>54</v>
      </c>
      <c r="I133" s="85" t="s">
        <v>358</v>
      </c>
      <c r="J133" s="675" t="s">
        <v>358</v>
      </c>
      <c r="K133" s="85" t="s">
        <v>358</v>
      </c>
      <c r="L133" s="85" t="s">
        <v>40</v>
      </c>
      <c r="M133" s="85" t="s">
        <v>3</v>
      </c>
      <c r="N133" s="668" t="s">
        <v>44</v>
      </c>
      <c r="O133" s="669"/>
      <c r="P133" s="615"/>
      <c r="Q133" s="615"/>
      <c r="R133" s="615"/>
      <c r="S133" s="615">
        <v>5</v>
      </c>
      <c r="T133" s="615"/>
      <c r="U133" s="615"/>
      <c r="V133" s="615"/>
      <c r="W133" s="615"/>
      <c r="X133" s="615"/>
      <c r="Y133" s="615"/>
      <c r="Z133" s="635"/>
      <c r="AA133" s="636"/>
      <c r="AB133" s="615"/>
      <c r="AC133" s="615"/>
      <c r="AD133" s="615"/>
      <c r="AE133" s="615"/>
      <c r="AF133" s="615"/>
      <c r="AG133" s="615"/>
      <c r="AH133" s="615"/>
      <c r="AI133" s="615"/>
      <c r="AJ133" s="615"/>
      <c r="AK133" s="615"/>
      <c r="AL133" s="635"/>
      <c r="AM133" s="636"/>
      <c r="AN133" s="615"/>
      <c r="AO133" s="615"/>
      <c r="AP133" s="615"/>
      <c r="AQ133" s="615"/>
      <c r="AR133" s="615"/>
      <c r="AS133" s="615"/>
      <c r="AT133" s="615"/>
      <c r="AU133" s="615"/>
      <c r="AV133" s="615"/>
      <c r="AW133" s="615"/>
      <c r="AX133" s="635"/>
      <c r="AY133" s="636"/>
      <c r="AZ133" s="615"/>
      <c r="BA133" s="615"/>
      <c r="BB133" s="615"/>
      <c r="BC133" s="615"/>
      <c r="BD133" s="615"/>
      <c r="BE133" s="615"/>
      <c r="BF133" s="615"/>
      <c r="BG133" s="615"/>
      <c r="BH133" s="615"/>
      <c r="BI133" s="615"/>
      <c r="BJ133" s="635"/>
      <c r="BK133" s="636"/>
      <c r="BL133" s="615"/>
      <c r="BM133" s="615"/>
      <c r="BN133" s="615"/>
      <c r="BO133" s="615"/>
      <c r="BP133" s="615"/>
      <c r="BQ133" s="615"/>
      <c r="BR133" s="615"/>
      <c r="BS133" s="615"/>
      <c r="BT133" s="615"/>
      <c r="BU133" s="615"/>
      <c r="BV133" s="637"/>
      <c r="BW133" s="669"/>
      <c r="BX133" s="615"/>
      <c r="BY133" s="615"/>
      <c r="BZ133" s="615"/>
      <c r="CA133" s="615">
        <v>145</v>
      </c>
      <c r="CB133" s="615"/>
      <c r="CC133" s="615"/>
      <c r="CD133" s="615"/>
      <c r="CE133" s="615"/>
      <c r="CF133" s="615"/>
      <c r="CG133" s="615"/>
      <c r="CH133" s="635"/>
      <c r="CI133" s="636"/>
      <c r="CJ133" s="615"/>
      <c r="CK133" s="615"/>
      <c r="CL133" s="615"/>
      <c r="CM133" s="615"/>
      <c r="CN133" s="615"/>
      <c r="CO133" s="615"/>
      <c r="CP133" s="615"/>
      <c r="CQ133" s="615"/>
      <c r="CR133" s="615"/>
      <c r="CS133" s="615"/>
      <c r="CT133" s="635"/>
      <c r="CU133" s="636"/>
      <c r="CV133" s="615"/>
      <c r="CW133" s="615"/>
      <c r="CX133" s="615"/>
      <c r="CY133" s="615"/>
      <c r="CZ133" s="615"/>
      <c r="DA133" s="615"/>
      <c r="DB133" s="615"/>
      <c r="DC133" s="615"/>
      <c r="DD133" s="615"/>
      <c r="DE133" s="615"/>
      <c r="DF133" s="635"/>
      <c r="DG133" s="636"/>
      <c r="DH133" s="615"/>
      <c r="DI133" s="615"/>
      <c r="DJ133" s="615"/>
      <c r="DK133" s="615"/>
      <c r="DL133" s="615"/>
      <c r="DM133" s="615"/>
      <c r="DN133" s="615"/>
      <c r="DO133" s="615"/>
      <c r="DP133" s="615"/>
      <c r="DQ133" s="615"/>
      <c r="DR133" s="635"/>
      <c r="DS133" s="636"/>
      <c r="DT133" s="615"/>
      <c r="DU133" s="615"/>
      <c r="DV133" s="615"/>
      <c r="DW133" s="615"/>
      <c r="DX133" s="615"/>
      <c r="DY133" s="615"/>
      <c r="DZ133" s="615"/>
      <c r="EA133" s="615"/>
      <c r="EB133" s="615"/>
      <c r="EC133" s="615"/>
      <c r="ED133" s="637"/>
      <c r="EE133" s="692"/>
    </row>
    <row r="134" spans="1:135" x14ac:dyDescent="0.25">
      <c r="A134" s="640" t="s">
        <v>11</v>
      </c>
      <c r="B134" s="367" t="s">
        <v>1015</v>
      </c>
      <c r="C134" s="367" t="s">
        <v>353</v>
      </c>
      <c r="D134" s="367" t="s">
        <v>1016</v>
      </c>
      <c r="E134" s="503" t="s">
        <v>993</v>
      </c>
      <c r="F134" s="570">
        <v>44579</v>
      </c>
      <c r="G134" s="85" t="s">
        <v>59</v>
      </c>
      <c r="H134" s="85" t="s">
        <v>54</v>
      </c>
      <c r="I134" s="85" t="s">
        <v>358</v>
      </c>
      <c r="J134" s="675" t="s">
        <v>358</v>
      </c>
      <c r="K134" s="85" t="s">
        <v>358</v>
      </c>
      <c r="L134" s="85" t="s">
        <v>40</v>
      </c>
      <c r="M134" s="85" t="s">
        <v>3</v>
      </c>
      <c r="N134" s="668" t="s">
        <v>44</v>
      </c>
      <c r="O134" s="669"/>
      <c r="P134" s="615"/>
      <c r="Q134" s="615"/>
      <c r="R134" s="615">
        <v>5</v>
      </c>
      <c r="S134" s="615"/>
      <c r="T134" s="615"/>
      <c r="U134" s="615"/>
      <c r="V134" s="615"/>
      <c r="W134" s="615"/>
      <c r="X134" s="615"/>
      <c r="Y134" s="615"/>
      <c r="Z134" s="635"/>
      <c r="AA134" s="636"/>
      <c r="AB134" s="615"/>
      <c r="AC134" s="615"/>
      <c r="AD134" s="615"/>
      <c r="AE134" s="615"/>
      <c r="AF134" s="615"/>
      <c r="AG134" s="615"/>
      <c r="AH134" s="615"/>
      <c r="AI134" s="615"/>
      <c r="AJ134" s="615"/>
      <c r="AK134" s="615"/>
      <c r="AL134" s="635"/>
      <c r="AM134" s="636"/>
      <c r="AN134" s="615"/>
      <c r="AO134" s="615"/>
      <c r="AP134" s="615"/>
      <c r="AQ134" s="615"/>
      <c r="AR134" s="615"/>
      <c r="AS134" s="615"/>
      <c r="AT134" s="615"/>
      <c r="AU134" s="615"/>
      <c r="AV134" s="615"/>
      <c r="AW134" s="615"/>
      <c r="AX134" s="635"/>
      <c r="AY134" s="636"/>
      <c r="AZ134" s="615"/>
      <c r="BA134" s="615"/>
      <c r="BB134" s="615"/>
      <c r="BC134" s="615"/>
      <c r="BD134" s="615"/>
      <c r="BE134" s="615"/>
      <c r="BF134" s="615"/>
      <c r="BG134" s="615"/>
      <c r="BH134" s="615"/>
      <c r="BI134" s="615"/>
      <c r="BJ134" s="635"/>
      <c r="BK134" s="636"/>
      <c r="BL134" s="615"/>
      <c r="BM134" s="615"/>
      <c r="BN134" s="615"/>
      <c r="BO134" s="615"/>
      <c r="BP134" s="615"/>
      <c r="BQ134" s="615"/>
      <c r="BR134" s="615"/>
      <c r="BS134" s="615"/>
      <c r="BT134" s="615"/>
      <c r="BU134" s="615"/>
      <c r="BV134" s="637"/>
      <c r="BW134" s="669"/>
      <c r="BX134" s="615"/>
      <c r="BY134" s="615"/>
      <c r="BZ134" s="615">
        <v>132</v>
      </c>
      <c r="CA134" s="615"/>
      <c r="CB134" s="615"/>
      <c r="CC134" s="615"/>
      <c r="CD134" s="615"/>
      <c r="CE134" s="615"/>
      <c r="CF134" s="615"/>
      <c r="CG134" s="615"/>
      <c r="CH134" s="635"/>
      <c r="CI134" s="636"/>
      <c r="CJ134" s="615"/>
      <c r="CK134" s="615"/>
      <c r="CL134" s="615"/>
      <c r="CM134" s="615"/>
      <c r="CN134" s="615"/>
      <c r="CO134" s="615"/>
      <c r="CP134" s="615"/>
      <c r="CQ134" s="615"/>
      <c r="CR134" s="615"/>
      <c r="CS134" s="615"/>
      <c r="CT134" s="635"/>
      <c r="CU134" s="636"/>
      <c r="CV134" s="615"/>
      <c r="CW134" s="615"/>
      <c r="CX134" s="615"/>
      <c r="CY134" s="615"/>
      <c r="CZ134" s="615"/>
      <c r="DA134" s="615"/>
      <c r="DB134" s="615"/>
      <c r="DC134" s="615"/>
      <c r="DD134" s="615"/>
      <c r="DE134" s="615"/>
      <c r="DF134" s="635"/>
      <c r="DG134" s="636"/>
      <c r="DH134" s="615"/>
      <c r="DI134" s="615"/>
      <c r="DJ134" s="615"/>
      <c r="DK134" s="615"/>
      <c r="DL134" s="615"/>
      <c r="DM134" s="615"/>
      <c r="DN134" s="615"/>
      <c r="DO134" s="615"/>
      <c r="DP134" s="615"/>
      <c r="DQ134" s="615"/>
      <c r="DR134" s="635"/>
      <c r="DS134" s="636"/>
      <c r="DT134" s="615"/>
      <c r="DU134" s="615"/>
      <c r="DV134" s="615"/>
      <c r="DW134" s="615"/>
      <c r="DX134" s="615"/>
      <c r="DY134" s="615"/>
      <c r="DZ134" s="615"/>
      <c r="EA134" s="615"/>
      <c r="EB134" s="615"/>
      <c r="EC134" s="615"/>
      <c r="ED134" s="637"/>
      <c r="EE134" s="692"/>
    </row>
    <row r="135" spans="1:135" x14ac:dyDescent="0.25">
      <c r="A135" s="640" t="s">
        <v>11</v>
      </c>
      <c r="B135" s="367" t="s">
        <v>1017</v>
      </c>
      <c r="C135" s="367" t="s">
        <v>620</v>
      </c>
      <c r="D135" s="367" t="s">
        <v>1018</v>
      </c>
      <c r="E135" s="503" t="s">
        <v>994</v>
      </c>
      <c r="F135" s="570">
        <v>44579</v>
      </c>
      <c r="G135" s="85" t="s">
        <v>58</v>
      </c>
      <c r="H135" s="85" t="s">
        <v>54</v>
      </c>
      <c r="I135" s="85" t="s">
        <v>358</v>
      </c>
      <c r="J135" s="675" t="s">
        <v>358</v>
      </c>
      <c r="K135" s="85" t="s">
        <v>358</v>
      </c>
      <c r="L135" s="85" t="s">
        <v>40</v>
      </c>
      <c r="M135" s="85" t="s">
        <v>3</v>
      </c>
      <c r="N135" s="668" t="s">
        <v>44</v>
      </c>
      <c r="O135" s="669"/>
      <c r="P135" s="615"/>
      <c r="Q135" s="615"/>
      <c r="R135" s="615"/>
      <c r="S135" s="615"/>
      <c r="T135" s="615"/>
      <c r="U135" s="615"/>
      <c r="V135" s="615">
        <v>-8</v>
      </c>
      <c r="W135" s="615"/>
      <c r="X135" s="615"/>
      <c r="Y135" s="615"/>
      <c r="Z135" s="635"/>
      <c r="AA135" s="636"/>
      <c r="AB135" s="615"/>
      <c r="AC135" s="615"/>
      <c r="AD135" s="615"/>
      <c r="AE135" s="615"/>
      <c r="AF135" s="615"/>
      <c r="AG135" s="615"/>
      <c r="AH135" s="615"/>
      <c r="AI135" s="615"/>
      <c r="AJ135" s="615"/>
      <c r="AK135" s="615"/>
      <c r="AL135" s="635"/>
      <c r="AM135" s="636"/>
      <c r="AN135" s="615"/>
      <c r="AO135" s="615"/>
      <c r="AP135" s="615"/>
      <c r="AQ135" s="615"/>
      <c r="AR135" s="615"/>
      <c r="AS135" s="615"/>
      <c r="AT135" s="615"/>
      <c r="AU135" s="615"/>
      <c r="AV135" s="615"/>
      <c r="AW135" s="615"/>
      <c r="AX135" s="635"/>
      <c r="AY135" s="636"/>
      <c r="AZ135" s="615"/>
      <c r="BA135" s="615"/>
      <c r="BB135" s="615"/>
      <c r="BC135" s="615"/>
      <c r="BD135" s="615"/>
      <c r="BE135" s="615"/>
      <c r="BF135" s="615"/>
      <c r="BG135" s="615"/>
      <c r="BH135" s="615"/>
      <c r="BI135" s="615"/>
      <c r="BJ135" s="635"/>
      <c r="BK135" s="636"/>
      <c r="BL135" s="615"/>
      <c r="BM135" s="615"/>
      <c r="BN135" s="615"/>
      <c r="BO135" s="615"/>
      <c r="BP135" s="615"/>
      <c r="BQ135" s="615"/>
      <c r="BR135" s="615"/>
      <c r="BS135" s="615"/>
      <c r="BT135" s="615"/>
      <c r="BU135" s="615"/>
      <c r="BV135" s="637"/>
      <c r="BW135" s="669"/>
      <c r="BX135" s="615"/>
      <c r="BY135" s="615"/>
      <c r="BZ135" s="615"/>
      <c r="CA135" s="615"/>
      <c r="CB135" s="615"/>
      <c r="CC135" s="615"/>
      <c r="CD135" s="615">
        <v>242</v>
      </c>
      <c r="CE135" s="615"/>
      <c r="CF135" s="615"/>
      <c r="CG135" s="615"/>
      <c r="CH135" s="635"/>
      <c r="CI135" s="636"/>
      <c r="CJ135" s="615"/>
      <c r="CK135" s="615"/>
      <c r="CL135" s="615"/>
      <c r="CM135" s="615"/>
      <c r="CN135" s="615"/>
      <c r="CO135" s="615"/>
      <c r="CP135" s="615"/>
      <c r="CQ135" s="615"/>
      <c r="CR135" s="615"/>
      <c r="CS135" s="615"/>
      <c r="CT135" s="635"/>
      <c r="CU135" s="636"/>
      <c r="CV135" s="615"/>
      <c r="CW135" s="615"/>
      <c r="CX135" s="615"/>
      <c r="CY135" s="615"/>
      <c r="CZ135" s="615"/>
      <c r="DA135" s="615"/>
      <c r="DB135" s="615"/>
      <c r="DC135" s="615"/>
      <c r="DD135" s="615"/>
      <c r="DE135" s="615"/>
      <c r="DF135" s="635"/>
      <c r="DG135" s="636"/>
      <c r="DH135" s="615"/>
      <c r="DI135" s="615"/>
      <c r="DJ135" s="615"/>
      <c r="DK135" s="615"/>
      <c r="DL135" s="615"/>
      <c r="DM135" s="615"/>
      <c r="DN135" s="615"/>
      <c r="DO135" s="615"/>
      <c r="DP135" s="615"/>
      <c r="DQ135" s="615"/>
      <c r="DR135" s="635"/>
      <c r="DS135" s="636"/>
      <c r="DT135" s="615"/>
      <c r="DU135" s="615"/>
      <c r="DV135" s="615"/>
      <c r="DW135" s="615"/>
      <c r="DX135" s="615"/>
      <c r="DY135" s="615"/>
      <c r="DZ135" s="615"/>
      <c r="EA135" s="615"/>
      <c r="EB135" s="615"/>
      <c r="EC135" s="615"/>
      <c r="ED135" s="637"/>
      <c r="EE135" s="692"/>
    </row>
    <row r="136" spans="1:135" x14ac:dyDescent="0.25">
      <c r="A136" s="640" t="s">
        <v>11</v>
      </c>
      <c r="B136" s="367" t="s">
        <v>1019</v>
      </c>
      <c r="C136" s="367" t="s">
        <v>620</v>
      </c>
      <c r="D136" s="367" t="s">
        <v>1020</v>
      </c>
      <c r="E136" s="503" t="s">
        <v>995</v>
      </c>
      <c r="F136" s="570">
        <v>44579</v>
      </c>
      <c r="G136" s="85" t="s">
        <v>58</v>
      </c>
      <c r="H136" s="85" t="s">
        <v>54</v>
      </c>
      <c r="I136" s="85" t="s">
        <v>358</v>
      </c>
      <c r="J136" s="675" t="s">
        <v>358</v>
      </c>
      <c r="K136" s="85" t="s">
        <v>358</v>
      </c>
      <c r="L136" s="85" t="s">
        <v>40</v>
      </c>
      <c r="M136" s="85" t="s">
        <v>3</v>
      </c>
      <c r="N136" s="668" t="s">
        <v>44</v>
      </c>
      <c r="O136" s="669"/>
      <c r="P136" s="615"/>
      <c r="Q136" s="615"/>
      <c r="R136" s="615"/>
      <c r="S136" s="615"/>
      <c r="T136" s="615"/>
      <c r="U136" s="615"/>
      <c r="V136" s="615"/>
      <c r="W136" s="615">
        <v>-8.266667</v>
      </c>
      <c r="X136" s="615"/>
      <c r="Y136" s="615"/>
      <c r="Z136" s="635"/>
      <c r="AA136" s="636"/>
      <c r="AB136" s="615"/>
      <c r="AC136" s="615"/>
      <c r="AD136" s="615"/>
      <c r="AE136" s="615"/>
      <c r="AF136" s="615"/>
      <c r="AG136" s="615"/>
      <c r="AH136" s="615"/>
      <c r="AI136" s="615"/>
      <c r="AJ136" s="615"/>
      <c r="AK136" s="615"/>
      <c r="AL136" s="635"/>
      <c r="AM136" s="636"/>
      <c r="AN136" s="615"/>
      <c r="AO136" s="615"/>
      <c r="AP136" s="615"/>
      <c r="AQ136" s="615"/>
      <c r="AR136" s="615"/>
      <c r="AS136" s="615"/>
      <c r="AT136" s="615"/>
      <c r="AU136" s="615"/>
      <c r="AV136" s="615"/>
      <c r="AW136" s="615"/>
      <c r="AX136" s="635"/>
      <c r="AY136" s="636"/>
      <c r="AZ136" s="615"/>
      <c r="BA136" s="615"/>
      <c r="BB136" s="615"/>
      <c r="BC136" s="615"/>
      <c r="BD136" s="615"/>
      <c r="BE136" s="615"/>
      <c r="BF136" s="615"/>
      <c r="BG136" s="615"/>
      <c r="BH136" s="615"/>
      <c r="BI136" s="615"/>
      <c r="BJ136" s="635"/>
      <c r="BK136" s="636"/>
      <c r="BL136" s="615"/>
      <c r="BM136" s="615"/>
      <c r="BN136" s="615"/>
      <c r="BO136" s="615"/>
      <c r="BP136" s="615"/>
      <c r="BQ136" s="615"/>
      <c r="BR136" s="615"/>
      <c r="BS136" s="615"/>
      <c r="BT136" s="615"/>
      <c r="BU136" s="615"/>
      <c r="BV136" s="637"/>
      <c r="BW136" s="669"/>
      <c r="BX136" s="615"/>
      <c r="BY136" s="615"/>
      <c r="BZ136" s="615"/>
      <c r="CA136" s="615"/>
      <c r="CB136" s="615"/>
      <c r="CC136" s="615"/>
      <c r="CD136" s="615"/>
      <c r="CE136" s="615">
        <v>242</v>
      </c>
      <c r="CF136" s="615"/>
      <c r="CG136" s="615"/>
      <c r="CH136" s="635"/>
      <c r="CI136" s="636"/>
      <c r="CJ136" s="615"/>
      <c r="CK136" s="615"/>
      <c r="CL136" s="615"/>
      <c r="CM136" s="615"/>
      <c r="CN136" s="615"/>
      <c r="CO136" s="615"/>
      <c r="CP136" s="615"/>
      <c r="CQ136" s="615"/>
      <c r="CR136" s="615"/>
      <c r="CS136" s="615"/>
      <c r="CT136" s="635"/>
      <c r="CU136" s="636"/>
      <c r="CV136" s="615"/>
      <c r="CW136" s="615"/>
      <c r="CX136" s="615"/>
      <c r="CY136" s="615"/>
      <c r="CZ136" s="615"/>
      <c r="DA136" s="615"/>
      <c r="DB136" s="615"/>
      <c r="DC136" s="615"/>
      <c r="DD136" s="615"/>
      <c r="DE136" s="615"/>
      <c r="DF136" s="635"/>
      <c r="DG136" s="636"/>
      <c r="DH136" s="615"/>
      <c r="DI136" s="615"/>
      <c r="DJ136" s="615"/>
      <c r="DK136" s="615"/>
      <c r="DL136" s="615"/>
      <c r="DM136" s="615"/>
      <c r="DN136" s="615"/>
      <c r="DO136" s="615"/>
      <c r="DP136" s="615"/>
      <c r="DQ136" s="615"/>
      <c r="DR136" s="635"/>
      <c r="DS136" s="636"/>
      <c r="DT136" s="615"/>
      <c r="DU136" s="615"/>
      <c r="DV136" s="615"/>
      <c r="DW136" s="615"/>
      <c r="DX136" s="615"/>
      <c r="DY136" s="615"/>
      <c r="DZ136" s="615"/>
      <c r="EA136" s="615"/>
      <c r="EB136" s="615"/>
      <c r="EC136" s="615"/>
      <c r="ED136" s="637"/>
      <c r="EE136" s="692"/>
    </row>
    <row r="137" spans="1:135" x14ac:dyDescent="0.25">
      <c r="A137" s="640" t="s">
        <v>11</v>
      </c>
      <c r="B137" s="367" t="s">
        <v>1021</v>
      </c>
      <c r="C137" s="367" t="s">
        <v>620</v>
      </c>
      <c r="D137" s="367" t="s">
        <v>1022</v>
      </c>
      <c r="E137" s="503" t="s">
        <v>996</v>
      </c>
      <c r="F137" s="570">
        <v>44579</v>
      </c>
      <c r="G137" s="85" t="s">
        <v>59</v>
      </c>
      <c r="H137" s="85" t="s">
        <v>54</v>
      </c>
      <c r="I137" s="85" t="s">
        <v>358</v>
      </c>
      <c r="J137" s="675" t="s">
        <v>358</v>
      </c>
      <c r="K137" s="85" t="s">
        <v>358</v>
      </c>
      <c r="L137" s="85" t="s">
        <v>40</v>
      </c>
      <c r="M137" s="85" t="s">
        <v>3</v>
      </c>
      <c r="N137" s="668" t="s">
        <v>44</v>
      </c>
      <c r="O137" s="669"/>
      <c r="P137" s="615"/>
      <c r="Q137" s="615">
        <v>16</v>
      </c>
      <c r="R137" s="615"/>
      <c r="S137" s="615"/>
      <c r="T137" s="615"/>
      <c r="U137" s="615"/>
      <c r="V137" s="615"/>
      <c r="W137" s="615"/>
      <c r="X137" s="615"/>
      <c r="Y137" s="615"/>
      <c r="Z137" s="635"/>
      <c r="AA137" s="636"/>
      <c r="AB137" s="615"/>
      <c r="AC137" s="615"/>
      <c r="AD137" s="615"/>
      <c r="AE137" s="615"/>
      <c r="AF137" s="615"/>
      <c r="AG137" s="615"/>
      <c r="AH137" s="615"/>
      <c r="AI137" s="615"/>
      <c r="AJ137" s="615"/>
      <c r="AK137" s="615"/>
      <c r="AL137" s="635"/>
      <c r="AM137" s="636"/>
      <c r="AN137" s="615"/>
      <c r="AO137" s="615"/>
      <c r="AP137" s="615"/>
      <c r="AQ137" s="615"/>
      <c r="AR137" s="615"/>
      <c r="AS137" s="615"/>
      <c r="AT137" s="615"/>
      <c r="AU137" s="615"/>
      <c r="AV137" s="615"/>
      <c r="AW137" s="615"/>
      <c r="AX137" s="635"/>
      <c r="AY137" s="636"/>
      <c r="AZ137" s="615"/>
      <c r="BA137" s="615"/>
      <c r="BB137" s="615"/>
      <c r="BC137" s="615"/>
      <c r="BD137" s="615"/>
      <c r="BE137" s="615"/>
      <c r="BF137" s="615"/>
      <c r="BG137" s="615"/>
      <c r="BH137" s="615"/>
      <c r="BI137" s="615"/>
      <c r="BJ137" s="635"/>
      <c r="BK137" s="636"/>
      <c r="BL137" s="615"/>
      <c r="BM137" s="615"/>
      <c r="BN137" s="615"/>
      <c r="BO137" s="615"/>
      <c r="BP137" s="615"/>
      <c r="BQ137" s="615"/>
      <c r="BR137" s="615"/>
      <c r="BS137" s="615"/>
      <c r="BT137" s="615"/>
      <c r="BU137" s="615"/>
      <c r="BV137" s="637"/>
      <c r="BW137" s="669"/>
      <c r="BX137" s="615"/>
      <c r="BY137" s="615">
        <v>130</v>
      </c>
      <c r="BZ137" s="615"/>
      <c r="CA137" s="615"/>
      <c r="CB137" s="615"/>
      <c r="CC137" s="615"/>
      <c r="CD137" s="615"/>
      <c r="CE137" s="615"/>
      <c r="CF137" s="615"/>
      <c r="CG137" s="615"/>
      <c r="CH137" s="635"/>
      <c r="CI137" s="636"/>
      <c r="CJ137" s="615"/>
      <c r="CK137" s="615"/>
      <c r="CL137" s="615"/>
      <c r="CM137" s="615"/>
      <c r="CN137" s="615"/>
      <c r="CO137" s="615"/>
      <c r="CP137" s="615"/>
      <c r="CQ137" s="615"/>
      <c r="CR137" s="615"/>
      <c r="CS137" s="615"/>
      <c r="CT137" s="635"/>
      <c r="CU137" s="636"/>
      <c r="CV137" s="615"/>
      <c r="CW137" s="615"/>
      <c r="CX137" s="615"/>
      <c r="CY137" s="615"/>
      <c r="CZ137" s="615"/>
      <c r="DA137" s="615"/>
      <c r="DB137" s="615"/>
      <c r="DC137" s="615"/>
      <c r="DD137" s="615"/>
      <c r="DE137" s="615"/>
      <c r="DF137" s="635"/>
      <c r="DG137" s="636"/>
      <c r="DH137" s="615"/>
      <c r="DI137" s="615"/>
      <c r="DJ137" s="615"/>
      <c r="DK137" s="615"/>
      <c r="DL137" s="615"/>
      <c r="DM137" s="615"/>
      <c r="DN137" s="615"/>
      <c r="DO137" s="615"/>
      <c r="DP137" s="615"/>
      <c r="DQ137" s="615"/>
      <c r="DR137" s="635"/>
      <c r="DS137" s="636"/>
      <c r="DT137" s="615"/>
      <c r="DU137" s="615"/>
      <c r="DV137" s="615"/>
      <c r="DW137" s="615"/>
      <c r="DX137" s="615"/>
      <c r="DY137" s="615"/>
      <c r="DZ137" s="615"/>
      <c r="EA137" s="615"/>
      <c r="EB137" s="615"/>
      <c r="EC137" s="615"/>
      <c r="ED137" s="637"/>
      <c r="EE137" s="692"/>
    </row>
    <row r="138" spans="1:135" x14ac:dyDescent="0.25">
      <c r="A138" s="640" t="s">
        <v>11</v>
      </c>
      <c r="B138" s="367" t="s">
        <v>1023</v>
      </c>
      <c r="C138" s="367" t="s">
        <v>404</v>
      </c>
      <c r="D138" s="367" t="s">
        <v>1024</v>
      </c>
      <c r="E138" s="503" t="s">
        <v>997</v>
      </c>
      <c r="F138" s="570">
        <v>44579</v>
      </c>
      <c r="G138" s="85" t="s">
        <v>59</v>
      </c>
      <c r="H138" s="85" t="s">
        <v>54</v>
      </c>
      <c r="I138" s="85" t="s">
        <v>358</v>
      </c>
      <c r="J138" s="675" t="s">
        <v>358</v>
      </c>
      <c r="K138" s="85" t="s">
        <v>358</v>
      </c>
      <c r="L138" s="85" t="s">
        <v>40</v>
      </c>
      <c r="M138" s="85" t="s">
        <v>3</v>
      </c>
      <c r="N138" s="668" t="s">
        <v>44</v>
      </c>
      <c r="O138" s="669"/>
      <c r="P138" s="615"/>
      <c r="Q138" s="615"/>
      <c r="R138" s="615"/>
      <c r="S138" s="615">
        <v>2</v>
      </c>
      <c r="T138" s="615"/>
      <c r="U138" s="615"/>
      <c r="V138" s="615"/>
      <c r="W138" s="615"/>
      <c r="X138" s="615"/>
      <c r="Y138" s="615"/>
      <c r="Z138" s="635"/>
      <c r="AA138" s="636"/>
      <c r="AB138" s="615"/>
      <c r="AC138" s="615"/>
      <c r="AD138" s="615"/>
      <c r="AE138" s="615"/>
      <c r="AF138" s="615"/>
      <c r="AG138" s="615"/>
      <c r="AH138" s="615"/>
      <c r="AI138" s="615"/>
      <c r="AJ138" s="615"/>
      <c r="AK138" s="615"/>
      <c r="AL138" s="635"/>
      <c r="AM138" s="636"/>
      <c r="AN138" s="615"/>
      <c r="AO138" s="615"/>
      <c r="AP138" s="615"/>
      <c r="AQ138" s="615"/>
      <c r="AR138" s="615"/>
      <c r="AS138" s="615"/>
      <c r="AT138" s="615"/>
      <c r="AU138" s="615"/>
      <c r="AV138" s="615"/>
      <c r="AW138" s="615"/>
      <c r="AX138" s="635"/>
      <c r="AY138" s="636"/>
      <c r="AZ138" s="615"/>
      <c r="BA138" s="615"/>
      <c r="BB138" s="615"/>
      <c r="BC138" s="615"/>
      <c r="BD138" s="615"/>
      <c r="BE138" s="615"/>
      <c r="BF138" s="615"/>
      <c r="BG138" s="615"/>
      <c r="BH138" s="615"/>
      <c r="BI138" s="615"/>
      <c r="BJ138" s="635"/>
      <c r="BK138" s="636"/>
      <c r="BL138" s="615"/>
      <c r="BM138" s="615"/>
      <c r="BN138" s="615"/>
      <c r="BO138" s="615"/>
      <c r="BP138" s="615"/>
      <c r="BQ138" s="615"/>
      <c r="BR138" s="615"/>
      <c r="BS138" s="615"/>
      <c r="BT138" s="615"/>
      <c r="BU138" s="615"/>
      <c r="BV138" s="637"/>
      <c r="BW138" s="669"/>
      <c r="BX138" s="615"/>
      <c r="BY138" s="615"/>
      <c r="BZ138" s="615"/>
      <c r="CA138" s="615">
        <v>145</v>
      </c>
      <c r="CB138" s="615"/>
      <c r="CC138" s="615"/>
      <c r="CD138" s="615"/>
      <c r="CE138" s="615"/>
      <c r="CF138" s="615"/>
      <c r="CG138" s="615"/>
      <c r="CH138" s="635"/>
      <c r="CI138" s="636"/>
      <c r="CJ138" s="615"/>
      <c r="CK138" s="615"/>
      <c r="CL138" s="615"/>
      <c r="CM138" s="615"/>
      <c r="CN138" s="615"/>
      <c r="CO138" s="615"/>
      <c r="CP138" s="615"/>
      <c r="CQ138" s="615"/>
      <c r="CR138" s="615"/>
      <c r="CS138" s="615"/>
      <c r="CT138" s="635"/>
      <c r="CU138" s="636"/>
      <c r="CV138" s="615"/>
      <c r="CW138" s="615"/>
      <c r="CX138" s="615"/>
      <c r="CY138" s="615"/>
      <c r="CZ138" s="615"/>
      <c r="DA138" s="615"/>
      <c r="DB138" s="615"/>
      <c r="DC138" s="615"/>
      <c r="DD138" s="615"/>
      <c r="DE138" s="615"/>
      <c r="DF138" s="635"/>
      <c r="DG138" s="636"/>
      <c r="DH138" s="615"/>
      <c r="DI138" s="615"/>
      <c r="DJ138" s="615"/>
      <c r="DK138" s="615"/>
      <c r="DL138" s="615"/>
      <c r="DM138" s="615"/>
      <c r="DN138" s="615"/>
      <c r="DO138" s="615"/>
      <c r="DP138" s="615"/>
      <c r="DQ138" s="615"/>
      <c r="DR138" s="635"/>
      <c r="DS138" s="636"/>
      <c r="DT138" s="615"/>
      <c r="DU138" s="615"/>
      <c r="DV138" s="615"/>
      <c r="DW138" s="615"/>
      <c r="DX138" s="615"/>
      <c r="DY138" s="615"/>
      <c r="DZ138" s="615"/>
      <c r="EA138" s="615"/>
      <c r="EB138" s="615"/>
      <c r="EC138" s="615"/>
      <c r="ED138" s="637"/>
      <c r="EE138" s="692"/>
    </row>
    <row r="139" spans="1:135" x14ac:dyDescent="0.25">
      <c r="A139" s="640" t="s">
        <v>11</v>
      </c>
      <c r="B139" s="367" t="s">
        <v>1025</v>
      </c>
      <c r="C139" s="367" t="s">
        <v>967</v>
      </c>
      <c r="D139" s="367" t="s">
        <v>1026</v>
      </c>
      <c r="E139" s="503" t="s">
        <v>998</v>
      </c>
      <c r="F139" s="570">
        <v>44579</v>
      </c>
      <c r="G139" s="85" t="s">
        <v>59</v>
      </c>
      <c r="H139" s="85" t="s">
        <v>54</v>
      </c>
      <c r="I139" s="85" t="s">
        <v>358</v>
      </c>
      <c r="J139" s="675" t="s">
        <v>358</v>
      </c>
      <c r="K139" s="85" t="s">
        <v>358</v>
      </c>
      <c r="L139" s="85" t="s">
        <v>40</v>
      </c>
      <c r="M139" s="85" t="s">
        <v>3</v>
      </c>
      <c r="N139" s="668" t="s">
        <v>44</v>
      </c>
      <c r="O139" s="669"/>
      <c r="P139" s="615"/>
      <c r="Q139" s="615"/>
      <c r="R139" s="615"/>
      <c r="S139" s="615"/>
      <c r="T139" s="615"/>
      <c r="U139" s="615"/>
      <c r="V139" s="615"/>
      <c r="W139" s="615"/>
      <c r="X139" s="615"/>
      <c r="Y139" s="615"/>
      <c r="Z139" s="635">
        <v>15</v>
      </c>
      <c r="AA139" s="636"/>
      <c r="AB139" s="615"/>
      <c r="AC139" s="615"/>
      <c r="AD139" s="615"/>
      <c r="AE139" s="615"/>
      <c r="AF139" s="615"/>
      <c r="AG139" s="615"/>
      <c r="AH139" s="615"/>
      <c r="AI139" s="615"/>
      <c r="AJ139" s="615"/>
      <c r="AK139" s="615"/>
      <c r="AL139" s="635"/>
      <c r="AM139" s="636"/>
      <c r="AN139" s="615"/>
      <c r="AO139" s="615"/>
      <c r="AP139" s="615"/>
      <c r="AQ139" s="615"/>
      <c r="AR139" s="615"/>
      <c r="AS139" s="615"/>
      <c r="AT139" s="615"/>
      <c r="AU139" s="615"/>
      <c r="AV139" s="615"/>
      <c r="AW139" s="615"/>
      <c r="AX139" s="635"/>
      <c r="AY139" s="636"/>
      <c r="AZ139" s="615"/>
      <c r="BA139" s="615"/>
      <c r="BB139" s="615"/>
      <c r="BC139" s="615"/>
      <c r="BD139" s="615"/>
      <c r="BE139" s="615"/>
      <c r="BF139" s="615"/>
      <c r="BG139" s="615"/>
      <c r="BH139" s="615"/>
      <c r="BI139" s="615"/>
      <c r="BJ139" s="635"/>
      <c r="BK139" s="636"/>
      <c r="BL139" s="615"/>
      <c r="BM139" s="615"/>
      <c r="BN139" s="615"/>
      <c r="BO139" s="615"/>
      <c r="BP139" s="615"/>
      <c r="BQ139" s="615"/>
      <c r="BR139" s="615"/>
      <c r="BS139" s="615"/>
      <c r="BT139" s="615"/>
      <c r="BU139" s="615"/>
      <c r="BV139" s="637"/>
      <c r="BW139" s="669"/>
      <c r="BX139" s="615"/>
      <c r="BY139" s="615"/>
      <c r="BZ139" s="615"/>
      <c r="CA139" s="615"/>
      <c r="CB139" s="615"/>
      <c r="CC139" s="615"/>
      <c r="CD139" s="615"/>
      <c r="CE139" s="615"/>
      <c r="CF139" s="615"/>
      <c r="CG139" s="615"/>
      <c r="CH139" s="635">
        <v>185</v>
      </c>
      <c r="CI139" s="636"/>
      <c r="CJ139" s="615"/>
      <c r="CK139" s="615"/>
      <c r="CL139" s="615"/>
      <c r="CM139" s="615"/>
      <c r="CN139" s="615"/>
      <c r="CO139" s="615"/>
      <c r="CP139" s="615"/>
      <c r="CQ139" s="615"/>
      <c r="CR139" s="615"/>
      <c r="CS139" s="615"/>
      <c r="CT139" s="635"/>
      <c r="CU139" s="636"/>
      <c r="CV139" s="615"/>
      <c r="CW139" s="615"/>
      <c r="CX139" s="615"/>
      <c r="CY139" s="615"/>
      <c r="CZ139" s="615"/>
      <c r="DA139" s="615"/>
      <c r="DB139" s="615"/>
      <c r="DC139" s="615"/>
      <c r="DD139" s="615"/>
      <c r="DE139" s="615"/>
      <c r="DF139" s="635"/>
      <c r="DG139" s="636"/>
      <c r="DH139" s="615"/>
      <c r="DI139" s="615"/>
      <c r="DJ139" s="615"/>
      <c r="DK139" s="615"/>
      <c r="DL139" s="615"/>
      <c r="DM139" s="615"/>
      <c r="DN139" s="615"/>
      <c r="DO139" s="615"/>
      <c r="DP139" s="615"/>
      <c r="DQ139" s="615"/>
      <c r="DR139" s="635"/>
      <c r="DS139" s="636"/>
      <c r="DT139" s="615"/>
      <c r="DU139" s="615"/>
      <c r="DV139" s="615"/>
      <c r="DW139" s="615"/>
      <c r="DX139" s="615"/>
      <c r="DY139" s="615"/>
      <c r="DZ139" s="615"/>
      <c r="EA139" s="615"/>
      <c r="EB139" s="615"/>
      <c r="EC139" s="615"/>
      <c r="ED139" s="637"/>
      <c r="EE139" s="692"/>
    </row>
    <row r="140" spans="1:135" x14ac:dyDescent="0.25">
      <c r="A140" s="640" t="s">
        <v>11</v>
      </c>
      <c r="B140" s="367" t="s">
        <v>1027</v>
      </c>
      <c r="C140" s="367" t="s">
        <v>967</v>
      </c>
      <c r="D140" s="367" t="s">
        <v>1028</v>
      </c>
      <c r="E140" s="503" t="s">
        <v>999</v>
      </c>
      <c r="F140" s="570">
        <v>44579</v>
      </c>
      <c r="G140" s="85" t="s">
        <v>58</v>
      </c>
      <c r="H140" s="85" t="s">
        <v>54</v>
      </c>
      <c r="I140" s="85" t="s">
        <v>358</v>
      </c>
      <c r="J140" s="675" t="s">
        <v>358</v>
      </c>
      <c r="K140" s="85" t="s">
        <v>358</v>
      </c>
      <c r="L140" s="85" t="s">
        <v>40</v>
      </c>
      <c r="M140" s="85" t="s">
        <v>3</v>
      </c>
      <c r="N140" s="668" t="s">
        <v>44</v>
      </c>
      <c r="O140" s="669"/>
      <c r="P140" s="615"/>
      <c r="Q140" s="615"/>
      <c r="R140" s="615"/>
      <c r="S140" s="615"/>
      <c r="T140" s="615">
        <v>-15</v>
      </c>
      <c r="U140" s="615"/>
      <c r="V140" s="615"/>
      <c r="W140" s="615"/>
      <c r="X140" s="615"/>
      <c r="Y140" s="615"/>
      <c r="Z140" s="635"/>
      <c r="AA140" s="636"/>
      <c r="AB140" s="615"/>
      <c r="AC140" s="615"/>
      <c r="AD140" s="615"/>
      <c r="AE140" s="615"/>
      <c r="AF140" s="615"/>
      <c r="AG140" s="615"/>
      <c r="AH140" s="615"/>
      <c r="AI140" s="615"/>
      <c r="AJ140" s="615"/>
      <c r="AK140" s="615"/>
      <c r="AL140" s="635"/>
      <c r="AM140" s="636"/>
      <c r="AN140" s="615"/>
      <c r="AO140" s="615"/>
      <c r="AP140" s="615"/>
      <c r="AQ140" s="615"/>
      <c r="AR140" s="615"/>
      <c r="AS140" s="615"/>
      <c r="AT140" s="615"/>
      <c r="AU140" s="615"/>
      <c r="AV140" s="615"/>
      <c r="AW140" s="615"/>
      <c r="AX140" s="635"/>
      <c r="AY140" s="636"/>
      <c r="AZ140" s="615"/>
      <c r="BA140" s="615"/>
      <c r="BB140" s="615"/>
      <c r="BC140" s="615"/>
      <c r="BD140" s="615"/>
      <c r="BE140" s="615"/>
      <c r="BF140" s="615"/>
      <c r="BG140" s="615"/>
      <c r="BH140" s="615"/>
      <c r="BI140" s="615"/>
      <c r="BJ140" s="635"/>
      <c r="BK140" s="636"/>
      <c r="BL140" s="615"/>
      <c r="BM140" s="615"/>
      <c r="BN140" s="615"/>
      <c r="BO140" s="615"/>
      <c r="BP140" s="615"/>
      <c r="BQ140" s="615"/>
      <c r="BR140" s="615"/>
      <c r="BS140" s="615"/>
      <c r="BT140" s="615"/>
      <c r="BU140" s="615"/>
      <c r="BV140" s="637"/>
      <c r="BW140" s="669"/>
      <c r="BX140" s="615"/>
      <c r="BY140" s="615"/>
      <c r="BZ140" s="615"/>
      <c r="CA140" s="615"/>
      <c r="CB140" s="615">
        <v>173</v>
      </c>
      <c r="CC140" s="615"/>
      <c r="CD140" s="615"/>
      <c r="CE140" s="615"/>
      <c r="CF140" s="615"/>
      <c r="CG140" s="615"/>
      <c r="CH140" s="635"/>
      <c r="CI140" s="636"/>
      <c r="CJ140" s="615"/>
      <c r="CK140" s="615"/>
      <c r="CL140" s="615"/>
      <c r="CM140" s="615"/>
      <c r="CN140" s="615"/>
      <c r="CO140" s="615"/>
      <c r="CP140" s="615"/>
      <c r="CQ140" s="615"/>
      <c r="CR140" s="615"/>
      <c r="CS140" s="615"/>
      <c r="CT140" s="635"/>
      <c r="CU140" s="636"/>
      <c r="CV140" s="615"/>
      <c r="CW140" s="615"/>
      <c r="CX140" s="615"/>
      <c r="CY140" s="615"/>
      <c r="CZ140" s="615"/>
      <c r="DA140" s="615"/>
      <c r="DB140" s="615"/>
      <c r="DC140" s="615"/>
      <c r="DD140" s="615"/>
      <c r="DE140" s="615"/>
      <c r="DF140" s="635"/>
      <c r="DG140" s="636"/>
      <c r="DH140" s="615"/>
      <c r="DI140" s="615"/>
      <c r="DJ140" s="615"/>
      <c r="DK140" s="615"/>
      <c r="DL140" s="615"/>
      <c r="DM140" s="615"/>
      <c r="DN140" s="615"/>
      <c r="DO140" s="615"/>
      <c r="DP140" s="615"/>
      <c r="DQ140" s="615"/>
      <c r="DR140" s="635"/>
      <c r="DS140" s="636"/>
      <c r="DT140" s="615"/>
      <c r="DU140" s="615"/>
      <c r="DV140" s="615"/>
      <c r="DW140" s="615"/>
      <c r="DX140" s="615"/>
      <c r="DY140" s="615"/>
      <c r="DZ140" s="615"/>
      <c r="EA140" s="615"/>
      <c r="EB140" s="615"/>
      <c r="EC140" s="615"/>
      <c r="ED140" s="637"/>
      <c r="EE140" s="692"/>
    </row>
    <row r="141" spans="1:135" x14ac:dyDescent="0.25">
      <c r="A141" s="640" t="s">
        <v>11</v>
      </c>
      <c r="B141" s="367" t="s">
        <v>1029</v>
      </c>
      <c r="C141" s="367" t="s">
        <v>505</v>
      </c>
      <c r="D141" s="367" t="s">
        <v>1049</v>
      </c>
      <c r="E141" s="503" t="s">
        <v>1035</v>
      </c>
      <c r="F141" s="570">
        <v>44580</v>
      </c>
      <c r="G141" s="85" t="s">
        <v>59</v>
      </c>
      <c r="H141" s="85" t="s">
        <v>54</v>
      </c>
      <c r="I141" s="85" t="s">
        <v>358</v>
      </c>
      <c r="J141" s="675" t="s">
        <v>358</v>
      </c>
      <c r="K141" s="85" t="s">
        <v>358</v>
      </c>
      <c r="L141" s="85" t="s">
        <v>40</v>
      </c>
      <c r="M141" s="85" t="s">
        <v>3</v>
      </c>
      <c r="N141" s="668" t="s">
        <v>44</v>
      </c>
      <c r="O141" s="669">
        <v>5.2</v>
      </c>
      <c r="P141" s="615"/>
      <c r="Q141" s="615"/>
      <c r="R141" s="615"/>
      <c r="S141" s="615"/>
      <c r="T141" s="615"/>
      <c r="U141" s="615"/>
      <c r="V141" s="615"/>
      <c r="W141" s="615"/>
      <c r="X141" s="615"/>
      <c r="Y141" s="615"/>
      <c r="Z141" s="635"/>
      <c r="AA141" s="636"/>
      <c r="AB141" s="615"/>
      <c r="AC141" s="615"/>
      <c r="AD141" s="615"/>
      <c r="AE141" s="615"/>
      <c r="AF141" s="615"/>
      <c r="AG141" s="615"/>
      <c r="AH141" s="615"/>
      <c r="AI141" s="615"/>
      <c r="AJ141" s="615"/>
      <c r="AK141" s="615"/>
      <c r="AL141" s="635"/>
      <c r="AM141" s="636"/>
      <c r="AN141" s="615"/>
      <c r="AO141" s="615"/>
      <c r="AP141" s="615"/>
      <c r="AQ141" s="615"/>
      <c r="AR141" s="615"/>
      <c r="AS141" s="615"/>
      <c r="AT141" s="615"/>
      <c r="AU141" s="615"/>
      <c r="AV141" s="615"/>
      <c r="AW141" s="615"/>
      <c r="AX141" s="635"/>
      <c r="AY141" s="636"/>
      <c r="AZ141" s="615"/>
      <c r="BA141" s="615"/>
      <c r="BB141" s="615"/>
      <c r="BC141" s="615"/>
      <c r="BD141" s="615"/>
      <c r="BE141" s="615"/>
      <c r="BF141" s="615"/>
      <c r="BG141" s="615"/>
      <c r="BH141" s="615"/>
      <c r="BI141" s="615"/>
      <c r="BJ141" s="635"/>
      <c r="BK141" s="636"/>
      <c r="BL141" s="615"/>
      <c r="BM141" s="615"/>
      <c r="BN141" s="615"/>
      <c r="BO141" s="615"/>
      <c r="BP141" s="615"/>
      <c r="BQ141" s="615"/>
      <c r="BR141" s="615"/>
      <c r="BS141" s="615"/>
      <c r="BT141" s="615"/>
      <c r="BU141" s="615"/>
      <c r="BV141" s="637"/>
      <c r="BW141" s="669">
        <v>65</v>
      </c>
      <c r="BX141" s="615"/>
      <c r="BY141" s="615"/>
      <c r="BZ141" s="615"/>
      <c r="CA141" s="615"/>
      <c r="CB141" s="615"/>
      <c r="CC141" s="615"/>
      <c r="CD141" s="615"/>
      <c r="CE141" s="615"/>
      <c r="CF141" s="615"/>
      <c r="CG141" s="615"/>
      <c r="CH141" s="635"/>
      <c r="CI141" s="636"/>
      <c r="CJ141" s="615"/>
      <c r="CK141" s="615"/>
      <c r="CL141" s="615"/>
      <c r="CM141" s="615"/>
      <c r="CN141" s="615"/>
      <c r="CO141" s="615"/>
      <c r="CP141" s="615"/>
      <c r="CQ141" s="615"/>
      <c r="CR141" s="615"/>
      <c r="CS141" s="615"/>
      <c r="CT141" s="635"/>
      <c r="CU141" s="636"/>
      <c r="CV141" s="615"/>
      <c r="CW141" s="615"/>
      <c r="CX141" s="615"/>
      <c r="CY141" s="615"/>
      <c r="CZ141" s="615"/>
      <c r="DA141" s="615"/>
      <c r="DB141" s="615"/>
      <c r="DC141" s="615"/>
      <c r="DD141" s="615"/>
      <c r="DE141" s="615"/>
      <c r="DF141" s="635"/>
      <c r="DG141" s="636"/>
      <c r="DH141" s="615"/>
      <c r="DI141" s="615"/>
      <c r="DJ141" s="615"/>
      <c r="DK141" s="615"/>
      <c r="DL141" s="615"/>
      <c r="DM141" s="615"/>
      <c r="DN141" s="615"/>
      <c r="DO141" s="615"/>
      <c r="DP141" s="615"/>
      <c r="DQ141" s="615"/>
      <c r="DR141" s="635"/>
      <c r="DS141" s="636"/>
      <c r="DT141" s="615"/>
      <c r="DU141" s="615"/>
      <c r="DV141" s="615"/>
      <c r="DW141" s="615"/>
      <c r="DX141" s="615"/>
      <c r="DY141" s="615"/>
      <c r="DZ141" s="615"/>
      <c r="EA141" s="615"/>
      <c r="EB141" s="615"/>
      <c r="EC141" s="615"/>
      <c r="ED141" s="637"/>
      <c r="EE141" s="692"/>
    </row>
    <row r="142" spans="1:135" x14ac:dyDescent="0.25">
      <c r="A142" s="640" t="s">
        <v>11</v>
      </c>
      <c r="B142" s="367" t="s">
        <v>1031</v>
      </c>
      <c r="C142" s="367" t="s">
        <v>466</v>
      </c>
      <c r="D142" s="367" t="s">
        <v>1050</v>
      </c>
      <c r="E142" s="503" t="s">
        <v>1036</v>
      </c>
      <c r="F142" s="570">
        <v>44580</v>
      </c>
      <c r="G142" s="85" t="s">
        <v>59</v>
      </c>
      <c r="H142" s="85" t="s">
        <v>54</v>
      </c>
      <c r="I142" s="85" t="s">
        <v>358</v>
      </c>
      <c r="J142" s="675" t="s">
        <v>358</v>
      </c>
      <c r="K142" s="85" t="s">
        <v>358</v>
      </c>
      <c r="L142" s="85" t="s">
        <v>40</v>
      </c>
      <c r="M142" s="85" t="s">
        <v>3</v>
      </c>
      <c r="N142" s="668" t="s">
        <v>44</v>
      </c>
      <c r="O142" s="669"/>
      <c r="P142" s="615"/>
      <c r="Q142" s="615">
        <v>2</v>
      </c>
      <c r="R142" s="615"/>
      <c r="S142" s="615"/>
      <c r="T142" s="615"/>
      <c r="U142" s="615"/>
      <c r="V142" s="615"/>
      <c r="W142" s="615"/>
      <c r="X142" s="615"/>
      <c r="Y142" s="615"/>
      <c r="Z142" s="635"/>
      <c r="AA142" s="636"/>
      <c r="AB142" s="615"/>
      <c r="AC142" s="615"/>
      <c r="AD142" s="615"/>
      <c r="AE142" s="615"/>
      <c r="AF142" s="615"/>
      <c r="AG142" s="615"/>
      <c r="AH142" s="615"/>
      <c r="AI142" s="615"/>
      <c r="AJ142" s="615"/>
      <c r="AK142" s="615"/>
      <c r="AL142" s="635"/>
      <c r="AM142" s="636"/>
      <c r="AN142" s="615"/>
      <c r="AO142" s="615"/>
      <c r="AP142" s="615"/>
      <c r="AQ142" s="615"/>
      <c r="AR142" s="615"/>
      <c r="AS142" s="615"/>
      <c r="AT142" s="615"/>
      <c r="AU142" s="615"/>
      <c r="AV142" s="615"/>
      <c r="AW142" s="615"/>
      <c r="AX142" s="635"/>
      <c r="AY142" s="636"/>
      <c r="AZ142" s="615"/>
      <c r="BA142" s="615"/>
      <c r="BB142" s="615"/>
      <c r="BC142" s="615"/>
      <c r="BD142" s="615"/>
      <c r="BE142" s="615"/>
      <c r="BF142" s="615"/>
      <c r="BG142" s="615"/>
      <c r="BH142" s="615"/>
      <c r="BI142" s="615"/>
      <c r="BJ142" s="635"/>
      <c r="BK142" s="636"/>
      <c r="BL142" s="615"/>
      <c r="BM142" s="615"/>
      <c r="BN142" s="615"/>
      <c r="BO142" s="615"/>
      <c r="BP142" s="615"/>
      <c r="BQ142" s="615"/>
      <c r="BR142" s="615"/>
      <c r="BS142" s="615"/>
      <c r="BT142" s="615"/>
      <c r="BU142" s="615"/>
      <c r="BV142" s="637"/>
      <c r="BW142" s="669"/>
      <c r="BX142" s="615"/>
      <c r="BY142" s="615">
        <v>130</v>
      </c>
      <c r="BZ142" s="615"/>
      <c r="CA142" s="615"/>
      <c r="CB142" s="615"/>
      <c r="CC142" s="615"/>
      <c r="CD142" s="615"/>
      <c r="CE142" s="615"/>
      <c r="CF142" s="615"/>
      <c r="CG142" s="615"/>
      <c r="CH142" s="635"/>
      <c r="CI142" s="636"/>
      <c r="CJ142" s="615"/>
      <c r="CK142" s="615"/>
      <c r="CL142" s="615"/>
      <c r="CM142" s="615"/>
      <c r="CN142" s="615"/>
      <c r="CO142" s="615"/>
      <c r="CP142" s="615"/>
      <c r="CQ142" s="615"/>
      <c r="CR142" s="615"/>
      <c r="CS142" s="615"/>
      <c r="CT142" s="635"/>
      <c r="CU142" s="636"/>
      <c r="CV142" s="615"/>
      <c r="CW142" s="615"/>
      <c r="CX142" s="615"/>
      <c r="CY142" s="615"/>
      <c r="CZ142" s="615"/>
      <c r="DA142" s="615"/>
      <c r="DB142" s="615"/>
      <c r="DC142" s="615"/>
      <c r="DD142" s="615"/>
      <c r="DE142" s="615"/>
      <c r="DF142" s="635"/>
      <c r="DG142" s="636"/>
      <c r="DH142" s="615"/>
      <c r="DI142" s="615"/>
      <c r="DJ142" s="615"/>
      <c r="DK142" s="615"/>
      <c r="DL142" s="615"/>
      <c r="DM142" s="615"/>
      <c r="DN142" s="615"/>
      <c r="DO142" s="615"/>
      <c r="DP142" s="615"/>
      <c r="DQ142" s="615"/>
      <c r="DR142" s="635"/>
      <c r="DS142" s="636"/>
      <c r="DT142" s="615"/>
      <c r="DU142" s="615"/>
      <c r="DV142" s="615"/>
      <c r="DW142" s="615"/>
      <c r="DX142" s="615"/>
      <c r="DY142" s="615"/>
      <c r="DZ142" s="615"/>
      <c r="EA142" s="615"/>
      <c r="EB142" s="615"/>
      <c r="EC142" s="615"/>
      <c r="ED142" s="637"/>
      <c r="EE142" s="692"/>
    </row>
    <row r="143" spans="1:135" x14ac:dyDescent="0.25">
      <c r="A143" s="640" t="s">
        <v>11</v>
      </c>
      <c r="B143" s="367" t="s">
        <v>1051</v>
      </c>
      <c r="C143" s="367" t="s">
        <v>509</v>
      </c>
      <c r="D143" s="367" t="s">
        <v>1052</v>
      </c>
      <c r="E143" s="503" t="s">
        <v>1037</v>
      </c>
      <c r="F143" s="570">
        <v>44580</v>
      </c>
      <c r="G143" s="85" t="s">
        <v>59</v>
      </c>
      <c r="H143" s="85" t="s">
        <v>54</v>
      </c>
      <c r="I143" s="85" t="s">
        <v>358</v>
      </c>
      <c r="J143" s="675" t="s">
        <v>358</v>
      </c>
      <c r="K143" s="85" t="s">
        <v>358</v>
      </c>
      <c r="L143" s="85" t="s">
        <v>40</v>
      </c>
      <c r="M143" s="85" t="s">
        <v>3</v>
      </c>
      <c r="N143" s="668" t="s">
        <v>44</v>
      </c>
      <c r="O143" s="669"/>
      <c r="P143" s="615"/>
      <c r="Q143" s="615"/>
      <c r="R143" s="615"/>
      <c r="S143" s="615"/>
      <c r="T143" s="615"/>
      <c r="U143" s="615">
        <v>5</v>
      </c>
      <c r="V143" s="615"/>
      <c r="W143" s="615"/>
      <c r="X143" s="615"/>
      <c r="Y143" s="615"/>
      <c r="Z143" s="635"/>
      <c r="AA143" s="636"/>
      <c r="AB143" s="615"/>
      <c r="AC143" s="615"/>
      <c r="AD143" s="615"/>
      <c r="AE143" s="615"/>
      <c r="AF143" s="615"/>
      <c r="AG143" s="615"/>
      <c r="AH143" s="615"/>
      <c r="AI143" s="615"/>
      <c r="AJ143" s="615"/>
      <c r="AK143" s="615"/>
      <c r="AL143" s="635"/>
      <c r="AM143" s="636"/>
      <c r="AN143" s="615"/>
      <c r="AO143" s="615"/>
      <c r="AP143" s="615"/>
      <c r="AQ143" s="615"/>
      <c r="AR143" s="615"/>
      <c r="AS143" s="615"/>
      <c r="AT143" s="615"/>
      <c r="AU143" s="615"/>
      <c r="AV143" s="615"/>
      <c r="AW143" s="615"/>
      <c r="AX143" s="635"/>
      <c r="AY143" s="636"/>
      <c r="AZ143" s="615"/>
      <c r="BA143" s="615"/>
      <c r="BB143" s="615"/>
      <c r="BC143" s="615"/>
      <c r="BD143" s="615"/>
      <c r="BE143" s="615"/>
      <c r="BF143" s="615"/>
      <c r="BG143" s="615"/>
      <c r="BH143" s="615"/>
      <c r="BI143" s="615"/>
      <c r="BJ143" s="635"/>
      <c r="BK143" s="636"/>
      <c r="BL143" s="615"/>
      <c r="BM143" s="615"/>
      <c r="BN143" s="615"/>
      <c r="BO143" s="615"/>
      <c r="BP143" s="615"/>
      <c r="BQ143" s="615"/>
      <c r="BR143" s="615"/>
      <c r="BS143" s="615"/>
      <c r="BT143" s="615"/>
      <c r="BU143" s="615"/>
      <c r="BV143" s="637"/>
      <c r="BW143" s="669"/>
      <c r="BX143" s="615"/>
      <c r="BY143" s="615"/>
      <c r="BZ143" s="615"/>
      <c r="CA143" s="615"/>
      <c r="CB143" s="615"/>
      <c r="CC143" s="615">
        <v>240</v>
      </c>
      <c r="CD143" s="615"/>
      <c r="CE143" s="615"/>
      <c r="CF143" s="615"/>
      <c r="CG143" s="615"/>
      <c r="CH143" s="635"/>
      <c r="CI143" s="636"/>
      <c r="CJ143" s="615"/>
      <c r="CK143" s="615"/>
      <c r="CL143" s="615"/>
      <c r="CM143" s="615"/>
      <c r="CN143" s="615"/>
      <c r="CO143" s="615"/>
      <c r="CP143" s="615"/>
      <c r="CQ143" s="615"/>
      <c r="CR143" s="615"/>
      <c r="CS143" s="615"/>
      <c r="CT143" s="635"/>
      <c r="CU143" s="636"/>
      <c r="CV143" s="615"/>
      <c r="CW143" s="615"/>
      <c r="CX143" s="615"/>
      <c r="CY143" s="615"/>
      <c r="CZ143" s="615"/>
      <c r="DA143" s="615"/>
      <c r="DB143" s="615"/>
      <c r="DC143" s="615"/>
      <c r="DD143" s="615"/>
      <c r="DE143" s="615"/>
      <c r="DF143" s="635"/>
      <c r="DG143" s="636"/>
      <c r="DH143" s="615"/>
      <c r="DI143" s="615"/>
      <c r="DJ143" s="615"/>
      <c r="DK143" s="615"/>
      <c r="DL143" s="615"/>
      <c r="DM143" s="615"/>
      <c r="DN143" s="615"/>
      <c r="DO143" s="615"/>
      <c r="DP143" s="615"/>
      <c r="DQ143" s="615"/>
      <c r="DR143" s="635"/>
      <c r="DS143" s="636"/>
      <c r="DT143" s="615"/>
      <c r="DU143" s="615"/>
      <c r="DV143" s="615"/>
      <c r="DW143" s="615"/>
      <c r="DX143" s="615"/>
      <c r="DY143" s="615"/>
      <c r="DZ143" s="615"/>
      <c r="EA143" s="615"/>
      <c r="EB143" s="615"/>
      <c r="EC143" s="615"/>
      <c r="ED143" s="637"/>
      <c r="EE143" s="692"/>
    </row>
    <row r="144" spans="1:135" x14ac:dyDescent="0.25">
      <c r="A144" s="640" t="s">
        <v>11</v>
      </c>
      <c r="B144" s="367" t="s">
        <v>1053</v>
      </c>
      <c r="C144" s="367" t="s">
        <v>478</v>
      </c>
      <c r="D144" s="367" t="s">
        <v>1054</v>
      </c>
      <c r="E144" s="503" t="s">
        <v>1038</v>
      </c>
      <c r="F144" s="570">
        <v>44580</v>
      </c>
      <c r="G144" s="85" t="s">
        <v>58</v>
      </c>
      <c r="H144" s="85" t="s">
        <v>54</v>
      </c>
      <c r="I144" s="85" t="s">
        <v>358</v>
      </c>
      <c r="J144" s="675" t="s">
        <v>358</v>
      </c>
      <c r="K144" s="85" t="s">
        <v>358</v>
      </c>
      <c r="L144" s="85" t="s">
        <v>40</v>
      </c>
      <c r="M144" s="85" t="s">
        <v>3</v>
      </c>
      <c r="N144" s="668" t="s">
        <v>44</v>
      </c>
      <c r="O144" s="669"/>
      <c r="P144" s="615"/>
      <c r="Q144" s="615"/>
      <c r="R144" s="615"/>
      <c r="S144" s="615"/>
      <c r="T144" s="615"/>
      <c r="U144" s="615">
        <v>-2</v>
      </c>
      <c r="V144" s="615">
        <v>-2</v>
      </c>
      <c r="W144" s="615">
        <v>-2</v>
      </c>
      <c r="X144" s="615"/>
      <c r="Y144" s="615"/>
      <c r="Z144" s="635"/>
      <c r="AA144" s="636"/>
      <c r="AB144" s="615"/>
      <c r="AC144" s="615"/>
      <c r="AD144" s="615"/>
      <c r="AE144" s="615"/>
      <c r="AF144" s="615"/>
      <c r="AG144" s="615"/>
      <c r="AH144" s="615"/>
      <c r="AI144" s="615"/>
      <c r="AJ144" s="615"/>
      <c r="AK144" s="615"/>
      <c r="AL144" s="635"/>
      <c r="AM144" s="636"/>
      <c r="AN144" s="615"/>
      <c r="AO144" s="615"/>
      <c r="AP144" s="615"/>
      <c r="AQ144" s="615"/>
      <c r="AR144" s="615"/>
      <c r="AS144" s="615"/>
      <c r="AT144" s="615"/>
      <c r="AU144" s="615"/>
      <c r="AV144" s="615"/>
      <c r="AW144" s="615"/>
      <c r="AX144" s="635"/>
      <c r="AY144" s="636"/>
      <c r="AZ144" s="615"/>
      <c r="BA144" s="615"/>
      <c r="BB144" s="615"/>
      <c r="BC144" s="615"/>
      <c r="BD144" s="615"/>
      <c r="BE144" s="615"/>
      <c r="BF144" s="615"/>
      <c r="BG144" s="615"/>
      <c r="BH144" s="615"/>
      <c r="BI144" s="615"/>
      <c r="BJ144" s="635"/>
      <c r="BK144" s="636"/>
      <c r="BL144" s="615"/>
      <c r="BM144" s="615"/>
      <c r="BN144" s="615"/>
      <c r="BO144" s="615"/>
      <c r="BP144" s="615"/>
      <c r="BQ144" s="615"/>
      <c r="BR144" s="615"/>
      <c r="BS144" s="615"/>
      <c r="BT144" s="615"/>
      <c r="BU144" s="615"/>
      <c r="BV144" s="637"/>
      <c r="BW144" s="669"/>
      <c r="BX144" s="615"/>
      <c r="BY144" s="615"/>
      <c r="BZ144" s="615"/>
      <c r="CA144" s="615"/>
      <c r="CB144" s="615"/>
      <c r="CC144" s="615">
        <v>239</v>
      </c>
      <c r="CD144" s="615">
        <v>239</v>
      </c>
      <c r="CE144" s="615">
        <v>239</v>
      </c>
      <c r="CF144" s="615"/>
      <c r="CG144" s="615"/>
      <c r="CH144" s="635"/>
      <c r="CI144" s="636"/>
      <c r="CJ144" s="615"/>
      <c r="CK144" s="615"/>
      <c r="CL144" s="615"/>
      <c r="CM144" s="615"/>
      <c r="CN144" s="615"/>
      <c r="CO144" s="615"/>
      <c r="CP144" s="615"/>
      <c r="CQ144" s="615"/>
      <c r="CR144" s="615"/>
      <c r="CS144" s="615"/>
      <c r="CT144" s="635"/>
      <c r="CU144" s="636"/>
      <c r="CV144" s="615"/>
      <c r="CW144" s="615"/>
      <c r="CX144" s="615"/>
      <c r="CY144" s="615"/>
      <c r="CZ144" s="615"/>
      <c r="DA144" s="615"/>
      <c r="DB144" s="615"/>
      <c r="DC144" s="615"/>
      <c r="DD144" s="615"/>
      <c r="DE144" s="615"/>
      <c r="DF144" s="635"/>
      <c r="DG144" s="636"/>
      <c r="DH144" s="615"/>
      <c r="DI144" s="615"/>
      <c r="DJ144" s="615"/>
      <c r="DK144" s="615"/>
      <c r="DL144" s="615"/>
      <c r="DM144" s="615"/>
      <c r="DN144" s="615"/>
      <c r="DO144" s="615"/>
      <c r="DP144" s="615"/>
      <c r="DQ144" s="615"/>
      <c r="DR144" s="635"/>
      <c r="DS144" s="636"/>
      <c r="DT144" s="615"/>
      <c r="DU144" s="615"/>
      <c r="DV144" s="615"/>
      <c r="DW144" s="615"/>
      <c r="DX144" s="615"/>
      <c r="DY144" s="615"/>
      <c r="DZ144" s="615"/>
      <c r="EA144" s="615"/>
      <c r="EB144" s="615"/>
      <c r="EC144" s="615"/>
      <c r="ED144" s="637"/>
      <c r="EE144" s="692"/>
    </row>
    <row r="145" spans="1:135" x14ac:dyDescent="0.25">
      <c r="A145" s="640" t="s">
        <v>11</v>
      </c>
      <c r="B145" s="367" t="s">
        <v>1055</v>
      </c>
      <c r="C145" s="367" t="s">
        <v>350</v>
      </c>
      <c r="D145" s="367" t="s">
        <v>1056</v>
      </c>
      <c r="E145" s="503" t="s">
        <v>1039</v>
      </c>
      <c r="F145" s="570">
        <v>44580</v>
      </c>
      <c r="G145" s="85" t="s">
        <v>58</v>
      </c>
      <c r="H145" s="85" t="s">
        <v>54</v>
      </c>
      <c r="I145" s="85" t="s">
        <v>358</v>
      </c>
      <c r="J145" s="675" t="s">
        <v>358</v>
      </c>
      <c r="K145" s="85" t="s">
        <v>358</v>
      </c>
      <c r="L145" s="85" t="s">
        <v>40</v>
      </c>
      <c r="M145" s="85" t="s">
        <v>3</v>
      </c>
      <c r="N145" s="668" t="s">
        <v>44</v>
      </c>
      <c r="O145" s="669"/>
      <c r="P145" s="615"/>
      <c r="Q145" s="615"/>
      <c r="R145" s="615"/>
      <c r="S145" s="615"/>
      <c r="T145" s="615"/>
      <c r="U145" s="615">
        <v>-3</v>
      </c>
      <c r="V145" s="615">
        <v>-3</v>
      </c>
      <c r="W145" s="615">
        <v>-3</v>
      </c>
      <c r="X145" s="615"/>
      <c r="Y145" s="615"/>
      <c r="Z145" s="635"/>
      <c r="AA145" s="636"/>
      <c r="AB145" s="615"/>
      <c r="AC145" s="615"/>
      <c r="AD145" s="615"/>
      <c r="AE145" s="615"/>
      <c r="AF145" s="615"/>
      <c r="AG145" s="615"/>
      <c r="AH145" s="615"/>
      <c r="AI145" s="615"/>
      <c r="AJ145" s="615"/>
      <c r="AK145" s="615"/>
      <c r="AL145" s="635"/>
      <c r="AM145" s="636"/>
      <c r="AN145" s="615"/>
      <c r="AO145" s="615"/>
      <c r="AP145" s="615"/>
      <c r="AQ145" s="615"/>
      <c r="AR145" s="615"/>
      <c r="AS145" s="615"/>
      <c r="AT145" s="615"/>
      <c r="AU145" s="615"/>
      <c r="AV145" s="615"/>
      <c r="AW145" s="615"/>
      <c r="AX145" s="635"/>
      <c r="AY145" s="636"/>
      <c r="AZ145" s="615"/>
      <c r="BA145" s="615"/>
      <c r="BB145" s="615"/>
      <c r="BC145" s="615"/>
      <c r="BD145" s="615"/>
      <c r="BE145" s="615"/>
      <c r="BF145" s="615"/>
      <c r="BG145" s="615"/>
      <c r="BH145" s="615"/>
      <c r="BI145" s="615"/>
      <c r="BJ145" s="635"/>
      <c r="BK145" s="636"/>
      <c r="BL145" s="615"/>
      <c r="BM145" s="615"/>
      <c r="BN145" s="615"/>
      <c r="BO145" s="615"/>
      <c r="BP145" s="615"/>
      <c r="BQ145" s="615"/>
      <c r="BR145" s="615"/>
      <c r="BS145" s="615"/>
      <c r="BT145" s="615"/>
      <c r="BU145" s="615"/>
      <c r="BV145" s="637"/>
      <c r="BW145" s="669"/>
      <c r="BX145" s="615"/>
      <c r="BY145" s="615"/>
      <c r="BZ145" s="615"/>
      <c r="CA145" s="615"/>
      <c r="CB145" s="615"/>
      <c r="CC145" s="615">
        <v>240</v>
      </c>
      <c r="CD145" s="615">
        <v>240</v>
      </c>
      <c r="CE145" s="615">
        <v>240</v>
      </c>
      <c r="CF145" s="615"/>
      <c r="CG145" s="615"/>
      <c r="CH145" s="635"/>
      <c r="CI145" s="636"/>
      <c r="CJ145" s="615"/>
      <c r="CK145" s="615"/>
      <c r="CL145" s="615"/>
      <c r="CM145" s="615"/>
      <c r="CN145" s="615"/>
      <c r="CO145" s="615"/>
      <c r="CP145" s="615"/>
      <c r="CQ145" s="615"/>
      <c r="CR145" s="615"/>
      <c r="CS145" s="615"/>
      <c r="CT145" s="635"/>
      <c r="CU145" s="636"/>
      <c r="CV145" s="615"/>
      <c r="CW145" s="615"/>
      <c r="CX145" s="615"/>
      <c r="CY145" s="615"/>
      <c r="CZ145" s="615"/>
      <c r="DA145" s="615"/>
      <c r="DB145" s="615"/>
      <c r="DC145" s="615"/>
      <c r="DD145" s="615"/>
      <c r="DE145" s="615"/>
      <c r="DF145" s="635"/>
      <c r="DG145" s="636"/>
      <c r="DH145" s="615"/>
      <c r="DI145" s="615"/>
      <c r="DJ145" s="615"/>
      <c r="DK145" s="615"/>
      <c r="DL145" s="615"/>
      <c r="DM145" s="615"/>
      <c r="DN145" s="615"/>
      <c r="DO145" s="615"/>
      <c r="DP145" s="615"/>
      <c r="DQ145" s="615"/>
      <c r="DR145" s="635"/>
      <c r="DS145" s="636"/>
      <c r="DT145" s="615"/>
      <c r="DU145" s="615"/>
      <c r="DV145" s="615"/>
      <c r="DW145" s="615"/>
      <c r="DX145" s="615"/>
      <c r="DY145" s="615"/>
      <c r="DZ145" s="615"/>
      <c r="EA145" s="615"/>
      <c r="EB145" s="615"/>
      <c r="EC145" s="615"/>
      <c r="ED145" s="637"/>
      <c r="EE145" s="692"/>
    </row>
    <row r="146" spans="1:135" x14ac:dyDescent="0.25">
      <c r="A146" s="640" t="s">
        <v>11</v>
      </c>
      <c r="B146" s="367" t="s">
        <v>1057</v>
      </c>
      <c r="C146" s="367" t="s">
        <v>465</v>
      </c>
      <c r="D146" s="367" t="s">
        <v>1058</v>
      </c>
      <c r="E146" s="503" t="s">
        <v>1040</v>
      </c>
      <c r="F146" s="570">
        <v>44580</v>
      </c>
      <c r="G146" s="85" t="s">
        <v>59</v>
      </c>
      <c r="H146" s="85" t="s">
        <v>54</v>
      </c>
      <c r="I146" s="85" t="s">
        <v>358</v>
      </c>
      <c r="J146" s="675" t="s">
        <v>358</v>
      </c>
      <c r="K146" s="85" t="s">
        <v>358</v>
      </c>
      <c r="L146" s="85" t="s">
        <v>40</v>
      </c>
      <c r="M146" s="85" t="s">
        <v>3</v>
      </c>
      <c r="N146" s="668" t="s">
        <v>44</v>
      </c>
      <c r="O146" s="669">
        <v>10</v>
      </c>
      <c r="P146" s="615"/>
      <c r="Q146" s="615"/>
      <c r="R146" s="615"/>
      <c r="S146" s="615"/>
      <c r="T146" s="615"/>
      <c r="U146" s="615"/>
      <c r="V146" s="615"/>
      <c r="W146" s="615"/>
      <c r="X146" s="615"/>
      <c r="Y146" s="615"/>
      <c r="Z146" s="635"/>
      <c r="AA146" s="636"/>
      <c r="AB146" s="615"/>
      <c r="AC146" s="615"/>
      <c r="AD146" s="615"/>
      <c r="AE146" s="615"/>
      <c r="AF146" s="615"/>
      <c r="AG146" s="615"/>
      <c r="AH146" s="615"/>
      <c r="AI146" s="615"/>
      <c r="AJ146" s="615"/>
      <c r="AK146" s="615"/>
      <c r="AL146" s="635"/>
      <c r="AM146" s="636"/>
      <c r="AN146" s="615"/>
      <c r="AO146" s="615"/>
      <c r="AP146" s="615"/>
      <c r="AQ146" s="615"/>
      <c r="AR146" s="615"/>
      <c r="AS146" s="615"/>
      <c r="AT146" s="615"/>
      <c r="AU146" s="615"/>
      <c r="AV146" s="615"/>
      <c r="AW146" s="615"/>
      <c r="AX146" s="635"/>
      <c r="AY146" s="636"/>
      <c r="AZ146" s="615"/>
      <c r="BA146" s="615"/>
      <c r="BB146" s="615"/>
      <c r="BC146" s="615"/>
      <c r="BD146" s="615"/>
      <c r="BE146" s="615"/>
      <c r="BF146" s="615"/>
      <c r="BG146" s="615"/>
      <c r="BH146" s="615"/>
      <c r="BI146" s="615"/>
      <c r="BJ146" s="635"/>
      <c r="BK146" s="636"/>
      <c r="BL146" s="615"/>
      <c r="BM146" s="615"/>
      <c r="BN146" s="615"/>
      <c r="BO146" s="615"/>
      <c r="BP146" s="615"/>
      <c r="BQ146" s="615"/>
      <c r="BR146" s="615"/>
      <c r="BS146" s="615"/>
      <c r="BT146" s="615"/>
      <c r="BU146" s="615"/>
      <c r="BV146" s="637"/>
      <c r="BW146" s="669">
        <v>64.5</v>
      </c>
      <c r="BX146" s="615"/>
      <c r="BY146" s="615"/>
      <c r="BZ146" s="615"/>
      <c r="CA146" s="615"/>
      <c r="CB146" s="615"/>
      <c r="CC146" s="615"/>
      <c r="CD146" s="615"/>
      <c r="CE146" s="615"/>
      <c r="CF146" s="615"/>
      <c r="CG146" s="615"/>
      <c r="CH146" s="635"/>
      <c r="CI146" s="636"/>
      <c r="CJ146" s="615"/>
      <c r="CK146" s="615"/>
      <c r="CL146" s="615"/>
      <c r="CM146" s="615"/>
      <c r="CN146" s="615"/>
      <c r="CO146" s="615"/>
      <c r="CP146" s="615"/>
      <c r="CQ146" s="615"/>
      <c r="CR146" s="615"/>
      <c r="CS146" s="615"/>
      <c r="CT146" s="635"/>
      <c r="CU146" s="636"/>
      <c r="CV146" s="615"/>
      <c r="CW146" s="615"/>
      <c r="CX146" s="615"/>
      <c r="CY146" s="615"/>
      <c r="CZ146" s="615"/>
      <c r="DA146" s="615"/>
      <c r="DB146" s="615"/>
      <c r="DC146" s="615"/>
      <c r="DD146" s="615"/>
      <c r="DE146" s="615"/>
      <c r="DF146" s="635"/>
      <c r="DG146" s="636"/>
      <c r="DH146" s="615"/>
      <c r="DI146" s="615"/>
      <c r="DJ146" s="615"/>
      <c r="DK146" s="615"/>
      <c r="DL146" s="615"/>
      <c r="DM146" s="615"/>
      <c r="DN146" s="615"/>
      <c r="DO146" s="615"/>
      <c r="DP146" s="615"/>
      <c r="DQ146" s="615"/>
      <c r="DR146" s="635"/>
      <c r="DS146" s="636"/>
      <c r="DT146" s="615"/>
      <c r="DU146" s="615"/>
      <c r="DV146" s="615"/>
      <c r="DW146" s="615"/>
      <c r="DX146" s="615"/>
      <c r="DY146" s="615"/>
      <c r="DZ146" s="615"/>
      <c r="EA146" s="615"/>
      <c r="EB146" s="615"/>
      <c r="EC146" s="615"/>
      <c r="ED146" s="637"/>
      <c r="EE146" s="692"/>
    </row>
    <row r="147" spans="1:135" x14ac:dyDescent="0.25">
      <c r="A147" s="640" t="s">
        <v>11</v>
      </c>
      <c r="B147" s="367" t="s">
        <v>1059</v>
      </c>
      <c r="C147" s="367" t="s">
        <v>509</v>
      </c>
      <c r="D147" s="367" t="s">
        <v>1060</v>
      </c>
      <c r="E147" s="503" t="s">
        <v>1041</v>
      </c>
      <c r="F147" s="570">
        <v>44580</v>
      </c>
      <c r="G147" s="85" t="s">
        <v>59</v>
      </c>
      <c r="H147" s="85" t="s">
        <v>54</v>
      </c>
      <c r="I147" s="85" t="s">
        <v>358</v>
      </c>
      <c r="J147" s="675" t="s">
        <v>358</v>
      </c>
      <c r="K147" s="85" t="s">
        <v>358</v>
      </c>
      <c r="L147" s="85" t="s">
        <v>40</v>
      </c>
      <c r="M147" s="85" t="s">
        <v>3</v>
      </c>
      <c r="N147" s="668" t="s">
        <v>44</v>
      </c>
      <c r="O147" s="669"/>
      <c r="P147" s="615"/>
      <c r="Q147" s="615">
        <v>3</v>
      </c>
      <c r="R147" s="615"/>
      <c r="S147" s="615"/>
      <c r="T147" s="615"/>
      <c r="U147" s="615"/>
      <c r="V147" s="615"/>
      <c r="W147" s="615"/>
      <c r="X147" s="615"/>
      <c r="Y147" s="615"/>
      <c r="Z147" s="635"/>
      <c r="AA147" s="636"/>
      <c r="AB147" s="615"/>
      <c r="AC147" s="615"/>
      <c r="AD147" s="615"/>
      <c r="AE147" s="615"/>
      <c r="AF147" s="615"/>
      <c r="AG147" s="615"/>
      <c r="AH147" s="615"/>
      <c r="AI147" s="615"/>
      <c r="AJ147" s="615"/>
      <c r="AK147" s="615"/>
      <c r="AL147" s="635"/>
      <c r="AM147" s="636"/>
      <c r="AN147" s="615"/>
      <c r="AO147" s="615"/>
      <c r="AP147" s="615"/>
      <c r="AQ147" s="615"/>
      <c r="AR147" s="615"/>
      <c r="AS147" s="615"/>
      <c r="AT147" s="615"/>
      <c r="AU147" s="615"/>
      <c r="AV147" s="615"/>
      <c r="AW147" s="615"/>
      <c r="AX147" s="635"/>
      <c r="AY147" s="636"/>
      <c r="AZ147" s="615"/>
      <c r="BA147" s="615"/>
      <c r="BB147" s="615"/>
      <c r="BC147" s="615"/>
      <c r="BD147" s="615"/>
      <c r="BE147" s="615"/>
      <c r="BF147" s="615"/>
      <c r="BG147" s="615"/>
      <c r="BH147" s="615"/>
      <c r="BI147" s="615"/>
      <c r="BJ147" s="635"/>
      <c r="BK147" s="636"/>
      <c r="BL147" s="615"/>
      <c r="BM147" s="615"/>
      <c r="BN147" s="615"/>
      <c r="BO147" s="615"/>
      <c r="BP147" s="615"/>
      <c r="BQ147" s="615"/>
      <c r="BR147" s="615"/>
      <c r="BS147" s="615"/>
      <c r="BT147" s="615"/>
      <c r="BU147" s="615"/>
      <c r="BV147" s="637"/>
      <c r="BW147" s="669"/>
      <c r="BX147" s="615"/>
      <c r="BY147" s="615">
        <v>130</v>
      </c>
      <c r="BZ147" s="615"/>
      <c r="CA147" s="615"/>
      <c r="CB147" s="615"/>
      <c r="CC147" s="615"/>
      <c r="CD147" s="615"/>
      <c r="CE147" s="615"/>
      <c r="CF147" s="615"/>
      <c r="CG147" s="615"/>
      <c r="CH147" s="635"/>
      <c r="CI147" s="636"/>
      <c r="CJ147" s="615"/>
      <c r="CK147" s="615"/>
      <c r="CL147" s="615"/>
      <c r="CM147" s="615"/>
      <c r="CN147" s="615"/>
      <c r="CO147" s="615"/>
      <c r="CP147" s="615"/>
      <c r="CQ147" s="615"/>
      <c r="CR147" s="615"/>
      <c r="CS147" s="615"/>
      <c r="CT147" s="635"/>
      <c r="CU147" s="636"/>
      <c r="CV147" s="615"/>
      <c r="CW147" s="615"/>
      <c r="CX147" s="615"/>
      <c r="CY147" s="615"/>
      <c r="CZ147" s="615"/>
      <c r="DA147" s="615"/>
      <c r="DB147" s="615"/>
      <c r="DC147" s="615"/>
      <c r="DD147" s="615"/>
      <c r="DE147" s="615"/>
      <c r="DF147" s="635"/>
      <c r="DG147" s="636"/>
      <c r="DH147" s="615"/>
      <c r="DI147" s="615"/>
      <c r="DJ147" s="615"/>
      <c r="DK147" s="615"/>
      <c r="DL147" s="615"/>
      <c r="DM147" s="615"/>
      <c r="DN147" s="615"/>
      <c r="DO147" s="615"/>
      <c r="DP147" s="615"/>
      <c r="DQ147" s="615"/>
      <c r="DR147" s="635"/>
      <c r="DS147" s="636"/>
      <c r="DT147" s="615"/>
      <c r="DU147" s="615"/>
      <c r="DV147" s="615"/>
      <c r="DW147" s="615"/>
      <c r="DX147" s="615"/>
      <c r="DY147" s="615"/>
      <c r="DZ147" s="615"/>
      <c r="EA147" s="615"/>
      <c r="EB147" s="615"/>
      <c r="EC147" s="615"/>
      <c r="ED147" s="637"/>
      <c r="EE147" s="692"/>
    </row>
    <row r="148" spans="1:135" x14ac:dyDescent="0.25">
      <c r="A148" s="640" t="s">
        <v>11</v>
      </c>
      <c r="B148" s="367" t="s">
        <v>1061</v>
      </c>
      <c r="C148" s="367" t="s">
        <v>511</v>
      </c>
      <c r="D148" s="367" t="s">
        <v>1062</v>
      </c>
      <c r="E148" s="503" t="s">
        <v>1042</v>
      </c>
      <c r="F148" s="570">
        <v>44580</v>
      </c>
      <c r="G148" s="85" t="s">
        <v>58</v>
      </c>
      <c r="H148" s="85" t="s">
        <v>54</v>
      </c>
      <c r="I148" s="85" t="s">
        <v>358</v>
      </c>
      <c r="J148" s="675" t="s">
        <v>358</v>
      </c>
      <c r="K148" s="85" t="s">
        <v>358</v>
      </c>
      <c r="L148" s="85" t="s">
        <v>40</v>
      </c>
      <c r="M148" s="85" t="s">
        <v>3</v>
      </c>
      <c r="N148" s="668" t="s">
        <v>44</v>
      </c>
      <c r="O148" s="669"/>
      <c r="P148" s="615"/>
      <c r="Q148" s="615"/>
      <c r="R148" s="615"/>
      <c r="S148" s="615"/>
      <c r="T148" s="615"/>
      <c r="U148" s="615">
        <v>-2</v>
      </c>
      <c r="V148" s="615">
        <v>-2</v>
      </c>
      <c r="W148" s="615">
        <v>-2</v>
      </c>
      <c r="X148" s="615"/>
      <c r="Y148" s="615"/>
      <c r="Z148" s="635"/>
      <c r="AA148" s="636"/>
      <c r="AB148" s="615"/>
      <c r="AC148" s="615"/>
      <c r="AD148" s="615"/>
      <c r="AE148" s="615"/>
      <c r="AF148" s="615"/>
      <c r="AG148" s="615"/>
      <c r="AH148" s="615"/>
      <c r="AI148" s="615"/>
      <c r="AJ148" s="615"/>
      <c r="AK148" s="615"/>
      <c r="AL148" s="635"/>
      <c r="AM148" s="636"/>
      <c r="AN148" s="615"/>
      <c r="AO148" s="615"/>
      <c r="AP148" s="615"/>
      <c r="AQ148" s="615"/>
      <c r="AR148" s="615"/>
      <c r="AS148" s="615"/>
      <c r="AT148" s="615"/>
      <c r="AU148" s="615"/>
      <c r="AV148" s="615"/>
      <c r="AW148" s="615"/>
      <c r="AX148" s="635"/>
      <c r="AY148" s="636"/>
      <c r="AZ148" s="615"/>
      <c r="BA148" s="615"/>
      <c r="BB148" s="615"/>
      <c r="BC148" s="615"/>
      <c r="BD148" s="615"/>
      <c r="BE148" s="615"/>
      <c r="BF148" s="615"/>
      <c r="BG148" s="615"/>
      <c r="BH148" s="615"/>
      <c r="BI148" s="615"/>
      <c r="BJ148" s="635"/>
      <c r="BK148" s="636"/>
      <c r="BL148" s="615"/>
      <c r="BM148" s="615"/>
      <c r="BN148" s="615"/>
      <c r="BO148" s="615"/>
      <c r="BP148" s="615"/>
      <c r="BQ148" s="615"/>
      <c r="BR148" s="615"/>
      <c r="BS148" s="615"/>
      <c r="BT148" s="615"/>
      <c r="BU148" s="615"/>
      <c r="BV148" s="637"/>
      <c r="BW148" s="669"/>
      <c r="BX148" s="615"/>
      <c r="BY148" s="615"/>
      <c r="BZ148" s="615"/>
      <c r="CA148" s="615"/>
      <c r="CB148" s="615"/>
      <c r="CC148" s="615">
        <v>240</v>
      </c>
      <c r="CD148" s="615">
        <v>240</v>
      </c>
      <c r="CE148" s="615">
        <v>240</v>
      </c>
      <c r="CF148" s="615"/>
      <c r="CG148" s="615"/>
      <c r="CH148" s="635"/>
      <c r="CI148" s="636"/>
      <c r="CJ148" s="615"/>
      <c r="CK148" s="615"/>
      <c r="CL148" s="615"/>
      <c r="CM148" s="615"/>
      <c r="CN148" s="615"/>
      <c r="CO148" s="615"/>
      <c r="CP148" s="615"/>
      <c r="CQ148" s="615"/>
      <c r="CR148" s="615"/>
      <c r="CS148" s="615"/>
      <c r="CT148" s="635"/>
      <c r="CU148" s="636"/>
      <c r="CV148" s="615"/>
      <c r="CW148" s="615"/>
      <c r="CX148" s="615"/>
      <c r="CY148" s="615"/>
      <c r="CZ148" s="615"/>
      <c r="DA148" s="615"/>
      <c r="DB148" s="615"/>
      <c r="DC148" s="615"/>
      <c r="DD148" s="615"/>
      <c r="DE148" s="615"/>
      <c r="DF148" s="635"/>
      <c r="DG148" s="636"/>
      <c r="DH148" s="615"/>
      <c r="DI148" s="615"/>
      <c r="DJ148" s="615"/>
      <c r="DK148" s="615"/>
      <c r="DL148" s="615"/>
      <c r="DM148" s="615"/>
      <c r="DN148" s="615"/>
      <c r="DO148" s="615"/>
      <c r="DP148" s="615"/>
      <c r="DQ148" s="615"/>
      <c r="DR148" s="635"/>
      <c r="DS148" s="636"/>
      <c r="DT148" s="615"/>
      <c r="DU148" s="615"/>
      <c r="DV148" s="615"/>
      <c r="DW148" s="615"/>
      <c r="DX148" s="615"/>
      <c r="DY148" s="615"/>
      <c r="DZ148" s="615"/>
      <c r="EA148" s="615"/>
      <c r="EB148" s="615"/>
      <c r="EC148" s="615"/>
      <c r="ED148" s="637"/>
      <c r="EE148" s="692"/>
    </row>
    <row r="149" spans="1:135" x14ac:dyDescent="0.25">
      <c r="A149" s="640" t="s">
        <v>11</v>
      </c>
      <c r="B149" s="367" t="s">
        <v>1074</v>
      </c>
      <c r="C149" s="367" t="s">
        <v>478</v>
      </c>
      <c r="D149" s="367" t="s">
        <v>1075</v>
      </c>
      <c r="E149" s="503" t="s">
        <v>1069</v>
      </c>
      <c r="F149" s="570">
        <v>44582</v>
      </c>
      <c r="G149" s="85" t="s">
        <v>59</v>
      </c>
      <c r="H149" s="85" t="s">
        <v>54</v>
      </c>
      <c r="I149" s="85" t="s">
        <v>358</v>
      </c>
      <c r="J149" s="675" t="s">
        <v>358</v>
      </c>
      <c r="K149" s="85" t="s">
        <v>358</v>
      </c>
      <c r="L149" s="85" t="s">
        <v>40</v>
      </c>
      <c r="M149" s="85" t="s">
        <v>3</v>
      </c>
      <c r="N149" s="668" t="s">
        <v>44</v>
      </c>
      <c r="O149" s="669"/>
      <c r="P149" s="615"/>
      <c r="Q149" s="615"/>
      <c r="R149" s="615">
        <v>3.6</v>
      </c>
      <c r="S149" s="615">
        <v>3.6</v>
      </c>
      <c r="T149" s="615">
        <v>3.6</v>
      </c>
      <c r="U149" s="615"/>
      <c r="V149" s="615"/>
      <c r="W149" s="615"/>
      <c r="X149" s="615"/>
      <c r="Y149" s="615"/>
      <c r="Z149" s="635"/>
      <c r="AA149" s="636"/>
      <c r="AB149" s="615"/>
      <c r="AC149" s="615"/>
      <c r="AD149" s="615"/>
      <c r="AE149" s="615"/>
      <c r="AF149" s="615"/>
      <c r="AG149" s="615"/>
      <c r="AH149" s="615"/>
      <c r="AI149" s="615"/>
      <c r="AJ149" s="615"/>
      <c r="AK149" s="615"/>
      <c r="AL149" s="635"/>
      <c r="AM149" s="636"/>
      <c r="AN149" s="615"/>
      <c r="AO149" s="615"/>
      <c r="AP149" s="615"/>
      <c r="AQ149" s="615"/>
      <c r="AR149" s="615"/>
      <c r="AS149" s="615"/>
      <c r="AT149" s="615"/>
      <c r="AU149" s="615"/>
      <c r="AV149" s="615"/>
      <c r="AW149" s="615"/>
      <c r="AX149" s="635"/>
      <c r="AY149" s="636"/>
      <c r="AZ149" s="615"/>
      <c r="BA149" s="615"/>
      <c r="BB149" s="615"/>
      <c r="BC149" s="615"/>
      <c r="BD149" s="615"/>
      <c r="BE149" s="615"/>
      <c r="BF149" s="615"/>
      <c r="BG149" s="615"/>
      <c r="BH149" s="615"/>
      <c r="BI149" s="615"/>
      <c r="BJ149" s="635"/>
      <c r="BK149" s="636"/>
      <c r="BL149" s="615"/>
      <c r="BM149" s="615"/>
      <c r="BN149" s="615"/>
      <c r="BO149" s="615"/>
      <c r="BP149" s="615"/>
      <c r="BQ149" s="615"/>
      <c r="BR149" s="615"/>
      <c r="BS149" s="615"/>
      <c r="BT149" s="615"/>
      <c r="BU149" s="615"/>
      <c r="BV149" s="637"/>
      <c r="BW149" s="669"/>
      <c r="BX149" s="615"/>
      <c r="BY149" s="615"/>
      <c r="BZ149" s="615">
        <v>137.5</v>
      </c>
      <c r="CA149" s="615">
        <v>137.5</v>
      </c>
      <c r="CB149" s="615">
        <v>137.5</v>
      </c>
      <c r="CC149" s="615"/>
      <c r="CD149" s="615"/>
      <c r="CE149" s="615"/>
      <c r="CF149" s="615"/>
      <c r="CG149" s="615"/>
      <c r="CH149" s="635"/>
      <c r="CI149" s="636"/>
      <c r="CJ149" s="615"/>
      <c r="CK149" s="615"/>
      <c r="CL149" s="615"/>
      <c r="CM149" s="615"/>
      <c r="CN149" s="615"/>
      <c r="CO149" s="615"/>
      <c r="CP149" s="615"/>
      <c r="CQ149" s="615"/>
      <c r="CR149" s="615"/>
      <c r="CS149" s="615"/>
      <c r="CT149" s="635"/>
      <c r="CU149" s="636"/>
      <c r="CV149" s="615"/>
      <c r="CW149" s="615"/>
      <c r="CX149" s="615"/>
      <c r="CY149" s="615"/>
      <c r="CZ149" s="615"/>
      <c r="DA149" s="615"/>
      <c r="DB149" s="615"/>
      <c r="DC149" s="615"/>
      <c r="DD149" s="615"/>
      <c r="DE149" s="615"/>
      <c r="DF149" s="635"/>
      <c r="DG149" s="636"/>
      <c r="DH149" s="615"/>
      <c r="DI149" s="615"/>
      <c r="DJ149" s="615"/>
      <c r="DK149" s="615"/>
      <c r="DL149" s="615"/>
      <c r="DM149" s="615"/>
      <c r="DN149" s="615"/>
      <c r="DO149" s="615"/>
      <c r="DP149" s="615"/>
      <c r="DQ149" s="615"/>
      <c r="DR149" s="635"/>
      <c r="DS149" s="636"/>
      <c r="DT149" s="615"/>
      <c r="DU149" s="615"/>
      <c r="DV149" s="615"/>
      <c r="DW149" s="615"/>
      <c r="DX149" s="615"/>
      <c r="DY149" s="615"/>
      <c r="DZ149" s="615"/>
      <c r="EA149" s="615"/>
      <c r="EB149" s="615"/>
      <c r="EC149" s="615"/>
      <c r="ED149" s="637"/>
      <c r="EE149" s="692"/>
    </row>
    <row r="150" spans="1:135" x14ac:dyDescent="0.25">
      <c r="A150" s="640" t="s">
        <v>11</v>
      </c>
      <c r="B150" s="367" t="s">
        <v>1076</v>
      </c>
      <c r="C150" s="367" t="s">
        <v>1073</v>
      </c>
      <c r="D150" s="367" t="s">
        <v>1077</v>
      </c>
      <c r="E150" s="503" t="s">
        <v>1070</v>
      </c>
      <c r="F150" s="570">
        <v>44582</v>
      </c>
      <c r="G150" s="85" t="s">
        <v>59</v>
      </c>
      <c r="H150" s="85" t="s">
        <v>54</v>
      </c>
      <c r="I150" s="85" t="s">
        <v>358</v>
      </c>
      <c r="J150" s="675" t="s">
        <v>358</v>
      </c>
      <c r="K150" s="85" t="s">
        <v>358</v>
      </c>
      <c r="L150" s="85" t="s">
        <v>40</v>
      </c>
      <c r="M150" s="85" t="s">
        <v>3</v>
      </c>
      <c r="N150" s="668" t="s">
        <v>44</v>
      </c>
      <c r="O150" s="669"/>
      <c r="P150" s="615"/>
      <c r="Q150" s="615"/>
      <c r="R150" s="615"/>
      <c r="S150" s="615">
        <v>3</v>
      </c>
      <c r="T150" s="615"/>
      <c r="U150" s="615"/>
      <c r="V150" s="615"/>
      <c r="W150" s="615"/>
      <c r="X150" s="615"/>
      <c r="Y150" s="615"/>
      <c r="Z150" s="635"/>
      <c r="AA150" s="636"/>
      <c r="AB150" s="615"/>
      <c r="AC150" s="615"/>
      <c r="AD150" s="615"/>
      <c r="AE150" s="615"/>
      <c r="AF150" s="615"/>
      <c r="AG150" s="615"/>
      <c r="AH150" s="615"/>
      <c r="AI150" s="615"/>
      <c r="AJ150" s="615"/>
      <c r="AK150" s="615"/>
      <c r="AL150" s="635"/>
      <c r="AM150" s="636"/>
      <c r="AN150" s="615"/>
      <c r="AO150" s="615"/>
      <c r="AP150" s="615"/>
      <c r="AQ150" s="615"/>
      <c r="AR150" s="615"/>
      <c r="AS150" s="615"/>
      <c r="AT150" s="615"/>
      <c r="AU150" s="615"/>
      <c r="AV150" s="615"/>
      <c r="AW150" s="615"/>
      <c r="AX150" s="635"/>
      <c r="AY150" s="636"/>
      <c r="AZ150" s="615"/>
      <c r="BA150" s="615"/>
      <c r="BB150" s="615"/>
      <c r="BC150" s="615"/>
      <c r="BD150" s="615"/>
      <c r="BE150" s="615"/>
      <c r="BF150" s="615"/>
      <c r="BG150" s="615"/>
      <c r="BH150" s="615"/>
      <c r="BI150" s="615"/>
      <c r="BJ150" s="635"/>
      <c r="BK150" s="636"/>
      <c r="BL150" s="615"/>
      <c r="BM150" s="615"/>
      <c r="BN150" s="615"/>
      <c r="BO150" s="615"/>
      <c r="BP150" s="615"/>
      <c r="BQ150" s="615"/>
      <c r="BR150" s="615"/>
      <c r="BS150" s="615"/>
      <c r="BT150" s="615"/>
      <c r="BU150" s="615"/>
      <c r="BV150" s="637"/>
      <c r="BW150" s="669"/>
      <c r="BX150" s="615"/>
      <c r="BY150" s="615"/>
      <c r="BZ150" s="615"/>
      <c r="CA150" s="615">
        <v>128</v>
      </c>
      <c r="CB150" s="615"/>
      <c r="CC150" s="615"/>
      <c r="CD150" s="615"/>
      <c r="CE150" s="615"/>
      <c r="CF150" s="615"/>
      <c r="CG150" s="615"/>
      <c r="CH150" s="635"/>
      <c r="CI150" s="636"/>
      <c r="CJ150" s="615"/>
      <c r="CK150" s="615"/>
      <c r="CL150" s="615"/>
      <c r="CM150" s="615"/>
      <c r="CN150" s="615"/>
      <c r="CO150" s="615"/>
      <c r="CP150" s="615"/>
      <c r="CQ150" s="615"/>
      <c r="CR150" s="615"/>
      <c r="CS150" s="615"/>
      <c r="CT150" s="635"/>
      <c r="CU150" s="636"/>
      <c r="CV150" s="615"/>
      <c r="CW150" s="615"/>
      <c r="CX150" s="615"/>
      <c r="CY150" s="615"/>
      <c r="CZ150" s="615"/>
      <c r="DA150" s="615"/>
      <c r="DB150" s="615"/>
      <c r="DC150" s="615"/>
      <c r="DD150" s="615"/>
      <c r="DE150" s="615"/>
      <c r="DF150" s="635"/>
      <c r="DG150" s="636"/>
      <c r="DH150" s="615"/>
      <c r="DI150" s="615"/>
      <c r="DJ150" s="615"/>
      <c r="DK150" s="615"/>
      <c r="DL150" s="615"/>
      <c r="DM150" s="615"/>
      <c r="DN150" s="615"/>
      <c r="DO150" s="615"/>
      <c r="DP150" s="615"/>
      <c r="DQ150" s="615"/>
      <c r="DR150" s="635"/>
      <c r="DS150" s="636"/>
      <c r="DT150" s="615"/>
      <c r="DU150" s="615"/>
      <c r="DV150" s="615"/>
      <c r="DW150" s="615"/>
      <c r="DX150" s="615"/>
      <c r="DY150" s="615"/>
      <c r="DZ150" s="615"/>
      <c r="EA150" s="615"/>
      <c r="EB150" s="615"/>
      <c r="EC150" s="615"/>
      <c r="ED150" s="637"/>
      <c r="EE150" s="692"/>
    </row>
    <row r="151" spans="1:135" x14ac:dyDescent="0.25">
      <c r="A151" s="640" t="s">
        <v>11</v>
      </c>
      <c r="B151" s="367" t="s">
        <v>1078</v>
      </c>
      <c r="C151" s="367" t="s">
        <v>513</v>
      </c>
      <c r="D151" s="367" t="s">
        <v>1079</v>
      </c>
      <c r="E151" s="503" t="s">
        <v>1071</v>
      </c>
      <c r="F151" s="570">
        <v>44582</v>
      </c>
      <c r="G151" s="85" t="s">
        <v>59</v>
      </c>
      <c r="H151" s="85" t="s">
        <v>54</v>
      </c>
      <c r="I151" s="85" t="s">
        <v>358</v>
      </c>
      <c r="J151" s="675" t="s">
        <v>358</v>
      </c>
      <c r="K151" s="85" t="s">
        <v>358</v>
      </c>
      <c r="L151" s="85" t="s">
        <v>40</v>
      </c>
      <c r="M151" s="85" t="s">
        <v>3</v>
      </c>
      <c r="N151" s="668" t="s">
        <v>44</v>
      </c>
      <c r="O151" s="669"/>
      <c r="P151" s="615"/>
      <c r="Q151" s="615"/>
      <c r="R151" s="615"/>
      <c r="S151" s="615"/>
      <c r="T151" s="615"/>
      <c r="U151" s="615"/>
      <c r="V151" s="615"/>
      <c r="W151" s="615"/>
      <c r="X151" s="615"/>
      <c r="Y151" s="615"/>
      <c r="Z151" s="635">
        <v>4</v>
      </c>
      <c r="AA151" s="636"/>
      <c r="AB151" s="615"/>
      <c r="AC151" s="615"/>
      <c r="AD151" s="615"/>
      <c r="AE151" s="615"/>
      <c r="AF151" s="615"/>
      <c r="AG151" s="615"/>
      <c r="AH151" s="615"/>
      <c r="AI151" s="615"/>
      <c r="AJ151" s="615"/>
      <c r="AK151" s="615"/>
      <c r="AL151" s="635"/>
      <c r="AM151" s="636"/>
      <c r="AN151" s="615"/>
      <c r="AO151" s="615"/>
      <c r="AP151" s="615"/>
      <c r="AQ151" s="615"/>
      <c r="AR151" s="615"/>
      <c r="AS151" s="615"/>
      <c r="AT151" s="615"/>
      <c r="AU151" s="615"/>
      <c r="AV151" s="615"/>
      <c r="AW151" s="615"/>
      <c r="AX151" s="635"/>
      <c r="AY151" s="636"/>
      <c r="AZ151" s="615"/>
      <c r="BA151" s="615"/>
      <c r="BB151" s="615"/>
      <c r="BC151" s="615"/>
      <c r="BD151" s="615"/>
      <c r="BE151" s="615"/>
      <c r="BF151" s="615"/>
      <c r="BG151" s="615"/>
      <c r="BH151" s="615"/>
      <c r="BI151" s="615"/>
      <c r="BJ151" s="635"/>
      <c r="BK151" s="636"/>
      <c r="BL151" s="615"/>
      <c r="BM151" s="615"/>
      <c r="BN151" s="615"/>
      <c r="BO151" s="615"/>
      <c r="BP151" s="615"/>
      <c r="BQ151" s="615"/>
      <c r="BR151" s="615"/>
      <c r="BS151" s="615"/>
      <c r="BT151" s="615"/>
      <c r="BU151" s="615"/>
      <c r="BV151" s="637"/>
      <c r="BW151" s="669"/>
      <c r="BX151" s="615"/>
      <c r="BY151" s="615"/>
      <c r="BZ151" s="615"/>
      <c r="CA151" s="615"/>
      <c r="CB151" s="615"/>
      <c r="CC151" s="615"/>
      <c r="CD151" s="615"/>
      <c r="CE151" s="615"/>
      <c r="CF151" s="615"/>
      <c r="CG151" s="615"/>
      <c r="CH151" s="635">
        <v>180</v>
      </c>
      <c r="CI151" s="636"/>
      <c r="CJ151" s="615"/>
      <c r="CK151" s="615"/>
      <c r="CL151" s="615"/>
      <c r="CM151" s="615"/>
      <c r="CN151" s="615"/>
      <c r="CO151" s="615"/>
      <c r="CP151" s="615"/>
      <c r="CQ151" s="615"/>
      <c r="CR151" s="615"/>
      <c r="CS151" s="615"/>
      <c r="CT151" s="635"/>
      <c r="CU151" s="636"/>
      <c r="CV151" s="615"/>
      <c r="CW151" s="615"/>
      <c r="CX151" s="615"/>
      <c r="CY151" s="615"/>
      <c r="CZ151" s="615"/>
      <c r="DA151" s="615"/>
      <c r="DB151" s="615"/>
      <c r="DC151" s="615"/>
      <c r="DD151" s="615"/>
      <c r="DE151" s="615"/>
      <c r="DF151" s="635"/>
      <c r="DG151" s="636"/>
      <c r="DH151" s="615"/>
      <c r="DI151" s="615"/>
      <c r="DJ151" s="615"/>
      <c r="DK151" s="615"/>
      <c r="DL151" s="615"/>
      <c r="DM151" s="615"/>
      <c r="DN151" s="615"/>
      <c r="DO151" s="615"/>
      <c r="DP151" s="615"/>
      <c r="DQ151" s="615"/>
      <c r="DR151" s="635"/>
      <c r="DS151" s="636"/>
      <c r="DT151" s="615"/>
      <c r="DU151" s="615"/>
      <c r="DV151" s="615"/>
      <c r="DW151" s="615"/>
      <c r="DX151" s="615"/>
      <c r="DY151" s="615"/>
      <c r="DZ151" s="615"/>
      <c r="EA151" s="615"/>
      <c r="EB151" s="615"/>
      <c r="EC151" s="615"/>
      <c r="ED151" s="637"/>
      <c r="EE151" s="692"/>
    </row>
    <row r="152" spans="1:135" x14ac:dyDescent="0.25">
      <c r="A152" s="640" t="s">
        <v>11</v>
      </c>
      <c r="B152" s="367" t="s">
        <v>1080</v>
      </c>
      <c r="C152" s="367" t="s">
        <v>620</v>
      </c>
      <c r="D152" s="367" t="s">
        <v>1081</v>
      </c>
      <c r="E152" s="503" t="s">
        <v>1072</v>
      </c>
      <c r="F152" s="570">
        <v>44582</v>
      </c>
      <c r="G152" s="85" t="s">
        <v>59</v>
      </c>
      <c r="H152" s="85" t="s">
        <v>54</v>
      </c>
      <c r="I152" s="85" t="s">
        <v>358</v>
      </c>
      <c r="J152" s="675" t="s">
        <v>358</v>
      </c>
      <c r="K152" s="85" t="s">
        <v>358</v>
      </c>
      <c r="L152" s="85" t="s">
        <v>40</v>
      </c>
      <c r="M152" s="85" t="s">
        <v>3</v>
      </c>
      <c r="N152" s="668" t="s">
        <v>44</v>
      </c>
      <c r="O152" s="669">
        <v>34.799999999999997</v>
      </c>
      <c r="P152" s="615"/>
      <c r="Q152" s="615"/>
      <c r="R152" s="615"/>
      <c r="S152" s="615"/>
      <c r="T152" s="615"/>
      <c r="U152" s="615"/>
      <c r="V152" s="615"/>
      <c r="W152" s="615"/>
      <c r="X152" s="615"/>
      <c r="Y152" s="615"/>
      <c r="Z152" s="635"/>
      <c r="AA152" s="636"/>
      <c r="AB152" s="615"/>
      <c r="AC152" s="615"/>
      <c r="AD152" s="615"/>
      <c r="AE152" s="615"/>
      <c r="AF152" s="615"/>
      <c r="AG152" s="615"/>
      <c r="AH152" s="615"/>
      <c r="AI152" s="615"/>
      <c r="AJ152" s="615"/>
      <c r="AK152" s="615"/>
      <c r="AL152" s="635"/>
      <c r="AM152" s="636"/>
      <c r="AN152" s="615"/>
      <c r="AO152" s="615"/>
      <c r="AP152" s="615"/>
      <c r="AQ152" s="615"/>
      <c r="AR152" s="615"/>
      <c r="AS152" s="615"/>
      <c r="AT152" s="615"/>
      <c r="AU152" s="615"/>
      <c r="AV152" s="615"/>
      <c r="AW152" s="615"/>
      <c r="AX152" s="635"/>
      <c r="AY152" s="636"/>
      <c r="AZ152" s="615"/>
      <c r="BA152" s="615"/>
      <c r="BB152" s="615"/>
      <c r="BC152" s="615"/>
      <c r="BD152" s="615"/>
      <c r="BE152" s="615"/>
      <c r="BF152" s="615"/>
      <c r="BG152" s="615"/>
      <c r="BH152" s="615"/>
      <c r="BI152" s="615"/>
      <c r="BJ152" s="635"/>
      <c r="BK152" s="636"/>
      <c r="BL152" s="615"/>
      <c r="BM152" s="615"/>
      <c r="BN152" s="615"/>
      <c r="BO152" s="615"/>
      <c r="BP152" s="615"/>
      <c r="BQ152" s="615"/>
      <c r="BR152" s="615"/>
      <c r="BS152" s="615"/>
      <c r="BT152" s="615"/>
      <c r="BU152" s="615"/>
      <c r="BV152" s="637"/>
      <c r="BW152" s="669">
        <v>65</v>
      </c>
      <c r="BX152" s="615"/>
      <c r="BY152" s="615"/>
      <c r="BZ152" s="615"/>
      <c r="CA152" s="615"/>
      <c r="CB152" s="615"/>
      <c r="CC152" s="615"/>
      <c r="CD152" s="615"/>
      <c r="CE152" s="615"/>
      <c r="CF152" s="615"/>
      <c r="CG152" s="615"/>
      <c r="CH152" s="635"/>
      <c r="CI152" s="636"/>
      <c r="CJ152" s="615"/>
      <c r="CK152" s="615"/>
      <c r="CL152" s="615"/>
      <c r="CM152" s="615"/>
      <c r="CN152" s="615"/>
      <c r="CO152" s="615"/>
      <c r="CP152" s="615"/>
      <c r="CQ152" s="615"/>
      <c r="CR152" s="615"/>
      <c r="CS152" s="615"/>
      <c r="CT152" s="635"/>
      <c r="CU152" s="636"/>
      <c r="CV152" s="615"/>
      <c r="CW152" s="615"/>
      <c r="CX152" s="615"/>
      <c r="CY152" s="615"/>
      <c r="CZ152" s="615"/>
      <c r="DA152" s="615"/>
      <c r="DB152" s="615"/>
      <c r="DC152" s="615"/>
      <c r="DD152" s="615"/>
      <c r="DE152" s="615"/>
      <c r="DF152" s="635"/>
      <c r="DG152" s="636"/>
      <c r="DH152" s="615"/>
      <c r="DI152" s="615"/>
      <c r="DJ152" s="615"/>
      <c r="DK152" s="615"/>
      <c r="DL152" s="615"/>
      <c r="DM152" s="615"/>
      <c r="DN152" s="615"/>
      <c r="DO152" s="615"/>
      <c r="DP152" s="615"/>
      <c r="DQ152" s="615"/>
      <c r="DR152" s="635"/>
      <c r="DS152" s="636"/>
      <c r="DT152" s="615"/>
      <c r="DU152" s="615"/>
      <c r="DV152" s="615"/>
      <c r="DW152" s="615"/>
      <c r="DX152" s="615"/>
      <c r="DY152" s="615"/>
      <c r="DZ152" s="615"/>
      <c r="EA152" s="615"/>
      <c r="EB152" s="615"/>
      <c r="EC152" s="615"/>
      <c r="ED152" s="637"/>
      <c r="EE152" s="692"/>
    </row>
    <row r="153" spans="1:135" x14ac:dyDescent="0.25">
      <c r="A153" s="640" t="s">
        <v>11</v>
      </c>
      <c r="B153" s="367" t="s">
        <v>1088</v>
      </c>
      <c r="C153" s="367" t="s">
        <v>967</v>
      </c>
      <c r="D153" s="367" t="s">
        <v>1089</v>
      </c>
      <c r="E153" s="503" t="s">
        <v>1082</v>
      </c>
      <c r="F153" s="570">
        <v>44585</v>
      </c>
      <c r="G153" s="85" t="s">
        <v>59</v>
      </c>
      <c r="H153" s="85" t="s">
        <v>54</v>
      </c>
      <c r="I153" s="85" t="s">
        <v>358</v>
      </c>
      <c r="J153" s="675" t="s">
        <v>358</v>
      </c>
      <c r="K153" s="85" t="s">
        <v>358</v>
      </c>
      <c r="L153" s="85" t="s">
        <v>40</v>
      </c>
      <c r="M153" s="85" t="s">
        <v>3</v>
      </c>
      <c r="N153" s="668" t="s">
        <v>44</v>
      </c>
      <c r="O153" s="669"/>
      <c r="P153" s="615">
        <v>5</v>
      </c>
      <c r="Q153" s="615"/>
      <c r="R153" s="615"/>
      <c r="S153" s="615"/>
      <c r="T153" s="615"/>
      <c r="U153" s="615"/>
      <c r="V153" s="615"/>
      <c r="W153" s="615"/>
      <c r="X153" s="615"/>
      <c r="Y153" s="615"/>
      <c r="Z153" s="635"/>
      <c r="AA153" s="636"/>
      <c r="AB153" s="615"/>
      <c r="AC153" s="615"/>
      <c r="AD153" s="615"/>
      <c r="AE153" s="615"/>
      <c r="AF153" s="615"/>
      <c r="AG153" s="615"/>
      <c r="AH153" s="615"/>
      <c r="AI153" s="615"/>
      <c r="AJ153" s="615"/>
      <c r="AK153" s="615"/>
      <c r="AL153" s="635"/>
      <c r="AM153" s="636"/>
      <c r="AN153" s="615"/>
      <c r="AO153" s="615"/>
      <c r="AP153" s="615"/>
      <c r="AQ153" s="615"/>
      <c r="AR153" s="615"/>
      <c r="AS153" s="615"/>
      <c r="AT153" s="615"/>
      <c r="AU153" s="615"/>
      <c r="AV153" s="615"/>
      <c r="AW153" s="615"/>
      <c r="AX153" s="635"/>
      <c r="AY153" s="636"/>
      <c r="AZ153" s="615"/>
      <c r="BA153" s="615"/>
      <c r="BB153" s="615"/>
      <c r="BC153" s="615"/>
      <c r="BD153" s="615"/>
      <c r="BE153" s="615"/>
      <c r="BF153" s="615"/>
      <c r="BG153" s="615"/>
      <c r="BH153" s="615"/>
      <c r="BI153" s="615"/>
      <c r="BJ153" s="635"/>
      <c r="BK153" s="636"/>
      <c r="BL153" s="615"/>
      <c r="BM153" s="615"/>
      <c r="BN153" s="615"/>
      <c r="BO153" s="615"/>
      <c r="BP153" s="615"/>
      <c r="BQ153" s="615"/>
      <c r="BR153" s="615"/>
      <c r="BS153" s="615"/>
      <c r="BT153" s="615"/>
      <c r="BU153" s="615"/>
      <c r="BV153" s="637"/>
      <c r="BW153" s="669"/>
      <c r="BX153" s="615">
        <v>70</v>
      </c>
      <c r="BY153" s="615"/>
      <c r="BZ153" s="615"/>
      <c r="CA153" s="615"/>
      <c r="CB153" s="615"/>
      <c r="CC153" s="615"/>
      <c r="CD153" s="615"/>
      <c r="CE153" s="615"/>
      <c r="CF153" s="615"/>
      <c r="CG153" s="615"/>
      <c r="CH153" s="635"/>
      <c r="CI153" s="636"/>
      <c r="CJ153" s="615"/>
      <c r="CK153" s="615"/>
      <c r="CL153" s="615"/>
      <c r="CM153" s="615"/>
      <c r="CN153" s="615"/>
      <c r="CO153" s="615"/>
      <c r="CP153" s="615"/>
      <c r="CQ153" s="615"/>
      <c r="CR153" s="615"/>
      <c r="CS153" s="615"/>
      <c r="CT153" s="635"/>
      <c r="CU153" s="636"/>
      <c r="CV153" s="615"/>
      <c r="CW153" s="615"/>
      <c r="CX153" s="615"/>
      <c r="CY153" s="615"/>
      <c r="CZ153" s="615"/>
      <c r="DA153" s="615"/>
      <c r="DB153" s="615"/>
      <c r="DC153" s="615"/>
      <c r="DD153" s="615"/>
      <c r="DE153" s="615"/>
      <c r="DF153" s="635"/>
      <c r="DG153" s="636"/>
      <c r="DH153" s="615"/>
      <c r="DI153" s="615"/>
      <c r="DJ153" s="615"/>
      <c r="DK153" s="615"/>
      <c r="DL153" s="615"/>
      <c r="DM153" s="615"/>
      <c r="DN153" s="615"/>
      <c r="DO153" s="615"/>
      <c r="DP153" s="615"/>
      <c r="DQ153" s="615"/>
      <c r="DR153" s="635"/>
      <c r="DS153" s="636"/>
      <c r="DT153" s="615"/>
      <c r="DU153" s="615"/>
      <c r="DV153" s="615"/>
      <c r="DW153" s="615"/>
      <c r="DX153" s="615"/>
      <c r="DY153" s="615"/>
      <c r="DZ153" s="615"/>
      <c r="EA153" s="615"/>
      <c r="EB153" s="615"/>
      <c r="EC153" s="615"/>
      <c r="ED153" s="637"/>
      <c r="EE153" s="692"/>
    </row>
    <row r="154" spans="1:135" x14ac:dyDescent="0.25">
      <c r="A154" s="640" t="s">
        <v>11</v>
      </c>
      <c r="B154" s="367" t="s">
        <v>1090</v>
      </c>
      <c r="C154" s="367" t="s">
        <v>501</v>
      </c>
      <c r="D154" s="367" t="s">
        <v>1091</v>
      </c>
      <c r="E154" s="503" t="s">
        <v>1083</v>
      </c>
      <c r="F154" s="570">
        <v>44585</v>
      </c>
      <c r="G154" s="85" t="s">
        <v>59</v>
      </c>
      <c r="H154" s="85" t="s">
        <v>54</v>
      </c>
      <c r="I154" s="85" t="s">
        <v>358</v>
      </c>
      <c r="J154" s="675" t="s">
        <v>358</v>
      </c>
      <c r="K154" s="85" t="s">
        <v>358</v>
      </c>
      <c r="L154" s="85" t="s">
        <v>40</v>
      </c>
      <c r="M154" s="85" t="s">
        <v>3</v>
      </c>
      <c r="N154" s="668" t="s">
        <v>44</v>
      </c>
      <c r="O154" s="669"/>
      <c r="P154" s="615">
        <v>10</v>
      </c>
      <c r="Q154" s="615"/>
      <c r="R154" s="615"/>
      <c r="S154" s="615"/>
      <c r="T154" s="615"/>
      <c r="U154" s="615"/>
      <c r="V154" s="615"/>
      <c r="W154" s="615"/>
      <c r="X154" s="615"/>
      <c r="Y154" s="615"/>
      <c r="Z154" s="635"/>
      <c r="AA154" s="636"/>
      <c r="AB154" s="615"/>
      <c r="AC154" s="615"/>
      <c r="AD154" s="615"/>
      <c r="AE154" s="615"/>
      <c r="AF154" s="615"/>
      <c r="AG154" s="615"/>
      <c r="AH154" s="615"/>
      <c r="AI154" s="615"/>
      <c r="AJ154" s="615"/>
      <c r="AK154" s="615"/>
      <c r="AL154" s="635"/>
      <c r="AM154" s="636"/>
      <c r="AN154" s="615"/>
      <c r="AO154" s="615"/>
      <c r="AP154" s="615"/>
      <c r="AQ154" s="615"/>
      <c r="AR154" s="615"/>
      <c r="AS154" s="615"/>
      <c r="AT154" s="615"/>
      <c r="AU154" s="615"/>
      <c r="AV154" s="615"/>
      <c r="AW154" s="615"/>
      <c r="AX154" s="635"/>
      <c r="AY154" s="636"/>
      <c r="AZ154" s="615"/>
      <c r="BA154" s="615"/>
      <c r="BB154" s="615"/>
      <c r="BC154" s="615"/>
      <c r="BD154" s="615"/>
      <c r="BE154" s="615"/>
      <c r="BF154" s="615"/>
      <c r="BG154" s="615"/>
      <c r="BH154" s="615"/>
      <c r="BI154" s="615"/>
      <c r="BJ154" s="635"/>
      <c r="BK154" s="636"/>
      <c r="BL154" s="615"/>
      <c r="BM154" s="615"/>
      <c r="BN154" s="615"/>
      <c r="BO154" s="615"/>
      <c r="BP154" s="615"/>
      <c r="BQ154" s="615"/>
      <c r="BR154" s="615"/>
      <c r="BS154" s="615"/>
      <c r="BT154" s="615"/>
      <c r="BU154" s="615"/>
      <c r="BV154" s="637"/>
      <c r="BW154" s="669"/>
      <c r="BX154" s="615">
        <v>70</v>
      </c>
      <c r="BY154" s="615"/>
      <c r="BZ154" s="615"/>
      <c r="CA154" s="615"/>
      <c r="CB154" s="615"/>
      <c r="CC154" s="615"/>
      <c r="CD154" s="615"/>
      <c r="CE154" s="615"/>
      <c r="CF154" s="615"/>
      <c r="CG154" s="615"/>
      <c r="CH154" s="635"/>
      <c r="CI154" s="636"/>
      <c r="CJ154" s="615"/>
      <c r="CK154" s="615"/>
      <c r="CL154" s="615"/>
      <c r="CM154" s="615"/>
      <c r="CN154" s="615"/>
      <c r="CO154" s="615"/>
      <c r="CP154" s="615"/>
      <c r="CQ154" s="615"/>
      <c r="CR154" s="615"/>
      <c r="CS154" s="615"/>
      <c r="CT154" s="635"/>
      <c r="CU154" s="636"/>
      <c r="CV154" s="615"/>
      <c r="CW154" s="615"/>
      <c r="CX154" s="615"/>
      <c r="CY154" s="615"/>
      <c r="CZ154" s="615"/>
      <c r="DA154" s="615"/>
      <c r="DB154" s="615"/>
      <c r="DC154" s="615"/>
      <c r="DD154" s="615"/>
      <c r="DE154" s="615"/>
      <c r="DF154" s="635"/>
      <c r="DG154" s="636"/>
      <c r="DH154" s="615"/>
      <c r="DI154" s="615"/>
      <c r="DJ154" s="615"/>
      <c r="DK154" s="615"/>
      <c r="DL154" s="615"/>
      <c r="DM154" s="615"/>
      <c r="DN154" s="615"/>
      <c r="DO154" s="615"/>
      <c r="DP154" s="615"/>
      <c r="DQ154" s="615"/>
      <c r="DR154" s="635"/>
      <c r="DS154" s="636"/>
      <c r="DT154" s="615"/>
      <c r="DU154" s="615"/>
      <c r="DV154" s="615"/>
      <c r="DW154" s="615"/>
      <c r="DX154" s="615"/>
      <c r="DY154" s="615"/>
      <c r="DZ154" s="615"/>
      <c r="EA154" s="615"/>
      <c r="EB154" s="615"/>
      <c r="EC154" s="615"/>
      <c r="ED154" s="637"/>
      <c r="EE154" s="692"/>
    </row>
    <row r="155" spans="1:135" x14ac:dyDescent="0.25">
      <c r="A155" s="640" t="s">
        <v>11</v>
      </c>
      <c r="B155" s="367" t="s">
        <v>1093</v>
      </c>
      <c r="C155" s="367" t="s">
        <v>478</v>
      </c>
      <c r="D155" s="367" t="s">
        <v>1094</v>
      </c>
      <c r="E155" s="503" t="s">
        <v>1085</v>
      </c>
      <c r="F155" s="570">
        <v>44585</v>
      </c>
      <c r="G155" s="85" t="s">
        <v>59</v>
      </c>
      <c r="H155" s="85" t="s">
        <v>54</v>
      </c>
      <c r="I155" s="85" t="s">
        <v>358</v>
      </c>
      <c r="J155" s="675" t="s">
        <v>358</v>
      </c>
      <c r="K155" s="85" t="s">
        <v>358</v>
      </c>
      <c r="L155" s="85" t="s">
        <v>40</v>
      </c>
      <c r="M155" s="85" t="s">
        <v>3</v>
      </c>
      <c r="N155" s="668" t="s">
        <v>44</v>
      </c>
      <c r="O155" s="669"/>
      <c r="P155" s="615"/>
      <c r="Q155" s="615"/>
      <c r="R155" s="615">
        <v>2</v>
      </c>
      <c r="S155" s="615"/>
      <c r="T155" s="615"/>
      <c r="U155" s="615"/>
      <c r="V155" s="615"/>
      <c r="W155" s="615"/>
      <c r="X155" s="615"/>
      <c r="Y155" s="615"/>
      <c r="Z155" s="635"/>
      <c r="AA155" s="636"/>
      <c r="AB155" s="615"/>
      <c r="AC155" s="615"/>
      <c r="AD155" s="615"/>
      <c r="AE155" s="615"/>
      <c r="AF155" s="615"/>
      <c r="AG155" s="615"/>
      <c r="AH155" s="615"/>
      <c r="AI155" s="615"/>
      <c r="AJ155" s="615"/>
      <c r="AK155" s="615"/>
      <c r="AL155" s="635"/>
      <c r="AM155" s="636"/>
      <c r="AN155" s="615"/>
      <c r="AO155" s="615"/>
      <c r="AP155" s="615"/>
      <c r="AQ155" s="615"/>
      <c r="AR155" s="615"/>
      <c r="AS155" s="615"/>
      <c r="AT155" s="615"/>
      <c r="AU155" s="615"/>
      <c r="AV155" s="615"/>
      <c r="AW155" s="615"/>
      <c r="AX155" s="635"/>
      <c r="AY155" s="636"/>
      <c r="AZ155" s="615"/>
      <c r="BA155" s="615"/>
      <c r="BB155" s="615"/>
      <c r="BC155" s="615"/>
      <c r="BD155" s="615"/>
      <c r="BE155" s="615"/>
      <c r="BF155" s="615"/>
      <c r="BG155" s="615"/>
      <c r="BH155" s="615"/>
      <c r="BI155" s="615"/>
      <c r="BJ155" s="635"/>
      <c r="BK155" s="636"/>
      <c r="BL155" s="615"/>
      <c r="BM155" s="615"/>
      <c r="BN155" s="615"/>
      <c r="BO155" s="615"/>
      <c r="BP155" s="615"/>
      <c r="BQ155" s="615"/>
      <c r="BR155" s="615"/>
      <c r="BS155" s="615"/>
      <c r="BT155" s="615"/>
      <c r="BU155" s="615"/>
      <c r="BV155" s="637"/>
      <c r="BW155" s="669"/>
      <c r="BX155" s="615"/>
      <c r="BY155" s="615"/>
      <c r="BZ155" s="615">
        <v>110</v>
      </c>
      <c r="CA155" s="615"/>
      <c r="CB155" s="615"/>
      <c r="CC155" s="615"/>
      <c r="CD155" s="615"/>
      <c r="CE155" s="615"/>
      <c r="CF155" s="615"/>
      <c r="CG155" s="615"/>
      <c r="CH155" s="635"/>
      <c r="CI155" s="636"/>
      <c r="CJ155" s="615"/>
      <c r="CK155" s="615"/>
      <c r="CL155" s="615"/>
      <c r="CM155" s="615"/>
      <c r="CN155" s="615"/>
      <c r="CO155" s="615"/>
      <c r="CP155" s="615"/>
      <c r="CQ155" s="615"/>
      <c r="CR155" s="615"/>
      <c r="CS155" s="615"/>
      <c r="CT155" s="635"/>
      <c r="CU155" s="636"/>
      <c r="CV155" s="615"/>
      <c r="CW155" s="615"/>
      <c r="CX155" s="615"/>
      <c r="CY155" s="615"/>
      <c r="CZ155" s="615"/>
      <c r="DA155" s="615"/>
      <c r="DB155" s="615"/>
      <c r="DC155" s="615"/>
      <c r="DD155" s="615"/>
      <c r="DE155" s="615"/>
      <c r="DF155" s="635"/>
      <c r="DG155" s="636"/>
      <c r="DH155" s="615"/>
      <c r="DI155" s="615"/>
      <c r="DJ155" s="615"/>
      <c r="DK155" s="615"/>
      <c r="DL155" s="615"/>
      <c r="DM155" s="615"/>
      <c r="DN155" s="615"/>
      <c r="DO155" s="615"/>
      <c r="DP155" s="615"/>
      <c r="DQ155" s="615"/>
      <c r="DR155" s="635"/>
      <c r="DS155" s="636"/>
      <c r="DT155" s="615"/>
      <c r="DU155" s="615"/>
      <c r="DV155" s="615"/>
      <c r="DW155" s="615"/>
      <c r="DX155" s="615"/>
      <c r="DY155" s="615"/>
      <c r="DZ155" s="615"/>
      <c r="EA155" s="615"/>
      <c r="EB155" s="615"/>
      <c r="EC155" s="615"/>
      <c r="ED155" s="637"/>
      <c r="EE155" s="692"/>
    </row>
    <row r="156" spans="1:135" x14ac:dyDescent="0.25">
      <c r="A156" s="640" t="s">
        <v>11</v>
      </c>
      <c r="B156" s="367" t="s">
        <v>1104</v>
      </c>
      <c r="C156" s="367" t="s">
        <v>509</v>
      </c>
      <c r="D156" s="367" t="s">
        <v>1105</v>
      </c>
      <c r="E156" s="503" t="s">
        <v>1097</v>
      </c>
      <c r="F156" s="570">
        <v>44587</v>
      </c>
      <c r="G156" s="85" t="s">
        <v>59</v>
      </c>
      <c r="H156" s="85" t="s">
        <v>54</v>
      </c>
      <c r="I156" s="85" t="s">
        <v>358</v>
      </c>
      <c r="J156" s="675" t="s">
        <v>358</v>
      </c>
      <c r="K156" s="85" t="s">
        <v>358</v>
      </c>
      <c r="L156" s="85" t="s">
        <v>40</v>
      </c>
      <c r="M156" s="85" t="s">
        <v>3</v>
      </c>
      <c r="N156" s="668" t="s">
        <v>44</v>
      </c>
      <c r="O156" s="669"/>
      <c r="P156" s="615"/>
      <c r="Q156" s="615"/>
      <c r="R156" s="615"/>
      <c r="S156" s="615">
        <v>10</v>
      </c>
      <c r="T156" s="615"/>
      <c r="U156" s="615"/>
      <c r="V156" s="615"/>
      <c r="W156" s="615"/>
      <c r="X156" s="615"/>
      <c r="Y156" s="615"/>
      <c r="Z156" s="635"/>
      <c r="AA156" s="636"/>
      <c r="AB156" s="615"/>
      <c r="AC156" s="615"/>
      <c r="AD156" s="615"/>
      <c r="AE156" s="615"/>
      <c r="AF156" s="615"/>
      <c r="AG156" s="615"/>
      <c r="AH156" s="615"/>
      <c r="AI156" s="615"/>
      <c r="AJ156" s="615"/>
      <c r="AK156" s="615"/>
      <c r="AL156" s="635"/>
      <c r="AM156" s="636"/>
      <c r="AN156" s="615"/>
      <c r="AO156" s="615"/>
      <c r="AP156" s="615"/>
      <c r="AQ156" s="615"/>
      <c r="AR156" s="615"/>
      <c r="AS156" s="615"/>
      <c r="AT156" s="615"/>
      <c r="AU156" s="615"/>
      <c r="AV156" s="615"/>
      <c r="AW156" s="615"/>
      <c r="AX156" s="635"/>
      <c r="AY156" s="636"/>
      <c r="AZ156" s="615"/>
      <c r="BA156" s="615"/>
      <c r="BB156" s="615"/>
      <c r="BC156" s="615"/>
      <c r="BD156" s="615"/>
      <c r="BE156" s="615"/>
      <c r="BF156" s="615"/>
      <c r="BG156" s="615"/>
      <c r="BH156" s="615"/>
      <c r="BI156" s="615"/>
      <c r="BJ156" s="635"/>
      <c r="BK156" s="636"/>
      <c r="BL156" s="615"/>
      <c r="BM156" s="615"/>
      <c r="BN156" s="615"/>
      <c r="BO156" s="615"/>
      <c r="BP156" s="615"/>
      <c r="BQ156" s="615"/>
      <c r="BR156" s="615"/>
      <c r="BS156" s="615"/>
      <c r="BT156" s="615"/>
      <c r="BU156" s="615"/>
      <c r="BV156" s="637"/>
      <c r="BW156" s="669"/>
      <c r="BX156" s="615"/>
      <c r="BY156" s="615"/>
      <c r="BZ156" s="615"/>
      <c r="CA156" s="615">
        <v>112</v>
      </c>
      <c r="CB156" s="615"/>
      <c r="CC156" s="615"/>
      <c r="CD156" s="615"/>
      <c r="CE156" s="615"/>
      <c r="CF156" s="615"/>
      <c r="CG156" s="615"/>
      <c r="CH156" s="635"/>
      <c r="CI156" s="636"/>
      <c r="CJ156" s="615"/>
      <c r="CK156" s="615"/>
      <c r="CL156" s="615"/>
      <c r="CM156" s="615"/>
      <c r="CN156" s="615"/>
      <c r="CO156" s="615"/>
      <c r="CP156" s="615"/>
      <c r="CQ156" s="615"/>
      <c r="CR156" s="615"/>
      <c r="CS156" s="615"/>
      <c r="CT156" s="635"/>
      <c r="CU156" s="636"/>
      <c r="CV156" s="615"/>
      <c r="CW156" s="615"/>
      <c r="CX156" s="615"/>
      <c r="CY156" s="615"/>
      <c r="CZ156" s="615"/>
      <c r="DA156" s="615"/>
      <c r="DB156" s="615"/>
      <c r="DC156" s="615"/>
      <c r="DD156" s="615"/>
      <c r="DE156" s="615"/>
      <c r="DF156" s="635"/>
      <c r="DG156" s="636"/>
      <c r="DH156" s="615"/>
      <c r="DI156" s="615"/>
      <c r="DJ156" s="615"/>
      <c r="DK156" s="615"/>
      <c r="DL156" s="615"/>
      <c r="DM156" s="615"/>
      <c r="DN156" s="615"/>
      <c r="DO156" s="615"/>
      <c r="DP156" s="615"/>
      <c r="DQ156" s="615"/>
      <c r="DR156" s="635"/>
      <c r="DS156" s="636"/>
      <c r="DT156" s="615"/>
      <c r="DU156" s="615"/>
      <c r="DV156" s="615"/>
      <c r="DW156" s="615"/>
      <c r="DX156" s="615"/>
      <c r="DY156" s="615"/>
      <c r="DZ156" s="615"/>
      <c r="EA156" s="615"/>
      <c r="EB156" s="615"/>
      <c r="EC156" s="615"/>
      <c r="ED156" s="637"/>
      <c r="EE156" s="692"/>
    </row>
    <row r="157" spans="1:135" x14ac:dyDescent="0.25">
      <c r="A157" s="640" t="s">
        <v>11</v>
      </c>
      <c r="B157" s="367" t="s">
        <v>1106</v>
      </c>
      <c r="C157" s="367" t="s">
        <v>348</v>
      </c>
      <c r="D157" s="367" t="s">
        <v>1107</v>
      </c>
      <c r="E157" s="503" t="s">
        <v>1098</v>
      </c>
      <c r="F157" s="570">
        <v>44587</v>
      </c>
      <c r="G157" s="85" t="s">
        <v>59</v>
      </c>
      <c r="H157" s="85" t="s">
        <v>54</v>
      </c>
      <c r="I157" s="85" t="s">
        <v>358</v>
      </c>
      <c r="J157" s="675" t="s">
        <v>358</v>
      </c>
      <c r="K157" s="85" t="s">
        <v>358</v>
      </c>
      <c r="L157" s="85" t="s">
        <v>40</v>
      </c>
      <c r="M157" s="85" t="s">
        <v>3</v>
      </c>
      <c r="N157" s="668" t="s">
        <v>44</v>
      </c>
      <c r="O157" s="669"/>
      <c r="P157" s="615"/>
      <c r="Q157" s="615"/>
      <c r="R157" s="615">
        <v>5</v>
      </c>
      <c r="S157" s="615"/>
      <c r="T157" s="615"/>
      <c r="U157" s="615"/>
      <c r="V157" s="615"/>
      <c r="W157" s="615"/>
      <c r="X157" s="615"/>
      <c r="Y157" s="615"/>
      <c r="Z157" s="635"/>
      <c r="AA157" s="636"/>
      <c r="AB157" s="615"/>
      <c r="AC157" s="615"/>
      <c r="AD157" s="615"/>
      <c r="AE157" s="615"/>
      <c r="AF157" s="615"/>
      <c r="AG157" s="615"/>
      <c r="AH157" s="615"/>
      <c r="AI157" s="615"/>
      <c r="AJ157" s="615"/>
      <c r="AK157" s="615"/>
      <c r="AL157" s="635"/>
      <c r="AM157" s="636"/>
      <c r="AN157" s="615"/>
      <c r="AO157" s="615"/>
      <c r="AP157" s="615"/>
      <c r="AQ157" s="615"/>
      <c r="AR157" s="615"/>
      <c r="AS157" s="615"/>
      <c r="AT157" s="615"/>
      <c r="AU157" s="615"/>
      <c r="AV157" s="615"/>
      <c r="AW157" s="615"/>
      <c r="AX157" s="635"/>
      <c r="AY157" s="636"/>
      <c r="AZ157" s="615"/>
      <c r="BA157" s="615"/>
      <c r="BB157" s="615"/>
      <c r="BC157" s="615"/>
      <c r="BD157" s="615"/>
      <c r="BE157" s="615"/>
      <c r="BF157" s="615"/>
      <c r="BG157" s="615"/>
      <c r="BH157" s="615"/>
      <c r="BI157" s="615"/>
      <c r="BJ157" s="635"/>
      <c r="BK157" s="636"/>
      <c r="BL157" s="615"/>
      <c r="BM157" s="615"/>
      <c r="BN157" s="615"/>
      <c r="BO157" s="615"/>
      <c r="BP157" s="615"/>
      <c r="BQ157" s="615"/>
      <c r="BR157" s="615"/>
      <c r="BS157" s="615"/>
      <c r="BT157" s="615"/>
      <c r="BU157" s="615"/>
      <c r="BV157" s="637"/>
      <c r="BW157" s="669"/>
      <c r="BX157" s="615"/>
      <c r="BY157" s="615"/>
      <c r="BZ157" s="615">
        <v>100</v>
      </c>
      <c r="CA157" s="615"/>
      <c r="CB157" s="615"/>
      <c r="CC157" s="615"/>
      <c r="CD157" s="615"/>
      <c r="CE157" s="615"/>
      <c r="CF157" s="615"/>
      <c r="CG157" s="615"/>
      <c r="CH157" s="635"/>
      <c r="CI157" s="636"/>
      <c r="CJ157" s="615"/>
      <c r="CK157" s="615"/>
      <c r="CL157" s="615"/>
      <c r="CM157" s="615"/>
      <c r="CN157" s="615"/>
      <c r="CO157" s="615"/>
      <c r="CP157" s="615"/>
      <c r="CQ157" s="615"/>
      <c r="CR157" s="615"/>
      <c r="CS157" s="615"/>
      <c r="CT157" s="635"/>
      <c r="CU157" s="636"/>
      <c r="CV157" s="615"/>
      <c r="CW157" s="615"/>
      <c r="CX157" s="615"/>
      <c r="CY157" s="615"/>
      <c r="CZ157" s="615"/>
      <c r="DA157" s="615"/>
      <c r="DB157" s="615"/>
      <c r="DC157" s="615"/>
      <c r="DD157" s="615"/>
      <c r="DE157" s="615"/>
      <c r="DF157" s="635"/>
      <c r="DG157" s="636"/>
      <c r="DH157" s="615"/>
      <c r="DI157" s="615"/>
      <c r="DJ157" s="615"/>
      <c r="DK157" s="615"/>
      <c r="DL157" s="615"/>
      <c r="DM157" s="615"/>
      <c r="DN157" s="615"/>
      <c r="DO157" s="615"/>
      <c r="DP157" s="615"/>
      <c r="DQ157" s="615"/>
      <c r="DR157" s="635"/>
      <c r="DS157" s="636"/>
      <c r="DT157" s="615"/>
      <c r="DU157" s="615"/>
      <c r="DV157" s="615"/>
      <c r="DW157" s="615"/>
      <c r="DX157" s="615"/>
      <c r="DY157" s="615"/>
      <c r="DZ157" s="615"/>
      <c r="EA157" s="615"/>
      <c r="EB157" s="615"/>
      <c r="EC157" s="615"/>
      <c r="ED157" s="637"/>
      <c r="EE157" s="692"/>
    </row>
    <row r="158" spans="1:135" x14ac:dyDescent="0.25">
      <c r="A158" s="640" t="s">
        <v>11</v>
      </c>
      <c r="B158" s="367" t="s">
        <v>1108</v>
      </c>
      <c r="C158" s="367" t="s">
        <v>506</v>
      </c>
      <c r="D158" s="367" t="s">
        <v>1109</v>
      </c>
      <c r="E158" s="503" t="s">
        <v>1099</v>
      </c>
      <c r="F158" s="570">
        <v>44587</v>
      </c>
      <c r="G158" s="85" t="s">
        <v>59</v>
      </c>
      <c r="H158" s="85" t="s">
        <v>54</v>
      </c>
      <c r="I158" s="85" t="s">
        <v>358</v>
      </c>
      <c r="J158" s="675" t="s">
        <v>358</v>
      </c>
      <c r="K158" s="85" t="s">
        <v>358</v>
      </c>
      <c r="L158" s="85" t="s">
        <v>40</v>
      </c>
      <c r="M158" s="85" t="s">
        <v>3</v>
      </c>
      <c r="N158" s="668" t="s">
        <v>44</v>
      </c>
      <c r="O158" s="669"/>
      <c r="P158" s="615">
        <v>10</v>
      </c>
      <c r="Q158" s="615"/>
      <c r="R158" s="615"/>
      <c r="S158" s="615"/>
      <c r="T158" s="615"/>
      <c r="U158" s="615"/>
      <c r="V158" s="615"/>
      <c r="W158" s="615"/>
      <c r="X158" s="615"/>
      <c r="Y158" s="615"/>
      <c r="Z158" s="635"/>
      <c r="AA158" s="636"/>
      <c r="AB158" s="615"/>
      <c r="AC158" s="615"/>
      <c r="AD158" s="615"/>
      <c r="AE158" s="615"/>
      <c r="AF158" s="615"/>
      <c r="AG158" s="615"/>
      <c r="AH158" s="615"/>
      <c r="AI158" s="615"/>
      <c r="AJ158" s="615"/>
      <c r="AK158" s="615"/>
      <c r="AL158" s="635"/>
      <c r="AM158" s="636"/>
      <c r="AN158" s="615"/>
      <c r="AO158" s="615"/>
      <c r="AP158" s="615"/>
      <c r="AQ158" s="615"/>
      <c r="AR158" s="615"/>
      <c r="AS158" s="615"/>
      <c r="AT158" s="615"/>
      <c r="AU158" s="615"/>
      <c r="AV158" s="615"/>
      <c r="AW158" s="615"/>
      <c r="AX158" s="635"/>
      <c r="AY158" s="636"/>
      <c r="AZ158" s="615"/>
      <c r="BA158" s="615"/>
      <c r="BB158" s="615"/>
      <c r="BC158" s="615"/>
      <c r="BD158" s="615"/>
      <c r="BE158" s="615"/>
      <c r="BF158" s="615"/>
      <c r="BG158" s="615"/>
      <c r="BH158" s="615"/>
      <c r="BI158" s="615"/>
      <c r="BJ158" s="635"/>
      <c r="BK158" s="636"/>
      <c r="BL158" s="615"/>
      <c r="BM158" s="615"/>
      <c r="BN158" s="615"/>
      <c r="BO158" s="615"/>
      <c r="BP158" s="615"/>
      <c r="BQ158" s="615"/>
      <c r="BR158" s="615"/>
      <c r="BS158" s="615"/>
      <c r="BT158" s="615"/>
      <c r="BU158" s="615"/>
      <c r="BV158" s="637"/>
      <c r="BW158" s="669"/>
      <c r="BX158" s="615">
        <v>71</v>
      </c>
      <c r="BY158" s="615"/>
      <c r="BZ158" s="615"/>
      <c r="CA158" s="615"/>
      <c r="CB158" s="615"/>
      <c r="CC158" s="615"/>
      <c r="CD158" s="615"/>
      <c r="CE158" s="615"/>
      <c r="CF158" s="615"/>
      <c r="CG158" s="615"/>
      <c r="CH158" s="635"/>
      <c r="CI158" s="636"/>
      <c r="CJ158" s="615"/>
      <c r="CK158" s="615"/>
      <c r="CL158" s="615"/>
      <c r="CM158" s="615"/>
      <c r="CN158" s="615"/>
      <c r="CO158" s="615"/>
      <c r="CP158" s="615"/>
      <c r="CQ158" s="615"/>
      <c r="CR158" s="615"/>
      <c r="CS158" s="615"/>
      <c r="CT158" s="635"/>
      <c r="CU158" s="636"/>
      <c r="CV158" s="615"/>
      <c r="CW158" s="615"/>
      <c r="CX158" s="615"/>
      <c r="CY158" s="615"/>
      <c r="CZ158" s="615"/>
      <c r="DA158" s="615"/>
      <c r="DB158" s="615"/>
      <c r="DC158" s="615"/>
      <c r="DD158" s="615"/>
      <c r="DE158" s="615"/>
      <c r="DF158" s="635"/>
      <c r="DG158" s="636"/>
      <c r="DH158" s="615"/>
      <c r="DI158" s="615"/>
      <c r="DJ158" s="615"/>
      <c r="DK158" s="615"/>
      <c r="DL158" s="615"/>
      <c r="DM158" s="615"/>
      <c r="DN158" s="615"/>
      <c r="DO158" s="615"/>
      <c r="DP158" s="615"/>
      <c r="DQ158" s="615"/>
      <c r="DR158" s="635"/>
      <c r="DS158" s="636"/>
      <c r="DT158" s="615"/>
      <c r="DU158" s="615"/>
      <c r="DV158" s="615"/>
      <c r="DW158" s="615"/>
      <c r="DX158" s="615"/>
      <c r="DY158" s="615"/>
      <c r="DZ158" s="615"/>
      <c r="EA158" s="615"/>
      <c r="EB158" s="615"/>
      <c r="EC158" s="615"/>
      <c r="ED158" s="637"/>
      <c r="EE158" s="692"/>
    </row>
    <row r="159" spans="1:135" x14ac:dyDescent="0.25">
      <c r="A159" s="640" t="s">
        <v>11</v>
      </c>
      <c r="B159" s="367" t="s">
        <v>1110</v>
      </c>
      <c r="C159" s="367" t="s">
        <v>355</v>
      </c>
      <c r="D159" s="367" t="s">
        <v>1111</v>
      </c>
      <c r="E159" s="503" t="s">
        <v>1100</v>
      </c>
      <c r="F159" s="570">
        <v>44587</v>
      </c>
      <c r="G159" s="85" t="s">
        <v>59</v>
      </c>
      <c r="H159" s="85" t="s">
        <v>54</v>
      </c>
      <c r="I159" s="85" t="s">
        <v>358</v>
      </c>
      <c r="J159" s="675" t="s">
        <v>358</v>
      </c>
      <c r="K159" s="85" t="s">
        <v>358</v>
      </c>
      <c r="L159" s="85" t="s">
        <v>40</v>
      </c>
      <c r="M159" s="85" t="s">
        <v>3</v>
      </c>
      <c r="N159" s="668" t="s">
        <v>44</v>
      </c>
      <c r="O159" s="669"/>
      <c r="P159" s="615">
        <v>1</v>
      </c>
      <c r="Q159" s="615"/>
      <c r="R159" s="615"/>
      <c r="S159" s="615"/>
      <c r="T159" s="615"/>
      <c r="U159" s="615"/>
      <c r="V159" s="615"/>
      <c r="W159" s="615"/>
      <c r="X159" s="615"/>
      <c r="Y159" s="615"/>
      <c r="Z159" s="635"/>
      <c r="AA159" s="636"/>
      <c r="AB159" s="615"/>
      <c r="AC159" s="615"/>
      <c r="AD159" s="615"/>
      <c r="AE159" s="615"/>
      <c r="AF159" s="615"/>
      <c r="AG159" s="615"/>
      <c r="AH159" s="615"/>
      <c r="AI159" s="615"/>
      <c r="AJ159" s="615"/>
      <c r="AK159" s="615"/>
      <c r="AL159" s="635"/>
      <c r="AM159" s="636"/>
      <c r="AN159" s="615"/>
      <c r="AO159" s="615"/>
      <c r="AP159" s="615"/>
      <c r="AQ159" s="615"/>
      <c r="AR159" s="615"/>
      <c r="AS159" s="615"/>
      <c r="AT159" s="615"/>
      <c r="AU159" s="615"/>
      <c r="AV159" s="615"/>
      <c r="AW159" s="615"/>
      <c r="AX159" s="635"/>
      <c r="AY159" s="636"/>
      <c r="AZ159" s="615"/>
      <c r="BA159" s="615"/>
      <c r="BB159" s="615"/>
      <c r="BC159" s="615"/>
      <c r="BD159" s="615"/>
      <c r="BE159" s="615"/>
      <c r="BF159" s="615"/>
      <c r="BG159" s="615"/>
      <c r="BH159" s="615"/>
      <c r="BI159" s="615"/>
      <c r="BJ159" s="635"/>
      <c r="BK159" s="636"/>
      <c r="BL159" s="615"/>
      <c r="BM159" s="615"/>
      <c r="BN159" s="615"/>
      <c r="BO159" s="615"/>
      <c r="BP159" s="615"/>
      <c r="BQ159" s="615"/>
      <c r="BR159" s="615"/>
      <c r="BS159" s="615"/>
      <c r="BT159" s="615"/>
      <c r="BU159" s="615"/>
      <c r="BV159" s="637"/>
      <c r="BW159" s="669"/>
      <c r="BX159" s="615">
        <v>70</v>
      </c>
      <c r="BY159" s="615"/>
      <c r="BZ159" s="615"/>
      <c r="CA159" s="615"/>
      <c r="CB159" s="615"/>
      <c r="CC159" s="615"/>
      <c r="CD159" s="615"/>
      <c r="CE159" s="615"/>
      <c r="CF159" s="615"/>
      <c r="CG159" s="615"/>
      <c r="CH159" s="635"/>
      <c r="CI159" s="636"/>
      <c r="CJ159" s="615"/>
      <c r="CK159" s="615"/>
      <c r="CL159" s="615"/>
      <c r="CM159" s="615"/>
      <c r="CN159" s="615"/>
      <c r="CO159" s="615"/>
      <c r="CP159" s="615"/>
      <c r="CQ159" s="615"/>
      <c r="CR159" s="615"/>
      <c r="CS159" s="615"/>
      <c r="CT159" s="635"/>
      <c r="CU159" s="636"/>
      <c r="CV159" s="615"/>
      <c r="CW159" s="615"/>
      <c r="CX159" s="615"/>
      <c r="CY159" s="615"/>
      <c r="CZ159" s="615"/>
      <c r="DA159" s="615"/>
      <c r="DB159" s="615"/>
      <c r="DC159" s="615"/>
      <c r="DD159" s="615"/>
      <c r="DE159" s="615"/>
      <c r="DF159" s="635"/>
      <c r="DG159" s="636"/>
      <c r="DH159" s="615"/>
      <c r="DI159" s="615"/>
      <c r="DJ159" s="615"/>
      <c r="DK159" s="615"/>
      <c r="DL159" s="615"/>
      <c r="DM159" s="615"/>
      <c r="DN159" s="615"/>
      <c r="DO159" s="615"/>
      <c r="DP159" s="615"/>
      <c r="DQ159" s="615"/>
      <c r="DR159" s="635"/>
      <c r="DS159" s="636"/>
      <c r="DT159" s="615"/>
      <c r="DU159" s="615"/>
      <c r="DV159" s="615"/>
      <c r="DW159" s="615"/>
      <c r="DX159" s="615"/>
      <c r="DY159" s="615"/>
      <c r="DZ159" s="615"/>
      <c r="EA159" s="615"/>
      <c r="EB159" s="615"/>
      <c r="EC159" s="615"/>
      <c r="ED159" s="637"/>
      <c r="EE159" s="692"/>
    </row>
    <row r="160" spans="1:135" x14ac:dyDescent="0.25">
      <c r="A160" s="640" t="s">
        <v>11</v>
      </c>
      <c r="B160" s="367" t="s">
        <v>1112</v>
      </c>
      <c r="C160" s="367" t="s">
        <v>1103</v>
      </c>
      <c r="D160" s="367" t="s">
        <v>1113</v>
      </c>
      <c r="E160" s="503" t="s">
        <v>1101</v>
      </c>
      <c r="F160" s="570">
        <v>44587</v>
      </c>
      <c r="G160" s="85" t="s">
        <v>59</v>
      </c>
      <c r="H160" s="85" t="s">
        <v>54</v>
      </c>
      <c r="I160" s="85" t="s">
        <v>358</v>
      </c>
      <c r="J160" s="675" t="s">
        <v>358</v>
      </c>
      <c r="K160" s="85" t="s">
        <v>358</v>
      </c>
      <c r="L160" s="85" t="s">
        <v>40</v>
      </c>
      <c r="M160" s="85" t="s">
        <v>3</v>
      </c>
      <c r="N160" s="668" t="s">
        <v>44</v>
      </c>
      <c r="O160" s="669"/>
      <c r="P160" s="615">
        <v>2</v>
      </c>
      <c r="Q160" s="615"/>
      <c r="R160" s="615"/>
      <c r="S160" s="615"/>
      <c r="T160" s="615"/>
      <c r="U160" s="615"/>
      <c r="V160" s="615"/>
      <c r="W160" s="615"/>
      <c r="X160" s="615"/>
      <c r="Y160" s="615"/>
      <c r="Z160" s="635"/>
      <c r="AA160" s="636"/>
      <c r="AB160" s="615"/>
      <c r="AC160" s="615"/>
      <c r="AD160" s="615"/>
      <c r="AE160" s="615"/>
      <c r="AF160" s="615"/>
      <c r="AG160" s="615"/>
      <c r="AH160" s="615"/>
      <c r="AI160" s="615"/>
      <c r="AJ160" s="615"/>
      <c r="AK160" s="615"/>
      <c r="AL160" s="635"/>
      <c r="AM160" s="636"/>
      <c r="AN160" s="615"/>
      <c r="AO160" s="615"/>
      <c r="AP160" s="615"/>
      <c r="AQ160" s="615"/>
      <c r="AR160" s="615"/>
      <c r="AS160" s="615"/>
      <c r="AT160" s="615"/>
      <c r="AU160" s="615"/>
      <c r="AV160" s="615"/>
      <c r="AW160" s="615"/>
      <c r="AX160" s="635"/>
      <c r="AY160" s="636"/>
      <c r="AZ160" s="615"/>
      <c r="BA160" s="615"/>
      <c r="BB160" s="615"/>
      <c r="BC160" s="615"/>
      <c r="BD160" s="615"/>
      <c r="BE160" s="615"/>
      <c r="BF160" s="615"/>
      <c r="BG160" s="615"/>
      <c r="BH160" s="615"/>
      <c r="BI160" s="615"/>
      <c r="BJ160" s="635"/>
      <c r="BK160" s="636"/>
      <c r="BL160" s="615"/>
      <c r="BM160" s="615"/>
      <c r="BN160" s="615"/>
      <c r="BO160" s="615"/>
      <c r="BP160" s="615"/>
      <c r="BQ160" s="615"/>
      <c r="BR160" s="615"/>
      <c r="BS160" s="615"/>
      <c r="BT160" s="615"/>
      <c r="BU160" s="615"/>
      <c r="BV160" s="637"/>
      <c r="BW160" s="669"/>
      <c r="BX160" s="615">
        <v>71</v>
      </c>
      <c r="BY160" s="615"/>
      <c r="BZ160" s="615"/>
      <c r="CA160" s="615"/>
      <c r="CB160" s="615"/>
      <c r="CC160" s="615"/>
      <c r="CD160" s="615"/>
      <c r="CE160" s="615"/>
      <c r="CF160" s="615"/>
      <c r="CG160" s="615"/>
      <c r="CH160" s="635"/>
      <c r="CI160" s="636"/>
      <c r="CJ160" s="615"/>
      <c r="CK160" s="615"/>
      <c r="CL160" s="615"/>
      <c r="CM160" s="615"/>
      <c r="CN160" s="615"/>
      <c r="CO160" s="615"/>
      <c r="CP160" s="615"/>
      <c r="CQ160" s="615"/>
      <c r="CR160" s="615"/>
      <c r="CS160" s="615"/>
      <c r="CT160" s="635"/>
      <c r="CU160" s="636"/>
      <c r="CV160" s="615"/>
      <c r="CW160" s="615"/>
      <c r="CX160" s="615"/>
      <c r="CY160" s="615"/>
      <c r="CZ160" s="615"/>
      <c r="DA160" s="615"/>
      <c r="DB160" s="615"/>
      <c r="DC160" s="615"/>
      <c r="DD160" s="615"/>
      <c r="DE160" s="615"/>
      <c r="DF160" s="635"/>
      <c r="DG160" s="636"/>
      <c r="DH160" s="615"/>
      <c r="DI160" s="615"/>
      <c r="DJ160" s="615"/>
      <c r="DK160" s="615"/>
      <c r="DL160" s="615"/>
      <c r="DM160" s="615"/>
      <c r="DN160" s="615"/>
      <c r="DO160" s="615"/>
      <c r="DP160" s="615"/>
      <c r="DQ160" s="615"/>
      <c r="DR160" s="635"/>
      <c r="DS160" s="636"/>
      <c r="DT160" s="615"/>
      <c r="DU160" s="615"/>
      <c r="DV160" s="615"/>
      <c r="DW160" s="615"/>
      <c r="DX160" s="615"/>
      <c r="DY160" s="615"/>
      <c r="DZ160" s="615"/>
      <c r="EA160" s="615"/>
      <c r="EB160" s="615"/>
      <c r="EC160" s="615"/>
      <c r="ED160" s="637"/>
      <c r="EE160" s="692"/>
    </row>
    <row r="161" spans="1:135" x14ac:dyDescent="0.25">
      <c r="A161" s="640" t="s">
        <v>11</v>
      </c>
      <c r="B161" s="367" t="s">
        <v>1114</v>
      </c>
      <c r="C161" s="367" t="s">
        <v>967</v>
      </c>
      <c r="D161" s="367" t="s">
        <v>1115</v>
      </c>
      <c r="E161" s="503" t="s">
        <v>1102</v>
      </c>
      <c r="F161" s="570">
        <v>44587</v>
      </c>
      <c r="G161" s="85" t="s">
        <v>59</v>
      </c>
      <c r="H161" s="85" t="s">
        <v>54</v>
      </c>
      <c r="I161" s="85" t="s">
        <v>358</v>
      </c>
      <c r="J161" s="675" t="s">
        <v>358</v>
      </c>
      <c r="K161" s="85" t="s">
        <v>358</v>
      </c>
      <c r="L161" s="85" t="s">
        <v>40</v>
      </c>
      <c r="M161" s="85" t="s">
        <v>3</v>
      </c>
      <c r="N161" s="668" t="s">
        <v>44</v>
      </c>
      <c r="O161" s="669"/>
      <c r="P161" s="615">
        <v>5</v>
      </c>
      <c r="Q161" s="615"/>
      <c r="R161" s="615"/>
      <c r="S161" s="615"/>
      <c r="T161" s="615"/>
      <c r="U161" s="615"/>
      <c r="V161" s="615"/>
      <c r="W161" s="615"/>
      <c r="X161" s="615"/>
      <c r="Y161" s="615"/>
      <c r="Z161" s="635"/>
      <c r="AA161" s="636"/>
      <c r="AB161" s="615"/>
      <c r="AC161" s="615"/>
      <c r="AD161" s="615"/>
      <c r="AE161" s="615"/>
      <c r="AF161" s="615"/>
      <c r="AG161" s="615"/>
      <c r="AH161" s="615"/>
      <c r="AI161" s="615"/>
      <c r="AJ161" s="615"/>
      <c r="AK161" s="615"/>
      <c r="AL161" s="635"/>
      <c r="AM161" s="636"/>
      <c r="AN161" s="615"/>
      <c r="AO161" s="615"/>
      <c r="AP161" s="615"/>
      <c r="AQ161" s="615"/>
      <c r="AR161" s="615"/>
      <c r="AS161" s="615"/>
      <c r="AT161" s="615"/>
      <c r="AU161" s="615"/>
      <c r="AV161" s="615"/>
      <c r="AW161" s="615"/>
      <c r="AX161" s="635"/>
      <c r="AY161" s="636"/>
      <c r="AZ161" s="615"/>
      <c r="BA161" s="615"/>
      <c r="BB161" s="615"/>
      <c r="BC161" s="615"/>
      <c r="BD161" s="615"/>
      <c r="BE161" s="615"/>
      <c r="BF161" s="615"/>
      <c r="BG161" s="615"/>
      <c r="BH161" s="615"/>
      <c r="BI161" s="615"/>
      <c r="BJ161" s="635"/>
      <c r="BK161" s="636"/>
      <c r="BL161" s="615"/>
      <c r="BM161" s="615"/>
      <c r="BN161" s="615"/>
      <c r="BO161" s="615"/>
      <c r="BP161" s="615"/>
      <c r="BQ161" s="615"/>
      <c r="BR161" s="615"/>
      <c r="BS161" s="615"/>
      <c r="BT161" s="615"/>
      <c r="BU161" s="615"/>
      <c r="BV161" s="637"/>
      <c r="BW161" s="669"/>
      <c r="BX161" s="615">
        <v>70</v>
      </c>
      <c r="BY161" s="615"/>
      <c r="BZ161" s="615"/>
      <c r="CA161" s="615"/>
      <c r="CB161" s="615"/>
      <c r="CC161" s="615"/>
      <c r="CD161" s="615"/>
      <c r="CE161" s="615"/>
      <c r="CF161" s="615"/>
      <c r="CG161" s="615"/>
      <c r="CH161" s="635"/>
      <c r="CI161" s="636"/>
      <c r="CJ161" s="615"/>
      <c r="CK161" s="615"/>
      <c r="CL161" s="615"/>
      <c r="CM161" s="615"/>
      <c r="CN161" s="615"/>
      <c r="CO161" s="615"/>
      <c r="CP161" s="615"/>
      <c r="CQ161" s="615"/>
      <c r="CR161" s="615"/>
      <c r="CS161" s="615"/>
      <c r="CT161" s="635"/>
      <c r="CU161" s="636"/>
      <c r="CV161" s="615"/>
      <c r="CW161" s="615"/>
      <c r="CX161" s="615"/>
      <c r="CY161" s="615"/>
      <c r="CZ161" s="615"/>
      <c r="DA161" s="615"/>
      <c r="DB161" s="615"/>
      <c r="DC161" s="615"/>
      <c r="DD161" s="615"/>
      <c r="DE161" s="615"/>
      <c r="DF161" s="635"/>
      <c r="DG161" s="636"/>
      <c r="DH161" s="615"/>
      <c r="DI161" s="615"/>
      <c r="DJ161" s="615"/>
      <c r="DK161" s="615"/>
      <c r="DL161" s="615"/>
      <c r="DM161" s="615"/>
      <c r="DN161" s="615"/>
      <c r="DO161" s="615"/>
      <c r="DP161" s="615"/>
      <c r="DQ161" s="615"/>
      <c r="DR161" s="635"/>
      <c r="DS161" s="636"/>
      <c r="DT161" s="615"/>
      <c r="DU161" s="615"/>
      <c r="DV161" s="615"/>
      <c r="DW161" s="615"/>
      <c r="DX161" s="615"/>
      <c r="DY161" s="615"/>
      <c r="DZ161" s="615"/>
      <c r="EA161" s="615"/>
      <c r="EB161" s="615"/>
      <c r="EC161" s="615"/>
      <c r="ED161" s="637"/>
      <c r="EE161" s="692"/>
    </row>
    <row r="162" spans="1:135" x14ac:dyDescent="0.25">
      <c r="A162" s="640" t="s">
        <v>11</v>
      </c>
      <c r="B162" s="367" t="s">
        <v>1119</v>
      </c>
      <c r="C162" s="367" t="s">
        <v>348</v>
      </c>
      <c r="D162" s="367" t="s">
        <v>1120</v>
      </c>
      <c r="E162" s="503" t="s">
        <v>1117</v>
      </c>
      <c r="F162" s="570">
        <v>44588</v>
      </c>
      <c r="G162" s="85" t="s">
        <v>59</v>
      </c>
      <c r="H162" s="85" t="s">
        <v>54</v>
      </c>
      <c r="I162" s="85" t="s">
        <v>358</v>
      </c>
      <c r="J162" s="675" t="s">
        <v>358</v>
      </c>
      <c r="K162" s="85" t="s">
        <v>358</v>
      </c>
      <c r="L162" s="85" t="s">
        <v>40</v>
      </c>
      <c r="M162" s="85" t="s">
        <v>3</v>
      </c>
      <c r="N162" s="668" t="s">
        <v>44</v>
      </c>
      <c r="O162" s="669"/>
      <c r="P162" s="615"/>
      <c r="Q162" s="615"/>
      <c r="R162" s="615">
        <v>5</v>
      </c>
      <c r="S162" s="615"/>
      <c r="T162" s="615"/>
      <c r="U162" s="615"/>
      <c r="V162" s="615"/>
      <c r="W162" s="615"/>
      <c r="X162" s="615"/>
      <c r="Y162" s="615"/>
      <c r="Z162" s="635"/>
      <c r="AA162" s="636"/>
      <c r="AB162" s="615"/>
      <c r="AC162" s="615"/>
      <c r="AD162" s="615"/>
      <c r="AE162" s="615"/>
      <c r="AF162" s="615"/>
      <c r="AG162" s="615"/>
      <c r="AH162" s="615"/>
      <c r="AI162" s="615"/>
      <c r="AJ162" s="615"/>
      <c r="AK162" s="615"/>
      <c r="AL162" s="635"/>
      <c r="AM162" s="636"/>
      <c r="AN162" s="615"/>
      <c r="AO162" s="615"/>
      <c r="AP162" s="615"/>
      <c r="AQ162" s="615"/>
      <c r="AR162" s="615"/>
      <c r="AS162" s="615"/>
      <c r="AT162" s="615"/>
      <c r="AU162" s="615"/>
      <c r="AV162" s="615"/>
      <c r="AW162" s="615"/>
      <c r="AX162" s="635"/>
      <c r="AY162" s="636"/>
      <c r="AZ162" s="615"/>
      <c r="BA162" s="615"/>
      <c r="BB162" s="615"/>
      <c r="BC162" s="615"/>
      <c r="BD162" s="615"/>
      <c r="BE162" s="615"/>
      <c r="BF162" s="615"/>
      <c r="BG162" s="615"/>
      <c r="BH162" s="615"/>
      <c r="BI162" s="615"/>
      <c r="BJ162" s="635"/>
      <c r="BK162" s="636"/>
      <c r="BL162" s="615"/>
      <c r="BM162" s="615"/>
      <c r="BN162" s="615"/>
      <c r="BO162" s="615"/>
      <c r="BP162" s="615"/>
      <c r="BQ162" s="615"/>
      <c r="BR162" s="615"/>
      <c r="BS162" s="615"/>
      <c r="BT162" s="615"/>
      <c r="BU162" s="615"/>
      <c r="BV162" s="637"/>
      <c r="BW162" s="669"/>
      <c r="BX162" s="615"/>
      <c r="BY162" s="615"/>
      <c r="BZ162" s="615">
        <v>100</v>
      </c>
      <c r="CA162" s="615"/>
      <c r="CB162" s="615"/>
      <c r="CC162" s="615"/>
      <c r="CD162" s="615"/>
      <c r="CE162" s="615"/>
      <c r="CF162" s="615"/>
      <c r="CG162" s="615"/>
      <c r="CH162" s="635"/>
      <c r="CI162" s="636"/>
      <c r="CJ162" s="615"/>
      <c r="CK162" s="615"/>
      <c r="CL162" s="615"/>
      <c r="CM162" s="615"/>
      <c r="CN162" s="615"/>
      <c r="CO162" s="615"/>
      <c r="CP162" s="615"/>
      <c r="CQ162" s="615"/>
      <c r="CR162" s="615"/>
      <c r="CS162" s="615"/>
      <c r="CT162" s="635"/>
      <c r="CU162" s="636"/>
      <c r="CV162" s="615"/>
      <c r="CW162" s="615"/>
      <c r="CX162" s="615"/>
      <c r="CY162" s="615"/>
      <c r="CZ162" s="615"/>
      <c r="DA162" s="615"/>
      <c r="DB162" s="615"/>
      <c r="DC162" s="615"/>
      <c r="DD162" s="615"/>
      <c r="DE162" s="615"/>
      <c r="DF162" s="635"/>
      <c r="DG162" s="636"/>
      <c r="DH162" s="615"/>
      <c r="DI162" s="615"/>
      <c r="DJ162" s="615"/>
      <c r="DK162" s="615"/>
      <c r="DL162" s="615"/>
      <c r="DM162" s="615"/>
      <c r="DN162" s="615"/>
      <c r="DO162" s="615"/>
      <c r="DP162" s="615"/>
      <c r="DQ162" s="615"/>
      <c r="DR162" s="635"/>
      <c r="DS162" s="636"/>
      <c r="DT162" s="615"/>
      <c r="DU162" s="615"/>
      <c r="DV162" s="615"/>
      <c r="DW162" s="615"/>
      <c r="DX162" s="615"/>
      <c r="DY162" s="615"/>
      <c r="DZ162" s="615"/>
      <c r="EA162" s="615"/>
      <c r="EB162" s="615"/>
      <c r="EC162" s="615"/>
      <c r="ED162" s="637"/>
      <c r="EE162" s="692"/>
    </row>
    <row r="163" spans="1:135" x14ac:dyDescent="0.25">
      <c r="A163" s="640" t="s">
        <v>11</v>
      </c>
      <c r="B163" s="367" t="s">
        <v>1136</v>
      </c>
      <c r="C163" s="367" t="s">
        <v>1132</v>
      </c>
      <c r="D163" s="367" t="s">
        <v>1137</v>
      </c>
      <c r="E163" s="503" t="s">
        <v>1121</v>
      </c>
      <c r="F163" s="570">
        <v>44589</v>
      </c>
      <c r="G163" s="85" t="s">
        <v>59</v>
      </c>
      <c r="H163" s="85" t="s">
        <v>54</v>
      </c>
      <c r="I163" s="85" t="s">
        <v>358</v>
      </c>
      <c r="J163" s="675" t="s">
        <v>358</v>
      </c>
      <c r="K163" s="85" t="s">
        <v>358</v>
      </c>
      <c r="L163" s="85" t="s">
        <v>40</v>
      </c>
      <c r="M163" s="85" t="s">
        <v>3</v>
      </c>
      <c r="N163" s="668" t="s">
        <v>44</v>
      </c>
      <c r="O163" s="669"/>
      <c r="P163" s="615"/>
      <c r="Q163" s="615"/>
      <c r="R163" s="615"/>
      <c r="S163" s="615">
        <v>1</v>
      </c>
      <c r="T163" s="615"/>
      <c r="U163" s="615"/>
      <c r="V163" s="615"/>
      <c r="W163" s="615"/>
      <c r="X163" s="615"/>
      <c r="Y163" s="615"/>
      <c r="Z163" s="635"/>
      <c r="AA163" s="636"/>
      <c r="AB163" s="615"/>
      <c r="AC163" s="615"/>
      <c r="AD163" s="615"/>
      <c r="AE163" s="615"/>
      <c r="AF163" s="615"/>
      <c r="AG163" s="615"/>
      <c r="AH163" s="615"/>
      <c r="AI163" s="615"/>
      <c r="AJ163" s="615"/>
      <c r="AK163" s="615"/>
      <c r="AL163" s="635"/>
      <c r="AM163" s="636"/>
      <c r="AN163" s="615"/>
      <c r="AO163" s="615"/>
      <c r="AP163" s="615"/>
      <c r="AQ163" s="615"/>
      <c r="AR163" s="615"/>
      <c r="AS163" s="615"/>
      <c r="AT163" s="615"/>
      <c r="AU163" s="615"/>
      <c r="AV163" s="615"/>
      <c r="AW163" s="615"/>
      <c r="AX163" s="635"/>
      <c r="AY163" s="636"/>
      <c r="AZ163" s="615"/>
      <c r="BA163" s="615"/>
      <c r="BB163" s="615"/>
      <c r="BC163" s="615"/>
      <c r="BD163" s="615"/>
      <c r="BE163" s="615"/>
      <c r="BF163" s="615"/>
      <c r="BG163" s="615"/>
      <c r="BH163" s="615"/>
      <c r="BI163" s="615"/>
      <c r="BJ163" s="635"/>
      <c r="BK163" s="636"/>
      <c r="BL163" s="615"/>
      <c r="BM163" s="615"/>
      <c r="BN163" s="615"/>
      <c r="BO163" s="615"/>
      <c r="BP163" s="615"/>
      <c r="BQ163" s="615"/>
      <c r="BR163" s="615"/>
      <c r="BS163" s="615"/>
      <c r="BT163" s="615"/>
      <c r="BU163" s="615"/>
      <c r="BV163" s="637"/>
      <c r="BW163" s="669"/>
      <c r="BX163" s="615"/>
      <c r="BY163" s="615"/>
      <c r="BZ163" s="615"/>
      <c r="CA163" s="615">
        <v>110</v>
      </c>
      <c r="CB163" s="615"/>
      <c r="CC163" s="615"/>
      <c r="CD163" s="615"/>
      <c r="CE163" s="615"/>
      <c r="CF163" s="615"/>
      <c r="CG163" s="615"/>
      <c r="CH163" s="635"/>
      <c r="CI163" s="636"/>
      <c r="CJ163" s="615"/>
      <c r="CK163" s="615"/>
      <c r="CL163" s="615"/>
      <c r="CM163" s="615"/>
      <c r="CN163" s="615"/>
      <c r="CO163" s="615"/>
      <c r="CP163" s="615"/>
      <c r="CQ163" s="615"/>
      <c r="CR163" s="615"/>
      <c r="CS163" s="615"/>
      <c r="CT163" s="635"/>
      <c r="CU163" s="636"/>
      <c r="CV163" s="615"/>
      <c r="CW163" s="615"/>
      <c r="CX163" s="615"/>
      <c r="CY163" s="615"/>
      <c r="CZ163" s="615"/>
      <c r="DA163" s="615"/>
      <c r="DB163" s="615"/>
      <c r="DC163" s="615"/>
      <c r="DD163" s="615"/>
      <c r="DE163" s="615"/>
      <c r="DF163" s="635"/>
      <c r="DG163" s="636"/>
      <c r="DH163" s="615"/>
      <c r="DI163" s="615"/>
      <c r="DJ163" s="615"/>
      <c r="DK163" s="615"/>
      <c r="DL163" s="615"/>
      <c r="DM163" s="615"/>
      <c r="DN163" s="615"/>
      <c r="DO163" s="615"/>
      <c r="DP163" s="615"/>
      <c r="DQ163" s="615"/>
      <c r="DR163" s="635"/>
      <c r="DS163" s="636"/>
      <c r="DT163" s="615"/>
      <c r="DU163" s="615"/>
      <c r="DV163" s="615"/>
      <c r="DW163" s="615"/>
      <c r="DX163" s="615"/>
      <c r="DY163" s="615"/>
      <c r="DZ163" s="615"/>
      <c r="EA163" s="615"/>
      <c r="EB163" s="615"/>
      <c r="EC163" s="615"/>
      <c r="ED163" s="637"/>
      <c r="EE163" s="692"/>
    </row>
    <row r="164" spans="1:135" x14ac:dyDescent="0.25">
      <c r="A164" s="640" t="s">
        <v>11</v>
      </c>
      <c r="B164" s="367" t="s">
        <v>1139</v>
      </c>
      <c r="C164" s="367" t="s">
        <v>1133</v>
      </c>
      <c r="D164" s="367" t="s">
        <v>1140</v>
      </c>
      <c r="E164" s="503" t="s">
        <v>1123</v>
      </c>
      <c r="F164" s="570">
        <v>44589</v>
      </c>
      <c r="G164" s="85" t="s">
        <v>59</v>
      </c>
      <c r="H164" s="85" t="s">
        <v>54</v>
      </c>
      <c r="I164" s="85" t="s">
        <v>358</v>
      </c>
      <c r="J164" s="675" t="s">
        <v>358</v>
      </c>
      <c r="K164" s="85" t="s">
        <v>358</v>
      </c>
      <c r="L164" s="85" t="s">
        <v>40</v>
      </c>
      <c r="M164" s="85" t="s">
        <v>3</v>
      </c>
      <c r="N164" s="668" t="s">
        <v>44</v>
      </c>
      <c r="O164" s="669"/>
      <c r="P164" s="615"/>
      <c r="Q164" s="615">
        <v>2</v>
      </c>
      <c r="R164" s="615"/>
      <c r="S164" s="615"/>
      <c r="T164" s="615"/>
      <c r="U164" s="615"/>
      <c r="V164" s="615"/>
      <c r="W164" s="615"/>
      <c r="X164" s="615"/>
      <c r="Y164" s="615"/>
      <c r="Z164" s="635"/>
      <c r="AA164" s="636"/>
      <c r="AB164" s="615"/>
      <c r="AC164" s="615"/>
      <c r="AD164" s="615"/>
      <c r="AE164" s="615"/>
      <c r="AF164" s="615"/>
      <c r="AG164" s="615"/>
      <c r="AH164" s="615"/>
      <c r="AI164" s="615"/>
      <c r="AJ164" s="615"/>
      <c r="AK164" s="615"/>
      <c r="AL164" s="635"/>
      <c r="AM164" s="636"/>
      <c r="AN164" s="615"/>
      <c r="AO164" s="615"/>
      <c r="AP164" s="615"/>
      <c r="AQ164" s="615"/>
      <c r="AR164" s="615"/>
      <c r="AS164" s="615"/>
      <c r="AT164" s="615"/>
      <c r="AU164" s="615"/>
      <c r="AV164" s="615"/>
      <c r="AW164" s="615"/>
      <c r="AX164" s="635"/>
      <c r="AY164" s="636"/>
      <c r="AZ164" s="615"/>
      <c r="BA164" s="615"/>
      <c r="BB164" s="615"/>
      <c r="BC164" s="615"/>
      <c r="BD164" s="615"/>
      <c r="BE164" s="615"/>
      <c r="BF164" s="615"/>
      <c r="BG164" s="615"/>
      <c r="BH164" s="615"/>
      <c r="BI164" s="615"/>
      <c r="BJ164" s="635"/>
      <c r="BK164" s="636"/>
      <c r="BL164" s="615"/>
      <c r="BM164" s="615"/>
      <c r="BN164" s="615"/>
      <c r="BO164" s="615"/>
      <c r="BP164" s="615"/>
      <c r="BQ164" s="615"/>
      <c r="BR164" s="615"/>
      <c r="BS164" s="615"/>
      <c r="BT164" s="615"/>
      <c r="BU164" s="615"/>
      <c r="BV164" s="637"/>
      <c r="BW164" s="669"/>
      <c r="BX164" s="615"/>
      <c r="BY164" s="615">
        <v>85</v>
      </c>
      <c r="BZ164" s="615"/>
      <c r="CA164" s="615"/>
      <c r="CB164" s="615"/>
      <c r="CC164" s="615"/>
      <c r="CD164" s="615"/>
      <c r="CE164" s="615"/>
      <c r="CF164" s="615"/>
      <c r="CG164" s="615"/>
      <c r="CH164" s="635"/>
      <c r="CI164" s="636"/>
      <c r="CJ164" s="615"/>
      <c r="CK164" s="615"/>
      <c r="CL164" s="615"/>
      <c r="CM164" s="615"/>
      <c r="CN164" s="615"/>
      <c r="CO164" s="615"/>
      <c r="CP164" s="615"/>
      <c r="CQ164" s="615"/>
      <c r="CR164" s="615"/>
      <c r="CS164" s="615"/>
      <c r="CT164" s="635"/>
      <c r="CU164" s="636"/>
      <c r="CV164" s="615"/>
      <c r="CW164" s="615"/>
      <c r="CX164" s="615"/>
      <c r="CY164" s="615"/>
      <c r="CZ164" s="615"/>
      <c r="DA164" s="615"/>
      <c r="DB164" s="615"/>
      <c r="DC164" s="615"/>
      <c r="DD164" s="615"/>
      <c r="DE164" s="615"/>
      <c r="DF164" s="635"/>
      <c r="DG164" s="636"/>
      <c r="DH164" s="615"/>
      <c r="DI164" s="615"/>
      <c r="DJ164" s="615"/>
      <c r="DK164" s="615"/>
      <c r="DL164" s="615"/>
      <c r="DM164" s="615"/>
      <c r="DN164" s="615"/>
      <c r="DO164" s="615"/>
      <c r="DP164" s="615"/>
      <c r="DQ164" s="615"/>
      <c r="DR164" s="635"/>
      <c r="DS164" s="636"/>
      <c r="DT164" s="615"/>
      <c r="DU164" s="615"/>
      <c r="DV164" s="615"/>
      <c r="DW164" s="615"/>
      <c r="DX164" s="615"/>
      <c r="DY164" s="615"/>
      <c r="DZ164" s="615"/>
      <c r="EA164" s="615"/>
      <c r="EB164" s="615"/>
      <c r="EC164" s="615"/>
      <c r="ED164" s="637"/>
      <c r="EE164" s="692"/>
    </row>
    <row r="165" spans="1:135" x14ac:dyDescent="0.25">
      <c r="A165" s="640" t="s">
        <v>11</v>
      </c>
      <c r="B165" s="367" t="s">
        <v>1141</v>
      </c>
      <c r="C165" s="367" t="s">
        <v>944</v>
      </c>
      <c r="D165" s="367" t="s">
        <v>1142</v>
      </c>
      <c r="E165" s="503" t="s">
        <v>1124</v>
      </c>
      <c r="F165" s="570">
        <v>44589</v>
      </c>
      <c r="G165" s="85" t="s">
        <v>59</v>
      </c>
      <c r="H165" s="85" t="s">
        <v>54</v>
      </c>
      <c r="I165" s="85" t="s">
        <v>358</v>
      </c>
      <c r="J165" s="675" t="s">
        <v>358</v>
      </c>
      <c r="K165" s="85" t="s">
        <v>358</v>
      </c>
      <c r="L165" s="85" t="s">
        <v>40</v>
      </c>
      <c r="M165" s="85" t="s">
        <v>3</v>
      </c>
      <c r="N165" s="668" t="s">
        <v>44</v>
      </c>
      <c r="O165" s="669"/>
      <c r="P165" s="615"/>
      <c r="Q165" s="615">
        <v>1</v>
      </c>
      <c r="R165" s="615"/>
      <c r="S165" s="615"/>
      <c r="T165" s="615"/>
      <c r="U165" s="615"/>
      <c r="V165" s="615"/>
      <c r="W165" s="615"/>
      <c r="X165" s="615"/>
      <c r="Y165" s="615"/>
      <c r="Z165" s="635"/>
      <c r="AA165" s="636"/>
      <c r="AB165" s="615"/>
      <c r="AC165" s="615"/>
      <c r="AD165" s="615"/>
      <c r="AE165" s="615"/>
      <c r="AF165" s="615"/>
      <c r="AG165" s="615"/>
      <c r="AH165" s="615"/>
      <c r="AI165" s="615"/>
      <c r="AJ165" s="615"/>
      <c r="AK165" s="615"/>
      <c r="AL165" s="635"/>
      <c r="AM165" s="636"/>
      <c r="AN165" s="615"/>
      <c r="AO165" s="615"/>
      <c r="AP165" s="615"/>
      <c r="AQ165" s="615"/>
      <c r="AR165" s="615"/>
      <c r="AS165" s="615"/>
      <c r="AT165" s="615"/>
      <c r="AU165" s="615"/>
      <c r="AV165" s="615"/>
      <c r="AW165" s="615"/>
      <c r="AX165" s="635"/>
      <c r="AY165" s="636"/>
      <c r="AZ165" s="615"/>
      <c r="BA165" s="615"/>
      <c r="BB165" s="615"/>
      <c r="BC165" s="615"/>
      <c r="BD165" s="615"/>
      <c r="BE165" s="615"/>
      <c r="BF165" s="615"/>
      <c r="BG165" s="615"/>
      <c r="BH165" s="615"/>
      <c r="BI165" s="615"/>
      <c r="BJ165" s="635"/>
      <c r="BK165" s="636"/>
      <c r="BL165" s="615"/>
      <c r="BM165" s="615"/>
      <c r="BN165" s="615"/>
      <c r="BO165" s="615"/>
      <c r="BP165" s="615"/>
      <c r="BQ165" s="615"/>
      <c r="BR165" s="615"/>
      <c r="BS165" s="615"/>
      <c r="BT165" s="615"/>
      <c r="BU165" s="615"/>
      <c r="BV165" s="637"/>
      <c r="BW165" s="669"/>
      <c r="BX165" s="615"/>
      <c r="BY165" s="615">
        <v>85</v>
      </c>
      <c r="BZ165" s="615"/>
      <c r="CA165" s="615"/>
      <c r="CB165" s="615"/>
      <c r="CC165" s="615"/>
      <c r="CD165" s="615"/>
      <c r="CE165" s="615"/>
      <c r="CF165" s="615"/>
      <c r="CG165" s="615"/>
      <c r="CH165" s="635"/>
      <c r="CI165" s="636"/>
      <c r="CJ165" s="615"/>
      <c r="CK165" s="615"/>
      <c r="CL165" s="615"/>
      <c r="CM165" s="615"/>
      <c r="CN165" s="615"/>
      <c r="CO165" s="615"/>
      <c r="CP165" s="615"/>
      <c r="CQ165" s="615"/>
      <c r="CR165" s="615"/>
      <c r="CS165" s="615"/>
      <c r="CT165" s="635"/>
      <c r="CU165" s="636"/>
      <c r="CV165" s="615"/>
      <c r="CW165" s="615"/>
      <c r="CX165" s="615"/>
      <c r="CY165" s="615"/>
      <c r="CZ165" s="615"/>
      <c r="DA165" s="615"/>
      <c r="DB165" s="615"/>
      <c r="DC165" s="615"/>
      <c r="DD165" s="615"/>
      <c r="DE165" s="615"/>
      <c r="DF165" s="635"/>
      <c r="DG165" s="636"/>
      <c r="DH165" s="615"/>
      <c r="DI165" s="615"/>
      <c r="DJ165" s="615"/>
      <c r="DK165" s="615"/>
      <c r="DL165" s="615"/>
      <c r="DM165" s="615"/>
      <c r="DN165" s="615"/>
      <c r="DO165" s="615"/>
      <c r="DP165" s="615"/>
      <c r="DQ165" s="615"/>
      <c r="DR165" s="635"/>
      <c r="DS165" s="636"/>
      <c r="DT165" s="615"/>
      <c r="DU165" s="615"/>
      <c r="DV165" s="615"/>
      <c r="DW165" s="615"/>
      <c r="DX165" s="615"/>
      <c r="DY165" s="615"/>
      <c r="DZ165" s="615"/>
      <c r="EA165" s="615"/>
      <c r="EB165" s="615"/>
      <c r="EC165" s="615"/>
      <c r="ED165" s="637"/>
      <c r="EE165" s="692"/>
    </row>
    <row r="166" spans="1:135" x14ac:dyDescent="0.25">
      <c r="A166" s="640" t="s">
        <v>11</v>
      </c>
      <c r="B166" s="367" t="s">
        <v>1143</v>
      </c>
      <c r="C166" s="367" t="s">
        <v>1134</v>
      </c>
      <c r="D166" s="367" t="s">
        <v>1144</v>
      </c>
      <c r="E166" s="503" t="s">
        <v>1125</v>
      </c>
      <c r="F166" s="570">
        <v>44589</v>
      </c>
      <c r="G166" s="85" t="s">
        <v>59</v>
      </c>
      <c r="H166" s="85" t="s">
        <v>54</v>
      </c>
      <c r="I166" s="85" t="s">
        <v>358</v>
      </c>
      <c r="J166" s="675" t="s">
        <v>358</v>
      </c>
      <c r="K166" s="85" t="s">
        <v>358</v>
      </c>
      <c r="L166" s="85" t="s">
        <v>40</v>
      </c>
      <c r="M166" s="85" t="s">
        <v>3</v>
      </c>
      <c r="N166" s="668" t="s">
        <v>44</v>
      </c>
      <c r="O166" s="669"/>
      <c r="P166" s="615"/>
      <c r="Q166" s="615"/>
      <c r="R166" s="615"/>
      <c r="S166" s="615">
        <v>1</v>
      </c>
      <c r="T166" s="615"/>
      <c r="U166" s="615"/>
      <c r="V166" s="615"/>
      <c r="W166" s="615"/>
      <c r="X166" s="615"/>
      <c r="Y166" s="615"/>
      <c r="Z166" s="635"/>
      <c r="AA166" s="636"/>
      <c r="AB166" s="615"/>
      <c r="AC166" s="615"/>
      <c r="AD166" s="615"/>
      <c r="AE166" s="615"/>
      <c r="AF166" s="615"/>
      <c r="AG166" s="615"/>
      <c r="AH166" s="615"/>
      <c r="AI166" s="615"/>
      <c r="AJ166" s="615"/>
      <c r="AK166" s="615"/>
      <c r="AL166" s="635"/>
      <c r="AM166" s="636"/>
      <c r="AN166" s="615"/>
      <c r="AO166" s="615"/>
      <c r="AP166" s="615"/>
      <c r="AQ166" s="615"/>
      <c r="AR166" s="615"/>
      <c r="AS166" s="615"/>
      <c r="AT166" s="615"/>
      <c r="AU166" s="615"/>
      <c r="AV166" s="615"/>
      <c r="AW166" s="615"/>
      <c r="AX166" s="635"/>
      <c r="AY166" s="636"/>
      <c r="AZ166" s="615"/>
      <c r="BA166" s="615"/>
      <c r="BB166" s="615"/>
      <c r="BC166" s="615"/>
      <c r="BD166" s="615"/>
      <c r="BE166" s="615"/>
      <c r="BF166" s="615"/>
      <c r="BG166" s="615"/>
      <c r="BH166" s="615"/>
      <c r="BI166" s="615"/>
      <c r="BJ166" s="635"/>
      <c r="BK166" s="636"/>
      <c r="BL166" s="615"/>
      <c r="BM166" s="615"/>
      <c r="BN166" s="615"/>
      <c r="BO166" s="615"/>
      <c r="BP166" s="615"/>
      <c r="BQ166" s="615"/>
      <c r="BR166" s="615"/>
      <c r="BS166" s="615"/>
      <c r="BT166" s="615"/>
      <c r="BU166" s="615"/>
      <c r="BV166" s="637"/>
      <c r="BW166" s="669"/>
      <c r="BX166" s="615"/>
      <c r="BY166" s="615"/>
      <c r="BZ166" s="615"/>
      <c r="CA166" s="615">
        <v>110</v>
      </c>
      <c r="CB166" s="615"/>
      <c r="CC166" s="615"/>
      <c r="CD166" s="615"/>
      <c r="CE166" s="615"/>
      <c r="CF166" s="615"/>
      <c r="CG166" s="615"/>
      <c r="CH166" s="635"/>
      <c r="CI166" s="636"/>
      <c r="CJ166" s="615"/>
      <c r="CK166" s="615"/>
      <c r="CL166" s="615"/>
      <c r="CM166" s="615"/>
      <c r="CN166" s="615"/>
      <c r="CO166" s="615"/>
      <c r="CP166" s="615"/>
      <c r="CQ166" s="615"/>
      <c r="CR166" s="615"/>
      <c r="CS166" s="615"/>
      <c r="CT166" s="635"/>
      <c r="CU166" s="636"/>
      <c r="CV166" s="615"/>
      <c r="CW166" s="615"/>
      <c r="CX166" s="615"/>
      <c r="CY166" s="615"/>
      <c r="CZ166" s="615"/>
      <c r="DA166" s="615"/>
      <c r="DB166" s="615"/>
      <c r="DC166" s="615"/>
      <c r="DD166" s="615"/>
      <c r="DE166" s="615"/>
      <c r="DF166" s="635"/>
      <c r="DG166" s="636"/>
      <c r="DH166" s="615"/>
      <c r="DI166" s="615"/>
      <c r="DJ166" s="615"/>
      <c r="DK166" s="615"/>
      <c r="DL166" s="615"/>
      <c r="DM166" s="615"/>
      <c r="DN166" s="615"/>
      <c r="DO166" s="615"/>
      <c r="DP166" s="615"/>
      <c r="DQ166" s="615"/>
      <c r="DR166" s="635"/>
      <c r="DS166" s="636"/>
      <c r="DT166" s="615"/>
      <c r="DU166" s="615"/>
      <c r="DV166" s="615"/>
      <c r="DW166" s="615"/>
      <c r="DX166" s="615"/>
      <c r="DY166" s="615"/>
      <c r="DZ166" s="615"/>
      <c r="EA166" s="615"/>
      <c r="EB166" s="615"/>
      <c r="EC166" s="615"/>
      <c r="ED166" s="637"/>
      <c r="EE166" s="692"/>
    </row>
    <row r="167" spans="1:135" x14ac:dyDescent="0.25">
      <c r="A167" s="640" t="s">
        <v>11</v>
      </c>
      <c r="B167" s="367" t="s">
        <v>1145</v>
      </c>
      <c r="C167" s="367" t="s">
        <v>502</v>
      </c>
      <c r="D167" s="367" t="s">
        <v>1146</v>
      </c>
      <c r="E167" s="503" t="s">
        <v>1126</v>
      </c>
      <c r="F167" s="570">
        <v>44589</v>
      </c>
      <c r="G167" s="85" t="s">
        <v>59</v>
      </c>
      <c r="H167" s="85" t="s">
        <v>54</v>
      </c>
      <c r="I167" s="85" t="s">
        <v>358</v>
      </c>
      <c r="J167" s="675" t="s">
        <v>358</v>
      </c>
      <c r="K167" s="85" t="s">
        <v>358</v>
      </c>
      <c r="L167" s="85" t="s">
        <v>40</v>
      </c>
      <c r="M167" s="85" t="s">
        <v>3</v>
      </c>
      <c r="N167" s="668" t="s">
        <v>44</v>
      </c>
      <c r="O167" s="669"/>
      <c r="P167" s="615"/>
      <c r="Q167" s="615"/>
      <c r="R167" s="615">
        <v>4.4000000000000004</v>
      </c>
      <c r="S167" s="615"/>
      <c r="T167" s="615"/>
      <c r="U167" s="615"/>
      <c r="V167" s="615"/>
      <c r="W167" s="615"/>
      <c r="X167" s="615"/>
      <c r="Y167" s="615"/>
      <c r="Z167" s="635"/>
      <c r="AA167" s="636"/>
      <c r="AB167" s="615"/>
      <c r="AC167" s="615"/>
      <c r="AD167" s="615"/>
      <c r="AE167" s="615"/>
      <c r="AF167" s="615"/>
      <c r="AG167" s="615"/>
      <c r="AH167" s="615"/>
      <c r="AI167" s="615"/>
      <c r="AJ167" s="615"/>
      <c r="AK167" s="615"/>
      <c r="AL167" s="635"/>
      <c r="AM167" s="636"/>
      <c r="AN167" s="615"/>
      <c r="AO167" s="615"/>
      <c r="AP167" s="615"/>
      <c r="AQ167" s="615"/>
      <c r="AR167" s="615"/>
      <c r="AS167" s="615"/>
      <c r="AT167" s="615"/>
      <c r="AU167" s="615"/>
      <c r="AV167" s="615"/>
      <c r="AW167" s="615"/>
      <c r="AX167" s="635"/>
      <c r="AY167" s="636"/>
      <c r="AZ167" s="615"/>
      <c r="BA167" s="615"/>
      <c r="BB167" s="615"/>
      <c r="BC167" s="615"/>
      <c r="BD167" s="615"/>
      <c r="BE167" s="615"/>
      <c r="BF167" s="615"/>
      <c r="BG167" s="615"/>
      <c r="BH167" s="615"/>
      <c r="BI167" s="615"/>
      <c r="BJ167" s="635"/>
      <c r="BK167" s="636"/>
      <c r="BL167" s="615"/>
      <c r="BM167" s="615"/>
      <c r="BN167" s="615"/>
      <c r="BO167" s="615"/>
      <c r="BP167" s="615"/>
      <c r="BQ167" s="615"/>
      <c r="BR167" s="615"/>
      <c r="BS167" s="615"/>
      <c r="BT167" s="615"/>
      <c r="BU167" s="615"/>
      <c r="BV167" s="637"/>
      <c r="BW167" s="669"/>
      <c r="BX167" s="615"/>
      <c r="BY167" s="615"/>
      <c r="BZ167" s="615">
        <v>97.5</v>
      </c>
      <c r="CA167" s="615"/>
      <c r="CB167" s="615"/>
      <c r="CC167" s="615"/>
      <c r="CD167" s="615"/>
      <c r="CE167" s="615"/>
      <c r="CF167" s="615"/>
      <c r="CG167" s="615"/>
      <c r="CH167" s="635"/>
      <c r="CI167" s="636"/>
      <c r="CJ167" s="615"/>
      <c r="CK167" s="615"/>
      <c r="CL167" s="615"/>
      <c r="CM167" s="615"/>
      <c r="CN167" s="615"/>
      <c r="CO167" s="615"/>
      <c r="CP167" s="615"/>
      <c r="CQ167" s="615"/>
      <c r="CR167" s="615"/>
      <c r="CS167" s="615"/>
      <c r="CT167" s="635"/>
      <c r="CU167" s="636"/>
      <c r="CV167" s="615"/>
      <c r="CW167" s="615"/>
      <c r="CX167" s="615"/>
      <c r="CY167" s="615"/>
      <c r="CZ167" s="615"/>
      <c r="DA167" s="615"/>
      <c r="DB167" s="615"/>
      <c r="DC167" s="615"/>
      <c r="DD167" s="615"/>
      <c r="DE167" s="615"/>
      <c r="DF167" s="635"/>
      <c r="DG167" s="636"/>
      <c r="DH167" s="615"/>
      <c r="DI167" s="615"/>
      <c r="DJ167" s="615"/>
      <c r="DK167" s="615"/>
      <c r="DL167" s="615"/>
      <c r="DM167" s="615"/>
      <c r="DN167" s="615"/>
      <c r="DO167" s="615"/>
      <c r="DP167" s="615"/>
      <c r="DQ167" s="615"/>
      <c r="DR167" s="635"/>
      <c r="DS167" s="636"/>
      <c r="DT167" s="615"/>
      <c r="DU167" s="615"/>
      <c r="DV167" s="615"/>
      <c r="DW167" s="615"/>
      <c r="DX167" s="615"/>
      <c r="DY167" s="615"/>
      <c r="DZ167" s="615"/>
      <c r="EA167" s="615"/>
      <c r="EB167" s="615"/>
      <c r="EC167" s="615"/>
      <c r="ED167" s="637"/>
      <c r="EE167" s="692"/>
    </row>
    <row r="168" spans="1:135" x14ac:dyDescent="0.25">
      <c r="A168" s="640" t="s">
        <v>11</v>
      </c>
      <c r="B168" s="367" t="s">
        <v>1147</v>
      </c>
      <c r="C168" s="367" t="s">
        <v>501</v>
      </c>
      <c r="D168" s="367" t="s">
        <v>1148</v>
      </c>
      <c r="E168" s="503" t="s">
        <v>1127</v>
      </c>
      <c r="F168" s="570">
        <v>44589</v>
      </c>
      <c r="G168" s="85" t="s">
        <v>59</v>
      </c>
      <c r="H168" s="85" t="s">
        <v>54</v>
      </c>
      <c r="I168" s="85" t="s">
        <v>358</v>
      </c>
      <c r="J168" s="675" t="s">
        <v>358</v>
      </c>
      <c r="K168" s="85" t="s">
        <v>358</v>
      </c>
      <c r="L168" s="85" t="s">
        <v>40</v>
      </c>
      <c r="M168" s="85" t="s">
        <v>3</v>
      </c>
      <c r="N168" s="668" t="s">
        <v>44</v>
      </c>
      <c r="O168" s="669"/>
      <c r="P168" s="615"/>
      <c r="Q168" s="615"/>
      <c r="R168" s="615"/>
      <c r="S168" s="615">
        <v>1</v>
      </c>
      <c r="T168" s="615"/>
      <c r="U168" s="615"/>
      <c r="V168" s="615"/>
      <c r="W168" s="615"/>
      <c r="X168" s="615"/>
      <c r="Y168" s="615"/>
      <c r="Z168" s="635"/>
      <c r="AA168" s="636"/>
      <c r="AB168" s="615"/>
      <c r="AC168" s="615"/>
      <c r="AD168" s="615"/>
      <c r="AE168" s="615"/>
      <c r="AF168" s="615"/>
      <c r="AG168" s="615"/>
      <c r="AH168" s="615"/>
      <c r="AI168" s="615"/>
      <c r="AJ168" s="615"/>
      <c r="AK168" s="615"/>
      <c r="AL168" s="635"/>
      <c r="AM168" s="636"/>
      <c r="AN168" s="615"/>
      <c r="AO168" s="615"/>
      <c r="AP168" s="615"/>
      <c r="AQ168" s="615"/>
      <c r="AR168" s="615"/>
      <c r="AS168" s="615"/>
      <c r="AT168" s="615"/>
      <c r="AU168" s="615"/>
      <c r="AV168" s="615"/>
      <c r="AW168" s="615"/>
      <c r="AX168" s="635"/>
      <c r="AY168" s="636"/>
      <c r="AZ168" s="615"/>
      <c r="BA168" s="615"/>
      <c r="BB168" s="615"/>
      <c r="BC168" s="615"/>
      <c r="BD168" s="615"/>
      <c r="BE168" s="615"/>
      <c r="BF168" s="615"/>
      <c r="BG168" s="615"/>
      <c r="BH168" s="615"/>
      <c r="BI168" s="615"/>
      <c r="BJ168" s="635"/>
      <c r="BK168" s="636"/>
      <c r="BL168" s="615"/>
      <c r="BM168" s="615"/>
      <c r="BN168" s="615"/>
      <c r="BO168" s="615"/>
      <c r="BP168" s="615"/>
      <c r="BQ168" s="615"/>
      <c r="BR168" s="615"/>
      <c r="BS168" s="615"/>
      <c r="BT168" s="615"/>
      <c r="BU168" s="615"/>
      <c r="BV168" s="637"/>
      <c r="BW168" s="669"/>
      <c r="BX168" s="615"/>
      <c r="BY168" s="615"/>
      <c r="BZ168" s="615"/>
      <c r="CA168" s="615">
        <v>108</v>
      </c>
      <c r="CB168" s="615"/>
      <c r="CC168" s="615"/>
      <c r="CD168" s="615"/>
      <c r="CE168" s="615"/>
      <c r="CF168" s="615"/>
      <c r="CG168" s="615"/>
      <c r="CH168" s="635"/>
      <c r="CI168" s="636"/>
      <c r="CJ168" s="615"/>
      <c r="CK168" s="615"/>
      <c r="CL168" s="615"/>
      <c r="CM168" s="615"/>
      <c r="CN168" s="615"/>
      <c r="CO168" s="615"/>
      <c r="CP168" s="615"/>
      <c r="CQ168" s="615"/>
      <c r="CR168" s="615"/>
      <c r="CS168" s="615"/>
      <c r="CT168" s="635"/>
      <c r="CU168" s="636"/>
      <c r="CV168" s="615"/>
      <c r="CW168" s="615"/>
      <c r="CX168" s="615"/>
      <c r="CY168" s="615"/>
      <c r="CZ168" s="615"/>
      <c r="DA168" s="615"/>
      <c r="DB168" s="615"/>
      <c r="DC168" s="615"/>
      <c r="DD168" s="615"/>
      <c r="DE168" s="615"/>
      <c r="DF168" s="635"/>
      <c r="DG168" s="636"/>
      <c r="DH168" s="615"/>
      <c r="DI168" s="615"/>
      <c r="DJ168" s="615"/>
      <c r="DK168" s="615"/>
      <c r="DL168" s="615"/>
      <c r="DM168" s="615"/>
      <c r="DN168" s="615"/>
      <c r="DO168" s="615"/>
      <c r="DP168" s="615"/>
      <c r="DQ168" s="615"/>
      <c r="DR168" s="635"/>
      <c r="DS168" s="636"/>
      <c r="DT168" s="615"/>
      <c r="DU168" s="615"/>
      <c r="DV168" s="615"/>
      <c r="DW168" s="615"/>
      <c r="DX168" s="615"/>
      <c r="DY168" s="615"/>
      <c r="DZ168" s="615"/>
      <c r="EA168" s="615"/>
      <c r="EB168" s="615"/>
      <c r="EC168" s="615"/>
      <c r="ED168" s="637"/>
      <c r="EE168" s="692"/>
    </row>
    <row r="169" spans="1:135" x14ac:dyDescent="0.25">
      <c r="A169" s="640" t="s">
        <v>11</v>
      </c>
      <c r="B169" s="367" t="s">
        <v>1149</v>
      </c>
      <c r="C169" s="367" t="s">
        <v>503</v>
      </c>
      <c r="D169" s="367" t="s">
        <v>1150</v>
      </c>
      <c r="E169" s="503" t="s">
        <v>1128</v>
      </c>
      <c r="F169" s="570">
        <v>44589</v>
      </c>
      <c r="G169" s="85" t="s">
        <v>59</v>
      </c>
      <c r="H169" s="85" t="s">
        <v>54</v>
      </c>
      <c r="I169" s="85" t="s">
        <v>358</v>
      </c>
      <c r="J169" s="675" t="s">
        <v>358</v>
      </c>
      <c r="K169" s="85" t="s">
        <v>358</v>
      </c>
      <c r="L169" s="85" t="s">
        <v>40</v>
      </c>
      <c r="M169" s="85" t="s">
        <v>3</v>
      </c>
      <c r="N169" s="668" t="s">
        <v>44</v>
      </c>
      <c r="O169" s="669"/>
      <c r="P169" s="615"/>
      <c r="Q169" s="615">
        <v>1</v>
      </c>
      <c r="R169" s="615"/>
      <c r="S169" s="615"/>
      <c r="T169" s="615"/>
      <c r="U169" s="615"/>
      <c r="V169" s="615"/>
      <c r="W169" s="615"/>
      <c r="X169" s="615"/>
      <c r="Y169" s="615"/>
      <c r="Z169" s="635"/>
      <c r="AA169" s="636"/>
      <c r="AB169" s="615"/>
      <c r="AC169" s="615"/>
      <c r="AD169" s="615"/>
      <c r="AE169" s="615"/>
      <c r="AF169" s="615"/>
      <c r="AG169" s="615"/>
      <c r="AH169" s="615"/>
      <c r="AI169" s="615"/>
      <c r="AJ169" s="615"/>
      <c r="AK169" s="615"/>
      <c r="AL169" s="635"/>
      <c r="AM169" s="636"/>
      <c r="AN169" s="615"/>
      <c r="AO169" s="615"/>
      <c r="AP169" s="615"/>
      <c r="AQ169" s="615"/>
      <c r="AR169" s="615"/>
      <c r="AS169" s="615"/>
      <c r="AT169" s="615"/>
      <c r="AU169" s="615"/>
      <c r="AV169" s="615"/>
      <c r="AW169" s="615"/>
      <c r="AX169" s="635"/>
      <c r="AY169" s="636"/>
      <c r="AZ169" s="615"/>
      <c r="BA169" s="615"/>
      <c r="BB169" s="615"/>
      <c r="BC169" s="615"/>
      <c r="BD169" s="615"/>
      <c r="BE169" s="615"/>
      <c r="BF169" s="615"/>
      <c r="BG169" s="615"/>
      <c r="BH169" s="615"/>
      <c r="BI169" s="615"/>
      <c r="BJ169" s="635"/>
      <c r="BK169" s="636"/>
      <c r="BL169" s="615"/>
      <c r="BM169" s="615"/>
      <c r="BN169" s="615"/>
      <c r="BO169" s="615"/>
      <c r="BP169" s="615"/>
      <c r="BQ169" s="615"/>
      <c r="BR169" s="615"/>
      <c r="BS169" s="615"/>
      <c r="BT169" s="615"/>
      <c r="BU169" s="615"/>
      <c r="BV169" s="637"/>
      <c r="BW169" s="669"/>
      <c r="BX169" s="615"/>
      <c r="BY169" s="615">
        <v>84</v>
      </c>
      <c r="BZ169" s="615"/>
      <c r="CA169" s="615"/>
      <c r="CB169" s="615"/>
      <c r="CC169" s="615"/>
      <c r="CD169" s="615"/>
      <c r="CE169" s="615"/>
      <c r="CF169" s="615"/>
      <c r="CG169" s="615"/>
      <c r="CH169" s="635"/>
      <c r="CI169" s="636"/>
      <c r="CJ169" s="615"/>
      <c r="CK169" s="615"/>
      <c r="CL169" s="615"/>
      <c r="CM169" s="615"/>
      <c r="CN169" s="615"/>
      <c r="CO169" s="615"/>
      <c r="CP169" s="615"/>
      <c r="CQ169" s="615"/>
      <c r="CR169" s="615"/>
      <c r="CS169" s="615"/>
      <c r="CT169" s="635"/>
      <c r="CU169" s="636"/>
      <c r="CV169" s="615"/>
      <c r="CW169" s="615"/>
      <c r="CX169" s="615"/>
      <c r="CY169" s="615"/>
      <c r="CZ169" s="615"/>
      <c r="DA169" s="615"/>
      <c r="DB169" s="615"/>
      <c r="DC169" s="615"/>
      <c r="DD169" s="615"/>
      <c r="DE169" s="615"/>
      <c r="DF169" s="635"/>
      <c r="DG169" s="636"/>
      <c r="DH169" s="615"/>
      <c r="DI169" s="615"/>
      <c r="DJ169" s="615"/>
      <c r="DK169" s="615"/>
      <c r="DL169" s="615"/>
      <c r="DM169" s="615"/>
      <c r="DN169" s="615"/>
      <c r="DO169" s="615"/>
      <c r="DP169" s="615"/>
      <c r="DQ169" s="615"/>
      <c r="DR169" s="635"/>
      <c r="DS169" s="636"/>
      <c r="DT169" s="615"/>
      <c r="DU169" s="615"/>
      <c r="DV169" s="615"/>
      <c r="DW169" s="615"/>
      <c r="DX169" s="615"/>
      <c r="DY169" s="615"/>
      <c r="DZ169" s="615"/>
      <c r="EA169" s="615"/>
      <c r="EB169" s="615"/>
      <c r="EC169" s="615"/>
      <c r="ED169" s="637"/>
      <c r="EE169" s="692"/>
    </row>
    <row r="170" spans="1:135" x14ac:dyDescent="0.25">
      <c r="A170" s="640" t="s">
        <v>11</v>
      </c>
      <c r="B170" s="367" t="s">
        <v>1151</v>
      </c>
      <c r="C170" s="367" t="s">
        <v>503</v>
      </c>
      <c r="D170" s="367" t="s">
        <v>1152</v>
      </c>
      <c r="E170" s="503" t="s">
        <v>1129</v>
      </c>
      <c r="F170" s="570">
        <v>44589</v>
      </c>
      <c r="G170" s="85" t="s">
        <v>59</v>
      </c>
      <c r="H170" s="85" t="s">
        <v>54</v>
      </c>
      <c r="I170" s="85" t="s">
        <v>358</v>
      </c>
      <c r="J170" s="675" t="s">
        <v>358</v>
      </c>
      <c r="K170" s="85" t="s">
        <v>358</v>
      </c>
      <c r="L170" s="85" t="s">
        <v>40</v>
      </c>
      <c r="M170" s="85" t="s">
        <v>3</v>
      </c>
      <c r="N170" s="668" t="s">
        <v>44</v>
      </c>
      <c r="O170" s="669"/>
      <c r="P170" s="615"/>
      <c r="Q170" s="615">
        <v>4</v>
      </c>
      <c r="R170" s="615"/>
      <c r="S170" s="615"/>
      <c r="T170" s="615"/>
      <c r="U170" s="615"/>
      <c r="V170" s="615"/>
      <c r="W170" s="615"/>
      <c r="X170" s="615"/>
      <c r="Y170" s="615"/>
      <c r="Z170" s="635"/>
      <c r="AA170" s="636"/>
      <c r="AB170" s="615"/>
      <c r="AC170" s="615"/>
      <c r="AD170" s="615"/>
      <c r="AE170" s="615"/>
      <c r="AF170" s="615"/>
      <c r="AG170" s="615"/>
      <c r="AH170" s="615"/>
      <c r="AI170" s="615"/>
      <c r="AJ170" s="615"/>
      <c r="AK170" s="615"/>
      <c r="AL170" s="635"/>
      <c r="AM170" s="636"/>
      <c r="AN170" s="615"/>
      <c r="AO170" s="615"/>
      <c r="AP170" s="615"/>
      <c r="AQ170" s="615"/>
      <c r="AR170" s="615"/>
      <c r="AS170" s="615"/>
      <c r="AT170" s="615"/>
      <c r="AU170" s="615"/>
      <c r="AV170" s="615"/>
      <c r="AW170" s="615"/>
      <c r="AX170" s="635"/>
      <c r="AY170" s="636"/>
      <c r="AZ170" s="615"/>
      <c r="BA170" s="615"/>
      <c r="BB170" s="615"/>
      <c r="BC170" s="615"/>
      <c r="BD170" s="615"/>
      <c r="BE170" s="615"/>
      <c r="BF170" s="615"/>
      <c r="BG170" s="615"/>
      <c r="BH170" s="615"/>
      <c r="BI170" s="615"/>
      <c r="BJ170" s="635"/>
      <c r="BK170" s="636"/>
      <c r="BL170" s="615"/>
      <c r="BM170" s="615"/>
      <c r="BN170" s="615"/>
      <c r="BO170" s="615"/>
      <c r="BP170" s="615"/>
      <c r="BQ170" s="615"/>
      <c r="BR170" s="615"/>
      <c r="BS170" s="615"/>
      <c r="BT170" s="615"/>
      <c r="BU170" s="615"/>
      <c r="BV170" s="637"/>
      <c r="BW170" s="669"/>
      <c r="BX170" s="615"/>
      <c r="BY170" s="615">
        <v>84</v>
      </c>
      <c r="BZ170" s="615"/>
      <c r="CA170" s="615"/>
      <c r="CB170" s="615"/>
      <c r="CC170" s="615"/>
      <c r="CD170" s="615"/>
      <c r="CE170" s="615"/>
      <c r="CF170" s="615"/>
      <c r="CG170" s="615"/>
      <c r="CH170" s="635"/>
      <c r="CI170" s="636"/>
      <c r="CJ170" s="615"/>
      <c r="CK170" s="615"/>
      <c r="CL170" s="615"/>
      <c r="CM170" s="615"/>
      <c r="CN170" s="615"/>
      <c r="CO170" s="615"/>
      <c r="CP170" s="615"/>
      <c r="CQ170" s="615"/>
      <c r="CR170" s="615"/>
      <c r="CS170" s="615"/>
      <c r="CT170" s="635"/>
      <c r="CU170" s="636"/>
      <c r="CV170" s="615"/>
      <c r="CW170" s="615"/>
      <c r="CX170" s="615"/>
      <c r="CY170" s="615"/>
      <c r="CZ170" s="615"/>
      <c r="DA170" s="615"/>
      <c r="DB170" s="615"/>
      <c r="DC170" s="615"/>
      <c r="DD170" s="615"/>
      <c r="DE170" s="615"/>
      <c r="DF170" s="635"/>
      <c r="DG170" s="636"/>
      <c r="DH170" s="615"/>
      <c r="DI170" s="615"/>
      <c r="DJ170" s="615"/>
      <c r="DK170" s="615"/>
      <c r="DL170" s="615"/>
      <c r="DM170" s="615"/>
      <c r="DN170" s="615"/>
      <c r="DO170" s="615"/>
      <c r="DP170" s="615"/>
      <c r="DQ170" s="615"/>
      <c r="DR170" s="635"/>
      <c r="DS170" s="636"/>
      <c r="DT170" s="615"/>
      <c r="DU170" s="615"/>
      <c r="DV170" s="615"/>
      <c r="DW170" s="615"/>
      <c r="DX170" s="615"/>
      <c r="DY170" s="615"/>
      <c r="DZ170" s="615"/>
      <c r="EA170" s="615"/>
      <c r="EB170" s="615"/>
      <c r="EC170" s="615"/>
      <c r="ED170" s="637"/>
      <c r="EE170" s="692"/>
    </row>
    <row r="171" spans="1:135" x14ac:dyDescent="0.25">
      <c r="A171" s="640" t="s">
        <v>11</v>
      </c>
      <c r="B171" s="367" t="s">
        <v>1153</v>
      </c>
      <c r="C171" s="367" t="s">
        <v>348</v>
      </c>
      <c r="D171" s="367" t="s">
        <v>1154</v>
      </c>
      <c r="E171" s="503" t="s">
        <v>1130</v>
      </c>
      <c r="F171" s="570">
        <v>44589</v>
      </c>
      <c r="G171" s="85" t="s">
        <v>59</v>
      </c>
      <c r="H171" s="85" t="s">
        <v>54</v>
      </c>
      <c r="I171" s="85" t="s">
        <v>358</v>
      </c>
      <c r="J171" s="675" t="s">
        <v>358</v>
      </c>
      <c r="K171" s="85" t="s">
        <v>358</v>
      </c>
      <c r="L171" s="85" t="s">
        <v>40</v>
      </c>
      <c r="M171" s="85" t="s">
        <v>3</v>
      </c>
      <c r="N171" s="668" t="s">
        <v>44</v>
      </c>
      <c r="O171" s="669"/>
      <c r="P171" s="615"/>
      <c r="Q171" s="615"/>
      <c r="R171" s="615"/>
      <c r="S171" s="615">
        <v>5</v>
      </c>
      <c r="T171" s="615"/>
      <c r="U171" s="615"/>
      <c r="V171" s="615"/>
      <c r="W171" s="615"/>
      <c r="X171" s="615"/>
      <c r="Y171" s="615"/>
      <c r="Z171" s="635"/>
      <c r="AA171" s="636"/>
      <c r="AB171" s="615"/>
      <c r="AC171" s="615"/>
      <c r="AD171" s="615"/>
      <c r="AE171" s="615"/>
      <c r="AF171" s="615"/>
      <c r="AG171" s="615"/>
      <c r="AH171" s="615"/>
      <c r="AI171" s="615"/>
      <c r="AJ171" s="615"/>
      <c r="AK171" s="615"/>
      <c r="AL171" s="635"/>
      <c r="AM171" s="636"/>
      <c r="AN171" s="615"/>
      <c r="AO171" s="615"/>
      <c r="AP171" s="615"/>
      <c r="AQ171" s="615"/>
      <c r="AR171" s="615"/>
      <c r="AS171" s="615"/>
      <c r="AT171" s="615"/>
      <c r="AU171" s="615"/>
      <c r="AV171" s="615"/>
      <c r="AW171" s="615"/>
      <c r="AX171" s="635"/>
      <c r="AY171" s="636"/>
      <c r="AZ171" s="615"/>
      <c r="BA171" s="615"/>
      <c r="BB171" s="615"/>
      <c r="BC171" s="615"/>
      <c r="BD171" s="615"/>
      <c r="BE171" s="615"/>
      <c r="BF171" s="615"/>
      <c r="BG171" s="615"/>
      <c r="BH171" s="615"/>
      <c r="BI171" s="615"/>
      <c r="BJ171" s="635"/>
      <c r="BK171" s="636"/>
      <c r="BL171" s="615"/>
      <c r="BM171" s="615"/>
      <c r="BN171" s="615"/>
      <c r="BO171" s="615"/>
      <c r="BP171" s="615"/>
      <c r="BQ171" s="615"/>
      <c r="BR171" s="615"/>
      <c r="BS171" s="615"/>
      <c r="BT171" s="615"/>
      <c r="BU171" s="615"/>
      <c r="BV171" s="637"/>
      <c r="BW171" s="669"/>
      <c r="BX171" s="615"/>
      <c r="BY171" s="615"/>
      <c r="BZ171" s="615"/>
      <c r="CA171" s="615">
        <v>105</v>
      </c>
      <c r="CB171" s="615"/>
      <c r="CC171" s="615"/>
      <c r="CD171" s="615"/>
      <c r="CE171" s="615"/>
      <c r="CF171" s="615"/>
      <c r="CG171" s="615"/>
      <c r="CH171" s="635"/>
      <c r="CI171" s="636"/>
      <c r="CJ171" s="615"/>
      <c r="CK171" s="615"/>
      <c r="CL171" s="615"/>
      <c r="CM171" s="615"/>
      <c r="CN171" s="615"/>
      <c r="CO171" s="615"/>
      <c r="CP171" s="615"/>
      <c r="CQ171" s="615"/>
      <c r="CR171" s="615"/>
      <c r="CS171" s="615"/>
      <c r="CT171" s="635"/>
      <c r="CU171" s="636"/>
      <c r="CV171" s="615"/>
      <c r="CW171" s="615"/>
      <c r="CX171" s="615"/>
      <c r="CY171" s="615"/>
      <c r="CZ171" s="615"/>
      <c r="DA171" s="615"/>
      <c r="DB171" s="615"/>
      <c r="DC171" s="615"/>
      <c r="DD171" s="615"/>
      <c r="DE171" s="615"/>
      <c r="DF171" s="635"/>
      <c r="DG171" s="636"/>
      <c r="DH171" s="615"/>
      <c r="DI171" s="615"/>
      <c r="DJ171" s="615"/>
      <c r="DK171" s="615"/>
      <c r="DL171" s="615"/>
      <c r="DM171" s="615"/>
      <c r="DN171" s="615"/>
      <c r="DO171" s="615"/>
      <c r="DP171" s="615"/>
      <c r="DQ171" s="615"/>
      <c r="DR171" s="635"/>
      <c r="DS171" s="636"/>
      <c r="DT171" s="615"/>
      <c r="DU171" s="615"/>
      <c r="DV171" s="615"/>
      <c r="DW171" s="615"/>
      <c r="DX171" s="615"/>
      <c r="DY171" s="615"/>
      <c r="DZ171" s="615"/>
      <c r="EA171" s="615"/>
      <c r="EB171" s="615"/>
      <c r="EC171" s="615"/>
      <c r="ED171" s="637"/>
      <c r="EE171" s="692"/>
    </row>
    <row r="172" spans="1:135" x14ac:dyDescent="0.25">
      <c r="A172" s="640" t="s">
        <v>11</v>
      </c>
      <c r="B172" s="367" t="s">
        <v>1155</v>
      </c>
      <c r="C172" s="367" t="s">
        <v>509</v>
      </c>
      <c r="D172" s="367" t="s">
        <v>1156</v>
      </c>
      <c r="E172" s="503" t="s">
        <v>1131</v>
      </c>
      <c r="F172" s="570">
        <v>44589</v>
      </c>
      <c r="G172" s="85" t="s">
        <v>59</v>
      </c>
      <c r="H172" s="85" t="s">
        <v>54</v>
      </c>
      <c r="I172" s="85" t="s">
        <v>358</v>
      </c>
      <c r="J172" s="675" t="s">
        <v>358</v>
      </c>
      <c r="K172" s="85" t="s">
        <v>358</v>
      </c>
      <c r="L172" s="85" t="s">
        <v>40</v>
      </c>
      <c r="M172" s="85" t="s">
        <v>3</v>
      </c>
      <c r="N172" s="668" t="s">
        <v>44</v>
      </c>
      <c r="O172" s="669"/>
      <c r="P172" s="615"/>
      <c r="Q172" s="615">
        <v>2</v>
      </c>
      <c r="R172" s="615"/>
      <c r="S172" s="615"/>
      <c r="T172" s="615"/>
      <c r="U172" s="615"/>
      <c r="V172" s="615"/>
      <c r="W172" s="615"/>
      <c r="X172" s="615"/>
      <c r="Y172" s="615"/>
      <c r="Z172" s="635"/>
      <c r="AA172" s="636"/>
      <c r="AB172" s="615"/>
      <c r="AC172" s="615"/>
      <c r="AD172" s="615"/>
      <c r="AE172" s="615"/>
      <c r="AF172" s="615"/>
      <c r="AG172" s="615"/>
      <c r="AH172" s="615"/>
      <c r="AI172" s="615"/>
      <c r="AJ172" s="615"/>
      <c r="AK172" s="615"/>
      <c r="AL172" s="635"/>
      <c r="AM172" s="636"/>
      <c r="AN172" s="615"/>
      <c r="AO172" s="615"/>
      <c r="AP172" s="615"/>
      <c r="AQ172" s="615"/>
      <c r="AR172" s="615"/>
      <c r="AS172" s="615"/>
      <c r="AT172" s="615"/>
      <c r="AU172" s="615"/>
      <c r="AV172" s="615"/>
      <c r="AW172" s="615"/>
      <c r="AX172" s="635"/>
      <c r="AY172" s="636"/>
      <c r="AZ172" s="615"/>
      <c r="BA172" s="615"/>
      <c r="BB172" s="615"/>
      <c r="BC172" s="615"/>
      <c r="BD172" s="615"/>
      <c r="BE172" s="615"/>
      <c r="BF172" s="615"/>
      <c r="BG172" s="615"/>
      <c r="BH172" s="615"/>
      <c r="BI172" s="615"/>
      <c r="BJ172" s="635"/>
      <c r="BK172" s="636"/>
      <c r="BL172" s="615"/>
      <c r="BM172" s="615"/>
      <c r="BN172" s="615"/>
      <c r="BO172" s="615"/>
      <c r="BP172" s="615"/>
      <c r="BQ172" s="615"/>
      <c r="BR172" s="615"/>
      <c r="BS172" s="615"/>
      <c r="BT172" s="615"/>
      <c r="BU172" s="615"/>
      <c r="BV172" s="637"/>
      <c r="BW172" s="669"/>
      <c r="BX172" s="615"/>
      <c r="BY172" s="615">
        <v>84</v>
      </c>
      <c r="BZ172" s="615"/>
      <c r="CA172" s="615"/>
      <c r="CB172" s="615"/>
      <c r="CC172" s="615"/>
      <c r="CD172" s="615"/>
      <c r="CE172" s="615"/>
      <c r="CF172" s="615"/>
      <c r="CG172" s="615"/>
      <c r="CH172" s="635"/>
      <c r="CI172" s="636"/>
      <c r="CJ172" s="615"/>
      <c r="CK172" s="615"/>
      <c r="CL172" s="615"/>
      <c r="CM172" s="615"/>
      <c r="CN172" s="615"/>
      <c r="CO172" s="615"/>
      <c r="CP172" s="615"/>
      <c r="CQ172" s="615"/>
      <c r="CR172" s="615"/>
      <c r="CS172" s="615"/>
      <c r="CT172" s="635"/>
      <c r="CU172" s="636"/>
      <c r="CV172" s="615"/>
      <c r="CW172" s="615"/>
      <c r="CX172" s="615"/>
      <c r="CY172" s="615"/>
      <c r="CZ172" s="615"/>
      <c r="DA172" s="615"/>
      <c r="DB172" s="615"/>
      <c r="DC172" s="615"/>
      <c r="DD172" s="615"/>
      <c r="DE172" s="615"/>
      <c r="DF172" s="635"/>
      <c r="DG172" s="636"/>
      <c r="DH172" s="615"/>
      <c r="DI172" s="615"/>
      <c r="DJ172" s="615"/>
      <c r="DK172" s="615"/>
      <c r="DL172" s="615"/>
      <c r="DM172" s="615"/>
      <c r="DN172" s="615"/>
      <c r="DO172" s="615"/>
      <c r="DP172" s="615"/>
      <c r="DQ172" s="615"/>
      <c r="DR172" s="635"/>
      <c r="DS172" s="636"/>
      <c r="DT172" s="615"/>
      <c r="DU172" s="615"/>
      <c r="DV172" s="615"/>
      <c r="DW172" s="615"/>
      <c r="DX172" s="615"/>
      <c r="DY172" s="615"/>
      <c r="DZ172" s="615"/>
      <c r="EA172" s="615"/>
      <c r="EB172" s="615"/>
      <c r="EC172" s="615"/>
      <c r="ED172" s="637"/>
      <c r="EE172" s="692"/>
    </row>
    <row r="173" spans="1:135" x14ac:dyDescent="0.25">
      <c r="A173" s="640" t="s">
        <v>11</v>
      </c>
      <c r="B173" s="367" t="s">
        <v>1157</v>
      </c>
      <c r="C173" s="367" t="s">
        <v>1135</v>
      </c>
      <c r="D173" s="367" t="s">
        <v>1158</v>
      </c>
      <c r="E173" s="503">
        <v>21155</v>
      </c>
      <c r="F173" s="570">
        <v>44589</v>
      </c>
      <c r="G173" s="85" t="s">
        <v>59</v>
      </c>
      <c r="H173" s="85" t="s">
        <v>54</v>
      </c>
      <c r="I173" s="85" t="s">
        <v>358</v>
      </c>
      <c r="J173" s="675" t="s">
        <v>358</v>
      </c>
      <c r="K173" s="85" t="s">
        <v>358</v>
      </c>
      <c r="L173" s="85" t="s">
        <v>40</v>
      </c>
      <c r="M173" s="85" t="s">
        <v>3</v>
      </c>
      <c r="N173" s="668" t="s">
        <v>44</v>
      </c>
      <c r="O173" s="669"/>
      <c r="P173" s="615"/>
      <c r="Q173" s="615"/>
      <c r="R173" s="615"/>
      <c r="S173" s="615">
        <v>5</v>
      </c>
      <c r="T173" s="615"/>
      <c r="U173" s="615"/>
      <c r="V173" s="615"/>
      <c r="W173" s="615"/>
      <c r="X173" s="615"/>
      <c r="Y173" s="615"/>
      <c r="Z173" s="635"/>
      <c r="AA173" s="636"/>
      <c r="AB173" s="615"/>
      <c r="AC173" s="615"/>
      <c r="AD173" s="615"/>
      <c r="AE173" s="615"/>
      <c r="AF173" s="615"/>
      <c r="AG173" s="615"/>
      <c r="AH173" s="615"/>
      <c r="AI173" s="615"/>
      <c r="AJ173" s="615"/>
      <c r="AK173" s="615"/>
      <c r="AL173" s="635"/>
      <c r="AM173" s="636"/>
      <c r="AN173" s="615"/>
      <c r="AO173" s="615"/>
      <c r="AP173" s="615"/>
      <c r="AQ173" s="615"/>
      <c r="AR173" s="615"/>
      <c r="AS173" s="615"/>
      <c r="AT173" s="615"/>
      <c r="AU173" s="615"/>
      <c r="AV173" s="615"/>
      <c r="AW173" s="615"/>
      <c r="AX173" s="635"/>
      <c r="AY173" s="636"/>
      <c r="AZ173" s="615"/>
      <c r="BA173" s="615"/>
      <c r="BB173" s="615"/>
      <c r="BC173" s="615"/>
      <c r="BD173" s="615"/>
      <c r="BE173" s="615"/>
      <c r="BF173" s="615"/>
      <c r="BG173" s="615"/>
      <c r="BH173" s="615"/>
      <c r="BI173" s="615"/>
      <c r="BJ173" s="635"/>
      <c r="BK173" s="636"/>
      <c r="BL173" s="615"/>
      <c r="BM173" s="615"/>
      <c r="BN173" s="615"/>
      <c r="BO173" s="615"/>
      <c r="BP173" s="615"/>
      <c r="BQ173" s="615"/>
      <c r="BR173" s="615"/>
      <c r="BS173" s="615"/>
      <c r="BT173" s="615"/>
      <c r="BU173" s="615"/>
      <c r="BV173" s="637"/>
      <c r="BW173" s="669"/>
      <c r="BX173" s="615"/>
      <c r="BY173" s="615"/>
      <c r="BZ173" s="615"/>
      <c r="CA173" s="615">
        <v>108</v>
      </c>
      <c r="CB173" s="615"/>
      <c r="CC173" s="615"/>
      <c r="CD173" s="615"/>
      <c r="CE173" s="615"/>
      <c r="CF173" s="615"/>
      <c r="CG173" s="615"/>
      <c r="CH173" s="635"/>
      <c r="CI173" s="636"/>
      <c r="CJ173" s="615"/>
      <c r="CK173" s="615"/>
      <c r="CL173" s="615"/>
      <c r="CM173" s="615"/>
      <c r="CN173" s="615"/>
      <c r="CO173" s="615"/>
      <c r="CP173" s="615"/>
      <c r="CQ173" s="615"/>
      <c r="CR173" s="615"/>
      <c r="CS173" s="615"/>
      <c r="CT173" s="635"/>
      <c r="CU173" s="636"/>
      <c r="CV173" s="615"/>
      <c r="CW173" s="615"/>
      <c r="CX173" s="615"/>
      <c r="CY173" s="615"/>
      <c r="CZ173" s="615"/>
      <c r="DA173" s="615"/>
      <c r="DB173" s="615"/>
      <c r="DC173" s="615"/>
      <c r="DD173" s="615"/>
      <c r="DE173" s="615"/>
      <c r="DF173" s="635"/>
      <c r="DG173" s="636"/>
      <c r="DH173" s="615"/>
      <c r="DI173" s="615"/>
      <c r="DJ173" s="615"/>
      <c r="DK173" s="615"/>
      <c r="DL173" s="615"/>
      <c r="DM173" s="615"/>
      <c r="DN173" s="615"/>
      <c r="DO173" s="615"/>
      <c r="DP173" s="615"/>
      <c r="DQ173" s="615"/>
      <c r="DR173" s="635"/>
      <c r="DS173" s="636"/>
      <c r="DT173" s="615"/>
      <c r="DU173" s="615"/>
      <c r="DV173" s="615"/>
      <c r="DW173" s="615"/>
      <c r="DX173" s="615"/>
      <c r="DY173" s="615"/>
      <c r="DZ173" s="615"/>
      <c r="EA173" s="615"/>
      <c r="EB173" s="615"/>
      <c r="EC173" s="615"/>
      <c r="ED173" s="637"/>
      <c r="EE173" s="692"/>
    </row>
    <row r="174" spans="1:135" x14ac:dyDescent="0.25">
      <c r="A174" s="640" t="s">
        <v>12</v>
      </c>
      <c r="B174" s="367" t="s">
        <v>1168</v>
      </c>
      <c r="C174" s="367" t="s">
        <v>1166</v>
      </c>
      <c r="D174" s="367" t="s">
        <v>1169</v>
      </c>
      <c r="E174" s="503" t="s">
        <v>1163</v>
      </c>
      <c r="F174" s="570">
        <v>44593</v>
      </c>
      <c r="G174" s="85" t="s">
        <v>59</v>
      </c>
      <c r="H174" s="85" t="s">
        <v>92</v>
      </c>
      <c r="I174" s="85" t="s">
        <v>358</v>
      </c>
      <c r="J174" s="675" t="s">
        <v>358</v>
      </c>
      <c r="K174" s="85" t="s">
        <v>358</v>
      </c>
      <c r="L174" s="85" t="s">
        <v>40</v>
      </c>
      <c r="M174" s="85" t="s">
        <v>6</v>
      </c>
      <c r="N174" s="668" t="s">
        <v>44</v>
      </c>
      <c r="O174" s="669">
        <v>1.6120000000000001</v>
      </c>
      <c r="P174" s="615"/>
      <c r="Q174" s="615"/>
      <c r="R174" s="615"/>
      <c r="S174" s="615"/>
      <c r="T174" s="615"/>
      <c r="U174" s="615"/>
      <c r="V174" s="615"/>
      <c r="W174" s="615"/>
      <c r="X174" s="615"/>
      <c r="Y174" s="615"/>
      <c r="Z174" s="635"/>
      <c r="AA174" s="636"/>
      <c r="AB174" s="615"/>
      <c r="AC174" s="615"/>
      <c r="AD174" s="615"/>
      <c r="AE174" s="615"/>
      <c r="AF174" s="615"/>
      <c r="AG174" s="615"/>
      <c r="AH174" s="615"/>
      <c r="AI174" s="615"/>
      <c r="AJ174" s="615"/>
      <c r="AK174" s="615"/>
      <c r="AL174" s="635"/>
      <c r="AM174" s="636"/>
      <c r="AN174" s="615"/>
      <c r="AO174" s="615"/>
      <c r="AP174" s="615"/>
      <c r="AQ174" s="615"/>
      <c r="AR174" s="615"/>
      <c r="AS174" s="615"/>
      <c r="AT174" s="615"/>
      <c r="AU174" s="615"/>
      <c r="AV174" s="615"/>
      <c r="AW174" s="615"/>
      <c r="AX174" s="635"/>
      <c r="AY174" s="636"/>
      <c r="AZ174" s="615"/>
      <c r="BA174" s="615"/>
      <c r="BB174" s="615"/>
      <c r="BC174" s="615"/>
      <c r="BD174" s="615"/>
      <c r="BE174" s="615"/>
      <c r="BF174" s="615"/>
      <c r="BG174" s="615"/>
      <c r="BH174" s="615"/>
      <c r="BI174" s="615"/>
      <c r="BJ174" s="635"/>
      <c r="BK174" s="636"/>
      <c r="BL174" s="615"/>
      <c r="BM174" s="615"/>
      <c r="BN174" s="615"/>
      <c r="BO174" s="615"/>
      <c r="BP174" s="615"/>
      <c r="BQ174" s="615"/>
      <c r="BR174" s="615"/>
      <c r="BS174" s="615"/>
      <c r="BT174" s="615"/>
      <c r="BU174" s="615"/>
      <c r="BV174" s="637"/>
      <c r="BW174" s="669">
        <v>274.90999999999997</v>
      </c>
      <c r="BX174" s="615"/>
      <c r="BY174" s="615"/>
      <c r="BZ174" s="615"/>
      <c r="CA174" s="615"/>
      <c r="CB174" s="615"/>
      <c r="CC174" s="615"/>
      <c r="CD174" s="615"/>
      <c r="CE174" s="615"/>
      <c r="CF174" s="615"/>
      <c r="CG174" s="615"/>
      <c r="CH174" s="635"/>
      <c r="CI174" s="636"/>
      <c r="CJ174" s="615"/>
      <c r="CK174" s="615"/>
      <c r="CL174" s="615"/>
      <c r="CM174" s="615"/>
      <c r="CN174" s="615"/>
      <c r="CO174" s="615"/>
      <c r="CP174" s="615"/>
      <c r="CQ174" s="615"/>
      <c r="CR174" s="615"/>
      <c r="CS174" s="615"/>
      <c r="CT174" s="635"/>
      <c r="CU174" s="636"/>
      <c r="CV174" s="615"/>
      <c r="CW174" s="615"/>
      <c r="CX174" s="615"/>
      <c r="CY174" s="615"/>
      <c r="CZ174" s="615"/>
      <c r="DA174" s="615"/>
      <c r="DB174" s="615"/>
      <c r="DC174" s="615"/>
      <c r="DD174" s="615"/>
      <c r="DE174" s="615"/>
      <c r="DF174" s="635"/>
      <c r="DG174" s="636"/>
      <c r="DH174" s="615"/>
      <c r="DI174" s="615"/>
      <c r="DJ174" s="615"/>
      <c r="DK174" s="615"/>
      <c r="DL174" s="615"/>
      <c r="DM174" s="615"/>
      <c r="DN174" s="615"/>
      <c r="DO174" s="615"/>
      <c r="DP174" s="615"/>
      <c r="DQ174" s="615"/>
      <c r="DR174" s="635"/>
      <c r="DS174" s="636"/>
      <c r="DT174" s="615"/>
      <c r="DU174" s="615"/>
      <c r="DV174" s="615"/>
      <c r="DW174" s="615"/>
      <c r="DX174" s="615"/>
      <c r="DY174" s="615"/>
      <c r="DZ174" s="615"/>
      <c r="EA174" s="615"/>
      <c r="EB174" s="615"/>
      <c r="EC174" s="615"/>
      <c r="ED174" s="637"/>
      <c r="EE174" s="692"/>
    </row>
    <row r="175" spans="1:135" x14ac:dyDescent="0.25">
      <c r="A175" s="640" t="s">
        <v>12</v>
      </c>
      <c r="B175" s="367" t="s">
        <v>1170</v>
      </c>
      <c r="C175" s="367" t="s">
        <v>1167</v>
      </c>
      <c r="D175" s="367" t="s">
        <v>1171</v>
      </c>
      <c r="E175" s="503" t="s">
        <v>1164</v>
      </c>
      <c r="F175" s="570">
        <v>44593</v>
      </c>
      <c r="G175" s="85" t="s">
        <v>59</v>
      </c>
      <c r="H175" s="85" t="s">
        <v>92</v>
      </c>
      <c r="I175" s="85" t="s">
        <v>358</v>
      </c>
      <c r="J175" s="675" t="s">
        <v>358</v>
      </c>
      <c r="K175" s="85" t="s">
        <v>358</v>
      </c>
      <c r="L175" s="85" t="s">
        <v>40</v>
      </c>
      <c r="M175" s="85" t="s">
        <v>6</v>
      </c>
      <c r="N175" s="668" t="s">
        <v>44</v>
      </c>
      <c r="O175" s="669">
        <v>7</v>
      </c>
      <c r="P175" s="615"/>
      <c r="Q175" s="615"/>
      <c r="R175" s="615"/>
      <c r="S175" s="615"/>
      <c r="T175" s="615"/>
      <c r="U175" s="615"/>
      <c r="V175" s="615"/>
      <c r="W175" s="615"/>
      <c r="X175" s="615"/>
      <c r="Y175" s="615"/>
      <c r="Z175" s="635"/>
      <c r="AA175" s="636"/>
      <c r="AB175" s="615"/>
      <c r="AC175" s="615"/>
      <c r="AD175" s="615"/>
      <c r="AE175" s="615"/>
      <c r="AF175" s="615"/>
      <c r="AG175" s="615"/>
      <c r="AH175" s="615"/>
      <c r="AI175" s="615"/>
      <c r="AJ175" s="615"/>
      <c r="AK175" s="615"/>
      <c r="AL175" s="635"/>
      <c r="AM175" s="636"/>
      <c r="AN175" s="615"/>
      <c r="AO175" s="615"/>
      <c r="AP175" s="615"/>
      <c r="AQ175" s="615"/>
      <c r="AR175" s="615"/>
      <c r="AS175" s="615"/>
      <c r="AT175" s="615"/>
      <c r="AU175" s="615"/>
      <c r="AV175" s="615"/>
      <c r="AW175" s="615"/>
      <c r="AX175" s="635"/>
      <c r="AY175" s="636"/>
      <c r="AZ175" s="615"/>
      <c r="BA175" s="615"/>
      <c r="BB175" s="615"/>
      <c r="BC175" s="615"/>
      <c r="BD175" s="615"/>
      <c r="BE175" s="615"/>
      <c r="BF175" s="615"/>
      <c r="BG175" s="615"/>
      <c r="BH175" s="615"/>
      <c r="BI175" s="615"/>
      <c r="BJ175" s="635"/>
      <c r="BK175" s="636"/>
      <c r="BL175" s="615"/>
      <c r="BM175" s="615"/>
      <c r="BN175" s="615"/>
      <c r="BO175" s="615"/>
      <c r="BP175" s="615"/>
      <c r="BQ175" s="615"/>
      <c r="BR175" s="615"/>
      <c r="BS175" s="615"/>
      <c r="BT175" s="615"/>
      <c r="BU175" s="615"/>
      <c r="BV175" s="637"/>
      <c r="BW175" s="669">
        <v>272.90999999999997</v>
      </c>
      <c r="BX175" s="615"/>
      <c r="BY175" s="615"/>
      <c r="BZ175" s="615"/>
      <c r="CA175" s="615"/>
      <c r="CB175" s="615"/>
      <c r="CC175" s="615"/>
      <c r="CD175" s="615"/>
      <c r="CE175" s="615"/>
      <c r="CF175" s="615"/>
      <c r="CG175" s="615"/>
      <c r="CH175" s="635"/>
      <c r="CI175" s="636"/>
      <c r="CJ175" s="615"/>
      <c r="CK175" s="615"/>
      <c r="CL175" s="615"/>
      <c r="CM175" s="615"/>
      <c r="CN175" s="615"/>
      <c r="CO175" s="615"/>
      <c r="CP175" s="615"/>
      <c r="CQ175" s="615"/>
      <c r="CR175" s="615"/>
      <c r="CS175" s="615"/>
      <c r="CT175" s="635"/>
      <c r="CU175" s="636"/>
      <c r="CV175" s="615"/>
      <c r="CW175" s="615"/>
      <c r="CX175" s="615"/>
      <c r="CY175" s="615"/>
      <c r="CZ175" s="615"/>
      <c r="DA175" s="615"/>
      <c r="DB175" s="615"/>
      <c r="DC175" s="615"/>
      <c r="DD175" s="615"/>
      <c r="DE175" s="615"/>
      <c r="DF175" s="635"/>
      <c r="DG175" s="636"/>
      <c r="DH175" s="615"/>
      <c r="DI175" s="615"/>
      <c r="DJ175" s="615"/>
      <c r="DK175" s="615"/>
      <c r="DL175" s="615"/>
      <c r="DM175" s="615"/>
      <c r="DN175" s="615"/>
      <c r="DO175" s="615"/>
      <c r="DP175" s="615"/>
      <c r="DQ175" s="615"/>
      <c r="DR175" s="635"/>
      <c r="DS175" s="636"/>
      <c r="DT175" s="615"/>
      <c r="DU175" s="615"/>
      <c r="DV175" s="615"/>
      <c r="DW175" s="615"/>
      <c r="DX175" s="615"/>
      <c r="DY175" s="615"/>
      <c r="DZ175" s="615"/>
      <c r="EA175" s="615"/>
      <c r="EB175" s="615"/>
      <c r="EC175" s="615"/>
      <c r="ED175" s="637"/>
      <c r="EE175" s="692"/>
    </row>
    <row r="176" spans="1:135" x14ac:dyDescent="0.25">
      <c r="A176" s="640" t="s">
        <v>11</v>
      </c>
      <c r="B176" s="367" t="s">
        <v>1172</v>
      </c>
      <c r="C176" s="367" t="s">
        <v>475</v>
      </c>
      <c r="D176" s="367" t="s">
        <v>1173</v>
      </c>
      <c r="E176" s="503" t="s">
        <v>1165</v>
      </c>
      <c r="F176" s="570">
        <v>44593</v>
      </c>
      <c r="G176" s="85" t="s">
        <v>59</v>
      </c>
      <c r="H176" s="85" t="s">
        <v>54</v>
      </c>
      <c r="I176" s="85" t="s">
        <v>358</v>
      </c>
      <c r="J176" s="675" t="s">
        <v>358</v>
      </c>
      <c r="K176" s="85" t="s">
        <v>358</v>
      </c>
      <c r="L176" s="85" t="s">
        <v>40</v>
      </c>
      <c r="M176" s="85" t="s">
        <v>3</v>
      </c>
      <c r="N176" s="668" t="s">
        <v>44</v>
      </c>
      <c r="O176" s="669"/>
      <c r="P176" s="615"/>
      <c r="Q176" s="615"/>
      <c r="R176" s="615"/>
      <c r="S176" s="615">
        <v>4.8</v>
      </c>
      <c r="T176" s="615"/>
      <c r="U176" s="615"/>
      <c r="V176" s="615"/>
      <c r="W176" s="615"/>
      <c r="X176" s="615"/>
      <c r="Y176" s="615"/>
      <c r="Z176" s="635"/>
      <c r="AA176" s="636"/>
      <c r="AB176" s="615"/>
      <c r="AC176" s="615"/>
      <c r="AD176" s="615"/>
      <c r="AE176" s="615"/>
      <c r="AF176" s="615"/>
      <c r="AG176" s="615"/>
      <c r="AH176" s="615"/>
      <c r="AI176" s="615"/>
      <c r="AJ176" s="615"/>
      <c r="AK176" s="615"/>
      <c r="AL176" s="635"/>
      <c r="AM176" s="636"/>
      <c r="AN176" s="615"/>
      <c r="AO176" s="615"/>
      <c r="AP176" s="615"/>
      <c r="AQ176" s="615"/>
      <c r="AR176" s="615"/>
      <c r="AS176" s="615"/>
      <c r="AT176" s="615"/>
      <c r="AU176" s="615"/>
      <c r="AV176" s="615"/>
      <c r="AW176" s="615"/>
      <c r="AX176" s="635"/>
      <c r="AY176" s="636"/>
      <c r="AZ176" s="615"/>
      <c r="BA176" s="615"/>
      <c r="BB176" s="615"/>
      <c r="BC176" s="615"/>
      <c r="BD176" s="615"/>
      <c r="BE176" s="615"/>
      <c r="BF176" s="615"/>
      <c r="BG176" s="615"/>
      <c r="BH176" s="615"/>
      <c r="BI176" s="615"/>
      <c r="BJ176" s="635"/>
      <c r="BK176" s="636"/>
      <c r="BL176" s="615"/>
      <c r="BM176" s="615"/>
      <c r="BN176" s="615"/>
      <c r="BO176" s="615"/>
      <c r="BP176" s="615"/>
      <c r="BQ176" s="615"/>
      <c r="BR176" s="615"/>
      <c r="BS176" s="615"/>
      <c r="BT176" s="615"/>
      <c r="BU176" s="615"/>
      <c r="BV176" s="637"/>
      <c r="BW176" s="669"/>
      <c r="BX176" s="615"/>
      <c r="BY176" s="615"/>
      <c r="BZ176" s="615"/>
      <c r="CA176" s="615">
        <v>105</v>
      </c>
      <c r="CB176" s="615"/>
      <c r="CC176" s="615"/>
      <c r="CD176" s="615"/>
      <c r="CE176" s="615"/>
      <c r="CF176" s="615"/>
      <c r="CG176" s="615"/>
      <c r="CH176" s="635"/>
      <c r="CI176" s="636"/>
      <c r="CJ176" s="615"/>
      <c r="CK176" s="615"/>
      <c r="CL176" s="615"/>
      <c r="CM176" s="615"/>
      <c r="CN176" s="615"/>
      <c r="CO176" s="615"/>
      <c r="CP176" s="615"/>
      <c r="CQ176" s="615"/>
      <c r="CR176" s="615"/>
      <c r="CS176" s="615"/>
      <c r="CT176" s="635"/>
      <c r="CU176" s="636"/>
      <c r="CV176" s="615"/>
      <c r="CW176" s="615"/>
      <c r="CX176" s="615"/>
      <c r="CY176" s="615"/>
      <c r="CZ176" s="615"/>
      <c r="DA176" s="615"/>
      <c r="DB176" s="615"/>
      <c r="DC176" s="615"/>
      <c r="DD176" s="615"/>
      <c r="DE176" s="615"/>
      <c r="DF176" s="635"/>
      <c r="DG176" s="636"/>
      <c r="DH176" s="615"/>
      <c r="DI176" s="615"/>
      <c r="DJ176" s="615"/>
      <c r="DK176" s="615"/>
      <c r="DL176" s="615"/>
      <c r="DM176" s="615"/>
      <c r="DN176" s="615"/>
      <c r="DO176" s="615"/>
      <c r="DP176" s="615"/>
      <c r="DQ176" s="615"/>
      <c r="DR176" s="635"/>
      <c r="DS176" s="636"/>
      <c r="DT176" s="615"/>
      <c r="DU176" s="615"/>
      <c r="DV176" s="615"/>
      <c r="DW176" s="615"/>
      <c r="DX176" s="615"/>
      <c r="DY176" s="615"/>
      <c r="DZ176" s="615"/>
      <c r="EA176" s="615"/>
      <c r="EB176" s="615"/>
      <c r="EC176" s="615"/>
      <c r="ED176" s="637"/>
      <c r="EE176" s="692"/>
    </row>
    <row r="177" spans="1:135" x14ac:dyDescent="0.25">
      <c r="A177" s="640" t="s">
        <v>11</v>
      </c>
      <c r="B177" s="367" t="s">
        <v>1175</v>
      </c>
      <c r="C177" s="367" t="s">
        <v>967</v>
      </c>
      <c r="D177" s="367" t="s">
        <v>1176</v>
      </c>
      <c r="E177" s="503" t="s">
        <v>1174</v>
      </c>
      <c r="F177" s="570">
        <v>44595</v>
      </c>
      <c r="G177" s="85" t="s">
        <v>59</v>
      </c>
      <c r="H177" s="85" t="s">
        <v>54</v>
      </c>
      <c r="I177" s="85" t="s">
        <v>358</v>
      </c>
      <c r="J177" s="675" t="s">
        <v>358</v>
      </c>
      <c r="K177" s="85" t="s">
        <v>358</v>
      </c>
      <c r="L177" s="85" t="s">
        <v>40</v>
      </c>
      <c r="M177" s="85" t="s">
        <v>3</v>
      </c>
      <c r="N177" s="668" t="s">
        <v>44</v>
      </c>
      <c r="O177" s="669"/>
      <c r="P177" s="615"/>
      <c r="Q177" s="615">
        <v>4</v>
      </c>
      <c r="R177" s="615"/>
      <c r="S177" s="615"/>
      <c r="T177" s="615"/>
      <c r="U177" s="615"/>
      <c r="V177" s="615"/>
      <c r="W177" s="615"/>
      <c r="X177" s="615"/>
      <c r="Y177" s="615"/>
      <c r="Z177" s="635"/>
      <c r="AA177" s="636"/>
      <c r="AB177" s="615"/>
      <c r="AC177" s="615"/>
      <c r="AD177" s="615"/>
      <c r="AE177" s="615"/>
      <c r="AF177" s="615"/>
      <c r="AG177" s="615"/>
      <c r="AH177" s="615"/>
      <c r="AI177" s="615"/>
      <c r="AJ177" s="615"/>
      <c r="AK177" s="615"/>
      <c r="AL177" s="635"/>
      <c r="AM177" s="636"/>
      <c r="AN177" s="615"/>
      <c r="AO177" s="615"/>
      <c r="AP177" s="615"/>
      <c r="AQ177" s="615"/>
      <c r="AR177" s="615"/>
      <c r="AS177" s="615"/>
      <c r="AT177" s="615"/>
      <c r="AU177" s="615"/>
      <c r="AV177" s="615"/>
      <c r="AW177" s="615"/>
      <c r="AX177" s="635"/>
      <c r="AY177" s="636"/>
      <c r="AZ177" s="615"/>
      <c r="BA177" s="615"/>
      <c r="BB177" s="615"/>
      <c r="BC177" s="615"/>
      <c r="BD177" s="615"/>
      <c r="BE177" s="615"/>
      <c r="BF177" s="615"/>
      <c r="BG177" s="615"/>
      <c r="BH177" s="615"/>
      <c r="BI177" s="615"/>
      <c r="BJ177" s="635"/>
      <c r="BK177" s="636"/>
      <c r="BL177" s="615"/>
      <c r="BM177" s="615"/>
      <c r="BN177" s="615"/>
      <c r="BO177" s="615"/>
      <c r="BP177" s="615"/>
      <c r="BQ177" s="615"/>
      <c r="BR177" s="615"/>
      <c r="BS177" s="615"/>
      <c r="BT177" s="615"/>
      <c r="BU177" s="615"/>
      <c r="BV177" s="637"/>
      <c r="BW177" s="669"/>
      <c r="BX177" s="615"/>
      <c r="BY177" s="615">
        <v>73</v>
      </c>
      <c r="BZ177" s="615"/>
      <c r="CA177" s="615"/>
      <c r="CB177" s="615"/>
      <c r="CC177" s="615"/>
      <c r="CD177" s="615"/>
      <c r="CE177" s="615"/>
      <c r="CF177" s="615"/>
      <c r="CG177" s="615"/>
      <c r="CH177" s="635"/>
      <c r="CI177" s="636"/>
      <c r="CJ177" s="615"/>
      <c r="CK177" s="615"/>
      <c r="CL177" s="615"/>
      <c r="CM177" s="615"/>
      <c r="CN177" s="615"/>
      <c r="CO177" s="615"/>
      <c r="CP177" s="615"/>
      <c r="CQ177" s="615"/>
      <c r="CR177" s="615"/>
      <c r="CS177" s="615"/>
      <c r="CT177" s="635"/>
      <c r="CU177" s="636"/>
      <c r="CV177" s="615"/>
      <c r="CW177" s="615"/>
      <c r="CX177" s="615"/>
      <c r="CY177" s="615"/>
      <c r="CZ177" s="615"/>
      <c r="DA177" s="615"/>
      <c r="DB177" s="615"/>
      <c r="DC177" s="615"/>
      <c r="DD177" s="615"/>
      <c r="DE177" s="615"/>
      <c r="DF177" s="635"/>
      <c r="DG177" s="636"/>
      <c r="DH177" s="615"/>
      <c r="DI177" s="615"/>
      <c r="DJ177" s="615"/>
      <c r="DK177" s="615"/>
      <c r="DL177" s="615"/>
      <c r="DM177" s="615"/>
      <c r="DN177" s="615"/>
      <c r="DO177" s="615"/>
      <c r="DP177" s="615"/>
      <c r="DQ177" s="615"/>
      <c r="DR177" s="635"/>
      <c r="DS177" s="636"/>
      <c r="DT177" s="615"/>
      <c r="DU177" s="615"/>
      <c r="DV177" s="615"/>
      <c r="DW177" s="615"/>
      <c r="DX177" s="615"/>
      <c r="DY177" s="615"/>
      <c r="DZ177" s="615"/>
      <c r="EA177" s="615"/>
      <c r="EB177" s="615"/>
      <c r="EC177" s="615"/>
      <c r="ED177" s="637"/>
      <c r="EE177" s="692"/>
    </row>
    <row r="178" spans="1:135" x14ac:dyDescent="0.25">
      <c r="A178" s="640" t="s">
        <v>11</v>
      </c>
      <c r="B178" s="367" t="s">
        <v>1180</v>
      </c>
      <c r="C178" s="367" t="s">
        <v>968</v>
      </c>
      <c r="D178" s="367" t="s">
        <v>1181</v>
      </c>
      <c r="E178" s="503" t="s">
        <v>1177</v>
      </c>
      <c r="F178" s="570">
        <v>44600</v>
      </c>
      <c r="G178" s="85" t="s">
        <v>59</v>
      </c>
      <c r="H178" s="85" t="s">
        <v>54</v>
      </c>
      <c r="I178" s="85" t="s">
        <v>358</v>
      </c>
      <c r="J178" s="675" t="s">
        <v>358</v>
      </c>
      <c r="K178" s="85" t="s">
        <v>358</v>
      </c>
      <c r="L178" s="85" t="s">
        <v>40</v>
      </c>
      <c r="M178" s="85" t="s">
        <v>3</v>
      </c>
      <c r="N178" s="668" t="s">
        <v>44</v>
      </c>
      <c r="O178" s="669"/>
      <c r="P178" s="615"/>
      <c r="Q178" s="615"/>
      <c r="R178" s="615"/>
      <c r="S178" s="615"/>
      <c r="T178" s="615"/>
      <c r="U178" s="615"/>
      <c r="V178" s="615"/>
      <c r="W178" s="615"/>
      <c r="X178" s="615"/>
      <c r="Y178" s="615"/>
      <c r="Z178" s="635">
        <v>2</v>
      </c>
      <c r="AA178" s="636"/>
      <c r="AB178" s="615"/>
      <c r="AC178" s="615"/>
      <c r="AD178" s="615"/>
      <c r="AE178" s="615"/>
      <c r="AF178" s="615"/>
      <c r="AG178" s="615"/>
      <c r="AH178" s="615"/>
      <c r="AI178" s="615"/>
      <c r="AJ178" s="615"/>
      <c r="AK178" s="615"/>
      <c r="AL178" s="635"/>
      <c r="AM178" s="636"/>
      <c r="AN178" s="615"/>
      <c r="AO178" s="615"/>
      <c r="AP178" s="615"/>
      <c r="AQ178" s="615"/>
      <c r="AR178" s="615"/>
      <c r="AS178" s="615"/>
      <c r="AT178" s="615"/>
      <c r="AU178" s="615"/>
      <c r="AV178" s="615"/>
      <c r="AW178" s="615"/>
      <c r="AX178" s="635"/>
      <c r="AY178" s="636"/>
      <c r="AZ178" s="615"/>
      <c r="BA178" s="615"/>
      <c r="BB178" s="615"/>
      <c r="BC178" s="615"/>
      <c r="BD178" s="615"/>
      <c r="BE178" s="615"/>
      <c r="BF178" s="615"/>
      <c r="BG178" s="615"/>
      <c r="BH178" s="615"/>
      <c r="BI178" s="615"/>
      <c r="BJ178" s="635"/>
      <c r="BK178" s="636"/>
      <c r="BL178" s="615"/>
      <c r="BM178" s="615"/>
      <c r="BN178" s="615"/>
      <c r="BO178" s="615"/>
      <c r="BP178" s="615"/>
      <c r="BQ178" s="615"/>
      <c r="BR178" s="615"/>
      <c r="BS178" s="615"/>
      <c r="BT178" s="615"/>
      <c r="BU178" s="615"/>
      <c r="BV178" s="637"/>
      <c r="BW178" s="669"/>
      <c r="BX178" s="615"/>
      <c r="BY178" s="615"/>
      <c r="BZ178" s="615"/>
      <c r="CA178" s="615"/>
      <c r="CB178" s="615"/>
      <c r="CC178" s="615"/>
      <c r="CD178" s="615"/>
      <c r="CE178" s="615"/>
      <c r="CF178" s="615"/>
      <c r="CG178" s="615"/>
      <c r="CH178" s="635">
        <v>155</v>
      </c>
      <c r="CI178" s="636"/>
      <c r="CJ178" s="615"/>
      <c r="CK178" s="615"/>
      <c r="CL178" s="615"/>
      <c r="CM178" s="615"/>
      <c r="CN178" s="615"/>
      <c r="CO178" s="615"/>
      <c r="CP178" s="615"/>
      <c r="CQ178" s="615"/>
      <c r="CR178" s="615"/>
      <c r="CS178" s="615"/>
      <c r="CT178" s="635"/>
      <c r="CU178" s="636"/>
      <c r="CV178" s="615"/>
      <c r="CW178" s="615"/>
      <c r="CX178" s="615"/>
      <c r="CY178" s="615"/>
      <c r="CZ178" s="615"/>
      <c r="DA178" s="615"/>
      <c r="DB178" s="615"/>
      <c r="DC178" s="615"/>
      <c r="DD178" s="615"/>
      <c r="DE178" s="615"/>
      <c r="DF178" s="635"/>
      <c r="DG178" s="636"/>
      <c r="DH178" s="615"/>
      <c r="DI178" s="615"/>
      <c r="DJ178" s="615"/>
      <c r="DK178" s="615"/>
      <c r="DL178" s="615"/>
      <c r="DM178" s="615"/>
      <c r="DN178" s="615"/>
      <c r="DO178" s="615"/>
      <c r="DP178" s="615"/>
      <c r="DQ178" s="615"/>
      <c r="DR178" s="635"/>
      <c r="DS178" s="636"/>
      <c r="DT178" s="615"/>
      <c r="DU178" s="615"/>
      <c r="DV178" s="615"/>
      <c r="DW178" s="615"/>
      <c r="DX178" s="615"/>
      <c r="DY178" s="615"/>
      <c r="DZ178" s="615"/>
      <c r="EA178" s="615"/>
      <c r="EB178" s="615"/>
      <c r="EC178" s="615"/>
      <c r="ED178" s="637"/>
      <c r="EE178" s="692"/>
    </row>
    <row r="179" spans="1:135" x14ac:dyDescent="0.25">
      <c r="A179" s="640" t="s">
        <v>11</v>
      </c>
      <c r="B179" s="367" t="s">
        <v>1183</v>
      </c>
      <c r="C179" s="367" t="s">
        <v>968</v>
      </c>
      <c r="D179" s="367" t="s">
        <v>1184</v>
      </c>
      <c r="E179" s="503" t="s">
        <v>1182</v>
      </c>
      <c r="F179" s="570">
        <v>44601</v>
      </c>
      <c r="G179" s="85" t="s">
        <v>59</v>
      </c>
      <c r="H179" s="85" t="s">
        <v>54</v>
      </c>
      <c r="I179" s="85" t="s">
        <v>358</v>
      </c>
      <c r="J179" s="675" t="s">
        <v>358</v>
      </c>
      <c r="K179" s="85" t="s">
        <v>358</v>
      </c>
      <c r="L179" s="85" t="s">
        <v>40</v>
      </c>
      <c r="M179" s="85" t="s">
        <v>3</v>
      </c>
      <c r="N179" s="668" t="s">
        <v>44</v>
      </c>
      <c r="O179" s="669"/>
      <c r="P179" s="615"/>
      <c r="Q179" s="615"/>
      <c r="R179" s="615"/>
      <c r="S179" s="615"/>
      <c r="T179" s="615"/>
      <c r="U179" s="615"/>
      <c r="V179" s="615"/>
      <c r="W179" s="615"/>
      <c r="X179" s="615"/>
      <c r="Y179" s="615"/>
      <c r="Z179" s="635">
        <v>2</v>
      </c>
      <c r="AA179" s="636"/>
      <c r="AB179" s="615"/>
      <c r="AC179" s="615"/>
      <c r="AD179" s="615"/>
      <c r="AE179" s="615"/>
      <c r="AF179" s="615"/>
      <c r="AG179" s="615"/>
      <c r="AH179" s="615"/>
      <c r="AI179" s="615"/>
      <c r="AJ179" s="615"/>
      <c r="AK179" s="615"/>
      <c r="AL179" s="635"/>
      <c r="AM179" s="636"/>
      <c r="AN179" s="615"/>
      <c r="AO179" s="615"/>
      <c r="AP179" s="615"/>
      <c r="AQ179" s="615"/>
      <c r="AR179" s="615"/>
      <c r="AS179" s="615"/>
      <c r="AT179" s="615"/>
      <c r="AU179" s="615"/>
      <c r="AV179" s="615"/>
      <c r="AW179" s="615"/>
      <c r="AX179" s="635"/>
      <c r="AY179" s="636"/>
      <c r="AZ179" s="615"/>
      <c r="BA179" s="615"/>
      <c r="BB179" s="615"/>
      <c r="BC179" s="615"/>
      <c r="BD179" s="615"/>
      <c r="BE179" s="615"/>
      <c r="BF179" s="615"/>
      <c r="BG179" s="615"/>
      <c r="BH179" s="615"/>
      <c r="BI179" s="615"/>
      <c r="BJ179" s="635"/>
      <c r="BK179" s="636"/>
      <c r="BL179" s="615"/>
      <c r="BM179" s="615"/>
      <c r="BN179" s="615"/>
      <c r="BO179" s="615"/>
      <c r="BP179" s="615"/>
      <c r="BQ179" s="615"/>
      <c r="BR179" s="615"/>
      <c r="BS179" s="615"/>
      <c r="BT179" s="615"/>
      <c r="BU179" s="615"/>
      <c r="BV179" s="637"/>
      <c r="BW179" s="669"/>
      <c r="BX179" s="615"/>
      <c r="BY179" s="615"/>
      <c r="BZ179" s="615"/>
      <c r="CA179" s="615"/>
      <c r="CB179" s="615"/>
      <c r="CC179" s="615"/>
      <c r="CD179" s="615"/>
      <c r="CE179" s="615"/>
      <c r="CF179" s="615"/>
      <c r="CG179" s="615"/>
      <c r="CH179" s="635">
        <v>160</v>
      </c>
      <c r="CI179" s="636"/>
      <c r="CJ179" s="615"/>
      <c r="CK179" s="615"/>
      <c r="CL179" s="615"/>
      <c r="CM179" s="615"/>
      <c r="CN179" s="615"/>
      <c r="CO179" s="615"/>
      <c r="CP179" s="615"/>
      <c r="CQ179" s="615"/>
      <c r="CR179" s="615"/>
      <c r="CS179" s="615"/>
      <c r="CT179" s="635"/>
      <c r="CU179" s="636"/>
      <c r="CV179" s="615"/>
      <c r="CW179" s="615"/>
      <c r="CX179" s="615"/>
      <c r="CY179" s="615"/>
      <c r="CZ179" s="615"/>
      <c r="DA179" s="615"/>
      <c r="DB179" s="615"/>
      <c r="DC179" s="615"/>
      <c r="DD179" s="615"/>
      <c r="DE179" s="615"/>
      <c r="DF179" s="635"/>
      <c r="DG179" s="636"/>
      <c r="DH179" s="615"/>
      <c r="DI179" s="615"/>
      <c r="DJ179" s="615"/>
      <c r="DK179" s="615"/>
      <c r="DL179" s="615"/>
      <c r="DM179" s="615"/>
      <c r="DN179" s="615"/>
      <c r="DO179" s="615"/>
      <c r="DP179" s="615"/>
      <c r="DQ179" s="615"/>
      <c r="DR179" s="635"/>
      <c r="DS179" s="636"/>
      <c r="DT179" s="615"/>
      <c r="DU179" s="615"/>
      <c r="DV179" s="615"/>
      <c r="DW179" s="615"/>
      <c r="DX179" s="615"/>
      <c r="DY179" s="615"/>
      <c r="DZ179" s="615"/>
      <c r="EA179" s="615"/>
      <c r="EB179" s="615"/>
      <c r="EC179" s="615"/>
      <c r="ED179" s="637"/>
      <c r="EE179" s="692"/>
    </row>
    <row r="180" spans="1:135" x14ac:dyDescent="0.25">
      <c r="A180" s="640" t="s">
        <v>11</v>
      </c>
      <c r="B180" s="367" t="s">
        <v>1186</v>
      </c>
      <c r="C180" s="367" t="s">
        <v>513</v>
      </c>
      <c r="D180" s="367" t="s">
        <v>1187</v>
      </c>
      <c r="E180" s="503" t="s">
        <v>1185</v>
      </c>
      <c r="F180" s="570">
        <v>44608</v>
      </c>
      <c r="G180" s="85" t="s">
        <v>59</v>
      </c>
      <c r="H180" s="85" t="s">
        <v>54</v>
      </c>
      <c r="I180" s="85" t="s">
        <v>358</v>
      </c>
      <c r="J180" s="675" t="s">
        <v>358</v>
      </c>
      <c r="K180" s="85" t="s">
        <v>358</v>
      </c>
      <c r="L180" s="85" t="s">
        <v>40</v>
      </c>
      <c r="M180" s="85" t="s">
        <v>3</v>
      </c>
      <c r="N180" s="668" t="s">
        <v>44</v>
      </c>
      <c r="O180" s="669"/>
      <c r="P180" s="615"/>
      <c r="Q180" s="615"/>
      <c r="R180" s="615"/>
      <c r="S180" s="615"/>
      <c r="T180" s="615"/>
      <c r="U180" s="615"/>
      <c r="V180" s="615"/>
      <c r="W180" s="615"/>
      <c r="X180" s="615"/>
      <c r="Y180" s="615"/>
      <c r="Z180" s="635">
        <v>1</v>
      </c>
      <c r="AA180" s="636"/>
      <c r="AB180" s="615"/>
      <c r="AC180" s="615"/>
      <c r="AD180" s="615"/>
      <c r="AE180" s="615"/>
      <c r="AF180" s="615"/>
      <c r="AG180" s="615"/>
      <c r="AH180" s="615"/>
      <c r="AI180" s="615"/>
      <c r="AJ180" s="615"/>
      <c r="AK180" s="615"/>
      <c r="AL180" s="635"/>
      <c r="AM180" s="636"/>
      <c r="AN180" s="615"/>
      <c r="AO180" s="615"/>
      <c r="AP180" s="615"/>
      <c r="AQ180" s="615"/>
      <c r="AR180" s="615"/>
      <c r="AS180" s="615"/>
      <c r="AT180" s="615"/>
      <c r="AU180" s="615"/>
      <c r="AV180" s="615"/>
      <c r="AW180" s="615"/>
      <c r="AX180" s="635"/>
      <c r="AY180" s="636"/>
      <c r="AZ180" s="615"/>
      <c r="BA180" s="615"/>
      <c r="BB180" s="615"/>
      <c r="BC180" s="615"/>
      <c r="BD180" s="615"/>
      <c r="BE180" s="615"/>
      <c r="BF180" s="615"/>
      <c r="BG180" s="615"/>
      <c r="BH180" s="615"/>
      <c r="BI180" s="615"/>
      <c r="BJ180" s="635"/>
      <c r="BK180" s="636"/>
      <c r="BL180" s="615"/>
      <c r="BM180" s="615"/>
      <c r="BN180" s="615"/>
      <c r="BO180" s="615"/>
      <c r="BP180" s="615"/>
      <c r="BQ180" s="615"/>
      <c r="BR180" s="615"/>
      <c r="BS180" s="615"/>
      <c r="BT180" s="615"/>
      <c r="BU180" s="615"/>
      <c r="BV180" s="637"/>
      <c r="BW180" s="669"/>
      <c r="BX180" s="615"/>
      <c r="BY180" s="615"/>
      <c r="BZ180" s="615"/>
      <c r="CA180" s="615"/>
      <c r="CB180" s="615"/>
      <c r="CC180" s="615"/>
      <c r="CD180" s="615"/>
      <c r="CE180" s="615"/>
      <c r="CF180" s="615"/>
      <c r="CG180" s="615"/>
      <c r="CH180" s="635">
        <v>165</v>
      </c>
      <c r="CI180" s="636"/>
      <c r="CJ180" s="615"/>
      <c r="CK180" s="615"/>
      <c r="CL180" s="615"/>
      <c r="CM180" s="615"/>
      <c r="CN180" s="615"/>
      <c r="CO180" s="615"/>
      <c r="CP180" s="615"/>
      <c r="CQ180" s="615"/>
      <c r="CR180" s="615"/>
      <c r="CS180" s="615"/>
      <c r="CT180" s="635"/>
      <c r="CU180" s="636"/>
      <c r="CV180" s="615"/>
      <c r="CW180" s="615"/>
      <c r="CX180" s="615"/>
      <c r="CY180" s="615"/>
      <c r="CZ180" s="615"/>
      <c r="DA180" s="615"/>
      <c r="DB180" s="615"/>
      <c r="DC180" s="615"/>
      <c r="DD180" s="615"/>
      <c r="DE180" s="615"/>
      <c r="DF180" s="635"/>
      <c r="DG180" s="636"/>
      <c r="DH180" s="615"/>
      <c r="DI180" s="615"/>
      <c r="DJ180" s="615"/>
      <c r="DK180" s="615"/>
      <c r="DL180" s="615"/>
      <c r="DM180" s="615"/>
      <c r="DN180" s="615"/>
      <c r="DO180" s="615"/>
      <c r="DP180" s="615"/>
      <c r="DQ180" s="615"/>
      <c r="DR180" s="635"/>
      <c r="DS180" s="636"/>
      <c r="DT180" s="615"/>
      <c r="DU180" s="615"/>
      <c r="DV180" s="615"/>
      <c r="DW180" s="615"/>
      <c r="DX180" s="615"/>
      <c r="DY180" s="615"/>
      <c r="DZ180" s="615"/>
      <c r="EA180" s="615"/>
      <c r="EB180" s="615"/>
      <c r="EC180" s="615"/>
      <c r="ED180" s="637"/>
      <c r="EE180" s="692"/>
    </row>
    <row r="181" spans="1:135" x14ac:dyDescent="0.25">
      <c r="A181" s="640" t="s">
        <v>11</v>
      </c>
      <c r="B181" s="367" t="s">
        <v>1189</v>
      </c>
      <c r="C181" s="367" t="s">
        <v>410</v>
      </c>
      <c r="D181" s="367" t="s">
        <v>1190</v>
      </c>
      <c r="E181" s="503" t="s">
        <v>1188</v>
      </c>
      <c r="F181" s="570">
        <v>44610</v>
      </c>
      <c r="G181" s="85" t="s">
        <v>59</v>
      </c>
      <c r="H181" s="85" t="s">
        <v>54</v>
      </c>
      <c r="I181" s="85" t="s">
        <v>358</v>
      </c>
      <c r="J181" s="675" t="s">
        <v>358</v>
      </c>
      <c r="K181" s="85" t="s">
        <v>358</v>
      </c>
      <c r="L181" s="85" t="s">
        <v>40</v>
      </c>
      <c r="M181" s="85" t="s">
        <v>3</v>
      </c>
      <c r="N181" s="668" t="s">
        <v>44</v>
      </c>
      <c r="O181" s="669"/>
      <c r="P181" s="615"/>
      <c r="Q181" s="615"/>
      <c r="R181" s="615"/>
      <c r="S181" s="615"/>
      <c r="T181" s="615"/>
      <c r="U181" s="615"/>
      <c r="V181" s="615"/>
      <c r="W181" s="615"/>
      <c r="X181" s="615"/>
      <c r="Y181" s="615"/>
      <c r="Z181" s="635">
        <v>6</v>
      </c>
      <c r="AA181" s="636"/>
      <c r="AB181" s="615"/>
      <c r="AC181" s="615"/>
      <c r="AD181" s="615"/>
      <c r="AE181" s="615"/>
      <c r="AF181" s="615"/>
      <c r="AG181" s="615"/>
      <c r="AH181" s="615"/>
      <c r="AI181" s="615"/>
      <c r="AJ181" s="615"/>
      <c r="AK181" s="615"/>
      <c r="AL181" s="635"/>
      <c r="AM181" s="636"/>
      <c r="AN181" s="615"/>
      <c r="AO181" s="615"/>
      <c r="AP181" s="615"/>
      <c r="AQ181" s="615"/>
      <c r="AR181" s="615"/>
      <c r="AS181" s="615"/>
      <c r="AT181" s="615"/>
      <c r="AU181" s="615"/>
      <c r="AV181" s="615"/>
      <c r="AW181" s="615"/>
      <c r="AX181" s="635"/>
      <c r="AY181" s="636"/>
      <c r="AZ181" s="615"/>
      <c r="BA181" s="615"/>
      <c r="BB181" s="615"/>
      <c r="BC181" s="615"/>
      <c r="BD181" s="615"/>
      <c r="BE181" s="615"/>
      <c r="BF181" s="615"/>
      <c r="BG181" s="615"/>
      <c r="BH181" s="615"/>
      <c r="BI181" s="615"/>
      <c r="BJ181" s="635"/>
      <c r="BK181" s="636"/>
      <c r="BL181" s="615"/>
      <c r="BM181" s="615"/>
      <c r="BN181" s="615"/>
      <c r="BO181" s="615"/>
      <c r="BP181" s="615"/>
      <c r="BQ181" s="615"/>
      <c r="BR181" s="615"/>
      <c r="BS181" s="615"/>
      <c r="BT181" s="615"/>
      <c r="BU181" s="615"/>
      <c r="BV181" s="637"/>
      <c r="BW181" s="669"/>
      <c r="BX181" s="615"/>
      <c r="BY181" s="615"/>
      <c r="BZ181" s="615"/>
      <c r="CA181" s="615"/>
      <c r="CB181" s="615"/>
      <c r="CC181" s="615"/>
      <c r="CD181" s="615"/>
      <c r="CE181" s="615"/>
      <c r="CF181" s="615"/>
      <c r="CG181" s="615"/>
      <c r="CH181" s="635">
        <v>166</v>
      </c>
      <c r="CI181" s="636"/>
      <c r="CJ181" s="615"/>
      <c r="CK181" s="615"/>
      <c r="CL181" s="615"/>
      <c r="CM181" s="615"/>
      <c r="CN181" s="615"/>
      <c r="CO181" s="615"/>
      <c r="CP181" s="615"/>
      <c r="CQ181" s="615"/>
      <c r="CR181" s="615"/>
      <c r="CS181" s="615"/>
      <c r="CT181" s="635"/>
      <c r="CU181" s="636"/>
      <c r="CV181" s="615"/>
      <c r="CW181" s="615"/>
      <c r="CX181" s="615"/>
      <c r="CY181" s="615"/>
      <c r="CZ181" s="615"/>
      <c r="DA181" s="615"/>
      <c r="DB181" s="615"/>
      <c r="DC181" s="615"/>
      <c r="DD181" s="615"/>
      <c r="DE181" s="615"/>
      <c r="DF181" s="635"/>
      <c r="DG181" s="636"/>
      <c r="DH181" s="615"/>
      <c r="DI181" s="615"/>
      <c r="DJ181" s="615"/>
      <c r="DK181" s="615"/>
      <c r="DL181" s="615"/>
      <c r="DM181" s="615"/>
      <c r="DN181" s="615"/>
      <c r="DO181" s="615"/>
      <c r="DP181" s="615"/>
      <c r="DQ181" s="615"/>
      <c r="DR181" s="635"/>
      <c r="DS181" s="636"/>
      <c r="DT181" s="615"/>
      <c r="DU181" s="615"/>
      <c r="DV181" s="615"/>
      <c r="DW181" s="615"/>
      <c r="DX181" s="615"/>
      <c r="DY181" s="615"/>
      <c r="DZ181" s="615"/>
      <c r="EA181" s="615"/>
      <c r="EB181" s="615"/>
      <c r="EC181" s="615"/>
      <c r="ED181" s="637"/>
      <c r="EE181" s="692"/>
    </row>
    <row r="182" spans="1:135" x14ac:dyDescent="0.25">
      <c r="A182" s="640" t="s">
        <v>12</v>
      </c>
      <c r="B182" s="367" t="s">
        <v>1197</v>
      </c>
      <c r="C182" s="367" t="s">
        <v>1194</v>
      </c>
      <c r="D182" s="367" t="s">
        <v>1198</v>
      </c>
      <c r="E182" s="503" t="s">
        <v>1191</v>
      </c>
      <c r="F182" s="570">
        <v>44614</v>
      </c>
      <c r="G182" s="85" t="s">
        <v>59</v>
      </c>
      <c r="H182" s="85" t="s">
        <v>92</v>
      </c>
      <c r="I182" s="85" t="s">
        <v>358</v>
      </c>
      <c r="J182" s="675" t="s">
        <v>358</v>
      </c>
      <c r="K182" s="85" t="s">
        <v>358</v>
      </c>
      <c r="L182" s="85" t="s">
        <v>40</v>
      </c>
      <c r="M182" s="85" t="s">
        <v>5</v>
      </c>
      <c r="N182" s="668" t="s">
        <v>44</v>
      </c>
      <c r="O182" s="669"/>
      <c r="P182" s="615">
        <v>10</v>
      </c>
      <c r="Q182" s="615"/>
      <c r="R182" s="615"/>
      <c r="S182" s="615"/>
      <c r="T182" s="615"/>
      <c r="U182" s="615"/>
      <c r="V182" s="615"/>
      <c r="W182" s="615"/>
      <c r="X182" s="615"/>
      <c r="Y182" s="615"/>
      <c r="Z182" s="635"/>
      <c r="AA182" s="636"/>
      <c r="AB182" s="615"/>
      <c r="AC182" s="615"/>
      <c r="AD182" s="615"/>
      <c r="AE182" s="615"/>
      <c r="AF182" s="615"/>
      <c r="AG182" s="615"/>
      <c r="AH182" s="615"/>
      <c r="AI182" s="615"/>
      <c r="AJ182" s="615"/>
      <c r="AK182" s="615"/>
      <c r="AL182" s="635"/>
      <c r="AM182" s="636"/>
      <c r="AN182" s="615"/>
      <c r="AO182" s="615"/>
      <c r="AP182" s="615"/>
      <c r="AQ182" s="615"/>
      <c r="AR182" s="615"/>
      <c r="AS182" s="615"/>
      <c r="AT182" s="615"/>
      <c r="AU182" s="615"/>
      <c r="AV182" s="615"/>
      <c r="AW182" s="615"/>
      <c r="AX182" s="635"/>
      <c r="AY182" s="636"/>
      <c r="AZ182" s="615"/>
      <c r="BA182" s="615"/>
      <c r="BB182" s="615"/>
      <c r="BC182" s="615"/>
      <c r="BD182" s="615"/>
      <c r="BE182" s="615"/>
      <c r="BF182" s="615"/>
      <c r="BG182" s="615"/>
      <c r="BH182" s="615"/>
      <c r="BI182" s="615"/>
      <c r="BJ182" s="635"/>
      <c r="BK182" s="636"/>
      <c r="BL182" s="615"/>
      <c r="BM182" s="615"/>
      <c r="BN182" s="615"/>
      <c r="BO182" s="615"/>
      <c r="BP182" s="615"/>
      <c r="BQ182" s="615"/>
      <c r="BR182" s="615"/>
      <c r="BS182" s="615"/>
      <c r="BT182" s="615"/>
      <c r="BU182" s="615"/>
      <c r="BV182" s="637"/>
      <c r="BW182" s="669"/>
      <c r="BX182" s="615">
        <v>99.7</v>
      </c>
      <c r="BY182" s="615"/>
      <c r="BZ182" s="615"/>
      <c r="CA182" s="615"/>
      <c r="CB182" s="615"/>
      <c r="CC182" s="615"/>
      <c r="CD182" s="615"/>
      <c r="CE182" s="615"/>
      <c r="CF182" s="615"/>
      <c r="CG182" s="615"/>
      <c r="CH182" s="635"/>
      <c r="CI182" s="636"/>
      <c r="CJ182" s="615"/>
      <c r="CK182" s="615"/>
      <c r="CL182" s="615"/>
      <c r="CM182" s="615"/>
      <c r="CN182" s="615"/>
      <c r="CO182" s="615"/>
      <c r="CP182" s="615"/>
      <c r="CQ182" s="615"/>
      <c r="CR182" s="615"/>
      <c r="CS182" s="615"/>
      <c r="CT182" s="635"/>
      <c r="CU182" s="636"/>
      <c r="CV182" s="615"/>
      <c r="CW182" s="615"/>
      <c r="CX182" s="615"/>
      <c r="CY182" s="615"/>
      <c r="CZ182" s="615"/>
      <c r="DA182" s="615"/>
      <c r="DB182" s="615"/>
      <c r="DC182" s="615"/>
      <c r="DD182" s="615"/>
      <c r="DE182" s="615"/>
      <c r="DF182" s="635"/>
      <c r="DG182" s="636"/>
      <c r="DH182" s="615"/>
      <c r="DI182" s="615"/>
      <c r="DJ182" s="615"/>
      <c r="DK182" s="615"/>
      <c r="DL182" s="615"/>
      <c r="DM182" s="615"/>
      <c r="DN182" s="615"/>
      <c r="DO182" s="615"/>
      <c r="DP182" s="615"/>
      <c r="DQ182" s="615"/>
      <c r="DR182" s="635"/>
      <c r="DS182" s="636"/>
      <c r="DT182" s="615"/>
      <c r="DU182" s="615"/>
      <c r="DV182" s="615"/>
      <c r="DW182" s="615"/>
      <c r="DX182" s="615"/>
      <c r="DY182" s="615"/>
      <c r="DZ182" s="615"/>
      <c r="EA182" s="615"/>
      <c r="EB182" s="615"/>
      <c r="EC182" s="615"/>
      <c r="ED182" s="637"/>
      <c r="EE182" s="692"/>
    </row>
    <row r="183" spans="1:135" x14ac:dyDescent="0.25">
      <c r="A183" s="640" t="s">
        <v>12</v>
      </c>
      <c r="B183" s="367" t="s">
        <v>1200</v>
      </c>
      <c r="C183" s="367" t="s">
        <v>1196</v>
      </c>
      <c r="D183" s="367" t="s">
        <v>1201</v>
      </c>
      <c r="E183" s="503" t="s">
        <v>1193</v>
      </c>
      <c r="F183" s="570">
        <v>44614</v>
      </c>
      <c r="G183" s="85" t="s">
        <v>59</v>
      </c>
      <c r="H183" s="85" t="s">
        <v>92</v>
      </c>
      <c r="I183" s="85" t="s">
        <v>358</v>
      </c>
      <c r="J183" s="675" t="s">
        <v>358</v>
      </c>
      <c r="K183" s="85" t="s">
        <v>358</v>
      </c>
      <c r="L183" s="85" t="s">
        <v>40</v>
      </c>
      <c r="M183" s="85" t="s">
        <v>5</v>
      </c>
      <c r="N183" s="668" t="s">
        <v>44</v>
      </c>
      <c r="O183" s="669"/>
      <c r="P183" s="615">
        <v>5</v>
      </c>
      <c r="Q183" s="615"/>
      <c r="R183" s="615"/>
      <c r="S183" s="615"/>
      <c r="T183" s="615"/>
      <c r="U183" s="615"/>
      <c r="V183" s="615"/>
      <c r="W183" s="615"/>
      <c r="X183" s="615"/>
      <c r="Y183" s="615"/>
      <c r="Z183" s="635"/>
      <c r="AA183" s="636"/>
      <c r="AB183" s="615"/>
      <c r="AC183" s="615"/>
      <c r="AD183" s="615"/>
      <c r="AE183" s="615"/>
      <c r="AF183" s="615"/>
      <c r="AG183" s="615"/>
      <c r="AH183" s="615"/>
      <c r="AI183" s="615"/>
      <c r="AJ183" s="615"/>
      <c r="AK183" s="615"/>
      <c r="AL183" s="635"/>
      <c r="AM183" s="636"/>
      <c r="AN183" s="615"/>
      <c r="AO183" s="615"/>
      <c r="AP183" s="615"/>
      <c r="AQ183" s="615"/>
      <c r="AR183" s="615"/>
      <c r="AS183" s="615"/>
      <c r="AT183" s="615"/>
      <c r="AU183" s="615"/>
      <c r="AV183" s="615"/>
      <c r="AW183" s="615"/>
      <c r="AX183" s="635"/>
      <c r="AY183" s="636"/>
      <c r="AZ183" s="615"/>
      <c r="BA183" s="615"/>
      <c r="BB183" s="615"/>
      <c r="BC183" s="615"/>
      <c r="BD183" s="615"/>
      <c r="BE183" s="615"/>
      <c r="BF183" s="615"/>
      <c r="BG183" s="615"/>
      <c r="BH183" s="615"/>
      <c r="BI183" s="615"/>
      <c r="BJ183" s="635"/>
      <c r="BK183" s="636"/>
      <c r="BL183" s="615"/>
      <c r="BM183" s="615"/>
      <c r="BN183" s="615"/>
      <c r="BO183" s="615"/>
      <c r="BP183" s="615"/>
      <c r="BQ183" s="615"/>
      <c r="BR183" s="615"/>
      <c r="BS183" s="615"/>
      <c r="BT183" s="615"/>
      <c r="BU183" s="615"/>
      <c r="BV183" s="637"/>
      <c r="BW183" s="669"/>
      <c r="BX183" s="615">
        <v>97.7</v>
      </c>
      <c r="BY183" s="615"/>
      <c r="BZ183" s="615"/>
      <c r="CA183" s="615"/>
      <c r="CB183" s="615"/>
      <c r="CC183" s="615"/>
      <c r="CD183" s="615"/>
      <c r="CE183" s="615"/>
      <c r="CF183" s="615"/>
      <c r="CG183" s="615"/>
      <c r="CH183" s="635"/>
      <c r="CI183" s="636"/>
      <c r="CJ183" s="615"/>
      <c r="CK183" s="615"/>
      <c r="CL183" s="615"/>
      <c r="CM183" s="615"/>
      <c r="CN183" s="615"/>
      <c r="CO183" s="615"/>
      <c r="CP183" s="615"/>
      <c r="CQ183" s="615"/>
      <c r="CR183" s="615"/>
      <c r="CS183" s="615"/>
      <c r="CT183" s="635"/>
      <c r="CU183" s="636"/>
      <c r="CV183" s="615"/>
      <c r="CW183" s="615"/>
      <c r="CX183" s="615"/>
      <c r="CY183" s="615"/>
      <c r="CZ183" s="615"/>
      <c r="DA183" s="615"/>
      <c r="DB183" s="615"/>
      <c r="DC183" s="615"/>
      <c r="DD183" s="615"/>
      <c r="DE183" s="615"/>
      <c r="DF183" s="635"/>
      <c r="DG183" s="636"/>
      <c r="DH183" s="615"/>
      <c r="DI183" s="615"/>
      <c r="DJ183" s="615"/>
      <c r="DK183" s="615"/>
      <c r="DL183" s="615"/>
      <c r="DM183" s="615"/>
      <c r="DN183" s="615"/>
      <c r="DO183" s="615"/>
      <c r="DP183" s="615"/>
      <c r="DQ183" s="615"/>
      <c r="DR183" s="635"/>
      <c r="DS183" s="636"/>
      <c r="DT183" s="615"/>
      <c r="DU183" s="615"/>
      <c r="DV183" s="615"/>
      <c r="DW183" s="615"/>
      <c r="DX183" s="615"/>
      <c r="DY183" s="615"/>
      <c r="DZ183" s="615"/>
      <c r="EA183" s="615"/>
      <c r="EB183" s="615"/>
      <c r="EC183" s="615"/>
      <c r="ED183" s="637"/>
      <c r="EE183" s="692"/>
    </row>
    <row r="184" spans="1:135" x14ac:dyDescent="0.25">
      <c r="A184" s="640" t="s">
        <v>12</v>
      </c>
      <c r="B184" s="367" t="s">
        <v>1204</v>
      </c>
      <c r="C184" s="367" t="s">
        <v>1202</v>
      </c>
      <c r="D184" s="367" t="s">
        <v>1205</v>
      </c>
      <c r="E184" s="503">
        <v>21608</v>
      </c>
      <c r="F184" s="570">
        <v>44615</v>
      </c>
      <c r="G184" s="85" t="s">
        <v>59</v>
      </c>
      <c r="H184" s="85" t="s">
        <v>92</v>
      </c>
      <c r="I184" s="85" t="s">
        <v>358</v>
      </c>
      <c r="J184" s="675" t="s">
        <v>358</v>
      </c>
      <c r="K184" s="85" t="s">
        <v>358</v>
      </c>
      <c r="L184" s="85" t="s">
        <v>40</v>
      </c>
      <c r="M184" s="85" t="s">
        <v>5</v>
      </c>
      <c r="N184" s="668" t="s">
        <v>44</v>
      </c>
      <c r="O184" s="669"/>
      <c r="P184" s="615">
        <v>5</v>
      </c>
      <c r="Q184" s="615"/>
      <c r="R184" s="615"/>
      <c r="S184" s="615"/>
      <c r="T184" s="615"/>
      <c r="U184" s="615"/>
      <c r="V184" s="615"/>
      <c r="W184" s="615"/>
      <c r="X184" s="615"/>
      <c r="Y184" s="615"/>
      <c r="Z184" s="635"/>
      <c r="AA184" s="636"/>
      <c r="AB184" s="615"/>
      <c r="AC184" s="615"/>
      <c r="AD184" s="615"/>
      <c r="AE184" s="615"/>
      <c r="AF184" s="615"/>
      <c r="AG184" s="615"/>
      <c r="AH184" s="615"/>
      <c r="AI184" s="615"/>
      <c r="AJ184" s="615"/>
      <c r="AK184" s="615"/>
      <c r="AL184" s="635"/>
      <c r="AM184" s="636"/>
      <c r="AN184" s="615"/>
      <c r="AO184" s="615"/>
      <c r="AP184" s="615"/>
      <c r="AQ184" s="615"/>
      <c r="AR184" s="615"/>
      <c r="AS184" s="615"/>
      <c r="AT184" s="615"/>
      <c r="AU184" s="615"/>
      <c r="AV184" s="615"/>
      <c r="AW184" s="615"/>
      <c r="AX184" s="635"/>
      <c r="AY184" s="636"/>
      <c r="AZ184" s="615"/>
      <c r="BA184" s="615"/>
      <c r="BB184" s="615"/>
      <c r="BC184" s="615"/>
      <c r="BD184" s="615"/>
      <c r="BE184" s="615"/>
      <c r="BF184" s="615"/>
      <c r="BG184" s="615"/>
      <c r="BH184" s="615"/>
      <c r="BI184" s="615"/>
      <c r="BJ184" s="635"/>
      <c r="BK184" s="636"/>
      <c r="BL184" s="615"/>
      <c r="BM184" s="615"/>
      <c r="BN184" s="615"/>
      <c r="BO184" s="615"/>
      <c r="BP184" s="615"/>
      <c r="BQ184" s="615"/>
      <c r="BR184" s="615"/>
      <c r="BS184" s="615"/>
      <c r="BT184" s="615"/>
      <c r="BU184" s="615"/>
      <c r="BV184" s="637"/>
      <c r="BW184" s="669"/>
      <c r="BX184" s="615">
        <v>100.7</v>
      </c>
      <c r="BY184" s="615"/>
      <c r="BZ184" s="615"/>
      <c r="CA184" s="615"/>
      <c r="CB184" s="615"/>
      <c r="CC184" s="615"/>
      <c r="CD184" s="615"/>
      <c r="CE184" s="615"/>
      <c r="CF184" s="615"/>
      <c r="CG184" s="615"/>
      <c r="CH184" s="635"/>
      <c r="CI184" s="636"/>
      <c r="CJ184" s="615"/>
      <c r="CK184" s="615"/>
      <c r="CL184" s="615"/>
      <c r="CM184" s="615"/>
      <c r="CN184" s="615"/>
      <c r="CO184" s="615"/>
      <c r="CP184" s="615"/>
      <c r="CQ184" s="615"/>
      <c r="CR184" s="615"/>
      <c r="CS184" s="615"/>
      <c r="CT184" s="635"/>
      <c r="CU184" s="636"/>
      <c r="CV184" s="615"/>
      <c r="CW184" s="615"/>
      <c r="CX184" s="615"/>
      <c r="CY184" s="615"/>
      <c r="CZ184" s="615"/>
      <c r="DA184" s="615"/>
      <c r="DB184" s="615"/>
      <c r="DC184" s="615"/>
      <c r="DD184" s="615"/>
      <c r="DE184" s="615"/>
      <c r="DF184" s="635"/>
      <c r="DG184" s="636"/>
      <c r="DH184" s="615"/>
      <c r="DI184" s="615"/>
      <c r="DJ184" s="615"/>
      <c r="DK184" s="615"/>
      <c r="DL184" s="615"/>
      <c r="DM184" s="615"/>
      <c r="DN184" s="615"/>
      <c r="DO184" s="615"/>
      <c r="DP184" s="615"/>
      <c r="DQ184" s="615"/>
      <c r="DR184" s="635"/>
      <c r="DS184" s="636"/>
      <c r="DT184" s="615"/>
      <c r="DU184" s="615"/>
      <c r="DV184" s="615"/>
      <c r="DW184" s="615"/>
      <c r="DX184" s="615"/>
      <c r="DY184" s="615"/>
      <c r="DZ184" s="615"/>
      <c r="EA184" s="615"/>
      <c r="EB184" s="615"/>
      <c r="EC184" s="615"/>
      <c r="ED184" s="637"/>
      <c r="EE184" s="692"/>
    </row>
    <row r="185" spans="1:135" x14ac:dyDescent="0.25">
      <c r="A185" s="640" t="s">
        <v>12</v>
      </c>
      <c r="B185" s="367" t="s">
        <v>1206</v>
      </c>
      <c r="C185" s="367" t="s">
        <v>1203</v>
      </c>
      <c r="D185" s="367" t="s">
        <v>1207</v>
      </c>
      <c r="E185" s="503">
        <v>21684</v>
      </c>
      <c r="F185" s="570">
        <v>44615</v>
      </c>
      <c r="G185" s="85" t="s">
        <v>59</v>
      </c>
      <c r="H185" s="85" t="s">
        <v>92</v>
      </c>
      <c r="I185" s="85" t="s">
        <v>358</v>
      </c>
      <c r="J185" s="675" t="s">
        <v>358</v>
      </c>
      <c r="K185" s="85" t="s">
        <v>358</v>
      </c>
      <c r="L185" s="85" t="s">
        <v>40</v>
      </c>
      <c r="M185" s="85" t="s">
        <v>5</v>
      </c>
      <c r="N185" s="668" t="s">
        <v>44</v>
      </c>
      <c r="O185" s="669"/>
      <c r="P185" s="615">
        <v>15</v>
      </c>
      <c r="Q185" s="615"/>
      <c r="R185" s="615"/>
      <c r="S185" s="615"/>
      <c r="T185" s="615"/>
      <c r="U185" s="615"/>
      <c r="V185" s="615"/>
      <c r="W185" s="615"/>
      <c r="X185" s="615"/>
      <c r="Y185" s="615"/>
      <c r="Z185" s="635"/>
      <c r="AA185" s="636"/>
      <c r="AB185" s="615"/>
      <c r="AC185" s="615"/>
      <c r="AD185" s="615"/>
      <c r="AE185" s="615"/>
      <c r="AF185" s="615"/>
      <c r="AG185" s="615"/>
      <c r="AH185" s="615"/>
      <c r="AI185" s="615"/>
      <c r="AJ185" s="615"/>
      <c r="AK185" s="615"/>
      <c r="AL185" s="635"/>
      <c r="AM185" s="636"/>
      <c r="AN185" s="615"/>
      <c r="AO185" s="615"/>
      <c r="AP185" s="615"/>
      <c r="AQ185" s="615"/>
      <c r="AR185" s="615"/>
      <c r="AS185" s="615"/>
      <c r="AT185" s="615"/>
      <c r="AU185" s="615"/>
      <c r="AV185" s="615"/>
      <c r="AW185" s="615"/>
      <c r="AX185" s="635"/>
      <c r="AY185" s="636"/>
      <c r="AZ185" s="615"/>
      <c r="BA185" s="615"/>
      <c r="BB185" s="615"/>
      <c r="BC185" s="615"/>
      <c r="BD185" s="615"/>
      <c r="BE185" s="615"/>
      <c r="BF185" s="615"/>
      <c r="BG185" s="615"/>
      <c r="BH185" s="615"/>
      <c r="BI185" s="615"/>
      <c r="BJ185" s="635"/>
      <c r="BK185" s="636"/>
      <c r="BL185" s="615"/>
      <c r="BM185" s="615"/>
      <c r="BN185" s="615"/>
      <c r="BO185" s="615"/>
      <c r="BP185" s="615"/>
      <c r="BQ185" s="615"/>
      <c r="BR185" s="615"/>
      <c r="BS185" s="615"/>
      <c r="BT185" s="615"/>
      <c r="BU185" s="615"/>
      <c r="BV185" s="637"/>
      <c r="BW185" s="669"/>
      <c r="BX185" s="615">
        <v>100.7</v>
      </c>
      <c r="BY185" s="615"/>
      <c r="BZ185" s="615"/>
      <c r="CA185" s="615"/>
      <c r="CB185" s="615"/>
      <c r="CC185" s="615"/>
      <c r="CD185" s="615"/>
      <c r="CE185" s="615"/>
      <c r="CF185" s="615"/>
      <c r="CG185" s="615"/>
      <c r="CH185" s="635"/>
      <c r="CI185" s="636"/>
      <c r="CJ185" s="615"/>
      <c r="CK185" s="615"/>
      <c r="CL185" s="615"/>
      <c r="CM185" s="615"/>
      <c r="CN185" s="615"/>
      <c r="CO185" s="615"/>
      <c r="CP185" s="615"/>
      <c r="CQ185" s="615"/>
      <c r="CR185" s="615"/>
      <c r="CS185" s="615"/>
      <c r="CT185" s="635"/>
      <c r="CU185" s="636"/>
      <c r="CV185" s="615"/>
      <c r="CW185" s="615"/>
      <c r="CX185" s="615"/>
      <c r="CY185" s="615"/>
      <c r="CZ185" s="615"/>
      <c r="DA185" s="615"/>
      <c r="DB185" s="615"/>
      <c r="DC185" s="615"/>
      <c r="DD185" s="615"/>
      <c r="DE185" s="615"/>
      <c r="DF185" s="635"/>
      <c r="DG185" s="636"/>
      <c r="DH185" s="615"/>
      <c r="DI185" s="615"/>
      <c r="DJ185" s="615"/>
      <c r="DK185" s="615"/>
      <c r="DL185" s="615"/>
      <c r="DM185" s="615"/>
      <c r="DN185" s="615"/>
      <c r="DO185" s="615"/>
      <c r="DP185" s="615"/>
      <c r="DQ185" s="615"/>
      <c r="DR185" s="635"/>
      <c r="DS185" s="636"/>
      <c r="DT185" s="615"/>
      <c r="DU185" s="615"/>
      <c r="DV185" s="615"/>
      <c r="DW185" s="615"/>
      <c r="DX185" s="615"/>
      <c r="DY185" s="615"/>
      <c r="DZ185" s="615"/>
      <c r="EA185" s="615"/>
      <c r="EB185" s="615"/>
      <c r="EC185" s="615"/>
      <c r="ED185" s="637"/>
      <c r="EE185" s="692"/>
    </row>
    <row r="186" spans="1:135" x14ac:dyDescent="0.25">
      <c r="A186" s="640" t="s">
        <v>12</v>
      </c>
      <c r="B186" s="367" t="s">
        <v>1208</v>
      </c>
      <c r="C186" s="367" t="s">
        <v>1202</v>
      </c>
      <c r="D186" s="367" t="s">
        <v>1209</v>
      </c>
      <c r="E186" s="503">
        <v>21620</v>
      </c>
      <c r="F186" s="570">
        <v>44616</v>
      </c>
      <c r="G186" s="85" t="s">
        <v>59</v>
      </c>
      <c r="H186" s="85" t="s">
        <v>92</v>
      </c>
      <c r="I186" s="85" t="s">
        <v>358</v>
      </c>
      <c r="J186" s="675" t="s">
        <v>358</v>
      </c>
      <c r="K186" s="85" t="s">
        <v>358</v>
      </c>
      <c r="L186" s="85" t="s">
        <v>40</v>
      </c>
      <c r="M186" s="85" t="s">
        <v>5</v>
      </c>
      <c r="N186" s="668" t="s">
        <v>44</v>
      </c>
      <c r="O186" s="669"/>
      <c r="P186" s="615">
        <v>23</v>
      </c>
      <c r="Q186" s="615"/>
      <c r="R186" s="615"/>
      <c r="S186" s="615"/>
      <c r="T186" s="615"/>
      <c r="U186" s="615"/>
      <c r="V186" s="615"/>
      <c r="W186" s="615"/>
      <c r="X186" s="615"/>
      <c r="Y186" s="615"/>
      <c r="Z186" s="635"/>
      <c r="AA186" s="636"/>
      <c r="AB186" s="615"/>
      <c r="AC186" s="615"/>
      <c r="AD186" s="615"/>
      <c r="AE186" s="615"/>
      <c r="AF186" s="615"/>
      <c r="AG186" s="615"/>
      <c r="AH186" s="615"/>
      <c r="AI186" s="615"/>
      <c r="AJ186" s="615"/>
      <c r="AK186" s="615"/>
      <c r="AL186" s="635"/>
      <c r="AM186" s="636"/>
      <c r="AN186" s="615"/>
      <c r="AO186" s="615"/>
      <c r="AP186" s="615"/>
      <c r="AQ186" s="615"/>
      <c r="AR186" s="615"/>
      <c r="AS186" s="615"/>
      <c r="AT186" s="615"/>
      <c r="AU186" s="615"/>
      <c r="AV186" s="615"/>
      <c r="AW186" s="615"/>
      <c r="AX186" s="635"/>
      <c r="AY186" s="636"/>
      <c r="AZ186" s="615"/>
      <c r="BA186" s="615"/>
      <c r="BB186" s="615"/>
      <c r="BC186" s="615"/>
      <c r="BD186" s="615"/>
      <c r="BE186" s="615"/>
      <c r="BF186" s="615"/>
      <c r="BG186" s="615"/>
      <c r="BH186" s="615"/>
      <c r="BI186" s="615"/>
      <c r="BJ186" s="635"/>
      <c r="BK186" s="636"/>
      <c r="BL186" s="615"/>
      <c r="BM186" s="615"/>
      <c r="BN186" s="615"/>
      <c r="BO186" s="615"/>
      <c r="BP186" s="615"/>
      <c r="BQ186" s="615"/>
      <c r="BR186" s="615"/>
      <c r="BS186" s="615"/>
      <c r="BT186" s="615"/>
      <c r="BU186" s="615"/>
      <c r="BV186" s="637"/>
      <c r="BW186" s="669"/>
      <c r="BX186" s="615">
        <v>100.7</v>
      </c>
      <c r="BY186" s="615"/>
      <c r="BZ186" s="615"/>
      <c r="CA186" s="615"/>
      <c r="CB186" s="615"/>
      <c r="CC186" s="615"/>
      <c r="CD186" s="615"/>
      <c r="CE186" s="615"/>
      <c r="CF186" s="615"/>
      <c r="CG186" s="615"/>
      <c r="CH186" s="635"/>
      <c r="CI186" s="636"/>
      <c r="CJ186" s="615"/>
      <c r="CK186" s="615"/>
      <c r="CL186" s="615"/>
      <c r="CM186" s="615"/>
      <c r="CN186" s="615"/>
      <c r="CO186" s="615"/>
      <c r="CP186" s="615"/>
      <c r="CQ186" s="615"/>
      <c r="CR186" s="615"/>
      <c r="CS186" s="615"/>
      <c r="CT186" s="635"/>
      <c r="CU186" s="636"/>
      <c r="CV186" s="615"/>
      <c r="CW186" s="615"/>
      <c r="CX186" s="615"/>
      <c r="CY186" s="615"/>
      <c r="CZ186" s="615"/>
      <c r="DA186" s="615"/>
      <c r="DB186" s="615"/>
      <c r="DC186" s="615"/>
      <c r="DD186" s="615"/>
      <c r="DE186" s="615"/>
      <c r="DF186" s="635"/>
      <c r="DG186" s="636"/>
      <c r="DH186" s="615"/>
      <c r="DI186" s="615"/>
      <c r="DJ186" s="615"/>
      <c r="DK186" s="615"/>
      <c r="DL186" s="615"/>
      <c r="DM186" s="615"/>
      <c r="DN186" s="615"/>
      <c r="DO186" s="615"/>
      <c r="DP186" s="615"/>
      <c r="DQ186" s="615"/>
      <c r="DR186" s="635"/>
      <c r="DS186" s="636"/>
      <c r="DT186" s="615"/>
      <c r="DU186" s="615"/>
      <c r="DV186" s="615"/>
      <c r="DW186" s="615"/>
      <c r="DX186" s="615"/>
      <c r="DY186" s="615"/>
      <c r="DZ186" s="615"/>
      <c r="EA186" s="615"/>
      <c r="EB186" s="615"/>
      <c r="EC186" s="615"/>
      <c r="ED186" s="637"/>
      <c r="EE186" s="692"/>
    </row>
    <row r="187" spans="1:135" x14ac:dyDescent="0.25">
      <c r="A187" s="640" t="s">
        <v>11</v>
      </c>
      <c r="B187" s="367" t="s">
        <v>1218</v>
      </c>
      <c r="C187" s="367" t="s">
        <v>967</v>
      </c>
      <c r="D187" s="367" t="s">
        <v>1219</v>
      </c>
      <c r="E187" s="503" t="s">
        <v>1210</v>
      </c>
      <c r="F187" s="570">
        <v>44617</v>
      </c>
      <c r="G187" s="85" t="s">
        <v>59</v>
      </c>
      <c r="H187" s="85" t="s">
        <v>54</v>
      </c>
      <c r="I187" s="85" t="s">
        <v>358</v>
      </c>
      <c r="J187" s="675" t="s">
        <v>358</v>
      </c>
      <c r="K187" s="85" t="s">
        <v>358</v>
      </c>
      <c r="L187" s="85" t="s">
        <v>40</v>
      </c>
      <c r="M187" s="85" t="s">
        <v>3</v>
      </c>
      <c r="N187" s="668" t="s">
        <v>44</v>
      </c>
      <c r="O187" s="669"/>
      <c r="P187" s="615"/>
      <c r="Q187" s="615">
        <v>3.5</v>
      </c>
      <c r="R187" s="615"/>
      <c r="S187" s="615"/>
      <c r="T187" s="615"/>
      <c r="U187" s="615"/>
      <c r="V187" s="615"/>
      <c r="W187" s="615"/>
      <c r="X187" s="615"/>
      <c r="Y187" s="615"/>
      <c r="Z187" s="635"/>
      <c r="AA187" s="636"/>
      <c r="AB187" s="615"/>
      <c r="AC187" s="615"/>
      <c r="AD187" s="615"/>
      <c r="AE187" s="615"/>
      <c r="AF187" s="615"/>
      <c r="AG187" s="615"/>
      <c r="AH187" s="615"/>
      <c r="AI187" s="615"/>
      <c r="AJ187" s="615"/>
      <c r="AK187" s="615"/>
      <c r="AL187" s="635"/>
      <c r="AM187" s="636"/>
      <c r="AN187" s="615"/>
      <c r="AO187" s="615"/>
      <c r="AP187" s="615"/>
      <c r="AQ187" s="615"/>
      <c r="AR187" s="615"/>
      <c r="AS187" s="615"/>
      <c r="AT187" s="615"/>
      <c r="AU187" s="615"/>
      <c r="AV187" s="615"/>
      <c r="AW187" s="615"/>
      <c r="AX187" s="635"/>
      <c r="AY187" s="636"/>
      <c r="AZ187" s="615"/>
      <c r="BA187" s="615"/>
      <c r="BB187" s="615"/>
      <c r="BC187" s="615"/>
      <c r="BD187" s="615"/>
      <c r="BE187" s="615"/>
      <c r="BF187" s="615"/>
      <c r="BG187" s="615"/>
      <c r="BH187" s="615"/>
      <c r="BI187" s="615"/>
      <c r="BJ187" s="635"/>
      <c r="BK187" s="636"/>
      <c r="BL187" s="615"/>
      <c r="BM187" s="615"/>
      <c r="BN187" s="615"/>
      <c r="BO187" s="615"/>
      <c r="BP187" s="615"/>
      <c r="BQ187" s="615"/>
      <c r="BR187" s="615"/>
      <c r="BS187" s="615"/>
      <c r="BT187" s="615"/>
      <c r="BU187" s="615"/>
      <c r="BV187" s="637"/>
      <c r="BW187" s="669"/>
      <c r="BX187" s="615"/>
      <c r="BY187" s="615">
        <v>60.05</v>
      </c>
      <c r="BZ187" s="615"/>
      <c r="CA187" s="615"/>
      <c r="CB187" s="615"/>
      <c r="CC187" s="615"/>
      <c r="CD187" s="615"/>
      <c r="CE187" s="615"/>
      <c r="CF187" s="615"/>
      <c r="CG187" s="615"/>
      <c r="CH187" s="635"/>
      <c r="CI187" s="636"/>
      <c r="CJ187" s="615"/>
      <c r="CK187" s="615"/>
      <c r="CL187" s="615"/>
      <c r="CM187" s="615"/>
      <c r="CN187" s="615"/>
      <c r="CO187" s="615"/>
      <c r="CP187" s="615"/>
      <c r="CQ187" s="615"/>
      <c r="CR187" s="615"/>
      <c r="CS187" s="615"/>
      <c r="CT187" s="635"/>
      <c r="CU187" s="636"/>
      <c r="CV187" s="615"/>
      <c r="CW187" s="615"/>
      <c r="CX187" s="615"/>
      <c r="CY187" s="615"/>
      <c r="CZ187" s="615"/>
      <c r="DA187" s="615"/>
      <c r="DB187" s="615"/>
      <c r="DC187" s="615"/>
      <c r="DD187" s="615"/>
      <c r="DE187" s="615"/>
      <c r="DF187" s="635"/>
      <c r="DG187" s="636"/>
      <c r="DH187" s="615"/>
      <c r="DI187" s="615"/>
      <c r="DJ187" s="615"/>
      <c r="DK187" s="615"/>
      <c r="DL187" s="615"/>
      <c r="DM187" s="615"/>
      <c r="DN187" s="615"/>
      <c r="DO187" s="615"/>
      <c r="DP187" s="615"/>
      <c r="DQ187" s="615"/>
      <c r="DR187" s="635"/>
      <c r="DS187" s="636"/>
      <c r="DT187" s="615"/>
      <c r="DU187" s="615"/>
      <c r="DV187" s="615"/>
      <c r="DW187" s="615"/>
      <c r="DX187" s="615"/>
      <c r="DY187" s="615"/>
      <c r="DZ187" s="615"/>
      <c r="EA187" s="615"/>
      <c r="EB187" s="615"/>
      <c r="EC187" s="615"/>
      <c r="ED187" s="637"/>
      <c r="EE187" s="692"/>
    </row>
    <row r="188" spans="1:135" x14ac:dyDescent="0.25">
      <c r="A188" s="640" t="s">
        <v>11</v>
      </c>
      <c r="B188" s="367" t="s">
        <v>1220</v>
      </c>
      <c r="C188" s="367" t="s">
        <v>348</v>
      </c>
      <c r="D188" s="367" t="s">
        <v>1221</v>
      </c>
      <c r="E188" s="503" t="s">
        <v>1211</v>
      </c>
      <c r="F188" s="570">
        <v>44617</v>
      </c>
      <c r="G188" s="85" t="s">
        <v>59</v>
      </c>
      <c r="H188" s="85" t="s">
        <v>54</v>
      </c>
      <c r="I188" s="85" t="s">
        <v>358</v>
      </c>
      <c r="J188" s="675" t="s">
        <v>358</v>
      </c>
      <c r="K188" s="85" t="s">
        <v>358</v>
      </c>
      <c r="L188" s="85" t="s">
        <v>40</v>
      </c>
      <c r="M188" s="85" t="s">
        <v>3</v>
      </c>
      <c r="N188" s="668" t="s">
        <v>44</v>
      </c>
      <c r="O188" s="669"/>
      <c r="P188" s="615"/>
      <c r="Q188" s="615"/>
      <c r="R188" s="615"/>
      <c r="S188" s="615"/>
      <c r="T188" s="615">
        <v>5</v>
      </c>
      <c r="U188" s="615"/>
      <c r="V188" s="615"/>
      <c r="W188" s="615"/>
      <c r="X188" s="615"/>
      <c r="Y188" s="615"/>
      <c r="Z188" s="635"/>
      <c r="AA188" s="636"/>
      <c r="AB188" s="615"/>
      <c r="AC188" s="615"/>
      <c r="AD188" s="615"/>
      <c r="AE188" s="615"/>
      <c r="AF188" s="615"/>
      <c r="AG188" s="615"/>
      <c r="AH188" s="615"/>
      <c r="AI188" s="615"/>
      <c r="AJ188" s="615"/>
      <c r="AK188" s="615"/>
      <c r="AL188" s="635"/>
      <c r="AM188" s="636"/>
      <c r="AN188" s="615"/>
      <c r="AO188" s="615"/>
      <c r="AP188" s="615"/>
      <c r="AQ188" s="615"/>
      <c r="AR188" s="615"/>
      <c r="AS188" s="615"/>
      <c r="AT188" s="615"/>
      <c r="AU188" s="615"/>
      <c r="AV188" s="615"/>
      <c r="AW188" s="615"/>
      <c r="AX188" s="635"/>
      <c r="AY188" s="636"/>
      <c r="AZ188" s="615"/>
      <c r="BA188" s="615"/>
      <c r="BB188" s="615"/>
      <c r="BC188" s="615"/>
      <c r="BD188" s="615"/>
      <c r="BE188" s="615"/>
      <c r="BF188" s="615"/>
      <c r="BG188" s="615"/>
      <c r="BH188" s="615"/>
      <c r="BI188" s="615"/>
      <c r="BJ188" s="635"/>
      <c r="BK188" s="636"/>
      <c r="BL188" s="615"/>
      <c r="BM188" s="615"/>
      <c r="BN188" s="615"/>
      <c r="BO188" s="615"/>
      <c r="BP188" s="615"/>
      <c r="BQ188" s="615"/>
      <c r="BR188" s="615"/>
      <c r="BS188" s="615"/>
      <c r="BT188" s="615"/>
      <c r="BU188" s="615"/>
      <c r="BV188" s="637"/>
      <c r="BW188" s="669"/>
      <c r="BX188" s="615"/>
      <c r="BY188" s="615"/>
      <c r="BZ188" s="615"/>
      <c r="CA188" s="615"/>
      <c r="CB188" s="615">
        <v>124</v>
      </c>
      <c r="CC188" s="615"/>
      <c r="CD188" s="615"/>
      <c r="CE188" s="615"/>
      <c r="CF188" s="615"/>
      <c r="CG188" s="615"/>
      <c r="CH188" s="635"/>
      <c r="CI188" s="636"/>
      <c r="CJ188" s="615"/>
      <c r="CK188" s="615"/>
      <c r="CL188" s="615"/>
      <c r="CM188" s="615"/>
      <c r="CN188" s="615"/>
      <c r="CO188" s="615"/>
      <c r="CP188" s="615"/>
      <c r="CQ188" s="615"/>
      <c r="CR188" s="615"/>
      <c r="CS188" s="615"/>
      <c r="CT188" s="635"/>
      <c r="CU188" s="636"/>
      <c r="CV188" s="615"/>
      <c r="CW188" s="615"/>
      <c r="CX188" s="615"/>
      <c r="CY188" s="615"/>
      <c r="CZ188" s="615"/>
      <c r="DA188" s="615"/>
      <c r="DB188" s="615"/>
      <c r="DC188" s="615"/>
      <c r="DD188" s="615"/>
      <c r="DE188" s="615"/>
      <c r="DF188" s="635"/>
      <c r="DG188" s="636"/>
      <c r="DH188" s="615"/>
      <c r="DI188" s="615"/>
      <c r="DJ188" s="615"/>
      <c r="DK188" s="615"/>
      <c r="DL188" s="615"/>
      <c r="DM188" s="615"/>
      <c r="DN188" s="615"/>
      <c r="DO188" s="615"/>
      <c r="DP188" s="615"/>
      <c r="DQ188" s="615"/>
      <c r="DR188" s="635"/>
      <c r="DS188" s="636"/>
      <c r="DT188" s="615"/>
      <c r="DU188" s="615"/>
      <c r="DV188" s="615"/>
      <c r="DW188" s="615"/>
      <c r="DX188" s="615"/>
      <c r="DY188" s="615"/>
      <c r="DZ188" s="615"/>
      <c r="EA188" s="615"/>
      <c r="EB188" s="615"/>
      <c r="EC188" s="615"/>
      <c r="ED188" s="637"/>
      <c r="EE188" s="692"/>
    </row>
    <row r="189" spans="1:135" x14ac:dyDescent="0.25">
      <c r="A189" s="640" t="s">
        <v>11</v>
      </c>
      <c r="B189" s="367" t="s">
        <v>1222</v>
      </c>
      <c r="C189" s="367" t="s">
        <v>348</v>
      </c>
      <c r="D189" s="367" t="s">
        <v>1223</v>
      </c>
      <c r="E189" s="503" t="s">
        <v>1212</v>
      </c>
      <c r="F189" s="570">
        <v>44617</v>
      </c>
      <c r="G189" s="85" t="s">
        <v>59</v>
      </c>
      <c r="H189" s="85" t="s">
        <v>54</v>
      </c>
      <c r="I189" s="85" t="s">
        <v>358</v>
      </c>
      <c r="J189" s="675" t="s">
        <v>358</v>
      </c>
      <c r="K189" s="85" t="s">
        <v>358</v>
      </c>
      <c r="L189" s="85" t="s">
        <v>40</v>
      </c>
      <c r="M189" s="85" t="s">
        <v>3</v>
      </c>
      <c r="N189" s="668" t="s">
        <v>44</v>
      </c>
      <c r="O189" s="669"/>
      <c r="P189" s="615"/>
      <c r="Q189" s="615"/>
      <c r="R189" s="615"/>
      <c r="S189" s="615">
        <v>5</v>
      </c>
      <c r="T189" s="615"/>
      <c r="U189" s="615"/>
      <c r="V189" s="615"/>
      <c r="W189" s="615"/>
      <c r="X189" s="615"/>
      <c r="Y189" s="615"/>
      <c r="Z189" s="635"/>
      <c r="AA189" s="636"/>
      <c r="AB189" s="615"/>
      <c r="AC189" s="615"/>
      <c r="AD189" s="615"/>
      <c r="AE189" s="615"/>
      <c r="AF189" s="615"/>
      <c r="AG189" s="615"/>
      <c r="AH189" s="615"/>
      <c r="AI189" s="615"/>
      <c r="AJ189" s="615"/>
      <c r="AK189" s="615"/>
      <c r="AL189" s="635"/>
      <c r="AM189" s="636"/>
      <c r="AN189" s="615"/>
      <c r="AO189" s="615"/>
      <c r="AP189" s="615"/>
      <c r="AQ189" s="615"/>
      <c r="AR189" s="615"/>
      <c r="AS189" s="615"/>
      <c r="AT189" s="615"/>
      <c r="AU189" s="615"/>
      <c r="AV189" s="615"/>
      <c r="AW189" s="615"/>
      <c r="AX189" s="635"/>
      <c r="AY189" s="636"/>
      <c r="AZ189" s="615"/>
      <c r="BA189" s="615"/>
      <c r="BB189" s="615"/>
      <c r="BC189" s="615"/>
      <c r="BD189" s="615"/>
      <c r="BE189" s="615"/>
      <c r="BF189" s="615"/>
      <c r="BG189" s="615"/>
      <c r="BH189" s="615"/>
      <c r="BI189" s="615"/>
      <c r="BJ189" s="635"/>
      <c r="BK189" s="636"/>
      <c r="BL189" s="615"/>
      <c r="BM189" s="615"/>
      <c r="BN189" s="615"/>
      <c r="BO189" s="615"/>
      <c r="BP189" s="615"/>
      <c r="BQ189" s="615"/>
      <c r="BR189" s="615"/>
      <c r="BS189" s="615"/>
      <c r="BT189" s="615"/>
      <c r="BU189" s="615"/>
      <c r="BV189" s="637"/>
      <c r="BW189" s="669"/>
      <c r="BX189" s="615"/>
      <c r="BY189" s="615"/>
      <c r="BZ189" s="615"/>
      <c r="CA189" s="615">
        <v>88</v>
      </c>
      <c r="CB189" s="615"/>
      <c r="CC189" s="615"/>
      <c r="CD189" s="615"/>
      <c r="CE189" s="615"/>
      <c r="CF189" s="615"/>
      <c r="CG189" s="615"/>
      <c r="CH189" s="635"/>
      <c r="CI189" s="636"/>
      <c r="CJ189" s="615"/>
      <c r="CK189" s="615"/>
      <c r="CL189" s="615"/>
      <c r="CM189" s="615"/>
      <c r="CN189" s="615"/>
      <c r="CO189" s="615"/>
      <c r="CP189" s="615"/>
      <c r="CQ189" s="615"/>
      <c r="CR189" s="615"/>
      <c r="CS189" s="615"/>
      <c r="CT189" s="635"/>
      <c r="CU189" s="636"/>
      <c r="CV189" s="615"/>
      <c r="CW189" s="615"/>
      <c r="CX189" s="615"/>
      <c r="CY189" s="615"/>
      <c r="CZ189" s="615"/>
      <c r="DA189" s="615"/>
      <c r="DB189" s="615"/>
      <c r="DC189" s="615"/>
      <c r="DD189" s="615"/>
      <c r="DE189" s="615"/>
      <c r="DF189" s="635"/>
      <c r="DG189" s="636"/>
      <c r="DH189" s="615"/>
      <c r="DI189" s="615"/>
      <c r="DJ189" s="615"/>
      <c r="DK189" s="615"/>
      <c r="DL189" s="615"/>
      <c r="DM189" s="615"/>
      <c r="DN189" s="615"/>
      <c r="DO189" s="615"/>
      <c r="DP189" s="615"/>
      <c r="DQ189" s="615"/>
      <c r="DR189" s="635"/>
      <c r="DS189" s="636"/>
      <c r="DT189" s="615"/>
      <c r="DU189" s="615"/>
      <c r="DV189" s="615"/>
      <c r="DW189" s="615"/>
      <c r="DX189" s="615"/>
      <c r="DY189" s="615"/>
      <c r="DZ189" s="615"/>
      <c r="EA189" s="615"/>
      <c r="EB189" s="615"/>
      <c r="EC189" s="615"/>
      <c r="ED189" s="637"/>
      <c r="EE189" s="692"/>
    </row>
    <row r="190" spans="1:135" x14ac:dyDescent="0.25">
      <c r="A190" s="640" t="s">
        <v>11</v>
      </c>
      <c r="B190" s="367" t="s">
        <v>1224</v>
      </c>
      <c r="C190" s="367" t="s">
        <v>349</v>
      </c>
      <c r="D190" s="367" t="s">
        <v>1225</v>
      </c>
      <c r="E190" s="503" t="s">
        <v>1213</v>
      </c>
      <c r="F190" s="570">
        <v>44617</v>
      </c>
      <c r="G190" s="85" t="s">
        <v>59</v>
      </c>
      <c r="H190" s="85" t="s">
        <v>54</v>
      </c>
      <c r="I190" s="85" t="s">
        <v>358</v>
      </c>
      <c r="J190" s="675" t="s">
        <v>358</v>
      </c>
      <c r="K190" s="85" t="s">
        <v>358</v>
      </c>
      <c r="L190" s="85" t="s">
        <v>40</v>
      </c>
      <c r="M190" s="85" t="s">
        <v>3</v>
      </c>
      <c r="N190" s="668" t="s">
        <v>44</v>
      </c>
      <c r="O190" s="669"/>
      <c r="P190" s="615"/>
      <c r="Q190" s="615"/>
      <c r="R190" s="615">
        <v>5</v>
      </c>
      <c r="S190" s="615"/>
      <c r="T190" s="615"/>
      <c r="U190" s="615"/>
      <c r="V190" s="615"/>
      <c r="W190" s="615"/>
      <c r="X190" s="615"/>
      <c r="Y190" s="615"/>
      <c r="Z190" s="635"/>
      <c r="AA190" s="636"/>
      <c r="AB190" s="615"/>
      <c r="AC190" s="615"/>
      <c r="AD190" s="615"/>
      <c r="AE190" s="615"/>
      <c r="AF190" s="615"/>
      <c r="AG190" s="615"/>
      <c r="AH190" s="615"/>
      <c r="AI190" s="615"/>
      <c r="AJ190" s="615"/>
      <c r="AK190" s="615"/>
      <c r="AL190" s="635"/>
      <c r="AM190" s="636"/>
      <c r="AN190" s="615"/>
      <c r="AO190" s="615"/>
      <c r="AP190" s="615"/>
      <c r="AQ190" s="615"/>
      <c r="AR190" s="615"/>
      <c r="AS190" s="615"/>
      <c r="AT190" s="615"/>
      <c r="AU190" s="615"/>
      <c r="AV190" s="615"/>
      <c r="AW190" s="615"/>
      <c r="AX190" s="635"/>
      <c r="AY190" s="636"/>
      <c r="AZ190" s="615"/>
      <c r="BA190" s="615"/>
      <c r="BB190" s="615"/>
      <c r="BC190" s="615"/>
      <c r="BD190" s="615"/>
      <c r="BE190" s="615"/>
      <c r="BF190" s="615"/>
      <c r="BG190" s="615"/>
      <c r="BH190" s="615"/>
      <c r="BI190" s="615"/>
      <c r="BJ190" s="635"/>
      <c r="BK190" s="636"/>
      <c r="BL190" s="615"/>
      <c r="BM190" s="615"/>
      <c r="BN190" s="615"/>
      <c r="BO190" s="615"/>
      <c r="BP190" s="615"/>
      <c r="BQ190" s="615"/>
      <c r="BR190" s="615"/>
      <c r="BS190" s="615"/>
      <c r="BT190" s="615"/>
      <c r="BU190" s="615"/>
      <c r="BV190" s="637"/>
      <c r="BW190" s="669"/>
      <c r="BX190" s="615"/>
      <c r="BY190" s="615"/>
      <c r="BZ190" s="615">
        <v>75.5</v>
      </c>
      <c r="CA190" s="615"/>
      <c r="CB190" s="615"/>
      <c r="CC190" s="615"/>
      <c r="CD190" s="615"/>
      <c r="CE190" s="615"/>
      <c r="CF190" s="615"/>
      <c r="CG190" s="615"/>
      <c r="CH190" s="635"/>
      <c r="CI190" s="636"/>
      <c r="CJ190" s="615"/>
      <c r="CK190" s="615"/>
      <c r="CL190" s="615"/>
      <c r="CM190" s="615"/>
      <c r="CN190" s="615"/>
      <c r="CO190" s="615"/>
      <c r="CP190" s="615"/>
      <c r="CQ190" s="615"/>
      <c r="CR190" s="615"/>
      <c r="CS190" s="615"/>
      <c r="CT190" s="635"/>
      <c r="CU190" s="636"/>
      <c r="CV190" s="615"/>
      <c r="CW190" s="615"/>
      <c r="CX190" s="615"/>
      <c r="CY190" s="615"/>
      <c r="CZ190" s="615"/>
      <c r="DA190" s="615"/>
      <c r="DB190" s="615"/>
      <c r="DC190" s="615"/>
      <c r="DD190" s="615"/>
      <c r="DE190" s="615"/>
      <c r="DF190" s="635"/>
      <c r="DG190" s="636"/>
      <c r="DH190" s="615"/>
      <c r="DI190" s="615"/>
      <c r="DJ190" s="615"/>
      <c r="DK190" s="615"/>
      <c r="DL190" s="615"/>
      <c r="DM190" s="615"/>
      <c r="DN190" s="615"/>
      <c r="DO190" s="615"/>
      <c r="DP190" s="615"/>
      <c r="DQ190" s="615"/>
      <c r="DR190" s="635"/>
      <c r="DS190" s="636"/>
      <c r="DT190" s="615"/>
      <c r="DU190" s="615"/>
      <c r="DV190" s="615"/>
      <c r="DW190" s="615"/>
      <c r="DX190" s="615"/>
      <c r="DY190" s="615"/>
      <c r="DZ190" s="615"/>
      <c r="EA190" s="615"/>
      <c r="EB190" s="615"/>
      <c r="EC190" s="615"/>
      <c r="ED190" s="637"/>
      <c r="EE190" s="692"/>
    </row>
    <row r="191" spans="1:135" x14ac:dyDescent="0.25">
      <c r="A191" s="640" t="s">
        <v>11</v>
      </c>
      <c r="B191" s="367" t="s">
        <v>1226</v>
      </c>
      <c r="C191" s="367" t="s">
        <v>1195</v>
      </c>
      <c r="D191" s="367" t="s">
        <v>1227</v>
      </c>
      <c r="E191" s="503" t="s">
        <v>1214</v>
      </c>
      <c r="F191" s="570">
        <v>44617</v>
      </c>
      <c r="G191" s="85" t="s">
        <v>59</v>
      </c>
      <c r="H191" s="85" t="s">
        <v>54</v>
      </c>
      <c r="I191" s="85" t="s">
        <v>358</v>
      </c>
      <c r="J191" s="675" t="s">
        <v>358</v>
      </c>
      <c r="K191" s="85" t="s">
        <v>358</v>
      </c>
      <c r="L191" s="85" t="s">
        <v>40</v>
      </c>
      <c r="M191" s="85" t="s">
        <v>3</v>
      </c>
      <c r="N191" s="668" t="s">
        <v>44</v>
      </c>
      <c r="O191" s="669"/>
      <c r="P191" s="615"/>
      <c r="Q191" s="615"/>
      <c r="R191" s="615"/>
      <c r="S191" s="615"/>
      <c r="T191" s="615"/>
      <c r="U191" s="615">
        <v>5</v>
      </c>
      <c r="V191" s="615">
        <v>5</v>
      </c>
      <c r="W191" s="615">
        <v>5</v>
      </c>
      <c r="X191" s="615">
        <v>5</v>
      </c>
      <c r="Y191" s="615">
        <v>5</v>
      </c>
      <c r="Z191" s="635">
        <v>5</v>
      </c>
      <c r="AA191" s="636"/>
      <c r="AB191" s="615"/>
      <c r="AC191" s="615"/>
      <c r="AD191" s="615"/>
      <c r="AE191" s="615"/>
      <c r="AF191" s="615"/>
      <c r="AG191" s="615"/>
      <c r="AH191" s="615"/>
      <c r="AI191" s="615"/>
      <c r="AJ191" s="615"/>
      <c r="AK191" s="615"/>
      <c r="AL191" s="635"/>
      <c r="AM191" s="636"/>
      <c r="AN191" s="615"/>
      <c r="AO191" s="615"/>
      <c r="AP191" s="615"/>
      <c r="AQ191" s="615"/>
      <c r="AR191" s="615"/>
      <c r="AS191" s="615"/>
      <c r="AT191" s="615"/>
      <c r="AU191" s="615"/>
      <c r="AV191" s="615"/>
      <c r="AW191" s="615"/>
      <c r="AX191" s="635"/>
      <c r="AY191" s="636"/>
      <c r="AZ191" s="615"/>
      <c r="BA191" s="615"/>
      <c r="BB191" s="615"/>
      <c r="BC191" s="615"/>
      <c r="BD191" s="615"/>
      <c r="BE191" s="615"/>
      <c r="BF191" s="615"/>
      <c r="BG191" s="615"/>
      <c r="BH191" s="615"/>
      <c r="BI191" s="615"/>
      <c r="BJ191" s="635"/>
      <c r="BK191" s="636"/>
      <c r="BL191" s="615"/>
      <c r="BM191" s="615"/>
      <c r="BN191" s="615"/>
      <c r="BO191" s="615"/>
      <c r="BP191" s="615"/>
      <c r="BQ191" s="615"/>
      <c r="BR191" s="615"/>
      <c r="BS191" s="615"/>
      <c r="BT191" s="615"/>
      <c r="BU191" s="615"/>
      <c r="BV191" s="637"/>
      <c r="BW191" s="669"/>
      <c r="BX191" s="615"/>
      <c r="BY191" s="615"/>
      <c r="BZ191" s="615"/>
      <c r="CA191" s="615"/>
      <c r="CB191" s="615"/>
      <c r="CC191" s="615">
        <v>183</v>
      </c>
      <c r="CD191" s="615">
        <v>183</v>
      </c>
      <c r="CE191" s="615">
        <v>183</v>
      </c>
      <c r="CF191" s="615">
        <v>183</v>
      </c>
      <c r="CG191" s="615">
        <v>183</v>
      </c>
      <c r="CH191" s="635">
        <v>183</v>
      </c>
      <c r="CI191" s="636"/>
      <c r="CJ191" s="615"/>
      <c r="CK191" s="615"/>
      <c r="CL191" s="615"/>
      <c r="CM191" s="615"/>
      <c r="CN191" s="615"/>
      <c r="CO191" s="615"/>
      <c r="CP191" s="615"/>
      <c r="CQ191" s="615"/>
      <c r="CR191" s="615"/>
      <c r="CS191" s="615"/>
      <c r="CT191" s="635"/>
      <c r="CU191" s="636"/>
      <c r="CV191" s="615"/>
      <c r="CW191" s="615"/>
      <c r="CX191" s="615"/>
      <c r="CY191" s="615"/>
      <c r="CZ191" s="615"/>
      <c r="DA191" s="615"/>
      <c r="DB191" s="615"/>
      <c r="DC191" s="615"/>
      <c r="DD191" s="615"/>
      <c r="DE191" s="615"/>
      <c r="DF191" s="635"/>
      <c r="DG191" s="636"/>
      <c r="DH191" s="615"/>
      <c r="DI191" s="615"/>
      <c r="DJ191" s="615"/>
      <c r="DK191" s="615"/>
      <c r="DL191" s="615"/>
      <c r="DM191" s="615"/>
      <c r="DN191" s="615"/>
      <c r="DO191" s="615"/>
      <c r="DP191" s="615"/>
      <c r="DQ191" s="615"/>
      <c r="DR191" s="635"/>
      <c r="DS191" s="636"/>
      <c r="DT191" s="615"/>
      <c r="DU191" s="615"/>
      <c r="DV191" s="615"/>
      <c r="DW191" s="615"/>
      <c r="DX191" s="615"/>
      <c r="DY191" s="615"/>
      <c r="DZ191" s="615"/>
      <c r="EA191" s="615"/>
      <c r="EB191" s="615"/>
      <c r="EC191" s="615"/>
      <c r="ED191" s="637"/>
      <c r="EE191" s="692"/>
    </row>
    <row r="192" spans="1:135" x14ac:dyDescent="0.25">
      <c r="A192" s="640" t="s">
        <v>11</v>
      </c>
      <c r="B192" s="367" t="s">
        <v>1228</v>
      </c>
      <c r="C192" s="367" t="s">
        <v>1000</v>
      </c>
      <c r="D192" s="367" t="s">
        <v>1229</v>
      </c>
      <c r="E192" s="503" t="s">
        <v>1215</v>
      </c>
      <c r="F192" s="570">
        <v>44617</v>
      </c>
      <c r="G192" s="85" t="s">
        <v>59</v>
      </c>
      <c r="H192" s="85" t="s">
        <v>92</v>
      </c>
      <c r="I192" s="85" t="s">
        <v>358</v>
      </c>
      <c r="J192" s="675" t="s">
        <v>358</v>
      </c>
      <c r="K192" s="85" t="s">
        <v>358</v>
      </c>
      <c r="L192" s="85" t="s">
        <v>40</v>
      </c>
      <c r="M192" s="85" t="s">
        <v>3</v>
      </c>
      <c r="N192" s="668" t="s">
        <v>44</v>
      </c>
      <c r="O192" s="669"/>
      <c r="P192" s="615">
        <v>3</v>
      </c>
      <c r="Q192" s="615"/>
      <c r="R192" s="615"/>
      <c r="S192" s="615"/>
      <c r="T192" s="615"/>
      <c r="U192" s="615"/>
      <c r="V192" s="615"/>
      <c r="W192" s="615"/>
      <c r="X192" s="615"/>
      <c r="Y192" s="615"/>
      <c r="Z192" s="635"/>
      <c r="AA192" s="636"/>
      <c r="AB192" s="615"/>
      <c r="AC192" s="615"/>
      <c r="AD192" s="615"/>
      <c r="AE192" s="615"/>
      <c r="AF192" s="615"/>
      <c r="AG192" s="615"/>
      <c r="AH192" s="615"/>
      <c r="AI192" s="615"/>
      <c r="AJ192" s="615"/>
      <c r="AK192" s="615"/>
      <c r="AL192" s="635"/>
      <c r="AM192" s="636"/>
      <c r="AN192" s="615"/>
      <c r="AO192" s="615"/>
      <c r="AP192" s="615"/>
      <c r="AQ192" s="615"/>
      <c r="AR192" s="615"/>
      <c r="AS192" s="615"/>
      <c r="AT192" s="615"/>
      <c r="AU192" s="615"/>
      <c r="AV192" s="615"/>
      <c r="AW192" s="615"/>
      <c r="AX192" s="635"/>
      <c r="AY192" s="636"/>
      <c r="AZ192" s="615"/>
      <c r="BA192" s="615"/>
      <c r="BB192" s="615"/>
      <c r="BC192" s="615"/>
      <c r="BD192" s="615"/>
      <c r="BE192" s="615"/>
      <c r="BF192" s="615"/>
      <c r="BG192" s="615"/>
      <c r="BH192" s="615"/>
      <c r="BI192" s="615"/>
      <c r="BJ192" s="635"/>
      <c r="BK192" s="636"/>
      <c r="BL192" s="615"/>
      <c r="BM192" s="615"/>
      <c r="BN192" s="615"/>
      <c r="BO192" s="615"/>
      <c r="BP192" s="615"/>
      <c r="BQ192" s="615"/>
      <c r="BR192" s="615"/>
      <c r="BS192" s="615"/>
      <c r="BT192" s="615"/>
      <c r="BU192" s="615"/>
      <c r="BV192" s="637"/>
      <c r="BW192" s="669"/>
      <c r="BX192" s="615">
        <v>57.7</v>
      </c>
      <c r="BY192" s="615"/>
      <c r="BZ192" s="615"/>
      <c r="CA192" s="615"/>
      <c r="CB192" s="615"/>
      <c r="CC192" s="615"/>
      <c r="CD192" s="615"/>
      <c r="CE192" s="615"/>
      <c r="CF192" s="615"/>
      <c r="CG192" s="615"/>
      <c r="CH192" s="635"/>
      <c r="CI192" s="636"/>
      <c r="CJ192" s="615"/>
      <c r="CK192" s="615"/>
      <c r="CL192" s="615"/>
      <c r="CM192" s="615"/>
      <c r="CN192" s="615"/>
      <c r="CO192" s="615"/>
      <c r="CP192" s="615"/>
      <c r="CQ192" s="615"/>
      <c r="CR192" s="615"/>
      <c r="CS192" s="615"/>
      <c r="CT192" s="635"/>
      <c r="CU192" s="636"/>
      <c r="CV192" s="615"/>
      <c r="CW192" s="615"/>
      <c r="CX192" s="615"/>
      <c r="CY192" s="615"/>
      <c r="CZ192" s="615"/>
      <c r="DA192" s="615"/>
      <c r="DB192" s="615"/>
      <c r="DC192" s="615"/>
      <c r="DD192" s="615"/>
      <c r="DE192" s="615"/>
      <c r="DF192" s="635"/>
      <c r="DG192" s="636"/>
      <c r="DH192" s="615"/>
      <c r="DI192" s="615"/>
      <c r="DJ192" s="615"/>
      <c r="DK192" s="615"/>
      <c r="DL192" s="615"/>
      <c r="DM192" s="615"/>
      <c r="DN192" s="615"/>
      <c r="DO192" s="615"/>
      <c r="DP192" s="615"/>
      <c r="DQ192" s="615"/>
      <c r="DR192" s="635"/>
      <c r="DS192" s="636"/>
      <c r="DT192" s="615"/>
      <c r="DU192" s="615"/>
      <c r="DV192" s="615"/>
      <c r="DW192" s="615"/>
      <c r="DX192" s="615"/>
      <c r="DY192" s="615"/>
      <c r="DZ192" s="615"/>
      <c r="EA192" s="615"/>
      <c r="EB192" s="615"/>
      <c r="EC192" s="615"/>
      <c r="ED192" s="637"/>
      <c r="EE192" s="692"/>
    </row>
    <row r="193" spans="1:135" x14ac:dyDescent="0.25">
      <c r="A193" s="640" t="s">
        <v>11</v>
      </c>
      <c r="B193" s="367" t="s">
        <v>1230</v>
      </c>
      <c r="C193" s="367" t="s">
        <v>945</v>
      </c>
      <c r="D193" s="367" t="s">
        <v>1231</v>
      </c>
      <c r="E193" s="503" t="s">
        <v>1216</v>
      </c>
      <c r="F193" s="570">
        <v>44617</v>
      </c>
      <c r="G193" s="85" t="s">
        <v>59</v>
      </c>
      <c r="H193" s="85" t="s">
        <v>54</v>
      </c>
      <c r="I193" s="85" t="s">
        <v>358</v>
      </c>
      <c r="J193" s="675" t="s">
        <v>358</v>
      </c>
      <c r="K193" s="85" t="s">
        <v>358</v>
      </c>
      <c r="L193" s="85" t="s">
        <v>40</v>
      </c>
      <c r="M193" s="85" t="s">
        <v>3</v>
      </c>
      <c r="N193" s="668" t="s">
        <v>44</v>
      </c>
      <c r="O193" s="669"/>
      <c r="P193" s="615"/>
      <c r="Q193" s="615"/>
      <c r="R193" s="615">
        <v>5</v>
      </c>
      <c r="S193" s="615"/>
      <c r="T193" s="615"/>
      <c r="U193" s="615"/>
      <c r="V193" s="615"/>
      <c r="W193" s="615"/>
      <c r="X193" s="615"/>
      <c r="Y193" s="615"/>
      <c r="Z193" s="635"/>
      <c r="AA193" s="636"/>
      <c r="AB193" s="615"/>
      <c r="AC193" s="615"/>
      <c r="AD193" s="615"/>
      <c r="AE193" s="615"/>
      <c r="AF193" s="615"/>
      <c r="AG193" s="615"/>
      <c r="AH193" s="615"/>
      <c r="AI193" s="615"/>
      <c r="AJ193" s="615"/>
      <c r="AK193" s="615"/>
      <c r="AL193" s="635"/>
      <c r="AM193" s="636"/>
      <c r="AN193" s="615"/>
      <c r="AO193" s="615"/>
      <c r="AP193" s="615"/>
      <c r="AQ193" s="615"/>
      <c r="AR193" s="615"/>
      <c r="AS193" s="615"/>
      <c r="AT193" s="615"/>
      <c r="AU193" s="615"/>
      <c r="AV193" s="615"/>
      <c r="AW193" s="615"/>
      <c r="AX193" s="635"/>
      <c r="AY193" s="636"/>
      <c r="AZ193" s="615"/>
      <c r="BA193" s="615"/>
      <c r="BB193" s="615"/>
      <c r="BC193" s="615"/>
      <c r="BD193" s="615"/>
      <c r="BE193" s="615"/>
      <c r="BF193" s="615"/>
      <c r="BG193" s="615"/>
      <c r="BH193" s="615"/>
      <c r="BI193" s="615"/>
      <c r="BJ193" s="635"/>
      <c r="BK193" s="636"/>
      <c r="BL193" s="615"/>
      <c r="BM193" s="615"/>
      <c r="BN193" s="615"/>
      <c r="BO193" s="615"/>
      <c r="BP193" s="615"/>
      <c r="BQ193" s="615"/>
      <c r="BR193" s="615"/>
      <c r="BS193" s="615"/>
      <c r="BT193" s="615"/>
      <c r="BU193" s="615"/>
      <c r="BV193" s="637"/>
      <c r="BW193" s="669"/>
      <c r="BX193" s="615"/>
      <c r="BY193" s="615"/>
      <c r="BZ193" s="615">
        <v>75</v>
      </c>
      <c r="CA193" s="615"/>
      <c r="CB193" s="615"/>
      <c r="CC193" s="615"/>
      <c r="CD193" s="615"/>
      <c r="CE193" s="615"/>
      <c r="CF193" s="615"/>
      <c r="CG193" s="615"/>
      <c r="CH193" s="635"/>
      <c r="CI193" s="636"/>
      <c r="CJ193" s="615"/>
      <c r="CK193" s="615"/>
      <c r="CL193" s="615"/>
      <c r="CM193" s="615"/>
      <c r="CN193" s="615"/>
      <c r="CO193" s="615"/>
      <c r="CP193" s="615"/>
      <c r="CQ193" s="615"/>
      <c r="CR193" s="615"/>
      <c r="CS193" s="615"/>
      <c r="CT193" s="635"/>
      <c r="CU193" s="636"/>
      <c r="CV193" s="615"/>
      <c r="CW193" s="615"/>
      <c r="CX193" s="615"/>
      <c r="CY193" s="615"/>
      <c r="CZ193" s="615"/>
      <c r="DA193" s="615"/>
      <c r="DB193" s="615"/>
      <c r="DC193" s="615"/>
      <c r="DD193" s="615"/>
      <c r="DE193" s="615"/>
      <c r="DF193" s="635"/>
      <c r="DG193" s="636"/>
      <c r="DH193" s="615"/>
      <c r="DI193" s="615"/>
      <c r="DJ193" s="615"/>
      <c r="DK193" s="615"/>
      <c r="DL193" s="615"/>
      <c r="DM193" s="615"/>
      <c r="DN193" s="615"/>
      <c r="DO193" s="615"/>
      <c r="DP193" s="615"/>
      <c r="DQ193" s="615"/>
      <c r="DR193" s="635"/>
      <c r="DS193" s="636"/>
      <c r="DT193" s="615"/>
      <c r="DU193" s="615"/>
      <c r="DV193" s="615"/>
      <c r="DW193" s="615"/>
      <c r="DX193" s="615"/>
      <c r="DY193" s="615"/>
      <c r="DZ193" s="615"/>
      <c r="EA193" s="615"/>
      <c r="EB193" s="615"/>
      <c r="EC193" s="615"/>
      <c r="ED193" s="637"/>
      <c r="EE193" s="692"/>
    </row>
    <row r="194" spans="1:135" x14ac:dyDescent="0.25">
      <c r="A194" s="640" t="s">
        <v>11</v>
      </c>
      <c r="B194" s="367" t="s">
        <v>1232</v>
      </c>
      <c r="C194" s="367" t="s">
        <v>585</v>
      </c>
      <c r="D194" s="367" t="s">
        <v>1233</v>
      </c>
      <c r="E194" s="503" t="s">
        <v>1217</v>
      </c>
      <c r="F194" s="570">
        <v>44617</v>
      </c>
      <c r="G194" s="85" t="s">
        <v>59</v>
      </c>
      <c r="H194" s="85" t="s">
        <v>54</v>
      </c>
      <c r="I194" s="85" t="s">
        <v>358</v>
      </c>
      <c r="J194" s="675" t="s">
        <v>358</v>
      </c>
      <c r="K194" s="85" t="s">
        <v>358</v>
      </c>
      <c r="L194" s="85" t="s">
        <v>40</v>
      </c>
      <c r="M194" s="85" t="s">
        <v>3</v>
      </c>
      <c r="N194" s="668" t="s">
        <v>44</v>
      </c>
      <c r="O194" s="669"/>
      <c r="P194" s="615"/>
      <c r="Q194" s="615"/>
      <c r="R194" s="615">
        <v>12</v>
      </c>
      <c r="S194" s="615"/>
      <c r="T194" s="615"/>
      <c r="U194" s="615"/>
      <c r="V194" s="615"/>
      <c r="W194" s="615"/>
      <c r="X194" s="615"/>
      <c r="Y194" s="615"/>
      <c r="Z194" s="635"/>
      <c r="AA194" s="636"/>
      <c r="AB194" s="615"/>
      <c r="AC194" s="615"/>
      <c r="AD194" s="615"/>
      <c r="AE194" s="615"/>
      <c r="AF194" s="615"/>
      <c r="AG194" s="615"/>
      <c r="AH194" s="615"/>
      <c r="AI194" s="615"/>
      <c r="AJ194" s="615"/>
      <c r="AK194" s="615"/>
      <c r="AL194" s="635"/>
      <c r="AM194" s="636"/>
      <c r="AN194" s="615"/>
      <c r="AO194" s="615"/>
      <c r="AP194" s="615"/>
      <c r="AQ194" s="615"/>
      <c r="AR194" s="615"/>
      <c r="AS194" s="615"/>
      <c r="AT194" s="615"/>
      <c r="AU194" s="615"/>
      <c r="AV194" s="615"/>
      <c r="AW194" s="615"/>
      <c r="AX194" s="635"/>
      <c r="AY194" s="636"/>
      <c r="AZ194" s="615"/>
      <c r="BA194" s="615"/>
      <c r="BB194" s="615"/>
      <c r="BC194" s="615"/>
      <c r="BD194" s="615"/>
      <c r="BE194" s="615"/>
      <c r="BF194" s="615"/>
      <c r="BG194" s="615"/>
      <c r="BH194" s="615"/>
      <c r="BI194" s="615"/>
      <c r="BJ194" s="635"/>
      <c r="BK194" s="636"/>
      <c r="BL194" s="615"/>
      <c r="BM194" s="615"/>
      <c r="BN194" s="615"/>
      <c r="BO194" s="615"/>
      <c r="BP194" s="615"/>
      <c r="BQ194" s="615"/>
      <c r="BR194" s="615"/>
      <c r="BS194" s="615"/>
      <c r="BT194" s="615"/>
      <c r="BU194" s="615"/>
      <c r="BV194" s="637"/>
      <c r="BW194" s="669"/>
      <c r="BX194" s="615"/>
      <c r="BY194" s="615"/>
      <c r="BZ194" s="615">
        <v>75</v>
      </c>
      <c r="CA194" s="615"/>
      <c r="CB194" s="615"/>
      <c r="CC194" s="615"/>
      <c r="CD194" s="615"/>
      <c r="CE194" s="615"/>
      <c r="CF194" s="615"/>
      <c r="CG194" s="615"/>
      <c r="CH194" s="635"/>
      <c r="CI194" s="636"/>
      <c r="CJ194" s="615"/>
      <c r="CK194" s="615"/>
      <c r="CL194" s="615"/>
      <c r="CM194" s="615"/>
      <c r="CN194" s="615"/>
      <c r="CO194" s="615"/>
      <c r="CP194" s="615"/>
      <c r="CQ194" s="615"/>
      <c r="CR194" s="615"/>
      <c r="CS194" s="615"/>
      <c r="CT194" s="635"/>
      <c r="CU194" s="636"/>
      <c r="CV194" s="615"/>
      <c r="CW194" s="615"/>
      <c r="CX194" s="615"/>
      <c r="CY194" s="615"/>
      <c r="CZ194" s="615"/>
      <c r="DA194" s="615"/>
      <c r="DB194" s="615"/>
      <c r="DC194" s="615"/>
      <c r="DD194" s="615"/>
      <c r="DE194" s="615"/>
      <c r="DF194" s="635"/>
      <c r="DG194" s="636"/>
      <c r="DH194" s="615"/>
      <c r="DI194" s="615"/>
      <c r="DJ194" s="615"/>
      <c r="DK194" s="615"/>
      <c r="DL194" s="615"/>
      <c r="DM194" s="615"/>
      <c r="DN194" s="615"/>
      <c r="DO194" s="615"/>
      <c r="DP194" s="615"/>
      <c r="DQ194" s="615"/>
      <c r="DR194" s="635"/>
      <c r="DS194" s="636"/>
      <c r="DT194" s="615"/>
      <c r="DU194" s="615"/>
      <c r="DV194" s="615"/>
      <c r="DW194" s="615"/>
      <c r="DX194" s="615"/>
      <c r="DY194" s="615"/>
      <c r="DZ194" s="615"/>
      <c r="EA194" s="615"/>
      <c r="EB194" s="615"/>
      <c r="EC194" s="615"/>
      <c r="ED194" s="637"/>
      <c r="EE194" s="692"/>
    </row>
    <row r="195" spans="1:135" x14ac:dyDescent="0.25">
      <c r="A195" s="640" t="s">
        <v>11</v>
      </c>
      <c r="B195" s="367" t="s">
        <v>1235</v>
      </c>
      <c r="C195" s="367" t="s">
        <v>502</v>
      </c>
      <c r="D195" s="367" t="s">
        <v>1236</v>
      </c>
      <c r="E195" s="503" t="s">
        <v>1234</v>
      </c>
      <c r="F195" s="570">
        <v>44622</v>
      </c>
      <c r="G195" s="85" t="s">
        <v>59</v>
      </c>
      <c r="H195" s="85" t="s">
        <v>54</v>
      </c>
      <c r="I195" s="85" t="s">
        <v>358</v>
      </c>
      <c r="J195" s="675" t="s">
        <v>358</v>
      </c>
      <c r="K195" s="85" t="s">
        <v>358</v>
      </c>
      <c r="L195" s="85" t="s">
        <v>40</v>
      </c>
      <c r="M195" s="85" t="s">
        <v>3</v>
      </c>
      <c r="N195" s="668" t="s">
        <v>44</v>
      </c>
      <c r="O195" s="669"/>
      <c r="P195" s="615"/>
      <c r="Q195" s="615"/>
      <c r="R195" s="615"/>
      <c r="S195" s="615"/>
      <c r="T195" s="615">
        <v>3</v>
      </c>
      <c r="U195" s="615"/>
      <c r="V195" s="615"/>
      <c r="W195" s="615"/>
      <c r="X195" s="615"/>
      <c r="Y195" s="615"/>
      <c r="Z195" s="635"/>
      <c r="AA195" s="636"/>
      <c r="AB195" s="615"/>
      <c r="AC195" s="615"/>
      <c r="AD195" s="615"/>
      <c r="AE195" s="615"/>
      <c r="AF195" s="615"/>
      <c r="AG195" s="615"/>
      <c r="AH195" s="615"/>
      <c r="AI195" s="615"/>
      <c r="AJ195" s="615"/>
      <c r="AK195" s="615"/>
      <c r="AL195" s="635"/>
      <c r="AM195" s="636"/>
      <c r="AN195" s="615"/>
      <c r="AO195" s="615"/>
      <c r="AP195" s="615"/>
      <c r="AQ195" s="615"/>
      <c r="AR195" s="615"/>
      <c r="AS195" s="615"/>
      <c r="AT195" s="615"/>
      <c r="AU195" s="615"/>
      <c r="AV195" s="615"/>
      <c r="AW195" s="615"/>
      <c r="AX195" s="635"/>
      <c r="AY195" s="636"/>
      <c r="AZ195" s="615"/>
      <c r="BA195" s="615"/>
      <c r="BB195" s="615"/>
      <c r="BC195" s="615"/>
      <c r="BD195" s="615"/>
      <c r="BE195" s="615"/>
      <c r="BF195" s="615"/>
      <c r="BG195" s="615"/>
      <c r="BH195" s="615"/>
      <c r="BI195" s="615"/>
      <c r="BJ195" s="635"/>
      <c r="BK195" s="636"/>
      <c r="BL195" s="615"/>
      <c r="BM195" s="615"/>
      <c r="BN195" s="615"/>
      <c r="BO195" s="615"/>
      <c r="BP195" s="615"/>
      <c r="BQ195" s="615"/>
      <c r="BR195" s="615"/>
      <c r="BS195" s="615"/>
      <c r="BT195" s="615"/>
      <c r="BU195" s="615"/>
      <c r="BV195" s="637"/>
      <c r="BW195" s="669"/>
      <c r="BX195" s="615"/>
      <c r="BY195" s="615"/>
      <c r="BZ195" s="615"/>
      <c r="CA195" s="615"/>
      <c r="CB195" s="615">
        <v>123</v>
      </c>
      <c r="CC195" s="615"/>
      <c r="CD195" s="615"/>
      <c r="CE195" s="615"/>
      <c r="CF195" s="615"/>
      <c r="CG195" s="615"/>
      <c r="CH195" s="635"/>
      <c r="CI195" s="636"/>
      <c r="CJ195" s="615"/>
      <c r="CK195" s="615"/>
      <c r="CL195" s="615"/>
      <c r="CM195" s="615"/>
      <c r="CN195" s="615"/>
      <c r="CO195" s="615"/>
      <c r="CP195" s="615"/>
      <c r="CQ195" s="615"/>
      <c r="CR195" s="615"/>
      <c r="CS195" s="615"/>
      <c r="CT195" s="635"/>
      <c r="CU195" s="636"/>
      <c r="CV195" s="615"/>
      <c r="CW195" s="615"/>
      <c r="CX195" s="615"/>
      <c r="CY195" s="615"/>
      <c r="CZ195" s="615"/>
      <c r="DA195" s="615"/>
      <c r="DB195" s="615"/>
      <c r="DC195" s="615"/>
      <c r="DD195" s="615"/>
      <c r="DE195" s="615"/>
      <c r="DF195" s="635"/>
      <c r="DG195" s="636"/>
      <c r="DH195" s="615"/>
      <c r="DI195" s="615"/>
      <c r="DJ195" s="615"/>
      <c r="DK195" s="615"/>
      <c r="DL195" s="615"/>
      <c r="DM195" s="615"/>
      <c r="DN195" s="615"/>
      <c r="DO195" s="615"/>
      <c r="DP195" s="615"/>
      <c r="DQ195" s="615"/>
      <c r="DR195" s="635"/>
      <c r="DS195" s="636"/>
      <c r="DT195" s="615"/>
      <c r="DU195" s="615"/>
      <c r="DV195" s="615"/>
      <c r="DW195" s="615"/>
      <c r="DX195" s="615"/>
      <c r="DY195" s="615"/>
      <c r="DZ195" s="615"/>
      <c r="EA195" s="615"/>
      <c r="EB195" s="615"/>
      <c r="EC195" s="615"/>
      <c r="ED195" s="637"/>
      <c r="EE195" s="692"/>
    </row>
    <row r="196" spans="1:135" x14ac:dyDescent="0.25">
      <c r="A196" s="640" t="s">
        <v>12</v>
      </c>
      <c r="B196" s="367" t="s">
        <v>1250</v>
      </c>
      <c r="C196" s="367" t="s">
        <v>464</v>
      </c>
      <c r="D196" s="367" t="s">
        <v>1251</v>
      </c>
      <c r="E196" s="503" t="s">
        <v>1237</v>
      </c>
      <c r="F196" s="570">
        <v>44623</v>
      </c>
      <c r="G196" s="85" t="s">
        <v>59</v>
      </c>
      <c r="H196" s="85" t="s">
        <v>92</v>
      </c>
      <c r="I196" s="85" t="s">
        <v>358</v>
      </c>
      <c r="J196" s="675" t="s">
        <v>358</v>
      </c>
      <c r="K196" s="85" t="s">
        <v>358</v>
      </c>
      <c r="L196" s="85" t="s">
        <v>40</v>
      </c>
      <c r="M196" s="85" t="s">
        <v>6</v>
      </c>
      <c r="N196" s="668" t="s">
        <v>44</v>
      </c>
      <c r="O196" s="669"/>
      <c r="P196" s="615">
        <v>0.5</v>
      </c>
      <c r="Q196" s="615"/>
      <c r="R196" s="615"/>
      <c r="S196" s="615"/>
      <c r="T196" s="615"/>
      <c r="U196" s="615"/>
      <c r="V196" s="615"/>
      <c r="W196" s="615"/>
      <c r="X196" s="615"/>
      <c r="Y196" s="615"/>
      <c r="Z196" s="635"/>
      <c r="AA196" s="636"/>
      <c r="AB196" s="615"/>
      <c r="AC196" s="615"/>
      <c r="AD196" s="615"/>
      <c r="AE196" s="615"/>
      <c r="AF196" s="615"/>
      <c r="AG196" s="615"/>
      <c r="AH196" s="615"/>
      <c r="AI196" s="615"/>
      <c r="AJ196" s="615"/>
      <c r="AK196" s="615"/>
      <c r="AL196" s="635"/>
      <c r="AM196" s="636"/>
      <c r="AN196" s="615"/>
      <c r="AO196" s="615"/>
      <c r="AP196" s="615"/>
      <c r="AQ196" s="615"/>
      <c r="AR196" s="615"/>
      <c r="AS196" s="615"/>
      <c r="AT196" s="615"/>
      <c r="AU196" s="615"/>
      <c r="AV196" s="615"/>
      <c r="AW196" s="615"/>
      <c r="AX196" s="635"/>
      <c r="AY196" s="636"/>
      <c r="AZ196" s="615"/>
      <c r="BA196" s="615"/>
      <c r="BB196" s="615"/>
      <c r="BC196" s="615"/>
      <c r="BD196" s="615"/>
      <c r="BE196" s="615"/>
      <c r="BF196" s="615"/>
      <c r="BG196" s="615"/>
      <c r="BH196" s="615"/>
      <c r="BI196" s="615"/>
      <c r="BJ196" s="635"/>
      <c r="BK196" s="636"/>
      <c r="BL196" s="615"/>
      <c r="BM196" s="615"/>
      <c r="BN196" s="615"/>
      <c r="BO196" s="615"/>
      <c r="BP196" s="615"/>
      <c r="BQ196" s="615"/>
      <c r="BR196" s="615"/>
      <c r="BS196" s="615"/>
      <c r="BT196" s="615"/>
      <c r="BU196" s="615"/>
      <c r="BV196" s="637"/>
      <c r="BW196" s="669"/>
      <c r="BX196" s="615">
        <v>256.7</v>
      </c>
      <c r="BY196" s="615"/>
      <c r="BZ196" s="615"/>
      <c r="CA196" s="615"/>
      <c r="CB196" s="615"/>
      <c r="CC196" s="615"/>
      <c r="CD196" s="615"/>
      <c r="CE196" s="615"/>
      <c r="CF196" s="615"/>
      <c r="CG196" s="615"/>
      <c r="CH196" s="635"/>
      <c r="CI196" s="636"/>
      <c r="CJ196" s="615"/>
      <c r="CK196" s="615"/>
      <c r="CL196" s="615"/>
      <c r="CM196" s="615"/>
      <c r="CN196" s="615"/>
      <c r="CO196" s="615"/>
      <c r="CP196" s="615"/>
      <c r="CQ196" s="615"/>
      <c r="CR196" s="615"/>
      <c r="CS196" s="615"/>
      <c r="CT196" s="635"/>
      <c r="CU196" s="636"/>
      <c r="CV196" s="615"/>
      <c r="CW196" s="615"/>
      <c r="CX196" s="615"/>
      <c r="CY196" s="615"/>
      <c r="CZ196" s="615"/>
      <c r="DA196" s="615"/>
      <c r="DB196" s="615"/>
      <c r="DC196" s="615"/>
      <c r="DD196" s="615"/>
      <c r="DE196" s="615"/>
      <c r="DF196" s="635"/>
      <c r="DG196" s="636"/>
      <c r="DH196" s="615"/>
      <c r="DI196" s="615"/>
      <c r="DJ196" s="615"/>
      <c r="DK196" s="615"/>
      <c r="DL196" s="615"/>
      <c r="DM196" s="615"/>
      <c r="DN196" s="615"/>
      <c r="DO196" s="615"/>
      <c r="DP196" s="615"/>
      <c r="DQ196" s="615"/>
      <c r="DR196" s="635"/>
      <c r="DS196" s="636"/>
      <c r="DT196" s="615"/>
      <c r="DU196" s="615"/>
      <c r="DV196" s="615"/>
      <c r="DW196" s="615"/>
      <c r="DX196" s="615"/>
      <c r="DY196" s="615"/>
      <c r="DZ196" s="615"/>
      <c r="EA196" s="615"/>
      <c r="EB196" s="615"/>
      <c r="EC196" s="615"/>
      <c r="ED196" s="637"/>
      <c r="EE196" s="692"/>
    </row>
    <row r="197" spans="1:135" x14ac:dyDescent="0.25">
      <c r="A197" s="640" t="s">
        <v>12</v>
      </c>
      <c r="B197" s="367" t="s">
        <v>1252</v>
      </c>
      <c r="C197" s="367" t="s">
        <v>349</v>
      </c>
      <c r="D197" s="367" t="s">
        <v>1253</v>
      </c>
      <c r="E197" s="503" t="s">
        <v>1238</v>
      </c>
      <c r="F197" s="570">
        <v>44623</v>
      </c>
      <c r="G197" s="85" t="s">
        <v>59</v>
      </c>
      <c r="H197" s="85" t="s">
        <v>92</v>
      </c>
      <c r="I197" s="85" t="s">
        <v>358</v>
      </c>
      <c r="J197" s="675" t="s">
        <v>358</v>
      </c>
      <c r="K197" s="85" t="s">
        <v>358</v>
      </c>
      <c r="L197" s="85" t="s">
        <v>40</v>
      </c>
      <c r="M197" s="85" t="s">
        <v>3</v>
      </c>
      <c r="N197" s="668" t="s">
        <v>44</v>
      </c>
      <c r="O197" s="669"/>
      <c r="P197" s="615">
        <v>6</v>
      </c>
      <c r="Q197" s="615"/>
      <c r="R197" s="615"/>
      <c r="S197" s="615"/>
      <c r="T197" s="615"/>
      <c r="U197" s="615"/>
      <c r="V197" s="615"/>
      <c r="W197" s="615"/>
      <c r="X197" s="615"/>
      <c r="Y197" s="615"/>
      <c r="Z197" s="635"/>
      <c r="AA197" s="636"/>
      <c r="AB197" s="615"/>
      <c r="AC197" s="615"/>
      <c r="AD197" s="615"/>
      <c r="AE197" s="615"/>
      <c r="AF197" s="615"/>
      <c r="AG197" s="615"/>
      <c r="AH197" s="615"/>
      <c r="AI197" s="615"/>
      <c r="AJ197" s="615"/>
      <c r="AK197" s="615"/>
      <c r="AL197" s="635"/>
      <c r="AM197" s="636"/>
      <c r="AN197" s="615"/>
      <c r="AO197" s="615"/>
      <c r="AP197" s="615"/>
      <c r="AQ197" s="615"/>
      <c r="AR197" s="615"/>
      <c r="AS197" s="615"/>
      <c r="AT197" s="615"/>
      <c r="AU197" s="615"/>
      <c r="AV197" s="615"/>
      <c r="AW197" s="615"/>
      <c r="AX197" s="635"/>
      <c r="AY197" s="636"/>
      <c r="AZ197" s="615"/>
      <c r="BA197" s="615"/>
      <c r="BB197" s="615"/>
      <c r="BC197" s="615"/>
      <c r="BD197" s="615"/>
      <c r="BE197" s="615"/>
      <c r="BF197" s="615"/>
      <c r="BG197" s="615"/>
      <c r="BH197" s="615"/>
      <c r="BI197" s="615"/>
      <c r="BJ197" s="635"/>
      <c r="BK197" s="636"/>
      <c r="BL197" s="615"/>
      <c r="BM197" s="615"/>
      <c r="BN197" s="615"/>
      <c r="BO197" s="615"/>
      <c r="BP197" s="615"/>
      <c r="BQ197" s="615"/>
      <c r="BR197" s="615"/>
      <c r="BS197" s="615"/>
      <c r="BT197" s="615"/>
      <c r="BU197" s="615"/>
      <c r="BV197" s="637"/>
      <c r="BW197" s="669"/>
      <c r="BX197" s="615">
        <v>57</v>
      </c>
      <c r="BY197" s="615"/>
      <c r="BZ197" s="615"/>
      <c r="CA197" s="615"/>
      <c r="CB197" s="615"/>
      <c r="CC197" s="615"/>
      <c r="CD197" s="615"/>
      <c r="CE197" s="615"/>
      <c r="CF197" s="615"/>
      <c r="CG197" s="615"/>
      <c r="CH197" s="635"/>
      <c r="CI197" s="636"/>
      <c r="CJ197" s="615"/>
      <c r="CK197" s="615"/>
      <c r="CL197" s="615"/>
      <c r="CM197" s="615"/>
      <c r="CN197" s="615"/>
      <c r="CO197" s="615"/>
      <c r="CP197" s="615"/>
      <c r="CQ197" s="615"/>
      <c r="CR197" s="615"/>
      <c r="CS197" s="615"/>
      <c r="CT197" s="635"/>
      <c r="CU197" s="636"/>
      <c r="CV197" s="615"/>
      <c r="CW197" s="615"/>
      <c r="CX197" s="615"/>
      <c r="CY197" s="615"/>
      <c r="CZ197" s="615"/>
      <c r="DA197" s="615"/>
      <c r="DB197" s="615"/>
      <c r="DC197" s="615"/>
      <c r="DD197" s="615"/>
      <c r="DE197" s="615"/>
      <c r="DF197" s="635"/>
      <c r="DG197" s="636"/>
      <c r="DH197" s="615"/>
      <c r="DI197" s="615"/>
      <c r="DJ197" s="615"/>
      <c r="DK197" s="615"/>
      <c r="DL197" s="615"/>
      <c r="DM197" s="615"/>
      <c r="DN197" s="615"/>
      <c r="DO197" s="615"/>
      <c r="DP197" s="615"/>
      <c r="DQ197" s="615"/>
      <c r="DR197" s="635"/>
      <c r="DS197" s="636"/>
      <c r="DT197" s="615"/>
      <c r="DU197" s="615"/>
      <c r="DV197" s="615"/>
      <c r="DW197" s="615"/>
      <c r="DX197" s="615"/>
      <c r="DY197" s="615"/>
      <c r="DZ197" s="615"/>
      <c r="EA197" s="615"/>
      <c r="EB197" s="615"/>
      <c r="EC197" s="615"/>
      <c r="ED197" s="637"/>
      <c r="EE197" s="692"/>
    </row>
    <row r="198" spans="1:135" x14ac:dyDescent="0.25">
      <c r="A198" s="640" t="s">
        <v>12</v>
      </c>
      <c r="B198" s="367" t="s">
        <v>1254</v>
      </c>
      <c r="C198" s="367" t="s">
        <v>1249</v>
      </c>
      <c r="D198" s="367" t="s">
        <v>1255</v>
      </c>
      <c r="E198" s="503" t="s">
        <v>1239</v>
      </c>
      <c r="F198" s="570">
        <v>44623</v>
      </c>
      <c r="G198" s="85" t="s">
        <v>59</v>
      </c>
      <c r="H198" s="85" t="s">
        <v>92</v>
      </c>
      <c r="I198" s="85" t="s">
        <v>358</v>
      </c>
      <c r="J198" s="675" t="s">
        <v>358</v>
      </c>
      <c r="K198" s="85" t="s">
        <v>358</v>
      </c>
      <c r="L198" s="85" t="s">
        <v>40</v>
      </c>
      <c r="M198" s="85" t="s">
        <v>6</v>
      </c>
      <c r="N198" s="668" t="s">
        <v>44</v>
      </c>
      <c r="O198" s="669"/>
      <c r="P198" s="615">
        <v>0.5</v>
      </c>
      <c r="Q198" s="615"/>
      <c r="R198" s="615"/>
      <c r="S198" s="615"/>
      <c r="T198" s="615"/>
      <c r="U198" s="615"/>
      <c r="V198" s="615"/>
      <c r="W198" s="615"/>
      <c r="X198" s="615"/>
      <c r="Y198" s="615"/>
      <c r="Z198" s="635"/>
      <c r="AA198" s="636"/>
      <c r="AB198" s="615"/>
      <c r="AC198" s="615"/>
      <c r="AD198" s="615"/>
      <c r="AE198" s="615"/>
      <c r="AF198" s="615"/>
      <c r="AG198" s="615"/>
      <c r="AH198" s="615"/>
      <c r="AI198" s="615"/>
      <c r="AJ198" s="615"/>
      <c r="AK198" s="615"/>
      <c r="AL198" s="635"/>
      <c r="AM198" s="636"/>
      <c r="AN198" s="615"/>
      <c r="AO198" s="615"/>
      <c r="AP198" s="615"/>
      <c r="AQ198" s="615"/>
      <c r="AR198" s="615"/>
      <c r="AS198" s="615"/>
      <c r="AT198" s="615"/>
      <c r="AU198" s="615"/>
      <c r="AV198" s="615"/>
      <c r="AW198" s="615"/>
      <c r="AX198" s="635"/>
      <c r="AY198" s="636"/>
      <c r="AZ198" s="615"/>
      <c r="BA198" s="615"/>
      <c r="BB198" s="615"/>
      <c r="BC198" s="615"/>
      <c r="BD198" s="615"/>
      <c r="BE198" s="615"/>
      <c r="BF198" s="615"/>
      <c r="BG198" s="615"/>
      <c r="BH198" s="615"/>
      <c r="BI198" s="615"/>
      <c r="BJ198" s="635"/>
      <c r="BK198" s="636"/>
      <c r="BL198" s="615"/>
      <c r="BM198" s="615"/>
      <c r="BN198" s="615"/>
      <c r="BO198" s="615"/>
      <c r="BP198" s="615"/>
      <c r="BQ198" s="615"/>
      <c r="BR198" s="615"/>
      <c r="BS198" s="615"/>
      <c r="BT198" s="615"/>
      <c r="BU198" s="615"/>
      <c r="BV198" s="637"/>
      <c r="BW198" s="669"/>
      <c r="BX198" s="615">
        <v>257.7</v>
      </c>
      <c r="BY198" s="615"/>
      <c r="BZ198" s="615"/>
      <c r="CA198" s="615"/>
      <c r="CB198" s="615"/>
      <c r="CC198" s="615"/>
      <c r="CD198" s="615"/>
      <c r="CE198" s="615"/>
      <c r="CF198" s="615"/>
      <c r="CG198" s="615"/>
      <c r="CH198" s="635"/>
      <c r="CI198" s="636"/>
      <c r="CJ198" s="615"/>
      <c r="CK198" s="615"/>
      <c r="CL198" s="615"/>
      <c r="CM198" s="615"/>
      <c r="CN198" s="615"/>
      <c r="CO198" s="615"/>
      <c r="CP198" s="615"/>
      <c r="CQ198" s="615"/>
      <c r="CR198" s="615"/>
      <c r="CS198" s="615"/>
      <c r="CT198" s="635"/>
      <c r="CU198" s="636"/>
      <c r="CV198" s="615"/>
      <c r="CW198" s="615"/>
      <c r="CX198" s="615"/>
      <c r="CY198" s="615"/>
      <c r="CZ198" s="615"/>
      <c r="DA198" s="615"/>
      <c r="DB198" s="615"/>
      <c r="DC198" s="615"/>
      <c r="DD198" s="615"/>
      <c r="DE198" s="615"/>
      <c r="DF198" s="635"/>
      <c r="DG198" s="636"/>
      <c r="DH198" s="615"/>
      <c r="DI198" s="615"/>
      <c r="DJ198" s="615"/>
      <c r="DK198" s="615"/>
      <c r="DL198" s="615"/>
      <c r="DM198" s="615"/>
      <c r="DN198" s="615"/>
      <c r="DO198" s="615"/>
      <c r="DP198" s="615"/>
      <c r="DQ198" s="615"/>
      <c r="DR198" s="635"/>
      <c r="DS198" s="636"/>
      <c r="DT198" s="615"/>
      <c r="DU198" s="615"/>
      <c r="DV198" s="615"/>
      <c r="DW198" s="615"/>
      <c r="DX198" s="615"/>
      <c r="DY198" s="615"/>
      <c r="DZ198" s="615"/>
      <c r="EA198" s="615"/>
      <c r="EB198" s="615"/>
      <c r="EC198" s="615"/>
      <c r="ED198" s="637"/>
      <c r="EE198" s="692"/>
    </row>
    <row r="199" spans="1:135" x14ac:dyDescent="0.25">
      <c r="A199" s="640" t="s">
        <v>12</v>
      </c>
      <c r="B199" s="367" t="s">
        <v>1256</v>
      </c>
      <c r="C199" s="367" t="s">
        <v>1249</v>
      </c>
      <c r="D199" s="367" t="s">
        <v>1257</v>
      </c>
      <c r="E199" s="503" t="s">
        <v>1240</v>
      </c>
      <c r="F199" s="570">
        <v>44623</v>
      </c>
      <c r="G199" s="85" t="s">
        <v>59</v>
      </c>
      <c r="H199" s="85" t="s">
        <v>92</v>
      </c>
      <c r="I199" s="85" t="s">
        <v>358</v>
      </c>
      <c r="J199" s="675" t="s">
        <v>358</v>
      </c>
      <c r="K199" s="85" t="s">
        <v>358</v>
      </c>
      <c r="L199" s="85" t="s">
        <v>40</v>
      </c>
      <c r="M199" s="85" t="s">
        <v>6</v>
      </c>
      <c r="N199" s="668" t="s">
        <v>44</v>
      </c>
      <c r="O199" s="669"/>
      <c r="P199" s="615">
        <v>1.5</v>
      </c>
      <c r="Q199" s="615"/>
      <c r="R199" s="615"/>
      <c r="S199" s="615"/>
      <c r="T199" s="615"/>
      <c r="U199" s="615"/>
      <c r="V199" s="615"/>
      <c r="W199" s="615"/>
      <c r="X199" s="615"/>
      <c r="Y199" s="615"/>
      <c r="Z199" s="635"/>
      <c r="AA199" s="636"/>
      <c r="AB199" s="615"/>
      <c r="AC199" s="615"/>
      <c r="AD199" s="615"/>
      <c r="AE199" s="615"/>
      <c r="AF199" s="615"/>
      <c r="AG199" s="615"/>
      <c r="AH199" s="615"/>
      <c r="AI199" s="615"/>
      <c r="AJ199" s="615"/>
      <c r="AK199" s="615"/>
      <c r="AL199" s="635"/>
      <c r="AM199" s="636"/>
      <c r="AN199" s="615"/>
      <c r="AO199" s="615"/>
      <c r="AP199" s="615"/>
      <c r="AQ199" s="615"/>
      <c r="AR199" s="615"/>
      <c r="AS199" s="615"/>
      <c r="AT199" s="615"/>
      <c r="AU199" s="615"/>
      <c r="AV199" s="615"/>
      <c r="AW199" s="615"/>
      <c r="AX199" s="635"/>
      <c r="AY199" s="636"/>
      <c r="AZ199" s="615"/>
      <c r="BA199" s="615"/>
      <c r="BB199" s="615"/>
      <c r="BC199" s="615"/>
      <c r="BD199" s="615"/>
      <c r="BE199" s="615"/>
      <c r="BF199" s="615"/>
      <c r="BG199" s="615"/>
      <c r="BH199" s="615"/>
      <c r="BI199" s="615"/>
      <c r="BJ199" s="635"/>
      <c r="BK199" s="636"/>
      <c r="BL199" s="615"/>
      <c r="BM199" s="615"/>
      <c r="BN199" s="615"/>
      <c r="BO199" s="615"/>
      <c r="BP199" s="615"/>
      <c r="BQ199" s="615"/>
      <c r="BR199" s="615"/>
      <c r="BS199" s="615"/>
      <c r="BT199" s="615"/>
      <c r="BU199" s="615"/>
      <c r="BV199" s="637"/>
      <c r="BW199" s="669"/>
      <c r="BX199" s="615">
        <v>257.7</v>
      </c>
      <c r="BY199" s="615"/>
      <c r="BZ199" s="615"/>
      <c r="CA199" s="615"/>
      <c r="CB199" s="615"/>
      <c r="CC199" s="615"/>
      <c r="CD199" s="615"/>
      <c r="CE199" s="615"/>
      <c r="CF199" s="615"/>
      <c r="CG199" s="615"/>
      <c r="CH199" s="635"/>
      <c r="CI199" s="636"/>
      <c r="CJ199" s="615"/>
      <c r="CK199" s="615"/>
      <c r="CL199" s="615"/>
      <c r="CM199" s="615"/>
      <c r="CN199" s="615"/>
      <c r="CO199" s="615"/>
      <c r="CP199" s="615"/>
      <c r="CQ199" s="615"/>
      <c r="CR199" s="615"/>
      <c r="CS199" s="615"/>
      <c r="CT199" s="635"/>
      <c r="CU199" s="636"/>
      <c r="CV199" s="615"/>
      <c r="CW199" s="615"/>
      <c r="CX199" s="615"/>
      <c r="CY199" s="615"/>
      <c r="CZ199" s="615"/>
      <c r="DA199" s="615"/>
      <c r="DB199" s="615"/>
      <c r="DC199" s="615"/>
      <c r="DD199" s="615"/>
      <c r="DE199" s="615"/>
      <c r="DF199" s="635"/>
      <c r="DG199" s="636"/>
      <c r="DH199" s="615"/>
      <c r="DI199" s="615"/>
      <c r="DJ199" s="615"/>
      <c r="DK199" s="615"/>
      <c r="DL199" s="615"/>
      <c r="DM199" s="615"/>
      <c r="DN199" s="615"/>
      <c r="DO199" s="615"/>
      <c r="DP199" s="615"/>
      <c r="DQ199" s="615"/>
      <c r="DR199" s="635"/>
      <c r="DS199" s="636"/>
      <c r="DT199" s="615"/>
      <c r="DU199" s="615"/>
      <c r="DV199" s="615"/>
      <c r="DW199" s="615"/>
      <c r="DX199" s="615"/>
      <c r="DY199" s="615"/>
      <c r="DZ199" s="615"/>
      <c r="EA199" s="615"/>
      <c r="EB199" s="615"/>
      <c r="EC199" s="615"/>
      <c r="ED199" s="637"/>
      <c r="EE199" s="692"/>
    </row>
    <row r="200" spans="1:135" x14ac:dyDescent="0.25">
      <c r="A200" s="640" t="s">
        <v>12</v>
      </c>
      <c r="B200" s="367" t="s">
        <v>1258</v>
      </c>
      <c r="C200" s="367" t="s">
        <v>349</v>
      </c>
      <c r="D200" s="367" t="s">
        <v>1259</v>
      </c>
      <c r="E200" s="503" t="s">
        <v>1241</v>
      </c>
      <c r="F200" s="570">
        <v>44623</v>
      </c>
      <c r="G200" s="85" t="s">
        <v>59</v>
      </c>
      <c r="H200" s="85" t="s">
        <v>92</v>
      </c>
      <c r="I200" s="85" t="s">
        <v>358</v>
      </c>
      <c r="J200" s="675" t="s">
        <v>358</v>
      </c>
      <c r="K200" s="85" t="s">
        <v>358</v>
      </c>
      <c r="L200" s="85" t="s">
        <v>40</v>
      </c>
      <c r="M200" s="85" t="s">
        <v>3</v>
      </c>
      <c r="N200" s="668" t="s">
        <v>44</v>
      </c>
      <c r="O200" s="669"/>
      <c r="P200" s="615">
        <v>4</v>
      </c>
      <c r="Q200" s="615"/>
      <c r="R200" s="615"/>
      <c r="S200" s="615"/>
      <c r="T200" s="615"/>
      <c r="U200" s="615"/>
      <c r="V200" s="615"/>
      <c r="W200" s="615"/>
      <c r="X200" s="615"/>
      <c r="Y200" s="615"/>
      <c r="Z200" s="635"/>
      <c r="AA200" s="636"/>
      <c r="AB200" s="615"/>
      <c r="AC200" s="615"/>
      <c r="AD200" s="615"/>
      <c r="AE200" s="615"/>
      <c r="AF200" s="615"/>
      <c r="AG200" s="615"/>
      <c r="AH200" s="615"/>
      <c r="AI200" s="615"/>
      <c r="AJ200" s="615"/>
      <c r="AK200" s="615"/>
      <c r="AL200" s="635"/>
      <c r="AM200" s="636"/>
      <c r="AN200" s="615"/>
      <c r="AO200" s="615"/>
      <c r="AP200" s="615"/>
      <c r="AQ200" s="615"/>
      <c r="AR200" s="615"/>
      <c r="AS200" s="615"/>
      <c r="AT200" s="615"/>
      <c r="AU200" s="615"/>
      <c r="AV200" s="615"/>
      <c r="AW200" s="615"/>
      <c r="AX200" s="635"/>
      <c r="AY200" s="636"/>
      <c r="AZ200" s="615"/>
      <c r="BA200" s="615"/>
      <c r="BB200" s="615"/>
      <c r="BC200" s="615"/>
      <c r="BD200" s="615"/>
      <c r="BE200" s="615"/>
      <c r="BF200" s="615"/>
      <c r="BG200" s="615"/>
      <c r="BH200" s="615"/>
      <c r="BI200" s="615"/>
      <c r="BJ200" s="635"/>
      <c r="BK200" s="636"/>
      <c r="BL200" s="615"/>
      <c r="BM200" s="615"/>
      <c r="BN200" s="615"/>
      <c r="BO200" s="615"/>
      <c r="BP200" s="615"/>
      <c r="BQ200" s="615"/>
      <c r="BR200" s="615"/>
      <c r="BS200" s="615"/>
      <c r="BT200" s="615"/>
      <c r="BU200" s="615"/>
      <c r="BV200" s="637"/>
      <c r="BW200" s="669"/>
      <c r="BX200" s="615">
        <v>57</v>
      </c>
      <c r="BY200" s="615"/>
      <c r="BZ200" s="615"/>
      <c r="CA200" s="615"/>
      <c r="CB200" s="615"/>
      <c r="CC200" s="615"/>
      <c r="CD200" s="615"/>
      <c r="CE200" s="615"/>
      <c r="CF200" s="615"/>
      <c r="CG200" s="615"/>
      <c r="CH200" s="635"/>
      <c r="CI200" s="636"/>
      <c r="CJ200" s="615"/>
      <c r="CK200" s="615"/>
      <c r="CL200" s="615"/>
      <c r="CM200" s="615"/>
      <c r="CN200" s="615"/>
      <c r="CO200" s="615"/>
      <c r="CP200" s="615"/>
      <c r="CQ200" s="615"/>
      <c r="CR200" s="615"/>
      <c r="CS200" s="615"/>
      <c r="CT200" s="635"/>
      <c r="CU200" s="636"/>
      <c r="CV200" s="615"/>
      <c r="CW200" s="615"/>
      <c r="CX200" s="615"/>
      <c r="CY200" s="615"/>
      <c r="CZ200" s="615"/>
      <c r="DA200" s="615"/>
      <c r="DB200" s="615"/>
      <c r="DC200" s="615"/>
      <c r="DD200" s="615"/>
      <c r="DE200" s="615"/>
      <c r="DF200" s="635"/>
      <c r="DG200" s="636"/>
      <c r="DH200" s="615"/>
      <c r="DI200" s="615"/>
      <c r="DJ200" s="615"/>
      <c r="DK200" s="615"/>
      <c r="DL200" s="615"/>
      <c r="DM200" s="615"/>
      <c r="DN200" s="615"/>
      <c r="DO200" s="615"/>
      <c r="DP200" s="615"/>
      <c r="DQ200" s="615"/>
      <c r="DR200" s="635"/>
      <c r="DS200" s="636"/>
      <c r="DT200" s="615"/>
      <c r="DU200" s="615"/>
      <c r="DV200" s="615"/>
      <c r="DW200" s="615"/>
      <c r="DX200" s="615"/>
      <c r="DY200" s="615"/>
      <c r="DZ200" s="615"/>
      <c r="EA200" s="615"/>
      <c r="EB200" s="615"/>
      <c r="EC200" s="615"/>
      <c r="ED200" s="637"/>
      <c r="EE200" s="692"/>
    </row>
    <row r="201" spans="1:135" x14ac:dyDescent="0.25">
      <c r="A201" s="640" t="s">
        <v>12</v>
      </c>
      <c r="B201" s="367" t="s">
        <v>1260</v>
      </c>
      <c r="C201" s="367" t="s">
        <v>349</v>
      </c>
      <c r="D201" s="367" t="s">
        <v>1261</v>
      </c>
      <c r="E201" s="503" t="s">
        <v>1242</v>
      </c>
      <c r="F201" s="570">
        <v>44623</v>
      </c>
      <c r="G201" s="85" t="s">
        <v>59</v>
      </c>
      <c r="H201" s="85" t="s">
        <v>92</v>
      </c>
      <c r="I201" s="85" t="s">
        <v>358</v>
      </c>
      <c r="J201" s="675" t="s">
        <v>358</v>
      </c>
      <c r="K201" s="85" t="s">
        <v>358</v>
      </c>
      <c r="L201" s="85" t="s">
        <v>40</v>
      </c>
      <c r="M201" s="85" t="s">
        <v>6</v>
      </c>
      <c r="N201" s="668" t="s">
        <v>44</v>
      </c>
      <c r="O201" s="669"/>
      <c r="P201" s="615">
        <v>1</v>
      </c>
      <c r="Q201" s="615"/>
      <c r="R201" s="615"/>
      <c r="S201" s="615"/>
      <c r="T201" s="615"/>
      <c r="U201" s="615"/>
      <c r="V201" s="615"/>
      <c r="W201" s="615"/>
      <c r="X201" s="615"/>
      <c r="Y201" s="615"/>
      <c r="Z201" s="635"/>
      <c r="AA201" s="636"/>
      <c r="AB201" s="615"/>
      <c r="AC201" s="615"/>
      <c r="AD201" s="615"/>
      <c r="AE201" s="615"/>
      <c r="AF201" s="615"/>
      <c r="AG201" s="615"/>
      <c r="AH201" s="615"/>
      <c r="AI201" s="615"/>
      <c r="AJ201" s="615"/>
      <c r="AK201" s="615"/>
      <c r="AL201" s="635"/>
      <c r="AM201" s="636"/>
      <c r="AN201" s="615"/>
      <c r="AO201" s="615"/>
      <c r="AP201" s="615"/>
      <c r="AQ201" s="615"/>
      <c r="AR201" s="615"/>
      <c r="AS201" s="615"/>
      <c r="AT201" s="615"/>
      <c r="AU201" s="615"/>
      <c r="AV201" s="615"/>
      <c r="AW201" s="615"/>
      <c r="AX201" s="635"/>
      <c r="AY201" s="636"/>
      <c r="AZ201" s="615"/>
      <c r="BA201" s="615"/>
      <c r="BB201" s="615"/>
      <c r="BC201" s="615"/>
      <c r="BD201" s="615"/>
      <c r="BE201" s="615"/>
      <c r="BF201" s="615"/>
      <c r="BG201" s="615"/>
      <c r="BH201" s="615"/>
      <c r="BI201" s="615"/>
      <c r="BJ201" s="635"/>
      <c r="BK201" s="636"/>
      <c r="BL201" s="615"/>
      <c r="BM201" s="615"/>
      <c r="BN201" s="615"/>
      <c r="BO201" s="615"/>
      <c r="BP201" s="615"/>
      <c r="BQ201" s="615"/>
      <c r="BR201" s="615"/>
      <c r="BS201" s="615"/>
      <c r="BT201" s="615"/>
      <c r="BU201" s="615"/>
      <c r="BV201" s="637"/>
      <c r="BW201" s="669"/>
      <c r="BX201" s="615">
        <v>257.7</v>
      </c>
      <c r="BY201" s="615"/>
      <c r="BZ201" s="615"/>
      <c r="CA201" s="615"/>
      <c r="CB201" s="615"/>
      <c r="CC201" s="615"/>
      <c r="CD201" s="615"/>
      <c r="CE201" s="615"/>
      <c r="CF201" s="615"/>
      <c r="CG201" s="615"/>
      <c r="CH201" s="635"/>
      <c r="CI201" s="636"/>
      <c r="CJ201" s="615"/>
      <c r="CK201" s="615"/>
      <c r="CL201" s="615"/>
      <c r="CM201" s="615"/>
      <c r="CN201" s="615"/>
      <c r="CO201" s="615"/>
      <c r="CP201" s="615"/>
      <c r="CQ201" s="615"/>
      <c r="CR201" s="615"/>
      <c r="CS201" s="615"/>
      <c r="CT201" s="635"/>
      <c r="CU201" s="636"/>
      <c r="CV201" s="615"/>
      <c r="CW201" s="615"/>
      <c r="CX201" s="615"/>
      <c r="CY201" s="615"/>
      <c r="CZ201" s="615"/>
      <c r="DA201" s="615"/>
      <c r="DB201" s="615"/>
      <c r="DC201" s="615"/>
      <c r="DD201" s="615"/>
      <c r="DE201" s="615"/>
      <c r="DF201" s="635"/>
      <c r="DG201" s="636"/>
      <c r="DH201" s="615"/>
      <c r="DI201" s="615"/>
      <c r="DJ201" s="615"/>
      <c r="DK201" s="615"/>
      <c r="DL201" s="615"/>
      <c r="DM201" s="615"/>
      <c r="DN201" s="615"/>
      <c r="DO201" s="615"/>
      <c r="DP201" s="615"/>
      <c r="DQ201" s="615"/>
      <c r="DR201" s="635"/>
      <c r="DS201" s="636"/>
      <c r="DT201" s="615"/>
      <c r="DU201" s="615"/>
      <c r="DV201" s="615"/>
      <c r="DW201" s="615"/>
      <c r="DX201" s="615"/>
      <c r="DY201" s="615"/>
      <c r="DZ201" s="615"/>
      <c r="EA201" s="615"/>
      <c r="EB201" s="615"/>
      <c r="EC201" s="615"/>
      <c r="ED201" s="637"/>
      <c r="EE201" s="692"/>
    </row>
    <row r="202" spans="1:135" x14ac:dyDescent="0.25">
      <c r="A202" s="640" t="s">
        <v>11</v>
      </c>
      <c r="B202" s="367" t="s">
        <v>1262</v>
      </c>
      <c r="C202" s="367" t="s">
        <v>503</v>
      </c>
      <c r="D202" s="367" t="s">
        <v>1263</v>
      </c>
      <c r="E202" s="503" t="s">
        <v>1243</v>
      </c>
      <c r="F202" s="570">
        <v>44623</v>
      </c>
      <c r="G202" s="85" t="s">
        <v>59</v>
      </c>
      <c r="H202" s="85" t="s">
        <v>54</v>
      </c>
      <c r="I202" s="85" t="s">
        <v>358</v>
      </c>
      <c r="J202" s="675" t="s">
        <v>358</v>
      </c>
      <c r="K202" s="85" t="s">
        <v>358</v>
      </c>
      <c r="L202" s="85" t="s">
        <v>40</v>
      </c>
      <c r="M202" s="85" t="s">
        <v>3</v>
      </c>
      <c r="N202" s="668" t="s">
        <v>44</v>
      </c>
      <c r="O202" s="669"/>
      <c r="P202" s="615"/>
      <c r="Q202" s="615"/>
      <c r="R202" s="615"/>
      <c r="S202" s="615">
        <v>8.6999999999999993</v>
      </c>
      <c r="T202" s="615"/>
      <c r="U202" s="615"/>
      <c r="V202" s="615"/>
      <c r="W202" s="615"/>
      <c r="X202" s="615"/>
      <c r="Y202" s="615"/>
      <c r="Z202" s="635"/>
      <c r="AA202" s="636"/>
      <c r="AB202" s="615"/>
      <c r="AC202" s="615"/>
      <c r="AD202" s="615"/>
      <c r="AE202" s="615"/>
      <c r="AF202" s="615"/>
      <c r="AG202" s="615"/>
      <c r="AH202" s="615"/>
      <c r="AI202" s="615"/>
      <c r="AJ202" s="615"/>
      <c r="AK202" s="615"/>
      <c r="AL202" s="635"/>
      <c r="AM202" s="636"/>
      <c r="AN202" s="615"/>
      <c r="AO202" s="615"/>
      <c r="AP202" s="615"/>
      <c r="AQ202" s="615"/>
      <c r="AR202" s="615"/>
      <c r="AS202" s="615"/>
      <c r="AT202" s="615"/>
      <c r="AU202" s="615"/>
      <c r="AV202" s="615"/>
      <c r="AW202" s="615"/>
      <c r="AX202" s="635"/>
      <c r="AY202" s="636"/>
      <c r="AZ202" s="615"/>
      <c r="BA202" s="615"/>
      <c r="BB202" s="615"/>
      <c r="BC202" s="615"/>
      <c r="BD202" s="615"/>
      <c r="BE202" s="615"/>
      <c r="BF202" s="615"/>
      <c r="BG202" s="615"/>
      <c r="BH202" s="615"/>
      <c r="BI202" s="615"/>
      <c r="BJ202" s="635"/>
      <c r="BK202" s="636"/>
      <c r="BL202" s="615"/>
      <c r="BM202" s="615"/>
      <c r="BN202" s="615"/>
      <c r="BO202" s="615"/>
      <c r="BP202" s="615"/>
      <c r="BQ202" s="615"/>
      <c r="BR202" s="615"/>
      <c r="BS202" s="615"/>
      <c r="BT202" s="615"/>
      <c r="BU202" s="615"/>
      <c r="BV202" s="637"/>
      <c r="BW202" s="669"/>
      <c r="BX202" s="615"/>
      <c r="BY202" s="615"/>
      <c r="BZ202" s="615"/>
      <c r="CA202" s="615">
        <v>87.5</v>
      </c>
      <c r="CB202" s="615"/>
      <c r="CC202" s="615"/>
      <c r="CD202" s="615"/>
      <c r="CE202" s="615"/>
      <c r="CF202" s="615"/>
      <c r="CG202" s="615"/>
      <c r="CH202" s="635"/>
      <c r="CI202" s="636"/>
      <c r="CJ202" s="615"/>
      <c r="CK202" s="615"/>
      <c r="CL202" s="615"/>
      <c r="CM202" s="615"/>
      <c r="CN202" s="615"/>
      <c r="CO202" s="615"/>
      <c r="CP202" s="615"/>
      <c r="CQ202" s="615"/>
      <c r="CR202" s="615"/>
      <c r="CS202" s="615"/>
      <c r="CT202" s="635"/>
      <c r="CU202" s="636"/>
      <c r="CV202" s="615"/>
      <c r="CW202" s="615"/>
      <c r="CX202" s="615"/>
      <c r="CY202" s="615"/>
      <c r="CZ202" s="615"/>
      <c r="DA202" s="615"/>
      <c r="DB202" s="615"/>
      <c r="DC202" s="615"/>
      <c r="DD202" s="615"/>
      <c r="DE202" s="615"/>
      <c r="DF202" s="635"/>
      <c r="DG202" s="636"/>
      <c r="DH202" s="615"/>
      <c r="DI202" s="615"/>
      <c r="DJ202" s="615"/>
      <c r="DK202" s="615"/>
      <c r="DL202" s="615"/>
      <c r="DM202" s="615"/>
      <c r="DN202" s="615"/>
      <c r="DO202" s="615"/>
      <c r="DP202" s="615"/>
      <c r="DQ202" s="615"/>
      <c r="DR202" s="635"/>
      <c r="DS202" s="636"/>
      <c r="DT202" s="615"/>
      <c r="DU202" s="615"/>
      <c r="DV202" s="615"/>
      <c r="DW202" s="615"/>
      <c r="DX202" s="615"/>
      <c r="DY202" s="615"/>
      <c r="DZ202" s="615"/>
      <c r="EA202" s="615"/>
      <c r="EB202" s="615"/>
      <c r="EC202" s="615"/>
      <c r="ED202" s="637"/>
      <c r="EE202" s="692"/>
    </row>
    <row r="203" spans="1:135" x14ac:dyDescent="0.25">
      <c r="A203" s="640" t="s">
        <v>11</v>
      </c>
      <c r="B203" s="367" t="s">
        <v>1264</v>
      </c>
      <c r="C203" s="367" t="s">
        <v>472</v>
      </c>
      <c r="D203" s="367" t="s">
        <v>1265</v>
      </c>
      <c r="E203" s="503" t="s">
        <v>1244</v>
      </c>
      <c r="F203" s="570">
        <v>44623</v>
      </c>
      <c r="G203" s="85" t="s">
        <v>59</v>
      </c>
      <c r="H203" s="85" t="s">
        <v>54</v>
      </c>
      <c r="I203" s="85" t="s">
        <v>358</v>
      </c>
      <c r="J203" s="675" t="s">
        <v>358</v>
      </c>
      <c r="K203" s="85" t="s">
        <v>358</v>
      </c>
      <c r="L203" s="85" t="s">
        <v>40</v>
      </c>
      <c r="M203" s="85" t="s">
        <v>3</v>
      </c>
      <c r="N203" s="668" t="s">
        <v>44</v>
      </c>
      <c r="O203" s="669"/>
      <c r="P203" s="615"/>
      <c r="Q203" s="615"/>
      <c r="R203" s="615"/>
      <c r="S203" s="615">
        <v>10</v>
      </c>
      <c r="T203" s="615"/>
      <c r="U203" s="615"/>
      <c r="V203" s="615"/>
      <c r="W203" s="615"/>
      <c r="X203" s="615"/>
      <c r="Y203" s="615"/>
      <c r="Z203" s="635"/>
      <c r="AA203" s="636"/>
      <c r="AB203" s="615"/>
      <c r="AC203" s="615"/>
      <c r="AD203" s="615"/>
      <c r="AE203" s="615"/>
      <c r="AF203" s="615"/>
      <c r="AG203" s="615"/>
      <c r="AH203" s="615"/>
      <c r="AI203" s="615"/>
      <c r="AJ203" s="615"/>
      <c r="AK203" s="615"/>
      <c r="AL203" s="635"/>
      <c r="AM203" s="636"/>
      <c r="AN203" s="615"/>
      <c r="AO203" s="615"/>
      <c r="AP203" s="615"/>
      <c r="AQ203" s="615"/>
      <c r="AR203" s="615"/>
      <c r="AS203" s="615"/>
      <c r="AT203" s="615"/>
      <c r="AU203" s="615"/>
      <c r="AV203" s="615"/>
      <c r="AW203" s="615"/>
      <c r="AX203" s="635"/>
      <c r="AY203" s="636"/>
      <c r="AZ203" s="615"/>
      <c r="BA203" s="615"/>
      <c r="BB203" s="615"/>
      <c r="BC203" s="615"/>
      <c r="BD203" s="615"/>
      <c r="BE203" s="615"/>
      <c r="BF203" s="615"/>
      <c r="BG203" s="615"/>
      <c r="BH203" s="615"/>
      <c r="BI203" s="615"/>
      <c r="BJ203" s="635"/>
      <c r="BK203" s="636"/>
      <c r="BL203" s="615"/>
      <c r="BM203" s="615"/>
      <c r="BN203" s="615"/>
      <c r="BO203" s="615"/>
      <c r="BP203" s="615"/>
      <c r="BQ203" s="615"/>
      <c r="BR203" s="615"/>
      <c r="BS203" s="615"/>
      <c r="BT203" s="615"/>
      <c r="BU203" s="615"/>
      <c r="BV203" s="637"/>
      <c r="BW203" s="669"/>
      <c r="BX203" s="615"/>
      <c r="BY203" s="615"/>
      <c r="BZ203" s="615"/>
      <c r="CA203" s="615">
        <v>87.5</v>
      </c>
      <c r="CB203" s="615"/>
      <c r="CC203" s="615"/>
      <c r="CD203" s="615"/>
      <c r="CE203" s="615"/>
      <c r="CF203" s="615"/>
      <c r="CG203" s="615"/>
      <c r="CH203" s="635"/>
      <c r="CI203" s="636"/>
      <c r="CJ203" s="615"/>
      <c r="CK203" s="615"/>
      <c r="CL203" s="615"/>
      <c r="CM203" s="615"/>
      <c r="CN203" s="615"/>
      <c r="CO203" s="615"/>
      <c r="CP203" s="615"/>
      <c r="CQ203" s="615"/>
      <c r="CR203" s="615"/>
      <c r="CS203" s="615"/>
      <c r="CT203" s="635"/>
      <c r="CU203" s="636"/>
      <c r="CV203" s="615"/>
      <c r="CW203" s="615"/>
      <c r="CX203" s="615"/>
      <c r="CY203" s="615"/>
      <c r="CZ203" s="615"/>
      <c r="DA203" s="615"/>
      <c r="DB203" s="615"/>
      <c r="DC203" s="615"/>
      <c r="DD203" s="615"/>
      <c r="DE203" s="615"/>
      <c r="DF203" s="635"/>
      <c r="DG203" s="636"/>
      <c r="DH203" s="615"/>
      <c r="DI203" s="615"/>
      <c r="DJ203" s="615"/>
      <c r="DK203" s="615"/>
      <c r="DL203" s="615"/>
      <c r="DM203" s="615"/>
      <c r="DN203" s="615"/>
      <c r="DO203" s="615"/>
      <c r="DP203" s="615"/>
      <c r="DQ203" s="615"/>
      <c r="DR203" s="635"/>
      <c r="DS203" s="636"/>
      <c r="DT203" s="615"/>
      <c r="DU203" s="615"/>
      <c r="DV203" s="615"/>
      <c r="DW203" s="615"/>
      <c r="DX203" s="615"/>
      <c r="DY203" s="615"/>
      <c r="DZ203" s="615"/>
      <c r="EA203" s="615"/>
      <c r="EB203" s="615"/>
      <c r="EC203" s="615"/>
      <c r="ED203" s="637"/>
      <c r="EE203" s="692"/>
    </row>
    <row r="204" spans="1:135" x14ac:dyDescent="0.25">
      <c r="A204" s="640" t="s">
        <v>11</v>
      </c>
      <c r="B204" s="367" t="s">
        <v>1266</v>
      </c>
      <c r="C204" s="367" t="s">
        <v>410</v>
      </c>
      <c r="D204" s="367" t="s">
        <v>1267</v>
      </c>
      <c r="E204" s="503" t="s">
        <v>1245</v>
      </c>
      <c r="F204" s="570">
        <v>44623</v>
      </c>
      <c r="G204" s="85" t="s">
        <v>59</v>
      </c>
      <c r="H204" s="85" t="s">
        <v>54</v>
      </c>
      <c r="I204" s="85" t="s">
        <v>358</v>
      </c>
      <c r="J204" s="675" t="s">
        <v>358</v>
      </c>
      <c r="K204" s="85" t="s">
        <v>358</v>
      </c>
      <c r="L204" s="85" t="s">
        <v>40</v>
      </c>
      <c r="M204" s="85" t="s">
        <v>3</v>
      </c>
      <c r="N204" s="668" t="s">
        <v>44</v>
      </c>
      <c r="O204" s="669"/>
      <c r="P204" s="615"/>
      <c r="Q204" s="615"/>
      <c r="R204" s="615"/>
      <c r="S204" s="615"/>
      <c r="T204" s="615"/>
      <c r="U204" s="615"/>
      <c r="V204" s="615"/>
      <c r="W204" s="615"/>
      <c r="X204" s="615"/>
      <c r="Y204" s="615"/>
      <c r="Z204" s="635">
        <v>5</v>
      </c>
      <c r="AA204" s="636"/>
      <c r="AB204" s="615"/>
      <c r="AC204" s="615"/>
      <c r="AD204" s="615"/>
      <c r="AE204" s="615"/>
      <c r="AF204" s="615"/>
      <c r="AG204" s="615"/>
      <c r="AH204" s="615"/>
      <c r="AI204" s="615"/>
      <c r="AJ204" s="615"/>
      <c r="AK204" s="615"/>
      <c r="AL204" s="635"/>
      <c r="AM204" s="636"/>
      <c r="AN204" s="615"/>
      <c r="AO204" s="615"/>
      <c r="AP204" s="615"/>
      <c r="AQ204" s="615"/>
      <c r="AR204" s="615"/>
      <c r="AS204" s="615"/>
      <c r="AT204" s="615"/>
      <c r="AU204" s="615"/>
      <c r="AV204" s="615"/>
      <c r="AW204" s="615"/>
      <c r="AX204" s="635"/>
      <c r="AY204" s="636"/>
      <c r="AZ204" s="615"/>
      <c r="BA204" s="615"/>
      <c r="BB204" s="615"/>
      <c r="BC204" s="615"/>
      <c r="BD204" s="615"/>
      <c r="BE204" s="615"/>
      <c r="BF204" s="615"/>
      <c r="BG204" s="615"/>
      <c r="BH204" s="615"/>
      <c r="BI204" s="615"/>
      <c r="BJ204" s="635"/>
      <c r="BK204" s="636"/>
      <c r="BL204" s="615"/>
      <c r="BM204" s="615"/>
      <c r="BN204" s="615"/>
      <c r="BO204" s="615"/>
      <c r="BP204" s="615"/>
      <c r="BQ204" s="615"/>
      <c r="BR204" s="615"/>
      <c r="BS204" s="615"/>
      <c r="BT204" s="615"/>
      <c r="BU204" s="615"/>
      <c r="BV204" s="637"/>
      <c r="BW204" s="669"/>
      <c r="BX204" s="615"/>
      <c r="BY204" s="615"/>
      <c r="BZ204" s="615"/>
      <c r="CA204" s="615"/>
      <c r="CB204" s="615"/>
      <c r="CC204" s="615"/>
      <c r="CD204" s="615"/>
      <c r="CE204" s="615"/>
      <c r="CF204" s="615"/>
      <c r="CG204" s="615"/>
      <c r="CH204" s="635">
        <v>168</v>
      </c>
      <c r="CI204" s="636"/>
      <c r="CJ204" s="615"/>
      <c r="CK204" s="615"/>
      <c r="CL204" s="615"/>
      <c r="CM204" s="615"/>
      <c r="CN204" s="615"/>
      <c r="CO204" s="615"/>
      <c r="CP204" s="615"/>
      <c r="CQ204" s="615"/>
      <c r="CR204" s="615"/>
      <c r="CS204" s="615"/>
      <c r="CT204" s="635"/>
      <c r="CU204" s="636"/>
      <c r="CV204" s="615"/>
      <c r="CW204" s="615"/>
      <c r="CX204" s="615"/>
      <c r="CY204" s="615"/>
      <c r="CZ204" s="615"/>
      <c r="DA204" s="615"/>
      <c r="DB204" s="615"/>
      <c r="DC204" s="615"/>
      <c r="DD204" s="615"/>
      <c r="DE204" s="615"/>
      <c r="DF204" s="635"/>
      <c r="DG204" s="636"/>
      <c r="DH204" s="615"/>
      <c r="DI204" s="615"/>
      <c r="DJ204" s="615"/>
      <c r="DK204" s="615"/>
      <c r="DL204" s="615"/>
      <c r="DM204" s="615"/>
      <c r="DN204" s="615"/>
      <c r="DO204" s="615"/>
      <c r="DP204" s="615"/>
      <c r="DQ204" s="615"/>
      <c r="DR204" s="635"/>
      <c r="DS204" s="636"/>
      <c r="DT204" s="615"/>
      <c r="DU204" s="615"/>
      <c r="DV204" s="615"/>
      <c r="DW204" s="615"/>
      <c r="DX204" s="615"/>
      <c r="DY204" s="615"/>
      <c r="DZ204" s="615"/>
      <c r="EA204" s="615"/>
      <c r="EB204" s="615"/>
      <c r="EC204" s="615"/>
      <c r="ED204" s="637"/>
      <c r="EE204" s="692"/>
    </row>
    <row r="205" spans="1:135" x14ac:dyDescent="0.25">
      <c r="A205" s="640" t="s">
        <v>11</v>
      </c>
      <c r="B205" s="367" t="s">
        <v>1268</v>
      </c>
      <c r="C205" s="367" t="s">
        <v>502</v>
      </c>
      <c r="D205" s="367" t="s">
        <v>1269</v>
      </c>
      <c r="E205" s="503" t="s">
        <v>1246</v>
      </c>
      <c r="F205" s="570">
        <v>44623</v>
      </c>
      <c r="G205" s="85" t="s">
        <v>59</v>
      </c>
      <c r="H205" s="85" t="s">
        <v>54</v>
      </c>
      <c r="I205" s="85" t="s">
        <v>358</v>
      </c>
      <c r="J205" s="675" t="s">
        <v>358</v>
      </c>
      <c r="K205" s="85" t="s">
        <v>358</v>
      </c>
      <c r="L205" s="85" t="s">
        <v>40</v>
      </c>
      <c r="M205" s="85" t="s">
        <v>3</v>
      </c>
      <c r="N205" s="668" t="s">
        <v>44</v>
      </c>
      <c r="O205" s="669"/>
      <c r="P205" s="615"/>
      <c r="Q205" s="615"/>
      <c r="R205" s="615"/>
      <c r="S205" s="615"/>
      <c r="T205" s="615">
        <v>2</v>
      </c>
      <c r="U205" s="615"/>
      <c r="V205" s="615"/>
      <c r="W205" s="615"/>
      <c r="X205" s="615"/>
      <c r="Y205" s="615"/>
      <c r="Z205" s="635"/>
      <c r="AA205" s="636"/>
      <c r="AB205" s="615"/>
      <c r="AC205" s="615"/>
      <c r="AD205" s="615"/>
      <c r="AE205" s="615"/>
      <c r="AF205" s="615"/>
      <c r="AG205" s="615"/>
      <c r="AH205" s="615"/>
      <c r="AI205" s="615"/>
      <c r="AJ205" s="615"/>
      <c r="AK205" s="615"/>
      <c r="AL205" s="635"/>
      <c r="AM205" s="636"/>
      <c r="AN205" s="615"/>
      <c r="AO205" s="615"/>
      <c r="AP205" s="615"/>
      <c r="AQ205" s="615"/>
      <c r="AR205" s="615"/>
      <c r="AS205" s="615"/>
      <c r="AT205" s="615"/>
      <c r="AU205" s="615"/>
      <c r="AV205" s="615"/>
      <c r="AW205" s="615"/>
      <c r="AX205" s="635"/>
      <c r="AY205" s="636"/>
      <c r="AZ205" s="615"/>
      <c r="BA205" s="615"/>
      <c r="BB205" s="615"/>
      <c r="BC205" s="615"/>
      <c r="BD205" s="615"/>
      <c r="BE205" s="615"/>
      <c r="BF205" s="615"/>
      <c r="BG205" s="615"/>
      <c r="BH205" s="615"/>
      <c r="BI205" s="615"/>
      <c r="BJ205" s="635"/>
      <c r="BK205" s="636"/>
      <c r="BL205" s="615"/>
      <c r="BM205" s="615"/>
      <c r="BN205" s="615"/>
      <c r="BO205" s="615"/>
      <c r="BP205" s="615"/>
      <c r="BQ205" s="615"/>
      <c r="BR205" s="615"/>
      <c r="BS205" s="615"/>
      <c r="BT205" s="615"/>
      <c r="BU205" s="615"/>
      <c r="BV205" s="637"/>
      <c r="BW205" s="669"/>
      <c r="BX205" s="615"/>
      <c r="BY205" s="615"/>
      <c r="BZ205" s="615"/>
      <c r="CA205" s="615"/>
      <c r="CB205" s="615">
        <v>123</v>
      </c>
      <c r="CC205" s="615"/>
      <c r="CD205" s="615"/>
      <c r="CE205" s="615"/>
      <c r="CF205" s="615"/>
      <c r="CG205" s="615"/>
      <c r="CH205" s="635"/>
      <c r="CI205" s="636"/>
      <c r="CJ205" s="615"/>
      <c r="CK205" s="615"/>
      <c r="CL205" s="615"/>
      <c r="CM205" s="615"/>
      <c r="CN205" s="615"/>
      <c r="CO205" s="615"/>
      <c r="CP205" s="615"/>
      <c r="CQ205" s="615"/>
      <c r="CR205" s="615"/>
      <c r="CS205" s="615"/>
      <c r="CT205" s="635"/>
      <c r="CU205" s="636"/>
      <c r="CV205" s="615"/>
      <c r="CW205" s="615"/>
      <c r="CX205" s="615"/>
      <c r="CY205" s="615"/>
      <c r="CZ205" s="615"/>
      <c r="DA205" s="615"/>
      <c r="DB205" s="615"/>
      <c r="DC205" s="615"/>
      <c r="DD205" s="615"/>
      <c r="DE205" s="615"/>
      <c r="DF205" s="635"/>
      <c r="DG205" s="636"/>
      <c r="DH205" s="615"/>
      <c r="DI205" s="615"/>
      <c r="DJ205" s="615"/>
      <c r="DK205" s="615"/>
      <c r="DL205" s="615"/>
      <c r="DM205" s="615"/>
      <c r="DN205" s="615"/>
      <c r="DO205" s="615"/>
      <c r="DP205" s="615"/>
      <c r="DQ205" s="615"/>
      <c r="DR205" s="635"/>
      <c r="DS205" s="636"/>
      <c r="DT205" s="615"/>
      <c r="DU205" s="615"/>
      <c r="DV205" s="615"/>
      <c r="DW205" s="615"/>
      <c r="DX205" s="615"/>
      <c r="DY205" s="615"/>
      <c r="DZ205" s="615"/>
      <c r="EA205" s="615"/>
      <c r="EB205" s="615"/>
      <c r="EC205" s="615"/>
      <c r="ED205" s="637"/>
      <c r="EE205" s="692"/>
    </row>
    <row r="206" spans="1:135" x14ac:dyDescent="0.25">
      <c r="A206" s="640" t="s">
        <v>12</v>
      </c>
      <c r="B206" s="367" t="s">
        <v>1270</v>
      </c>
      <c r="C206" s="367" t="s">
        <v>466</v>
      </c>
      <c r="D206" s="367" t="s">
        <v>1299</v>
      </c>
      <c r="E206" s="503" t="s">
        <v>1274</v>
      </c>
      <c r="F206" s="570">
        <v>44624</v>
      </c>
      <c r="G206" s="85" t="s">
        <v>59</v>
      </c>
      <c r="H206" s="85" t="s">
        <v>92</v>
      </c>
      <c r="I206" s="85" t="s">
        <v>358</v>
      </c>
      <c r="J206" s="675" t="s">
        <v>358</v>
      </c>
      <c r="K206" s="85" t="s">
        <v>358</v>
      </c>
      <c r="L206" s="85" t="s">
        <v>40</v>
      </c>
      <c r="M206" s="85" t="s">
        <v>6</v>
      </c>
      <c r="N206" s="668" t="s">
        <v>44</v>
      </c>
      <c r="O206" s="669"/>
      <c r="P206" s="615">
        <v>0.35</v>
      </c>
      <c r="Q206" s="615"/>
      <c r="R206" s="615"/>
      <c r="S206" s="615"/>
      <c r="T206" s="615"/>
      <c r="U206" s="615"/>
      <c r="V206" s="615"/>
      <c r="W206" s="615"/>
      <c r="X206" s="615"/>
      <c r="Y206" s="615"/>
      <c r="Z206" s="635"/>
      <c r="AA206" s="636"/>
      <c r="AB206" s="615"/>
      <c r="AC206" s="615"/>
      <c r="AD206" s="615"/>
      <c r="AE206" s="615"/>
      <c r="AF206" s="615"/>
      <c r="AG206" s="615"/>
      <c r="AH206" s="615"/>
      <c r="AI206" s="615"/>
      <c r="AJ206" s="615"/>
      <c r="AK206" s="615"/>
      <c r="AL206" s="635"/>
      <c r="AM206" s="636"/>
      <c r="AN206" s="615"/>
      <c r="AO206" s="615"/>
      <c r="AP206" s="615"/>
      <c r="AQ206" s="615"/>
      <c r="AR206" s="615"/>
      <c r="AS206" s="615"/>
      <c r="AT206" s="615"/>
      <c r="AU206" s="615"/>
      <c r="AV206" s="615"/>
      <c r="AW206" s="615"/>
      <c r="AX206" s="635"/>
      <c r="AY206" s="636"/>
      <c r="AZ206" s="615"/>
      <c r="BA206" s="615"/>
      <c r="BB206" s="615"/>
      <c r="BC206" s="615"/>
      <c r="BD206" s="615"/>
      <c r="BE206" s="615"/>
      <c r="BF206" s="615"/>
      <c r="BG206" s="615"/>
      <c r="BH206" s="615"/>
      <c r="BI206" s="615"/>
      <c r="BJ206" s="635"/>
      <c r="BK206" s="636"/>
      <c r="BL206" s="615"/>
      <c r="BM206" s="615"/>
      <c r="BN206" s="615"/>
      <c r="BO206" s="615"/>
      <c r="BP206" s="615"/>
      <c r="BQ206" s="615"/>
      <c r="BR206" s="615"/>
      <c r="BS206" s="615"/>
      <c r="BT206" s="615"/>
      <c r="BU206" s="615"/>
      <c r="BV206" s="637"/>
      <c r="BW206" s="669"/>
      <c r="BX206" s="615">
        <v>258.7</v>
      </c>
      <c r="BY206" s="615"/>
      <c r="BZ206" s="615"/>
      <c r="CA206" s="615"/>
      <c r="CB206" s="615"/>
      <c r="CC206" s="615"/>
      <c r="CD206" s="615"/>
      <c r="CE206" s="615"/>
      <c r="CF206" s="615"/>
      <c r="CG206" s="615"/>
      <c r="CH206" s="635"/>
      <c r="CI206" s="636"/>
      <c r="CJ206" s="615"/>
      <c r="CK206" s="615"/>
      <c r="CL206" s="615"/>
      <c r="CM206" s="615"/>
      <c r="CN206" s="615"/>
      <c r="CO206" s="615"/>
      <c r="CP206" s="615"/>
      <c r="CQ206" s="615"/>
      <c r="CR206" s="615"/>
      <c r="CS206" s="615"/>
      <c r="CT206" s="635"/>
      <c r="CU206" s="636"/>
      <c r="CV206" s="615"/>
      <c r="CW206" s="615"/>
      <c r="CX206" s="615"/>
      <c r="CY206" s="615"/>
      <c r="CZ206" s="615"/>
      <c r="DA206" s="615"/>
      <c r="DB206" s="615"/>
      <c r="DC206" s="615"/>
      <c r="DD206" s="615"/>
      <c r="DE206" s="615"/>
      <c r="DF206" s="635"/>
      <c r="DG206" s="636"/>
      <c r="DH206" s="615"/>
      <c r="DI206" s="615"/>
      <c r="DJ206" s="615"/>
      <c r="DK206" s="615"/>
      <c r="DL206" s="615"/>
      <c r="DM206" s="615"/>
      <c r="DN206" s="615"/>
      <c r="DO206" s="615"/>
      <c r="DP206" s="615"/>
      <c r="DQ206" s="615"/>
      <c r="DR206" s="635"/>
      <c r="DS206" s="636"/>
      <c r="DT206" s="615"/>
      <c r="DU206" s="615"/>
      <c r="DV206" s="615"/>
      <c r="DW206" s="615"/>
      <c r="DX206" s="615"/>
      <c r="DY206" s="615"/>
      <c r="DZ206" s="615"/>
      <c r="EA206" s="615"/>
      <c r="EB206" s="615"/>
      <c r="EC206" s="615"/>
      <c r="ED206" s="637"/>
      <c r="EE206" s="692"/>
    </row>
    <row r="207" spans="1:135" x14ac:dyDescent="0.25">
      <c r="A207" s="640" t="s">
        <v>12</v>
      </c>
      <c r="B207" s="367" t="s">
        <v>1272</v>
      </c>
      <c r="C207" s="367" t="s">
        <v>469</v>
      </c>
      <c r="D207" s="367" t="s">
        <v>1301</v>
      </c>
      <c r="E207" s="503" t="s">
        <v>1275</v>
      </c>
      <c r="F207" s="570">
        <v>44624</v>
      </c>
      <c r="G207" s="85" t="s">
        <v>59</v>
      </c>
      <c r="H207" s="85" t="s">
        <v>92</v>
      </c>
      <c r="I207" s="85" t="s">
        <v>358</v>
      </c>
      <c r="J207" s="675" t="s">
        <v>358</v>
      </c>
      <c r="K207" s="85" t="s">
        <v>358</v>
      </c>
      <c r="L207" s="85" t="s">
        <v>40</v>
      </c>
      <c r="M207" s="85" t="s">
        <v>6</v>
      </c>
      <c r="N207" s="668" t="s">
        <v>44</v>
      </c>
      <c r="O207" s="669"/>
      <c r="P207" s="615">
        <v>1</v>
      </c>
      <c r="Q207" s="615"/>
      <c r="R207" s="615"/>
      <c r="S207" s="615"/>
      <c r="T207" s="615"/>
      <c r="U207" s="615"/>
      <c r="V207" s="615"/>
      <c r="W207" s="615"/>
      <c r="X207" s="615"/>
      <c r="Y207" s="615"/>
      <c r="Z207" s="635"/>
      <c r="AA207" s="636"/>
      <c r="AB207" s="615"/>
      <c r="AC207" s="615"/>
      <c r="AD207" s="615"/>
      <c r="AE207" s="615"/>
      <c r="AF207" s="615"/>
      <c r="AG207" s="615"/>
      <c r="AH207" s="615"/>
      <c r="AI207" s="615"/>
      <c r="AJ207" s="615"/>
      <c r="AK207" s="615"/>
      <c r="AL207" s="635"/>
      <c r="AM207" s="636"/>
      <c r="AN207" s="615"/>
      <c r="AO207" s="615"/>
      <c r="AP207" s="615"/>
      <c r="AQ207" s="615"/>
      <c r="AR207" s="615"/>
      <c r="AS207" s="615"/>
      <c r="AT207" s="615"/>
      <c r="AU207" s="615"/>
      <c r="AV207" s="615"/>
      <c r="AW207" s="615"/>
      <c r="AX207" s="635"/>
      <c r="AY207" s="636"/>
      <c r="AZ207" s="615"/>
      <c r="BA207" s="615"/>
      <c r="BB207" s="615"/>
      <c r="BC207" s="615"/>
      <c r="BD207" s="615"/>
      <c r="BE207" s="615"/>
      <c r="BF207" s="615"/>
      <c r="BG207" s="615"/>
      <c r="BH207" s="615"/>
      <c r="BI207" s="615"/>
      <c r="BJ207" s="635"/>
      <c r="BK207" s="636"/>
      <c r="BL207" s="615"/>
      <c r="BM207" s="615"/>
      <c r="BN207" s="615"/>
      <c r="BO207" s="615"/>
      <c r="BP207" s="615"/>
      <c r="BQ207" s="615"/>
      <c r="BR207" s="615"/>
      <c r="BS207" s="615"/>
      <c r="BT207" s="615"/>
      <c r="BU207" s="615"/>
      <c r="BV207" s="637"/>
      <c r="BW207" s="669"/>
      <c r="BX207" s="615">
        <v>257.7</v>
      </c>
      <c r="BY207" s="615"/>
      <c r="BZ207" s="615"/>
      <c r="CA207" s="615"/>
      <c r="CB207" s="615"/>
      <c r="CC207" s="615"/>
      <c r="CD207" s="615"/>
      <c r="CE207" s="615"/>
      <c r="CF207" s="615"/>
      <c r="CG207" s="615"/>
      <c r="CH207" s="635"/>
      <c r="CI207" s="636"/>
      <c r="CJ207" s="615"/>
      <c r="CK207" s="615"/>
      <c r="CL207" s="615"/>
      <c r="CM207" s="615"/>
      <c r="CN207" s="615"/>
      <c r="CO207" s="615"/>
      <c r="CP207" s="615"/>
      <c r="CQ207" s="615"/>
      <c r="CR207" s="615"/>
      <c r="CS207" s="615"/>
      <c r="CT207" s="635"/>
      <c r="CU207" s="636"/>
      <c r="CV207" s="615"/>
      <c r="CW207" s="615"/>
      <c r="CX207" s="615"/>
      <c r="CY207" s="615"/>
      <c r="CZ207" s="615"/>
      <c r="DA207" s="615"/>
      <c r="DB207" s="615"/>
      <c r="DC207" s="615"/>
      <c r="DD207" s="615"/>
      <c r="DE207" s="615"/>
      <c r="DF207" s="635"/>
      <c r="DG207" s="636"/>
      <c r="DH207" s="615"/>
      <c r="DI207" s="615"/>
      <c r="DJ207" s="615"/>
      <c r="DK207" s="615"/>
      <c r="DL207" s="615"/>
      <c r="DM207" s="615"/>
      <c r="DN207" s="615"/>
      <c r="DO207" s="615"/>
      <c r="DP207" s="615"/>
      <c r="DQ207" s="615"/>
      <c r="DR207" s="635"/>
      <c r="DS207" s="636"/>
      <c r="DT207" s="615"/>
      <c r="DU207" s="615"/>
      <c r="DV207" s="615"/>
      <c r="DW207" s="615"/>
      <c r="DX207" s="615"/>
      <c r="DY207" s="615"/>
      <c r="DZ207" s="615"/>
      <c r="EA207" s="615"/>
      <c r="EB207" s="615"/>
      <c r="EC207" s="615"/>
      <c r="ED207" s="637"/>
      <c r="EE207" s="692"/>
    </row>
    <row r="208" spans="1:135" x14ac:dyDescent="0.25">
      <c r="A208" s="640" t="s">
        <v>11</v>
      </c>
      <c r="B208" s="367" t="s">
        <v>1298</v>
      </c>
      <c r="C208" s="367" t="s">
        <v>875</v>
      </c>
      <c r="D208" s="367" t="s">
        <v>1303</v>
      </c>
      <c r="E208" s="503" t="s">
        <v>1276</v>
      </c>
      <c r="F208" s="570">
        <v>44624</v>
      </c>
      <c r="G208" s="85" t="s">
        <v>59</v>
      </c>
      <c r="H208" s="85" t="s">
        <v>54</v>
      </c>
      <c r="I208" s="85" t="s">
        <v>358</v>
      </c>
      <c r="J208" s="675" t="s">
        <v>358</v>
      </c>
      <c r="K208" s="85" t="s">
        <v>358</v>
      </c>
      <c r="L208" s="85" t="s">
        <v>40</v>
      </c>
      <c r="M208" s="85" t="s">
        <v>3</v>
      </c>
      <c r="N208" s="668" t="s">
        <v>44</v>
      </c>
      <c r="O208" s="669"/>
      <c r="P208" s="615"/>
      <c r="Q208" s="615"/>
      <c r="R208" s="615"/>
      <c r="S208" s="615"/>
      <c r="T208" s="615"/>
      <c r="U208" s="615"/>
      <c r="V208" s="615"/>
      <c r="W208" s="615"/>
      <c r="X208" s="615"/>
      <c r="Y208" s="615">
        <v>1.6</v>
      </c>
      <c r="Z208" s="635"/>
      <c r="AA208" s="636"/>
      <c r="AB208" s="615"/>
      <c r="AC208" s="615"/>
      <c r="AD208" s="615"/>
      <c r="AE208" s="615"/>
      <c r="AF208" s="615"/>
      <c r="AG208" s="615"/>
      <c r="AH208" s="615"/>
      <c r="AI208" s="615"/>
      <c r="AJ208" s="615"/>
      <c r="AK208" s="615"/>
      <c r="AL208" s="635"/>
      <c r="AM208" s="636"/>
      <c r="AN208" s="615"/>
      <c r="AO208" s="615"/>
      <c r="AP208" s="615"/>
      <c r="AQ208" s="615"/>
      <c r="AR208" s="615"/>
      <c r="AS208" s="615"/>
      <c r="AT208" s="615"/>
      <c r="AU208" s="615"/>
      <c r="AV208" s="615"/>
      <c r="AW208" s="615"/>
      <c r="AX208" s="635"/>
      <c r="AY208" s="636"/>
      <c r="AZ208" s="615"/>
      <c r="BA208" s="615"/>
      <c r="BB208" s="615"/>
      <c r="BC208" s="615"/>
      <c r="BD208" s="615"/>
      <c r="BE208" s="615"/>
      <c r="BF208" s="615"/>
      <c r="BG208" s="615"/>
      <c r="BH208" s="615"/>
      <c r="BI208" s="615"/>
      <c r="BJ208" s="635"/>
      <c r="BK208" s="636"/>
      <c r="BL208" s="615"/>
      <c r="BM208" s="615"/>
      <c r="BN208" s="615"/>
      <c r="BO208" s="615"/>
      <c r="BP208" s="615"/>
      <c r="BQ208" s="615"/>
      <c r="BR208" s="615"/>
      <c r="BS208" s="615"/>
      <c r="BT208" s="615"/>
      <c r="BU208" s="615"/>
      <c r="BV208" s="637"/>
      <c r="BW208" s="669"/>
      <c r="BX208" s="615"/>
      <c r="BY208" s="615"/>
      <c r="BZ208" s="615"/>
      <c r="CA208" s="615"/>
      <c r="CB208" s="615"/>
      <c r="CC208" s="615"/>
      <c r="CD208" s="615"/>
      <c r="CE208" s="615"/>
      <c r="CF208" s="615"/>
      <c r="CG208" s="615">
        <v>191</v>
      </c>
      <c r="CH208" s="635"/>
      <c r="CI208" s="636"/>
      <c r="CJ208" s="615"/>
      <c r="CK208" s="615"/>
      <c r="CL208" s="615"/>
      <c r="CM208" s="615"/>
      <c r="CN208" s="615"/>
      <c r="CO208" s="615"/>
      <c r="CP208" s="615"/>
      <c r="CQ208" s="615"/>
      <c r="CR208" s="615"/>
      <c r="CS208" s="615"/>
      <c r="CT208" s="635"/>
      <c r="CU208" s="636"/>
      <c r="CV208" s="615"/>
      <c r="CW208" s="615"/>
      <c r="CX208" s="615"/>
      <c r="CY208" s="615"/>
      <c r="CZ208" s="615"/>
      <c r="DA208" s="615"/>
      <c r="DB208" s="615"/>
      <c r="DC208" s="615"/>
      <c r="DD208" s="615"/>
      <c r="DE208" s="615"/>
      <c r="DF208" s="635"/>
      <c r="DG208" s="636"/>
      <c r="DH208" s="615"/>
      <c r="DI208" s="615"/>
      <c r="DJ208" s="615"/>
      <c r="DK208" s="615"/>
      <c r="DL208" s="615"/>
      <c r="DM208" s="615"/>
      <c r="DN208" s="615"/>
      <c r="DO208" s="615"/>
      <c r="DP208" s="615"/>
      <c r="DQ208" s="615"/>
      <c r="DR208" s="635"/>
      <c r="DS208" s="636"/>
      <c r="DT208" s="615"/>
      <c r="DU208" s="615"/>
      <c r="DV208" s="615"/>
      <c r="DW208" s="615"/>
      <c r="DX208" s="615"/>
      <c r="DY208" s="615"/>
      <c r="DZ208" s="615"/>
      <c r="EA208" s="615"/>
      <c r="EB208" s="615"/>
      <c r="EC208" s="615"/>
      <c r="ED208" s="637"/>
      <c r="EE208" s="692"/>
    </row>
    <row r="209" spans="1:135" x14ac:dyDescent="0.25">
      <c r="A209" s="640" t="s">
        <v>11</v>
      </c>
      <c r="B209" s="367" t="s">
        <v>1300</v>
      </c>
      <c r="C209" s="367" t="s">
        <v>473</v>
      </c>
      <c r="D209" s="367" t="s">
        <v>1305</v>
      </c>
      <c r="E209" s="503" t="s">
        <v>1277</v>
      </c>
      <c r="F209" s="570">
        <v>44624</v>
      </c>
      <c r="G209" s="85" t="s">
        <v>59</v>
      </c>
      <c r="H209" s="85" t="s">
        <v>54</v>
      </c>
      <c r="I209" s="85" t="s">
        <v>358</v>
      </c>
      <c r="J209" s="675" t="s">
        <v>358</v>
      </c>
      <c r="K209" s="85" t="s">
        <v>358</v>
      </c>
      <c r="L209" s="85" t="s">
        <v>40</v>
      </c>
      <c r="M209" s="85" t="s">
        <v>3</v>
      </c>
      <c r="N209" s="668" t="s">
        <v>44</v>
      </c>
      <c r="O209" s="669"/>
      <c r="P209" s="615"/>
      <c r="Q209" s="615"/>
      <c r="R209" s="615"/>
      <c r="S209" s="615"/>
      <c r="T209" s="615"/>
      <c r="U209" s="615">
        <v>1</v>
      </c>
      <c r="V209" s="615">
        <v>1</v>
      </c>
      <c r="W209" s="615">
        <v>1</v>
      </c>
      <c r="X209" s="615"/>
      <c r="Y209" s="615"/>
      <c r="Z209" s="635"/>
      <c r="AA209" s="636"/>
      <c r="AB209" s="615"/>
      <c r="AC209" s="615"/>
      <c r="AD209" s="615"/>
      <c r="AE209" s="615"/>
      <c r="AF209" s="615"/>
      <c r="AG209" s="615"/>
      <c r="AH209" s="615"/>
      <c r="AI209" s="615"/>
      <c r="AJ209" s="615"/>
      <c r="AK209" s="615"/>
      <c r="AL209" s="635"/>
      <c r="AM209" s="636"/>
      <c r="AN209" s="615"/>
      <c r="AO209" s="615"/>
      <c r="AP209" s="615"/>
      <c r="AQ209" s="615"/>
      <c r="AR209" s="615"/>
      <c r="AS209" s="615"/>
      <c r="AT209" s="615"/>
      <c r="AU209" s="615"/>
      <c r="AV209" s="615"/>
      <c r="AW209" s="615"/>
      <c r="AX209" s="635"/>
      <c r="AY209" s="636"/>
      <c r="AZ209" s="615"/>
      <c r="BA209" s="615"/>
      <c r="BB209" s="615"/>
      <c r="BC209" s="615"/>
      <c r="BD209" s="615"/>
      <c r="BE209" s="615"/>
      <c r="BF209" s="615"/>
      <c r="BG209" s="615"/>
      <c r="BH209" s="615"/>
      <c r="BI209" s="615"/>
      <c r="BJ209" s="635"/>
      <c r="BK209" s="636"/>
      <c r="BL209" s="615"/>
      <c r="BM209" s="615"/>
      <c r="BN209" s="615"/>
      <c r="BO209" s="615"/>
      <c r="BP209" s="615"/>
      <c r="BQ209" s="615"/>
      <c r="BR209" s="615"/>
      <c r="BS209" s="615"/>
      <c r="BT209" s="615"/>
      <c r="BU209" s="615"/>
      <c r="BV209" s="637"/>
      <c r="BW209" s="669"/>
      <c r="BX209" s="615"/>
      <c r="BY209" s="615"/>
      <c r="BZ209" s="615"/>
      <c r="CA209" s="615"/>
      <c r="CB209" s="615"/>
      <c r="CC209" s="615">
        <v>182</v>
      </c>
      <c r="CD209" s="615">
        <v>182</v>
      </c>
      <c r="CE209" s="615">
        <v>182</v>
      </c>
      <c r="CF209" s="615"/>
      <c r="CG209" s="615"/>
      <c r="CH209" s="635"/>
      <c r="CI209" s="636"/>
      <c r="CJ209" s="615"/>
      <c r="CK209" s="615"/>
      <c r="CL209" s="615"/>
      <c r="CM209" s="615"/>
      <c r="CN209" s="615"/>
      <c r="CO209" s="615"/>
      <c r="CP209" s="615"/>
      <c r="CQ209" s="615"/>
      <c r="CR209" s="615"/>
      <c r="CS209" s="615"/>
      <c r="CT209" s="635"/>
      <c r="CU209" s="636"/>
      <c r="CV209" s="615"/>
      <c r="CW209" s="615"/>
      <c r="CX209" s="615"/>
      <c r="CY209" s="615"/>
      <c r="CZ209" s="615"/>
      <c r="DA209" s="615"/>
      <c r="DB209" s="615"/>
      <c r="DC209" s="615"/>
      <c r="DD209" s="615"/>
      <c r="DE209" s="615"/>
      <c r="DF209" s="635"/>
      <c r="DG209" s="636"/>
      <c r="DH209" s="615"/>
      <c r="DI209" s="615"/>
      <c r="DJ209" s="615"/>
      <c r="DK209" s="615"/>
      <c r="DL209" s="615"/>
      <c r="DM209" s="615"/>
      <c r="DN209" s="615"/>
      <c r="DO209" s="615"/>
      <c r="DP209" s="615"/>
      <c r="DQ209" s="615"/>
      <c r="DR209" s="635"/>
      <c r="DS209" s="636"/>
      <c r="DT209" s="615"/>
      <c r="DU209" s="615"/>
      <c r="DV209" s="615"/>
      <c r="DW209" s="615"/>
      <c r="DX209" s="615"/>
      <c r="DY209" s="615"/>
      <c r="DZ209" s="615"/>
      <c r="EA209" s="615"/>
      <c r="EB209" s="615"/>
      <c r="EC209" s="615"/>
      <c r="ED209" s="637"/>
      <c r="EE209" s="692"/>
    </row>
    <row r="210" spans="1:135" x14ac:dyDescent="0.25">
      <c r="A210" s="640" t="s">
        <v>12</v>
      </c>
      <c r="B210" s="367" t="s">
        <v>1302</v>
      </c>
      <c r="C210" s="367" t="s">
        <v>469</v>
      </c>
      <c r="D210" s="367" t="s">
        <v>1307</v>
      </c>
      <c r="E210" s="503" t="s">
        <v>1278</v>
      </c>
      <c r="F210" s="570">
        <v>44624</v>
      </c>
      <c r="G210" s="85" t="s">
        <v>59</v>
      </c>
      <c r="H210" s="85" t="s">
        <v>92</v>
      </c>
      <c r="I210" s="85" t="s">
        <v>358</v>
      </c>
      <c r="J210" s="675" t="s">
        <v>358</v>
      </c>
      <c r="K210" s="85" t="s">
        <v>358</v>
      </c>
      <c r="L210" s="85" t="s">
        <v>40</v>
      </c>
      <c r="M210" s="85" t="s">
        <v>6</v>
      </c>
      <c r="N210" s="668" t="s">
        <v>44</v>
      </c>
      <c r="O210" s="669"/>
      <c r="P210" s="615">
        <v>0.3</v>
      </c>
      <c r="Q210" s="615"/>
      <c r="R210" s="615"/>
      <c r="S210" s="615"/>
      <c r="T210" s="615"/>
      <c r="U210" s="615"/>
      <c r="V210" s="615"/>
      <c r="W210" s="615"/>
      <c r="X210" s="615"/>
      <c r="Y210" s="615"/>
      <c r="Z210" s="635"/>
      <c r="AA210" s="636"/>
      <c r="AB210" s="615"/>
      <c r="AC210" s="615"/>
      <c r="AD210" s="615"/>
      <c r="AE210" s="615"/>
      <c r="AF210" s="615"/>
      <c r="AG210" s="615"/>
      <c r="AH210" s="615"/>
      <c r="AI210" s="615"/>
      <c r="AJ210" s="615"/>
      <c r="AK210" s="615"/>
      <c r="AL210" s="635"/>
      <c r="AM210" s="636"/>
      <c r="AN210" s="615"/>
      <c r="AO210" s="615"/>
      <c r="AP210" s="615"/>
      <c r="AQ210" s="615"/>
      <c r="AR210" s="615"/>
      <c r="AS210" s="615"/>
      <c r="AT210" s="615"/>
      <c r="AU210" s="615"/>
      <c r="AV210" s="615"/>
      <c r="AW210" s="615"/>
      <c r="AX210" s="635"/>
      <c r="AY210" s="636"/>
      <c r="AZ210" s="615"/>
      <c r="BA210" s="615"/>
      <c r="BB210" s="615"/>
      <c r="BC210" s="615"/>
      <c r="BD210" s="615"/>
      <c r="BE210" s="615"/>
      <c r="BF210" s="615"/>
      <c r="BG210" s="615"/>
      <c r="BH210" s="615"/>
      <c r="BI210" s="615"/>
      <c r="BJ210" s="635"/>
      <c r="BK210" s="636"/>
      <c r="BL210" s="615"/>
      <c r="BM210" s="615"/>
      <c r="BN210" s="615"/>
      <c r="BO210" s="615"/>
      <c r="BP210" s="615"/>
      <c r="BQ210" s="615"/>
      <c r="BR210" s="615"/>
      <c r="BS210" s="615"/>
      <c r="BT210" s="615"/>
      <c r="BU210" s="615"/>
      <c r="BV210" s="637"/>
      <c r="BW210" s="669"/>
      <c r="BX210" s="615">
        <v>257.7</v>
      </c>
      <c r="BY210" s="615"/>
      <c r="BZ210" s="615"/>
      <c r="CA210" s="615"/>
      <c r="CB210" s="615"/>
      <c r="CC210" s="615"/>
      <c r="CD210" s="615"/>
      <c r="CE210" s="615"/>
      <c r="CF210" s="615"/>
      <c r="CG210" s="615"/>
      <c r="CH210" s="635"/>
      <c r="CI210" s="636"/>
      <c r="CJ210" s="615"/>
      <c r="CK210" s="615"/>
      <c r="CL210" s="615"/>
      <c r="CM210" s="615"/>
      <c r="CN210" s="615"/>
      <c r="CO210" s="615"/>
      <c r="CP210" s="615"/>
      <c r="CQ210" s="615"/>
      <c r="CR210" s="615"/>
      <c r="CS210" s="615"/>
      <c r="CT210" s="635"/>
      <c r="CU210" s="636"/>
      <c r="CV210" s="615"/>
      <c r="CW210" s="615"/>
      <c r="CX210" s="615"/>
      <c r="CY210" s="615"/>
      <c r="CZ210" s="615"/>
      <c r="DA210" s="615"/>
      <c r="DB210" s="615"/>
      <c r="DC210" s="615"/>
      <c r="DD210" s="615"/>
      <c r="DE210" s="615"/>
      <c r="DF210" s="635"/>
      <c r="DG210" s="636"/>
      <c r="DH210" s="615"/>
      <c r="DI210" s="615"/>
      <c r="DJ210" s="615"/>
      <c r="DK210" s="615"/>
      <c r="DL210" s="615"/>
      <c r="DM210" s="615"/>
      <c r="DN210" s="615"/>
      <c r="DO210" s="615"/>
      <c r="DP210" s="615"/>
      <c r="DQ210" s="615"/>
      <c r="DR210" s="635"/>
      <c r="DS210" s="636"/>
      <c r="DT210" s="615"/>
      <c r="DU210" s="615"/>
      <c r="DV210" s="615"/>
      <c r="DW210" s="615"/>
      <c r="DX210" s="615"/>
      <c r="DY210" s="615"/>
      <c r="DZ210" s="615"/>
      <c r="EA210" s="615"/>
      <c r="EB210" s="615"/>
      <c r="EC210" s="615"/>
      <c r="ED210" s="637"/>
      <c r="EE210" s="692"/>
    </row>
    <row r="211" spans="1:135" x14ac:dyDescent="0.25">
      <c r="A211" s="640" t="s">
        <v>12</v>
      </c>
      <c r="B211" s="367" t="s">
        <v>1304</v>
      </c>
      <c r="C211" s="367" t="s">
        <v>464</v>
      </c>
      <c r="D211" s="367" t="s">
        <v>1309</v>
      </c>
      <c r="E211" s="503" t="s">
        <v>1279</v>
      </c>
      <c r="F211" s="570">
        <v>44624</v>
      </c>
      <c r="G211" s="85" t="s">
        <v>59</v>
      </c>
      <c r="H211" s="85" t="s">
        <v>92</v>
      </c>
      <c r="I211" s="85" t="s">
        <v>358</v>
      </c>
      <c r="J211" s="675" t="s">
        <v>358</v>
      </c>
      <c r="K211" s="85" t="s">
        <v>358</v>
      </c>
      <c r="L211" s="85" t="s">
        <v>40</v>
      </c>
      <c r="M211" s="85" t="s">
        <v>6</v>
      </c>
      <c r="N211" s="668" t="s">
        <v>44</v>
      </c>
      <c r="O211" s="669"/>
      <c r="P211" s="615">
        <v>1</v>
      </c>
      <c r="Q211" s="615"/>
      <c r="R211" s="615"/>
      <c r="S211" s="615"/>
      <c r="T211" s="615"/>
      <c r="U211" s="615"/>
      <c r="V211" s="615"/>
      <c r="W211" s="615"/>
      <c r="X211" s="615"/>
      <c r="Y211" s="615"/>
      <c r="Z211" s="635"/>
      <c r="AA211" s="636"/>
      <c r="AB211" s="615"/>
      <c r="AC211" s="615"/>
      <c r="AD211" s="615"/>
      <c r="AE211" s="615"/>
      <c r="AF211" s="615"/>
      <c r="AG211" s="615"/>
      <c r="AH211" s="615"/>
      <c r="AI211" s="615"/>
      <c r="AJ211" s="615"/>
      <c r="AK211" s="615"/>
      <c r="AL211" s="635"/>
      <c r="AM211" s="636"/>
      <c r="AN211" s="615"/>
      <c r="AO211" s="615"/>
      <c r="AP211" s="615"/>
      <c r="AQ211" s="615"/>
      <c r="AR211" s="615"/>
      <c r="AS211" s="615"/>
      <c r="AT211" s="615"/>
      <c r="AU211" s="615"/>
      <c r="AV211" s="615"/>
      <c r="AW211" s="615"/>
      <c r="AX211" s="635"/>
      <c r="AY211" s="636"/>
      <c r="AZ211" s="615"/>
      <c r="BA211" s="615"/>
      <c r="BB211" s="615"/>
      <c r="BC211" s="615"/>
      <c r="BD211" s="615"/>
      <c r="BE211" s="615"/>
      <c r="BF211" s="615"/>
      <c r="BG211" s="615"/>
      <c r="BH211" s="615"/>
      <c r="BI211" s="615"/>
      <c r="BJ211" s="635"/>
      <c r="BK211" s="636"/>
      <c r="BL211" s="615"/>
      <c r="BM211" s="615"/>
      <c r="BN211" s="615"/>
      <c r="BO211" s="615"/>
      <c r="BP211" s="615"/>
      <c r="BQ211" s="615"/>
      <c r="BR211" s="615"/>
      <c r="BS211" s="615"/>
      <c r="BT211" s="615"/>
      <c r="BU211" s="615"/>
      <c r="BV211" s="637"/>
      <c r="BW211" s="669"/>
      <c r="BX211" s="615">
        <v>255.70999999999998</v>
      </c>
      <c r="BY211" s="615"/>
      <c r="BZ211" s="615"/>
      <c r="CA211" s="615"/>
      <c r="CB211" s="615"/>
      <c r="CC211" s="615"/>
      <c r="CD211" s="615"/>
      <c r="CE211" s="615"/>
      <c r="CF211" s="615"/>
      <c r="CG211" s="615"/>
      <c r="CH211" s="635"/>
      <c r="CI211" s="636"/>
      <c r="CJ211" s="615"/>
      <c r="CK211" s="615"/>
      <c r="CL211" s="615"/>
      <c r="CM211" s="615"/>
      <c r="CN211" s="615"/>
      <c r="CO211" s="615"/>
      <c r="CP211" s="615"/>
      <c r="CQ211" s="615"/>
      <c r="CR211" s="615"/>
      <c r="CS211" s="615"/>
      <c r="CT211" s="635"/>
      <c r="CU211" s="636"/>
      <c r="CV211" s="615"/>
      <c r="CW211" s="615"/>
      <c r="CX211" s="615"/>
      <c r="CY211" s="615"/>
      <c r="CZ211" s="615"/>
      <c r="DA211" s="615"/>
      <c r="DB211" s="615"/>
      <c r="DC211" s="615"/>
      <c r="DD211" s="615"/>
      <c r="DE211" s="615"/>
      <c r="DF211" s="635"/>
      <c r="DG211" s="636"/>
      <c r="DH211" s="615"/>
      <c r="DI211" s="615"/>
      <c r="DJ211" s="615"/>
      <c r="DK211" s="615"/>
      <c r="DL211" s="615"/>
      <c r="DM211" s="615"/>
      <c r="DN211" s="615"/>
      <c r="DO211" s="615"/>
      <c r="DP211" s="615"/>
      <c r="DQ211" s="615"/>
      <c r="DR211" s="635"/>
      <c r="DS211" s="636"/>
      <c r="DT211" s="615"/>
      <c r="DU211" s="615"/>
      <c r="DV211" s="615"/>
      <c r="DW211" s="615"/>
      <c r="DX211" s="615"/>
      <c r="DY211" s="615"/>
      <c r="DZ211" s="615"/>
      <c r="EA211" s="615"/>
      <c r="EB211" s="615"/>
      <c r="EC211" s="615"/>
      <c r="ED211" s="637"/>
      <c r="EE211" s="692"/>
    </row>
    <row r="212" spans="1:135" x14ac:dyDescent="0.25">
      <c r="A212" s="640" t="s">
        <v>12</v>
      </c>
      <c r="B212" s="367" t="s">
        <v>1306</v>
      </c>
      <c r="C212" s="367" t="s">
        <v>473</v>
      </c>
      <c r="D212" s="367" t="s">
        <v>1311</v>
      </c>
      <c r="E212" s="503" t="s">
        <v>1280</v>
      </c>
      <c r="F212" s="570">
        <v>44624</v>
      </c>
      <c r="G212" s="85" t="s">
        <v>59</v>
      </c>
      <c r="H212" s="85" t="s">
        <v>92</v>
      </c>
      <c r="I212" s="85" t="s">
        <v>358</v>
      </c>
      <c r="J212" s="675" t="s">
        <v>358</v>
      </c>
      <c r="K212" s="85" t="s">
        <v>358</v>
      </c>
      <c r="L212" s="85" t="s">
        <v>40</v>
      </c>
      <c r="M212" s="85" t="s">
        <v>5</v>
      </c>
      <c r="N212" s="668" t="s">
        <v>44</v>
      </c>
      <c r="O212" s="669"/>
      <c r="P212" s="615">
        <v>1</v>
      </c>
      <c r="Q212" s="615"/>
      <c r="R212" s="615"/>
      <c r="S212" s="615"/>
      <c r="T212" s="615"/>
      <c r="U212" s="615"/>
      <c r="V212" s="615"/>
      <c r="W212" s="615"/>
      <c r="X212" s="615"/>
      <c r="Y212" s="615"/>
      <c r="Z212" s="635"/>
      <c r="AA212" s="636"/>
      <c r="AB212" s="615"/>
      <c r="AC212" s="615"/>
      <c r="AD212" s="615"/>
      <c r="AE212" s="615"/>
      <c r="AF212" s="615"/>
      <c r="AG212" s="615"/>
      <c r="AH212" s="615"/>
      <c r="AI212" s="615"/>
      <c r="AJ212" s="615"/>
      <c r="AK212" s="615"/>
      <c r="AL212" s="635"/>
      <c r="AM212" s="636"/>
      <c r="AN212" s="615"/>
      <c r="AO212" s="615"/>
      <c r="AP212" s="615"/>
      <c r="AQ212" s="615"/>
      <c r="AR212" s="615"/>
      <c r="AS212" s="615"/>
      <c r="AT212" s="615"/>
      <c r="AU212" s="615"/>
      <c r="AV212" s="615"/>
      <c r="AW212" s="615"/>
      <c r="AX212" s="635"/>
      <c r="AY212" s="636"/>
      <c r="AZ212" s="615"/>
      <c r="BA212" s="615"/>
      <c r="BB212" s="615"/>
      <c r="BC212" s="615"/>
      <c r="BD212" s="615"/>
      <c r="BE212" s="615"/>
      <c r="BF212" s="615"/>
      <c r="BG212" s="615"/>
      <c r="BH212" s="615"/>
      <c r="BI212" s="615"/>
      <c r="BJ212" s="635"/>
      <c r="BK212" s="636"/>
      <c r="BL212" s="615"/>
      <c r="BM212" s="615"/>
      <c r="BN212" s="615"/>
      <c r="BO212" s="615"/>
      <c r="BP212" s="615"/>
      <c r="BQ212" s="615"/>
      <c r="BR212" s="615"/>
      <c r="BS212" s="615"/>
      <c r="BT212" s="615"/>
      <c r="BU212" s="615"/>
      <c r="BV212" s="637"/>
      <c r="BW212" s="669"/>
      <c r="BX212" s="615">
        <v>98.2</v>
      </c>
      <c r="BY212" s="615"/>
      <c r="BZ212" s="615"/>
      <c r="CA212" s="615"/>
      <c r="CB212" s="615"/>
      <c r="CC212" s="615"/>
      <c r="CD212" s="615"/>
      <c r="CE212" s="615"/>
      <c r="CF212" s="615"/>
      <c r="CG212" s="615"/>
      <c r="CH212" s="635"/>
      <c r="CI212" s="636"/>
      <c r="CJ212" s="615"/>
      <c r="CK212" s="615"/>
      <c r="CL212" s="615"/>
      <c r="CM212" s="615"/>
      <c r="CN212" s="615"/>
      <c r="CO212" s="615"/>
      <c r="CP212" s="615"/>
      <c r="CQ212" s="615"/>
      <c r="CR212" s="615"/>
      <c r="CS212" s="615"/>
      <c r="CT212" s="635"/>
      <c r="CU212" s="636"/>
      <c r="CV212" s="615"/>
      <c r="CW212" s="615"/>
      <c r="CX212" s="615"/>
      <c r="CY212" s="615"/>
      <c r="CZ212" s="615"/>
      <c r="DA212" s="615"/>
      <c r="DB212" s="615"/>
      <c r="DC212" s="615"/>
      <c r="DD212" s="615"/>
      <c r="DE212" s="615"/>
      <c r="DF212" s="635"/>
      <c r="DG212" s="636"/>
      <c r="DH212" s="615"/>
      <c r="DI212" s="615"/>
      <c r="DJ212" s="615"/>
      <c r="DK212" s="615"/>
      <c r="DL212" s="615"/>
      <c r="DM212" s="615"/>
      <c r="DN212" s="615"/>
      <c r="DO212" s="615"/>
      <c r="DP212" s="615"/>
      <c r="DQ212" s="615"/>
      <c r="DR212" s="635"/>
      <c r="DS212" s="636"/>
      <c r="DT212" s="615"/>
      <c r="DU212" s="615"/>
      <c r="DV212" s="615"/>
      <c r="DW212" s="615"/>
      <c r="DX212" s="615"/>
      <c r="DY212" s="615"/>
      <c r="DZ212" s="615"/>
      <c r="EA212" s="615"/>
      <c r="EB212" s="615"/>
      <c r="EC212" s="615"/>
      <c r="ED212" s="637"/>
      <c r="EE212" s="692"/>
    </row>
    <row r="213" spans="1:135" x14ac:dyDescent="0.25">
      <c r="A213" s="640" t="s">
        <v>12</v>
      </c>
      <c r="B213" s="367" t="s">
        <v>1308</v>
      </c>
      <c r="C213" s="367" t="s">
        <v>511</v>
      </c>
      <c r="D213" s="367" t="s">
        <v>1313</v>
      </c>
      <c r="E213" s="503" t="s">
        <v>1281</v>
      </c>
      <c r="F213" s="570">
        <v>44624</v>
      </c>
      <c r="G213" s="85" t="s">
        <v>59</v>
      </c>
      <c r="H213" s="85" t="s">
        <v>92</v>
      </c>
      <c r="I213" s="85" t="s">
        <v>358</v>
      </c>
      <c r="J213" s="675" t="s">
        <v>358</v>
      </c>
      <c r="K213" s="85" t="s">
        <v>358</v>
      </c>
      <c r="L213" s="85" t="s">
        <v>40</v>
      </c>
      <c r="M213" s="85" t="s">
        <v>6</v>
      </c>
      <c r="N213" s="668" t="s">
        <v>44</v>
      </c>
      <c r="O213" s="669"/>
      <c r="P213" s="615">
        <v>1.5</v>
      </c>
      <c r="Q213" s="615"/>
      <c r="R213" s="615"/>
      <c r="S213" s="615"/>
      <c r="T213" s="615"/>
      <c r="U213" s="615"/>
      <c r="V213" s="615"/>
      <c r="W213" s="615"/>
      <c r="X213" s="615"/>
      <c r="Y213" s="615"/>
      <c r="Z213" s="635"/>
      <c r="AA213" s="636"/>
      <c r="AB213" s="615"/>
      <c r="AC213" s="615"/>
      <c r="AD213" s="615"/>
      <c r="AE213" s="615"/>
      <c r="AF213" s="615"/>
      <c r="AG213" s="615"/>
      <c r="AH213" s="615"/>
      <c r="AI213" s="615"/>
      <c r="AJ213" s="615"/>
      <c r="AK213" s="615"/>
      <c r="AL213" s="635"/>
      <c r="AM213" s="636"/>
      <c r="AN213" s="615"/>
      <c r="AO213" s="615"/>
      <c r="AP213" s="615"/>
      <c r="AQ213" s="615"/>
      <c r="AR213" s="615"/>
      <c r="AS213" s="615"/>
      <c r="AT213" s="615"/>
      <c r="AU213" s="615"/>
      <c r="AV213" s="615"/>
      <c r="AW213" s="615"/>
      <c r="AX213" s="635"/>
      <c r="AY213" s="636"/>
      <c r="AZ213" s="615"/>
      <c r="BA213" s="615"/>
      <c r="BB213" s="615"/>
      <c r="BC213" s="615"/>
      <c r="BD213" s="615"/>
      <c r="BE213" s="615"/>
      <c r="BF213" s="615"/>
      <c r="BG213" s="615"/>
      <c r="BH213" s="615"/>
      <c r="BI213" s="615"/>
      <c r="BJ213" s="635"/>
      <c r="BK213" s="636"/>
      <c r="BL213" s="615"/>
      <c r="BM213" s="615"/>
      <c r="BN213" s="615"/>
      <c r="BO213" s="615"/>
      <c r="BP213" s="615"/>
      <c r="BQ213" s="615"/>
      <c r="BR213" s="615"/>
      <c r="BS213" s="615"/>
      <c r="BT213" s="615"/>
      <c r="BU213" s="615"/>
      <c r="BV213" s="637"/>
      <c r="BW213" s="669"/>
      <c r="BX213" s="615">
        <v>255.7</v>
      </c>
      <c r="BY213" s="615"/>
      <c r="BZ213" s="615"/>
      <c r="CA213" s="615"/>
      <c r="CB213" s="615"/>
      <c r="CC213" s="615"/>
      <c r="CD213" s="615"/>
      <c r="CE213" s="615"/>
      <c r="CF213" s="615"/>
      <c r="CG213" s="615"/>
      <c r="CH213" s="635"/>
      <c r="CI213" s="636"/>
      <c r="CJ213" s="615"/>
      <c r="CK213" s="615"/>
      <c r="CL213" s="615"/>
      <c r="CM213" s="615"/>
      <c r="CN213" s="615"/>
      <c r="CO213" s="615"/>
      <c r="CP213" s="615"/>
      <c r="CQ213" s="615"/>
      <c r="CR213" s="615"/>
      <c r="CS213" s="615"/>
      <c r="CT213" s="635"/>
      <c r="CU213" s="636"/>
      <c r="CV213" s="615"/>
      <c r="CW213" s="615"/>
      <c r="CX213" s="615"/>
      <c r="CY213" s="615"/>
      <c r="CZ213" s="615"/>
      <c r="DA213" s="615"/>
      <c r="DB213" s="615"/>
      <c r="DC213" s="615"/>
      <c r="DD213" s="615"/>
      <c r="DE213" s="615"/>
      <c r="DF213" s="635"/>
      <c r="DG213" s="636"/>
      <c r="DH213" s="615"/>
      <c r="DI213" s="615"/>
      <c r="DJ213" s="615"/>
      <c r="DK213" s="615"/>
      <c r="DL213" s="615"/>
      <c r="DM213" s="615"/>
      <c r="DN213" s="615"/>
      <c r="DO213" s="615"/>
      <c r="DP213" s="615"/>
      <c r="DQ213" s="615"/>
      <c r="DR213" s="635"/>
      <c r="DS213" s="636"/>
      <c r="DT213" s="615"/>
      <c r="DU213" s="615"/>
      <c r="DV213" s="615"/>
      <c r="DW213" s="615"/>
      <c r="DX213" s="615"/>
      <c r="DY213" s="615"/>
      <c r="DZ213" s="615"/>
      <c r="EA213" s="615"/>
      <c r="EB213" s="615"/>
      <c r="EC213" s="615"/>
      <c r="ED213" s="637"/>
      <c r="EE213" s="692"/>
    </row>
    <row r="214" spans="1:135" x14ac:dyDescent="0.25">
      <c r="A214" s="640" t="s">
        <v>11</v>
      </c>
      <c r="B214" s="367" t="s">
        <v>1310</v>
      </c>
      <c r="C214" s="367" t="s">
        <v>472</v>
      </c>
      <c r="D214" s="367" t="s">
        <v>1315</v>
      </c>
      <c r="E214" s="503" t="s">
        <v>1282</v>
      </c>
      <c r="F214" s="570">
        <v>44624</v>
      </c>
      <c r="G214" s="85" t="s">
        <v>59</v>
      </c>
      <c r="H214" s="85" t="s">
        <v>54</v>
      </c>
      <c r="I214" s="85" t="s">
        <v>358</v>
      </c>
      <c r="J214" s="675" t="s">
        <v>358</v>
      </c>
      <c r="K214" s="85" t="s">
        <v>358</v>
      </c>
      <c r="L214" s="85" t="s">
        <v>40</v>
      </c>
      <c r="M214" s="85" t="s">
        <v>3</v>
      </c>
      <c r="N214" s="668" t="s">
        <v>44</v>
      </c>
      <c r="O214" s="669"/>
      <c r="P214" s="615"/>
      <c r="Q214" s="615"/>
      <c r="R214" s="615"/>
      <c r="S214" s="615"/>
      <c r="T214" s="615"/>
      <c r="U214" s="615">
        <v>5</v>
      </c>
      <c r="V214" s="615">
        <v>5</v>
      </c>
      <c r="W214" s="615">
        <v>5</v>
      </c>
      <c r="X214" s="615"/>
      <c r="Y214" s="615"/>
      <c r="Z214" s="635"/>
      <c r="AA214" s="636"/>
      <c r="AB214" s="615"/>
      <c r="AC214" s="615"/>
      <c r="AD214" s="615"/>
      <c r="AE214" s="615"/>
      <c r="AF214" s="615"/>
      <c r="AG214" s="615"/>
      <c r="AH214" s="615"/>
      <c r="AI214" s="615"/>
      <c r="AJ214" s="615"/>
      <c r="AK214" s="615"/>
      <c r="AL214" s="635"/>
      <c r="AM214" s="636"/>
      <c r="AN214" s="615"/>
      <c r="AO214" s="615"/>
      <c r="AP214" s="615"/>
      <c r="AQ214" s="615"/>
      <c r="AR214" s="615"/>
      <c r="AS214" s="615"/>
      <c r="AT214" s="615"/>
      <c r="AU214" s="615"/>
      <c r="AV214" s="615"/>
      <c r="AW214" s="615"/>
      <c r="AX214" s="635"/>
      <c r="AY214" s="636"/>
      <c r="AZ214" s="615"/>
      <c r="BA214" s="615"/>
      <c r="BB214" s="615"/>
      <c r="BC214" s="615"/>
      <c r="BD214" s="615"/>
      <c r="BE214" s="615"/>
      <c r="BF214" s="615"/>
      <c r="BG214" s="615"/>
      <c r="BH214" s="615"/>
      <c r="BI214" s="615"/>
      <c r="BJ214" s="635"/>
      <c r="BK214" s="636"/>
      <c r="BL214" s="615"/>
      <c r="BM214" s="615"/>
      <c r="BN214" s="615"/>
      <c r="BO214" s="615"/>
      <c r="BP214" s="615"/>
      <c r="BQ214" s="615"/>
      <c r="BR214" s="615"/>
      <c r="BS214" s="615"/>
      <c r="BT214" s="615"/>
      <c r="BU214" s="615"/>
      <c r="BV214" s="637"/>
      <c r="BW214" s="669"/>
      <c r="BX214" s="615"/>
      <c r="BY214" s="615"/>
      <c r="BZ214" s="615"/>
      <c r="CA214" s="615"/>
      <c r="CB214" s="615"/>
      <c r="CC214" s="615">
        <v>180</v>
      </c>
      <c r="CD214" s="615">
        <v>180</v>
      </c>
      <c r="CE214" s="615">
        <v>180</v>
      </c>
      <c r="CF214" s="615"/>
      <c r="CG214" s="615"/>
      <c r="CH214" s="635"/>
      <c r="CI214" s="636"/>
      <c r="CJ214" s="615"/>
      <c r="CK214" s="615"/>
      <c r="CL214" s="615"/>
      <c r="CM214" s="615"/>
      <c r="CN214" s="615"/>
      <c r="CO214" s="615"/>
      <c r="CP214" s="615"/>
      <c r="CQ214" s="615"/>
      <c r="CR214" s="615"/>
      <c r="CS214" s="615"/>
      <c r="CT214" s="635"/>
      <c r="CU214" s="636"/>
      <c r="CV214" s="615"/>
      <c r="CW214" s="615"/>
      <c r="CX214" s="615"/>
      <c r="CY214" s="615"/>
      <c r="CZ214" s="615"/>
      <c r="DA214" s="615"/>
      <c r="DB214" s="615"/>
      <c r="DC214" s="615"/>
      <c r="DD214" s="615"/>
      <c r="DE214" s="615"/>
      <c r="DF214" s="635"/>
      <c r="DG214" s="636"/>
      <c r="DH214" s="615"/>
      <c r="DI214" s="615"/>
      <c r="DJ214" s="615"/>
      <c r="DK214" s="615"/>
      <c r="DL214" s="615"/>
      <c r="DM214" s="615"/>
      <c r="DN214" s="615"/>
      <c r="DO214" s="615"/>
      <c r="DP214" s="615"/>
      <c r="DQ214" s="615"/>
      <c r="DR214" s="635"/>
      <c r="DS214" s="636"/>
      <c r="DT214" s="615"/>
      <c r="DU214" s="615"/>
      <c r="DV214" s="615"/>
      <c r="DW214" s="615"/>
      <c r="DX214" s="615"/>
      <c r="DY214" s="615"/>
      <c r="DZ214" s="615"/>
      <c r="EA214" s="615"/>
      <c r="EB214" s="615"/>
      <c r="EC214" s="615"/>
      <c r="ED214" s="637"/>
      <c r="EE214" s="692"/>
    </row>
    <row r="215" spans="1:135" x14ac:dyDescent="0.25">
      <c r="A215" s="640" t="s">
        <v>11</v>
      </c>
      <c r="B215" s="367" t="s">
        <v>1312</v>
      </c>
      <c r="C215" s="367" t="s">
        <v>472</v>
      </c>
      <c r="D215" s="367" t="s">
        <v>1317</v>
      </c>
      <c r="E215" s="503" t="s">
        <v>1283</v>
      </c>
      <c r="F215" s="570">
        <v>44624</v>
      </c>
      <c r="G215" s="85" t="s">
        <v>59</v>
      </c>
      <c r="H215" s="85" t="s">
        <v>54</v>
      </c>
      <c r="I215" s="85" t="s">
        <v>358</v>
      </c>
      <c r="J215" s="675" t="s">
        <v>358</v>
      </c>
      <c r="K215" s="85" t="s">
        <v>358</v>
      </c>
      <c r="L215" s="85" t="s">
        <v>40</v>
      </c>
      <c r="M215" s="85" t="s">
        <v>3</v>
      </c>
      <c r="N215" s="668" t="s">
        <v>44</v>
      </c>
      <c r="O215" s="669"/>
      <c r="P215" s="615"/>
      <c r="Q215" s="615"/>
      <c r="R215" s="615"/>
      <c r="S215" s="615"/>
      <c r="T215" s="615"/>
      <c r="U215" s="615"/>
      <c r="V215" s="615"/>
      <c r="W215" s="615"/>
      <c r="X215" s="615"/>
      <c r="Y215" s="615">
        <v>7</v>
      </c>
      <c r="Z215" s="635"/>
      <c r="AA215" s="636"/>
      <c r="AB215" s="615"/>
      <c r="AC215" s="615"/>
      <c r="AD215" s="615"/>
      <c r="AE215" s="615"/>
      <c r="AF215" s="615"/>
      <c r="AG215" s="615"/>
      <c r="AH215" s="615"/>
      <c r="AI215" s="615"/>
      <c r="AJ215" s="615"/>
      <c r="AK215" s="615"/>
      <c r="AL215" s="635"/>
      <c r="AM215" s="636"/>
      <c r="AN215" s="615"/>
      <c r="AO215" s="615"/>
      <c r="AP215" s="615"/>
      <c r="AQ215" s="615"/>
      <c r="AR215" s="615"/>
      <c r="AS215" s="615"/>
      <c r="AT215" s="615"/>
      <c r="AU215" s="615"/>
      <c r="AV215" s="615"/>
      <c r="AW215" s="615"/>
      <c r="AX215" s="635"/>
      <c r="AY215" s="636"/>
      <c r="AZ215" s="615"/>
      <c r="BA215" s="615"/>
      <c r="BB215" s="615"/>
      <c r="BC215" s="615"/>
      <c r="BD215" s="615"/>
      <c r="BE215" s="615"/>
      <c r="BF215" s="615"/>
      <c r="BG215" s="615"/>
      <c r="BH215" s="615"/>
      <c r="BI215" s="615"/>
      <c r="BJ215" s="635"/>
      <c r="BK215" s="636"/>
      <c r="BL215" s="615"/>
      <c r="BM215" s="615"/>
      <c r="BN215" s="615"/>
      <c r="BO215" s="615"/>
      <c r="BP215" s="615"/>
      <c r="BQ215" s="615"/>
      <c r="BR215" s="615"/>
      <c r="BS215" s="615"/>
      <c r="BT215" s="615"/>
      <c r="BU215" s="615"/>
      <c r="BV215" s="637"/>
      <c r="BW215" s="669"/>
      <c r="BX215" s="615"/>
      <c r="BY215" s="615"/>
      <c r="BZ215" s="615"/>
      <c r="CA215" s="615"/>
      <c r="CB215" s="615"/>
      <c r="CC215" s="615"/>
      <c r="CD215" s="615"/>
      <c r="CE215" s="615"/>
      <c r="CF215" s="615"/>
      <c r="CG215" s="615">
        <v>188</v>
      </c>
      <c r="CH215" s="635"/>
      <c r="CI215" s="636"/>
      <c r="CJ215" s="615"/>
      <c r="CK215" s="615"/>
      <c r="CL215" s="615"/>
      <c r="CM215" s="615"/>
      <c r="CN215" s="615"/>
      <c r="CO215" s="615"/>
      <c r="CP215" s="615"/>
      <c r="CQ215" s="615"/>
      <c r="CR215" s="615"/>
      <c r="CS215" s="615"/>
      <c r="CT215" s="635"/>
      <c r="CU215" s="636"/>
      <c r="CV215" s="615"/>
      <c r="CW215" s="615"/>
      <c r="CX215" s="615"/>
      <c r="CY215" s="615"/>
      <c r="CZ215" s="615"/>
      <c r="DA215" s="615"/>
      <c r="DB215" s="615"/>
      <c r="DC215" s="615"/>
      <c r="DD215" s="615"/>
      <c r="DE215" s="615"/>
      <c r="DF215" s="635"/>
      <c r="DG215" s="636"/>
      <c r="DH215" s="615"/>
      <c r="DI215" s="615"/>
      <c r="DJ215" s="615"/>
      <c r="DK215" s="615"/>
      <c r="DL215" s="615"/>
      <c r="DM215" s="615"/>
      <c r="DN215" s="615"/>
      <c r="DO215" s="615"/>
      <c r="DP215" s="615"/>
      <c r="DQ215" s="615"/>
      <c r="DR215" s="635"/>
      <c r="DS215" s="636"/>
      <c r="DT215" s="615"/>
      <c r="DU215" s="615"/>
      <c r="DV215" s="615"/>
      <c r="DW215" s="615"/>
      <c r="DX215" s="615"/>
      <c r="DY215" s="615"/>
      <c r="DZ215" s="615"/>
      <c r="EA215" s="615"/>
      <c r="EB215" s="615"/>
      <c r="EC215" s="615"/>
      <c r="ED215" s="637"/>
      <c r="EE215" s="692"/>
    </row>
    <row r="216" spans="1:135" x14ac:dyDescent="0.25">
      <c r="A216" s="640" t="s">
        <v>11</v>
      </c>
      <c r="B216" s="367" t="s">
        <v>1314</v>
      </c>
      <c r="C216" s="367" t="s">
        <v>472</v>
      </c>
      <c r="D216" s="367" t="s">
        <v>1319</v>
      </c>
      <c r="E216" s="503" t="s">
        <v>1284</v>
      </c>
      <c r="F216" s="570">
        <v>44624</v>
      </c>
      <c r="G216" s="85" t="s">
        <v>59</v>
      </c>
      <c r="H216" s="85" t="s">
        <v>54</v>
      </c>
      <c r="I216" s="85" t="s">
        <v>358</v>
      </c>
      <c r="J216" s="675" t="s">
        <v>358</v>
      </c>
      <c r="K216" s="85" t="s">
        <v>358</v>
      </c>
      <c r="L216" s="85" t="s">
        <v>40</v>
      </c>
      <c r="M216" s="85" t="s">
        <v>3</v>
      </c>
      <c r="N216" s="668" t="s">
        <v>44</v>
      </c>
      <c r="O216" s="669"/>
      <c r="P216" s="615"/>
      <c r="Q216" s="615"/>
      <c r="R216" s="615"/>
      <c r="S216" s="615"/>
      <c r="T216" s="615"/>
      <c r="U216" s="615"/>
      <c r="V216" s="615"/>
      <c r="W216" s="615"/>
      <c r="X216" s="615"/>
      <c r="Y216" s="615"/>
      <c r="Z216" s="635">
        <v>9.3000000000000007</v>
      </c>
      <c r="AA216" s="636"/>
      <c r="AB216" s="615"/>
      <c r="AC216" s="615"/>
      <c r="AD216" s="615"/>
      <c r="AE216" s="615"/>
      <c r="AF216" s="615"/>
      <c r="AG216" s="615"/>
      <c r="AH216" s="615"/>
      <c r="AI216" s="615"/>
      <c r="AJ216" s="615"/>
      <c r="AK216" s="615"/>
      <c r="AL216" s="635"/>
      <c r="AM216" s="636"/>
      <c r="AN216" s="615"/>
      <c r="AO216" s="615"/>
      <c r="AP216" s="615"/>
      <c r="AQ216" s="615"/>
      <c r="AR216" s="615"/>
      <c r="AS216" s="615"/>
      <c r="AT216" s="615"/>
      <c r="AU216" s="615"/>
      <c r="AV216" s="615"/>
      <c r="AW216" s="615"/>
      <c r="AX216" s="635"/>
      <c r="AY216" s="636"/>
      <c r="AZ216" s="615"/>
      <c r="BA216" s="615"/>
      <c r="BB216" s="615"/>
      <c r="BC216" s="615"/>
      <c r="BD216" s="615"/>
      <c r="BE216" s="615"/>
      <c r="BF216" s="615"/>
      <c r="BG216" s="615"/>
      <c r="BH216" s="615"/>
      <c r="BI216" s="615"/>
      <c r="BJ216" s="635"/>
      <c r="BK216" s="636"/>
      <c r="BL216" s="615"/>
      <c r="BM216" s="615"/>
      <c r="BN216" s="615"/>
      <c r="BO216" s="615"/>
      <c r="BP216" s="615"/>
      <c r="BQ216" s="615"/>
      <c r="BR216" s="615"/>
      <c r="BS216" s="615"/>
      <c r="BT216" s="615"/>
      <c r="BU216" s="615"/>
      <c r="BV216" s="637"/>
      <c r="BW216" s="669"/>
      <c r="BX216" s="615"/>
      <c r="BY216" s="615"/>
      <c r="BZ216" s="615"/>
      <c r="CA216" s="615"/>
      <c r="CB216" s="615"/>
      <c r="CC216" s="615"/>
      <c r="CD216" s="615"/>
      <c r="CE216" s="615"/>
      <c r="CF216" s="615"/>
      <c r="CG216" s="615"/>
      <c r="CH216" s="635">
        <v>168</v>
      </c>
      <c r="CI216" s="636"/>
      <c r="CJ216" s="615"/>
      <c r="CK216" s="615"/>
      <c r="CL216" s="615"/>
      <c r="CM216" s="615"/>
      <c r="CN216" s="615"/>
      <c r="CO216" s="615"/>
      <c r="CP216" s="615"/>
      <c r="CQ216" s="615"/>
      <c r="CR216" s="615"/>
      <c r="CS216" s="615"/>
      <c r="CT216" s="635"/>
      <c r="CU216" s="636"/>
      <c r="CV216" s="615"/>
      <c r="CW216" s="615"/>
      <c r="CX216" s="615"/>
      <c r="CY216" s="615"/>
      <c r="CZ216" s="615"/>
      <c r="DA216" s="615"/>
      <c r="DB216" s="615"/>
      <c r="DC216" s="615"/>
      <c r="DD216" s="615"/>
      <c r="DE216" s="615"/>
      <c r="DF216" s="635"/>
      <c r="DG216" s="636"/>
      <c r="DH216" s="615"/>
      <c r="DI216" s="615"/>
      <c r="DJ216" s="615"/>
      <c r="DK216" s="615"/>
      <c r="DL216" s="615"/>
      <c r="DM216" s="615"/>
      <c r="DN216" s="615"/>
      <c r="DO216" s="615"/>
      <c r="DP216" s="615"/>
      <c r="DQ216" s="615"/>
      <c r="DR216" s="635"/>
      <c r="DS216" s="636"/>
      <c r="DT216" s="615"/>
      <c r="DU216" s="615"/>
      <c r="DV216" s="615"/>
      <c r="DW216" s="615"/>
      <c r="DX216" s="615"/>
      <c r="DY216" s="615"/>
      <c r="DZ216" s="615"/>
      <c r="EA216" s="615"/>
      <c r="EB216" s="615"/>
      <c r="EC216" s="615"/>
      <c r="ED216" s="637"/>
      <c r="EE216" s="692"/>
    </row>
    <row r="217" spans="1:135" x14ac:dyDescent="0.25">
      <c r="A217" s="640" t="s">
        <v>12</v>
      </c>
      <c r="B217" s="367" t="s">
        <v>1316</v>
      </c>
      <c r="C217" s="367" t="s">
        <v>531</v>
      </c>
      <c r="D217" s="367" t="s">
        <v>1321</v>
      </c>
      <c r="E217" s="503" t="s">
        <v>1285</v>
      </c>
      <c r="F217" s="570">
        <v>44624</v>
      </c>
      <c r="G217" s="85" t="s">
        <v>59</v>
      </c>
      <c r="H217" s="85" t="s">
        <v>92</v>
      </c>
      <c r="I217" s="85" t="s">
        <v>358</v>
      </c>
      <c r="J217" s="675" t="s">
        <v>358</v>
      </c>
      <c r="K217" s="85" t="s">
        <v>358</v>
      </c>
      <c r="L217" s="85" t="s">
        <v>40</v>
      </c>
      <c r="M217" s="85" t="s">
        <v>6</v>
      </c>
      <c r="N217" s="668" t="s">
        <v>44</v>
      </c>
      <c r="O217" s="669"/>
      <c r="P217" s="615">
        <v>0.45</v>
      </c>
      <c r="Q217" s="615"/>
      <c r="R217" s="615"/>
      <c r="S217" s="615"/>
      <c r="T217" s="615"/>
      <c r="U217" s="615"/>
      <c r="V217" s="615"/>
      <c r="W217" s="615"/>
      <c r="X217" s="615"/>
      <c r="Y217" s="615"/>
      <c r="Z217" s="635"/>
      <c r="AA217" s="636"/>
      <c r="AB217" s="615"/>
      <c r="AC217" s="615"/>
      <c r="AD217" s="615"/>
      <c r="AE217" s="615"/>
      <c r="AF217" s="615"/>
      <c r="AG217" s="615"/>
      <c r="AH217" s="615"/>
      <c r="AI217" s="615"/>
      <c r="AJ217" s="615"/>
      <c r="AK217" s="615"/>
      <c r="AL217" s="635"/>
      <c r="AM217" s="636"/>
      <c r="AN217" s="615"/>
      <c r="AO217" s="615"/>
      <c r="AP217" s="615"/>
      <c r="AQ217" s="615"/>
      <c r="AR217" s="615"/>
      <c r="AS217" s="615"/>
      <c r="AT217" s="615"/>
      <c r="AU217" s="615"/>
      <c r="AV217" s="615"/>
      <c r="AW217" s="615"/>
      <c r="AX217" s="635"/>
      <c r="AY217" s="636"/>
      <c r="AZ217" s="615"/>
      <c r="BA217" s="615"/>
      <c r="BB217" s="615"/>
      <c r="BC217" s="615"/>
      <c r="BD217" s="615"/>
      <c r="BE217" s="615"/>
      <c r="BF217" s="615"/>
      <c r="BG217" s="615"/>
      <c r="BH217" s="615"/>
      <c r="BI217" s="615"/>
      <c r="BJ217" s="635"/>
      <c r="BK217" s="636"/>
      <c r="BL217" s="615"/>
      <c r="BM217" s="615"/>
      <c r="BN217" s="615"/>
      <c r="BO217" s="615"/>
      <c r="BP217" s="615"/>
      <c r="BQ217" s="615"/>
      <c r="BR217" s="615"/>
      <c r="BS217" s="615"/>
      <c r="BT217" s="615"/>
      <c r="BU217" s="615"/>
      <c r="BV217" s="637"/>
      <c r="BW217" s="669"/>
      <c r="BX217" s="615">
        <v>257.7</v>
      </c>
      <c r="BY217" s="615"/>
      <c r="BZ217" s="615"/>
      <c r="CA217" s="615"/>
      <c r="CB217" s="615"/>
      <c r="CC217" s="615"/>
      <c r="CD217" s="615"/>
      <c r="CE217" s="615"/>
      <c r="CF217" s="615"/>
      <c r="CG217" s="615"/>
      <c r="CH217" s="635"/>
      <c r="CI217" s="636"/>
      <c r="CJ217" s="615"/>
      <c r="CK217" s="615"/>
      <c r="CL217" s="615"/>
      <c r="CM217" s="615"/>
      <c r="CN217" s="615"/>
      <c r="CO217" s="615"/>
      <c r="CP217" s="615"/>
      <c r="CQ217" s="615"/>
      <c r="CR217" s="615"/>
      <c r="CS217" s="615"/>
      <c r="CT217" s="635"/>
      <c r="CU217" s="636"/>
      <c r="CV217" s="615"/>
      <c r="CW217" s="615"/>
      <c r="CX217" s="615"/>
      <c r="CY217" s="615"/>
      <c r="CZ217" s="615"/>
      <c r="DA217" s="615"/>
      <c r="DB217" s="615"/>
      <c r="DC217" s="615"/>
      <c r="DD217" s="615"/>
      <c r="DE217" s="615"/>
      <c r="DF217" s="635"/>
      <c r="DG217" s="636"/>
      <c r="DH217" s="615"/>
      <c r="DI217" s="615"/>
      <c r="DJ217" s="615"/>
      <c r="DK217" s="615"/>
      <c r="DL217" s="615"/>
      <c r="DM217" s="615"/>
      <c r="DN217" s="615"/>
      <c r="DO217" s="615"/>
      <c r="DP217" s="615"/>
      <c r="DQ217" s="615"/>
      <c r="DR217" s="635"/>
      <c r="DS217" s="636"/>
      <c r="DT217" s="615"/>
      <c r="DU217" s="615"/>
      <c r="DV217" s="615"/>
      <c r="DW217" s="615"/>
      <c r="DX217" s="615"/>
      <c r="DY217" s="615"/>
      <c r="DZ217" s="615"/>
      <c r="EA217" s="615"/>
      <c r="EB217" s="615"/>
      <c r="EC217" s="615"/>
      <c r="ED217" s="637"/>
      <c r="EE217" s="692"/>
    </row>
    <row r="218" spans="1:135" x14ac:dyDescent="0.25">
      <c r="A218" s="640" t="s">
        <v>11</v>
      </c>
      <c r="B218" s="367" t="s">
        <v>1318</v>
      </c>
      <c r="C218" s="367" t="s">
        <v>1297</v>
      </c>
      <c r="D218" s="367" t="s">
        <v>1323</v>
      </c>
      <c r="E218" s="503" t="s">
        <v>1286</v>
      </c>
      <c r="F218" s="570">
        <v>44624</v>
      </c>
      <c r="G218" s="85" t="s">
        <v>59</v>
      </c>
      <c r="H218" s="85" t="s">
        <v>54</v>
      </c>
      <c r="I218" s="85" t="s">
        <v>358</v>
      </c>
      <c r="J218" s="675" t="s">
        <v>358</v>
      </c>
      <c r="K218" s="85" t="s">
        <v>358</v>
      </c>
      <c r="L218" s="85" t="s">
        <v>40</v>
      </c>
      <c r="M218" s="85" t="s">
        <v>3</v>
      </c>
      <c r="N218" s="668" t="s">
        <v>44</v>
      </c>
      <c r="O218" s="669"/>
      <c r="P218" s="615"/>
      <c r="Q218" s="615"/>
      <c r="R218" s="615"/>
      <c r="S218" s="615"/>
      <c r="T218" s="615"/>
      <c r="U218" s="615"/>
      <c r="V218" s="615"/>
      <c r="W218" s="615"/>
      <c r="X218" s="615"/>
      <c r="Y218" s="615"/>
      <c r="Z218" s="635">
        <v>1</v>
      </c>
      <c r="AA218" s="636"/>
      <c r="AB218" s="615"/>
      <c r="AC218" s="615"/>
      <c r="AD218" s="615"/>
      <c r="AE218" s="615"/>
      <c r="AF218" s="615"/>
      <c r="AG218" s="615"/>
      <c r="AH218" s="615"/>
      <c r="AI218" s="615"/>
      <c r="AJ218" s="615"/>
      <c r="AK218" s="615"/>
      <c r="AL218" s="635"/>
      <c r="AM218" s="636"/>
      <c r="AN218" s="615"/>
      <c r="AO218" s="615"/>
      <c r="AP218" s="615"/>
      <c r="AQ218" s="615"/>
      <c r="AR218" s="615"/>
      <c r="AS218" s="615"/>
      <c r="AT218" s="615"/>
      <c r="AU218" s="615"/>
      <c r="AV218" s="615"/>
      <c r="AW218" s="615"/>
      <c r="AX218" s="635"/>
      <c r="AY218" s="636"/>
      <c r="AZ218" s="615"/>
      <c r="BA218" s="615"/>
      <c r="BB218" s="615"/>
      <c r="BC218" s="615"/>
      <c r="BD218" s="615"/>
      <c r="BE218" s="615"/>
      <c r="BF218" s="615"/>
      <c r="BG218" s="615"/>
      <c r="BH218" s="615"/>
      <c r="BI218" s="615"/>
      <c r="BJ218" s="635"/>
      <c r="BK218" s="636"/>
      <c r="BL218" s="615"/>
      <c r="BM218" s="615"/>
      <c r="BN218" s="615"/>
      <c r="BO218" s="615"/>
      <c r="BP218" s="615"/>
      <c r="BQ218" s="615"/>
      <c r="BR218" s="615"/>
      <c r="BS218" s="615"/>
      <c r="BT218" s="615"/>
      <c r="BU218" s="615"/>
      <c r="BV218" s="637"/>
      <c r="BW218" s="669"/>
      <c r="BX218" s="615"/>
      <c r="BY218" s="615"/>
      <c r="BZ218" s="615"/>
      <c r="CA218" s="615"/>
      <c r="CB218" s="615"/>
      <c r="CC218" s="615"/>
      <c r="CD218" s="615"/>
      <c r="CE218" s="615"/>
      <c r="CF218" s="615"/>
      <c r="CG218" s="615"/>
      <c r="CH218" s="635">
        <v>168</v>
      </c>
      <c r="CI218" s="636"/>
      <c r="CJ218" s="615"/>
      <c r="CK218" s="615"/>
      <c r="CL218" s="615"/>
      <c r="CM218" s="615"/>
      <c r="CN218" s="615"/>
      <c r="CO218" s="615"/>
      <c r="CP218" s="615"/>
      <c r="CQ218" s="615"/>
      <c r="CR218" s="615"/>
      <c r="CS218" s="615"/>
      <c r="CT218" s="635"/>
      <c r="CU218" s="636"/>
      <c r="CV218" s="615"/>
      <c r="CW218" s="615"/>
      <c r="CX218" s="615"/>
      <c r="CY218" s="615"/>
      <c r="CZ218" s="615"/>
      <c r="DA218" s="615"/>
      <c r="DB218" s="615"/>
      <c r="DC218" s="615"/>
      <c r="DD218" s="615"/>
      <c r="DE218" s="615"/>
      <c r="DF218" s="635"/>
      <c r="DG218" s="636"/>
      <c r="DH218" s="615"/>
      <c r="DI218" s="615"/>
      <c r="DJ218" s="615"/>
      <c r="DK218" s="615"/>
      <c r="DL218" s="615"/>
      <c r="DM218" s="615"/>
      <c r="DN218" s="615"/>
      <c r="DO218" s="615"/>
      <c r="DP218" s="615"/>
      <c r="DQ218" s="615"/>
      <c r="DR218" s="635"/>
      <c r="DS218" s="636"/>
      <c r="DT218" s="615"/>
      <c r="DU218" s="615"/>
      <c r="DV218" s="615"/>
      <c r="DW218" s="615"/>
      <c r="DX218" s="615"/>
      <c r="DY218" s="615"/>
      <c r="DZ218" s="615"/>
      <c r="EA218" s="615"/>
      <c r="EB218" s="615"/>
      <c r="EC218" s="615"/>
      <c r="ED218" s="637"/>
      <c r="EE218" s="692"/>
    </row>
    <row r="219" spans="1:135" x14ac:dyDescent="0.25">
      <c r="A219" s="640" t="s">
        <v>11</v>
      </c>
      <c r="B219" s="367" t="s">
        <v>1320</v>
      </c>
      <c r="C219" s="367" t="s">
        <v>1297</v>
      </c>
      <c r="D219" s="367" t="s">
        <v>1325</v>
      </c>
      <c r="E219" s="503" t="s">
        <v>1287</v>
      </c>
      <c r="F219" s="570">
        <v>44624</v>
      </c>
      <c r="G219" s="85" t="s">
        <v>59</v>
      </c>
      <c r="H219" s="85" t="s">
        <v>54</v>
      </c>
      <c r="I219" s="85" t="s">
        <v>358</v>
      </c>
      <c r="J219" s="675" t="s">
        <v>358</v>
      </c>
      <c r="K219" s="85" t="s">
        <v>358</v>
      </c>
      <c r="L219" s="85" t="s">
        <v>40</v>
      </c>
      <c r="M219" s="85" t="s">
        <v>3</v>
      </c>
      <c r="N219" s="668" t="s">
        <v>44</v>
      </c>
      <c r="O219" s="669"/>
      <c r="P219" s="615"/>
      <c r="Q219" s="615"/>
      <c r="R219" s="615"/>
      <c r="S219" s="615"/>
      <c r="T219" s="615"/>
      <c r="U219" s="615"/>
      <c r="V219" s="615"/>
      <c r="W219" s="615"/>
      <c r="X219" s="615"/>
      <c r="Y219" s="615">
        <v>3</v>
      </c>
      <c r="Z219" s="635"/>
      <c r="AA219" s="636"/>
      <c r="AB219" s="615"/>
      <c r="AC219" s="615"/>
      <c r="AD219" s="615"/>
      <c r="AE219" s="615"/>
      <c r="AF219" s="615"/>
      <c r="AG219" s="615"/>
      <c r="AH219" s="615"/>
      <c r="AI219" s="615"/>
      <c r="AJ219" s="615"/>
      <c r="AK219" s="615"/>
      <c r="AL219" s="635"/>
      <c r="AM219" s="636"/>
      <c r="AN219" s="615"/>
      <c r="AO219" s="615"/>
      <c r="AP219" s="615"/>
      <c r="AQ219" s="615"/>
      <c r="AR219" s="615"/>
      <c r="AS219" s="615"/>
      <c r="AT219" s="615"/>
      <c r="AU219" s="615"/>
      <c r="AV219" s="615"/>
      <c r="AW219" s="615"/>
      <c r="AX219" s="635"/>
      <c r="AY219" s="636"/>
      <c r="AZ219" s="615"/>
      <c r="BA219" s="615"/>
      <c r="BB219" s="615"/>
      <c r="BC219" s="615"/>
      <c r="BD219" s="615"/>
      <c r="BE219" s="615"/>
      <c r="BF219" s="615"/>
      <c r="BG219" s="615"/>
      <c r="BH219" s="615"/>
      <c r="BI219" s="615"/>
      <c r="BJ219" s="635"/>
      <c r="BK219" s="636"/>
      <c r="BL219" s="615"/>
      <c r="BM219" s="615"/>
      <c r="BN219" s="615"/>
      <c r="BO219" s="615"/>
      <c r="BP219" s="615"/>
      <c r="BQ219" s="615"/>
      <c r="BR219" s="615"/>
      <c r="BS219" s="615"/>
      <c r="BT219" s="615"/>
      <c r="BU219" s="615"/>
      <c r="BV219" s="637"/>
      <c r="BW219" s="669"/>
      <c r="BX219" s="615"/>
      <c r="BY219" s="615"/>
      <c r="BZ219" s="615"/>
      <c r="CA219" s="615"/>
      <c r="CB219" s="615"/>
      <c r="CC219" s="615"/>
      <c r="CD219" s="615"/>
      <c r="CE219" s="615"/>
      <c r="CF219" s="615"/>
      <c r="CG219" s="615">
        <v>188</v>
      </c>
      <c r="CH219" s="635"/>
      <c r="CI219" s="636"/>
      <c r="CJ219" s="615"/>
      <c r="CK219" s="615"/>
      <c r="CL219" s="615"/>
      <c r="CM219" s="615"/>
      <c r="CN219" s="615"/>
      <c r="CO219" s="615"/>
      <c r="CP219" s="615"/>
      <c r="CQ219" s="615"/>
      <c r="CR219" s="615"/>
      <c r="CS219" s="615"/>
      <c r="CT219" s="635"/>
      <c r="CU219" s="636"/>
      <c r="CV219" s="615"/>
      <c r="CW219" s="615"/>
      <c r="CX219" s="615"/>
      <c r="CY219" s="615"/>
      <c r="CZ219" s="615"/>
      <c r="DA219" s="615"/>
      <c r="DB219" s="615"/>
      <c r="DC219" s="615"/>
      <c r="DD219" s="615"/>
      <c r="DE219" s="615"/>
      <c r="DF219" s="635"/>
      <c r="DG219" s="636"/>
      <c r="DH219" s="615"/>
      <c r="DI219" s="615"/>
      <c r="DJ219" s="615"/>
      <c r="DK219" s="615"/>
      <c r="DL219" s="615"/>
      <c r="DM219" s="615"/>
      <c r="DN219" s="615"/>
      <c r="DO219" s="615"/>
      <c r="DP219" s="615"/>
      <c r="DQ219" s="615"/>
      <c r="DR219" s="635"/>
      <c r="DS219" s="636"/>
      <c r="DT219" s="615"/>
      <c r="DU219" s="615"/>
      <c r="DV219" s="615"/>
      <c r="DW219" s="615"/>
      <c r="DX219" s="615"/>
      <c r="DY219" s="615"/>
      <c r="DZ219" s="615"/>
      <c r="EA219" s="615"/>
      <c r="EB219" s="615"/>
      <c r="EC219" s="615"/>
      <c r="ED219" s="637"/>
      <c r="EE219" s="692"/>
    </row>
    <row r="220" spans="1:135" x14ac:dyDescent="0.25">
      <c r="A220" s="640" t="s">
        <v>11</v>
      </c>
      <c r="B220" s="367" t="s">
        <v>1322</v>
      </c>
      <c r="C220" s="367" t="s">
        <v>1297</v>
      </c>
      <c r="D220" s="367" t="s">
        <v>1327</v>
      </c>
      <c r="E220" s="503" t="s">
        <v>1288</v>
      </c>
      <c r="F220" s="570">
        <v>44624</v>
      </c>
      <c r="G220" s="85" t="s">
        <v>59</v>
      </c>
      <c r="H220" s="85" t="s">
        <v>54</v>
      </c>
      <c r="I220" s="85" t="s">
        <v>358</v>
      </c>
      <c r="J220" s="675" t="s">
        <v>358</v>
      </c>
      <c r="K220" s="85" t="s">
        <v>358</v>
      </c>
      <c r="L220" s="85" t="s">
        <v>40</v>
      </c>
      <c r="M220" s="85" t="s">
        <v>3</v>
      </c>
      <c r="N220" s="668" t="s">
        <v>44</v>
      </c>
      <c r="O220" s="669"/>
      <c r="P220" s="615"/>
      <c r="Q220" s="615"/>
      <c r="R220" s="615"/>
      <c r="S220" s="615"/>
      <c r="T220" s="615"/>
      <c r="U220" s="615">
        <v>2</v>
      </c>
      <c r="V220" s="615">
        <v>2</v>
      </c>
      <c r="W220" s="615">
        <v>2</v>
      </c>
      <c r="X220" s="615"/>
      <c r="Y220" s="615"/>
      <c r="Z220" s="635"/>
      <c r="AA220" s="636"/>
      <c r="AB220" s="615"/>
      <c r="AC220" s="615"/>
      <c r="AD220" s="615"/>
      <c r="AE220" s="615"/>
      <c r="AF220" s="615"/>
      <c r="AG220" s="615"/>
      <c r="AH220" s="615"/>
      <c r="AI220" s="615"/>
      <c r="AJ220" s="615"/>
      <c r="AK220" s="615"/>
      <c r="AL220" s="635"/>
      <c r="AM220" s="636"/>
      <c r="AN220" s="615"/>
      <c r="AO220" s="615"/>
      <c r="AP220" s="615"/>
      <c r="AQ220" s="615"/>
      <c r="AR220" s="615"/>
      <c r="AS220" s="615"/>
      <c r="AT220" s="615"/>
      <c r="AU220" s="615"/>
      <c r="AV220" s="615"/>
      <c r="AW220" s="615"/>
      <c r="AX220" s="635"/>
      <c r="AY220" s="636"/>
      <c r="AZ220" s="615"/>
      <c r="BA220" s="615"/>
      <c r="BB220" s="615"/>
      <c r="BC220" s="615"/>
      <c r="BD220" s="615"/>
      <c r="BE220" s="615"/>
      <c r="BF220" s="615"/>
      <c r="BG220" s="615"/>
      <c r="BH220" s="615"/>
      <c r="BI220" s="615"/>
      <c r="BJ220" s="635"/>
      <c r="BK220" s="636"/>
      <c r="BL220" s="615"/>
      <c r="BM220" s="615"/>
      <c r="BN220" s="615"/>
      <c r="BO220" s="615"/>
      <c r="BP220" s="615"/>
      <c r="BQ220" s="615"/>
      <c r="BR220" s="615"/>
      <c r="BS220" s="615"/>
      <c r="BT220" s="615"/>
      <c r="BU220" s="615"/>
      <c r="BV220" s="637"/>
      <c r="BW220" s="669"/>
      <c r="BX220" s="615"/>
      <c r="BY220" s="615"/>
      <c r="BZ220" s="615"/>
      <c r="CA220" s="615"/>
      <c r="CB220" s="615"/>
      <c r="CC220" s="615">
        <v>180</v>
      </c>
      <c r="CD220" s="615">
        <v>180</v>
      </c>
      <c r="CE220" s="615">
        <v>180</v>
      </c>
      <c r="CF220" s="615"/>
      <c r="CG220" s="615"/>
      <c r="CH220" s="635"/>
      <c r="CI220" s="636"/>
      <c r="CJ220" s="615"/>
      <c r="CK220" s="615"/>
      <c r="CL220" s="615"/>
      <c r="CM220" s="615"/>
      <c r="CN220" s="615"/>
      <c r="CO220" s="615"/>
      <c r="CP220" s="615"/>
      <c r="CQ220" s="615"/>
      <c r="CR220" s="615"/>
      <c r="CS220" s="615"/>
      <c r="CT220" s="635"/>
      <c r="CU220" s="636"/>
      <c r="CV220" s="615"/>
      <c r="CW220" s="615"/>
      <c r="CX220" s="615"/>
      <c r="CY220" s="615"/>
      <c r="CZ220" s="615"/>
      <c r="DA220" s="615"/>
      <c r="DB220" s="615"/>
      <c r="DC220" s="615"/>
      <c r="DD220" s="615"/>
      <c r="DE220" s="615"/>
      <c r="DF220" s="635"/>
      <c r="DG220" s="636"/>
      <c r="DH220" s="615"/>
      <c r="DI220" s="615"/>
      <c r="DJ220" s="615"/>
      <c r="DK220" s="615"/>
      <c r="DL220" s="615"/>
      <c r="DM220" s="615"/>
      <c r="DN220" s="615"/>
      <c r="DO220" s="615"/>
      <c r="DP220" s="615"/>
      <c r="DQ220" s="615"/>
      <c r="DR220" s="635"/>
      <c r="DS220" s="636"/>
      <c r="DT220" s="615"/>
      <c r="DU220" s="615"/>
      <c r="DV220" s="615"/>
      <c r="DW220" s="615"/>
      <c r="DX220" s="615"/>
      <c r="DY220" s="615"/>
      <c r="DZ220" s="615"/>
      <c r="EA220" s="615"/>
      <c r="EB220" s="615"/>
      <c r="EC220" s="615"/>
      <c r="ED220" s="637"/>
      <c r="EE220" s="692"/>
    </row>
    <row r="221" spans="1:135" x14ac:dyDescent="0.25">
      <c r="A221" s="640" t="s">
        <v>12</v>
      </c>
      <c r="B221" s="367" t="s">
        <v>1324</v>
      </c>
      <c r="C221" s="367" t="s">
        <v>470</v>
      </c>
      <c r="D221" s="367" t="s">
        <v>1329</v>
      </c>
      <c r="E221" s="503" t="s">
        <v>1289</v>
      </c>
      <c r="F221" s="570">
        <v>44624</v>
      </c>
      <c r="G221" s="85" t="s">
        <v>59</v>
      </c>
      <c r="H221" s="85" t="s">
        <v>92</v>
      </c>
      <c r="I221" s="85" t="s">
        <v>358</v>
      </c>
      <c r="J221" s="675" t="s">
        <v>358</v>
      </c>
      <c r="K221" s="85" t="s">
        <v>358</v>
      </c>
      <c r="L221" s="85" t="s">
        <v>40</v>
      </c>
      <c r="M221" s="85" t="s">
        <v>5</v>
      </c>
      <c r="N221" s="668" t="s">
        <v>44</v>
      </c>
      <c r="O221" s="669"/>
      <c r="P221" s="615">
        <v>3</v>
      </c>
      <c r="Q221" s="615"/>
      <c r="R221" s="615"/>
      <c r="S221" s="615"/>
      <c r="T221" s="615"/>
      <c r="U221" s="615"/>
      <c r="V221" s="615"/>
      <c r="W221" s="615"/>
      <c r="X221" s="615"/>
      <c r="Y221" s="615"/>
      <c r="Z221" s="635"/>
      <c r="AA221" s="636"/>
      <c r="AB221" s="615"/>
      <c r="AC221" s="615"/>
      <c r="AD221" s="615"/>
      <c r="AE221" s="615"/>
      <c r="AF221" s="615"/>
      <c r="AG221" s="615"/>
      <c r="AH221" s="615"/>
      <c r="AI221" s="615"/>
      <c r="AJ221" s="615"/>
      <c r="AK221" s="615"/>
      <c r="AL221" s="635"/>
      <c r="AM221" s="636"/>
      <c r="AN221" s="615"/>
      <c r="AO221" s="615"/>
      <c r="AP221" s="615"/>
      <c r="AQ221" s="615"/>
      <c r="AR221" s="615"/>
      <c r="AS221" s="615"/>
      <c r="AT221" s="615"/>
      <c r="AU221" s="615"/>
      <c r="AV221" s="615"/>
      <c r="AW221" s="615"/>
      <c r="AX221" s="635"/>
      <c r="AY221" s="636"/>
      <c r="AZ221" s="615"/>
      <c r="BA221" s="615"/>
      <c r="BB221" s="615"/>
      <c r="BC221" s="615"/>
      <c r="BD221" s="615"/>
      <c r="BE221" s="615"/>
      <c r="BF221" s="615"/>
      <c r="BG221" s="615"/>
      <c r="BH221" s="615"/>
      <c r="BI221" s="615"/>
      <c r="BJ221" s="635"/>
      <c r="BK221" s="636"/>
      <c r="BL221" s="615"/>
      <c r="BM221" s="615"/>
      <c r="BN221" s="615"/>
      <c r="BO221" s="615"/>
      <c r="BP221" s="615"/>
      <c r="BQ221" s="615"/>
      <c r="BR221" s="615"/>
      <c r="BS221" s="615"/>
      <c r="BT221" s="615"/>
      <c r="BU221" s="615"/>
      <c r="BV221" s="637"/>
      <c r="BW221" s="669"/>
      <c r="BX221" s="615">
        <v>98.7</v>
      </c>
      <c r="BY221" s="615"/>
      <c r="BZ221" s="615"/>
      <c r="CA221" s="615"/>
      <c r="CB221" s="615"/>
      <c r="CC221" s="615"/>
      <c r="CD221" s="615"/>
      <c r="CE221" s="615"/>
      <c r="CF221" s="615"/>
      <c r="CG221" s="615"/>
      <c r="CH221" s="635"/>
      <c r="CI221" s="636"/>
      <c r="CJ221" s="615"/>
      <c r="CK221" s="615"/>
      <c r="CL221" s="615"/>
      <c r="CM221" s="615"/>
      <c r="CN221" s="615"/>
      <c r="CO221" s="615"/>
      <c r="CP221" s="615"/>
      <c r="CQ221" s="615"/>
      <c r="CR221" s="615"/>
      <c r="CS221" s="615"/>
      <c r="CT221" s="635"/>
      <c r="CU221" s="636"/>
      <c r="CV221" s="615"/>
      <c r="CW221" s="615"/>
      <c r="CX221" s="615"/>
      <c r="CY221" s="615"/>
      <c r="CZ221" s="615"/>
      <c r="DA221" s="615"/>
      <c r="DB221" s="615"/>
      <c r="DC221" s="615"/>
      <c r="DD221" s="615"/>
      <c r="DE221" s="615"/>
      <c r="DF221" s="635"/>
      <c r="DG221" s="636"/>
      <c r="DH221" s="615"/>
      <c r="DI221" s="615"/>
      <c r="DJ221" s="615"/>
      <c r="DK221" s="615"/>
      <c r="DL221" s="615"/>
      <c r="DM221" s="615"/>
      <c r="DN221" s="615"/>
      <c r="DO221" s="615"/>
      <c r="DP221" s="615"/>
      <c r="DQ221" s="615"/>
      <c r="DR221" s="635"/>
      <c r="DS221" s="636"/>
      <c r="DT221" s="615"/>
      <c r="DU221" s="615"/>
      <c r="DV221" s="615"/>
      <c r="DW221" s="615"/>
      <c r="DX221" s="615"/>
      <c r="DY221" s="615"/>
      <c r="DZ221" s="615"/>
      <c r="EA221" s="615"/>
      <c r="EB221" s="615"/>
      <c r="EC221" s="615"/>
      <c r="ED221" s="637"/>
      <c r="EE221" s="692"/>
    </row>
    <row r="222" spans="1:135" x14ac:dyDescent="0.25">
      <c r="A222" s="640" t="s">
        <v>11</v>
      </c>
      <c r="B222" s="367" t="s">
        <v>1326</v>
      </c>
      <c r="C222" s="367" t="s">
        <v>531</v>
      </c>
      <c r="D222" s="367" t="s">
        <v>1331</v>
      </c>
      <c r="E222" s="503" t="s">
        <v>1290</v>
      </c>
      <c r="F222" s="570">
        <v>44624</v>
      </c>
      <c r="G222" s="85" t="s">
        <v>59</v>
      </c>
      <c r="H222" s="85" t="s">
        <v>54</v>
      </c>
      <c r="I222" s="85" t="s">
        <v>358</v>
      </c>
      <c r="J222" s="675" t="s">
        <v>358</v>
      </c>
      <c r="K222" s="85" t="s">
        <v>358</v>
      </c>
      <c r="L222" s="85" t="s">
        <v>40</v>
      </c>
      <c r="M222" s="85" t="s">
        <v>3</v>
      </c>
      <c r="N222" s="668" t="s">
        <v>44</v>
      </c>
      <c r="O222" s="669"/>
      <c r="P222" s="615"/>
      <c r="Q222" s="615"/>
      <c r="R222" s="615"/>
      <c r="S222" s="615"/>
      <c r="T222" s="615">
        <v>2</v>
      </c>
      <c r="U222" s="615"/>
      <c r="V222" s="615"/>
      <c r="W222" s="615"/>
      <c r="X222" s="615"/>
      <c r="Y222" s="615"/>
      <c r="Z222" s="635"/>
      <c r="AA222" s="636"/>
      <c r="AB222" s="615"/>
      <c r="AC222" s="615"/>
      <c r="AD222" s="615"/>
      <c r="AE222" s="615"/>
      <c r="AF222" s="615"/>
      <c r="AG222" s="615"/>
      <c r="AH222" s="615"/>
      <c r="AI222" s="615"/>
      <c r="AJ222" s="615"/>
      <c r="AK222" s="615"/>
      <c r="AL222" s="635"/>
      <c r="AM222" s="636"/>
      <c r="AN222" s="615"/>
      <c r="AO222" s="615"/>
      <c r="AP222" s="615"/>
      <c r="AQ222" s="615"/>
      <c r="AR222" s="615"/>
      <c r="AS222" s="615"/>
      <c r="AT222" s="615"/>
      <c r="AU222" s="615"/>
      <c r="AV222" s="615"/>
      <c r="AW222" s="615"/>
      <c r="AX222" s="635"/>
      <c r="AY222" s="636"/>
      <c r="AZ222" s="615"/>
      <c r="BA222" s="615"/>
      <c r="BB222" s="615"/>
      <c r="BC222" s="615"/>
      <c r="BD222" s="615"/>
      <c r="BE222" s="615"/>
      <c r="BF222" s="615"/>
      <c r="BG222" s="615"/>
      <c r="BH222" s="615"/>
      <c r="BI222" s="615"/>
      <c r="BJ222" s="635"/>
      <c r="BK222" s="636"/>
      <c r="BL222" s="615"/>
      <c r="BM222" s="615"/>
      <c r="BN222" s="615"/>
      <c r="BO222" s="615"/>
      <c r="BP222" s="615"/>
      <c r="BQ222" s="615"/>
      <c r="BR222" s="615"/>
      <c r="BS222" s="615"/>
      <c r="BT222" s="615"/>
      <c r="BU222" s="615"/>
      <c r="BV222" s="637"/>
      <c r="BW222" s="669"/>
      <c r="BX222" s="615"/>
      <c r="BY222" s="615"/>
      <c r="BZ222" s="615"/>
      <c r="CA222" s="615"/>
      <c r="CB222" s="615">
        <v>125</v>
      </c>
      <c r="CC222" s="615"/>
      <c r="CD222" s="615"/>
      <c r="CE222" s="615"/>
      <c r="CF222" s="615"/>
      <c r="CG222" s="615"/>
      <c r="CH222" s="635"/>
      <c r="CI222" s="636"/>
      <c r="CJ222" s="615"/>
      <c r="CK222" s="615"/>
      <c r="CL222" s="615"/>
      <c r="CM222" s="615"/>
      <c r="CN222" s="615"/>
      <c r="CO222" s="615"/>
      <c r="CP222" s="615"/>
      <c r="CQ222" s="615"/>
      <c r="CR222" s="615"/>
      <c r="CS222" s="615"/>
      <c r="CT222" s="635"/>
      <c r="CU222" s="636"/>
      <c r="CV222" s="615"/>
      <c r="CW222" s="615"/>
      <c r="CX222" s="615"/>
      <c r="CY222" s="615"/>
      <c r="CZ222" s="615"/>
      <c r="DA222" s="615"/>
      <c r="DB222" s="615"/>
      <c r="DC222" s="615"/>
      <c r="DD222" s="615"/>
      <c r="DE222" s="615"/>
      <c r="DF222" s="635"/>
      <c r="DG222" s="636"/>
      <c r="DH222" s="615"/>
      <c r="DI222" s="615"/>
      <c r="DJ222" s="615"/>
      <c r="DK222" s="615"/>
      <c r="DL222" s="615"/>
      <c r="DM222" s="615"/>
      <c r="DN222" s="615"/>
      <c r="DO222" s="615"/>
      <c r="DP222" s="615"/>
      <c r="DQ222" s="615"/>
      <c r="DR222" s="635"/>
      <c r="DS222" s="636"/>
      <c r="DT222" s="615"/>
      <c r="DU222" s="615"/>
      <c r="DV222" s="615"/>
      <c r="DW222" s="615"/>
      <c r="DX222" s="615"/>
      <c r="DY222" s="615"/>
      <c r="DZ222" s="615"/>
      <c r="EA222" s="615"/>
      <c r="EB222" s="615"/>
      <c r="EC222" s="615"/>
      <c r="ED222" s="637"/>
      <c r="EE222" s="692"/>
    </row>
    <row r="223" spans="1:135" x14ac:dyDescent="0.25">
      <c r="A223" s="640" t="s">
        <v>11</v>
      </c>
      <c r="B223" s="367" t="s">
        <v>1328</v>
      </c>
      <c r="C223" s="367" t="s">
        <v>531</v>
      </c>
      <c r="D223" s="367" t="s">
        <v>1333</v>
      </c>
      <c r="E223" s="503" t="s">
        <v>1291</v>
      </c>
      <c r="F223" s="570">
        <v>44624</v>
      </c>
      <c r="G223" s="85" t="s">
        <v>59</v>
      </c>
      <c r="H223" s="85" t="s">
        <v>54</v>
      </c>
      <c r="I223" s="85" t="s">
        <v>358</v>
      </c>
      <c r="J223" s="675" t="s">
        <v>358</v>
      </c>
      <c r="K223" s="85" t="s">
        <v>358</v>
      </c>
      <c r="L223" s="85" t="s">
        <v>40</v>
      </c>
      <c r="M223" s="85" t="s">
        <v>3</v>
      </c>
      <c r="N223" s="668" t="s">
        <v>44</v>
      </c>
      <c r="O223" s="669"/>
      <c r="P223" s="615"/>
      <c r="Q223" s="615"/>
      <c r="R223" s="615"/>
      <c r="S223" s="615"/>
      <c r="T223" s="615">
        <v>3</v>
      </c>
      <c r="U223" s="615"/>
      <c r="V223" s="615"/>
      <c r="W223" s="615"/>
      <c r="X223" s="615"/>
      <c r="Y223" s="615"/>
      <c r="Z223" s="635"/>
      <c r="AA223" s="636"/>
      <c r="AB223" s="615"/>
      <c r="AC223" s="615"/>
      <c r="AD223" s="615"/>
      <c r="AE223" s="615"/>
      <c r="AF223" s="615"/>
      <c r="AG223" s="615"/>
      <c r="AH223" s="615"/>
      <c r="AI223" s="615"/>
      <c r="AJ223" s="615"/>
      <c r="AK223" s="615"/>
      <c r="AL223" s="635"/>
      <c r="AM223" s="636"/>
      <c r="AN223" s="615"/>
      <c r="AO223" s="615"/>
      <c r="AP223" s="615"/>
      <c r="AQ223" s="615"/>
      <c r="AR223" s="615"/>
      <c r="AS223" s="615"/>
      <c r="AT223" s="615"/>
      <c r="AU223" s="615"/>
      <c r="AV223" s="615"/>
      <c r="AW223" s="615"/>
      <c r="AX223" s="635"/>
      <c r="AY223" s="636"/>
      <c r="AZ223" s="615"/>
      <c r="BA223" s="615"/>
      <c r="BB223" s="615"/>
      <c r="BC223" s="615"/>
      <c r="BD223" s="615"/>
      <c r="BE223" s="615"/>
      <c r="BF223" s="615"/>
      <c r="BG223" s="615"/>
      <c r="BH223" s="615"/>
      <c r="BI223" s="615"/>
      <c r="BJ223" s="635"/>
      <c r="BK223" s="636"/>
      <c r="BL223" s="615"/>
      <c r="BM223" s="615"/>
      <c r="BN223" s="615"/>
      <c r="BO223" s="615"/>
      <c r="BP223" s="615"/>
      <c r="BQ223" s="615"/>
      <c r="BR223" s="615"/>
      <c r="BS223" s="615"/>
      <c r="BT223" s="615"/>
      <c r="BU223" s="615"/>
      <c r="BV223" s="637"/>
      <c r="BW223" s="669"/>
      <c r="BX223" s="615"/>
      <c r="BY223" s="615"/>
      <c r="BZ223" s="615"/>
      <c r="CA223" s="615"/>
      <c r="CB223" s="615">
        <v>125</v>
      </c>
      <c r="CC223" s="615"/>
      <c r="CD223" s="615"/>
      <c r="CE223" s="615"/>
      <c r="CF223" s="615"/>
      <c r="CG223" s="615"/>
      <c r="CH223" s="635"/>
      <c r="CI223" s="636"/>
      <c r="CJ223" s="615"/>
      <c r="CK223" s="615"/>
      <c r="CL223" s="615"/>
      <c r="CM223" s="615"/>
      <c r="CN223" s="615"/>
      <c r="CO223" s="615"/>
      <c r="CP223" s="615"/>
      <c r="CQ223" s="615"/>
      <c r="CR223" s="615"/>
      <c r="CS223" s="615"/>
      <c r="CT223" s="635"/>
      <c r="CU223" s="636"/>
      <c r="CV223" s="615"/>
      <c r="CW223" s="615"/>
      <c r="CX223" s="615"/>
      <c r="CY223" s="615"/>
      <c r="CZ223" s="615"/>
      <c r="DA223" s="615"/>
      <c r="DB223" s="615"/>
      <c r="DC223" s="615"/>
      <c r="DD223" s="615"/>
      <c r="DE223" s="615"/>
      <c r="DF223" s="635"/>
      <c r="DG223" s="636"/>
      <c r="DH223" s="615"/>
      <c r="DI223" s="615"/>
      <c r="DJ223" s="615"/>
      <c r="DK223" s="615"/>
      <c r="DL223" s="615"/>
      <c r="DM223" s="615"/>
      <c r="DN223" s="615"/>
      <c r="DO223" s="615"/>
      <c r="DP223" s="615"/>
      <c r="DQ223" s="615"/>
      <c r="DR223" s="635"/>
      <c r="DS223" s="636"/>
      <c r="DT223" s="615"/>
      <c r="DU223" s="615"/>
      <c r="DV223" s="615"/>
      <c r="DW223" s="615"/>
      <c r="DX223" s="615"/>
      <c r="DY223" s="615"/>
      <c r="DZ223" s="615"/>
      <c r="EA223" s="615"/>
      <c r="EB223" s="615"/>
      <c r="EC223" s="615"/>
      <c r="ED223" s="637"/>
      <c r="EE223" s="692"/>
    </row>
    <row r="224" spans="1:135" x14ac:dyDescent="0.25">
      <c r="A224" s="640" t="s">
        <v>12</v>
      </c>
      <c r="B224" s="367" t="s">
        <v>1330</v>
      </c>
      <c r="C224" s="367" t="s">
        <v>466</v>
      </c>
      <c r="D224" s="367" t="s">
        <v>1335</v>
      </c>
      <c r="E224" s="503" t="s">
        <v>1292</v>
      </c>
      <c r="F224" s="570">
        <v>44624</v>
      </c>
      <c r="G224" s="85" t="s">
        <v>59</v>
      </c>
      <c r="H224" s="85" t="s">
        <v>92</v>
      </c>
      <c r="I224" s="85" t="s">
        <v>358</v>
      </c>
      <c r="J224" s="675" t="s">
        <v>358</v>
      </c>
      <c r="K224" s="85" t="s">
        <v>358</v>
      </c>
      <c r="L224" s="85" t="s">
        <v>40</v>
      </c>
      <c r="M224" s="85" t="s">
        <v>6</v>
      </c>
      <c r="N224" s="668" t="s">
        <v>44</v>
      </c>
      <c r="O224" s="669"/>
      <c r="P224" s="615">
        <v>0.54910700000000001</v>
      </c>
      <c r="Q224" s="615"/>
      <c r="R224" s="615"/>
      <c r="S224" s="615"/>
      <c r="T224" s="615"/>
      <c r="U224" s="615"/>
      <c r="V224" s="615"/>
      <c r="W224" s="615"/>
      <c r="X224" s="615"/>
      <c r="Y224" s="615"/>
      <c r="Z224" s="635"/>
      <c r="AA224" s="636"/>
      <c r="AB224" s="615"/>
      <c r="AC224" s="615"/>
      <c r="AD224" s="615"/>
      <c r="AE224" s="615"/>
      <c r="AF224" s="615"/>
      <c r="AG224" s="615"/>
      <c r="AH224" s="615"/>
      <c r="AI224" s="615"/>
      <c r="AJ224" s="615"/>
      <c r="AK224" s="615"/>
      <c r="AL224" s="635"/>
      <c r="AM224" s="636"/>
      <c r="AN224" s="615"/>
      <c r="AO224" s="615"/>
      <c r="AP224" s="615"/>
      <c r="AQ224" s="615"/>
      <c r="AR224" s="615"/>
      <c r="AS224" s="615"/>
      <c r="AT224" s="615"/>
      <c r="AU224" s="615"/>
      <c r="AV224" s="615"/>
      <c r="AW224" s="615"/>
      <c r="AX224" s="635"/>
      <c r="AY224" s="636"/>
      <c r="AZ224" s="615"/>
      <c r="BA224" s="615"/>
      <c r="BB224" s="615"/>
      <c r="BC224" s="615"/>
      <c r="BD224" s="615"/>
      <c r="BE224" s="615"/>
      <c r="BF224" s="615"/>
      <c r="BG224" s="615"/>
      <c r="BH224" s="615"/>
      <c r="BI224" s="615"/>
      <c r="BJ224" s="635"/>
      <c r="BK224" s="636"/>
      <c r="BL224" s="615"/>
      <c r="BM224" s="615"/>
      <c r="BN224" s="615"/>
      <c r="BO224" s="615"/>
      <c r="BP224" s="615"/>
      <c r="BQ224" s="615"/>
      <c r="BR224" s="615"/>
      <c r="BS224" s="615"/>
      <c r="BT224" s="615"/>
      <c r="BU224" s="615"/>
      <c r="BV224" s="637"/>
      <c r="BW224" s="669"/>
      <c r="BX224" s="615">
        <v>260.7</v>
      </c>
      <c r="BY224" s="615"/>
      <c r="BZ224" s="615"/>
      <c r="CA224" s="615"/>
      <c r="CB224" s="615"/>
      <c r="CC224" s="615"/>
      <c r="CD224" s="615"/>
      <c r="CE224" s="615"/>
      <c r="CF224" s="615"/>
      <c r="CG224" s="615"/>
      <c r="CH224" s="635"/>
      <c r="CI224" s="636"/>
      <c r="CJ224" s="615"/>
      <c r="CK224" s="615"/>
      <c r="CL224" s="615"/>
      <c r="CM224" s="615"/>
      <c r="CN224" s="615"/>
      <c r="CO224" s="615"/>
      <c r="CP224" s="615"/>
      <c r="CQ224" s="615"/>
      <c r="CR224" s="615"/>
      <c r="CS224" s="615"/>
      <c r="CT224" s="635"/>
      <c r="CU224" s="636"/>
      <c r="CV224" s="615"/>
      <c r="CW224" s="615"/>
      <c r="CX224" s="615"/>
      <c r="CY224" s="615"/>
      <c r="CZ224" s="615"/>
      <c r="DA224" s="615"/>
      <c r="DB224" s="615"/>
      <c r="DC224" s="615"/>
      <c r="DD224" s="615"/>
      <c r="DE224" s="615"/>
      <c r="DF224" s="635"/>
      <c r="DG224" s="636"/>
      <c r="DH224" s="615"/>
      <c r="DI224" s="615"/>
      <c r="DJ224" s="615"/>
      <c r="DK224" s="615"/>
      <c r="DL224" s="615"/>
      <c r="DM224" s="615"/>
      <c r="DN224" s="615"/>
      <c r="DO224" s="615"/>
      <c r="DP224" s="615"/>
      <c r="DQ224" s="615"/>
      <c r="DR224" s="635"/>
      <c r="DS224" s="636"/>
      <c r="DT224" s="615"/>
      <c r="DU224" s="615"/>
      <c r="DV224" s="615"/>
      <c r="DW224" s="615"/>
      <c r="DX224" s="615"/>
      <c r="DY224" s="615"/>
      <c r="DZ224" s="615"/>
      <c r="EA224" s="615"/>
      <c r="EB224" s="615"/>
      <c r="EC224" s="615"/>
      <c r="ED224" s="637"/>
      <c r="EE224" s="692"/>
    </row>
    <row r="225" spans="1:135" x14ac:dyDescent="0.25">
      <c r="A225" s="640" t="s">
        <v>11</v>
      </c>
      <c r="B225" s="367" t="s">
        <v>1332</v>
      </c>
      <c r="C225" s="367" t="s">
        <v>1135</v>
      </c>
      <c r="D225" s="367" t="s">
        <v>1345</v>
      </c>
      <c r="E225" s="503">
        <v>22420</v>
      </c>
      <c r="F225" s="570">
        <v>44624</v>
      </c>
      <c r="G225" s="85" t="s">
        <v>59</v>
      </c>
      <c r="H225" s="85" t="s">
        <v>54</v>
      </c>
      <c r="I225" s="85" t="s">
        <v>358</v>
      </c>
      <c r="J225" s="675" t="s">
        <v>358</v>
      </c>
      <c r="K225" s="85" t="s">
        <v>358</v>
      </c>
      <c r="L225" s="85" t="s">
        <v>40</v>
      </c>
      <c r="M225" s="85" t="s">
        <v>3</v>
      </c>
      <c r="N225" s="668" t="s">
        <v>44</v>
      </c>
      <c r="O225" s="669"/>
      <c r="P225" s="615"/>
      <c r="Q225" s="615"/>
      <c r="R225" s="615"/>
      <c r="S225" s="615"/>
      <c r="T225" s="615"/>
      <c r="U225" s="615"/>
      <c r="V225" s="615"/>
      <c r="W225" s="615">
        <v>3</v>
      </c>
      <c r="X225" s="615"/>
      <c r="Y225" s="615"/>
      <c r="Z225" s="635"/>
      <c r="AA225" s="636"/>
      <c r="AB225" s="615"/>
      <c r="AC225" s="615"/>
      <c r="AD225" s="615"/>
      <c r="AE225" s="615"/>
      <c r="AF225" s="615"/>
      <c r="AG225" s="615"/>
      <c r="AH225" s="615"/>
      <c r="AI225" s="615"/>
      <c r="AJ225" s="615"/>
      <c r="AK225" s="615"/>
      <c r="AL225" s="635"/>
      <c r="AM225" s="636"/>
      <c r="AN225" s="615"/>
      <c r="AO225" s="615"/>
      <c r="AP225" s="615"/>
      <c r="AQ225" s="615"/>
      <c r="AR225" s="615"/>
      <c r="AS225" s="615"/>
      <c r="AT225" s="615"/>
      <c r="AU225" s="615"/>
      <c r="AV225" s="615"/>
      <c r="AW225" s="615"/>
      <c r="AX225" s="635"/>
      <c r="AY225" s="636"/>
      <c r="AZ225" s="615"/>
      <c r="BA225" s="615"/>
      <c r="BB225" s="615"/>
      <c r="BC225" s="615"/>
      <c r="BD225" s="615"/>
      <c r="BE225" s="615"/>
      <c r="BF225" s="615"/>
      <c r="BG225" s="615"/>
      <c r="BH225" s="615"/>
      <c r="BI225" s="615"/>
      <c r="BJ225" s="635"/>
      <c r="BK225" s="636"/>
      <c r="BL225" s="615"/>
      <c r="BM225" s="615"/>
      <c r="BN225" s="615"/>
      <c r="BO225" s="615"/>
      <c r="BP225" s="615"/>
      <c r="BQ225" s="615"/>
      <c r="BR225" s="615"/>
      <c r="BS225" s="615"/>
      <c r="BT225" s="615"/>
      <c r="BU225" s="615"/>
      <c r="BV225" s="637"/>
      <c r="BW225" s="669"/>
      <c r="BX225" s="615"/>
      <c r="BY225" s="615"/>
      <c r="BZ225" s="615"/>
      <c r="CA225" s="615"/>
      <c r="CB225" s="615"/>
      <c r="CC225" s="615"/>
      <c r="CD225" s="615"/>
      <c r="CE225" s="615">
        <v>192</v>
      </c>
      <c r="CF225" s="615"/>
      <c r="CG225" s="615"/>
      <c r="CH225" s="635"/>
      <c r="CI225" s="636"/>
      <c r="CJ225" s="615"/>
      <c r="CK225" s="615"/>
      <c r="CL225" s="615"/>
      <c r="CM225" s="615"/>
      <c r="CN225" s="615"/>
      <c r="CO225" s="615"/>
      <c r="CP225" s="615"/>
      <c r="CQ225" s="615"/>
      <c r="CR225" s="615"/>
      <c r="CS225" s="615"/>
      <c r="CT225" s="635"/>
      <c r="CU225" s="636"/>
      <c r="CV225" s="615"/>
      <c r="CW225" s="615"/>
      <c r="CX225" s="615"/>
      <c r="CY225" s="615"/>
      <c r="CZ225" s="615"/>
      <c r="DA225" s="615"/>
      <c r="DB225" s="615"/>
      <c r="DC225" s="615"/>
      <c r="DD225" s="615"/>
      <c r="DE225" s="615"/>
      <c r="DF225" s="635"/>
      <c r="DG225" s="636"/>
      <c r="DH225" s="615"/>
      <c r="DI225" s="615"/>
      <c r="DJ225" s="615"/>
      <c r="DK225" s="615"/>
      <c r="DL225" s="615"/>
      <c r="DM225" s="615"/>
      <c r="DN225" s="615"/>
      <c r="DO225" s="615"/>
      <c r="DP225" s="615"/>
      <c r="DQ225" s="615"/>
      <c r="DR225" s="635"/>
      <c r="DS225" s="636"/>
      <c r="DT225" s="615"/>
      <c r="DU225" s="615"/>
      <c r="DV225" s="615"/>
      <c r="DW225" s="615"/>
      <c r="DX225" s="615"/>
      <c r="DY225" s="615"/>
      <c r="DZ225" s="615"/>
      <c r="EA225" s="615"/>
      <c r="EB225" s="615"/>
      <c r="EC225" s="615"/>
      <c r="ED225" s="637"/>
      <c r="EE225" s="692"/>
    </row>
    <row r="226" spans="1:135" x14ac:dyDescent="0.25">
      <c r="A226" s="640" t="s">
        <v>12</v>
      </c>
      <c r="B226" s="367" t="s">
        <v>1334</v>
      </c>
      <c r="C226" s="367" t="s">
        <v>1073</v>
      </c>
      <c r="D226" s="367" t="s">
        <v>1347</v>
      </c>
      <c r="E226" s="503">
        <v>21700</v>
      </c>
      <c r="F226" s="570">
        <v>44624</v>
      </c>
      <c r="G226" s="85" t="s">
        <v>59</v>
      </c>
      <c r="H226" s="85" t="s">
        <v>92</v>
      </c>
      <c r="I226" s="85" t="s">
        <v>358</v>
      </c>
      <c r="J226" s="675" t="s">
        <v>358</v>
      </c>
      <c r="K226" s="85" t="s">
        <v>358</v>
      </c>
      <c r="L226" s="85" t="s">
        <v>40</v>
      </c>
      <c r="M226" s="85" t="s">
        <v>5</v>
      </c>
      <c r="N226" s="668" t="s">
        <v>44</v>
      </c>
      <c r="O226" s="669"/>
      <c r="P226" s="615">
        <v>10</v>
      </c>
      <c r="Q226" s="615"/>
      <c r="R226" s="615"/>
      <c r="S226" s="615"/>
      <c r="T226" s="615"/>
      <c r="U226" s="615"/>
      <c r="V226" s="615"/>
      <c r="W226" s="615"/>
      <c r="X226" s="615"/>
      <c r="Y226" s="615"/>
      <c r="Z226" s="635"/>
      <c r="AA226" s="636"/>
      <c r="AB226" s="615"/>
      <c r="AC226" s="615"/>
      <c r="AD226" s="615"/>
      <c r="AE226" s="615"/>
      <c r="AF226" s="615"/>
      <c r="AG226" s="615"/>
      <c r="AH226" s="615"/>
      <c r="AI226" s="615"/>
      <c r="AJ226" s="615"/>
      <c r="AK226" s="615"/>
      <c r="AL226" s="635"/>
      <c r="AM226" s="636"/>
      <c r="AN226" s="615"/>
      <c r="AO226" s="615"/>
      <c r="AP226" s="615"/>
      <c r="AQ226" s="615"/>
      <c r="AR226" s="615"/>
      <c r="AS226" s="615"/>
      <c r="AT226" s="615"/>
      <c r="AU226" s="615"/>
      <c r="AV226" s="615"/>
      <c r="AW226" s="615"/>
      <c r="AX226" s="635"/>
      <c r="AY226" s="636"/>
      <c r="AZ226" s="615"/>
      <c r="BA226" s="615"/>
      <c r="BB226" s="615"/>
      <c r="BC226" s="615"/>
      <c r="BD226" s="615"/>
      <c r="BE226" s="615"/>
      <c r="BF226" s="615"/>
      <c r="BG226" s="615"/>
      <c r="BH226" s="615"/>
      <c r="BI226" s="615"/>
      <c r="BJ226" s="635"/>
      <c r="BK226" s="636"/>
      <c r="BL226" s="615"/>
      <c r="BM226" s="615"/>
      <c r="BN226" s="615"/>
      <c r="BO226" s="615"/>
      <c r="BP226" s="615"/>
      <c r="BQ226" s="615"/>
      <c r="BR226" s="615"/>
      <c r="BS226" s="615"/>
      <c r="BT226" s="615"/>
      <c r="BU226" s="615"/>
      <c r="BV226" s="637"/>
      <c r="BW226" s="669"/>
      <c r="BX226" s="615">
        <v>97.7</v>
      </c>
      <c r="BY226" s="615"/>
      <c r="BZ226" s="615"/>
      <c r="CA226" s="615"/>
      <c r="CB226" s="615"/>
      <c r="CC226" s="615"/>
      <c r="CD226" s="615"/>
      <c r="CE226" s="615"/>
      <c r="CF226" s="615"/>
      <c r="CG226" s="615"/>
      <c r="CH226" s="635"/>
      <c r="CI226" s="636"/>
      <c r="CJ226" s="615"/>
      <c r="CK226" s="615"/>
      <c r="CL226" s="615"/>
      <c r="CM226" s="615"/>
      <c r="CN226" s="615"/>
      <c r="CO226" s="615"/>
      <c r="CP226" s="615"/>
      <c r="CQ226" s="615"/>
      <c r="CR226" s="615"/>
      <c r="CS226" s="615"/>
      <c r="CT226" s="635"/>
      <c r="CU226" s="636"/>
      <c r="CV226" s="615"/>
      <c r="CW226" s="615"/>
      <c r="CX226" s="615"/>
      <c r="CY226" s="615"/>
      <c r="CZ226" s="615"/>
      <c r="DA226" s="615"/>
      <c r="DB226" s="615"/>
      <c r="DC226" s="615"/>
      <c r="DD226" s="615"/>
      <c r="DE226" s="615"/>
      <c r="DF226" s="635"/>
      <c r="DG226" s="636"/>
      <c r="DH226" s="615"/>
      <c r="DI226" s="615"/>
      <c r="DJ226" s="615"/>
      <c r="DK226" s="615"/>
      <c r="DL226" s="615"/>
      <c r="DM226" s="615"/>
      <c r="DN226" s="615"/>
      <c r="DO226" s="615"/>
      <c r="DP226" s="615"/>
      <c r="DQ226" s="615"/>
      <c r="DR226" s="635"/>
      <c r="DS226" s="636"/>
      <c r="DT226" s="615"/>
      <c r="DU226" s="615"/>
      <c r="DV226" s="615"/>
      <c r="DW226" s="615"/>
      <c r="DX226" s="615"/>
      <c r="DY226" s="615"/>
      <c r="DZ226" s="615"/>
      <c r="EA226" s="615"/>
      <c r="EB226" s="615"/>
      <c r="EC226" s="615"/>
      <c r="ED226" s="637"/>
      <c r="EE226" s="692"/>
    </row>
    <row r="227" spans="1:135" x14ac:dyDescent="0.25">
      <c r="A227" s="640" t="s">
        <v>12</v>
      </c>
      <c r="B227" s="367" t="s">
        <v>1336</v>
      </c>
      <c r="C227" s="367" t="s">
        <v>475</v>
      </c>
      <c r="D227" s="367" t="s">
        <v>1356</v>
      </c>
      <c r="E227" s="503" t="s">
        <v>1348</v>
      </c>
      <c r="F227" s="570">
        <v>44627</v>
      </c>
      <c r="G227" s="85" t="s">
        <v>59</v>
      </c>
      <c r="H227" s="85" t="s">
        <v>92</v>
      </c>
      <c r="I227" s="85" t="s">
        <v>358</v>
      </c>
      <c r="J227" s="675" t="s">
        <v>358</v>
      </c>
      <c r="K227" s="85" t="s">
        <v>358</v>
      </c>
      <c r="L227" s="85" t="s">
        <v>40</v>
      </c>
      <c r="M227" s="85" t="s">
        <v>5</v>
      </c>
      <c r="N227" s="668" t="s">
        <v>44</v>
      </c>
      <c r="O227" s="669"/>
      <c r="P227" s="615">
        <v>0.6</v>
      </c>
      <c r="Q227" s="615"/>
      <c r="R227" s="615"/>
      <c r="S227" s="615"/>
      <c r="T227" s="615"/>
      <c r="U227" s="615"/>
      <c r="V227" s="615"/>
      <c r="W227" s="615"/>
      <c r="X227" s="615"/>
      <c r="Y227" s="615"/>
      <c r="Z227" s="635"/>
      <c r="AA227" s="636"/>
      <c r="AB227" s="615"/>
      <c r="AC227" s="615"/>
      <c r="AD227" s="615"/>
      <c r="AE227" s="615"/>
      <c r="AF227" s="615"/>
      <c r="AG227" s="615"/>
      <c r="AH227" s="615"/>
      <c r="AI227" s="615"/>
      <c r="AJ227" s="615"/>
      <c r="AK227" s="615"/>
      <c r="AL227" s="635"/>
      <c r="AM227" s="636"/>
      <c r="AN227" s="615"/>
      <c r="AO227" s="615"/>
      <c r="AP227" s="615"/>
      <c r="AQ227" s="615"/>
      <c r="AR227" s="615"/>
      <c r="AS227" s="615"/>
      <c r="AT227" s="615"/>
      <c r="AU227" s="615"/>
      <c r="AV227" s="615"/>
      <c r="AW227" s="615"/>
      <c r="AX227" s="635"/>
      <c r="AY227" s="636"/>
      <c r="AZ227" s="615"/>
      <c r="BA227" s="615"/>
      <c r="BB227" s="615"/>
      <c r="BC227" s="615"/>
      <c r="BD227" s="615"/>
      <c r="BE227" s="615"/>
      <c r="BF227" s="615"/>
      <c r="BG227" s="615"/>
      <c r="BH227" s="615"/>
      <c r="BI227" s="615"/>
      <c r="BJ227" s="635"/>
      <c r="BK227" s="636"/>
      <c r="BL227" s="615"/>
      <c r="BM227" s="615"/>
      <c r="BN227" s="615"/>
      <c r="BO227" s="615"/>
      <c r="BP227" s="615"/>
      <c r="BQ227" s="615"/>
      <c r="BR227" s="615"/>
      <c r="BS227" s="615"/>
      <c r="BT227" s="615"/>
      <c r="BU227" s="615"/>
      <c r="BV227" s="637"/>
      <c r="BW227" s="669"/>
      <c r="BX227" s="615">
        <v>98.7</v>
      </c>
      <c r="BY227" s="615"/>
      <c r="BZ227" s="615"/>
      <c r="CA227" s="615"/>
      <c r="CB227" s="615"/>
      <c r="CC227" s="615"/>
      <c r="CD227" s="615"/>
      <c r="CE227" s="615"/>
      <c r="CF227" s="615"/>
      <c r="CG227" s="615"/>
      <c r="CH227" s="635"/>
      <c r="CI227" s="636"/>
      <c r="CJ227" s="615"/>
      <c r="CK227" s="615"/>
      <c r="CL227" s="615"/>
      <c r="CM227" s="615"/>
      <c r="CN227" s="615"/>
      <c r="CO227" s="615"/>
      <c r="CP227" s="615"/>
      <c r="CQ227" s="615"/>
      <c r="CR227" s="615"/>
      <c r="CS227" s="615"/>
      <c r="CT227" s="635"/>
      <c r="CU227" s="636"/>
      <c r="CV227" s="615"/>
      <c r="CW227" s="615"/>
      <c r="CX227" s="615"/>
      <c r="CY227" s="615"/>
      <c r="CZ227" s="615"/>
      <c r="DA227" s="615"/>
      <c r="DB227" s="615"/>
      <c r="DC227" s="615"/>
      <c r="DD227" s="615"/>
      <c r="DE227" s="615"/>
      <c r="DF227" s="635"/>
      <c r="DG227" s="636"/>
      <c r="DH227" s="615"/>
      <c r="DI227" s="615"/>
      <c r="DJ227" s="615"/>
      <c r="DK227" s="615"/>
      <c r="DL227" s="615"/>
      <c r="DM227" s="615"/>
      <c r="DN227" s="615"/>
      <c r="DO227" s="615"/>
      <c r="DP227" s="615"/>
      <c r="DQ227" s="615"/>
      <c r="DR227" s="635"/>
      <c r="DS227" s="636"/>
      <c r="DT227" s="615"/>
      <c r="DU227" s="615"/>
      <c r="DV227" s="615"/>
      <c r="DW227" s="615"/>
      <c r="DX227" s="615"/>
      <c r="DY227" s="615"/>
      <c r="DZ227" s="615"/>
      <c r="EA227" s="615"/>
      <c r="EB227" s="615"/>
      <c r="EC227" s="615"/>
      <c r="ED227" s="637"/>
      <c r="EE227" s="692"/>
    </row>
    <row r="228" spans="1:135" x14ac:dyDescent="0.25">
      <c r="A228" s="640" t="s">
        <v>12</v>
      </c>
      <c r="B228" s="367" t="s">
        <v>1338</v>
      </c>
      <c r="C228" s="367" t="s">
        <v>620</v>
      </c>
      <c r="D228" s="367" t="s">
        <v>1358</v>
      </c>
      <c r="E228" s="503" t="s">
        <v>1349</v>
      </c>
      <c r="F228" s="570">
        <v>44627</v>
      </c>
      <c r="G228" s="85" t="s">
        <v>59</v>
      </c>
      <c r="H228" s="85" t="s">
        <v>92</v>
      </c>
      <c r="I228" s="85" t="s">
        <v>358</v>
      </c>
      <c r="J228" s="675" t="s">
        <v>358</v>
      </c>
      <c r="K228" s="85" t="s">
        <v>358</v>
      </c>
      <c r="L228" s="85" t="s">
        <v>40</v>
      </c>
      <c r="M228" s="85" t="s">
        <v>3</v>
      </c>
      <c r="N228" s="668" t="s">
        <v>44</v>
      </c>
      <c r="O228" s="669"/>
      <c r="P228" s="615">
        <v>2.9</v>
      </c>
      <c r="Q228" s="615"/>
      <c r="R228" s="615"/>
      <c r="S228" s="615"/>
      <c r="T228" s="615"/>
      <c r="U228" s="615"/>
      <c r="V228" s="615"/>
      <c r="W228" s="615"/>
      <c r="X228" s="615"/>
      <c r="Y228" s="615"/>
      <c r="Z228" s="635"/>
      <c r="AA228" s="636"/>
      <c r="AB228" s="615"/>
      <c r="AC228" s="615"/>
      <c r="AD228" s="615"/>
      <c r="AE228" s="615"/>
      <c r="AF228" s="615"/>
      <c r="AG228" s="615"/>
      <c r="AH228" s="615"/>
      <c r="AI228" s="615"/>
      <c r="AJ228" s="615"/>
      <c r="AK228" s="615"/>
      <c r="AL228" s="635"/>
      <c r="AM228" s="636"/>
      <c r="AN228" s="615"/>
      <c r="AO228" s="615"/>
      <c r="AP228" s="615"/>
      <c r="AQ228" s="615"/>
      <c r="AR228" s="615"/>
      <c r="AS228" s="615"/>
      <c r="AT228" s="615"/>
      <c r="AU228" s="615"/>
      <c r="AV228" s="615"/>
      <c r="AW228" s="615"/>
      <c r="AX228" s="635"/>
      <c r="AY228" s="636"/>
      <c r="AZ228" s="615"/>
      <c r="BA228" s="615"/>
      <c r="BB228" s="615"/>
      <c r="BC228" s="615"/>
      <c r="BD228" s="615"/>
      <c r="BE228" s="615"/>
      <c r="BF228" s="615"/>
      <c r="BG228" s="615"/>
      <c r="BH228" s="615"/>
      <c r="BI228" s="615"/>
      <c r="BJ228" s="635"/>
      <c r="BK228" s="636"/>
      <c r="BL228" s="615"/>
      <c r="BM228" s="615"/>
      <c r="BN228" s="615"/>
      <c r="BO228" s="615"/>
      <c r="BP228" s="615"/>
      <c r="BQ228" s="615"/>
      <c r="BR228" s="615"/>
      <c r="BS228" s="615"/>
      <c r="BT228" s="615"/>
      <c r="BU228" s="615"/>
      <c r="BV228" s="637"/>
      <c r="BW228" s="669"/>
      <c r="BX228" s="615">
        <v>57</v>
      </c>
      <c r="BY228" s="615"/>
      <c r="BZ228" s="615"/>
      <c r="CA228" s="615"/>
      <c r="CB228" s="615"/>
      <c r="CC228" s="615"/>
      <c r="CD228" s="615"/>
      <c r="CE228" s="615"/>
      <c r="CF228" s="615"/>
      <c r="CG228" s="615"/>
      <c r="CH228" s="635"/>
      <c r="CI228" s="636"/>
      <c r="CJ228" s="615"/>
      <c r="CK228" s="615"/>
      <c r="CL228" s="615"/>
      <c r="CM228" s="615"/>
      <c r="CN228" s="615"/>
      <c r="CO228" s="615"/>
      <c r="CP228" s="615"/>
      <c r="CQ228" s="615"/>
      <c r="CR228" s="615"/>
      <c r="CS228" s="615"/>
      <c r="CT228" s="635"/>
      <c r="CU228" s="636"/>
      <c r="CV228" s="615"/>
      <c r="CW228" s="615"/>
      <c r="CX228" s="615"/>
      <c r="CY228" s="615"/>
      <c r="CZ228" s="615"/>
      <c r="DA228" s="615"/>
      <c r="DB228" s="615"/>
      <c r="DC228" s="615"/>
      <c r="DD228" s="615"/>
      <c r="DE228" s="615"/>
      <c r="DF228" s="635"/>
      <c r="DG228" s="636"/>
      <c r="DH228" s="615"/>
      <c r="DI228" s="615"/>
      <c r="DJ228" s="615"/>
      <c r="DK228" s="615"/>
      <c r="DL228" s="615"/>
      <c r="DM228" s="615"/>
      <c r="DN228" s="615"/>
      <c r="DO228" s="615"/>
      <c r="DP228" s="615"/>
      <c r="DQ228" s="615"/>
      <c r="DR228" s="635"/>
      <c r="DS228" s="636"/>
      <c r="DT228" s="615"/>
      <c r="DU228" s="615"/>
      <c r="DV228" s="615"/>
      <c r="DW228" s="615"/>
      <c r="DX228" s="615"/>
      <c r="DY228" s="615"/>
      <c r="DZ228" s="615"/>
      <c r="EA228" s="615"/>
      <c r="EB228" s="615"/>
      <c r="EC228" s="615"/>
      <c r="ED228" s="637"/>
      <c r="EE228" s="692"/>
    </row>
    <row r="229" spans="1:135" x14ac:dyDescent="0.25">
      <c r="A229" s="640" t="s">
        <v>12</v>
      </c>
      <c r="B229" s="367" t="s">
        <v>1340</v>
      </c>
      <c r="C229" s="367" t="s">
        <v>1167</v>
      </c>
      <c r="D229" s="367" t="s">
        <v>1359</v>
      </c>
      <c r="E229" s="503" t="s">
        <v>1350</v>
      </c>
      <c r="F229" s="570">
        <v>44627</v>
      </c>
      <c r="G229" s="85" t="s">
        <v>59</v>
      </c>
      <c r="H229" s="85" t="s">
        <v>92</v>
      </c>
      <c r="I229" s="85" t="s">
        <v>358</v>
      </c>
      <c r="J229" s="675" t="s">
        <v>358</v>
      </c>
      <c r="K229" s="85" t="s">
        <v>358</v>
      </c>
      <c r="L229" s="85" t="s">
        <v>40</v>
      </c>
      <c r="M229" s="85" t="s">
        <v>5</v>
      </c>
      <c r="N229" s="668" t="s">
        <v>44</v>
      </c>
      <c r="O229" s="669"/>
      <c r="P229" s="615">
        <v>6.48</v>
      </c>
      <c r="Q229" s="615"/>
      <c r="R229" s="615"/>
      <c r="S229" s="615"/>
      <c r="T229" s="615"/>
      <c r="U229" s="615"/>
      <c r="V229" s="615"/>
      <c r="W229" s="615"/>
      <c r="X229" s="615"/>
      <c r="Y229" s="615"/>
      <c r="Z229" s="635"/>
      <c r="AA229" s="636"/>
      <c r="AB229" s="615"/>
      <c r="AC229" s="615"/>
      <c r="AD229" s="615"/>
      <c r="AE229" s="615"/>
      <c r="AF229" s="615"/>
      <c r="AG229" s="615"/>
      <c r="AH229" s="615"/>
      <c r="AI229" s="615"/>
      <c r="AJ229" s="615"/>
      <c r="AK229" s="615"/>
      <c r="AL229" s="635"/>
      <c r="AM229" s="636"/>
      <c r="AN229" s="615"/>
      <c r="AO229" s="615"/>
      <c r="AP229" s="615"/>
      <c r="AQ229" s="615"/>
      <c r="AR229" s="615"/>
      <c r="AS229" s="615"/>
      <c r="AT229" s="615"/>
      <c r="AU229" s="615"/>
      <c r="AV229" s="615"/>
      <c r="AW229" s="615"/>
      <c r="AX229" s="635"/>
      <c r="AY229" s="636"/>
      <c r="AZ229" s="615"/>
      <c r="BA229" s="615"/>
      <c r="BB229" s="615"/>
      <c r="BC229" s="615"/>
      <c r="BD229" s="615"/>
      <c r="BE229" s="615"/>
      <c r="BF229" s="615"/>
      <c r="BG229" s="615"/>
      <c r="BH229" s="615"/>
      <c r="BI229" s="615"/>
      <c r="BJ229" s="635"/>
      <c r="BK229" s="636"/>
      <c r="BL229" s="615"/>
      <c r="BM229" s="615"/>
      <c r="BN229" s="615"/>
      <c r="BO229" s="615"/>
      <c r="BP229" s="615"/>
      <c r="BQ229" s="615"/>
      <c r="BR229" s="615"/>
      <c r="BS229" s="615"/>
      <c r="BT229" s="615"/>
      <c r="BU229" s="615"/>
      <c r="BV229" s="637"/>
      <c r="BW229" s="669"/>
      <c r="BX229" s="615">
        <v>98.2</v>
      </c>
      <c r="BY229" s="615"/>
      <c r="BZ229" s="615"/>
      <c r="CA229" s="615"/>
      <c r="CB229" s="615"/>
      <c r="CC229" s="615"/>
      <c r="CD229" s="615"/>
      <c r="CE229" s="615"/>
      <c r="CF229" s="615"/>
      <c r="CG229" s="615"/>
      <c r="CH229" s="635"/>
      <c r="CI229" s="636"/>
      <c r="CJ229" s="615"/>
      <c r="CK229" s="615"/>
      <c r="CL229" s="615"/>
      <c r="CM229" s="615"/>
      <c r="CN229" s="615"/>
      <c r="CO229" s="615"/>
      <c r="CP229" s="615"/>
      <c r="CQ229" s="615"/>
      <c r="CR229" s="615"/>
      <c r="CS229" s="615"/>
      <c r="CT229" s="635"/>
      <c r="CU229" s="636"/>
      <c r="CV229" s="615"/>
      <c r="CW229" s="615"/>
      <c r="CX229" s="615"/>
      <c r="CY229" s="615"/>
      <c r="CZ229" s="615"/>
      <c r="DA229" s="615"/>
      <c r="DB229" s="615"/>
      <c r="DC229" s="615"/>
      <c r="DD229" s="615"/>
      <c r="DE229" s="615"/>
      <c r="DF229" s="635"/>
      <c r="DG229" s="636"/>
      <c r="DH229" s="615"/>
      <c r="DI229" s="615"/>
      <c r="DJ229" s="615"/>
      <c r="DK229" s="615"/>
      <c r="DL229" s="615"/>
      <c r="DM229" s="615"/>
      <c r="DN229" s="615"/>
      <c r="DO229" s="615"/>
      <c r="DP229" s="615"/>
      <c r="DQ229" s="615"/>
      <c r="DR229" s="635"/>
      <c r="DS229" s="636"/>
      <c r="DT229" s="615"/>
      <c r="DU229" s="615"/>
      <c r="DV229" s="615"/>
      <c r="DW229" s="615"/>
      <c r="DX229" s="615"/>
      <c r="DY229" s="615"/>
      <c r="DZ229" s="615"/>
      <c r="EA229" s="615"/>
      <c r="EB229" s="615"/>
      <c r="EC229" s="615"/>
      <c r="ED229" s="637"/>
      <c r="EE229" s="692"/>
    </row>
    <row r="230" spans="1:135" x14ac:dyDescent="0.25">
      <c r="A230" s="640" t="s">
        <v>12</v>
      </c>
      <c r="B230" s="367" t="s">
        <v>1342</v>
      </c>
      <c r="C230" s="367" t="s">
        <v>1167</v>
      </c>
      <c r="D230" s="367" t="s">
        <v>1360</v>
      </c>
      <c r="E230" s="503" t="s">
        <v>1351</v>
      </c>
      <c r="F230" s="570">
        <v>44627</v>
      </c>
      <c r="G230" s="85" t="s">
        <v>59</v>
      </c>
      <c r="H230" s="85" t="s">
        <v>92</v>
      </c>
      <c r="I230" s="85" t="s">
        <v>358</v>
      </c>
      <c r="J230" s="675" t="s">
        <v>358</v>
      </c>
      <c r="K230" s="85" t="s">
        <v>358</v>
      </c>
      <c r="L230" s="85" t="s">
        <v>40</v>
      </c>
      <c r="M230" s="85" t="s">
        <v>5</v>
      </c>
      <c r="N230" s="668" t="s">
        <v>44</v>
      </c>
      <c r="O230" s="669"/>
      <c r="P230" s="615">
        <v>5</v>
      </c>
      <c r="Q230" s="615"/>
      <c r="R230" s="615"/>
      <c r="S230" s="615"/>
      <c r="T230" s="615"/>
      <c r="U230" s="615"/>
      <c r="V230" s="615"/>
      <c r="W230" s="615"/>
      <c r="X230" s="615"/>
      <c r="Y230" s="615"/>
      <c r="Z230" s="635"/>
      <c r="AA230" s="636"/>
      <c r="AB230" s="615"/>
      <c r="AC230" s="615"/>
      <c r="AD230" s="615"/>
      <c r="AE230" s="615"/>
      <c r="AF230" s="615"/>
      <c r="AG230" s="615"/>
      <c r="AH230" s="615"/>
      <c r="AI230" s="615"/>
      <c r="AJ230" s="615"/>
      <c r="AK230" s="615"/>
      <c r="AL230" s="635"/>
      <c r="AM230" s="636"/>
      <c r="AN230" s="615"/>
      <c r="AO230" s="615"/>
      <c r="AP230" s="615"/>
      <c r="AQ230" s="615"/>
      <c r="AR230" s="615"/>
      <c r="AS230" s="615"/>
      <c r="AT230" s="615"/>
      <c r="AU230" s="615"/>
      <c r="AV230" s="615"/>
      <c r="AW230" s="615"/>
      <c r="AX230" s="635"/>
      <c r="AY230" s="636"/>
      <c r="AZ230" s="615"/>
      <c r="BA230" s="615"/>
      <c r="BB230" s="615"/>
      <c r="BC230" s="615"/>
      <c r="BD230" s="615"/>
      <c r="BE230" s="615"/>
      <c r="BF230" s="615"/>
      <c r="BG230" s="615"/>
      <c r="BH230" s="615"/>
      <c r="BI230" s="615"/>
      <c r="BJ230" s="635"/>
      <c r="BK230" s="636"/>
      <c r="BL230" s="615"/>
      <c r="BM230" s="615"/>
      <c r="BN230" s="615"/>
      <c r="BO230" s="615"/>
      <c r="BP230" s="615"/>
      <c r="BQ230" s="615"/>
      <c r="BR230" s="615"/>
      <c r="BS230" s="615"/>
      <c r="BT230" s="615"/>
      <c r="BU230" s="615"/>
      <c r="BV230" s="637"/>
      <c r="BW230" s="669"/>
      <c r="BX230" s="615">
        <v>98.2</v>
      </c>
      <c r="BY230" s="615"/>
      <c r="BZ230" s="615"/>
      <c r="CA230" s="615"/>
      <c r="CB230" s="615"/>
      <c r="CC230" s="615"/>
      <c r="CD230" s="615"/>
      <c r="CE230" s="615"/>
      <c r="CF230" s="615"/>
      <c r="CG230" s="615"/>
      <c r="CH230" s="635"/>
      <c r="CI230" s="636"/>
      <c r="CJ230" s="615"/>
      <c r="CK230" s="615"/>
      <c r="CL230" s="615"/>
      <c r="CM230" s="615"/>
      <c r="CN230" s="615"/>
      <c r="CO230" s="615"/>
      <c r="CP230" s="615"/>
      <c r="CQ230" s="615"/>
      <c r="CR230" s="615"/>
      <c r="CS230" s="615"/>
      <c r="CT230" s="635"/>
      <c r="CU230" s="636"/>
      <c r="CV230" s="615"/>
      <c r="CW230" s="615"/>
      <c r="CX230" s="615"/>
      <c r="CY230" s="615"/>
      <c r="CZ230" s="615"/>
      <c r="DA230" s="615"/>
      <c r="DB230" s="615"/>
      <c r="DC230" s="615"/>
      <c r="DD230" s="615"/>
      <c r="DE230" s="615"/>
      <c r="DF230" s="635"/>
      <c r="DG230" s="636"/>
      <c r="DH230" s="615"/>
      <c r="DI230" s="615"/>
      <c r="DJ230" s="615"/>
      <c r="DK230" s="615"/>
      <c r="DL230" s="615"/>
      <c r="DM230" s="615"/>
      <c r="DN230" s="615"/>
      <c r="DO230" s="615"/>
      <c r="DP230" s="615"/>
      <c r="DQ230" s="615"/>
      <c r="DR230" s="635"/>
      <c r="DS230" s="636"/>
      <c r="DT230" s="615"/>
      <c r="DU230" s="615"/>
      <c r="DV230" s="615"/>
      <c r="DW230" s="615"/>
      <c r="DX230" s="615"/>
      <c r="DY230" s="615"/>
      <c r="DZ230" s="615"/>
      <c r="EA230" s="615"/>
      <c r="EB230" s="615"/>
      <c r="EC230" s="615"/>
      <c r="ED230" s="637"/>
      <c r="EE230" s="692"/>
    </row>
    <row r="231" spans="1:135" x14ac:dyDescent="0.25">
      <c r="A231" s="640" t="s">
        <v>11</v>
      </c>
      <c r="B231" s="367" t="s">
        <v>1344</v>
      </c>
      <c r="C231" s="367" t="s">
        <v>478</v>
      </c>
      <c r="D231" s="367" t="s">
        <v>1361</v>
      </c>
      <c r="E231" s="503" t="s">
        <v>1352</v>
      </c>
      <c r="F231" s="570">
        <v>44627</v>
      </c>
      <c r="G231" s="85" t="s">
        <v>59</v>
      </c>
      <c r="H231" s="85" t="s">
        <v>54</v>
      </c>
      <c r="I231" s="85" t="s">
        <v>358</v>
      </c>
      <c r="J231" s="675" t="s">
        <v>358</v>
      </c>
      <c r="K231" s="85" t="s">
        <v>358</v>
      </c>
      <c r="L231" s="85" t="s">
        <v>40</v>
      </c>
      <c r="M231" s="85" t="s">
        <v>3</v>
      </c>
      <c r="N231" s="668" t="s">
        <v>44</v>
      </c>
      <c r="O231" s="669"/>
      <c r="P231" s="615"/>
      <c r="Q231" s="615">
        <v>1.8</v>
      </c>
      <c r="R231" s="615"/>
      <c r="S231" s="615"/>
      <c r="T231" s="615"/>
      <c r="U231" s="615"/>
      <c r="V231" s="615"/>
      <c r="W231" s="615"/>
      <c r="X231" s="615"/>
      <c r="Y231" s="615"/>
      <c r="Z231" s="635"/>
      <c r="AA231" s="636"/>
      <c r="AB231" s="615"/>
      <c r="AC231" s="615"/>
      <c r="AD231" s="615"/>
      <c r="AE231" s="615"/>
      <c r="AF231" s="615"/>
      <c r="AG231" s="615"/>
      <c r="AH231" s="615"/>
      <c r="AI231" s="615"/>
      <c r="AJ231" s="615"/>
      <c r="AK231" s="615"/>
      <c r="AL231" s="635"/>
      <c r="AM231" s="636"/>
      <c r="AN231" s="615"/>
      <c r="AO231" s="615"/>
      <c r="AP231" s="615"/>
      <c r="AQ231" s="615"/>
      <c r="AR231" s="615"/>
      <c r="AS231" s="615"/>
      <c r="AT231" s="615"/>
      <c r="AU231" s="615"/>
      <c r="AV231" s="615"/>
      <c r="AW231" s="615"/>
      <c r="AX231" s="635"/>
      <c r="AY231" s="636"/>
      <c r="AZ231" s="615"/>
      <c r="BA231" s="615"/>
      <c r="BB231" s="615"/>
      <c r="BC231" s="615"/>
      <c r="BD231" s="615"/>
      <c r="BE231" s="615"/>
      <c r="BF231" s="615"/>
      <c r="BG231" s="615"/>
      <c r="BH231" s="615"/>
      <c r="BI231" s="615"/>
      <c r="BJ231" s="635"/>
      <c r="BK231" s="636"/>
      <c r="BL231" s="615"/>
      <c r="BM231" s="615"/>
      <c r="BN231" s="615"/>
      <c r="BO231" s="615"/>
      <c r="BP231" s="615"/>
      <c r="BQ231" s="615"/>
      <c r="BR231" s="615"/>
      <c r="BS231" s="615"/>
      <c r="BT231" s="615"/>
      <c r="BU231" s="615"/>
      <c r="BV231" s="637"/>
      <c r="BW231" s="669"/>
      <c r="BX231" s="615"/>
      <c r="BY231" s="615">
        <v>58</v>
      </c>
      <c r="BZ231" s="615"/>
      <c r="CA231" s="615"/>
      <c r="CB231" s="615"/>
      <c r="CC231" s="615"/>
      <c r="CD231" s="615"/>
      <c r="CE231" s="615"/>
      <c r="CF231" s="615"/>
      <c r="CG231" s="615"/>
      <c r="CH231" s="635"/>
      <c r="CI231" s="636"/>
      <c r="CJ231" s="615"/>
      <c r="CK231" s="615"/>
      <c r="CL231" s="615"/>
      <c r="CM231" s="615"/>
      <c r="CN231" s="615"/>
      <c r="CO231" s="615"/>
      <c r="CP231" s="615"/>
      <c r="CQ231" s="615"/>
      <c r="CR231" s="615"/>
      <c r="CS231" s="615"/>
      <c r="CT231" s="635"/>
      <c r="CU231" s="636"/>
      <c r="CV231" s="615"/>
      <c r="CW231" s="615"/>
      <c r="CX231" s="615"/>
      <c r="CY231" s="615"/>
      <c r="CZ231" s="615"/>
      <c r="DA231" s="615"/>
      <c r="DB231" s="615"/>
      <c r="DC231" s="615"/>
      <c r="DD231" s="615"/>
      <c r="DE231" s="615"/>
      <c r="DF231" s="635"/>
      <c r="DG231" s="636"/>
      <c r="DH231" s="615"/>
      <c r="DI231" s="615"/>
      <c r="DJ231" s="615"/>
      <c r="DK231" s="615"/>
      <c r="DL231" s="615"/>
      <c r="DM231" s="615"/>
      <c r="DN231" s="615"/>
      <c r="DO231" s="615"/>
      <c r="DP231" s="615"/>
      <c r="DQ231" s="615"/>
      <c r="DR231" s="635"/>
      <c r="DS231" s="636"/>
      <c r="DT231" s="615"/>
      <c r="DU231" s="615"/>
      <c r="DV231" s="615"/>
      <c r="DW231" s="615"/>
      <c r="DX231" s="615"/>
      <c r="DY231" s="615"/>
      <c r="DZ231" s="615"/>
      <c r="EA231" s="615"/>
      <c r="EB231" s="615"/>
      <c r="EC231" s="615"/>
      <c r="ED231" s="637"/>
      <c r="EE231" s="692"/>
    </row>
    <row r="232" spans="1:135" x14ac:dyDescent="0.25">
      <c r="A232" s="640" t="s">
        <v>12</v>
      </c>
      <c r="B232" s="367" t="s">
        <v>1346</v>
      </c>
      <c r="C232" s="367" t="s">
        <v>507</v>
      </c>
      <c r="D232" s="367" t="s">
        <v>1362</v>
      </c>
      <c r="E232" s="503" t="s">
        <v>1353</v>
      </c>
      <c r="F232" s="570">
        <v>44627</v>
      </c>
      <c r="G232" s="85" t="s">
        <v>59</v>
      </c>
      <c r="H232" s="85" t="s">
        <v>92</v>
      </c>
      <c r="I232" s="85" t="s">
        <v>358</v>
      </c>
      <c r="J232" s="675" t="s">
        <v>358</v>
      </c>
      <c r="K232" s="85" t="s">
        <v>358</v>
      </c>
      <c r="L232" s="85" t="s">
        <v>40</v>
      </c>
      <c r="M232" s="85" t="s">
        <v>5</v>
      </c>
      <c r="N232" s="668" t="s">
        <v>44</v>
      </c>
      <c r="O232" s="669"/>
      <c r="P232" s="615">
        <v>0.3</v>
      </c>
      <c r="Q232" s="615"/>
      <c r="R232" s="615"/>
      <c r="S232" s="615"/>
      <c r="T232" s="615"/>
      <c r="U232" s="615"/>
      <c r="V232" s="615"/>
      <c r="W232" s="615"/>
      <c r="X232" s="615"/>
      <c r="Y232" s="615"/>
      <c r="Z232" s="635"/>
      <c r="AA232" s="636"/>
      <c r="AB232" s="615"/>
      <c r="AC232" s="615"/>
      <c r="AD232" s="615"/>
      <c r="AE232" s="615"/>
      <c r="AF232" s="615"/>
      <c r="AG232" s="615"/>
      <c r="AH232" s="615"/>
      <c r="AI232" s="615"/>
      <c r="AJ232" s="615"/>
      <c r="AK232" s="615"/>
      <c r="AL232" s="635"/>
      <c r="AM232" s="636"/>
      <c r="AN232" s="615"/>
      <c r="AO232" s="615"/>
      <c r="AP232" s="615"/>
      <c r="AQ232" s="615"/>
      <c r="AR232" s="615"/>
      <c r="AS232" s="615"/>
      <c r="AT232" s="615"/>
      <c r="AU232" s="615"/>
      <c r="AV232" s="615"/>
      <c r="AW232" s="615"/>
      <c r="AX232" s="635"/>
      <c r="AY232" s="636"/>
      <c r="AZ232" s="615"/>
      <c r="BA232" s="615"/>
      <c r="BB232" s="615"/>
      <c r="BC232" s="615"/>
      <c r="BD232" s="615"/>
      <c r="BE232" s="615"/>
      <c r="BF232" s="615"/>
      <c r="BG232" s="615"/>
      <c r="BH232" s="615"/>
      <c r="BI232" s="615"/>
      <c r="BJ232" s="635"/>
      <c r="BK232" s="636"/>
      <c r="BL232" s="615"/>
      <c r="BM232" s="615"/>
      <c r="BN232" s="615"/>
      <c r="BO232" s="615"/>
      <c r="BP232" s="615"/>
      <c r="BQ232" s="615"/>
      <c r="BR232" s="615"/>
      <c r="BS232" s="615"/>
      <c r="BT232" s="615"/>
      <c r="BU232" s="615"/>
      <c r="BV232" s="637"/>
      <c r="BW232" s="669"/>
      <c r="BX232" s="615">
        <v>98.7</v>
      </c>
      <c r="BY232" s="615"/>
      <c r="BZ232" s="615"/>
      <c r="CA232" s="615"/>
      <c r="CB232" s="615"/>
      <c r="CC232" s="615"/>
      <c r="CD232" s="615"/>
      <c r="CE232" s="615"/>
      <c r="CF232" s="615"/>
      <c r="CG232" s="615"/>
      <c r="CH232" s="635"/>
      <c r="CI232" s="636"/>
      <c r="CJ232" s="615"/>
      <c r="CK232" s="615"/>
      <c r="CL232" s="615"/>
      <c r="CM232" s="615"/>
      <c r="CN232" s="615"/>
      <c r="CO232" s="615"/>
      <c r="CP232" s="615"/>
      <c r="CQ232" s="615"/>
      <c r="CR232" s="615"/>
      <c r="CS232" s="615"/>
      <c r="CT232" s="635"/>
      <c r="CU232" s="636"/>
      <c r="CV232" s="615"/>
      <c r="CW232" s="615"/>
      <c r="CX232" s="615"/>
      <c r="CY232" s="615"/>
      <c r="CZ232" s="615"/>
      <c r="DA232" s="615"/>
      <c r="DB232" s="615"/>
      <c r="DC232" s="615"/>
      <c r="DD232" s="615"/>
      <c r="DE232" s="615"/>
      <c r="DF232" s="635"/>
      <c r="DG232" s="636"/>
      <c r="DH232" s="615"/>
      <c r="DI232" s="615"/>
      <c r="DJ232" s="615"/>
      <c r="DK232" s="615"/>
      <c r="DL232" s="615"/>
      <c r="DM232" s="615"/>
      <c r="DN232" s="615"/>
      <c r="DO232" s="615"/>
      <c r="DP232" s="615"/>
      <c r="DQ232" s="615"/>
      <c r="DR232" s="635"/>
      <c r="DS232" s="636"/>
      <c r="DT232" s="615"/>
      <c r="DU232" s="615"/>
      <c r="DV232" s="615"/>
      <c r="DW232" s="615"/>
      <c r="DX232" s="615"/>
      <c r="DY232" s="615"/>
      <c r="DZ232" s="615"/>
      <c r="EA232" s="615"/>
      <c r="EB232" s="615"/>
      <c r="EC232" s="615"/>
      <c r="ED232" s="637"/>
      <c r="EE232" s="692"/>
    </row>
    <row r="233" spans="1:135" x14ac:dyDescent="0.25">
      <c r="A233" s="640" t="s">
        <v>12</v>
      </c>
      <c r="B233" s="367" t="s">
        <v>1355</v>
      </c>
      <c r="C233" s="367" t="s">
        <v>507</v>
      </c>
      <c r="D233" s="367" t="s">
        <v>1363</v>
      </c>
      <c r="E233" s="503" t="s">
        <v>1354</v>
      </c>
      <c r="F233" s="570">
        <v>44627</v>
      </c>
      <c r="G233" s="85" t="s">
        <v>59</v>
      </c>
      <c r="H233" s="85" t="s">
        <v>92</v>
      </c>
      <c r="I233" s="85" t="s">
        <v>358</v>
      </c>
      <c r="J233" s="675" t="s">
        <v>358</v>
      </c>
      <c r="K233" s="85" t="s">
        <v>358</v>
      </c>
      <c r="L233" s="85" t="s">
        <v>40</v>
      </c>
      <c r="M233" s="85" t="s">
        <v>3</v>
      </c>
      <c r="N233" s="668" t="s">
        <v>44</v>
      </c>
      <c r="O233" s="669"/>
      <c r="P233" s="615">
        <v>3</v>
      </c>
      <c r="Q233" s="615"/>
      <c r="R233" s="615"/>
      <c r="S233" s="615"/>
      <c r="T233" s="615"/>
      <c r="U233" s="615"/>
      <c r="V233" s="615"/>
      <c r="W233" s="615"/>
      <c r="X233" s="615"/>
      <c r="Y233" s="615"/>
      <c r="Z233" s="635"/>
      <c r="AA233" s="636"/>
      <c r="AB233" s="615"/>
      <c r="AC233" s="615"/>
      <c r="AD233" s="615"/>
      <c r="AE233" s="615"/>
      <c r="AF233" s="615"/>
      <c r="AG233" s="615"/>
      <c r="AH233" s="615"/>
      <c r="AI233" s="615"/>
      <c r="AJ233" s="615"/>
      <c r="AK233" s="615"/>
      <c r="AL233" s="635"/>
      <c r="AM233" s="636"/>
      <c r="AN233" s="615"/>
      <c r="AO233" s="615"/>
      <c r="AP233" s="615"/>
      <c r="AQ233" s="615"/>
      <c r="AR233" s="615"/>
      <c r="AS233" s="615"/>
      <c r="AT233" s="615"/>
      <c r="AU233" s="615"/>
      <c r="AV233" s="615"/>
      <c r="AW233" s="615"/>
      <c r="AX233" s="635"/>
      <c r="AY233" s="636"/>
      <c r="AZ233" s="615"/>
      <c r="BA233" s="615"/>
      <c r="BB233" s="615"/>
      <c r="BC233" s="615"/>
      <c r="BD233" s="615"/>
      <c r="BE233" s="615"/>
      <c r="BF233" s="615"/>
      <c r="BG233" s="615"/>
      <c r="BH233" s="615"/>
      <c r="BI233" s="615"/>
      <c r="BJ233" s="635"/>
      <c r="BK233" s="636"/>
      <c r="BL233" s="615"/>
      <c r="BM233" s="615"/>
      <c r="BN233" s="615"/>
      <c r="BO233" s="615"/>
      <c r="BP233" s="615"/>
      <c r="BQ233" s="615"/>
      <c r="BR233" s="615"/>
      <c r="BS233" s="615"/>
      <c r="BT233" s="615"/>
      <c r="BU233" s="615"/>
      <c r="BV233" s="637"/>
      <c r="BW233" s="669"/>
      <c r="BX233" s="615">
        <v>57</v>
      </c>
      <c r="BY233" s="615"/>
      <c r="BZ233" s="615"/>
      <c r="CA233" s="615"/>
      <c r="CB233" s="615"/>
      <c r="CC233" s="615"/>
      <c r="CD233" s="615"/>
      <c r="CE233" s="615"/>
      <c r="CF233" s="615"/>
      <c r="CG233" s="615"/>
      <c r="CH233" s="635"/>
      <c r="CI233" s="636"/>
      <c r="CJ233" s="615"/>
      <c r="CK233" s="615"/>
      <c r="CL233" s="615"/>
      <c r="CM233" s="615"/>
      <c r="CN233" s="615"/>
      <c r="CO233" s="615"/>
      <c r="CP233" s="615"/>
      <c r="CQ233" s="615"/>
      <c r="CR233" s="615"/>
      <c r="CS233" s="615"/>
      <c r="CT233" s="635"/>
      <c r="CU233" s="636"/>
      <c r="CV233" s="615"/>
      <c r="CW233" s="615"/>
      <c r="CX233" s="615"/>
      <c r="CY233" s="615"/>
      <c r="CZ233" s="615"/>
      <c r="DA233" s="615"/>
      <c r="DB233" s="615"/>
      <c r="DC233" s="615"/>
      <c r="DD233" s="615"/>
      <c r="DE233" s="615"/>
      <c r="DF233" s="635"/>
      <c r="DG233" s="636"/>
      <c r="DH233" s="615"/>
      <c r="DI233" s="615"/>
      <c r="DJ233" s="615"/>
      <c r="DK233" s="615"/>
      <c r="DL233" s="615"/>
      <c r="DM233" s="615"/>
      <c r="DN233" s="615"/>
      <c r="DO233" s="615"/>
      <c r="DP233" s="615"/>
      <c r="DQ233" s="615"/>
      <c r="DR233" s="635"/>
      <c r="DS233" s="636"/>
      <c r="DT233" s="615"/>
      <c r="DU233" s="615"/>
      <c r="DV233" s="615"/>
      <c r="DW233" s="615"/>
      <c r="DX233" s="615"/>
      <c r="DY233" s="615"/>
      <c r="DZ233" s="615"/>
      <c r="EA233" s="615"/>
      <c r="EB233" s="615"/>
      <c r="EC233" s="615"/>
      <c r="ED233" s="637"/>
      <c r="EE233" s="692"/>
    </row>
    <row r="234" spans="1:135" x14ac:dyDescent="0.25">
      <c r="A234" s="640" t="s">
        <v>11</v>
      </c>
      <c r="B234" s="367" t="s">
        <v>1357</v>
      </c>
      <c r="C234" s="367" t="s">
        <v>466</v>
      </c>
      <c r="D234" s="367" t="s">
        <v>1365</v>
      </c>
      <c r="E234" s="503" t="s">
        <v>1364</v>
      </c>
      <c r="F234" s="570">
        <v>44628</v>
      </c>
      <c r="G234" s="85" t="s">
        <v>59</v>
      </c>
      <c r="H234" s="85" t="s">
        <v>54</v>
      </c>
      <c r="I234" s="85" t="s">
        <v>358</v>
      </c>
      <c r="J234" s="675" t="s">
        <v>358</v>
      </c>
      <c r="K234" s="85" t="s">
        <v>358</v>
      </c>
      <c r="L234" s="85" t="s">
        <v>40</v>
      </c>
      <c r="M234" s="85" t="s">
        <v>3</v>
      </c>
      <c r="N234" s="668" t="s">
        <v>44</v>
      </c>
      <c r="O234" s="669"/>
      <c r="P234" s="615"/>
      <c r="Q234" s="615"/>
      <c r="R234" s="615"/>
      <c r="S234" s="615"/>
      <c r="T234" s="615">
        <v>2</v>
      </c>
      <c r="U234" s="615"/>
      <c r="V234" s="615"/>
      <c r="W234" s="615"/>
      <c r="X234" s="615"/>
      <c r="Y234" s="615"/>
      <c r="Z234" s="635"/>
      <c r="AA234" s="636"/>
      <c r="AB234" s="615"/>
      <c r="AC234" s="615"/>
      <c r="AD234" s="615"/>
      <c r="AE234" s="615"/>
      <c r="AF234" s="615"/>
      <c r="AG234" s="615"/>
      <c r="AH234" s="615"/>
      <c r="AI234" s="615"/>
      <c r="AJ234" s="615"/>
      <c r="AK234" s="615"/>
      <c r="AL234" s="635"/>
      <c r="AM234" s="636"/>
      <c r="AN234" s="615"/>
      <c r="AO234" s="615"/>
      <c r="AP234" s="615"/>
      <c r="AQ234" s="615"/>
      <c r="AR234" s="615"/>
      <c r="AS234" s="615"/>
      <c r="AT234" s="615"/>
      <c r="AU234" s="615"/>
      <c r="AV234" s="615"/>
      <c r="AW234" s="615"/>
      <c r="AX234" s="635"/>
      <c r="AY234" s="636"/>
      <c r="AZ234" s="615"/>
      <c r="BA234" s="615"/>
      <c r="BB234" s="615"/>
      <c r="BC234" s="615"/>
      <c r="BD234" s="615"/>
      <c r="BE234" s="615"/>
      <c r="BF234" s="615"/>
      <c r="BG234" s="615"/>
      <c r="BH234" s="615"/>
      <c r="BI234" s="615"/>
      <c r="BJ234" s="635"/>
      <c r="BK234" s="636"/>
      <c r="BL234" s="615"/>
      <c r="BM234" s="615"/>
      <c r="BN234" s="615"/>
      <c r="BO234" s="615"/>
      <c r="BP234" s="615"/>
      <c r="BQ234" s="615"/>
      <c r="BR234" s="615"/>
      <c r="BS234" s="615"/>
      <c r="BT234" s="615"/>
      <c r="BU234" s="615"/>
      <c r="BV234" s="637"/>
      <c r="BW234" s="669"/>
      <c r="BX234" s="615"/>
      <c r="BY234" s="615"/>
      <c r="BZ234" s="615"/>
      <c r="CA234" s="615"/>
      <c r="CB234" s="615">
        <v>125</v>
      </c>
      <c r="CC234" s="615"/>
      <c r="CD234" s="615"/>
      <c r="CE234" s="615"/>
      <c r="CF234" s="615"/>
      <c r="CG234" s="615"/>
      <c r="CH234" s="635"/>
      <c r="CI234" s="636"/>
      <c r="CJ234" s="615"/>
      <c r="CK234" s="615"/>
      <c r="CL234" s="615"/>
      <c r="CM234" s="615"/>
      <c r="CN234" s="615"/>
      <c r="CO234" s="615"/>
      <c r="CP234" s="615"/>
      <c r="CQ234" s="615"/>
      <c r="CR234" s="615"/>
      <c r="CS234" s="615"/>
      <c r="CT234" s="635"/>
      <c r="CU234" s="636"/>
      <c r="CV234" s="615"/>
      <c r="CW234" s="615"/>
      <c r="CX234" s="615"/>
      <c r="CY234" s="615"/>
      <c r="CZ234" s="615"/>
      <c r="DA234" s="615"/>
      <c r="DB234" s="615"/>
      <c r="DC234" s="615"/>
      <c r="DD234" s="615"/>
      <c r="DE234" s="615"/>
      <c r="DF234" s="635"/>
      <c r="DG234" s="636"/>
      <c r="DH234" s="615"/>
      <c r="DI234" s="615"/>
      <c r="DJ234" s="615"/>
      <c r="DK234" s="615"/>
      <c r="DL234" s="615"/>
      <c r="DM234" s="615"/>
      <c r="DN234" s="615"/>
      <c r="DO234" s="615"/>
      <c r="DP234" s="615"/>
      <c r="DQ234" s="615"/>
      <c r="DR234" s="635"/>
      <c r="DS234" s="636"/>
      <c r="DT234" s="615"/>
      <c r="DU234" s="615"/>
      <c r="DV234" s="615"/>
      <c r="DW234" s="615"/>
      <c r="DX234" s="615"/>
      <c r="DY234" s="615"/>
      <c r="DZ234" s="615"/>
      <c r="EA234" s="615"/>
      <c r="EB234" s="615"/>
      <c r="EC234" s="615"/>
      <c r="ED234" s="637"/>
      <c r="EE234" s="692"/>
    </row>
    <row r="235" spans="1:135" x14ac:dyDescent="0.25">
      <c r="A235" s="640" t="s">
        <v>11</v>
      </c>
      <c r="B235" s="367" t="s">
        <v>1374</v>
      </c>
      <c r="C235" s="367" t="s">
        <v>967</v>
      </c>
      <c r="D235" s="367" t="s">
        <v>1375</v>
      </c>
      <c r="E235" s="503" t="s">
        <v>1372</v>
      </c>
      <c r="F235" s="570">
        <v>44631</v>
      </c>
      <c r="G235" s="85" t="s">
        <v>58</v>
      </c>
      <c r="H235" s="85" t="s">
        <v>54</v>
      </c>
      <c r="I235" s="85" t="s">
        <v>358</v>
      </c>
      <c r="J235" s="675" t="s">
        <v>358</v>
      </c>
      <c r="K235" s="85" t="s">
        <v>358</v>
      </c>
      <c r="L235" s="85" t="s">
        <v>40</v>
      </c>
      <c r="M235" s="85" t="s">
        <v>3</v>
      </c>
      <c r="N235" s="668" t="s">
        <v>44</v>
      </c>
      <c r="O235" s="669"/>
      <c r="P235" s="615"/>
      <c r="Q235" s="615"/>
      <c r="R235" s="615"/>
      <c r="S235" s="615"/>
      <c r="T235" s="615"/>
      <c r="U235" s="615"/>
      <c r="V235" s="615"/>
      <c r="W235" s="615"/>
      <c r="X235" s="615">
        <v>-6.4</v>
      </c>
      <c r="Y235" s="615"/>
      <c r="Z235" s="635"/>
      <c r="AA235" s="636"/>
      <c r="AB235" s="615"/>
      <c r="AC235" s="615"/>
      <c r="AD235" s="615"/>
      <c r="AE235" s="615"/>
      <c r="AF235" s="615"/>
      <c r="AG235" s="615"/>
      <c r="AH235" s="615"/>
      <c r="AI235" s="615"/>
      <c r="AJ235" s="615"/>
      <c r="AK235" s="615"/>
      <c r="AL235" s="635"/>
      <c r="AM235" s="636"/>
      <c r="AN235" s="615"/>
      <c r="AO235" s="615"/>
      <c r="AP235" s="615"/>
      <c r="AQ235" s="615"/>
      <c r="AR235" s="615"/>
      <c r="AS235" s="615"/>
      <c r="AT235" s="615"/>
      <c r="AU235" s="615"/>
      <c r="AV235" s="615"/>
      <c r="AW235" s="615"/>
      <c r="AX235" s="635"/>
      <c r="AY235" s="636"/>
      <c r="AZ235" s="615"/>
      <c r="BA235" s="615"/>
      <c r="BB235" s="615"/>
      <c r="BC235" s="615"/>
      <c r="BD235" s="615"/>
      <c r="BE235" s="615"/>
      <c r="BF235" s="615"/>
      <c r="BG235" s="615"/>
      <c r="BH235" s="615"/>
      <c r="BI235" s="615"/>
      <c r="BJ235" s="635"/>
      <c r="BK235" s="636"/>
      <c r="BL235" s="615"/>
      <c r="BM235" s="615"/>
      <c r="BN235" s="615"/>
      <c r="BO235" s="615"/>
      <c r="BP235" s="615"/>
      <c r="BQ235" s="615"/>
      <c r="BR235" s="615"/>
      <c r="BS235" s="615"/>
      <c r="BT235" s="615"/>
      <c r="BU235" s="615"/>
      <c r="BV235" s="637"/>
      <c r="BW235" s="669"/>
      <c r="BX235" s="615"/>
      <c r="BY235" s="615"/>
      <c r="BZ235" s="615"/>
      <c r="CA235" s="615"/>
      <c r="CB235" s="615"/>
      <c r="CC235" s="615"/>
      <c r="CD235" s="615"/>
      <c r="CE235" s="615"/>
      <c r="CF235" s="615">
        <v>194</v>
      </c>
      <c r="CG235" s="615"/>
      <c r="CH235" s="635"/>
      <c r="CI235" s="636"/>
      <c r="CJ235" s="615"/>
      <c r="CK235" s="615"/>
      <c r="CL235" s="615"/>
      <c r="CM235" s="615"/>
      <c r="CN235" s="615"/>
      <c r="CO235" s="615"/>
      <c r="CP235" s="615"/>
      <c r="CQ235" s="615"/>
      <c r="CR235" s="615"/>
      <c r="CS235" s="615"/>
      <c r="CT235" s="635"/>
      <c r="CU235" s="636"/>
      <c r="CV235" s="615"/>
      <c r="CW235" s="615"/>
      <c r="CX235" s="615"/>
      <c r="CY235" s="615"/>
      <c r="CZ235" s="615"/>
      <c r="DA235" s="615"/>
      <c r="DB235" s="615"/>
      <c r="DC235" s="615"/>
      <c r="DD235" s="615"/>
      <c r="DE235" s="615"/>
      <c r="DF235" s="635"/>
      <c r="DG235" s="636"/>
      <c r="DH235" s="615"/>
      <c r="DI235" s="615"/>
      <c r="DJ235" s="615"/>
      <c r="DK235" s="615"/>
      <c r="DL235" s="615"/>
      <c r="DM235" s="615"/>
      <c r="DN235" s="615"/>
      <c r="DO235" s="615"/>
      <c r="DP235" s="615"/>
      <c r="DQ235" s="615"/>
      <c r="DR235" s="635"/>
      <c r="DS235" s="636"/>
      <c r="DT235" s="615"/>
      <c r="DU235" s="615"/>
      <c r="DV235" s="615"/>
      <c r="DW235" s="615"/>
      <c r="DX235" s="615"/>
      <c r="DY235" s="615"/>
      <c r="DZ235" s="615"/>
      <c r="EA235" s="615"/>
      <c r="EB235" s="615"/>
      <c r="EC235" s="615"/>
      <c r="ED235" s="637"/>
      <c r="EE235" s="692"/>
    </row>
    <row r="236" spans="1:135" x14ac:dyDescent="0.25">
      <c r="A236" s="640" t="s">
        <v>11</v>
      </c>
      <c r="B236" s="367" t="s">
        <v>1376</v>
      </c>
      <c r="C236" s="367" t="s">
        <v>967</v>
      </c>
      <c r="D236" s="367" t="s">
        <v>1377</v>
      </c>
      <c r="E236" s="503" t="s">
        <v>1373</v>
      </c>
      <c r="F236" s="570">
        <v>44631</v>
      </c>
      <c r="G236" s="85" t="s">
        <v>59</v>
      </c>
      <c r="H236" s="85" t="s">
        <v>54</v>
      </c>
      <c r="I236" s="85" t="s">
        <v>358</v>
      </c>
      <c r="J236" s="675" t="s">
        <v>358</v>
      </c>
      <c r="K236" s="85" t="s">
        <v>358</v>
      </c>
      <c r="L236" s="85" t="s">
        <v>40</v>
      </c>
      <c r="M236" s="85" t="s">
        <v>3</v>
      </c>
      <c r="N236" s="668" t="s">
        <v>44</v>
      </c>
      <c r="O236" s="669"/>
      <c r="P236" s="615"/>
      <c r="Q236" s="615"/>
      <c r="R236" s="615"/>
      <c r="S236" s="615"/>
      <c r="T236" s="615"/>
      <c r="U236" s="615"/>
      <c r="V236" s="615"/>
      <c r="W236" s="615"/>
      <c r="X236" s="615"/>
      <c r="Y236" s="615"/>
      <c r="Z236" s="635">
        <v>6.4</v>
      </c>
      <c r="AA236" s="636"/>
      <c r="AB236" s="615"/>
      <c r="AC236" s="615"/>
      <c r="AD236" s="615"/>
      <c r="AE236" s="615"/>
      <c r="AF236" s="615"/>
      <c r="AG236" s="615"/>
      <c r="AH236" s="615"/>
      <c r="AI236" s="615"/>
      <c r="AJ236" s="615"/>
      <c r="AK236" s="615"/>
      <c r="AL236" s="635"/>
      <c r="AM236" s="636"/>
      <c r="AN236" s="615"/>
      <c r="AO236" s="615"/>
      <c r="AP236" s="615"/>
      <c r="AQ236" s="615"/>
      <c r="AR236" s="615"/>
      <c r="AS236" s="615"/>
      <c r="AT236" s="615"/>
      <c r="AU236" s="615"/>
      <c r="AV236" s="615"/>
      <c r="AW236" s="615"/>
      <c r="AX236" s="635"/>
      <c r="AY236" s="636"/>
      <c r="AZ236" s="615"/>
      <c r="BA236" s="615"/>
      <c r="BB236" s="615"/>
      <c r="BC236" s="615"/>
      <c r="BD236" s="615"/>
      <c r="BE236" s="615"/>
      <c r="BF236" s="615"/>
      <c r="BG236" s="615"/>
      <c r="BH236" s="615"/>
      <c r="BI236" s="615"/>
      <c r="BJ236" s="635"/>
      <c r="BK236" s="636"/>
      <c r="BL236" s="615"/>
      <c r="BM236" s="615"/>
      <c r="BN236" s="615"/>
      <c r="BO236" s="615"/>
      <c r="BP236" s="615"/>
      <c r="BQ236" s="615"/>
      <c r="BR236" s="615"/>
      <c r="BS236" s="615"/>
      <c r="BT236" s="615"/>
      <c r="BU236" s="615"/>
      <c r="BV236" s="637"/>
      <c r="BW236" s="669"/>
      <c r="BX236" s="615"/>
      <c r="BY236" s="615"/>
      <c r="BZ236" s="615"/>
      <c r="CA236" s="615"/>
      <c r="CB236" s="615"/>
      <c r="CC236" s="615"/>
      <c r="CD236" s="615"/>
      <c r="CE236" s="615"/>
      <c r="CF236" s="615"/>
      <c r="CG236" s="615"/>
      <c r="CH236" s="635">
        <v>167</v>
      </c>
      <c r="CI236" s="636"/>
      <c r="CJ236" s="615"/>
      <c r="CK236" s="615"/>
      <c r="CL236" s="615"/>
      <c r="CM236" s="615"/>
      <c r="CN236" s="615"/>
      <c r="CO236" s="615"/>
      <c r="CP236" s="615"/>
      <c r="CQ236" s="615"/>
      <c r="CR236" s="615"/>
      <c r="CS236" s="615"/>
      <c r="CT236" s="635"/>
      <c r="CU236" s="636"/>
      <c r="CV236" s="615"/>
      <c r="CW236" s="615"/>
      <c r="CX236" s="615"/>
      <c r="CY236" s="615"/>
      <c r="CZ236" s="615"/>
      <c r="DA236" s="615"/>
      <c r="DB236" s="615"/>
      <c r="DC236" s="615"/>
      <c r="DD236" s="615"/>
      <c r="DE236" s="615"/>
      <c r="DF236" s="635"/>
      <c r="DG236" s="636"/>
      <c r="DH236" s="615"/>
      <c r="DI236" s="615"/>
      <c r="DJ236" s="615"/>
      <c r="DK236" s="615"/>
      <c r="DL236" s="615"/>
      <c r="DM236" s="615"/>
      <c r="DN236" s="615"/>
      <c r="DO236" s="615"/>
      <c r="DP236" s="615"/>
      <c r="DQ236" s="615"/>
      <c r="DR236" s="635"/>
      <c r="DS236" s="636"/>
      <c r="DT236" s="615"/>
      <c r="DU236" s="615"/>
      <c r="DV236" s="615"/>
      <c r="DW236" s="615"/>
      <c r="DX236" s="615"/>
      <c r="DY236" s="615"/>
      <c r="DZ236" s="615"/>
      <c r="EA236" s="615"/>
      <c r="EB236" s="615"/>
      <c r="EC236" s="615"/>
      <c r="ED236" s="637"/>
      <c r="EE236" s="692"/>
    </row>
    <row r="237" spans="1:135" x14ac:dyDescent="0.25">
      <c r="A237" s="640" t="s">
        <v>11</v>
      </c>
      <c r="B237" s="367" t="s">
        <v>1384</v>
      </c>
      <c r="C237" s="367" t="s">
        <v>1195</v>
      </c>
      <c r="D237" s="367" t="s">
        <v>1385</v>
      </c>
      <c r="E237" s="503" t="s">
        <v>1378</v>
      </c>
      <c r="F237" s="570">
        <v>44635</v>
      </c>
      <c r="G237" s="85" t="s">
        <v>58</v>
      </c>
      <c r="H237" s="85" t="s">
        <v>54</v>
      </c>
      <c r="I237" s="85" t="s">
        <v>358</v>
      </c>
      <c r="J237" s="675" t="s">
        <v>358</v>
      </c>
      <c r="K237" s="85" t="s">
        <v>358</v>
      </c>
      <c r="L237" s="85" t="s">
        <v>40</v>
      </c>
      <c r="M237" s="85" t="s">
        <v>3</v>
      </c>
      <c r="N237" s="668" t="s">
        <v>44</v>
      </c>
      <c r="O237" s="669"/>
      <c r="P237" s="615"/>
      <c r="Q237" s="615"/>
      <c r="R237" s="615"/>
      <c r="S237" s="615"/>
      <c r="T237" s="615"/>
      <c r="U237" s="615">
        <v>-10</v>
      </c>
      <c r="V237" s="615">
        <v>-10</v>
      </c>
      <c r="W237" s="615">
        <v>-10</v>
      </c>
      <c r="X237" s="615"/>
      <c r="Y237" s="615"/>
      <c r="Z237" s="635"/>
      <c r="AA237" s="636"/>
      <c r="AB237" s="615"/>
      <c r="AC237" s="615"/>
      <c r="AD237" s="615"/>
      <c r="AE237" s="615"/>
      <c r="AF237" s="615"/>
      <c r="AG237" s="615"/>
      <c r="AH237" s="615"/>
      <c r="AI237" s="615"/>
      <c r="AJ237" s="615"/>
      <c r="AK237" s="615"/>
      <c r="AL237" s="635"/>
      <c r="AM237" s="636"/>
      <c r="AN237" s="615"/>
      <c r="AO237" s="615"/>
      <c r="AP237" s="615"/>
      <c r="AQ237" s="615"/>
      <c r="AR237" s="615"/>
      <c r="AS237" s="615"/>
      <c r="AT237" s="615"/>
      <c r="AU237" s="615"/>
      <c r="AV237" s="615"/>
      <c r="AW237" s="615"/>
      <c r="AX237" s="635"/>
      <c r="AY237" s="636"/>
      <c r="AZ237" s="615"/>
      <c r="BA237" s="615"/>
      <c r="BB237" s="615"/>
      <c r="BC237" s="615"/>
      <c r="BD237" s="615"/>
      <c r="BE237" s="615"/>
      <c r="BF237" s="615"/>
      <c r="BG237" s="615"/>
      <c r="BH237" s="615"/>
      <c r="BI237" s="615"/>
      <c r="BJ237" s="635"/>
      <c r="BK237" s="636"/>
      <c r="BL237" s="615"/>
      <c r="BM237" s="615"/>
      <c r="BN237" s="615"/>
      <c r="BO237" s="615"/>
      <c r="BP237" s="615"/>
      <c r="BQ237" s="615"/>
      <c r="BR237" s="615"/>
      <c r="BS237" s="615"/>
      <c r="BT237" s="615"/>
      <c r="BU237" s="615"/>
      <c r="BV237" s="637"/>
      <c r="BW237" s="669"/>
      <c r="BX237" s="615"/>
      <c r="BY237" s="615"/>
      <c r="BZ237" s="615"/>
      <c r="CA237" s="615"/>
      <c r="CB237" s="615"/>
      <c r="CC237" s="615">
        <v>163</v>
      </c>
      <c r="CD237" s="615">
        <v>163</v>
      </c>
      <c r="CE237" s="615">
        <v>163</v>
      </c>
      <c r="CF237" s="615"/>
      <c r="CG237" s="615"/>
      <c r="CH237" s="635"/>
      <c r="CI237" s="636"/>
      <c r="CJ237" s="615"/>
      <c r="CK237" s="615"/>
      <c r="CL237" s="615"/>
      <c r="CM237" s="615"/>
      <c r="CN237" s="615"/>
      <c r="CO237" s="615"/>
      <c r="CP237" s="615"/>
      <c r="CQ237" s="615"/>
      <c r="CR237" s="615"/>
      <c r="CS237" s="615"/>
      <c r="CT237" s="635"/>
      <c r="CU237" s="636"/>
      <c r="CV237" s="615"/>
      <c r="CW237" s="615"/>
      <c r="CX237" s="615"/>
      <c r="CY237" s="615"/>
      <c r="CZ237" s="615"/>
      <c r="DA237" s="615"/>
      <c r="DB237" s="615"/>
      <c r="DC237" s="615"/>
      <c r="DD237" s="615"/>
      <c r="DE237" s="615"/>
      <c r="DF237" s="635"/>
      <c r="DG237" s="636"/>
      <c r="DH237" s="615"/>
      <c r="DI237" s="615"/>
      <c r="DJ237" s="615"/>
      <c r="DK237" s="615"/>
      <c r="DL237" s="615"/>
      <c r="DM237" s="615"/>
      <c r="DN237" s="615"/>
      <c r="DO237" s="615"/>
      <c r="DP237" s="615"/>
      <c r="DQ237" s="615"/>
      <c r="DR237" s="635"/>
      <c r="DS237" s="636"/>
      <c r="DT237" s="615"/>
      <c r="DU237" s="615"/>
      <c r="DV237" s="615"/>
      <c r="DW237" s="615"/>
      <c r="DX237" s="615"/>
      <c r="DY237" s="615"/>
      <c r="DZ237" s="615"/>
      <c r="EA237" s="615"/>
      <c r="EB237" s="615"/>
      <c r="EC237" s="615"/>
      <c r="ED237" s="637"/>
      <c r="EE237" s="692"/>
    </row>
    <row r="238" spans="1:135" x14ac:dyDescent="0.25">
      <c r="A238" s="640" t="s">
        <v>11</v>
      </c>
      <c r="B238" s="367" t="s">
        <v>1386</v>
      </c>
      <c r="C238" s="367" t="s">
        <v>1195</v>
      </c>
      <c r="D238" s="367" t="s">
        <v>1387</v>
      </c>
      <c r="E238" s="503" t="s">
        <v>1379</v>
      </c>
      <c r="F238" s="570">
        <v>44635</v>
      </c>
      <c r="G238" s="85" t="s">
        <v>59</v>
      </c>
      <c r="H238" s="85" t="s">
        <v>54</v>
      </c>
      <c r="I238" s="85" t="s">
        <v>358</v>
      </c>
      <c r="J238" s="675" t="s">
        <v>358</v>
      </c>
      <c r="K238" s="85" t="s">
        <v>358</v>
      </c>
      <c r="L238" s="85" t="s">
        <v>40</v>
      </c>
      <c r="M238" s="85" t="s">
        <v>3</v>
      </c>
      <c r="N238" s="668" t="s">
        <v>44</v>
      </c>
      <c r="O238" s="669"/>
      <c r="P238" s="615"/>
      <c r="Q238" s="615"/>
      <c r="R238" s="615"/>
      <c r="S238" s="615"/>
      <c r="T238" s="615"/>
      <c r="U238" s="615"/>
      <c r="V238" s="615"/>
      <c r="W238" s="615"/>
      <c r="X238" s="615">
        <v>10</v>
      </c>
      <c r="Y238" s="615">
        <v>10</v>
      </c>
      <c r="Z238" s="635">
        <v>10</v>
      </c>
      <c r="AA238" s="636"/>
      <c r="AB238" s="615"/>
      <c r="AC238" s="615"/>
      <c r="AD238" s="615"/>
      <c r="AE238" s="615"/>
      <c r="AF238" s="615"/>
      <c r="AG238" s="615"/>
      <c r="AH238" s="615"/>
      <c r="AI238" s="615"/>
      <c r="AJ238" s="615"/>
      <c r="AK238" s="615"/>
      <c r="AL238" s="635"/>
      <c r="AM238" s="636"/>
      <c r="AN238" s="615"/>
      <c r="AO238" s="615"/>
      <c r="AP238" s="615"/>
      <c r="AQ238" s="615"/>
      <c r="AR238" s="615"/>
      <c r="AS238" s="615"/>
      <c r="AT238" s="615"/>
      <c r="AU238" s="615"/>
      <c r="AV238" s="615"/>
      <c r="AW238" s="615"/>
      <c r="AX238" s="635"/>
      <c r="AY238" s="636"/>
      <c r="AZ238" s="615"/>
      <c r="BA238" s="615"/>
      <c r="BB238" s="615"/>
      <c r="BC238" s="615"/>
      <c r="BD238" s="615"/>
      <c r="BE238" s="615"/>
      <c r="BF238" s="615"/>
      <c r="BG238" s="615"/>
      <c r="BH238" s="615"/>
      <c r="BI238" s="615"/>
      <c r="BJ238" s="635"/>
      <c r="BK238" s="636"/>
      <c r="BL238" s="615"/>
      <c r="BM238" s="615"/>
      <c r="BN238" s="615"/>
      <c r="BO238" s="615"/>
      <c r="BP238" s="615"/>
      <c r="BQ238" s="615"/>
      <c r="BR238" s="615"/>
      <c r="BS238" s="615"/>
      <c r="BT238" s="615"/>
      <c r="BU238" s="615"/>
      <c r="BV238" s="637"/>
      <c r="BW238" s="669"/>
      <c r="BX238" s="615"/>
      <c r="BY238" s="615"/>
      <c r="BZ238" s="615"/>
      <c r="CA238" s="615"/>
      <c r="CB238" s="615"/>
      <c r="CC238" s="615"/>
      <c r="CD238" s="615"/>
      <c r="CE238" s="615"/>
      <c r="CF238" s="615">
        <v>183</v>
      </c>
      <c r="CG238" s="615">
        <v>183</v>
      </c>
      <c r="CH238" s="635">
        <v>183</v>
      </c>
      <c r="CI238" s="636"/>
      <c r="CJ238" s="615"/>
      <c r="CK238" s="615"/>
      <c r="CL238" s="615"/>
      <c r="CM238" s="615"/>
      <c r="CN238" s="615"/>
      <c r="CO238" s="615"/>
      <c r="CP238" s="615"/>
      <c r="CQ238" s="615"/>
      <c r="CR238" s="615"/>
      <c r="CS238" s="615"/>
      <c r="CT238" s="635"/>
      <c r="CU238" s="636"/>
      <c r="CV238" s="615"/>
      <c r="CW238" s="615"/>
      <c r="CX238" s="615"/>
      <c r="CY238" s="615"/>
      <c r="CZ238" s="615"/>
      <c r="DA238" s="615"/>
      <c r="DB238" s="615"/>
      <c r="DC238" s="615"/>
      <c r="DD238" s="615"/>
      <c r="DE238" s="615"/>
      <c r="DF238" s="635"/>
      <c r="DG238" s="636"/>
      <c r="DH238" s="615"/>
      <c r="DI238" s="615"/>
      <c r="DJ238" s="615"/>
      <c r="DK238" s="615"/>
      <c r="DL238" s="615"/>
      <c r="DM238" s="615"/>
      <c r="DN238" s="615"/>
      <c r="DO238" s="615"/>
      <c r="DP238" s="615"/>
      <c r="DQ238" s="615"/>
      <c r="DR238" s="635"/>
      <c r="DS238" s="636"/>
      <c r="DT238" s="615"/>
      <c r="DU238" s="615"/>
      <c r="DV238" s="615"/>
      <c r="DW238" s="615"/>
      <c r="DX238" s="615"/>
      <c r="DY238" s="615"/>
      <c r="DZ238" s="615"/>
      <c r="EA238" s="615"/>
      <c r="EB238" s="615"/>
      <c r="EC238" s="615"/>
      <c r="ED238" s="637"/>
      <c r="EE238" s="692"/>
    </row>
    <row r="239" spans="1:135" x14ac:dyDescent="0.25">
      <c r="A239" s="640" t="s">
        <v>11</v>
      </c>
      <c r="B239" s="367" t="s">
        <v>1388</v>
      </c>
      <c r="C239" s="367" t="s">
        <v>875</v>
      </c>
      <c r="D239" s="367" t="s">
        <v>1389</v>
      </c>
      <c r="E239" s="503" t="s">
        <v>1380</v>
      </c>
      <c r="F239" s="570">
        <v>44635</v>
      </c>
      <c r="G239" s="85" t="s">
        <v>58</v>
      </c>
      <c r="H239" s="85" t="s">
        <v>54</v>
      </c>
      <c r="I239" s="85" t="s">
        <v>358</v>
      </c>
      <c r="J239" s="675" t="s">
        <v>358</v>
      </c>
      <c r="K239" s="85" t="s">
        <v>358</v>
      </c>
      <c r="L239" s="85" t="s">
        <v>40</v>
      </c>
      <c r="M239" s="85" t="s">
        <v>3</v>
      </c>
      <c r="N239" s="668" t="s">
        <v>44</v>
      </c>
      <c r="O239" s="669"/>
      <c r="P239" s="615"/>
      <c r="Q239" s="615"/>
      <c r="R239" s="615"/>
      <c r="S239" s="615"/>
      <c r="T239" s="615"/>
      <c r="U239" s="615">
        <v>-5</v>
      </c>
      <c r="V239" s="615">
        <v>-5</v>
      </c>
      <c r="W239" s="615">
        <v>-5</v>
      </c>
      <c r="X239" s="615"/>
      <c r="Y239" s="615"/>
      <c r="Z239" s="635"/>
      <c r="AA239" s="636"/>
      <c r="AB239" s="615"/>
      <c r="AC239" s="615"/>
      <c r="AD239" s="615"/>
      <c r="AE239" s="615"/>
      <c r="AF239" s="615"/>
      <c r="AG239" s="615"/>
      <c r="AH239" s="615"/>
      <c r="AI239" s="615"/>
      <c r="AJ239" s="615"/>
      <c r="AK239" s="615"/>
      <c r="AL239" s="635"/>
      <c r="AM239" s="636"/>
      <c r="AN239" s="615"/>
      <c r="AO239" s="615"/>
      <c r="AP239" s="615"/>
      <c r="AQ239" s="615"/>
      <c r="AR239" s="615"/>
      <c r="AS239" s="615"/>
      <c r="AT239" s="615"/>
      <c r="AU239" s="615"/>
      <c r="AV239" s="615"/>
      <c r="AW239" s="615"/>
      <c r="AX239" s="635"/>
      <c r="AY239" s="636"/>
      <c r="AZ239" s="615"/>
      <c r="BA239" s="615"/>
      <c r="BB239" s="615"/>
      <c r="BC239" s="615"/>
      <c r="BD239" s="615"/>
      <c r="BE239" s="615"/>
      <c r="BF239" s="615"/>
      <c r="BG239" s="615"/>
      <c r="BH239" s="615"/>
      <c r="BI239" s="615"/>
      <c r="BJ239" s="635"/>
      <c r="BK239" s="636"/>
      <c r="BL239" s="615"/>
      <c r="BM239" s="615"/>
      <c r="BN239" s="615"/>
      <c r="BO239" s="615"/>
      <c r="BP239" s="615"/>
      <c r="BQ239" s="615"/>
      <c r="BR239" s="615"/>
      <c r="BS239" s="615"/>
      <c r="BT239" s="615"/>
      <c r="BU239" s="615"/>
      <c r="BV239" s="637"/>
      <c r="BW239" s="669"/>
      <c r="BX239" s="615"/>
      <c r="BY239" s="615"/>
      <c r="BZ239" s="615"/>
      <c r="CA239" s="615"/>
      <c r="CB239" s="615"/>
      <c r="CC239" s="615">
        <v>164</v>
      </c>
      <c r="CD239" s="615">
        <v>164</v>
      </c>
      <c r="CE239" s="615">
        <v>164</v>
      </c>
      <c r="CF239" s="615"/>
      <c r="CG239" s="615"/>
      <c r="CH239" s="635"/>
      <c r="CI239" s="636"/>
      <c r="CJ239" s="615"/>
      <c r="CK239" s="615"/>
      <c r="CL239" s="615"/>
      <c r="CM239" s="615"/>
      <c r="CN239" s="615"/>
      <c r="CO239" s="615"/>
      <c r="CP239" s="615"/>
      <c r="CQ239" s="615"/>
      <c r="CR239" s="615"/>
      <c r="CS239" s="615"/>
      <c r="CT239" s="635"/>
      <c r="CU239" s="636"/>
      <c r="CV239" s="615"/>
      <c r="CW239" s="615"/>
      <c r="CX239" s="615"/>
      <c r="CY239" s="615"/>
      <c r="CZ239" s="615"/>
      <c r="DA239" s="615"/>
      <c r="DB239" s="615"/>
      <c r="DC239" s="615"/>
      <c r="DD239" s="615"/>
      <c r="DE239" s="615"/>
      <c r="DF239" s="635"/>
      <c r="DG239" s="636"/>
      <c r="DH239" s="615"/>
      <c r="DI239" s="615"/>
      <c r="DJ239" s="615"/>
      <c r="DK239" s="615"/>
      <c r="DL239" s="615"/>
      <c r="DM239" s="615"/>
      <c r="DN239" s="615"/>
      <c r="DO239" s="615"/>
      <c r="DP239" s="615"/>
      <c r="DQ239" s="615"/>
      <c r="DR239" s="635"/>
      <c r="DS239" s="636"/>
      <c r="DT239" s="615"/>
      <c r="DU239" s="615"/>
      <c r="DV239" s="615"/>
      <c r="DW239" s="615"/>
      <c r="DX239" s="615"/>
      <c r="DY239" s="615"/>
      <c r="DZ239" s="615"/>
      <c r="EA239" s="615"/>
      <c r="EB239" s="615"/>
      <c r="EC239" s="615"/>
      <c r="ED239" s="637"/>
      <c r="EE239" s="692"/>
    </row>
    <row r="240" spans="1:135" x14ac:dyDescent="0.25">
      <c r="A240" s="640" t="s">
        <v>11</v>
      </c>
      <c r="B240" s="367" t="s">
        <v>1390</v>
      </c>
      <c r="C240" s="367" t="s">
        <v>875</v>
      </c>
      <c r="D240" s="367" t="s">
        <v>1391</v>
      </c>
      <c r="E240" s="503" t="s">
        <v>1381</v>
      </c>
      <c r="F240" s="570">
        <v>44635</v>
      </c>
      <c r="G240" s="85" t="s">
        <v>59</v>
      </c>
      <c r="H240" s="85" t="s">
        <v>54</v>
      </c>
      <c r="I240" s="85" t="s">
        <v>358</v>
      </c>
      <c r="J240" s="675" t="s">
        <v>358</v>
      </c>
      <c r="K240" s="85" t="s">
        <v>358</v>
      </c>
      <c r="L240" s="85" t="s">
        <v>40</v>
      </c>
      <c r="M240" s="85" t="s">
        <v>3</v>
      </c>
      <c r="N240" s="668" t="s">
        <v>44</v>
      </c>
      <c r="O240" s="669"/>
      <c r="P240" s="615"/>
      <c r="Q240" s="615"/>
      <c r="R240" s="615"/>
      <c r="S240" s="615"/>
      <c r="T240" s="615"/>
      <c r="U240" s="615"/>
      <c r="V240" s="615"/>
      <c r="W240" s="615"/>
      <c r="X240" s="615">
        <v>5</v>
      </c>
      <c r="Y240" s="615">
        <v>5</v>
      </c>
      <c r="Z240" s="635">
        <v>5</v>
      </c>
      <c r="AA240" s="636"/>
      <c r="AB240" s="615"/>
      <c r="AC240" s="615"/>
      <c r="AD240" s="615"/>
      <c r="AE240" s="615"/>
      <c r="AF240" s="615"/>
      <c r="AG240" s="615"/>
      <c r="AH240" s="615"/>
      <c r="AI240" s="615"/>
      <c r="AJ240" s="615"/>
      <c r="AK240" s="615"/>
      <c r="AL240" s="635"/>
      <c r="AM240" s="636"/>
      <c r="AN240" s="615"/>
      <c r="AO240" s="615"/>
      <c r="AP240" s="615"/>
      <c r="AQ240" s="615"/>
      <c r="AR240" s="615"/>
      <c r="AS240" s="615"/>
      <c r="AT240" s="615"/>
      <c r="AU240" s="615"/>
      <c r="AV240" s="615"/>
      <c r="AW240" s="615"/>
      <c r="AX240" s="635"/>
      <c r="AY240" s="636"/>
      <c r="AZ240" s="615"/>
      <c r="BA240" s="615"/>
      <c r="BB240" s="615"/>
      <c r="BC240" s="615"/>
      <c r="BD240" s="615"/>
      <c r="BE240" s="615"/>
      <c r="BF240" s="615"/>
      <c r="BG240" s="615"/>
      <c r="BH240" s="615"/>
      <c r="BI240" s="615"/>
      <c r="BJ240" s="635"/>
      <c r="BK240" s="636"/>
      <c r="BL240" s="615"/>
      <c r="BM240" s="615"/>
      <c r="BN240" s="615"/>
      <c r="BO240" s="615"/>
      <c r="BP240" s="615"/>
      <c r="BQ240" s="615"/>
      <c r="BR240" s="615"/>
      <c r="BS240" s="615"/>
      <c r="BT240" s="615"/>
      <c r="BU240" s="615"/>
      <c r="BV240" s="637"/>
      <c r="BW240" s="669"/>
      <c r="BX240" s="615"/>
      <c r="BY240" s="615"/>
      <c r="BZ240" s="615"/>
      <c r="CA240" s="615"/>
      <c r="CB240" s="615"/>
      <c r="CC240" s="615"/>
      <c r="CD240" s="615"/>
      <c r="CE240" s="615"/>
      <c r="CF240" s="615">
        <v>184</v>
      </c>
      <c r="CG240" s="615">
        <v>184</v>
      </c>
      <c r="CH240" s="635">
        <v>184</v>
      </c>
      <c r="CI240" s="636"/>
      <c r="CJ240" s="615"/>
      <c r="CK240" s="615"/>
      <c r="CL240" s="615"/>
      <c r="CM240" s="615"/>
      <c r="CN240" s="615"/>
      <c r="CO240" s="615"/>
      <c r="CP240" s="615"/>
      <c r="CQ240" s="615"/>
      <c r="CR240" s="615"/>
      <c r="CS240" s="615"/>
      <c r="CT240" s="635"/>
      <c r="CU240" s="636"/>
      <c r="CV240" s="615"/>
      <c r="CW240" s="615"/>
      <c r="CX240" s="615"/>
      <c r="CY240" s="615"/>
      <c r="CZ240" s="615"/>
      <c r="DA240" s="615"/>
      <c r="DB240" s="615"/>
      <c r="DC240" s="615"/>
      <c r="DD240" s="615"/>
      <c r="DE240" s="615"/>
      <c r="DF240" s="635"/>
      <c r="DG240" s="636"/>
      <c r="DH240" s="615"/>
      <c r="DI240" s="615"/>
      <c r="DJ240" s="615"/>
      <c r="DK240" s="615"/>
      <c r="DL240" s="615"/>
      <c r="DM240" s="615"/>
      <c r="DN240" s="615"/>
      <c r="DO240" s="615"/>
      <c r="DP240" s="615"/>
      <c r="DQ240" s="615"/>
      <c r="DR240" s="635"/>
      <c r="DS240" s="636"/>
      <c r="DT240" s="615"/>
      <c r="DU240" s="615"/>
      <c r="DV240" s="615"/>
      <c r="DW240" s="615"/>
      <c r="DX240" s="615"/>
      <c r="DY240" s="615"/>
      <c r="DZ240" s="615"/>
      <c r="EA240" s="615"/>
      <c r="EB240" s="615"/>
      <c r="EC240" s="615"/>
      <c r="ED240" s="637"/>
      <c r="EE240" s="692"/>
    </row>
    <row r="241" spans="1:135" x14ac:dyDescent="0.25">
      <c r="A241" s="640" t="s">
        <v>11</v>
      </c>
      <c r="B241" s="367" t="s">
        <v>1392</v>
      </c>
      <c r="C241" s="367" t="s">
        <v>472</v>
      </c>
      <c r="D241" s="367" t="s">
        <v>1393</v>
      </c>
      <c r="E241" s="503" t="s">
        <v>1382</v>
      </c>
      <c r="F241" s="570">
        <v>44635</v>
      </c>
      <c r="G241" s="85" t="s">
        <v>59</v>
      </c>
      <c r="H241" s="85" t="s">
        <v>54</v>
      </c>
      <c r="I241" s="85" t="s">
        <v>358</v>
      </c>
      <c r="J241" s="675" t="s">
        <v>358</v>
      </c>
      <c r="K241" s="85" t="s">
        <v>358</v>
      </c>
      <c r="L241" s="85" t="s">
        <v>40</v>
      </c>
      <c r="M241" s="85" t="s">
        <v>3</v>
      </c>
      <c r="N241" s="668" t="s">
        <v>44</v>
      </c>
      <c r="O241" s="669"/>
      <c r="P241" s="615"/>
      <c r="Q241" s="615"/>
      <c r="R241" s="615"/>
      <c r="S241" s="615"/>
      <c r="T241" s="615"/>
      <c r="U241" s="615"/>
      <c r="V241" s="615"/>
      <c r="W241" s="615"/>
      <c r="X241" s="615">
        <v>5</v>
      </c>
      <c r="Y241" s="615">
        <v>5</v>
      </c>
      <c r="Z241" s="635">
        <v>5</v>
      </c>
      <c r="AA241" s="636"/>
      <c r="AB241" s="615"/>
      <c r="AC241" s="615"/>
      <c r="AD241" s="615"/>
      <c r="AE241" s="615"/>
      <c r="AF241" s="615"/>
      <c r="AG241" s="615"/>
      <c r="AH241" s="615"/>
      <c r="AI241" s="615"/>
      <c r="AJ241" s="615"/>
      <c r="AK241" s="615"/>
      <c r="AL241" s="635"/>
      <c r="AM241" s="636"/>
      <c r="AN241" s="615"/>
      <c r="AO241" s="615"/>
      <c r="AP241" s="615"/>
      <c r="AQ241" s="615"/>
      <c r="AR241" s="615"/>
      <c r="AS241" s="615"/>
      <c r="AT241" s="615"/>
      <c r="AU241" s="615"/>
      <c r="AV241" s="615"/>
      <c r="AW241" s="615"/>
      <c r="AX241" s="635"/>
      <c r="AY241" s="636"/>
      <c r="AZ241" s="615"/>
      <c r="BA241" s="615"/>
      <c r="BB241" s="615"/>
      <c r="BC241" s="615"/>
      <c r="BD241" s="615"/>
      <c r="BE241" s="615"/>
      <c r="BF241" s="615"/>
      <c r="BG241" s="615"/>
      <c r="BH241" s="615"/>
      <c r="BI241" s="615"/>
      <c r="BJ241" s="635"/>
      <c r="BK241" s="636"/>
      <c r="BL241" s="615"/>
      <c r="BM241" s="615"/>
      <c r="BN241" s="615"/>
      <c r="BO241" s="615"/>
      <c r="BP241" s="615"/>
      <c r="BQ241" s="615"/>
      <c r="BR241" s="615"/>
      <c r="BS241" s="615"/>
      <c r="BT241" s="615"/>
      <c r="BU241" s="615"/>
      <c r="BV241" s="637"/>
      <c r="BW241" s="669"/>
      <c r="BX241" s="615"/>
      <c r="BY241" s="615"/>
      <c r="BZ241" s="615"/>
      <c r="CA241" s="615"/>
      <c r="CB241" s="615"/>
      <c r="CC241" s="615"/>
      <c r="CD241" s="615"/>
      <c r="CE241" s="615"/>
      <c r="CF241" s="615">
        <v>184</v>
      </c>
      <c r="CG241" s="615">
        <v>184</v>
      </c>
      <c r="CH241" s="635">
        <v>184</v>
      </c>
      <c r="CI241" s="636"/>
      <c r="CJ241" s="615"/>
      <c r="CK241" s="615"/>
      <c r="CL241" s="615"/>
      <c r="CM241" s="615"/>
      <c r="CN241" s="615"/>
      <c r="CO241" s="615"/>
      <c r="CP241" s="615"/>
      <c r="CQ241" s="615"/>
      <c r="CR241" s="615"/>
      <c r="CS241" s="615"/>
      <c r="CT241" s="635"/>
      <c r="CU241" s="636"/>
      <c r="CV241" s="615"/>
      <c r="CW241" s="615"/>
      <c r="CX241" s="615"/>
      <c r="CY241" s="615"/>
      <c r="CZ241" s="615"/>
      <c r="DA241" s="615"/>
      <c r="DB241" s="615"/>
      <c r="DC241" s="615"/>
      <c r="DD241" s="615"/>
      <c r="DE241" s="615"/>
      <c r="DF241" s="635"/>
      <c r="DG241" s="636"/>
      <c r="DH241" s="615"/>
      <c r="DI241" s="615"/>
      <c r="DJ241" s="615"/>
      <c r="DK241" s="615"/>
      <c r="DL241" s="615"/>
      <c r="DM241" s="615"/>
      <c r="DN241" s="615"/>
      <c r="DO241" s="615"/>
      <c r="DP241" s="615"/>
      <c r="DQ241" s="615"/>
      <c r="DR241" s="635"/>
      <c r="DS241" s="636"/>
      <c r="DT241" s="615"/>
      <c r="DU241" s="615"/>
      <c r="DV241" s="615"/>
      <c r="DW241" s="615"/>
      <c r="DX241" s="615"/>
      <c r="DY241" s="615"/>
      <c r="DZ241" s="615"/>
      <c r="EA241" s="615"/>
      <c r="EB241" s="615"/>
      <c r="EC241" s="615"/>
      <c r="ED241" s="637"/>
      <c r="EE241" s="692"/>
    </row>
    <row r="242" spans="1:135" x14ac:dyDescent="0.25">
      <c r="A242" s="640" t="s">
        <v>11</v>
      </c>
      <c r="B242" s="367" t="s">
        <v>1394</v>
      </c>
      <c r="C242" s="367" t="s">
        <v>472</v>
      </c>
      <c r="D242" s="367" t="s">
        <v>1395</v>
      </c>
      <c r="E242" s="503" t="s">
        <v>1383</v>
      </c>
      <c r="F242" s="570">
        <v>44635</v>
      </c>
      <c r="G242" s="85" t="s">
        <v>58</v>
      </c>
      <c r="H242" s="85" t="s">
        <v>54</v>
      </c>
      <c r="I242" s="85" t="s">
        <v>358</v>
      </c>
      <c r="J242" s="675" t="s">
        <v>358</v>
      </c>
      <c r="K242" s="85" t="s">
        <v>358</v>
      </c>
      <c r="L242" s="85" t="s">
        <v>40</v>
      </c>
      <c r="M242" s="85" t="s">
        <v>3</v>
      </c>
      <c r="N242" s="668" t="s">
        <v>44</v>
      </c>
      <c r="O242" s="669"/>
      <c r="P242" s="615"/>
      <c r="Q242" s="615"/>
      <c r="R242" s="615"/>
      <c r="S242" s="615"/>
      <c r="T242" s="615"/>
      <c r="U242" s="615">
        <v>-5</v>
      </c>
      <c r="V242" s="615">
        <v>-5</v>
      </c>
      <c r="W242" s="615">
        <v>-5</v>
      </c>
      <c r="X242" s="615"/>
      <c r="Y242" s="615"/>
      <c r="Z242" s="635"/>
      <c r="AA242" s="636"/>
      <c r="AB242" s="615"/>
      <c r="AC242" s="615"/>
      <c r="AD242" s="615"/>
      <c r="AE242" s="615"/>
      <c r="AF242" s="615"/>
      <c r="AG242" s="615"/>
      <c r="AH242" s="615"/>
      <c r="AI242" s="615"/>
      <c r="AJ242" s="615"/>
      <c r="AK242" s="615"/>
      <c r="AL242" s="635"/>
      <c r="AM242" s="636"/>
      <c r="AN242" s="615"/>
      <c r="AO242" s="615"/>
      <c r="AP242" s="615"/>
      <c r="AQ242" s="615"/>
      <c r="AR242" s="615"/>
      <c r="AS242" s="615"/>
      <c r="AT242" s="615"/>
      <c r="AU242" s="615"/>
      <c r="AV242" s="615"/>
      <c r="AW242" s="615"/>
      <c r="AX242" s="635"/>
      <c r="AY242" s="636"/>
      <c r="AZ242" s="615"/>
      <c r="BA242" s="615"/>
      <c r="BB242" s="615"/>
      <c r="BC242" s="615"/>
      <c r="BD242" s="615"/>
      <c r="BE242" s="615"/>
      <c r="BF242" s="615"/>
      <c r="BG242" s="615"/>
      <c r="BH242" s="615"/>
      <c r="BI242" s="615"/>
      <c r="BJ242" s="635"/>
      <c r="BK242" s="636"/>
      <c r="BL242" s="615"/>
      <c r="BM242" s="615"/>
      <c r="BN242" s="615"/>
      <c r="BO242" s="615"/>
      <c r="BP242" s="615"/>
      <c r="BQ242" s="615"/>
      <c r="BR242" s="615"/>
      <c r="BS242" s="615"/>
      <c r="BT242" s="615"/>
      <c r="BU242" s="615"/>
      <c r="BV242" s="637"/>
      <c r="BW242" s="669"/>
      <c r="BX242" s="615"/>
      <c r="BY242" s="615"/>
      <c r="BZ242" s="615"/>
      <c r="CA242" s="615"/>
      <c r="CB242" s="615"/>
      <c r="CC242" s="615">
        <v>164</v>
      </c>
      <c r="CD242" s="615">
        <v>164</v>
      </c>
      <c r="CE242" s="615">
        <v>164</v>
      </c>
      <c r="CF242" s="615"/>
      <c r="CG242" s="615"/>
      <c r="CH242" s="635"/>
      <c r="CI242" s="636"/>
      <c r="CJ242" s="615"/>
      <c r="CK242" s="615"/>
      <c r="CL242" s="615"/>
      <c r="CM242" s="615"/>
      <c r="CN242" s="615"/>
      <c r="CO242" s="615"/>
      <c r="CP242" s="615"/>
      <c r="CQ242" s="615"/>
      <c r="CR242" s="615"/>
      <c r="CS242" s="615"/>
      <c r="CT242" s="635"/>
      <c r="CU242" s="636"/>
      <c r="CV242" s="615"/>
      <c r="CW242" s="615"/>
      <c r="CX242" s="615"/>
      <c r="CY242" s="615"/>
      <c r="CZ242" s="615"/>
      <c r="DA242" s="615"/>
      <c r="DB242" s="615"/>
      <c r="DC242" s="615"/>
      <c r="DD242" s="615"/>
      <c r="DE242" s="615"/>
      <c r="DF242" s="635"/>
      <c r="DG242" s="636"/>
      <c r="DH242" s="615"/>
      <c r="DI242" s="615"/>
      <c r="DJ242" s="615"/>
      <c r="DK242" s="615"/>
      <c r="DL242" s="615"/>
      <c r="DM242" s="615"/>
      <c r="DN242" s="615"/>
      <c r="DO242" s="615"/>
      <c r="DP242" s="615"/>
      <c r="DQ242" s="615"/>
      <c r="DR242" s="635"/>
      <c r="DS242" s="636"/>
      <c r="DT242" s="615"/>
      <c r="DU242" s="615"/>
      <c r="DV242" s="615"/>
      <c r="DW242" s="615"/>
      <c r="DX242" s="615"/>
      <c r="DY242" s="615"/>
      <c r="DZ242" s="615"/>
      <c r="EA242" s="615"/>
      <c r="EB242" s="615"/>
      <c r="EC242" s="615"/>
      <c r="ED242" s="637"/>
      <c r="EE242" s="692"/>
    </row>
    <row r="243" spans="1:135" x14ac:dyDescent="0.25">
      <c r="A243" s="640" t="s">
        <v>11</v>
      </c>
      <c r="B243" s="367" t="s">
        <v>1398</v>
      </c>
      <c r="C243" s="367" t="s">
        <v>1195</v>
      </c>
      <c r="D243" s="367" t="s">
        <v>1399</v>
      </c>
      <c r="E243" s="503" t="s">
        <v>1396</v>
      </c>
      <c r="F243" s="570">
        <v>44636</v>
      </c>
      <c r="G243" s="85" t="s">
        <v>58</v>
      </c>
      <c r="H243" s="85" t="s">
        <v>54</v>
      </c>
      <c r="I243" s="85" t="s">
        <v>358</v>
      </c>
      <c r="J243" s="675" t="s">
        <v>358</v>
      </c>
      <c r="K243" s="85" t="s">
        <v>358</v>
      </c>
      <c r="L243" s="85" t="s">
        <v>40</v>
      </c>
      <c r="M243" s="85" t="s">
        <v>3</v>
      </c>
      <c r="N243" s="668" t="s">
        <v>44</v>
      </c>
      <c r="O243" s="669"/>
      <c r="P243" s="615"/>
      <c r="Q243" s="615"/>
      <c r="R243" s="615"/>
      <c r="S243" s="615"/>
      <c r="T243" s="615"/>
      <c r="U243" s="615">
        <v>-15</v>
      </c>
      <c r="V243" s="615">
        <v>-15</v>
      </c>
      <c r="W243" s="615">
        <v>-15</v>
      </c>
      <c r="X243" s="615"/>
      <c r="Y243" s="615"/>
      <c r="Z243" s="635"/>
      <c r="AA243" s="636"/>
      <c r="AB243" s="615"/>
      <c r="AC243" s="615"/>
      <c r="AD243" s="615"/>
      <c r="AE243" s="615"/>
      <c r="AF243" s="615"/>
      <c r="AG243" s="615"/>
      <c r="AH243" s="615"/>
      <c r="AI243" s="615"/>
      <c r="AJ243" s="615"/>
      <c r="AK243" s="615"/>
      <c r="AL243" s="635"/>
      <c r="AM243" s="636"/>
      <c r="AN243" s="615"/>
      <c r="AO243" s="615"/>
      <c r="AP243" s="615"/>
      <c r="AQ243" s="615"/>
      <c r="AR243" s="615"/>
      <c r="AS243" s="615"/>
      <c r="AT243" s="615"/>
      <c r="AU243" s="615"/>
      <c r="AV243" s="615"/>
      <c r="AW243" s="615"/>
      <c r="AX243" s="635"/>
      <c r="AY243" s="636"/>
      <c r="AZ243" s="615"/>
      <c r="BA243" s="615"/>
      <c r="BB243" s="615"/>
      <c r="BC243" s="615"/>
      <c r="BD243" s="615"/>
      <c r="BE243" s="615"/>
      <c r="BF243" s="615"/>
      <c r="BG243" s="615"/>
      <c r="BH243" s="615"/>
      <c r="BI243" s="615"/>
      <c r="BJ243" s="635"/>
      <c r="BK243" s="636"/>
      <c r="BL243" s="615"/>
      <c r="BM243" s="615"/>
      <c r="BN243" s="615"/>
      <c r="BO243" s="615"/>
      <c r="BP243" s="615"/>
      <c r="BQ243" s="615"/>
      <c r="BR243" s="615"/>
      <c r="BS243" s="615"/>
      <c r="BT243" s="615"/>
      <c r="BU243" s="615"/>
      <c r="BV243" s="637"/>
      <c r="BW243" s="669"/>
      <c r="BX243" s="615"/>
      <c r="BY243" s="615"/>
      <c r="BZ243" s="615"/>
      <c r="CA243" s="615"/>
      <c r="CB243" s="615"/>
      <c r="CC243" s="615">
        <v>163</v>
      </c>
      <c r="CD243" s="615">
        <v>163</v>
      </c>
      <c r="CE243" s="615">
        <v>163</v>
      </c>
      <c r="CF243" s="615"/>
      <c r="CG243" s="615"/>
      <c r="CH243" s="635"/>
      <c r="CI243" s="636"/>
      <c r="CJ243" s="615"/>
      <c r="CK243" s="615"/>
      <c r="CL243" s="615"/>
      <c r="CM243" s="615"/>
      <c r="CN243" s="615"/>
      <c r="CO243" s="615"/>
      <c r="CP243" s="615"/>
      <c r="CQ243" s="615"/>
      <c r="CR243" s="615"/>
      <c r="CS243" s="615"/>
      <c r="CT243" s="635"/>
      <c r="CU243" s="636"/>
      <c r="CV243" s="615"/>
      <c r="CW243" s="615"/>
      <c r="CX243" s="615"/>
      <c r="CY243" s="615"/>
      <c r="CZ243" s="615"/>
      <c r="DA243" s="615"/>
      <c r="DB243" s="615"/>
      <c r="DC243" s="615"/>
      <c r="DD243" s="615"/>
      <c r="DE243" s="615"/>
      <c r="DF243" s="635"/>
      <c r="DG243" s="636"/>
      <c r="DH243" s="615"/>
      <c r="DI243" s="615"/>
      <c r="DJ243" s="615"/>
      <c r="DK243" s="615"/>
      <c r="DL243" s="615"/>
      <c r="DM243" s="615"/>
      <c r="DN243" s="615"/>
      <c r="DO243" s="615"/>
      <c r="DP243" s="615"/>
      <c r="DQ243" s="615"/>
      <c r="DR243" s="635"/>
      <c r="DS243" s="636"/>
      <c r="DT243" s="615"/>
      <c r="DU243" s="615"/>
      <c r="DV243" s="615"/>
      <c r="DW243" s="615"/>
      <c r="DX243" s="615"/>
      <c r="DY243" s="615"/>
      <c r="DZ243" s="615"/>
      <c r="EA243" s="615"/>
      <c r="EB243" s="615"/>
      <c r="EC243" s="615"/>
      <c r="ED243" s="637"/>
      <c r="EE243" s="692"/>
    </row>
    <row r="244" spans="1:135" x14ac:dyDescent="0.25">
      <c r="A244" s="640" t="s">
        <v>11</v>
      </c>
      <c r="B244" s="367" t="s">
        <v>1400</v>
      </c>
      <c r="C244" s="367" t="s">
        <v>1195</v>
      </c>
      <c r="D244" s="367" t="s">
        <v>1401</v>
      </c>
      <c r="E244" s="503" t="s">
        <v>1397</v>
      </c>
      <c r="F244" s="570">
        <v>44636</v>
      </c>
      <c r="G244" s="85" t="s">
        <v>59</v>
      </c>
      <c r="H244" s="85" t="s">
        <v>54</v>
      </c>
      <c r="I244" s="85" t="s">
        <v>358</v>
      </c>
      <c r="J244" s="675" t="s">
        <v>358</v>
      </c>
      <c r="K244" s="85" t="s">
        <v>358</v>
      </c>
      <c r="L244" s="85" t="s">
        <v>40</v>
      </c>
      <c r="M244" s="85" t="s">
        <v>3</v>
      </c>
      <c r="N244" s="668" t="s">
        <v>44</v>
      </c>
      <c r="O244" s="669"/>
      <c r="P244" s="615"/>
      <c r="Q244" s="615"/>
      <c r="R244" s="615"/>
      <c r="S244" s="615"/>
      <c r="T244" s="615"/>
      <c r="U244" s="615"/>
      <c r="V244" s="615"/>
      <c r="W244" s="615"/>
      <c r="X244" s="615">
        <v>15</v>
      </c>
      <c r="Y244" s="615">
        <v>15</v>
      </c>
      <c r="Z244" s="635">
        <v>15</v>
      </c>
      <c r="AA244" s="636"/>
      <c r="AB244" s="615"/>
      <c r="AC244" s="615"/>
      <c r="AD244" s="615"/>
      <c r="AE244" s="615"/>
      <c r="AF244" s="615"/>
      <c r="AG244" s="615"/>
      <c r="AH244" s="615"/>
      <c r="AI244" s="615"/>
      <c r="AJ244" s="615"/>
      <c r="AK244" s="615"/>
      <c r="AL244" s="635"/>
      <c r="AM244" s="636"/>
      <c r="AN244" s="615"/>
      <c r="AO244" s="615"/>
      <c r="AP244" s="615"/>
      <c r="AQ244" s="615"/>
      <c r="AR244" s="615"/>
      <c r="AS244" s="615"/>
      <c r="AT244" s="615"/>
      <c r="AU244" s="615"/>
      <c r="AV244" s="615"/>
      <c r="AW244" s="615"/>
      <c r="AX244" s="635"/>
      <c r="AY244" s="636"/>
      <c r="AZ244" s="615"/>
      <c r="BA244" s="615"/>
      <c r="BB244" s="615"/>
      <c r="BC244" s="615"/>
      <c r="BD244" s="615"/>
      <c r="BE244" s="615"/>
      <c r="BF244" s="615"/>
      <c r="BG244" s="615"/>
      <c r="BH244" s="615"/>
      <c r="BI244" s="615"/>
      <c r="BJ244" s="635"/>
      <c r="BK244" s="636"/>
      <c r="BL244" s="615"/>
      <c r="BM244" s="615"/>
      <c r="BN244" s="615"/>
      <c r="BO244" s="615"/>
      <c r="BP244" s="615"/>
      <c r="BQ244" s="615"/>
      <c r="BR244" s="615"/>
      <c r="BS244" s="615"/>
      <c r="BT244" s="615"/>
      <c r="BU244" s="615"/>
      <c r="BV244" s="637"/>
      <c r="BW244" s="669"/>
      <c r="BX244" s="615"/>
      <c r="BY244" s="615"/>
      <c r="BZ244" s="615"/>
      <c r="CA244" s="615"/>
      <c r="CB244" s="615"/>
      <c r="CC244" s="615"/>
      <c r="CD244" s="615"/>
      <c r="CE244" s="615"/>
      <c r="CF244" s="615">
        <v>183</v>
      </c>
      <c r="CG244" s="615">
        <v>183</v>
      </c>
      <c r="CH244" s="635">
        <v>183</v>
      </c>
      <c r="CI244" s="636"/>
      <c r="CJ244" s="615"/>
      <c r="CK244" s="615"/>
      <c r="CL244" s="615"/>
      <c r="CM244" s="615"/>
      <c r="CN244" s="615"/>
      <c r="CO244" s="615"/>
      <c r="CP244" s="615"/>
      <c r="CQ244" s="615"/>
      <c r="CR244" s="615"/>
      <c r="CS244" s="615"/>
      <c r="CT244" s="635"/>
      <c r="CU244" s="636"/>
      <c r="CV244" s="615"/>
      <c r="CW244" s="615"/>
      <c r="CX244" s="615"/>
      <c r="CY244" s="615"/>
      <c r="CZ244" s="615"/>
      <c r="DA244" s="615"/>
      <c r="DB244" s="615"/>
      <c r="DC244" s="615"/>
      <c r="DD244" s="615"/>
      <c r="DE244" s="615"/>
      <c r="DF244" s="635"/>
      <c r="DG244" s="636"/>
      <c r="DH244" s="615"/>
      <c r="DI244" s="615"/>
      <c r="DJ244" s="615"/>
      <c r="DK244" s="615"/>
      <c r="DL244" s="615"/>
      <c r="DM244" s="615"/>
      <c r="DN244" s="615"/>
      <c r="DO244" s="615"/>
      <c r="DP244" s="615"/>
      <c r="DQ244" s="615"/>
      <c r="DR244" s="635"/>
      <c r="DS244" s="636"/>
      <c r="DT244" s="615"/>
      <c r="DU244" s="615"/>
      <c r="DV244" s="615"/>
      <c r="DW244" s="615"/>
      <c r="DX244" s="615"/>
      <c r="DY244" s="615"/>
      <c r="DZ244" s="615"/>
      <c r="EA244" s="615"/>
      <c r="EB244" s="615"/>
      <c r="EC244" s="615"/>
      <c r="ED244" s="637"/>
      <c r="EE244" s="692"/>
    </row>
    <row r="245" spans="1:135" x14ac:dyDescent="0.25">
      <c r="A245" s="640" t="s">
        <v>11</v>
      </c>
      <c r="B245" s="367" t="s">
        <v>1411</v>
      </c>
      <c r="C245" s="367" t="s">
        <v>472</v>
      </c>
      <c r="D245" s="367" t="s">
        <v>1412</v>
      </c>
      <c r="E245" s="503" t="s">
        <v>1405</v>
      </c>
      <c r="F245" s="570">
        <v>44638</v>
      </c>
      <c r="G245" s="85" t="s">
        <v>58</v>
      </c>
      <c r="H245" s="85" t="s">
        <v>54</v>
      </c>
      <c r="I245" s="85" t="s">
        <v>358</v>
      </c>
      <c r="J245" s="675" t="s">
        <v>358</v>
      </c>
      <c r="K245" s="85" t="s">
        <v>358</v>
      </c>
      <c r="L245" s="85" t="s">
        <v>40</v>
      </c>
      <c r="M245" s="85" t="s">
        <v>3</v>
      </c>
      <c r="N245" s="668" t="s">
        <v>44</v>
      </c>
      <c r="O245" s="669"/>
      <c r="P245" s="615"/>
      <c r="Q245" s="615"/>
      <c r="R245" s="615"/>
      <c r="S245" s="615"/>
      <c r="T245" s="615"/>
      <c r="U245" s="615">
        <v>-5</v>
      </c>
      <c r="V245" s="615">
        <v>-5</v>
      </c>
      <c r="W245" s="615">
        <v>-5</v>
      </c>
      <c r="X245" s="615"/>
      <c r="Y245" s="615"/>
      <c r="Z245" s="635"/>
      <c r="AA245" s="636"/>
      <c r="AB245" s="615"/>
      <c r="AC245" s="615"/>
      <c r="AD245" s="615"/>
      <c r="AE245" s="615"/>
      <c r="AF245" s="615"/>
      <c r="AG245" s="615"/>
      <c r="AH245" s="615"/>
      <c r="AI245" s="615"/>
      <c r="AJ245" s="615"/>
      <c r="AK245" s="615"/>
      <c r="AL245" s="635"/>
      <c r="AM245" s="636"/>
      <c r="AN245" s="615"/>
      <c r="AO245" s="615"/>
      <c r="AP245" s="615"/>
      <c r="AQ245" s="615"/>
      <c r="AR245" s="615"/>
      <c r="AS245" s="615"/>
      <c r="AT245" s="615"/>
      <c r="AU245" s="615"/>
      <c r="AV245" s="615"/>
      <c r="AW245" s="615"/>
      <c r="AX245" s="635"/>
      <c r="AY245" s="636"/>
      <c r="AZ245" s="615"/>
      <c r="BA245" s="615"/>
      <c r="BB245" s="615"/>
      <c r="BC245" s="615"/>
      <c r="BD245" s="615"/>
      <c r="BE245" s="615"/>
      <c r="BF245" s="615"/>
      <c r="BG245" s="615"/>
      <c r="BH245" s="615"/>
      <c r="BI245" s="615"/>
      <c r="BJ245" s="635"/>
      <c r="BK245" s="636"/>
      <c r="BL245" s="615"/>
      <c r="BM245" s="615"/>
      <c r="BN245" s="615"/>
      <c r="BO245" s="615"/>
      <c r="BP245" s="615"/>
      <c r="BQ245" s="615"/>
      <c r="BR245" s="615"/>
      <c r="BS245" s="615"/>
      <c r="BT245" s="615"/>
      <c r="BU245" s="615"/>
      <c r="BV245" s="637"/>
      <c r="BW245" s="669"/>
      <c r="BX245" s="615"/>
      <c r="BY245" s="615"/>
      <c r="BZ245" s="615"/>
      <c r="CA245" s="615"/>
      <c r="CB245" s="615"/>
      <c r="CC245" s="615">
        <v>155</v>
      </c>
      <c r="CD245" s="615">
        <v>155</v>
      </c>
      <c r="CE245" s="615">
        <v>155</v>
      </c>
      <c r="CF245" s="615"/>
      <c r="CG245" s="615"/>
      <c r="CH245" s="635"/>
      <c r="CI245" s="636"/>
      <c r="CJ245" s="615"/>
      <c r="CK245" s="615"/>
      <c r="CL245" s="615"/>
      <c r="CM245" s="615"/>
      <c r="CN245" s="615"/>
      <c r="CO245" s="615"/>
      <c r="CP245" s="615"/>
      <c r="CQ245" s="615"/>
      <c r="CR245" s="615"/>
      <c r="CS245" s="615"/>
      <c r="CT245" s="635"/>
      <c r="CU245" s="636"/>
      <c r="CV245" s="615"/>
      <c r="CW245" s="615"/>
      <c r="CX245" s="615"/>
      <c r="CY245" s="615"/>
      <c r="CZ245" s="615"/>
      <c r="DA245" s="615"/>
      <c r="DB245" s="615"/>
      <c r="DC245" s="615"/>
      <c r="DD245" s="615"/>
      <c r="DE245" s="615"/>
      <c r="DF245" s="635"/>
      <c r="DG245" s="636"/>
      <c r="DH245" s="615"/>
      <c r="DI245" s="615"/>
      <c r="DJ245" s="615"/>
      <c r="DK245" s="615"/>
      <c r="DL245" s="615"/>
      <c r="DM245" s="615"/>
      <c r="DN245" s="615"/>
      <c r="DO245" s="615"/>
      <c r="DP245" s="615"/>
      <c r="DQ245" s="615"/>
      <c r="DR245" s="635"/>
      <c r="DS245" s="636"/>
      <c r="DT245" s="615"/>
      <c r="DU245" s="615"/>
      <c r="DV245" s="615"/>
      <c r="DW245" s="615"/>
      <c r="DX245" s="615"/>
      <c r="DY245" s="615"/>
      <c r="DZ245" s="615"/>
      <c r="EA245" s="615"/>
      <c r="EB245" s="615"/>
      <c r="EC245" s="615"/>
      <c r="ED245" s="637"/>
      <c r="EE245" s="692"/>
    </row>
    <row r="246" spans="1:135" x14ac:dyDescent="0.25">
      <c r="A246" s="640" t="s">
        <v>11</v>
      </c>
      <c r="B246" s="367" t="s">
        <v>1413</v>
      </c>
      <c r="C246" s="367" t="s">
        <v>1406</v>
      </c>
      <c r="D246" s="367" t="s">
        <v>1414</v>
      </c>
      <c r="E246" s="503">
        <v>23085</v>
      </c>
      <c r="F246" s="570">
        <v>44638</v>
      </c>
      <c r="G246" s="85" t="s">
        <v>59</v>
      </c>
      <c r="H246" s="85" t="s">
        <v>54</v>
      </c>
      <c r="I246" s="85" t="s">
        <v>358</v>
      </c>
      <c r="J246" s="675" t="s">
        <v>358</v>
      </c>
      <c r="K246" s="85" t="s">
        <v>358</v>
      </c>
      <c r="L246" s="85" t="s">
        <v>40</v>
      </c>
      <c r="M246" s="85" t="s">
        <v>3</v>
      </c>
      <c r="N246" s="668" t="s">
        <v>44</v>
      </c>
      <c r="O246" s="669"/>
      <c r="P246" s="615"/>
      <c r="Q246" s="615"/>
      <c r="R246" s="615"/>
      <c r="S246" s="615"/>
      <c r="T246" s="615"/>
      <c r="U246" s="615"/>
      <c r="V246" s="615"/>
      <c r="W246" s="615"/>
      <c r="X246" s="615">
        <v>5</v>
      </c>
      <c r="Y246" s="615">
        <v>5</v>
      </c>
      <c r="Z246" s="635">
        <v>5</v>
      </c>
      <c r="AA246" s="636"/>
      <c r="AB246" s="615"/>
      <c r="AC246" s="615"/>
      <c r="AD246" s="615"/>
      <c r="AE246" s="615"/>
      <c r="AF246" s="615"/>
      <c r="AG246" s="615"/>
      <c r="AH246" s="615"/>
      <c r="AI246" s="615"/>
      <c r="AJ246" s="615"/>
      <c r="AK246" s="615"/>
      <c r="AL246" s="635"/>
      <c r="AM246" s="636"/>
      <c r="AN246" s="615"/>
      <c r="AO246" s="615"/>
      <c r="AP246" s="615"/>
      <c r="AQ246" s="615"/>
      <c r="AR246" s="615"/>
      <c r="AS246" s="615"/>
      <c r="AT246" s="615"/>
      <c r="AU246" s="615"/>
      <c r="AV246" s="615"/>
      <c r="AW246" s="615"/>
      <c r="AX246" s="635"/>
      <c r="AY246" s="636"/>
      <c r="AZ246" s="615"/>
      <c r="BA246" s="615"/>
      <c r="BB246" s="615"/>
      <c r="BC246" s="615"/>
      <c r="BD246" s="615"/>
      <c r="BE246" s="615"/>
      <c r="BF246" s="615"/>
      <c r="BG246" s="615"/>
      <c r="BH246" s="615"/>
      <c r="BI246" s="615"/>
      <c r="BJ246" s="635"/>
      <c r="BK246" s="636"/>
      <c r="BL246" s="615"/>
      <c r="BM246" s="615"/>
      <c r="BN246" s="615"/>
      <c r="BO246" s="615"/>
      <c r="BP246" s="615"/>
      <c r="BQ246" s="615"/>
      <c r="BR246" s="615"/>
      <c r="BS246" s="615"/>
      <c r="BT246" s="615"/>
      <c r="BU246" s="615"/>
      <c r="BV246" s="637"/>
      <c r="BW246" s="669"/>
      <c r="BX246" s="615"/>
      <c r="BY246" s="615"/>
      <c r="BZ246" s="615"/>
      <c r="CA246" s="615"/>
      <c r="CB246" s="615"/>
      <c r="CC246" s="615"/>
      <c r="CD246" s="615"/>
      <c r="CE246" s="615"/>
      <c r="CF246" s="615">
        <v>175</v>
      </c>
      <c r="CG246" s="615">
        <v>175</v>
      </c>
      <c r="CH246" s="635">
        <v>175</v>
      </c>
      <c r="CI246" s="636"/>
      <c r="CJ246" s="615"/>
      <c r="CK246" s="615"/>
      <c r="CL246" s="615"/>
      <c r="CM246" s="615"/>
      <c r="CN246" s="615"/>
      <c r="CO246" s="615"/>
      <c r="CP246" s="615"/>
      <c r="CQ246" s="615"/>
      <c r="CR246" s="615"/>
      <c r="CS246" s="615"/>
      <c r="CT246" s="635"/>
      <c r="CU246" s="636"/>
      <c r="CV246" s="615"/>
      <c r="CW246" s="615"/>
      <c r="CX246" s="615"/>
      <c r="CY246" s="615"/>
      <c r="CZ246" s="615"/>
      <c r="DA246" s="615"/>
      <c r="DB246" s="615"/>
      <c r="DC246" s="615"/>
      <c r="DD246" s="615"/>
      <c r="DE246" s="615"/>
      <c r="DF246" s="635"/>
      <c r="DG246" s="636"/>
      <c r="DH246" s="615"/>
      <c r="DI246" s="615"/>
      <c r="DJ246" s="615"/>
      <c r="DK246" s="615"/>
      <c r="DL246" s="615"/>
      <c r="DM246" s="615"/>
      <c r="DN246" s="615"/>
      <c r="DO246" s="615"/>
      <c r="DP246" s="615"/>
      <c r="DQ246" s="615"/>
      <c r="DR246" s="635"/>
      <c r="DS246" s="636"/>
      <c r="DT246" s="615"/>
      <c r="DU246" s="615"/>
      <c r="DV246" s="615"/>
      <c r="DW246" s="615"/>
      <c r="DX246" s="615"/>
      <c r="DY246" s="615"/>
      <c r="DZ246" s="615"/>
      <c r="EA246" s="615"/>
      <c r="EB246" s="615"/>
      <c r="EC246" s="615"/>
      <c r="ED246" s="637"/>
      <c r="EE246" s="692"/>
    </row>
    <row r="247" spans="1:135" x14ac:dyDescent="0.25">
      <c r="A247" s="640" t="s">
        <v>11</v>
      </c>
      <c r="B247" s="367" t="s">
        <v>1428</v>
      </c>
      <c r="C247" s="367" t="s">
        <v>475</v>
      </c>
      <c r="D247" s="367" t="s">
        <v>1429</v>
      </c>
      <c r="E247" s="503" t="s">
        <v>1416</v>
      </c>
      <c r="F247" s="570">
        <v>44641</v>
      </c>
      <c r="G247" s="85" t="s">
        <v>59</v>
      </c>
      <c r="H247" s="85" t="s">
        <v>54</v>
      </c>
      <c r="I247" s="85" t="s">
        <v>358</v>
      </c>
      <c r="J247" s="675" t="s">
        <v>358</v>
      </c>
      <c r="K247" s="85" t="s">
        <v>358</v>
      </c>
      <c r="L247" s="85" t="s">
        <v>40</v>
      </c>
      <c r="M247" s="85" t="s">
        <v>3</v>
      </c>
      <c r="N247" s="668" t="s">
        <v>44</v>
      </c>
      <c r="O247" s="669"/>
      <c r="P247" s="615"/>
      <c r="Q247" s="615"/>
      <c r="R247" s="615"/>
      <c r="S247" s="615"/>
      <c r="T247" s="615"/>
      <c r="U247" s="615"/>
      <c r="V247" s="615"/>
      <c r="W247" s="615">
        <v>7</v>
      </c>
      <c r="X247" s="615"/>
      <c r="Y247" s="615"/>
      <c r="Z247" s="635"/>
      <c r="AA247" s="636"/>
      <c r="AB247" s="615"/>
      <c r="AC247" s="615"/>
      <c r="AD247" s="615"/>
      <c r="AE247" s="615"/>
      <c r="AF247" s="615"/>
      <c r="AG247" s="615"/>
      <c r="AH247" s="615"/>
      <c r="AI247" s="615"/>
      <c r="AJ247" s="615"/>
      <c r="AK247" s="615"/>
      <c r="AL247" s="635"/>
      <c r="AM247" s="636"/>
      <c r="AN247" s="615"/>
      <c r="AO247" s="615"/>
      <c r="AP247" s="615"/>
      <c r="AQ247" s="615"/>
      <c r="AR247" s="615"/>
      <c r="AS247" s="615"/>
      <c r="AT247" s="615"/>
      <c r="AU247" s="615"/>
      <c r="AV247" s="615"/>
      <c r="AW247" s="615"/>
      <c r="AX247" s="635"/>
      <c r="AY247" s="636"/>
      <c r="AZ247" s="615"/>
      <c r="BA247" s="615"/>
      <c r="BB247" s="615"/>
      <c r="BC247" s="615"/>
      <c r="BD247" s="615"/>
      <c r="BE247" s="615"/>
      <c r="BF247" s="615"/>
      <c r="BG247" s="615"/>
      <c r="BH247" s="615"/>
      <c r="BI247" s="615"/>
      <c r="BJ247" s="635"/>
      <c r="BK247" s="636"/>
      <c r="BL247" s="615"/>
      <c r="BM247" s="615"/>
      <c r="BN247" s="615"/>
      <c r="BO247" s="615"/>
      <c r="BP247" s="615"/>
      <c r="BQ247" s="615"/>
      <c r="BR247" s="615"/>
      <c r="BS247" s="615"/>
      <c r="BT247" s="615"/>
      <c r="BU247" s="615"/>
      <c r="BV247" s="637"/>
      <c r="BW247" s="669"/>
      <c r="BX247" s="615"/>
      <c r="BY247" s="615"/>
      <c r="BZ247" s="615"/>
      <c r="CA247" s="615"/>
      <c r="CB247" s="615"/>
      <c r="CC247" s="615"/>
      <c r="CD247" s="615"/>
      <c r="CE247" s="615">
        <v>160</v>
      </c>
      <c r="CF247" s="615"/>
      <c r="CG247" s="615"/>
      <c r="CH247" s="635"/>
      <c r="CI247" s="636"/>
      <c r="CJ247" s="615"/>
      <c r="CK247" s="615"/>
      <c r="CL247" s="615"/>
      <c r="CM247" s="615"/>
      <c r="CN247" s="615"/>
      <c r="CO247" s="615"/>
      <c r="CP247" s="615"/>
      <c r="CQ247" s="615"/>
      <c r="CR247" s="615"/>
      <c r="CS247" s="615"/>
      <c r="CT247" s="635"/>
      <c r="CU247" s="636"/>
      <c r="CV247" s="615"/>
      <c r="CW247" s="615"/>
      <c r="CX247" s="615"/>
      <c r="CY247" s="615"/>
      <c r="CZ247" s="615"/>
      <c r="DA247" s="615"/>
      <c r="DB247" s="615"/>
      <c r="DC247" s="615"/>
      <c r="DD247" s="615"/>
      <c r="DE247" s="615"/>
      <c r="DF247" s="635"/>
      <c r="DG247" s="636"/>
      <c r="DH247" s="615"/>
      <c r="DI247" s="615"/>
      <c r="DJ247" s="615"/>
      <c r="DK247" s="615"/>
      <c r="DL247" s="615"/>
      <c r="DM247" s="615"/>
      <c r="DN247" s="615"/>
      <c r="DO247" s="615"/>
      <c r="DP247" s="615"/>
      <c r="DQ247" s="615"/>
      <c r="DR247" s="635"/>
      <c r="DS247" s="636"/>
      <c r="DT247" s="615"/>
      <c r="DU247" s="615"/>
      <c r="DV247" s="615"/>
      <c r="DW247" s="615"/>
      <c r="DX247" s="615"/>
      <c r="DY247" s="615"/>
      <c r="DZ247" s="615"/>
      <c r="EA247" s="615"/>
      <c r="EB247" s="615"/>
      <c r="EC247" s="615"/>
      <c r="ED247" s="637"/>
      <c r="EE247" s="692"/>
    </row>
    <row r="248" spans="1:135" x14ac:dyDescent="0.25">
      <c r="A248" s="640" t="s">
        <v>11</v>
      </c>
      <c r="B248" s="367" t="s">
        <v>1430</v>
      </c>
      <c r="C248" s="367" t="s">
        <v>475</v>
      </c>
      <c r="D248" s="367" t="s">
        <v>1431</v>
      </c>
      <c r="E248" s="503" t="s">
        <v>1417</v>
      </c>
      <c r="F248" s="570">
        <v>44641</v>
      </c>
      <c r="G248" s="85" t="s">
        <v>58</v>
      </c>
      <c r="H248" s="85" t="s">
        <v>54</v>
      </c>
      <c r="I248" s="85" t="s">
        <v>358</v>
      </c>
      <c r="J248" s="675" t="s">
        <v>358</v>
      </c>
      <c r="K248" s="85" t="s">
        <v>358</v>
      </c>
      <c r="L248" s="85" t="s">
        <v>40</v>
      </c>
      <c r="M248" s="85" t="s">
        <v>3</v>
      </c>
      <c r="N248" s="668" t="s">
        <v>44</v>
      </c>
      <c r="O248" s="669"/>
      <c r="P248" s="615"/>
      <c r="Q248" s="615"/>
      <c r="R248" s="615"/>
      <c r="S248" s="615"/>
      <c r="T248" s="615"/>
      <c r="U248" s="615"/>
      <c r="V248" s="615">
        <v>-7</v>
      </c>
      <c r="W248" s="615"/>
      <c r="X248" s="615"/>
      <c r="Y248" s="615"/>
      <c r="Z248" s="635"/>
      <c r="AA248" s="636"/>
      <c r="AB248" s="615"/>
      <c r="AC248" s="615"/>
      <c r="AD248" s="615"/>
      <c r="AE248" s="615"/>
      <c r="AF248" s="615"/>
      <c r="AG248" s="615"/>
      <c r="AH248" s="615"/>
      <c r="AI248" s="615"/>
      <c r="AJ248" s="615"/>
      <c r="AK248" s="615"/>
      <c r="AL248" s="635"/>
      <c r="AM248" s="636"/>
      <c r="AN248" s="615"/>
      <c r="AO248" s="615"/>
      <c r="AP248" s="615"/>
      <c r="AQ248" s="615"/>
      <c r="AR248" s="615"/>
      <c r="AS248" s="615"/>
      <c r="AT248" s="615"/>
      <c r="AU248" s="615"/>
      <c r="AV248" s="615"/>
      <c r="AW248" s="615"/>
      <c r="AX248" s="635"/>
      <c r="AY248" s="636"/>
      <c r="AZ248" s="615"/>
      <c r="BA248" s="615"/>
      <c r="BB248" s="615"/>
      <c r="BC248" s="615"/>
      <c r="BD248" s="615"/>
      <c r="BE248" s="615"/>
      <c r="BF248" s="615"/>
      <c r="BG248" s="615"/>
      <c r="BH248" s="615"/>
      <c r="BI248" s="615"/>
      <c r="BJ248" s="635"/>
      <c r="BK248" s="636"/>
      <c r="BL248" s="615"/>
      <c r="BM248" s="615"/>
      <c r="BN248" s="615"/>
      <c r="BO248" s="615"/>
      <c r="BP248" s="615"/>
      <c r="BQ248" s="615"/>
      <c r="BR248" s="615"/>
      <c r="BS248" s="615"/>
      <c r="BT248" s="615"/>
      <c r="BU248" s="615"/>
      <c r="BV248" s="637"/>
      <c r="BW248" s="669"/>
      <c r="BX248" s="615"/>
      <c r="BY248" s="615"/>
      <c r="BZ248" s="615"/>
      <c r="CA248" s="615"/>
      <c r="CB248" s="615"/>
      <c r="CC248" s="615"/>
      <c r="CD248" s="615">
        <v>149</v>
      </c>
      <c r="CE248" s="615"/>
      <c r="CF248" s="615"/>
      <c r="CG248" s="615"/>
      <c r="CH248" s="635"/>
      <c r="CI248" s="636"/>
      <c r="CJ248" s="615"/>
      <c r="CK248" s="615"/>
      <c r="CL248" s="615"/>
      <c r="CM248" s="615"/>
      <c r="CN248" s="615"/>
      <c r="CO248" s="615"/>
      <c r="CP248" s="615"/>
      <c r="CQ248" s="615"/>
      <c r="CR248" s="615"/>
      <c r="CS248" s="615"/>
      <c r="CT248" s="635"/>
      <c r="CU248" s="636"/>
      <c r="CV248" s="615"/>
      <c r="CW248" s="615"/>
      <c r="CX248" s="615"/>
      <c r="CY248" s="615"/>
      <c r="CZ248" s="615"/>
      <c r="DA248" s="615"/>
      <c r="DB248" s="615"/>
      <c r="DC248" s="615"/>
      <c r="DD248" s="615"/>
      <c r="DE248" s="615"/>
      <c r="DF248" s="635"/>
      <c r="DG248" s="636"/>
      <c r="DH248" s="615"/>
      <c r="DI248" s="615"/>
      <c r="DJ248" s="615"/>
      <c r="DK248" s="615"/>
      <c r="DL248" s="615"/>
      <c r="DM248" s="615"/>
      <c r="DN248" s="615"/>
      <c r="DO248" s="615"/>
      <c r="DP248" s="615"/>
      <c r="DQ248" s="615"/>
      <c r="DR248" s="635"/>
      <c r="DS248" s="636"/>
      <c r="DT248" s="615"/>
      <c r="DU248" s="615"/>
      <c r="DV248" s="615"/>
      <c r="DW248" s="615"/>
      <c r="DX248" s="615"/>
      <c r="DY248" s="615"/>
      <c r="DZ248" s="615"/>
      <c r="EA248" s="615"/>
      <c r="EB248" s="615"/>
      <c r="EC248" s="615"/>
      <c r="ED248" s="637"/>
      <c r="EE248" s="692"/>
    </row>
    <row r="249" spans="1:135" x14ac:dyDescent="0.25">
      <c r="A249" s="640" t="s">
        <v>11</v>
      </c>
      <c r="B249" s="367" t="s">
        <v>1432</v>
      </c>
      <c r="C249" s="367" t="s">
        <v>353</v>
      </c>
      <c r="D249" s="367" t="s">
        <v>1433</v>
      </c>
      <c r="E249" s="503" t="s">
        <v>1418</v>
      </c>
      <c r="F249" s="570">
        <v>44641</v>
      </c>
      <c r="G249" s="85" t="s">
        <v>59</v>
      </c>
      <c r="H249" s="85" t="s">
        <v>54</v>
      </c>
      <c r="I249" s="85" t="s">
        <v>358</v>
      </c>
      <c r="J249" s="675" t="s">
        <v>358</v>
      </c>
      <c r="K249" s="85" t="s">
        <v>358</v>
      </c>
      <c r="L249" s="85" t="s">
        <v>40</v>
      </c>
      <c r="M249" s="85" t="s">
        <v>3</v>
      </c>
      <c r="N249" s="668" t="s">
        <v>44</v>
      </c>
      <c r="O249" s="669"/>
      <c r="P249" s="615"/>
      <c r="Q249" s="615"/>
      <c r="R249" s="615"/>
      <c r="S249" s="615"/>
      <c r="T249" s="615"/>
      <c r="U249" s="615"/>
      <c r="V249" s="615"/>
      <c r="W249" s="615">
        <v>3</v>
      </c>
      <c r="X249" s="615"/>
      <c r="Y249" s="615"/>
      <c r="Z249" s="635"/>
      <c r="AA249" s="636"/>
      <c r="AB249" s="615"/>
      <c r="AC249" s="615"/>
      <c r="AD249" s="615"/>
      <c r="AE249" s="615"/>
      <c r="AF249" s="615"/>
      <c r="AG249" s="615"/>
      <c r="AH249" s="615"/>
      <c r="AI249" s="615"/>
      <c r="AJ249" s="615"/>
      <c r="AK249" s="615"/>
      <c r="AL249" s="635"/>
      <c r="AM249" s="636"/>
      <c r="AN249" s="615"/>
      <c r="AO249" s="615"/>
      <c r="AP249" s="615"/>
      <c r="AQ249" s="615"/>
      <c r="AR249" s="615"/>
      <c r="AS249" s="615"/>
      <c r="AT249" s="615"/>
      <c r="AU249" s="615"/>
      <c r="AV249" s="615"/>
      <c r="AW249" s="615"/>
      <c r="AX249" s="635"/>
      <c r="AY249" s="636"/>
      <c r="AZ249" s="615"/>
      <c r="BA249" s="615"/>
      <c r="BB249" s="615"/>
      <c r="BC249" s="615"/>
      <c r="BD249" s="615"/>
      <c r="BE249" s="615"/>
      <c r="BF249" s="615"/>
      <c r="BG249" s="615"/>
      <c r="BH249" s="615"/>
      <c r="BI249" s="615"/>
      <c r="BJ249" s="635"/>
      <c r="BK249" s="636"/>
      <c r="BL249" s="615"/>
      <c r="BM249" s="615"/>
      <c r="BN249" s="615"/>
      <c r="BO249" s="615"/>
      <c r="BP249" s="615"/>
      <c r="BQ249" s="615"/>
      <c r="BR249" s="615"/>
      <c r="BS249" s="615"/>
      <c r="BT249" s="615"/>
      <c r="BU249" s="615"/>
      <c r="BV249" s="637"/>
      <c r="BW249" s="669"/>
      <c r="BX249" s="615"/>
      <c r="BY249" s="615"/>
      <c r="BZ249" s="615"/>
      <c r="CA249" s="615"/>
      <c r="CB249" s="615"/>
      <c r="CC249" s="615"/>
      <c r="CD249" s="615"/>
      <c r="CE249" s="615">
        <v>162</v>
      </c>
      <c r="CF249" s="615"/>
      <c r="CG249" s="615"/>
      <c r="CH249" s="635"/>
      <c r="CI249" s="636"/>
      <c r="CJ249" s="615"/>
      <c r="CK249" s="615"/>
      <c r="CL249" s="615"/>
      <c r="CM249" s="615"/>
      <c r="CN249" s="615"/>
      <c r="CO249" s="615"/>
      <c r="CP249" s="615"/>
      <c r="CQ249" s="615"/>
      <c r="CR249" s="615"/>
      <c r="CS249" s="615"/>
      <c r="CT249" s="635"/>
      <c r="CU249" s="636"/>
      <c r="CV249" s="615"/>
      <c r="CW249" s="615"/>
      <c r="CX249" s="615"/>
      <c r="CY249" s="615"/>
      <c r="CZ249" s="615"/>
      <c r="DA249" s="615"/>
      <c r="DB249" s="615"/>
      <c r="DC249" s="615"/>
      <c r="DD249" s="615"/>
      <c r="DE249" s="615"/>
      <c r="DF249" s="635"/>
      <c r="DG249" s="636"/>
      <c r="DH249" s="615"/>
      <c r="DI249" s="615"/>
      <c r="DJ249" s="615"/>
      <c r="DK249" s="615"/>
      <c r="DL249" s="615"/>
      <c r="DM249" s="615"/>
      <c r="DN249" s="615"/>
      <c r="DO249" s="615"/>
      <c r="DP249" s="615"/>
      <c r="DQ249" s="615"/>
      <c r="DR249" s="635"/>
      <c r="DS249" s="636"/>
      <c r="DT249" s="615"/>
      <c r="DU249" s="615"/>
      <c r="DV249" s="615"/>
      <c r="DW249" s="615"/>
      <c r="DX249" s="615"/>
      <c r="DY249" s="615"/>
      <c r="DZ249" s="615"/>
      <c r="EA249" s="615"/>
      <c r="EB249" s="615"/>
      <c r="EC249" s="615"/>
      <c r="ED249" s="637"/>
      <c r="EE249" s="692"/>
    </row>
    <row r="250" spans="1:135" x14ac:dyDescent="0.25">
      <c r="A250" s="640" t="s">
        <v>11</v>
      </c>
      <c r="B250" s="367" t="s">
        <v>1434</v>
      </c>
      <c r="C250" s="367" t="s">
        <v>353</v>
      </c>
      <c r="D250" s="367" t="s">
        <v>1435</v>
      </c>
      <c r="E250" s="503" t="s">
        <v>1419</v>
      </c>
      <c r="F250" s="570">
        <v>44641</v>
      </c>
      <c r="G250" s="85" t="s">
        <v>58</v>
      </c>
      <c r="H250" s="85" t="s">
        <v>54</v>
      </c>
      <c r="I250" s="85" t="s">
        <v>358</v>
      </c>
      <c r="J250" s="675" t="s">
        <v>358</v>
      </c>
      <c r="K250" s="85" t="s">
        <v>358</v>
      </c>
      <c r="L250" s="85" t="s">
        <v>40</v>
      </c>
      <c r="M250" s="85" t="s">
        <v>3</v>
      </c>
      <c r="N250" s="668" t="s">
        <v>44</v>
      </c>
      <c r="O250" s="669"/>
      <c r="P250" s="615"/>
      <c r="Q250" s="615"/>
      <c r="R250" s="615"/>
      <c r="S250" s="615"/>
      <c r="T250" s="615"/>
      <c r="U250" s="615">
        <v>-3</v>
      </c>
      <c r="V250" s="615"/>
      <c r="W250" s="615"/>
      <c r="X250" s="615"/>
      <c r="Y250" s="615"/>
      <c r="Z250" s="635"/>
      <c r="AA250" s="636"/>
      <c r="AB250" s="615"/>
      <c r="AC250" s="615"/>
      <c r="AD250" s="615"/>
      <c r="AE250" s="615"/>
      <c r="AF250" s="615"/>
      <c r="AG250" s="615"/>
      <c r="AH250" s="615"/>
      <c r="AI250" s="615"/>
      <c r="AJ250" s="615"/>
      <c r="AK250" s="615"/>
      <c r="AL250" s="635"/>
      <c r="AM250" s="636"/>
      <c r="AN250" s="615"/>
      <c r="AO250" s="615"/>
      <c r="AP250" s="615"/>
      <c r="AQ250" s="615"/>
      <c r="AR250" s="615"/>
      <c r="AS250" s="615"/>
      <c r="AT250" s="615"/>
      <c r="AU250" s="615"/>
      <c r="AV250" s="615"/>
      <c r="AW250" s="615"/>
      <c r="AX250" s="635"/>
      <c r="AY250" s="636"/>
      <c r="AZ250" s="615"/>
      <c r="BA250" s="615"/>
      <c r="BB250" s="615"/>
      <c r="BC250" s="615"/>
      <c r="BD250" s="615"/>
      <c r="BE250" s="615"/>
      <c r="BF250" s="615"/>
      <c r="BG250" s="615"/>
      <c r="BH250" s="615"/>
      <c r="BI250" s="615"/>
      <c r="BJ250" s="635"/>
      <c r="BK250" s="636"/>
      <c r="BL250" s="615"/>
      <c r="BM250" s="615"/>
      <c r="BN250" s="615"/>
      <c r="BO250" s="615"/>
      <c r="BP250" s="615"/>
      <c r="BQ250" s="615"/>
      <c r="BR250" s="615"/>
      <c r="BS250" s="615"/>
      <c r="BT250" s="615"/>
      <c r="BU250" s="615"/>
      <c r="BV250" s="637"/>
      <c r="BW250" s="669"/>
      <c r="BX250" s="615"/>
      <c r="BY250" s="615"/>
      <c r="BZ250" s="615"/>
      <c r="CA250" s="615"/>
      <c r="CB250" s="615"/>
      <c r="CC250" s="615">
        <v>125</v>
      </c>
      <c r="CD250" s="615"/>
      <c r="CE250" s="615"/>
      <c r="CF250" s="615"/>
      <c r="CG250" s="615"/>
      <c r="CH250" s="635"/>
      <c r="CI250" s="636"/>
      <c r="CJ250" s="615"/>
      <c r="CK250" s="615"/>
      <c r="CL250" s="615"/>
      <c r="CM250" s="615"/>
      <c r="CN250" s="615"/>
      <c r="CO250" s="615"/>
      <c r="CP250" s="615"/>
      <c r="CQ250" s="615"/>
      <c r="CR250" s="615"/>
      <c r="CS250" s="615"/>
      <c r="CT250" s="635"/>
      <c r="CU250" s="636"/>
      <c r="CV250" s="615"/>
      <c r="CW250" s="615"/>
      <c r="CX250" s="615"/>
      <c r="CY250" s="615"/>
      <c r="CZ250" s="615"/>
      <c r="DA250" s="615"/>
      <c r="DB250" s="615"/>
      <c r="DC250" s="615"/>
      <c r="DD250" s="615"/>
      <c r="DE250" s="615"/>
      <c r="DF250" s="635"/>
      <c r="DG250" s="636"/>
      <c r="DH250" s="615"/>
      <c r="DI250" s="615"/>
      <c r="DJ250" s="615"/>
      <c r="DK250" s="615"/>
      <c r="DL250" s="615"/>
      <c r="DM250" s="615"/>
      <c r="DN250" s="615"/>
      <c r="DO250" s="615"/>
      <c r="DP250" s="615"/>
      <c r="DQ250" s="615"/>
      <c r="DR250" s="635"/>
      <c r="DS250" s="636"/>
      <c r="DT250" s="615"/>
      <c r="DU250" s="615"/>
      <c r="DV250" s="615"/>
      <c r="DW250" s="615"/>
      <c r="DX250" s="615"/>
      <c r="DY250" s="615"/>
      <c r="DZ250" s="615"/>
      <c r="EA250" s="615"/>
      <c r="EB250" s="615"/>
      <c r="EC250" s="615"/>
      <c r="ED250" s="637"/>
      <c r="EE250" s="692"/>
    </row>
    <row r="251" spans="1:135" x14ac:dyDescent="0.25">
      <c r="A251" s="640" t="s">
        <v>11</v>
      </c>
      <c r="B251" s="367" t="s">
        <v>1436</v>
      </c>
      <c r="C251" s="367" t="s">
        <v>475</v>
      </c>
      <c r="D251" s="367" t="s">
        <v>1437</v>
      </c>
      <c r="E251" s="503" t="s">
        <v>1420</v>
      </c>
      <c r="F251" s="570">
        <v>44642</v>
      </c>
      <c r="G251" s="85" t="s">
        <v>59</v>
      </c>
      <c r="H251" s="85" t="s">
        <v>54</v>
      </c>
      <c r="I251" s="85" t="s">
        <v>358</v>
      </c>
      <c r="J251" s="675" t="s">
        <v>358</v>
      </c>
      <c r="K251" s="85" t="s">
        <v>358</v>
      </c>
      <c r="L251" s="85" t="s">
        <v>40</v>
      </c>
      <c r="M251" s="85" t="s">
        <v>3</v>
      </c>
      <c r="N251" s="668" t="s">
        <v>44</v>
      </c>
      <c r="O251" s="669"/>
      <c r="P251" s="615"/>
      <c r="Q251" s="615"/>
      <c r="R251" s="615"/>
      <c r="S251" s="615"/>
      <c r="T251" s="615"/>
      <c r="U251" s="615"/>
      <c r="V251" s="615"/>
      <c r="W251" s="615">
        <v>10</v>
      </c>
      <c r="X251" s="615"/>
      <c r="Y251" s="615"/>
      <c r="Z251" s="635"/>
      <c r="AA251" s="636"/>
      <c r="AB251" s="615"/>
      <c r="AC251" s="615"/>
      <c r="AD251" s="615"/>
      <c r="AE251" s="615"/>
      <c r="AF251" s="615"/>
      <c r="AG251" s="615"/>
      <c r="AH251" s="615"/>
      <c r="AI251" s="615"/>
      <c r="AJ251" s="615"/>
      <c r="AK251" s="615"/>
      <c r="AL251" s="635"/>
      <c r="AM251" s="636"/>
      <c r="AN251" s="615"/>
      <c r="AO251" s="615"/>
      <c r="AP251" s="615"/>
      <c r="AQ251" s="615"/>
      <c r="AR251" s="615"/>
      <c r="AS251" s="615"/>
      <c r="AT251" s="615"/>
      <c r="AU251" s="615"/>
      <c r="AV251" s="615"/>
      <c r="AW251" s="615"/>
      <c r="AX251" s="635"/>
      <c r="AY251" s="636"/>
      <c r="AZ251" s="615"/>
      <c r="BA251" s="615"/>
      <c r="BB251" s="615"/>
      <c r="BC251" s="615"/>
      <c r="BD251" s="615"/>
      <c r="BE251" s="615"/>
      <c r="BF251" s="615"/>
      <c r="BG251" s="615"/>
      <c r="BH251" s="615"/>
      <c r="BI251" s="615"/>
      <c r="BJ251" s="635"/>
      <c r="BK251" s="636"/>
      <c r="BL251" s="615"/>
      <c r="BM251" s="615"/>
      <c r="BN251" s="615"/>
      <c r="BO251" s="615"/>
      <c r="BP251" s="615"/>
      <c r="BQ251" s="615"/>
      <c r="BR251" s="615"/>
      <c r="BS251" s="615"/>
      <c r="BT251" s="615"/>
      <c r="BU251" s="615"/>
      <c r="BV251" s="637"/>
      <c r="BW251" s="669"/>
      <c r="BX251" s="615"/>
      <c r="BY251" s="615"/>
      <c r="BZ251" s="615"/>
      <c r="CA251" s="615"/>
      <c r="CB251" s="615"/>
      <c r="CC251" s="615"/>
      <c r="CD251" s="615"/>
      <c r="CE251" s="615">
        <v>165</v>
      </c>
      <c r="CF251" s="615"/>
      <c r="CG251" s="615"/>
      <c r="CH251" s="635"/>
      <c r="CI251" s="636"/>
      <c r="CJ251" s="615"/>
      <c r="CK251" s="615"/>
      <c r="CL251" s="615"/>
      <c r="CM251" s="615"/>
      <c r="CN251" s="615"/>
      <c r="CO251" s="615"/>
      <c r="CP251" s="615"/>
      <c r="CQ251" s="615"/>
      <c r="CR251" s="615"/>
      <c r="CS251" s="615"/>
      <c r="CT251" s="635"/>
      <c r="CU251" s="636"/>
      <c r="CV251" s="615"/>
      <c r="CW251" s="615"/>
      <c r="CX251" s="615"/>
      <c r="CY251" s="615"/>
      <c r="CZ251" s="615"/>
      <c r="DA251" s="615"/>
      <c r="DB251" s="615"/>
      <c r="DC251" s="615"/>
      <c r="DD251" s="615"/>
      <c r="DE251" s="615"/>
      <c r="DF251" s="635"/>
      <c r="DG251" s="636"/>
      <c r="DH251" s="615"/>
      <c r="DI251" s="615"/>
      <c r="DJ251" s="615"/>
      <c r="DK251" s="615"/>
      <c r="DL251" s="615"/>
      <c r="DM251" s="615"/>
      <c r="DN251" s="615"/>
      <c r="DO251" s="615"/>
      <c r="DP251" s="615"/>
      <c r="DQ251" s="615"/>
      <c r="DR251" s="635"/>
      <c r="DS251" s="636"/>
      <c r="DT251" s="615"/>
      <c r="DU251" s="615"/>
      <c r="DV251" s="615"/>
      <c r="DW251" s="615"/>
      <c r="DX251" s="615"/>
      <c r="DY251" s="615"/>
      <c r="DZ251" s="615"/>
      <c r="EA251" s="615"/>
      <c r="EB251" s="615"/>
      <c r="EC251" s="615"/>
      <c r="ED251" s="637"/>
      <c r="EE251" s="692"/>
    </row>
    <row r="252" spans="1:135" x14ac:dyDescent="0.25">
      <c r="A252" s="640" t="s">
        <v>11</v>
      </c>
      <c r="B252" s="367" t="s">
        <v>1438</v>
      </c>
      <c r="C252" s="367" t="s">
        <v>475</v>
      </c>
      <c r="D252" s="367" t="s">
        <v>1439</v>
      </c>
      <c r="E252" s="503" t="s">
        <v>1421</v>
      </c>
      <c r="F252" s="570">
        <v>44642</v>
      </c>
      <c r="G252" s="85" t="s">
        <v>58</v>
      </c>
      <c r="H252" s="85" t="s">
        <v>54</v>
      </c>
      <c r="I252" s="85" t="s">
        <v>358</v>
      </c>
      <c r="J252" s="675" t="s">
        <v>358</v>
      </c>
      <c r="K252" s="85" t="s">
        <v>358</v>
      </c>
      <c r="L252" s="85" t="s">
        <v>40</v>
      </c>
      <c r="M252" s="85" t="s">
        <v>3</v>
      </c>
      <c r="N252" s="668" t="s">
        <v>44</v>
      </c>
      <c r="O252" s="669"/>
      <c r="P252" s="615"/>
      <c r="Q252" s="615"/>
      <c r="R252" s="615"/>
      <c r="S252" s="615"/>
      <c r="T252" s="615"/>
      <c r="U252" s="615">
        <v>-10</v>
      </c>
      <c r="V252" s="615"/>
      <c r="W252" s="615"/>
      <c r="X252" s="615"/>
      <c r="Y252" s="615"/>
      <c r="Z252" s="635"/>
      <c r="AA252" s="636"/>
      <c r="AB252" s="615"/>
      <c r="AC252" s="615"/>
      <c r="AD252" s="615"/>
      <c r="AE252" s="615"/>
      <c r="AF252" s="615"/>
      <c r="AG252" s="615"/>
      <c r="AH252" s="615"/>
      <c r="AI252" s="615"/>
      <c r="AJ252" s="615"/>
      <c r="AK252" s="615"/>
      <c r="AL252" s="635"/>
      <c r="AM252" s="636"/>
      <c r="AN252" s="615"/>
      <c r="AO252" s="615"/>
      <c r="AP252" s="615"/>
      <c r="AQ252" s="615"/>
      <c r="AR252" s="615"/>
      <c r="AS252" s="615"/>
      <c r="AT252" s="615"/>
      <c r="AU252" s="615"/>
      <c r="AV252" s="615"/>
      <c r="AW252" s="615"/>
      <c r="AX252" s="635"/>
      <c r="AY252" s="636"/>
      <c r="AZ252" s="615"/>
      <c r="BA252" s="615"/>
      <c r="BB252" s="615"/>
      <c r="BC252" s="615"/>
      <c r="BD252" s="615"/>
      <c r="BE252" s="615"/>
      <c r="BF252" s="615"/>
      <c r="BG252" s="615"/>
      <c r="BH252" s="615"/>
      <c r="BI252" s="615"/>
      <c r="BJ252" s="635"/>
      <c r="BK252" s="636"/>
      <c r="BL252" s="615"/>
      <c r="BM252" s="615"/>
      <c r="BN252" s="615"/>
      <c r="BO252" s="615"/>
      <c r="BP252" s="615"/>
      <c r="BQ252" s="615"/>
      <c r="BR252" s="615"/>
      <c r="BS252" s="615"/>
      <c r="BT252" s="615"/>
      <c r="BU252" s="615"/>
      <c r="BV252" s="637"/>
      <c r="BW252" s="669"/>
      <c r="BX252" s="615"/>
      <c r="BY252" s="615"/>
      <c r="BZ252" s="615"/>
      <c r="CA252" s="615"/>
      <c r="CB252" s="615"/>
      <c r="CC252" s="615">
        <v>128</v>
      </c>
      <c r="CD252" s="615"/>
      <c r="CE252" s="615"/>
      <c r="CF252" s="615"/>
      <c r="CG252" s="615"/>
      <c r="CH252" s="635"/>
      <c r="CI252" s="636"/>
      <c r="CJ252" s="615"/>
      <c r="CK252" s="615"/>
      <c r="CL252" s="615"/>
      <c r="CM252" s="615"/>
      <c r="CN252" s="615"/>
      <c r="CO252" s="615"/>
      <c r="CP252" s="615"/>
      <c r="CQ252" s="615"/>
      <c r="CR252" s="615"/>
      <c r="CS252" s="615"/>
      <c r="CT252" s="635"/>
      <c r="CU252" s="636"/>
      <c r="CV252" s="615"/>
      <c r="CW252" s="615"/>
      <c r="CX252" s="615"/>
      <c r="CY252" s="615"/>
      <c r="CZ252" s="615"/>
      <c r="DA252" s="615"/>
      <c r="DB252" s="615"/>
      <c r="DC252" s="615"/>
      <c r="DD252" s="615"/>
      <c r="DE252" s="615"/>
      <c r="DF252" s="635"/>
      <c r="DG252" s="636"/>
      <c r="DH252" s="615"/>
      <c r="DI252" s="615"/>
      <c r="DJ252" s="615"/>
      <c r="DK252" s="615"/>
      <c r="DL252" s="615"/>
      <c r="DM252" s="615"/>
      <c r="DN252" s="615"/>
      <c r="DO252" s="615"/>
      <c r="DP252" s="615"/>
      <c r="DQ252" s="615"/>
      <c r="DR252" s="635"/>
      <c r="DS252" s="636"/>
      <c r="DT252" s="615"/>
      <c r="DU252" s="615"/>
      <c r="DV252" s="615"/>
      <c r="DW252" s="615"/>
      <c r="DX252" s="615"/>
      <c r="DY252" s="615"/>
      <c r="DZ252" s="615"/>
      <c r="EA252" s="615"/>
      <c r="EB252" s="615"/>
      <c r="EC252" s="615"/>
      <c r="ED252" s="637"/>
      <c r="EE252" s="692"/>
    </row>
    <row r="253" spans="1:135" x14ac:dyDescent="0.25">
      <c r="A253" s="640" t="s">
        <v>11</v>
      </c>
      <c r="B253" s="367" t="s">
        <v>1440</v>
      </c>
      <c r="C253" s="367" t="s">
        <v>945</v>
      </c>
      <c r="D253" s="367" t="s">
        <v>1441</v>
      </c>
      <c r="E253" s="503" t="s">
        <v>1422</v>
      </c>
      <c r="F253" s="570">
        <v>44642</v>
      </c>
      <c r="G253" s="85" t="s">
        <v>59</v>
      </c>
      <c r="H253" s="85" t="s">
        <v>54</v>
      </c>
      <c r="I253" s="85" t="s">
        <v>358</v>
      </c>
      <c r="J253" s="675" t="s">
        <v>358</v>
      </c>
      <c r="K253" s="85" t="s">
        <v>358</v>
      </c>
      <c r="L253" s="85" t="s">
        <v>40</v>
      </c>
      <c r="M253" s="85" t="s">
        <v>3</v>
      </c>
      <c r="N253" s="668" t="s">
        <v>44</v>
      </c>
      <c r="O253" s="669"/>
      <c r="P253" s="615"/>
      <c r="Q253" s="615"/>
      <c r="R253" s="615"/>
      <c r="S253" s="615"/>
      <c r="T253" s="615"/>
      <c r="U253" s="615"/>
      <c r="V253" s="615"/>
      <c r="W253" s="615">
        <v>5</v>
      </c>
      <c r="X253" s="615"/>
      <c r="Y253" s="615"/>
      <c r="Z253" s="635"/>
      <c r="AA253" s="636"/>
      <c r="AB253" s="615"/>
      <c r="AC253" s="615"/>
      <c r="AD253" s="615"/>
      <c r="AE253" s="615"/>
      <c r="AF253" s="615"/>
      <c r="AG253" s="615"/>
      <c r="AH253" s="615"/>
      <c r="AI253" s="615"/>
      <c r="AJ253" s="615"/>
      <c r="AK253" s="615"/>
      <c r="AL253" s="635"/>
      <c r="AM253" s="636"/>
      <c r="AN253" s="615"/>
      <c r="AO253" s="615"/>
      <c r="AP253" s="615"/>
      <c r="AQ253" s="615"/>
      <c r="AR253" s="615"/>
      <c r="AS253" s="615"/>
      <c r="AT253" s="615"/>
      <c r="AU253" s="615"/>
      <c r="AV253" s="615"/>
      <c r="AW253" s="615"/>
      <c r="AX253" s="635"/>
      <c r="AY253" s="636"/>
      <c r="AZ253" s="615"/>
      <c r="BA253" s="615"/>
      <c r="BB253" s="615"/>
      <c r="BC253" s="615"/>
      <c r="BD253" s="615"/>
      <c r="BE253" s="615"/>
      <c r="BF253" s="615"/>
      <c r="BG253" s="615"/>
      <c r="BH253" s="615"/>
      <c r="BI253" s="615"/>
      <c r="BJ253" s="635"/>
      <c r="BK253" s="636"/>
      <c r="BL253" s="615"/>
      <c r="BM253" s="615"/>
      <c r="BN253" s="615"/>
      <c r="BO253" s="615"/>
      <c r="BP253" s="615"/>
      <c r="BQ253" s="615"/>
      <c r="BR253" s="615"/>
      <c r="BS253" s="615"/>
      <c r="BT253" s="615"/>
      <c r="BU253" s="615"/>
      <c r="BV253" s="637"/>
      <c r="BW253" s="669"/>
      <c r="BX253" s="615"/>
      <c r="BY253" s="615"/>
      <c r="BZ253" s="615"/>
      <c r="CA253" s="615"/>
      <c r="CB253" s="615"/>
      <c r="CC253" s="615"/>
      <c r="CD253" s="615"/>
      <c r="CE253" s="615">
        <v>165</v>
      </c>
      <c r="CF253" s="615"/>
      <c r="CG253" s="615"/>
      <c r="CH253" s="635"/>
      <c r="CI253" s="636"/>
      <c r="CJ253" s="615"/>
      <c r="CK253" s="615"/>
      <c r="CL253" s="615"/>
      <c r="CM253" s="615"/>
      <c r="CN253" s="615"/>
      <c r="CO253" s="615"/>
      <c r="CP253" s="615"/>
      <c r="CQ253" s="615"/>
      <c r="CR253" s="615"/>
      <c r="CS253" s="615"/>
      <c r="CT253" s="635"/>
      <c r="CU253" s="636"/>
      <c r="CV253" s="615"/>
      <c r="CW253" s="615"/>
      <c r="CX253" s="615"/>
      <c r="CY253" s="615"/>
      <c r="CZ253" s="615"/>
      <c r="DA253" s="615"/>
      <c r="DB253" s="615"/>
      <c r="DC253" s="615"/>
      <c r="DD253" s="615"/>
      <c r="DE253" s="615"/>
      <c r="DF253" s="635"/>
      <c r="DG253" s="636"/>
      <c r="DH253" s="615"/>
      <c r="DI253" s="615"/>
      <c r="DJ253" s="615"/>
      <c r="DK253" s="615"/>
      <c r="DL253" s="615"/>
      <c r="DM253" s="615"/>
      <c r="DN253" s="615"/>
      <c r="DO253" s="615"/>
      <c r="DP253" s="615"/>
      <c r="DQ253" s="615"/>
      <c r="DR253" s="635"/>
      <c r="DS253" s="636"/>
      <c r="DT253" s="615"/>
      <c r="DU253" s="615"/>
      <c r="DV253" s="615"/>
      <c r="DW253" s="615"/>
      <c r="DX253" s="615"/>
      <c r="DY253" s="615"/>
      <c r="DZ253" s="615"/>
      <c r="EA253" s="615"/>
      <c r="EB253" s="615"/>
      <c r="EC253" s="615"/>
      <c r="ED253" s="637"/>
      <c r="EE253" s="692"/>
    </row>
    <row r="254" spans="1:135" x14ac:dyDescent="0.25">
      <c r="A254" s="640" t="s">
        <v>11</v>
      </c>
      <c r="B254" s="367" t="s">
        <v>1442</v>
      </c>
      <c r="C254" s="367" t="s">
        <v>477</v>
      </c>
      <c r="D254" s="367" t="s">
        <v>1443</v>
      </c>
      <c r="E254" s="503" t="s">
        <v>1423</v>
      </c>
      <c r="F254" s="570">
        <v>44642</v>
      </c>
      <c r="G254" s="85" t="s">
        <v>58</v>
      </c>
      <c r="H254" s="85" t="s">
        <v>54</v>
      </c>
      <c r="I254" s="85" t="s">
        <v>358</v>
      </c>
      <c r="J254" s="675" t="s">
        <v>358</v>
      </c>
      <c r="K254" s="85" t="s">
        <v>358</v>
      </c>
      <c r="L254" s="85" t="s">
        <v>40</v>
      </c>
      <c r="M254" s="85" t="s">
        <v>3</v>
      </c>
      <c r="N254" s="668" t="s">
        <v>44</v>
      </c>
      <c r="O254" s="669"/>
      <c r="P254" s="615"/>
      <c r="Q254" s="615"/>
      <c r="R254" s="615"/>
      <c r="S254" s="615"/>
      <c r="T254" s="615"/>
      <c r="U254" s="615">
        <v>-2</v>
      </c>
      <c r="V254" s="615"/>
      <c r="W254" s="615"/>
      <c r="X254" s="615"/>
      <c r="Y254" s="615"/>
      <c r="Z254" s="635"/>
      <c r="AA254" s="636"/>
      <c r="AB254" s="615"/>
      <c r="AC254" s="615"/>
      <c r="AD254" s="615"/>
      <c r="AE254" s="615"/>
      <c r="AF254" s="615"/>
      <c r="AG254" s="615"/>
      <c r="AH254" s="615"/>
      <c r="AI254" s="615"/>
      <c r="AJ254" s="615"/>
      <c r="AK254" s="615"/>
      <c r="AL254" s="635"/>
      <c r="AM254" s="636"/>
      <c r="AN254" s="615"/>
      <c r="AO254" s="615"/>
      <c r="AP254" s="615"/>
      <c r="AQ254" s="615"/>
      <c r="AR254" s="615"/>
      <c r="AS254" s="615"/>
      <c r="AT254" s="615"/>
      <c r="AU254" s="615"/>
      <c r="AV254" s="615"/>
      <c r="AW254" s="615"/>
      <c r="AX254" s="635"/>
      <c r="AY254" s="636"/>
      <c r="AZ254" s="615"/>
      <c r="BA254" s="615"/>
      <c r="BB254" s="615"/>
      <c r="BC254" s="615"/>
      <c r="BD254" s="615"/>
      <c r="BE254" s="615"/>
      <c r="BF254" s="615"/>
      <c r="BG254" s="615"/>
      <c r="BH254" s="615"/>
      <c r="BI254" s="615"/>
      <c r="BJ254" s="635"/>
      <c r="BK254" s="636"/>
      <c r="BL254" s="615"/>
      <c r="BM254" s="615"/>
      <c r="BN254" s="615"/>
      <c r="BO254" s="615"/>
      <c r="BP254" s="615"/>
      <c r="BQ254" s="615"/>
      <c r="BR254" s="615"/>
      <c r="BS254" s="615"/>
      <c r="BT254" s="615"/>
      <c r="BU254" s="615"/>
      <c r="BV254" s="637"/>
      <c r="BW254" s="669"/>
      <c r="BX254" s="615"/>
      <c r="BY254" s="615"/>
      <c r="BZ254" s="615"/>
      <c r="CA254" s="615"/>
      <c r="CB254" s="615"/>
      <c r="CC254" s="615">
        <v>127</v>
      </c>
      <c r="CD254" s="615"/>
      <c r="CE254" s="615"/>
      <c r="CF254" s="615"/>
      <c r="CG254" s="615"/>
      <c r="CH254" s="635"/>
      <c r="CI254" s="636"/>
      <c r="CJ254" s="615"/>
      <c r="CK254" s="615"/>
      <c r="CL254" s="615"/>
      <c r="CM254" s="615"/>
      <c r="CN254" s="615"/>
      <c r="CO254" s="615"/>
      <c r="CP254" s="615"/>
      <c r="CQ254" s="615"/>
      <c r="CR254" s="615"/>
      <c r="CS254" s="615"/>
      <c r="CT254" s="635"/>
      <c r="CU254" s="636"/>
      <c r="CV254" s="615"/>
      <c r="CW254" s="615"/>
      <c r="CX254" s="615"/>
      <c r="CY254" s="615"/>
      <c r="CZ254" s="615"/>
      <c r="DA254" s="615"/>
      <c r="DB254" s="615"/>
      <c r="DC254" s="615"/>
      <c r="DD254" s="615"/>
      <c r="DE254" s="615"/>
      <c r="DF254" s="635"/>
      <c r="DG254" s="636"/>
      <c r="DH254" s="615"/>
      <c r="DI254" s="615"/>
      <c r="DJ254" s="615"/>
      <c r="DK254" s="615"/>
      <c r="DL254" s="615"/>
      <c r="DM254" s="615"/>
      <c r="DN254" s="615"/>
      <c r="DO254" s="615"/>
      <c r="DP254" s="615"/>
      <c r="DQ254" s="615"/>
      <c r="DR254" s="635"/>
      <c r="DS254" s="636"/>
      <c r="DT254" s="615"/>
      <c r="DU254" s="615"/>
      <c r="DV254" s="615"/>
      <c r="DW254" s="615"/>
      <c r="DX254" s="615"/>
      <c r="DY254" s="615"/>
      <c r="DZ254" s="615"/>
      <c r="EA254" s="615"/>
      <c r="EB254" s="615"/>
      <c r="EC254" s="615"/>
      <c r="ED254" s="637"/>
      <c r="EE254" s="692"/>
    </row>
    <row r="255" spans="1:135" x14ac:dyDescent="0.25">
      <c r="A255" s="640" t="s">
        <v>11</v>
      </c>
      <c r="B255" s="367" t="s">
        <v>1444</v>
      </c>
      <c r="C255" s="367" t="s">
        <v>509</v>
      </c>
      <c r="D255" s="367" t="s">
        <v>1445</v>
      </c>
      <c r="E255" s="503" t="s">
        <v>1424</v>
      </c>
      <c r="F255" s="570">
        <v>44642</v>
      </c>
      <c r="G255" s="85" t="s">
        <v>59</v>
      </c>
      <c r="H255" s="85" t="s">
        <v>54</v>
      </c>
      <c r="I255" s="85" t="s">
        <v>358</v>
      </c>
      <c r="J255" s="675" t="s">
        <v>358</v>
      </c>
      <c r="K255" s="85" t="s">
        <v>358</v>
      </c>
      <c r="L255" s="85" t="s">
        <v>40</v>
      </c>
      <c r="M255" s="85" t="s">
        <v>3</v>
      </c>
      <c r="N255" s="668" t="s">
        <v>44</v>
      </c>
      <c r="O255" s="669"/>
      <c r="P255" s="615"/>
      <c r="Q255" s="615"/>
      <c r="R255" s="615"/>
      <c r="S255" s="615"/>
      <c r="T255" s="615"/>
      <c r="U255" s="615"/>
      <c r="V255" s="615"/>
      <c r="W255" s="615"/>
      <c r="X255" s="615"/>
      <c r="Y255" s="615"/>
      <c r="Z255" s="635">
        <v>10</v>
      </c>
      <c r="AA255" s="636"/>
      <c r="AB255" s="615"/>
      <c r="AC255" s="615"/>
      <c r="AD255" s="615"/>
      <c r="AE255" s="615"/>
      <c r="AF255" s="615"/>
      <c r="AG255" s="615"/>
      <c r="AH255" s="615"/>
      <c r="AI255" s="615"/>
      <c r="AJ255" s="615"/>
      <c r="AK255" s="615"/>
      <c r="AL255" s="635"/>
      <c r="AM255" s="636"/>
      <c r="AN255" s="615"/>
      <c r="AO255" s="615"/>
      <c r="AP255" s="615"/>
      <c r="AQ255" s="615"/>
      <c r="AR255" s="615"/>
      <c r="AS255" s="615"/>
      <c r="AT255" s="615"/>
      <c r="AU255" s="615"/>
      <c r="AV255" s="615"/>
      <c r="AW255" s="615"/>
      <c r="AX255" s="635"/>
      <c r="AY255" s="636"/>
      <c r="AZ255" s="615"/>
      <c r="BA255" s="615"/>
      <c r="BB255" s="615"/>
      <c r="BC255" s="615"/>
      <c r="BD255" s="615"/>
      <c r="BE255" s="615"/>
      <c r="BF255" s="615"/>
      <c r="BG255" s="615"/>
      <c r="BH255" s="615"/>
      <c r="BI255" s="615"/>
      <c r="BJ255" s="635"/>
      <c r="BK255" s="636"/>
      <c r="BL255" s="615"/>
      <c r="BM255" s="615"/>
      <c r="BN255" s="615"/>
      <c r="BO255" s="615"/>
      <c r="BP255" s="615"/>
      <c r="BQ255" s="615"/>
      <c r="BR255" s="615"/>
      <c r="BS255" s="615"/>
      <c r="BT255" s="615"/>
      <c r="BU255" s="615"/>
      <c r="BV255" s="637"/>
      <c r="BW255" s="669"/>
      <c r="BX255" s="615"/>
      <c r="BY255" s="615"/>
      <c r="BZ255" s="615"/>
      <c r="CA255" s="615"/>
      <c r="CB255" s="615"/>
      <c r="CC255" s="615"/>
      <c r="CD255" s="615"/>
      <c r="CE255" s="615"/>
      <c r="CF255" s="615"/>
      <c r="CG255" s="615"/>
      <c r="CH255" s="635">
        <v>160</v>
      </c>
      <c r="CI255" s="636"/>
      <c r="CJ255" s="615"/>
      <c r="CK255" s="615"/>
      <c r="CL255" s="615"/>
      <c r="CM255" s="615"/>
      <c r="CN255" s="615"/>
      <c r="CO255" s="615"/>
      <c r="CP255" s="615"/>
      <c r="CQ255" s="615"/>
      <c r="CR255" s="615"/>
      <c r="CS255" s="615"/>
      <c r="CT255" s="635"/>
      <c r="CU255" s="636"/>
      <c r="CV255" s="615"/>
      <c r="CW255" s="615"/>
      <c r="CX255" s="615"/>
      <c r="CY255" s="615"/>
      <c r="CZ255" s="615"/>
      <c r="DA255" s="615"/>
      <c r="DB255" s="615"/>
      <c r="DC255" s="615"/>
      <c r="DD255" s="615"/>
      <c r="DE255" s="615"/>
      <c r="DF255" s="635"/>
      <c r="DG255" s="636"/>
      <c r="DH255" s="615"/>
      <c r="DI255" s="615"/>
      <c r="DJ255" s="615"/>
      <c r="DK255" s="615"/>
      <c r="DL255" s="615"/>
      <c r="DM255" s="615"/>
      <c r="DN255" s="615"/>
      <c r="DO255" s="615"/>
      <c r="DP255" s="615"/>
      <c r="DQ255" s="615"/>
      <c r="DR255" s="635"/>
      <c r="DS255" s="636"/>
      <c r="DT255" s="615"/>
      <c r="DU255" s="615"/>
      <c r="DV255" s="615"/>
      <c r="DW255" s="615"/>
      <c r="DX255" s="615"/>
      <c r="DY255" s="615"/>
      <c r="DZ255" s="615"/>
      <c r="EA255" s="615"/>
      <c r="EB255" s="615"/>
      <c r="EC255" s="615"/>
      <c r="ED255" s="637"/>
      <c r="EE255" s="692"/>
    </row>
    <row r="256" spans="1:135" x14ac:dyDescent="0.25">
      <c r="A256" s="640" t="s">
        <v>11</v>
      </c>
      <c r="B256" s="367" t="s">
        <v>1446</v>
      </c>
      <c r="C256" s="367" t="s">
        <v>472</v>
      </c>
      <c r="D256" s="367" t="s">
        <v>1447</v>
      </c>
      <c r="E256" s="503" t="s">
        <v>1425</v>
      </c>
      <c r="F256" s="570">
        <v>44642</v>
      </c>
      <c r="G256" s="85" t="s">
        <v>58</v>
      </c>
      <c r="H256" s="85" t="s">
        <v>54</v>
      </c>
      <c r="I256" s="85" t="s">
        <v>358</v>
      </c>
      <c r="J256" s="675" t="s">
        <v>358</v>
      </c>
      <c r="K256" s="85" t="s">
        <v>358</v>
      </c>
      <c r="L256" s="85" t="s">
        <v>40</v>
      </c>
      <c r="M256" s="85" t="s">
        <v>3</v>
      </c>
      <c r="N256" s="668" t="s">
        <v>44</v>
      </c>
      <c r="O256" s="669"/>
      <c r="P256" s="615"/>
      <c r="Q256" s="615"/>
      <c r="R256" s="615"/>
      <c r="S256" s="615"/>
      <c r="T256" s="615"/>
      <c r="U256" s="615">
        <v>-15</v>
      </c>
      <c r="V256" s="615"/>
      <c r="W256" s="615"/>
      <c r="X256" s="615"/>
      <c r="Y256" s="615"/>
      <c r="Z256" s="635"/>
      <c r="AA256" s="636"/>
      <c r="AB256" s="615"/>
      <c r="AC256" s="615"/>
      <c r="AD256" s="615"/>
      <c r="AE256" s="615"/>
      <c r="AF256" s="615"/>
      <c r="AG256" s="615"/>
      <c r="AH256" s="615"/>
      <c r="AI256" s="615"/>
      <c r="AJ256" s="615"/>
      <c r="AK256" s="615"/>
      <c r="AL256" s="635"/>
      <c r="AM256" s="636"/>
      <c r="AN256" s="615"/>
      <c r="AO256" s="615"/>
      <c r="AP256" s="615"/>
      <c r="AQ256" s="615"/>
      <c r="AR256" s="615"/>
      <c r="AS256" s="615"/>
      <c r="AT256" s="615"/>
      <c r="AU256" s="615"/>
      <c r="AV256" s="615"/>
      <c r="AW256" s="615"/>
      <c r="AX256" s="635"/>
      <c r="AY256" s="636"/>
      <c r="AZ256" s="615"/>
      <c r="BA256" s="615"/>
      <c r="BB256" s="615"/>
      <c r="BC256" s="615"/>
      <c r="BD256" s="615"/>
      <c r="BE256" s="615"/>
      <c r="BF256" s="615"/>
      <c r="BG256" s="615"/>
      <c r="BH256" s="615"/>
      <c r="BI256" s="615"/>
      <c r="BJ256" s="635"/>
      <c r="BK256" s="636"/>
      <c r="BL256" s="615"/>
      <c r="BM256" s="615"/>
      <c r="BN256" s="615"/>
      <c r="BO256" s="615"/>
      <c r="BP256" s="615"/>
      <c r="BQ256" s="615"/>
      <c r="BR256" s="615"/>
      <c r="BS256" s="615"/>
      <c r="BT256" s="615"/>
      <c r="BU256" s="615"/>
      <c r="BV256" s="637"/>
      <c r="BW256" s="669"/>
      <c r="BX256" s="615"/>
      <c r="BY256" s="615"/>
      <c r="BZ256" s="615"/>
      <c r="CA256" s="615"/>
      <c r="CB256" s="615"/>
      <c r="CC256" s="615">
        <v>127</v>
      </c>
      <c r="CD256" s="615"/>
      <c r="CE256" s="615"/>
      <c r="CF256" s="615"/>
      <c r="CG256" s="615"/>
      <c r="CH256" s="635"/>
      <c r="CI256" s="636"/>
      <c r="CJ256" s="615"/>
      <c r="CK256" s="615"/>
      <c r="CL256" s="615"/>
      <c r="CM256" s="615"/>
      <c r="CN256" s="615"/>
      <c r="CO256" s="615"/>
      <c r="CP256" s="615"/>
      <c r="CQ256" s="615"/>
      <c r="CR256" s="615"/>
      <c r="CS256" s="615"/>
      <c r="CT256" s="635"/>
      <c r="CU256" s="636"/>
      <c r="CV256" s="615"/>
      <c r="CW256" s="615"/>
      <c r="CX256" s="615"/>
      <c r="CY256" s="615"/>
      <c r="CZ256" s="615"/>
      <c r="DA256" s="615"/>
      <c r="DB256" s="615"/>
      <c r="DC256" s="615"/>
      <c r="DD256" s="615"/>
      <c r="DE256" s="615"/>
      <c r="DF256" s="635"/>
      <c r="DG256" s="636"/>
      <c r="DH256" s="615"/>
      <c r="DI256" s="615"/>
      <c r="DJ256" s="615"/>
      <c r="DK256" s="615"/>
      <c r="DL256" s="615"/>
      <c r="DM256" s="615"/>
      <c r="DN256" s="615"/>
      <c r="DO256" s="615"/>
      <c r="DP256" s="615"/>
      <c r="DQ256" s="615"/>
      <c r="DR256" s="635"/>
      <c r="DS256" s="636"/>
      <c r="DT256" s="615"/>
      <c r="DU256" s="615"/>
      <c r="DV256" s="615"/>
      <c r="DW256" s="615"/>
      <c r="DX256" s="615"/>
      <c r="DY256" s="615"/>
      <c r="DZ256" s="615"/>
      <c r="EA256" s="615"/>
      <c r="EB256" s="615"/>
      <c r="EC256" s="615"/>
      <c r="ED256" s="637"/>
      <c r="EE256" s="692"/>
    </row>
    <row r="257" spans="1:135" x14ac:dyDescent="0.25">
      <c r="A257" s="640" t="s">
        <v>11</v>
      </c>
      <c r="B257" s="367" t="s">
        <v>1448</v>
      </c>
      <c r="C257" s="367" t="s">
        <v>348</v>
      </c>
      <c r="D257" s="367" t="s">
        <v>1460</v>
      </c>
      <c r="E257" s="503" t="s">
        <v>1453</v>
      </c>
      <c r="F257" s="570">
        <v>44644</v>
      </c>
      <c r="G257" s="85" t="s">
        <v>59</v>
      </c>
      <c r="H257" s="85" t="s">
        <v>54</v>
      </c>
      <c r="I257" s="85" t="s">
        <v>358</v>
      </c>
      <c r="J257" s="675" t="s">
        <v>358</v>
      </c>
      <c r="K257" s="85" t="s">
        <v>358</v>
      </c>
      <c r="L257" s="85" t="s">
        <v>40</v>
      </c>
      <c r="M257" s="85" t="s">
        <v>3</v>
      </c>
      <c r="N257" s="668" t="s">
        <v>44</v>
      </c>
      <c r="O257" s="669"/>
      <c r="P257" s="615"/>
      <c r="Q257" s="615"/>
      <c r="R257" s="615"/>
      <c r="S257" s="615"/>
      <c r="T257" s="615"/>
      <c r="U257" s="615"/>
      <c r="V257" s="615"/>
      <c r="W257" s="615">
        <v>7</v>
      </c>
      <c r="X257" s="615"/>
      <c r="Y257" s="615"/>
      <c r="Z257" s="635"/>
      <c r="AA257" s="636"/>
      <c r="AB257" s="615"/>
      <c r="AC257" s="615"/>
      <c r="AD257" s="615"/>
      <c r="AE257" s="615"/>
      <c r="AF257" s="615"/>
      <c r="AG257" s="615"/>
      <c r="AH257" s="615"/>
      <c r="AI257" s="615"/>
      <c r="AJ257" s="615"/>
      <c r="AK257" s="615"/>
      <c r="AL257" s="635"/>
      <c r="AM257" s="636"/>
      <c r="AN257" s="615"/>
      <c r="AO257" s="615"/>
      <c r="AP257" s="615"/>
      <c r="AQ257" s="615"/>
      <c r="AR257" s="615"/>
      <c r="AS257" s="615"/>
      <c r="AT257" s="615"/>
      <c r="AU257" s="615"/>
      <c r="AV257" s="615"/>
      <c r="AW257" s="615"/>
      <c r="AX257" s="635"/>
      <c r="AY257" s="636"/>
      <c r="AZ257" s="615"/>
      <c r="BA257" s="615"/>
      <c r="BB257" s="615"/>
      <c r="BC257" s="615"/>
      <c r="BD257" s="615"/>
      <c r="BE257" s="615"/>
      <c r="BF257" s="615"/>
      <c r="BG257" s="615"/>
      <c r="BH257" s="615"/>
      <c r="BI257" s="615"/>
      <c r="BJ257" s="635"/>
      <c r="BK257" s="636"/>
      <c r="BL257" s="615"/>
      <c r="BM257" s="615"/>
      <c r="BN257" s="615"/>
      <c r="BO257" s="615"/>
      <c r="BP257" s="615"/>
      <c r="BQ257" s="615"/>
      <c r="BR257" s="615"/>
      <c r="BS257" s="615"/>
      <c r="BT257" s="615"/>
      <c r="BU257" s="615"/>
      <c r="BV257" s="637"/>
      <c r="BW257" s="669"/>
      <c r="BX257" s="615"/>
      <c r="BY257" s="615"/>
      <c r="BZ257" s="615"/>
      <c r="CA257" s="615"/>
      <c r="CB257" s="615"/>
      <c r="CC257" s="615"/>
      <c r="CD257" s="615"/>
      <c r="CE257" s="615">
        <v>156</v>
      </c>
      <c r="CF257" s="615"/>
      <c r="CG257" s="615"/>
      <c r="CH257" s="635"/>
      <c r="CI257" s="636"/>
      <c r="CJ257" s="615"/>
      <c r="CK257" s="615"/>
      <c r="CL257" s="615"/>
      <c r="CM257" s="615"/>
      <c r="CN257" s="615"/>
      <c r="CO257" s="615"/>
      <c r="CP257" s="615"/>
      <c r="CQ257" s="615"/>
      <c r="CR257" s="615"/>
      <c r="CS257" s="615"/>
      <c r="CT257" s="635"/>
      <c r="CU257" s="636"/>
      <c r="CV257" s="615"/>
      <c r="CW257" s="615"/>
      <c r="CX257" s="615"/>
      <c r="CY257" s="615"/>
      <c r="CZ257" s="615"/>
      <c r="DA257" s="615"/>
      <c r="DB257" s="615"/>
      <c r="DC257" s="615"/>
      <c r="DD257" s="615"/>
      <c r="DE257" s="615"/>
      <c r="DF257" s="635"/>
      <c r="DG257" s="636"/>
      <c r="DH257" s="615"/>
      <c r="DI257" s="615"/>
      <c r="DJ257" s="615"/>
      <c r="DK257" s="615"/>
      <c r="DL257" s="615"/>
      <c r="DM257" s="615"/>
      <c r="DN257" s="615"/>
      <c r="DO257" s="615"/>
      <c r="DP257" s="615"/>
      <c r="DQ257" s="615"/>
      <c r="DR257" s="635"/>
      <c r="DS257" s="636"/>
      <c r="DT257" s="615"/>
      <c r="DU257" s="615"/>
      <c r="DV257" s="615"/>
      <c r="DW257" s="615"/>
      <c r="DX257" s="615"/>
      <c r="DY257" s="615"/>
      <c r="DZ257" s="615"/>
      <c r="EA257" s="615"/>
      <c r="EB257" s="615"/>
      <c r="EC257" s="615"/>
      <c r="ED257" s="637"/>
      <c r="EE257" s="692"/>
    </row>
    <row r="258" spans="1:135" x14ac:dyDescent="0.25">
      <c r="A258" s="640" t="s">
        <v>11</v>
      </c>
      <c r="B258" s="367" t="s">
        <v>1450</v>
      </c>
      <c r="C258" s="367" t="s">
        <v>348</v>
      </c>
      <c r="D258" s="367" t="s">
        <v>1462</v>
      </c>
      <c r="E258" s="503" t="s">
        <v>1454</v>
      </c>
      <c r="F258" s="570">
        <v>44644</v>
      </c>
      <c r="G258" s="85" t="s">
        <v>58</v>
      </c>
      <c r="H258" s="85" t="s">
        <v>54</v>
      </c>
      <c r="I258" s="85" t="s">
        <v>358</v>
      </c>
      <c r="J258" s="675" t="s">
        <v>358</v>
      </c>
      <c r="K258" s="85" t="s">
        <v>358</v>
      </c>
      <c r="L258" s="85" t="s">
        <v>40</v>
      </c>
      <c r="M258" s="85" t="s">
        <v>3</v>
      </c>
      <c r="N258" s="668" t="s">
        <v>44</v>
      </c>
      <c r="O258" s="669"/>
      <c r="P258" s="615"/>
      <c r="Q258" s="615"/>
      <c r="R258" s="615"/>
      <c r="S258" s="615"/>
      <c r="T258" s="615"/>
      <c r="U258" s="615">
        <v>-7</v>
      </c>
      <c r="V258" s="615"/>
      <c r="W258" s="615"/>
      <c r="X258" s="615"/>
      <c r="Y258" s="615"/>
      <c r="Z258" s="635"/>
      <c r="AA258" s="636"/>
      <c r="AB258" s="615"/>
      <c r="AC258" s="615"/>
      <c r="AD258" s="615"/>
      <c r="AE258" s="615"/>
      <c r="AF258" s="615"/>
      <c r="AG258" s="615"/>
      <c r="AH258" s="615"/>
      <c r="AI258" s="615"/>
      <c r="AJ258" s="615"/>
      <c r="AK258" s="615"/>
      <c r="AL258" s="635"/>
      <c r="AM258" s="636"/>
      <c r="AN258" s="615"/>
      <c r="AO258" s="615"/>
      <c r="AP258" s="615"/>
      <c r="AQ258" s="615"/>
      <c r="AR258" s="615"/>
      <c r="AS258" s="615"/>
      <c r="AT258" s="615"/>
      <c r="AU258" s="615"/>
      <c r="AV258" s="615"/>
      <c r="AW258" s="615"/>
      <c r="AX258" s="635"/>
      <c r="AY258" s="636"/>
      <c r="AZ258" s="615"/>
      <c r="BA258" s="615"/>
      <c r="BB258" s="615"/>
      <c r="BC258" s="615"/>
      <c r="BD258" s="615"/>
      <c r="BE258" s="615"/>
      <c r="BF258" s="615"/>
      <c r="BG258" s="615"/>
      <c r="BH258" s="615"/>
      <c r="BI258" s="615"/>
      <c r="BJ258" s="635"/>
      <c r="BK258" s="636"/>
      <c r="BL258" s="615"/>
      <c r="BM258" s="615"/>
      <c r="BN258" s="615"/>
      <c r="BO258" s="615"/>
      <c r="BP258" s="615"/>
      <c r="BQ258" s="615"/>
      <c r="BR258" s="615"/>
      <c r="BS258" s="615"/>
      <c r="BT258" s="615"/>
      <c r="BU258" s="615"/>
      <c r="BV258" s="637"/>
      <c r="BW258" s="669"/>
      <c r="BX258" s="615"/>
      <c r="BY258" s="615"/>
      <c r="BZ258" s="615"/>
      <c r="CA258" s="615"/>
      <c r="CB258" s="615"/>
      <c r="CC258" s="615">
        <v>120</v>
      </c>
      <c r="CD258" s="615"/>
      <c r="CE258" s="615"/>
      <c r="CF258" s="615"/>
      <c r="CG258" s="615"/>
      <c r="CH258" s="635"/>
      <c r="CI258" s="636"/>
      <c r="CJ258" s="615"/>
      <c r="CK258" s="615"/>
      <c r="CL258" s="615"/>
      <c r="CM258" s="615"/>
      <c r="CN258" s="615"/>
      <c r="CO258" s="615"/>
      <c r="CP258" s="615"/>
      <c r="CQ258" s="615"/>
      <c r="CR258" s="615"/>
      <c r="CS258" s="615"/>
      <c r="CT258" s="635"/>
      <c r="CU258" s="636"/>
      <c r="CV258" s="615"/>
      <c r="CW258" s="615"/>
      <c r="CX258" s="615"/>
      <c r="CY258" s="615"/>
      <c r="CZ258" s="615"/>
      <c r="DA258" s="615"/>
      <c r="DB258" s="615"/>
      <c r="DC258" s="615"/>
      <c r="DD258" s="615"/>
      <c r="DE258" s="615"/>
      <c r="DF258" s="635"/>
      <c r="DG258" s="636"/>
      <c r="DH258" s="615"/>
      <c r="DI258" s="615"/>
      <c r="DJ258" s="615"/>
      <c r="DK258" s="615"/>
      <c r="DL258" s="615"/>
      <c r="DM258" s="615"/>
      <c r="DN258" s="615"/>
      <c r="DO258" s="615"/>
      <c r="DP258" s="615"/>
      <c r="DQ258" s="615"/>
      <c r="DR258" s="635"/>
      <c r="DS258" s="636"/>
      <c r="DT258" s="615"/>
      <c r="DU258" s="615"/>
      <c r="DV258" s="615"/>
      <c r="DW258" s="615"/>
      <c r="DX258" s="615"/>
      <c r="DY258" s="615"/>
      <c r="DZ258" s="615"/>
      <c r="EA258" s="615"/>
      <c r="EB258" s="615"/>
      <c r="EC258" s="615"/>
      <c r="ED258" s="637"/>
      <c r="EE258" s="692"/>
    </row>
    <row r="259" spans="1:135" x14ac:dyDescent="0.25">
      <c r="A259" s="640" t="s">
        <v>11</v>
      </c>
      <c r="B259" s="367" t="s">
        <v>1459</v>
      </c>
      <c r="C259" s="367" t="s">
        <v>348</v>
      </c>
      <c r="D259" s="367" t="s">
        <v>1464</v>
      </c>
      <c r="E259" s="503" t="s">
        <v>1455</v>
      </c>
      <c r="F259" s="570">
        <v>44644</v>
      </c>
      <c r="G259" s="85" t="s">
        <v>58</v>
      </c>
      <c r="H259" s="85" t="s">
        <v>54</v>
      </c>
      <c r="I259" s="85" t="s">
        <v>358</v>
      </c>
      <c r="J259" s="675" t="s">
        <v>358</v>
      </c>
      <c r="K259" s="85" t="s">
        <v>358</v>
      </c>
      <c r="L259" s="85" t="s">
        <v>40</v>
      </c>
      <c r="M259" s="85" t="s">
        <v>3</v>
      </c>
      <c r="N259" s="668" t="s">
        <v>44</v>
      </c>
      <c r="O259" s="669"/>
      <c r="P259" s="615"/>
      <c r="Q259" s="615"/>
      <c r="R259" s="615"/>
      <c r="S259" s="615"/>
      <c r="T259" s="615"/>
      <c r="U259" s="615">
        <v>-1</v>
      </c>
      <c r="V259" s="615"/>
      <c r="W259" s="615"/>
      <c r="X259" s="615"/>
      <c r="Y259" s="615"/>
      <c r="Z259" s="635"/>
      <c r="AA259" s="636"/>
      <c r="AB259" s="615"/>
      <c r="AC259" s="615"/>
      <c r="AD259" s="615"/>
      <c r="AE259" s="615"/>
      <c r="AF259" s="615"/>
      <c r="AG259" s="615"/>
      <c r="AH259" s="615"/>
      <c r="AI259" s="615"/>
      <c r="AJ259" s="615"/>
      <c r="AK259" s="615"/>
      <c r="AL259" s="635"/>
      <c r="AM259" s="636"/>
      <c r="AN259" s="615"/>
      <c r="AO259" s="615"/>
      <c r="AP259" s="615"/>
      <c r="AQ259" s="615"/>
      <c r="AR259" s="615"/>
      <c r="AS259" s="615"/>
      <c r="AT259" s="615"/>
      <c r="AU259" s="615"/>
      <c r="AV259" s="615"/>
      <c r="AW259" s="615"/>
      <c r="AX259" s="635"/>
      <c r="AY259" s="636"/>
      <c r="AZ259" s="615"/>
      <c r="BA259" s="615"/>
      <c r="BB259" s="615"/>
      <c r="BC259" s="615"/>
      <c r="BD259" s="615"/>
      <c r="BE259" s="615"/>
      <c r="BF259" s="615"/>
      <c r="BG259" s="615"/>
      <c r="BH259" s="615"/>
      <c r="BI259" s="615"/>
      <c r="BJ259" s="635"/>
      <c r="BK259" s="636"/>
      <c r="BL259" s="615"/>
      <c r="BM259" s="615"/>
      <c r="BN259" s="615"/>
      <c r="BO259" s="615"/>
      <c r="BP259" s="615"/>
      <c r="BQ259" s="615"/>
      <c r="BR259" s="615"/>
      <c r="BS259" s="615"/>
      <c r="BT259" s="615"/>
      <c r="BU259" s="615"/>
      <c r="BV259" s="637"/>
      <c r="BW259" s="669"/>
      <c r="BX259" s="615"/>
      <c r="BY259" s="615"/>
      <c r="BZ259" s="615"/>
      <c r="CA259" s="615"/>
      <c r="CB259" s="615"/>
      <c r="CC259" s="615">
        <v>120</v>
      </c>
      <c r="CD259" s="615"/>
      <c r="CE259" s="615"/>
      <c r="CF259" s="615"/>
      <c r="CG259" s="615"/>
      <c r="CH259" s="635"/>
      <c r="CI259" s="636"/>
      <c r="CJ259" s="615"/>
      <c r="CK259" s="615"/>
      <c r="CL259" s="615"/>
      <c r="CM259" s="615"/>
      <c r="CN259" s="615"/>
      <c r="CO259" s="615"/>
      <c r="CP259" s="615"/>
      <c r="CQ259" s="615"/>
      <c r="CR259" s="615"/>
      <c r="CS259" s="615"/>
      <c r="CT259" s="635"/>
      <c r="CU259" s="636"/>
      <c r="CV259" s="615"/>
      <c r="CW259" s="615"/>
      <c r="CX259" s="615"/>
      <c r="CY259" s="615"/>
      <c r="CZ259" s="615"/>
      <c r="DA259" s="615"/>
      <c r="DB259" s="615"/>
      <c r="DC259" s="615"/>
      <c r="DD259" s="615"/>
      <c r="DE259" s="615"/>
      <c r="DF259" s="635"/>
      <c r="DG259" s="636"/>
      <c r="DH259" s="615"/>
      <c r="DI259" s="615"/>
      <c r="DJ259" s="615"/>
      <c r="DK259" s="615"/>
      <c r="DL259" s="615"/>
      <c r="DM259" s="615"/>
      <c r="DN259" s="615"/>
      <c r="DO259" s="615"/>
      <c r="DP259" s="615"/>
      <c r="DQ259" s="615"/>
      <c r="DR259" s="635"/>
      <c r="DS259" s="636"/>
      <c r="DT259" s="615"/>
      <c r="DU259" s="615"/>
      <c r="DV259" s="615"/>
      <c r="DW259" s="615"/>
      <c r="DX259" s="615"/>
      <c r="DY259" s="615"/>
      <c r="DZ259" s="615"/>
      <c r="EA259" s="615"/>
      <c r="EB259" s="615"/>
      <c r="EC259" s="615"/>
      <c r="ED259" s="637"/>
      <c r="EE259" s="692"/>
    </row>
    <row r="260" spans="1:135" x14ac:dyDescent="0.25">
      <c r="A260" s="640" t="s">
        <v>11</v>
      </c>
      <c r="B260" s="367" t="s">
        <v>1461</v>
      </c>
      <c r="C260" s="367" t="s">
        <v>501</v>
      </c>
      <c r="D260" s="367" t="s">
        <v>1466</v>
      </c>
      <c r="E260" s="503" t="s">
        <v>1456</v>
      </c>
      <c r="F260" s="570">
        <v>44644</v>
      </c>
      <c r="G260" s="85" t="s">
        <v>58</v>
      </c>
      <c r="H260" s="85" t="s">
        <v>54</v>
      </c>
      <c r="I260" s="85" t="s">
        <v>358</v>
      </c>
      <c r="J260" s="675" t="s">
        <v>358</v>
      </c>
      <c r="K260" s="85" t="s">
        <v>358</v>
      </c>
      <c r="L260" s="85" t="s">
        <v>40</v>
      </c>
      <c r="M260" s="85" t="s">
        <v>3</v>
      </c>
      <c r="N260" s="668" t="s">
        <v>44</v>
      </c>
      <c r="O260" s="669"/>
      <c r="P260" s="615"/>
      <c r="Q260" s="615"/>
      <c r="R260" s="615"/>
      <c r="S260" s="615"/>
      <c r="T260" s="615"/>
      <c r="U260" s="615">
        <v>-2</v>
      </c>
      <c r="V260" s="615"/>
      <c r="W260" s="615"/>
      <c r="X260" s="615"/>
      <c r="Y260" s="615"/>
      <c r="Z260" s="635"/>
      <c r="AA260" s="636"/>
      <c r="AB260" s="615"/>
      <c r="AC260" s="615"/>
      <c r="AD260" s="615"/>
      <c r="AE260" s="615"/>
      <c r="AF260" s="615"/>
      <c r="AG260" s="615"/>
      <c r="AH260" s="615"/>
      <c r="AI260" s="615"/>
      <c r="AJ260" s="615"/>
      <c r="AK260" s="615"/>
      <c r="AL260" s="635"/>
      <c r="AM260" s="636"/>
      <c r="AN260" s="615"/>
      <c r="AO260" s="615"/>
      <c r="AP260" s="615"/>
      <c r="AQ260" s="615"/>
      <c r="AR260" s="615"/>
      <c r="AS260" s="615"/>
      <c r="AT260" s="615"/>
      <c r="AU260" s="615"/>
      <c r="AV260" s="615"/>
      <c r="AW260" s="615"/>
      <c r="AX260" s="635"/>
      <c r="AY260" s="636"/>
      <c r="AZ260" s="615"/>
      <c r="BA260" s="615"/>
      <c r="BB260" s="615"/>
      <c r="BC260" s="615"/>
      <c r="BD260" s="615"/>
      <c r="BE260" s="615"/>
      <c r="BF260" s="615"/>
      <c r="BG260" s="615"/>
      <c r="BH260" s="615"/>
      <c r="BI260" s="615"/>
      <c r="BJ260" s="635"/>
      <c r="BK260" s="636"/>
      <c r="BL260" s="615"/>
      <c r="BM260" s="615"/>
      <c r="BN260" s="615"/>
      <c r="BO260" s="615"/>
      <c r="BP260" s="615"/>
      <c r="BQ260" s="615"/>
      <c r="BR260" s="615"/>
      <c r="BS260" s="615"/>
      <c r="BT260" s="615"/>
      <c r="BU260" s="615"/>
      <c r="BV260" s="637"/>
      <c r="BW260" s="669"/>
      <c r="BX260" s="615"/>
      <c r="BY260" s="615"/>
      <c r="BZ260" s="615"/>
      <c r="CA260" s="615"/>
      <c r="CB260" s="615"/>
      <c r="CC260" s="615">
        <v>120</v>
      </c>
      <c r="CD260" s="615"/>
      <c r="CE260" s="615"/>
      <c r="CF260" s="615"/>
      <c r="CG260" s="615"/>
      <c r="CH260" s="635"/>
      <c r="CI260" s="636"/>
      <c r="CJ260" s="615"/>
      <c r="CK260" s="615"/>
      <c r="CL260" s="615"/>
      <c r="CM260" s="615"/>
      <c r="CN260" s="615"/>
      <c r="CO260" s="615"/>
      <c r="CP260" s="615"/>
      <c r="CQ260" s="615"/>
      <c r="CR260" s="615"/>
      <c r="CS260" s="615"/>
      <c r="CT260" s="635"/>
      <c r="CU260" s="636"/>
      <c r="CV260" s="615"/>
      <c r="CW260" s="615"/>
      <c r="CX260" s="615"/>
      <c r="CY260" s="615"/>
      <c r="CZ260" s="615"/>
      <c r="DA260" s="615"/>
      <c r="DB260" s="615"/>
      <c r="DC260" s="615"/>
      <c r="DD260" s="615"/>
      <c r="DE260" s="615"/>
      <c r="DF260" s="635"/>
      <c r="DG260" s="636"/>
      <c r="DH260" s="615"/>
      <c r="DI260" s="615"/>
      <c r="DJ260" s="615"/>
      <c r="DK260" s="615"/>
      <c r="DL260" s="615"/>
      <c r="DM260" s="615"/>
      <c r="DN260" s="615"/>
      <c r="DO260" s="615"/>
      <c r="DP260" s="615"/>
      <c r="DQ260" s="615"/>
      <c r="DR260" s="635"/>
      <c r="DS260" s="636"/>
      <c r="DT260" s="615"/>
      <c r="DU260" s="615"/>
      <c r="DV260" s="615"/>
      <c r="DW260" s="615"/>
      <c r="DX260" s="615"/>
      <c r="DY260" s="615"/>
      <c r="DZ260" s="615"/>
      <c r="EA260" s="615"/>
      <c r="EB260" s="615"/>
      <c r="EC260" s="615"/>
      <c r="ED260" s="637"/>
      <c r="EE260" s="692"/>
    </row>
    <row r="261" spans="1:135" x14ac:dyDescent="0.25">
      <c r="A261" s="640" t="s">
        <v>11</v>
      </c>
      <c r="B261" s="367" t="s">
        <v>1463</v>
      </c>
      <c r="C261" s="367" t="s">
        <v>620</v>
      </c>
      <c r="D261" s="367" t="s">
        <v>1468</v>
      </c>
      <c r="E261" s="503" t="s">
        <v>1457</v>
      </c>
      <c r="F261" s="570">
        <v>44644</v>
      </c>
      <c r="G261" s="85" t="s">
        <v>59</v>
      </c>
      <c r="H261" s="85" t="s">
        <v>54</v>
      </c>
      <c r="I261" s="85" t="s">
        <v>358</v>
      </c>
      <c r="J261" s="675" t="s">
        <v>358</v>
      </c>
      <c r="K261" s="85" t="s">
        <v>358</v>
      </c>
      <c r="L261" s="85" t="s">
        <v>40</v>
      </c>
      <c r="M261" s="85" t="s">
        <v>3</v>
      </c>
      <c r="N261" s="668" t="s">
        <v>44</v>
      </c>
      <c r="O261" s="669"/>
      <c r="P261" s="615"/>
      <c r="Q261" s="615"/>
      <c r="R261" s="615"/>
      <c r="S261" s="615"/>
      <c r="T261" s="615"/>
      <c r="U261" s="615"/>
      <c r="V261" s="615"/>
      <c r="W261" s="615">
        <v>3</v>
      </c>
      <c r="X261" s="615"/>
      <c r="Y261" s="615"/>
      <c r="Z261" s="635"/>
      <c r="AA261" s="636"/>
      <c r="AB261" s="615"/>
      <c r="AC261" s="615"/>
      <c r="AD261" s="615"/>
      <c r="AE261" s="615"/>
      <c r="AF261" s="615"/>
      <c r="AG261" s="615"/>
      <c r="AH261" s="615"/>
      <c r="AI261" s="615"/>
      <c r="AJ261" s="615"/>
      <c r="AK261" s="615"/>
      <c r="AL261" s="635"/>
      <c r="AM261" s="636"/>
      <c r="AN261" s="615"/>
      <c r="AO261" s="615"/>
      <c r="AP261" s="615"/>
      <c r="AQ261" s="615"/>
      <c r="AR261" s="615"/>
      <c r="AS261" s="615"/>
      <c r="AT261" s="615"/>
      <c r="AU261" s="615"/>
      <c r="AV261" s="615"/>
      <c r="AW261" s="615"/>
      <c r="AX261" s="635"/>
      <c r="AY261" s="636"/>
      <c r="AZ261" s="615"/>
      <c r="BA261" s="615"/>
      <c r="BB261" s="615"/>
      <c r="BC261" s="615"/>
      <c r="BD261" s="615"/>
      <c r="BE261" s="615"/>
      <c r="BF261" s="615"/>
      <c r="BG261" s="615"/>
      <c r="BH261" s="615"/>
      <c r="BI261" s="615"/>
      <c r="BJ261" s="635"/>
      <c r="BK261" s="636"/>
      <c r="BL261" s="615"/>
      <c r="BM261" s="615"/>
      <c r="BN261" s="615"/>
      <c r="BO261" s="615"/>
      <c r="BP261" s="615"/>
      <c r="BQ261" s="615"/>
      <c r="BR261" s="615"/>
      <c r="BS261" s="615"/>
      <c r="BT261" s="615"/>
      <c r="BU261" s="615"/>
      <c r="BV261" s="637"/>
      <c r="BW261" s="669"/>
      <c r="BX261" s="615"/>
      <c r="BY261" s="615"/>
      <c r="BZ261" s="615"/>
      <c r="CA261" s="615"/>
      <c r="CB261" s="615"/>
      <c r="CC261" s="615"/>
      <c r="CD261" s="615"/>
      <c r="CE261" s="615">
        <v>156</v>
      </c>
      <c r="CF261" s="615"/>
      <c r="CG261" s="615"/>
      <c r="CH261" s="635"/>
      <c r="CI261" s="636"/>
      <c r="CJ261" s="615"/>
      <c r="CK261" s="615"/>
      <c r="CL261" s="615"/>
      <c r="CM261" s="615"/>
      <c r="CN261" s="615"/>
      <c r="CO261" s="615"/>
      <c r="CP261" s="615"/>
      <c r="CQ261" s="615"/>
      <c r="CR261" s="615"/>
      <c r="CS261" s="615"/>
      <c r="CT261" s="635"/>
      <c r="CU261" s="636"/>
      <c r="CV261" s="615"/>
      <c r="CW261" s="615"/>
      <c r="CX261" s="615"/>
      <c r="CY261" s="615"/>
      <c r="CZ261" s="615"/>
      <c r="DA261" s="615"/>
      <c r="DB261" s="615"/>
      <c r="DC261" s="615"/>
      <c r="DD261" s="615"/>
      <c r="DE261" s="615"/>
      <c r="DF261" s="635"/>
      <c r="DG261" s="636"/>
      <c r="DH261" s="615"/>
      <c r="DI261" s="615"/>
      <c r="DJ261" s="615"/>
      <c r="DK261" s="615"/>
      <c r="DL261" s="615"/>
      <c r="DM261" s="615"/>
      <c r="DN261" s="615"/>
      <c r="DO261" s="615"/>
      <c r="DP261" s="615"/>
      <c r="DQ261" s="615"/>
      <c r="DR261" s="635"/>
      <c r="DS261" s="636"/>
      <c r="DT261" s="615"/>
      <c r="DU261" s="615"/>
      <c r="DV261" s="615"/>
      <c r="DW261" s="615"/>
      <c r="DX261" s="615"/>
      <c r="DY261" s="615"/>
      <c r="DZ261" s="615"/>
      <c r="EA261" s="615"/>
      <c r="EB261" s="615"/>
      <c r="EC261" s="615"/>
      <c r="ED261" s="637"/>
      <c r="EE261" s="692"/>
    </row>
    <row r="262" spans="1:135" x14ac:dyDescent="0.25">
      <c r="A262" s="640" t="s">
        <v>12</v>
      </c>
      <c r="B262" s="367" t="s">
        <v>1465</v>
      </c>
      <c r="C262" s="367" t="s">
        <v>1470</v>
      </c>
      <c r="D262" s="367" t="s">
        <v>1472</v>
      </c>
      <c r="E262" s="503" t="s">
        <v>1469</v>
      </c>
      <c r="F262" s="570">
        <v>44645</v>
      </c>
      <c r="G262" s="85" t="s">
        <v>59</v>
      </c>
      <c r="H262" s="85" t="s">
        <v>92</v>
      </c>
      <c r="I262" s="85" t="s">
        <v>358</v>
      </c>
      <c r="J262" s="675" t="s">
        <v>358</v>
      </c>
      <c r="K262" s="85" t="s">
        <v>358</v>
      </c>
      <c r="L262" s="85" t="s">
        <v>40</v>
      </c>
      <c r="M262" s="85" t="s">
        <v>6</v>
      </c>
      <c r="N262" s="668" t="s">
        <v>44</v>
      </c>
      <c r="O262" s="669"/>
      <c r="P262" s="615"/>
      <c r="Q262" s="615">
        <v>3</v>
      </c>
      <c r="R262" s="615"/>
      <c r="S262" s="615"/>
      <c r="T262" s="615"/>
      <c r="U262" s="615"/>
      <c r="V262" s="615"/>
      <c r="W262" s="615"/>
      <c r="X262" s="615"/>
      <c r="Y262" s="615"/>
      <c r="Z262" s="635"/>
      <c r="AA262" s="636"/>
      <c r="AB262" s="615"/>
      <c r="AC262" s="615"/>
      <c r="AD262" s="615"/>
      <c r="AE262" s="615"/>
      <c r="AF262" s="615"/>
      <c r="AG262" s="615"/>
      <c r="AH262" s="615"/>
      <c r="AI262" s="615"/>
      <c r="AJ262" s="615"/>
      <c r="AK262" s="615"/>
      <c r="AL262" s="635"/>
      <c r="AM262" s="636"/>
      <c r="AN262" s="615"/>
      <c r="AO262" s="615"/>
      <c r="AP262" s="615"/>
      <c r="AQ262" s="615"/>
      <c r="AR262" s="615"/>
      <c r="AS262" s="615"/>
      <c r="AT262" s="615"/>
      <c r="AU262" s="615"/>
      <c r="AV262" s="615"/>
      <c r="AW262" s="615"/>
      <c r="AX262" s="635"/>
      <c r="AY262" s="636"/>
      <c r="AZ262" s="615"/>
      <c r="BA262" s="615"/>
      <c r="BB262" s="615"/>
      <c r="BC262" s="615"/>
      <c r="BD262" s="615"/>
      <c r="BE262" s="615"/>
      <c r="BF262" s="615"/>
      <c r="BG262" s="615"/>
      <c r="BH262" s="615"/>
      <c r="BI262" s="615"/>
      <c r="BJ262" s="635"/>
      <c r="BK262" s="636"/>
      <c r="BL262" s="615"/>
      <c r="BM262" s="615"/>
      <c r="BN262" s="615"/>
      <c r="BO262" s="615"/>
      <c r="BP262" s="615"/>
      <c r="BQ262" s="615"/>
      <c r="BR262" s="615"/>
      <c r="BS262" s="615"/>
      <c r="BT262" s="615"/>
      <c r="BU262" s="615"/>
      <c r="BV262" s="637"/>
      <c r="BW262" s="669"/>
      <c r="BX262" s="615"/>
      <c r="BY262" s="615">
        <v>255.7</v>
      </c>
      <c r="BZ262" s="615"/>
      <c r="CA262" s="615"/>
      <c r="CB262" s="615"/>
      <c r="CC262" s="615"/>
      <c r="CD262" s="615"/>
      <c r="CE262" s="615"/>
      <c r="CF262" s="615"/>
      <c r="CG262" s="615"/>
      <c r="CH262" s="635"/>
      <c r="CI262" s="636"/>
      <c r="CJ262" s="615"/>
      <c r="CK262" s="615"/>
      <c r="CL262" s="615"/>
      <c r="CM262" s="615"/>
      <c r="CN262" s="615"/>
      <c r="CO262" s="615"/>
      <c r="CP262" s="615"/>
      <c r="CQ262" s="615"/>
      <c r="CR262" s="615"/>
      <c r="CS262" s="615"/>
      <c r="CT262" s="635"/>
      <c r="CU262" s="636"/>
      <c r="CV262" s="615"/>
      <c r="CW262" s="615"/>
      <c r="CX262" s="615"/>
      <c r="CY262" s="615"/>
      <c r="CZ262" s="615"/>
      <c r="DA262" s="615"/>
      <c r="DB262" s="615"/>
      <c r="DC262" s="615"/>
      <c r="DD262" s="615"/>
      <c r="DE262" s="615"/>
      <c r="DF262" s="635"/>
      <c r="DG262" s="636"/>
      <c r="DH262" s="615"/>
      <c r="DI262" s="615"/>
      <c r="DJ262" s="615"/>
      <c r="DK262" s="615"/>
      <c r="DL262" s="615"/>
      <c r="DM262" s="615"/>
      <c r="DN262" s="615"/>
      <c r="DO262" s="615"/>
      <c r="DP262" s="615"/>
      <c r="DQ262" s="615"/>
      <c r="DR262" s="635"/>
      <c r="DS262" s="636"/>
      <c r="DT262" s="615"/>
      <c r="DU262" s="615"/>
      <c r="DV262" s="615"/>
      <c r="DW262" s="615"/>
      <c r="DX262" s="615"/>
      <c r="DY262" s="615"/>
      <c r="DZ262" s="615"/>
      <c r="EA262" s="615"/>
      <c r="EB262" s="615"/>
      <c r="EC262" s="615"/>
      <c r="ED262" s="637"/>
      <c r="EE262" s="692"/>
    </row>
    <row r="263" spans="1:135" x14ac:dyDescent="0.25">
      <c r="A263" s="640" t="s">
        <v>12</v>
      </c>
      <c r="B263" s="367" t="s">
        <v>1467</v>
      </c>
      <c r="C263" s="367" t="s">
        <v>474</v>
      </c>
      <c r="D263" s="367" t="s">
        <v>1478</v>
      </c>
      <c r="E263" s="503" t="s">
        <v>1473</v>
      </c>
      <c r="F263" s="570">
        <v>44648</v>
      </c>
      <c r="G263" s="85" t="s">
        <v>59</v>
      </c>
      <c r="H263" s="85" t="s">
        <v>92</v>
      </c>
      <c r="I263" s="85" t="s">
        <v>358</v>
      </c>
      <c r="J263" s="675" t="s">
        <v>358</v>
      </c>
      <c r="K263" s="85" t="s">
        <v>358</v>
      </c>
      <c r="L263" s="85" t="s">
        <v>40</v>
      </c>
      <c r="M263" s="85" t="s">
        <v>5</v>
      </c>
      <c r="N263" s="668" t="s">
        <v>44</v>
      </c>
      <c r="O263" s="669"/>
      <c r="P263" s="615"/>
      <c r="Q263" s="615">
        <v>10</v>
      </c>
      <c r="R263" s="615"/>
      <c r="S263" s="615"/>
      <c r="T263" s="615"/>
      <c r="U263" s="615"/>
      <c r="V263" s="615"/>
      <c r="W263" s="615"/>
      <c r="X263" s="615"/>
      <c r="Y263" s="615"/>
      <c r="Z263" s="635"/>
      <c r="AA263" s="636"/>
      <c r="AB263" s="615"/>
      <c r="AC263" s="615"/>
      <c r="AD263" s="615"/>
      <c r="AE263" s="615"/>
      <c r="AF263" s="615"/>
      <c r="AG263" s="615"/>
      <c r="AH263" s="615"/>
      <c r="AI263" s="615"/>
      <c r="AJ263" s="615"/>
      <c r="AK263" s="615"/>
      <c r="AL263" s="635"/>
      <c r="AM263" s="636"/>
      <c r="AN263" s="615"/>
      <c r="AO263" s="615"/>
      <c r="AP263" s="615"/>
      <c r="AQ263" s="615"/>
      <c r="AR263" s="615"/>
      <c r="AS263" s="615"/>
      <c r="AT263" s="615"/>
      <c r="AU263" s="615"/>
      <c r="AV263" s="615"/>
      <c r="AW263" s="615"/>
      <c r="AX263" s="635"/>
      <c r="AY263" s="636"/>
      <c r="AZ263" s="615"/>
      <c r="BA263" s="615"/>
      <c r="BB263" s="615"/>
      <c r="BC263" s="615"/>
      <c r="BD263" s="615"/>
      <c r="BE263" s="615"/>
      <c r="BF263" s="615"/>
      <c r="BG263" s="615"/>
      <c r="BH263" s="615"/>
      <c r="BI263" s="615"/>
      <c r="BJ263" s="635"/>
      <c r="BK263" s="636"/>
      <c r="BL263" s="615"/>
      <c r="BM263" s="615"/>
      <c r="BN263" s="615"/>
      <c r="BO263" s="615"/>
      <c r="BP263" s="615"/>
      <c r="BQ263" s="615"/>
      <c r="BR263" s="615"/>
      <c r="BS263" s="615"/>
      <c r="BT263" s="615"/>
      <c r="BU263" s="615"/>
      <c r="BV263" s="637"/>
      <c r="BW263" s="669"/>
      <c r="BX263" s="615"/>
      <c r="BY263" s="615">
        <v>99.2</v>
      </c>
      <c r="BZ263" s="615"/>
      <c r="CA263" s="615"/>
      <c r="CB263" s="615"/>
      <c r="CC263" s="615"/>
      <c r="CD263" s="615"/>
      <c r="CE263" s="615"/>
      <c r="CF263" s="615"/>
      <c r="CG263" s="615"/>
      <c r="CH263" s="635"/>
      <c r="CI263" s="636"/>
      <c r="CJ263" s="615"/>
      <c r="CK263" s="615"/>
      <c r="CL263" s="615"/>
      <c r="CM263" s="615"/>
      <c r="CN263" s="615"/>
      <c r="CO263" s="615"/>
      <c r="CP263" s="615"/>
      <c r="CQ263" s="615"/>
      <c r="CR263" s="615"/>
      <c r="CS263" s="615"/>
      <c r="CT263" s="635"/>
      <c r="CU263" s="636"/>
      <c r="CV263" s="615"/>
      <c r="CW263" s="615"/>
      <c r="CX263" s="615"/>
      <c r="CY263" s="615"/>
      <c r="CZ263" s="615"/>
      <c r="DA263" s="615"/>
      <c r="DB263" s="615"/>
      <c r="DC263" s="615"/>
      <c r="DD263" s="615"/>
      <c r="DE263" s="615"/>
      <c r="DF263" s="635"/>
      <c r="DG263" s="636"/>
      <c r="DH263" s="615"/>
      <c r="DI263" s="615"/>
      <c r="DJ263" s="615"/>
      <c r="DK263" s="615"/>
      <c r="DL263" s="615"/>
      <c r="DM263" s="615"/>
      <c r="DN263" s="615"/>
      <c r="DO263" s="615"/>
      <c r="DP263" s="615"/>
      <c r="DQ263" s="615"/>
      <c r="DR263" s="635"/>
      <c r="DS263" s="636"/>
      <c r="DT263" s="615"/>
      <c r="DU263" s="615"/>
      <c r="DV263" s="615"/>
      <c r="DW263" s="615"/>
      <c r="DX263" s="615"/>
      <c r="DY263" s="615"/>
      <c r="DZ263" s="615"/>
      <c r="EA263" s="615"/>
      <c r="EB263" s="615"/>
      <c r="EC263" s="615"/>
      <c r="ED263" s="637"/>
      <c r="EE263" s="692"/>
    </row>
    <row r="264" spans="1:135" x14ac:dyDescent="0.25">
      <c r="A264" s="640" t="s">
        <v>12</v>
      </c>
      <c r="B264" s="367" t="s">
        <v>1471</v>
      </c>
      <c r="C264" s="367" t="s">
        <v>639</v>
      </c>
      <c r="D264" s="367" t="s">
        <v>1480</v>
      </c>
      <c r="E264" s="503" t="s">
        <v>1474</v>
      </c>
      <c r="F264" s="570">
        <v>44648</v>
      </c>
      <c r="G264" s="85" t="s">
        <v>59</v>
      </c>
      <c r="H264" s="85" t="s">
        <v>92</v>
      </c>
      <c r="I264" s="85" t="s">
        <v>358</v>
      </c>
      <c r="J264" s="675" t="s">
        <v>358</v>
      </c>
      <c r="K264" s="85" t="s">
        <v>358</v>
      </c>
      <c r="L264" s="85" t="s">
        <v>40</v>
      </c>
      <c r="M264" s="85" t="s">
        <v>5</v>
      </c>
      <c r="N264" s="668" t="s">
        <v>44</v>
      </c>
      <c r="O264" s="669"/>
      <c r="P264" s="615"/>
      <c r="Q264" s="615">
        <v>10</v>
      </c>
      <c r="R264" s="615"/>
      <c r="S264" s="615"/>
      <c r="T264" s="615"/>
      <c r="U264" s="615"/>
      <c r="V264" s="615"/>
      <c r="W264" s="615"/>
      <c r="X264" s="615"/>
      <c r="Y264" s="615"/>
      <c r="Z264" s="635"/>
      <c r="AA264" s="636"/>
      <c r="AB264" s="615"/>
      <c r="AC264" s="615"/>
      <c r="AD264" s="615"/>
      <c r="AE264" s="615"/>
      <c r="AF264" s="615"/>
      <c r="AG264" s="615"/>
      <c r="AH264" s="615"/>
      <c r="AI264" s="615"/>
      <c r="AJ264" s="615"/>
      <c r="AK264" s="615"/>
      <c r="AL264" s="635"/>
      <c r="AM264" s="636"/>
      <c r="AN264" s="615"/>
      <c r="AO264" s="615"/>
      <c r="AP264" s="615"/>
      <c r="AQ264" s="615"/>
      <c r="AR264" s="615"/>
      <c r="AS264" s="615"/>
      <c r="AT264" s="615"/>
      <c r="AU264" s="615"/>
      <c r="AV264" s="615"/>
      <c r="AW264" s="615"/>
      <c r="AX264" s="635"/>
      <c r="AY264" s="636"/>
      <c r="AZ264" s="615"/>
      <c r="BA264" s="615"/>
      <c r="BB264" s="615"/>
      <c r="BC264" s="615"/>
      <c r="BD264" s="615"/>
      <c r="BE264" s="615"/>
      <c r="BF264" s="615"/>
      <c r="BG264" s="615"/>
      <c r="BH264" s="615"/>
      <c r="BI264" s="615"/>
      <c r="BJ264" s="635"/>
      <c r="BK264" s="636"/>
      <c r="BL264" s="615"/>
      <c r="BM264" s="615"/>
      <c r="BN264" s="615"/>
      <c r="BO264" s="615"/>
      <c r="BP264" s="615"/>
      <c r="BQ264" s="615"/>
      <c r="BR264" s="615"/>
      <c r="BS264" s="615"/>
      <c r="BT264" s="615"/>
      <c r="BU264" s="615"/>
      <c r="BV264" s="637"/>
      <c r="BW264" s="669"/>
      <c r="BX264" s="615"/>
      <c r="BY264" s="615">
        <v>98.7</v>
      </c>
      <c r="BZ264" s="615"/>
      <c r="CA264" s="615"/>
      <c r="CB264" s="615"/>
      <c r="CC264" s="615"/>
      <c r="CD264" s="615"/>
      <c r="CE264" s="615"/>
      <c r="CF264" s="615"/>
      <c r="CG264" s="615"/>
      <c r="CH264" s="635"/>
      <c r="CI264" s="636"/>
      <c r="CJ264" s="615"/>
      <c r="CK264" s="615"/>
      <c r="CL264" s="615"/>
      <c r="CM264" s="615"/>
      <c r="CN264" s="615"/>
      <c r="CO264" s="615"/>
      <c r="CP264" s="615"/>
      <c r="CQ264" s="615"/>
      <c r="CR264" s="615"/>
      <c r="CS264" s="615"/>
      <c r="CT264" s="635"/>
      <c r="CU264" s="636"/>
      <c r="CV264" s="615"/>
      <c r="CW264" s="615"/>
      <c r="CX264" s="615"/>
      <c r="CY264" s="615"/>
      <c r="CZ264" s="615"/>
      <c r="DA264" s="615"/>
      <c r="DB264" s="615"/>
      <c r="DC264" s="615"/>
      <c r="DD264" s="615"/>
      <c r="DE264" s="615"/>
      <c r="DF264" s="635"/>
      <c r="DG264" s="636"/>
      <c r="DH264" s="615"/>
      <c r="DI264" s="615"/>
      <c r="DJ264" s="615"/>
      <c r="DK264" s="615"/>
      <c r="DL264" s="615"/>
      <c r="DM264" s="615"/>
      <c r="DN264" s="615"/>
      <c r="DO264" s="615"/>
      <c r="DP264" s="615"/>
      <c r="DQ264" s="615"/>
      <c r="DR264" s="635"/>
      <c r="DS264" s="636"/>
      <c r="DT264" s="615"/>
      <c r="DU264" s="615"/>
      <c r="DV264" s="615"/>
      <c r="DW264" s="615"/>
      <c r="DX264" s="615"/>
      <c r="DY264" s="615"/>
      <c r="DZ264" s="615"/>
      <c r="EA264" s="615"/>
      <c r="EB264" s="615"/>
      <c r="EC264" s="615"/>
      <c r="ED264" s="637"/>
      <c r="EE264" s="692"/>
    </row>
    <row r="265" spans="1:135" x14ac:dyDescent="0.25">
      <c r="A265" s="640" t="s">
        <v>12</v>
      </c>
      <c r="B265" s="367" t="s">
        <v>1477</v>
      </c>
      <c r="C265" s="367" t="s">
        <v>1476</v>
      </c>
      <c r="D265" s="367" t="s">
        <v>1482</v>
      </c>
      <c r="E265" s="503" t="s">
        <v>1475</v>
      </c>
      <c r="F265" s="570">
        <v>44648</v>
      </c>
      <c r="G265" s="85" t="s">
        <v>59</v>
      </c>
      <c r="H265" s="85" t="s">
        <v>92</v>
      </c>
      <c r="I265" s="85" t="s">
        <v>358</v>
      </c>
      <c r="J265" s="675" t="s">
        <v>358</v>
      </c>
      <c r="K265" s="85" t="s">
        <v>358</v>
      </c>
      <c r="L265" s="85" t="s">
        <v>40</v>
      </c>
      <c r="M265" s="85" t="s">
        <v>5</v>
      </c>
      <c r="N265" s="668" t="s">
        <v>44</v>
      </c>
      <c r="O265" s="669"/>
      <c r="P265" s="615"/>
      <c r="Q265" s="615">
        <v>2</v>
      </c>
      <c r="R265" s="615"/>
      <c r="S265" s="615"/>
      <c r="T265" s="615"/>
      <c r="U265" s="615"/>
      <c r="V265" s="615"/>
      <c r="W265" s="615"/>
      <c r="X265" s="615"/>
      <c r="Y265" s="615"/>
      <c r="Z265" s="635"/>
      <c r="AA265" s="636"/>
      <c r="AB265" s="615"/>
      <c r="AC265" s="615"/>
      <c r="AD265" s="615"/>
      <c r="AE265" s="615"/>
      <c r="AF265" s="615"/>
      <c r="AG265" s="615"/>
      <c r="AH265" s="615"/>
      <c r="AI265" s="615"/>
      <c r="AJ265" s="615"/>
      <c r="AK265" s="615"/>
      <c r="AL265" s="635"/>
      <c r="AM265" s="636"/>
      <c r="AN265" s="615"/>
      <c r="AO265" s="615"/>
      <c r="AP265" s="615"/>
      <c r="AQ265" s="615"/>
      <c r="AR265" s="615"/>
      <c r="AS265" s="615"/>
      <c r="AT265" s="615"/>
      <c r="AU265" s="615"/>
      <c r="AV265" s="615"/>
      <c r="AW265" s="615"/>
      <c r="AX265" s="635"/>
      <c r="AY265" s="636"/>
      <c r="AZ265" s="615"/>
      <c r="BA265" s="615"/>
      <c r="BB265" s="615"/>
      <c r="BC265" s="615"/>
      <c r="BD265" s="615"/>
      <c r="BE265" s="615"/>
      <c r="BF265" s="615"/>
      <c r="BG265" s="615"/>
      <c r="BH265" s="615"/>
      <c r="BI265" s="615"/>
      <c r="BJ265" s="635"/>
      <c r="BK265" s="636"/>
      <c r="BL265" s="615"/>
      <c r="BM265" s="615"/>
      <c r="BN265" s="615"/>
      <c r="BO265" s="615"/>
      <c r="BP265" s="615"/>
      <c r="BQ265" s="615"/>
      <c r="BR265" s="615"/>
      <c r="BS265" s="615"/>
      <c r="BT265" s="615"/>
      <c r="BU265" s="615"/>
      <c r="BV265" s="637"/>
      <c r="BW265" s="669"/>
      <c r="BX265" s="615"/>
      <c r="BY265" s="615">
        <v>100.7</v>
      </c>
      <c r="BZ265" s="615"/>
      <c r="CA265" s="615"/>
      <c r="CB265" s="615"/>
      <c r="CC265" s="615"/>
      <c r="CD265" s="615"/>
      <c r="CE265" s="615"/>
      <c r="CF265" s="615"/>
      <c r="CG265" s="615"/>
      <c r="CH265" s="635"/>
      <c r="CI265" s="636"/>
      <c r="CJ265" s="615"/>
      <c r="CK265" s="615"/>
      <c r="CL265" s="615"/>
      <c r="CM265" s="615"/>
      <c r="CN265" s="615"/>
      <c r="CO265" s="615"/>
      <c r="CP265" s="615"/>
      <c r="CQ265" s="615"/>
      <c r="CR265" s="615"/>
      <c r="CS265" s="615"/>
      <c r="CT265" s="635"/>
      <c r="CU265" s="636"/>
      <c r="CV265" s="615"/>
      <c r="CW265" s="615"/>
      <c r="CX265" s="615"/>
      <c r="CY265" s="615"/>
      <c r="CZ265" s="615"/>
      <c r="DA265" s="615"/>
      <c r="DB265" s="615"/>
      <c r="DC265" s="615"/>
      <c r="DD265" s="615"/>
      <c r="DE265" s="615"/>
      <c r="DF265" s="635"/>
      <c r="DG265" s="636"/>
      <c r="DH265" s="615"/>
      <c r="DI265" s="615"/>
      <c r="DJ265" s="615"/>
      <c r="DK265" s="615"/>
      <c r="DL265" s="615"/>
      <c r="DM265" s="615"/>
      <c r="DN265" s="615"/>
      <c r="DO265" s="615"/>
      <c r="DP265" s="615"/>
      <c r="DQ265" s="615"/>
      <c r="DR265" s="635"/>
      <c r="DS265" s="636"/>
      <c r="DT265" s="615"/>
      <c r="DU265" s="615"/>
      <c r="DV265" s="615"/>
      <c r="DW265" s="615"/>
      <c r="DX265" s="615"/>
      <c r="DY265" s="615"/>
      <c r="DZ265" s="615"/>
      <c r="EA265" s="615"/>
      <c r="EB265" s="615"/>
      <c r="EC265" s="615"/>
      <c r="ED265" s="637"/>
      <c r="EE265" s="692"/>
    </row>
    <row r="266" spans="1:135" x14ac:dyDescent="0.25">
      <c r="A266" s="640" t="s">
        <v>12</v>
      </c>
      <c r="B266" s="367" t="s">
        <v>1479</v>
      </c>
      <c r="C266" s="367" t="s">
        <v>1203</v>
      </c>
      <c r="D266" s="367" t="s">
        <v>1484</v>
      </c>
      <c r="E266" s="503">
        <v>23535</v>
      </c>
      <c r="F266" s="570">
        <v>44649</v>
      </c>
      <c r="G266" s="85" t="s">
        <v>59</v>
      </c>
      <c r="H266" s="85" t="s">
        <v>92</v>
      </c>
      <c r="I266" s="85" t="s">
        <v>358</v>
      </c>
      <c r="J266" s="675" t="s">
        <v>358</v>
      </c>
      <c r="K266" s="85" t="s">
        <v>358</v>
      </c>
      <c r="L266" s="85" t="s">
        <v>40</v>
      </c>
      <c r="M266" s="85" t="s">
        <v>5</v>
      </c>
      <c r="N266" s="668" t="s">
        <v>44</v>
      </c>
      <c r="O266" s="669"/>
      <c r="P266" s="615"/>
      <c r="Q266" s="615">
        <v>15</v>
      </c>
      <c r="R266" s="615"/>
      <c r="S266" s="615"/>
      <c r="T266" s="615"/>
      <c r="U266" s="615"/>
      <c r="V266" s="615"/>
      <c r="W266" s="615"/>
      <c r="X266" s="615"/>
      <c r="Y266" s="615"/>
      <c r="Z266" s="635"/>
      <c r="AA266" s="636"/>
      <c r="AB266" s="615"/>
      <c r="AC266" s="615"/>
      <c r="AD266" s="615"/>
      <c r="AE266" s="615"/>
      <c r="AF266" s="615"/>
      <c r="AG266" s="615"/>
      <c r="AH266" s="615"/>
      <c r="AI266" s="615"/>
      <c r="AJ266" s="615"/>
      <c r="AK266" s="615"/>
      <c r="AL266" s="635"/>
      <c r="AM266" s="636"/>
      <c r="AN266" s="615"/>
      <c r="AO266" s="615"/>
      <c r="AP266" s="615"/>
      <c r="AQ266" s="615"/>
      <c r="AR266" s="615"/>
      <c r="AS266" s="615"/>
      <c r="AT266" s="615"/>
      <c r="AU266" s="615"/>
      <c r="AV266" s="615"/>
      <c r="AW266" s="615"/>
      <c r="AX266" s="635"/>
      <c r="AY266" s="636"/>
      <c r="AZ266" s="615"/>
      <c r="BA266" s="615"/>
      <c r="BB266" s="615"/>
      <c r="BC266" s="615"/>
      <c r="BD266" s="615"/>
      <c r="BE266" s="615"/>
      <c r="BF266" s="615"/>
      <c r="BG266" s="615"/>
      <c r="BH266" s="615"/>
      <c r="BI266" s="615"/>
      <c r="BJ266" s="635"/>
      <c r="BK266" s="636"/>
      <c r="BL266" s="615"/>
      <c r="BM266" s="615"/>
      <c r="BN266" s="615"/>
      <c r="BO266" s="615"/>
      <c r="BP266" s="615"/>
      <c r="BQ266" s="615"/>
      <c r="BR266" s="615"/>
      <c r="BS266" s="615"/>
      <c r="BT266" s="615"/>
      <c r="BU266" s="615"/>
      <c r="BV266" s="637"/>
      <c r="BW266" s="669"/>
      <c r="BX266" s="615"/>
      <c r="BY266" s="615">
        <v>99.7</v>
      </c>
      <c r="BZ266" s="615"/>
      <c r="CA266" s="615"/>
      <c r="CB266" s="615"/>
      <c r="CC266" s="615"/>
      <c r="CD266" s="615"/>
      <c r="CE266" s="615"/>
      <c r="CF266" s="615"/>
      <c r="CG266" s="615"/>
      <c r="CH266" s="635"/>
      <c r="CI266" s="636"/>
      <c r="CJ266" s="615"/>
      <c r="CK266" s="615"/>
      <c r="CL266" s="615"/>
      <c r="CM266" s="615"/>
      <c r="CN266" s="615"/>
      <c r="CO266" s="615"/>
      <c r="CP266" s="615"/>
      <c r="CQ266" s="615"/>
      <c r="CR266" s="615"/>
      <c r="CS266" s="615"/>
      <c r="CT266" s="635"/>
      <c r="CU266" s="636"/>
      <c r="CV266" s="615"/>
      <c r="CW266" s="615"/>
      <c r="CX266" s="615"/>
      <c r="CY266" s="615"/>
      <c r="CZ266" s="615"/>
      <c r="DA266" s="615"/>
      <c r="DB266" s="615"/>
      <c r="DC266" s="615"/>
      <c r="DD266" s="615"/>
      <c r="DE266" s="615"/>
      <c r="DF266" s="635"/>
      <c r="DG266" s="636"/>
      <c r="DH266" s="615"/>
      <c r="DI266" s="615"/>
      <c r="DJ266" s="615"/>
      <c r="DK266" s="615"/>
      <c r="DL266" s="615"/>
      <c r="DM266" s="615"/>
      <c r="DN266" s="615"/>
      <c r="DO266" s="615"/>
      <c r="DP266" s="615"/>
      <c r="DQ266" s="615"/>
      <c r="DR266" s="635"/>
      <c r="DS266" s="636"/>
      <c r="DT266" s="615"/>
      <c r="DU266" s="615"/>
      <c r="DV266" s="615"/>
      <c r="DW266" s="615"/>
      <c r="DX266" s="615"/>
      <c r="DY266" s="615"/>
      <c r="DZ266" s="615"/>
      <c r="EA266" s="615"/>
      <c r="EB266" s="615"/>
      <c r="EC266" s="615"/>
      <c r="ED266" s="637"/>
      <c r="EE266" s="692"/>
    </row>
    <row r="267" spans="1:135" x14ac:dyDescent="0.25">
      <c r="A267" s="640" t="s">
        <v>12</v>
      </c>
      <c r="B267" s="367" t="s">
        <v>1481</v>
      </c>
      <c r="C267" s="367" t="s">
        <v>502</v>
      </c>
      <c r="D267" s="367" t="s">
        <v>1497</v>
      </c>
      <c r="E267" s="503" t="s">
        <v>1487</v>
      </c>
      <c r="F267" s="570">
        <v>44650</v>
      </c>
      <c r="G267" s="85" t="s">
        <v>59</v>
      </c>
      <c r="H267" s="85" t="s">
        <v>92</v>
      </c>
      <c r="I267" s="85" t="s">
        <v>358</v>
      </c>
      <c r="J267" s="675" t="s">
        <v>358</v>
      </c>
      <c r="K267" s="85" t="s">
        <v>358</v>
      </c>
      <c r="L267" s="85" t="s">
        <v>40</v>
      </c>
      <c r="M267" s="85" t="s">
        <v>6</v>
      </c>
      <c r="N267" s="668" t="s">
        <v>44</v>
      </c>
      <c r="O267" s="669"/>
      <c r="P267" s="615"/>
      <c r="Q267" s="615">
        <v>1</v>
      </c>
      <c r="R267" s="615"/>
      <c r="S267" s="615"/>
      <c r="T267" s="615"/>
      <c r="U267" s="615"/>
      <c r="V267" s="615"/>
      <c r="W267" s="615"/>
      <c r="X267" s="615"/>
      <c r="Y267" s="615"/>
      <c r="Z267" s="635"/>
      <c r="AA267" s="636"/>
      <c r="AB267" s="615"/>
      <c r="AC267" s="615"/>
      <c r="AD267" s="615"/>
      <c r="AE267" s="615"/>
      <c r="AF267" s="615"/>
      <c r="AG267" s="615"/>
      <c r="AH267" s="615"/>
      <c r="AI267" s="615"/>
      <c r="AJ267" s="615"/>
      <c r="AK267" s="615"/>
      <c r="AL267" s="635"/>
      <c r="AM267" s="636"/>
      <c r="AN267" s="615"/>
      <c r="AO267" s="615"/>
      <c r="AP267" s="615"/>
      <c r="AQ267" s="615"/>
      <c r="AR267" s="615"/>
      <c r="AS267" s="615"/>
      <c r="AT267" s="615"/>
      <c r="AU267" s="615"/>
      <c r="AV267" s="615"/>
      <c r="AW267" s="615"/>
      <c r="AX267" s="635"/>
      <c r="AY267" s="636"/>
      <c r="AZ267" s="615"/>
      <c r="BA267" s="615"/>
      <c r="BB267" s="615"/>
      <c r="BC267" s="615"/>
      <c r="BD267" s="615"/>
      <c r="BE267" s="615"/>
      <c r="BF267" s="615"/>
      <c r="BG267" s="615"/>
      <c r="BH267" s="615"/>
      <c r="BI267" s="615"/>
      <c r="BJ267" s="635"/>
      <c r="BK267" s="636"/>
      <c r="BL267" s="615"/>
      <c r="BM267" s="615"/>
      <c r="BN267" s="615"/>
      <c r="BO267" s="615"/>
      <c r="BP267" s="615"/>
      <c r="BQ267" s="615"/>
      <c r="BR267" s="615"/>
      <c r="BS267" s="615"/>
      <c r="BT267" s="615"/>
      <c r="BU267" s="615"/>
      <c r="BV267" s="637"/>
      <c r="BW267" s="669"/>
      <c r="BX267" s="615"/>
      <c r="BY267" s="615">
        <v>253.7</v>
      </c>
      <c r="BZ267" s="615"/>
      <c r="CA267" s="615"/>
      <c r="CB267" s="615"/>
      <c r="CC267" s="615"/>
      <c r="CD267" s="615"/>
      <c r="CE267" s="615"/>
      <c r="CF267" s="615"/>
      <c r="CG267" s="615"/>
      <c r="CH267" s="635"/>
      <c r="CI267" s="636"/>
      <c r="CJ267" s="615"/>
      <c r="CK267" s="615"/>
      <c r="CL267" s="615"/>
      <c r="CM267" s="615"/>
      <c r="CN267" s="615"/>
      <c r="CO267" s="615"/>
      <c r="CP267" s="615"/>
      <c r="CQ267" s="615"/>
      <c r="CR267" s="615"/>
      <c r="CS267" s="615"/>
      <c r="CT267" s="635"/>
      <c r="CU267" s="636"/>
      <c r="CV267" s="615"/>
      <c r="CW267" s="615"/>
      <c r="CX267" s="615"/>
      <c r="CY267" s="615"/>
      <c r="CZ267" s="615"/>
      <c r="DA267" s="615"/>
      <c r="DB267" s="615"/>
      <c r="DC267" s="615"/>
      <c r="DD267" s="615"/>
      <c r="DE267" s="615"/>
      <c r="DF267" s="635"/>
      <c r="DG267" s="636"/>
      <c r="DH267" s="615"/>
      <c r="DI267" s="615"/>
      <c r="DJ267" s="615"/>
      <c r="DK267" s="615"/>
      <c r="DL267" s="615"/>
      <c r="DM267" s="615"/>
      <c r="DN267" s="615"/>
      <c r="DO267" s="615"/>
      <c r="DP267" s="615"/>
      <c r="DQ267" s="615"/>
      <c r="DR267" s="635"/>
      <c r="DS267" s="636"/>
      <c r="DT267" s="615"/>
      <c r="DU267" s="615"/>
      <c r="DV267" s="615"/>
      <c r="DW267" s="615"/>
      <c r="DX267" s="615"/>
      <c r="DY267" s="615"/>
      <c r="DZ267" s="615"/>
      <c r="EA267" s="615"/>
      <c r="EB267" s="615"/>
      <c r="EC267" s="615"/>
      <c r="ED267" s="637"/>
      <c r="EE267" s="692"/>
    </row>
    <row r="268" spans="1:135" x14ac:dyDescent="0.25">
      <c r="A268" s="640" t="s">
        <v>12</v>
      </c>
      <c r="B268" s="367" t="s">
        <v>1483</v>
      </c>
      <c r="C268" s="367" t="s">
        <v>472</v>
      </c>
      <c r="D268" s="367" t="s">
        <v>1499</v>
      </c>
      <c r="E268" s="503" t="s">
        <v>1488</v>
      </c>
      <c r="F268" s="570">
        <v>44650</v>
      </c>
      <c r="G268" s="85" t="s">
        <v>59</v>
      </c>
      <c r="H268" s="85" t="s">
        <v>92</v>
      </c>
      <c r="I268" s="85" t="s">
        <v>358</v>
      </c>
      <c r="J268" s="675" t="s">
        <v>358</v>
      </c>
      <c r="K268" s="85" t="s">
        <v>358</v>
      </c>
      <c r="L268" s="85" t="s">
        <v>40</v>
      </c>
      <c r="M268" s="85" t="s">
        <v>6</v>
      </c>
      <c r="N268" s="668" t="s">
        <v>44</v>
      </c>
      <c r="O268" s="669"/>
      <c r="P268" s="615"/>
      <c r="Q268" s="615">
        <v>3</v>
      </c>
      <c r="R268" s="615"/>
      <c r="S268" s="615"/>
      <c r="T268" s="615"/>
      <c r="U268" s="615"/>
      <c r="V268" s="615"/>
      <c r="W268" s="615"/>
      <c r="X268" s="615"/>
      <c r="Y268" s="615"/>
      <c r="Z268" s="635"/>
      <c r="AA268" s="636"/>
      <c r="AB268" s="615"/>
      <c r="AC268" s="615"/>
      <c r="AD268" s="615"/>
      <c r="AE268" s="615"/>
      <c r="AF268" s="615"/>
      <c r="AG268" s="615"/>
      <c r="AH268" s="615"/>
      <c r="AI268" s="615"/>
      <c r="AJ268" s="615"/>
      <c r="AK268" s="615"/>
      <c r="AL268" s="635"/>
      <c r="AM268" s="636"/>
      <c r="AN268" s="615"/>
      <c r="AO268" s="615"/>
      <c r="AP268" s="615"/>
      <c r="AQ268" s="615"/>
      <c r="AR268" s="615"/>
      <c r="AS268" s="615"/>
      <c r="AT268" s="615"/>
      <c r="AU268" s="615"/>
      <c r="AV268" s="615"/>
      <c r="AW268" s="615"/>
      <c r="AX268" s="635"/>
      <c r="AY268" s="636"/>
      <c r="AZ268" s="615"/>
      <c r="BA268" s="615"/>
      <c r="BB268" s="615"/>
      <c r="BC268" s="615"/>
      <c r="BD268" s="615"/>
      <c r="BE268" s="615"/>
      <c r="BF268" s="615"/>
      <c r="BG268" s="615"/>
      <c r="BH268" s="615"/>
      <c r="BI268" s="615"/>
      <c r="BJ268" s="635"/>
      <c r="BK268" s="636"/>
      <c r="BL268" s="615"/>
      <c r="BM268" s="615"/>
      <c r="BN268" s="615"/>
      <c r="BO268" s="615"/>
      <c r="BP268" s="615"/>
      <c r="BQ268" s="615"/>
      <c r="BR268" s="615"/>
      <c r="BS268" s="615"/>
      <c r="BT268" s="615"/>
      <c r="BU268" s="615"/>
      <c r="BV268" s="637"/>
      <c r="BW268" s="669"/>
      <c r="BX268" s="615"/>
      <c r="BY268" s="615">
        <v>253.7</v>
      </c>
      <c r="BZ268" s="615"/>
      <c r="CA268" s="615"/>
      <c r="CB268" s="615"/>
      <c r="CC268" s="615"/>
      <c r="CD268" s="615"/>
      <c r="CE268" s="615"/>
      <c r="CF268" s="615"/>
      <c r="CG268" s="615"/>
      <c r="CH268" s="635"/>
      <c r="CI268" s="636"/>
      <c r="CJ268" s="615"/>
      <c r="CK268" s="615"/>
      <c r="CL268" s="615"/>
      <c r="CM268" s="615"/>
      <c r="CN268" s="615"/>
      <c r="CO268" s="615"/>
      <c r="CP268" s="615"/>
      <c r="CQ268" s="615"/>
      <c r="CR268" s="615"/>
      <c r="CS268" s="615"/>
      <c r="CT268" s="635"/>
      <c r="CU268" s="636"/>
      <c r="CV268" s="615"/>
      <c r="CW268" s="615"/>
      <c r="CX268" s="615"/>
      <c r="CY268" s="615"/>
      <c r="CZ268" s="615"/>
      <c r="DA268" s="615"/>
      <c r="DB268" s="615"/>
      <c r="DC268" s="615"/>
      <c r="DD268" s="615"/>
      <c r="DE268" s="615"/>
      <c r="DF268" s="635"/>
      <c r="DG268" s="636"/>
      <c r="DH268" s="615"/>
      <c r="DI268" s="615"/>
      <c r="DJ268" s="615"/>
      <c r="DK268" s="615"/>
      <c r="DL268" s="615"/>
      <c r="DM268" s="615"/>
      <c r="DN268" s="615"/>
      <c r="DO268" s="615"/>
      <c r="DP268" s="615"/>
      <c r="DQ268" s="615"/>
      <c r="DR268" s="635"/>
      <c r="DS268" s="636"/>
      <c r="DT268" s="615"/>
      <c r="DU268" s="615"/>
      <c r="DV268" s="615"/>
      <c r="DW268" s="615"/>
      <c r="DX268" s="615"/>
      <c r="DY268" s="615"/>
      <c r="DZ268" s="615"/>
      <c r="EA268" s="615"/>
      <c r="EB268" s="615"/>
      <c r="EC268" s="615"/>
      <c r="ED268" s="637"/>
      <c r="EE268" s="692"/>
    </row>
    <row r="269" spans="1:135" x14ac:dyDescent="0.25">
      <c r="A269" s="640" t="s">
        <v>12</v>
      </c>
      <c r="B269" s="367" t="s">
        <v>1496</v>
      </c>
      <c r="C269" s="367" t="s">
        <v>404</v>
      </c>
      <c r="D269" s="367" t="s">
        <v>1501</v>
      </c>
      <c r="E269" s="503" t="s">
        <v>1489</v>
      </c>
      <c r="F269" s="570">
        <v>44650</v>
      </c>
      <c r="G269" s="85" t="s">
        <v>59</v>
      </c>
      <c r="H269" s="85" t="s">
        <v>92</v>
      </c>
      <c r="I269" s="85" t="s">
        <v>358</v>
      </c>
      <c r="J269" s="675" t="s">
        <v>358</v>
      </c>
      <c r="K269" s="85" t="s">
        <v>358</v>
      </c>
      <c r="L269" s="85" t="s">
        <v>40</v>
      </c>
      <c r="M269" s="85" t="s">
        <v>6</v>
      </c>
      <c r="N269" s="668" t="s">
        <v>44</v>
      </c>
      <c r="O269" s="669"/>
      <c r="P269" s="615"/>
      <c r="Q269" s="615">
        <v>1</v>
      </c>
      <c r="R269" s="615"/>
      <c r="S269" s="615"/>
      <c r="T269" s="615"/>
      <c r="U269" s="615"/>
      <c r="V269" s="615"/>
      <c r="W269" s="615"/>
      <c r="X269" s="615"/>
      <c r="Y269" s="615"/>
      <c r="Z269" s="635"/>
      <c r="AA269" s="636"/>
      <c r="AB269" s="615"/>
      <c r="AC269" s="615"/>
      <c r="AD269" s="615"/>
      <c r="AE269" s="615"/>
      <c r="AF269" s="615"/>
      <c r="AG269" s="615"/>
      <c r="AH269" s="615"/>
      <c r="AI269" s="615"/>
      <c r="AJ269" s="615"/>
      <c r="AK269" s="615"/>
      <c r="AL269" s="635"/>
      <c r="AM269" s="636"/>
      <c r="AN269" s="615"/>
      <c r="AO269" s="615"/>
      <c r="AP269" s="615"/>
      <c r="AQ269" s="615"/>
      <c r="AR269" s="615"/>
      <c r="AS269" s="615"/>
      <c r="AT269" s="615"/>
      <c r="AU269" s="615"/>
      <c r="AV269" s="615"/>
      <c r="AW269" s="615"/>
      <c r="AX269" s="635"/>
      <c r="AY269" s="636"/>
      <c r="AZ269" s="615"/>
      <c r="BA269" s="615"/>
      <c r="BB269" s="615"/>
      <c r="BC269" s="615"/>
      <c r="BD269" s="615"/>
      <c r="BE269" s="615"/>
      <c r="BF269" s="615"/>
      <c r="BG269" s="615"/>
      <c r="BH269" s="615"/>
      <c r="BI269" s="615"/>
      <c r="BJ269" s="635"/>
      <c r="BK269" s="636"/>
      <c r="BL269" s="615"/>
      <c r="BM269" s="615"/>
      <c r="BN269" s="615"/>
      <c r="BO269" s="615"/>
      <c r="BP269" s="615"/>
      <c r="BQ269" s="615"/>
      <c r="BR269" s="615"/>
      <c r="BS269" s="615"/>
      <c r="BT269" s="615"/>
      <c r="BU269" s="615"/>
      <c r="BV269" s="637"/>
      <c r="BW269" s="669"/>
      <c r="BX269" s="615"/>
      <c r="BY269" s="615">
        <v>253.7</v>
      </c>
      <c r="BZ269" s="615"/>
      <c r="CA269" s="615"/>
      <c r="CB269" s="615"/>
      <c r="CC269" s="615"/>
      <c r="CD269" s="615"/>
      <c r="CE269" s="615"/>
      <c r="CF269" s="615"/>
      <c r="CG269" s="615"/>
      <c r="CH269" s="635"/>
      <c r="CI269" s="636"/>
      <c r="CJ269" s="615"/>
      <c r="CK269" s="615"/>
      <c r="CL269" s="615"/>
      <c r="CM269" s="615"/>
      <c r="CN269" s="615"/>
      <c r="CO269" s="615"/>
      <c r="CP269" s="615"/>
      <c r="CQ269" s="615"/>
      <c r="CR269" s="615"/>
      <c r="CS269" s="615"/>
      <c r="CT269" s="635"/>
      <c r="CU269" s="636"/>
      <c r="CV269" s="615"/>
      <c r="CW269" s="615"/>
      <c r="CX269" s="615"/>
      <c r="CY269" s="615"/>
      <c r="CZ269" s="615"/>
      <c r="DA269" s="615"/>
      <c r="DB269" s="615"/>
      <c r="DC269" s="615"/>
      <c r="DD269" s="615"/>
      <c r="DE269" s="615"/>
      <c r="DF269" s="635"/>
      <c r="DG269" s="636"/>
      <c r="DH269" s="615"/>
      <c r="DI269" s="615"/>
      <c r="DJ269" s="615"/>
      <c r="DK269" s="615"/>
      <c r="DL269" s="615"/>
      <c r="DM269" s="615"/>
      <c r="DN269" s="615"/>
      <c r="DO269" s="615"/>
      <c r="DP269" s="615"/>
      <c r="DQ269" s="615"/>
      <c r="DR269" s="635"/>
      <c r="DS269" s="636"/>
      <c r="DT269" s="615"/>
      <c r="DU269" s="615"/>
      <c r="DV269" s="615"/>
      <c r="DW269" s="615"/>
      <c r="DX269" s="615"/>
      <c r="DY269" s="615"/>
      <c r="DZ269" s="615"/>
      <c r="EA269" s="615"/>
      <c r="EB269" s="615"/>
      <c r="EC269" s="615"/>
      <c r="ED269" s="637"/>
      <c r="EE269" s="692"/>
    </row>
    <row r="270" spans="1:135" x14ac:dyDescent="0.25">
      <c r="A270" s="640" t="s">
        <v>12</v>
      </c>
      <c r="B270" s="367" t="s">
        <v>1498</v>
      </c>
      <c r="C270" s="367" t="s">
        <v>476</v>
      </c>
      <c r="D270" s="367" t="s">
        <v>1503</v>
      </c>
      <c r="E270" s="503" t="s">
        <v>1490</v>
      </c>
      <c r="F270" s="570">
        <v>44650</v>
      </c>
      <c r="G270" s="85" t="s">
        <v>59</v>
      </c>
      <c r="H270" s="85" t="s">
        <v>92</v>
      </c>
      <c r="I270" s="85" t="s">
        <v>358</v>
      </c>
      <c r="J270" s="675" t="s">
        <v>358</v>
      </c>
      <c r="K270" s="85" t="s">
        <v>358</v>
      </c>
      <c r="L270" s="85" t="s">
        <v>40</v>
      </c>
      <c r="M270" s="85" t="s">
        <v>6</v>
      </c>
      <c r="N270" s="668" t="s">
        <v>44</v>
      </c>
      <c r="O270" s="669"/>
      <c r="P270" s="615"/>
      <c r="Q270" s="615">
        <v>1</v>
      </c>
      <c r="R270" s="615"/>
      <c r="S270" s="615"/>
      <c r="T270" s="615"/>
      <c r="U270" s="615"/>
      <c r="V270" s="615"/>
      <c r="W270" s="615"/>
      <c r="X270" s="615"/>
      <c r="Y270" s="615"/>
      <c r="Z270" s="635"/>
      <c r="AA270" s="636"/>
      <c r="AB270" s="615"/>
      <c r="AC270" s="615"/>
      <c r="AD270" s="615"/>
      <c r="AE270" s="615"/>
      <c r="AF270" s="615"/>
      <c r="AG270" s="615"/>
      <c r="AH270" s="615"/>
      <c r="AI270" s="615"/>
      <c r="AJ270" s="615"/>
      <c r="AK270" s="615"/>
      <c r="AL270" s="635"/>
      <c r="AM270" s="636"/>
      <c r="AN270" s="615"/>
      <c r="AO270" s="615"/>
      <c r="AP270" s="615"/>
      <c r="AQ270" s="615"/>
      <c r="AR270" s="615"/>
      <c r="AS270" s="615"/>
      <c r="AT270" s="615"/>
      <c r="AU270" s="615"/>
      <c r="AV270" s="615"/>
      <c r="AW270" s="615"/>
      <c r="AX270" s="635"/>
      <c r="AY270" s="636"/>
      <c r="AZ270" s="615"/>
      <c r="BA270" s="615"/>
      <c r="BB270" s="615"/>
      <c r="BC270" s="615"/>
      <c r="BD270" s="615"/>
      <c r="BE270" s="615"/>
      <c r="BF270" s="615"/>
      <c r="BG270" s="615"/>
      <c r="BH270" s="615"/>
      <c r="BI270" s="615"/>
      <c r="BJ270" s="635"/>
      <c r="BK270" s="636"/>
      <c r="BL270" s="615"/>
      <c r="BM270" s="615"/>
      <c r="BN270" s="615"/>
      <c r="BO270" s="615"/>
      <c r="BP270" s="615"/>
      <c r="BQ270" s="615"/>
      <c r="BR270" s="615"/>
      <c r="BS270" s="615"/>
      <c r="BT270" s="615"/>
      <c r="BU270" s="615"/>
      <c r="BV270" s="637"/>
      <c r="BW270" s="669"/>
      <c r="BX270" s="615"/>
      <c r="BY270" s="615">
        <v>253.7</v>
      </c>
      <c r="BZ270" s="615"/>
      <c r="CA270" s="615"/>
      <c r="CB270" s="615"/>
      <c r="CC270" s="615"/>
      <c r="CD270" s="615"/>
      <c r="CE270" s="615"/>
      <c r="CF270" s="615"/>
      <c r="CG270" s="615"/>
      <c r="CH270" s="635"/>
      <c r="CI270" s="636"/>
      <c r="CJ270" s="615"/>
      <c r="CK270" s="615"/>
      <c r="CL270" s="615"/>
      <c r="CM270" s="615"/>
      <c r="CN270" s="615"/>
      <c r="CO270" s="615"/>
      <c r="CP270" s="615"/>
      <c r="CQ270" s="615"/>
      <c r="CR270" s="615"/>
      <c r="CS270" s="615"/>
      <c r="CT270" s="635"/>
      <c r="CU270" s="636"/>
      <c r="CV270" s="615"/>
      <c r="CW270" s="615"/>
      <c r="CX270" s="615"/>
      <c r="CY270" s="615"/>
      <c r="CZ270" s="615"/>
      <c r="DA270" s="615"/>
      <c r="DB270" s="615"/>
      <c r="DC270" s="615"/>
      <c r="DD270" s="615"/>
      <c r="DE270" s="615"/>
      <c r="DF270" s="635"/>
      <c r="DG270" s="636"/>
      <c r="DH270" s="615"/>
      <c r="DI270" s="615"/>
      <c r="DJ270" s="615"/>
      <c r="DK270" s="615"/>
      <c r="DL270" s="615"/>
      <c r="DM270" s="615"/>
      <c r="DN270" s="615"/>
      <c r="DO270" s="615"/>
      <c r="DP270" s="615"/>
      <c r="DQ270" s="615"/>
      <c r="DR270" s="635"/>
      <c r="DS270" s="636"/>
      <c r="DT270" s="615"/>
      <c r="DU270" s="615"/>
      <c r="DV270" s="615"/>
      <c r="DW270" s="615"/>
      <c r="DX270" s="615"/>
      <c r="DY270" s="615"/>
      <c r="DZ270" s="615"/>
      <c r="EA270" s="615"/>
      <c r="EB270" s="615"/>
      <c r="EC270" s="615"/>
      <c r="ED270" s="637"/>
      <c r="EE270" s="692"/>
    </row>
    <row r="271" spans="1:135" x14ac:dyDescent="0.25">
      <c r="A271" s="640" t="s">
        <v>12</v>
      </c>
      <c r="B271" s="367" t="s">
        <v>1500</v>
      </c>
      <c r="C271" s="367" t="s">
        <v>469</v>
      </c>
      <c r="D271" s="367" t="s">
        <v>1505</v>
      </c>
      <c r="E271" s="503" t="s">
        <v>1491</v>
      </c>
      <c r="F271" s="570">
        <v>44650</v>
      </c>
      <c r="G271" s="85" t="s">
        <v>59</v>
      </c>
      <c r="H271" s="85" t="s">
        <v>92</v>
      </c>
      <c r="I271" s="85" t="s">
        <v>358</v>
      </c>
      <c r="J271" s="675" t="s">
        <v>358</v>
      </c>
      <c r="K271" s="85" t="s">
        <v>358</v>
      </c>
      <c r="L271" s="85" t="s">
        <v>40</v>
      </c>
      <c r="M271" s="85" t="s">
        <v>6</v>
      </c>
      <c r="N271" s="668" t="s">
        <v>44</v>
      </c>
      <c r="O271" s="669"/>
      <c r="P271" s="615"/>
      <c r="Q271" s="615">
        <v>1</v>
      </c>
      <c r="R271" s="615"/>
      <c r="S271" s="615"/>
      <c r="T271" s="615"/>
      <c r="U271" s="615"/>
      <c r="V271" s="615"/>
      <c r="W271" s="615"/>
      <c r="X271" s="615"/>
      <c r="Y271" s="615"/>
      <c r="Z271" s="635"/>
      <c r="AA271" s="636"/>
      <c r="AB271" s="615"/>
      <c r="AC271" s="615"/>
      <c r="AD271" s="615"/>
      <c r="AE271" s="615"/>
      <c r="AF271" s="615"/>
      <c r="AG271" s="615"/>
      <c r="AH271" s="615"/>
      <c r="AI271" s="615"/>
      <c r="AJ271" s="615"/>
      <c r="AK271" s="615"/>
      <c r="AL271" s="635"/>
      <c r="AM271" s="636"/>
      <c r="AN271" s="615"/>
      <c r="AO271" s="615"/>
      <c r="AP271" s="615"/>
      <c r="AQ271" s="615"/>
      <c r="AR271" s="615"/>
      <c r="AS271" s="615"/>
      <c r="AT271" s="615"/>
      <c r="AU271" s="615"/>
      <c r="AV271" s="615"/>
      <c r="AW271" s="615"/>
      <c r="AX271" s="635"/>
      <c r="AY271" s="636"/>
      <c r="AZ271" s="615"/>
      <c r="BA271" s="615"/>
      <c r="BB271" s="615"/>
      <c r="BC271" s="615"/>
      <c r="BD271" s="615"/>
      <c r="BE271" s="615"/>
      <c r="BF271" s="615"/>
      <c r="BG271" s="615"/>
      <c r="BH271" s="615"/>
      <c r="BI271" s="615"/>
      <c r="BJ271" s="635"/>
      <c r="BK271" s="636"/>
      <c r="BL271" s="615"/>
      <c r="BM271" s="615"/>
      <c r="BN271" s="615"/>
      <c r="BO271" s="615"/>
      <c r="BP271" s="615"/>
      <c r="BQ271" s="615"/>
      <c r="BR271" s="615"/>
      <c r="BS271" s="615"/>
      <c r="BT271" s="615"/>
      <c r="BU271" s="615"/>
      <c r="BV271" s="637"/>
      <c r="BW271" s="669"/>
      <c r="BX271" s="615"/>
      <c r="BY271" s="615">
        <v>253.7</v>
      </c>
      <c r="BZ271" s="615"/>
      <c r="CA271" s="615"/>
      <c r="CB271" s="615"/>
      <c r="CC271" s="615"/>
      <c r="CD271" s="615"/>
      <c r="CE271" s="615"/>
      <c r="CF271" s="615"/>
      <c r="CG271" s="615"/>
      <c r="CH271" s="635"/>
      <c r="CI271" s="636"/>
      <c r="CJ271" s="615"/>
      <c r="CK271" s="615"/>
      <c r="CL271" s="615"/>
      <c r="CM271" s="615"/>
      <c r="CN271" s="615"/>
      <c r="CO271" s="615"/>
      <c r="CP271" s="615"/>
      <c r="CQ271" s="615"/>
      <c r="CR271" s="615"/>
      <c r="CS271" s="615"/>
      <c r="CT271" s="635"/>
      <c r="CU271" s="636"/>
      <c r="CV271" s="615"/>
      <c r="CW271" s="615"/>
      <c r="CX271" s="615"/>
      <c r="CY271" s="615"/>
      <c r="CZ271" s="615"/>
      <c r="DA271" s="615"/>
      <c r="DB271" s="615"/>
      <c r="DC271" s="615"/>
      <c r="DD271" s="615"/>
      <c r="DE271" s="615"/>
      <c r="DF271" s="635"/>
      <c r="DG271" s="636"/>
      <c r="DH271" s="615"/>
      <c r="DI271" s="615"/>
      <c r="DJ271" s="615"/>
      <c r="DK271" s="615"/>
      <c r="DL271" s="615"/>
      <c r="DM271" s="615"/>
      <c r="DN271" s="615"/>
      <c r="DO271" s="615"/>
      <c r="DP271" s="615"/>
      <c r="DQ271" s="615"/>
      <c r="DR271" s="635"/>
      <c r="DS271" s="636"/>
      <c r="DT271" s="615"/>
      <c r="DU271" s="615"/>
      <c r="DV271" s="615"/>
      <c r="DW271" s="615"/>
      <c r="DX271" s="615"/>
      <c r="DY271" s="615"/>
      <c r="DZ271" s="615"/>
      <c r="EA271" s="615"/>
      <c r="EB271" s="615"/>
      <c r="EC271" s="615"/>
      <c r="ED271" s="637"/>
      <c r="EE271" s="692"/>
    </row>
    <row r="272" spans="1:135" x14ac:dyDescent="0.25">
      <c r="A272" s="640" t="s">
        <v>12</v>
      </c>
      <c r="B272" s="367" t="s">
        <v>1502</v>
      </c>
      <c r="C272" s="367" t="s">
        <v>1476</v>
      </c>
      <c r="D272" s="367" t="s">
        <v>1507</v>
      </c>
      <c r="E272" s="503" t="s">
        <v>1492</v>
      </c>
      <c r="F272" s="570">
        <v>44650</v>
      </c>
      <c r="G272" s="85" t="s">
        <v>59</v>
      </c>
      <c r="H272" s="85" t="s">
        <v>92</v>
      </c>
      <c r="I272" s="85" t="s">
        <v>358</v>
      </c>
      <c r="J272" s="675" t="s">
        <v>358</v>
      </c>
      <c r="K272" s="85" t="s">
        <v>358</v>
      </c>
      <c r="L272" s="85" t="s">
        <v>40</v>
      </c>
      <c r="M272" s="85" t="s">
        <v>5</v>
      </c>
      <c r="N272" s="668" t="s">
        <v>44</v>
      </c>
      <c r="O272" s="669"/>
      <c r="P272" s="615"/>
      <c r="Q272" s="615">
        <v>1</v>
      </c>
      <c r="R272" s="615"/>
      <c r="S272" s="615"/>
      <c r="T272" s="615"/>
      <c r="U272" s="615"/>
      <c r="V272" s="615"/>
      <c r="W272" s="615"/>
      <c r="X272" s="615"/>
      <c r="Y272" s="615"/>
      <c r="Z272" s="635"/>
      <c r="AA272" s="636"/>
      <c r="AB272" s="615"/>
      <c r="AC272" s="615"/>
      <c r="AD272" s="615"/>
      <c r="AE272" s="615"/>
      <c r="AF272" s="615"/>
      <c r="AG272" s="615"/>
      <c r="AH272" s="615"/>
      <c r="AI272" s="615"/>
      <c r="AJ272" s="615"/>
      <c r="AK272" s="615"/>
      <c r="AL272" s="635"/>
      <c r="AM272" s="636"/>
      <c r="AN272" s="615"/>
      <c r="AO272" s="615"/>
      <c r="AP272" s="615"/>
      <c r="AQ272" s="615"/>
      <c r="AR272" s="615"/>
      <c r="AS272" s="615"/>
      <c r="AT272" s="615"/>
      <c r="AU272" s="615"/>
      <c r="AV272" s="615"/>
      <c r="AW272" s="615"/>
      <c r="AX272" s="635"/>
      <c r="AY272" s="636"/>
      <c r="AZ272" s="615"/>
      <c r="BA272" s="615"/>
      <c r="BB272" s="615"/>
      <c r="BC272" s="615"/>
      <c r="BD272" s="615"/>
      <c r="BE272" s="615"/>
      <c r="BF272" s="615"/>
      <c r="BG272" s="615"/>
      <c r="BH272" s="615"/>
      <c r="BI272" s="615"/>
      <c r="BJ272" s="635"/>
      <c r="BK272" s="636"/>
      <c r="BL272" s="615"/>
      <c r="BM272" s="615"/>
      <c r="BN272" s="615"/>
      <c r="BO272" s="615"/>
      <c r="BP272" s="615"/>
      <c r="BQ272" s="615"/>
      <c r="BR272" s="615"/>
      <c r="BS272" s="615"/>
      <c r="BT272" s="615"/>
      <c r="BU272" s="615"/>
      <c r="BV272" s="637"/>
      <c r="BW272" s="669"/>
      <c r="BX272" s="615"/>
      <c r="BY272" s="615">
        <v>96.7</v>
      </c>
      <c r="BZ272" s="615"/>
      <c r="CA272" s="615"/>
      <c r="CB272" s="615"/>
      <c r="CC272" s="615"/>
      <c r="CD272" s="615"/>
      <c r="CE272" s="615"/>
      <c r="CF272" s="615"/>
      <c r="CG272" s="615"/>
      <c r="CH272" s="635"/>
      <c r="CI272" s="636"/>
      <c r="CJ272" s="615"/>
      <c r="CK272" s="615"/>
      <c r="CL272" s="615"/>
      <c r="CM272" s="615"/>
      <c r="CN272" s="615"/>
      <c r="CO272" s="615"/>
      <c r="CP272" s="615"/>
      <c r="CQ272" s="615"/>
      <c r="CR272" s="615"/>
      <c r="CS272" s="615"/>
      <c r="CT272" s="635"/>
      <c r="CU272" s="636"/>
      <c r="CV272" s="615"/>
      <c r="CW272" s="615"/>
      <c r="CX272" s="615"/>
      <c r="CY272" s="615"/>
      <c r="CZ272" s="615"/>
      <c r="DA272" s="615"/>
      <c r="DB272" s="615"/>
      <c r="DC272" s="615"/>
      <c r="DD272" s="615"/>
      <c r="DE272" s="615"/>
      <c r="DF272" s="635"/>
      <c r="DG272" s="636"/>
      <c r="DH272" s="615"/>
      <c r="DI272" s="615"/>
      <c r="DJ272" s="615"/>
      <c r="DK272" s="615"/>
      <c r="DL272" s="615"/>
      <c r="DM272" s="615"/>
      <c r="DN272" s="615"/>
      <c r="DO272" s="615"/>
      <c r="DP272" s="615"/>
      <c r="DQ272" s="615"/>
      <c r="DR272" s="635"/>
      <c r="DS272" s="636"/>
      <c r="DT272" s="615"/>
      <c r="DU272" s="615"/>
      <c r="DV272" s="615"/>
      <c r="DW272" s="615"/>
      <c r="DX272" s="615"/>
      <c r="DY272" s="615"/>
      <c r="DZ272" s="615"/>
      <c r="EA272" s="615"/>
      <c r="EB272" s="615"/>
      <c r="EC272" s="615"/>
      <c r="ED272" s="637"/>
      <c r="EE272" s="692"/>
    </row>
    <row r="273" spans="1:135" x14ac:dyDescent="0.25">
      <c r="A273" s="640" t="s">
        <v>12</v>
      </c>
      <c r="B273" s="367" t="s">
        <v>1504</v>
      </c>
      <c r="C273" s="367" t="s">
        <v>1476</v>
      </c>
      <c r="D273" s="367" t="s">
        <v>1509</v>
      </c>
      <c r="E273" s="503" t="s">
        <v>1493</v>
      </c>
      <c r="F273" s="570">
        <v>44650</v>
      </c>
      <c r="G273" s="85" t="s">
        <v>59</v>
      </c>
      <c r="H273" s="85" t="s">
        <v>92</v>
      </c>
      <c r="I273" s="85" t="s">
        <v>358</v>
      </c>
      <c r="J273" s="675" t="s">
        <v>358</v>
      </c>
      <c r="K273" s="85" t="s">
        <v>358</v>
      </c>
      <c r="L273" s="85" t="s">
        <v>40</v>
      </c>
      <c r="M273" s="85" t="s">
        <v>5</v>
      </c>
      <c r="N273" s="668" t="s">
        <v>44</v>
      </c>
      <c r="O273" s="669"/>
      <c r="P273" s="615"/>
      <c r="Q273" s="615">
        <v>2</v>
      </c>
      <c r="R273" s="615"/>
      <c r="S273" s="615"/>
      <c r="T273" s="615"/>
      <c r="U273" s="615"/>
      <c r="V273" s="615"/>
      <c r="W273" s="615"/>
      <c r="X273" s="615"/>
      <c r="Y273" s="615"/>
      <c r="Z273" s="635"/>
      <c r="AA273" s="636"/>
      <c r="AB273" s="615"/>
      <c r="AC273" s="615"/>
      <c r="AD273" s="615"/>
      <c r="AE273" s="615"/>
      <c r="AF273" s="615"/>
      <c r="AG273" s="615"/>
      <c r="AH273" s="615"/>
      <c r="AI273" s="615"/>
      <c r="AJ273" s="615"/>
      <c r="AK273" s="615"/>
      <c r="AL273" s="635"/>
      <c r="AM273" s="636"/>
      <c r="AN273" s="615"/>
      <c r="AO273" s="615"/>
      <c r="AP273" s="615"/>
      <c r="AQ273" s="615"/>
      <c r="AR273" s="615"/>
      <c r="AS273" s="615"/>
      <c r="AT273" s="615"/>
      <c r="AU273" s="615"/>
      <c r="AV273" s="615"/>
      <c r="AW273" s="615"/>
      <c r="AX273" s="635"/>
      <c r="AY273" s="636"/>
      <c r="AZ273" s="615"/>
      <c r="BA273" s="615"/>
      <c r="BB273" s="615"/>
      <c r="BC273" s="615"/>
      <c r="BD273" s="615"/>
      <c r="BE273" s="615"/>
      <c r="BF273" s="615"/>
      <c r="BG273" s="615"/>
      <c r="BH273" s="615"/>
      <c r="BI273" s="615"/>
      <c r="BJ273" s="635"/>
      <c r="BK273" s="636"/>
      <c r="BL273" s="615"/>
      <c r="BM273" s="615"/>
      <c r="BN273" s="615"/>
      <c r="BO273" s="615"/>
      <c r="BP273" s="615"/>
      <c r="BQ273" s="615"/>
      <c r="BR273" s="615"/>
      <c r="BS273" s="615"/>
      <c r="BT273" s="615"/>
      <c r="BU273" s="615"/>
      <c r="BV273" s="637"/>
      <c r="BW273" s="669"/>
      <c r="BX273" s="615"/>
      <c r="BY273" s="615">
        <v>96.7</v>
      </c>
      <c r="BZ273" s="615"/>
      <c r="CA273" s="615"/>
      <c r="CB273" s="615"/>
      <c r="CC273" s="615"/>
      <c r="CD273" s="615"/>
      <c r="CE273" s="615"/>
      <c r="CF273" s="615"/>
      <c r="CG273" s="615"/>
      <c r="CH273" s="635"/>
      <c r="CI273" s="636"/>
      <c r="CJ273" s="615"/>
      <c r="CK273" s="615"/>
      <c r="CL273" s="615"/>
      <c r="CM273" s="615"/>
      <c r="CN273" s="615"/>
      <c r="CO273" s="615"/>
      <c r="CP273" s="615"/>
      <c r="CQ273" s="615"/>
      <c r="CR273" s="615"/>
      <c r="CS273" s="615"/>
      <c r="CT273" s="635"/>
      <c r="CU273" s="636"/>
      <c r="CV273" s="615"/>
      <c r="CW273" s="615"/>
      <c r="CX273" s="615"/>
      <c r="CY273" s="615"/>
      <c r="CZ273" s="615"/>
      <c r="DA273" s="615"/>
      <c r="DB273" s="615"/>
      <c r="DC273" s="615"/>
      <c r="DD273" s="615"/>
      <c r="DE273" s="615"/>
      <c r="DF273" s="635"/>
      <c r="DG273" s="636"/>
      <c r="DH273" s="615"/>
      <c r="DI273" s="615"/>
      <c r="DJ273" s="615"/>
      <c r="DK273" s="615"/>
      <c r="DL273" s="615"/>
      <c r="DM273" s="615"/>
      <c r="DN273" s="615"/>
      <c r="DO273" s="615"/>
      <c r="DP273" s="615"/>
      <c r="DQ273" s="615"/>
      <c r="DR273" s="635"/>
      <c r="DS273" s="636"/>
      <c r="DT273" s="615"/>
      <c r="DU273" s="615"/>
      <c r="DV273" s="615"/>
      <c r="DW273" s="615"/>
      <c r="DX273" s="615"/>
      <c r="DY273" s="615"/>
      <c r="DZ273" s="615"/>
      <c r="EA273" s="615"/>
      <c r="EB273" s="615"/>
      <c r="EC273" s="615"/>
      <c r="ED273" s="637"/>
      <c r="EE273" s="692"/>
    </row>
    <row r="274" spans="1:135" x14ac:dyDescent="0.25">
      <c r="A274" s="640" t="s">
        <v>12</v>
      </c>
      <c r="B274" s="367" t="s">
        <v>1506</v>
      </c>
      <c r="C274" s="367" t="s">
        <v>476</v>
      </c>
      <c r="D274" s="367" t="s">
        <v>1511</v>
      </c>
      <c r="E274" s="503" t="s">
        <v>1494</v>
      </c>
      <c r="F274" s="570">
        <v>44650</v>
      </c>
      <c r="G274" s="85" t="s">
        <v>59</v>
      </c>
      <c r="H274" s="85" t="s">
        <v>92</v>
      </c>
      <c r="I274" s="85" t="s">
        <v>358</v>
      </c>
      <c r="J274" s="675" t="s">
        <v>358</v>
      </c>
      <c r="K274" s="85" t="s">
        <v>358</v>
      </c>
      <c r="L274" s="85" t="s">
        <v>40</v>
      </c>
      <c r="M274" s="85" t="s">
        <v>5</v>
      </c>
      <c r="N274" s="668" t="s">
        <v>44</v>
      </c>
      <c r="O274" s="669"/>
      <c r="P274" s="615"/>
      <c r="Q274" s="615">
        <v>2</v>
      </c>
      <c r="R274" s="615"/>
      <c r="S274" s="615"/>
      <c r="T274" s="615"/>
      <c r="U274" s="615"/>
      <c r="V274" s="615"/>
      <c r="W274" s="615"/>
      <c r="X274" s="615"/>
      <c r="Y274" s="615"/>
      <c r="Z274" s="635"/>
      <c r="AA274" s="636"/>
      <c r="AB274" s="615"/>
      <c r="AC274" s="615"/>
      <c r="AD274" s="615"/>
      <c r="AE274" s="615"/>
      <c r="AF274" s="615"/>
      <c r="AG274" s="615"/>
      <c r="AH274" s="615"/>
      <c r="AI274" s="615"/>
      <c r="AJ274" s="615"/>
      <c r="AK274" s="615"/>
      <c r="AL274" s="635"/>
      <c r="AM274" s="636"/>
      <c r="AN274" s="615"/>
      <c r="AO274" s="615"/>
      <c r="AP274" s="615"/>
      <c r="AQ274" s="615"/>
      <c r="AR274" s="615"/>
      <c r="AS274" s="615"/>
      <c r="AT274" s="615"/>
      <c r="AU274" s="615"/>
      <c r="AV274" s="615"/>
      <c r="AW274" s="615"/>
      <c r="AX274" s="635"/>
      <c r="AY274" s="636"/>
      <c r="AZ274" s="615"/>
      <c r="BA274" s="615"/>
      <c r="BB274" s="615"/>
      <c r="BC274" s="615"/>
      <c r="BD274" s="615"/>
      <c r="BE274" s="615"/>
      <c r="BF274" s="615"/>
      <c r="BG274" s="615"/>
      <c r="BH274" s="615"/>
      <c r="BI274" s="615"/>
      <c r="BJ274" s="635"/>
      <c r="BK274" s="636"/>
      <c r="BL274" s="615"/>
      <c r="BM274" s="615"/>
      <c r="BN274" s="615"/>
      <c r="BO274" s="615"/>
      <c r="BP274" s="615"/>
      <c r="BQ274" s="615"/>
      <c r="BR274" s="615"/>
      <c r="BS274" s="615"/>
      <c r="BT274" s="615"/>
      <c r="BU274" s="615"/>
      <c r="BV274" s="637"/>
      <c r="BW274" s="669"/>
      <c r="BX274" s="615"/>
      <c r="BY274" s="615">
        <v>96.7</v>
      </c>
      <c r="BZ274" s="615"/>
      <c r="CA274" s="615"/>
      <c r="CB274" s="615"/>
      <c r="CC274" s="615"/>
      <c r="CD274" s="615"/>
      <c r="CE274" s="615"/>
      <c r="CF274" s="615"/>
      <c r="CG274" s="615"/>
      <c r="CH274" s="635"/>
      <c r="CI274" s="636"/>
      <c r="CJ274" s="615"/>
      <c r="CK274" s="615"/>
      <c r="CL274" s="615"/>
      <c r="CM274" s="615"/>
      <c r="CN274" s="615"/>
      <c r="CO274" s="615"/>
      <c r="CP274" s="615"/>
      <c r="CQ274" s="615"/>
      <c r="CR274" s="615"/>
      <c r="CS274" s="615"/>
      <c r="CT274" s="635"/>
      <c r="CU274" s="636"/>
      <c r="CV274" s="615"/>
      <c r="CW274" s="615"/>
      <c r="CX274" s="615"/>
      <c r="CY274" s="615"/>
      <c r="CZ274" s="615"/>
      <c r="DA274" s="615"/>
      <c r="DB274" s="615"/>
      <c r="DC274" s="615"/>
      <c r="DD274" s="615"/>
      <c r="DE274" s="615"/>
      <c r="DF274" s="635"/>
      <c r="DG274" s="636"/>
      <c r="DH274" s="615"/>
      <c r="DI274" s="615"/>
      <c r="DJ274" s="615"/>
      <c r="DK274" s="615"/>
      <c r="DL274" s="615"/>
      <c r="DM274" s="615"/>
      <c r="DN274" s="615"/>
      <c r="DO274" s="615"/>
      <c r="DP274" s="615"/>
      <c r="DQ274" s="615"/>
      <c r="DR274" s="635"/>
      <c r="DS274" s="636"/>
      <c r="DT274" s="615"/>
      <c r="DU274" s="615"/>
      <c r="DV274" s="615"/>
      <c r="DW274" s="615"/>
      <c r="DX274" s="615"/>
      <c r="DY274" s="615"/>
      <c r="DZ274" s="615"/>
      <c r="EA274" s="615"/>
      <c r="EB274" s="615"/>
      <c r="EC274" s="615"/>
      <c r="ED274" s="637"/>
      <c r="EE274" s="692"/>
    </row>
    <row r="275" spans="1:135" x14ac:dyDescent="0.25">
      <c r="A275" s="640" t="s">
        <v>12</v>
      </c>
      <c r="B275" s="367" t="s">
        <v>1508</v>
      </c>
      <c r="C275" s="367" t="s">
        <v>1133</v>
      </c>
      <c r="D275" s="367" t="s">
        <v>1513</v>
      </c>
      <c r="E275" s="503" t="s">
        <v>1495</v>
      </c>
      <c r="F275" s="570">
        <v>44650</v>
      </c>
      <c r="G275" s="85" t="s">
        <v>59</v>
      </c>
      <c r="H275" s="85" t="s">
        <v>92</v>
      </c>
      <c r="I275" s="85" t="s">
        <v>358</v>
      </c>
      <c r="J275" s="675" t="s">
        <v>358</v>
      </c>
      <c r="K275" s="85" t="s">
        <v>358</v>
      </c>
      <c r="L275" s="85" t="s">
        <v>40</v>
      </c>
      <c r="M275" s="85" t="s">
        <v>5</v>
      </c>
      <c r="N275" s="668" t="s">
        <v>44</v>
      </c>
      <c r="O275" s="669"/>
      <c r="P275" s="615"/>
      <c r="Q275" s="615">
        <v>3</v>
      </c>
      <c r="R275" s="615"/>
      <c r="S275" s="615"/>
      <c r="T275" s="615"/>
      <c r="U275" s="615"/>
      <c r="V275" s="615"/>
      <c r="W275" s="615"/>
      <c r="X275" s="615"/>
      <c r="Y275" s="615"/>
      <c r="Z275" s="635"/>
      <c r="AA275" s="636"/>
      <c r="AB275" s="615"/>
      <c r="AC275" s="615"/>
      <c r="AD275" s="615"/>
      <c r="AE275" s="615"/>
      <c r="AF275" s="615"/>
      <c r="AG275" s="615"/>
      <c r="AH275" s="615"/>
      <c r="AI275" s="615"/>
      <c r="AJ275" s="615"/>
      <c r="AK275" s="615"/>
      <c r="AL275" s="635"/>
      <c r="AM275" s="636"/>
      <c r="AN275" s="615"/>
      <c r="AO275" s="615"/>
      <c r="AP275" s="615"/>
      <c r="AQ275" s="615"/>
      <c r="AR275" s="615"/>
      <c r="AS275" s="615"/>
      <c r="AT275" s="615"/>
      <c r="AU275" s="615"/>
      <c r="AV275" s="615"/>
      <c r="AW275" s="615"/>
      <c r="AX275" s="635"/>
      <c r="AY275" s="636"/>
      <c r="AZ275" s="615"/>
      <c r="BA275" s="615"/>
      <c r="BB275" s="615"/>
      <c r="BC275" s="615"/>
      <c r="BD275" s="615"/>
      <c r="BE275" s="615"/>
      <c r="BF275" s="615"/>
      <c r="BG275" s="615"/>
      <c r="BH275" s="615"/>
      <c r="BI275" s="615"/>
      <c r="BJ275" s="635"/>
      <c r="BK275" s="636"/>
      <c r="BL275" s="615"/>
      <c r="BM275" s="615"/>
      <c r="BN275" s="615"/>
      <c r="BO275" s="615"/>
      <c r="BP275" s="615"/>
      <c r="BQ275" s="615"/>
      <c r="BR275" s="615"/>
      <c r="BS275" s="615"/>
      <c r="BT275" s="615"/>
      <c r="BU275" s="615"/>
      <c r="BV275" s="637"/>
      <c r="BW275" s="669"/>
      <c r="BX275" s="615"/>
      <c r="BY275" s="615">
        <v>96.7</v>
      </c>
      <c r="BZ275" s="615"/>
      <c r="CA275" s="615"/>
      <c r="CB275" s="615"/>
      <c r="CC275" s="615"/>
      <c r="CD275" s="615"/>
      <c r="CE275" s="615"/>
      <c r="CF275" s="615"/>
      <c r="CG275" s="615"/>
      <c r="CH275" s="635"/>
      <c r="CI275" s="636"/>
      <c r="CJ275" s="615"/>
      <c r="CK275" s="615"/>
      <c r="CL275" s="615"/>
      <c r="CM275" s="615"/>
      <c r="CN275" s="615"/>
      <c r="CO275" s="615"/>
      <c r="CP275" s="615"/>
      <c r="CQ275" s="615"/>
      <c r="CR275" s="615"/>
      <c r="CS275" s="615"/>
      <c r="CT275" s="635"/>
      <c r="CU275" s="636"/>
      <c r="CV275" s="615"/>
      <c r="CW275" s="615"/>
      <c r="CX275" s="615"/>
      <c r="CY275" s="615"/>
      <c r="CZ275" s="615"/>
      <c r="DA275" s="615"/>
      <c r="DB275" s="615"/>
      <c r="DC275" s="615"/>
      <c r="DD275" s="615"/>
      <c r="DE275" s="615"/>
      <c r="DF275" s="635"/>
      <c r="DG275" s="636"/>
      <c r="DH275" s="615"/>
      <c r="DI275" s="615"/>
      <c r="DJ275" s="615"/>
      <c r="DK275" s="615"/>
      <c r="DL275" s="615"/>
      <c r="DM275" s="615"/>
      <c r="DN275" s="615"/>
      <c r="DO275" s="615"/>
      <c r="DP275" s="615"/>
      <c r="DQ275" s="615"/>
      <c r="DR275" s="635"/>
      <c r="DS275" s="636"/>
      <c r="DT275" s="615"/>
      <c r="DU275" s="615"/>
      <c r="DV275" s="615"/>
      <c r="DW275" s="615"/>
      <c r="DX275" s="615"/>
      <c r="DY275" s="615"/>
      <c r="DZ275" s="615"/>
      <c r="EA275" s="615"/>
      <c r="EB275" s="615"/>
      <c r="EC275" s="615"/>
      <c r="ED275" s="637"/>
      <c r="EE275" s="692"/>
    </row>
    <row r="276" spans="1:135" x14ac:dyDescent="0.25">
      <c r="A276" s="640" t="s">
        <v>12</v>
      </c>
      <c r="B276" s="367" t="s">
        <v>1510</v>
      </c>
      <c r="C276" s="367" t="s">
        <v>531</v>
      </c>
      <c r="D276" s="367" t="s">
        <v>1522</v>
      </c>
      <c r="E276" s="503" t="s">
        <v>1514</v>
      </c>
      <c r="F276" s="570">
        <v>44651</v>
      </c>
      <c r="G276" s="85" t="s">
        <v>59</v>
      </c>
      <c r="H276" s="85" t="s">
        <v>92</v>
      </c>
      <c r="I276" s="85" t="s">
        <v>358</v>
      </c>
      <c r="J276" s="675" t="s">
        <v>358</v>
      </c>
      <c r="K276" s="85" t="s">
        <v>358</v>
      </c>
      <c r="L276" s="85" t="s">
        <v>40</v>
      </c>
      <c r="M276" s="85" t="s">
        <v>6</v>
      </c>
      <c r="N276" s="668" t="s">
        <v>44</v>
      </c>
      <c r="O276" s="669"/>
      <c r="P276" s="615"/>
      <c r="Q276" s="615">
        <v>2</v>
      </c>
      <c r="R276" s="615"/>
      <c r="S276" s="615"/>
      <c r="T276" s="615"/>
      <c r="U276" s="615"/>
      <c r="V276" s="615"/>
      <c r="W276" s="615"/>
      <c r="X276" s="615"/>
      <c r="Y276" s="615"/>
      <c r="Z276" s="635"/>
      <c r="AA276" s="636"/>
      <c r="AB276" s="615"/>
      <c r="AC276" s="615"/>
      <c r="AD276" s="615"/>
      <c r="AE276" s="615"/>
      <c r="AF276" s="615"/>
      <c r="AG276" s="615"/>
      <c r="AH276" s="615"/>
      <c r="AI276" s="615"/>
      <c r="AJ276" s="615"/>
      <c r="AK276" s="615"/>
      <c r="AL276" s="635"/>
      <c r="AM276" s="636"/>
      <c r="AN276" s="615"/>
      <c r="AO276" s="615"/>
      <c r="AP276" s="615"/>
      <c r="AQ276" s="615"/>
      <c r="AR276" s="615"/>
      <c r="AS276" s="615"/>
      <c r="AT276" s="615"/>
      <c r="AU276" s="615"/>
      <c r="AV276" s="615"/>
      <c r="AW276" s="615"/>
      <c r="AX276" s="635"/>
      <c r="AY276" s="636"/>
      <c r="AZ276" s="615"/>
      <c r="BA276" s="615"/>
      <c r="BB276" s="615"/>
      <c r="BC276" s="615"/>
      <c r="BD276" s="615"/>
      <c r="BE276" s="615"/>
      <c r="BF276" s="615"/>
      <c r="BG276" s="615"/>
      <c r="BH276" s="615"/>
      <c r="BI276" s="615"/>
      <c r="BJ276" s="635"/>
      <c r="BK276" s="636"/>
      <c r="BL276" s="615"/>
      <c r="BM276" s="615"/>
      <c r="BN276" s="615"/>
      <c r="BO276" s="615"/>
      <c r="BP276" s="615"/>
      <c r="BQ276" s="615"/>
      <c r="BR276" s="615"/>
      <c r="BS276" s="615"/>
      <c r="BT276" s="615"/>
      <c r="BU276" s="615"/>
      <c r="BV276" s="637"/>
      <c r="BW276" s="669"/>
      <c r="BX276" s="615"/>
      <c r="BY276" s="615">
        <v>254.2</v>
      </c>
      <c r="BZ276" s="615"/>
      <c r="CA276" s="615"/>
      <c r="CB276" s="615"/>
      <c r="CC276" s="615"/>
      <c r="CD276" s="615"/>
      <c r="CE276" s="615"/>
      <c r="CF276" s="615"/>
      <c r="CG276" s="615"/>
      <c r="CH276" s="635"/>
      <c r="CI276" s="636"/>
      <c r="CJ276" s="615"/>
      <c r="CK276" s="615"/>
      <c r="CL276" s="615"/>
      <c r="CM276" s="615"/>
      <c r="CN276" s="615"/>
      <c r="CO276" s="615"/>
      <c r="CP276" s="615"/>
      <c r="CQ276" s="615"/>
      <c r="CR276" s="615"/>
      <c r="CS276" s="615"/>
      <c r="CT276" s="635"/>
      <c r="CU276" s="636"/>
      <c r="CV276" s="615"/>
      <c r="CW276" s="615"/>
      <c r="CX276" s="615"/>
      <c r="CY276" s="615"/>
      <c r="CZ276" s="615"/>
      <c r="DA276" s="615"/>
      <c r="DB276" s="615"/>
      <c r="DC276" s="615"/>
      <c r="DD276" s="615"/>
      <c r="DE276" s="615"/>
      <c r="DF276" s="635"/>
      <c r="DG276" s="636"/>
      <c r="DH276" s="615"/>
      <c r="DI276" s="615"/>
      <c r="DJ276" s="615"/>
      <c r="DK276" s="615"/>
      <c r="DL276" s="615"/>
      <c r="DM276" s="615"/>
      <c r="DN276" s="615"/>
      <c r="DO276" s="615"/>
      <c r="DP276" s="615"/>
      <c r="DQ276" s="615"/>
      <c r="DR276" s="635"/>
      <c r="DS276" s="636"/>
      <c r="DT276" s="615"/>
      <c r="DU276" s="615"/>
      <c r="DV276" s="615"/>
      <c r="DW276" s="615"/>
      <c r="DX276" s="615"/>
      <c r="DY276" s="615"/>
      <c r="DZ276" s="615"/>
      <c r="EA276" s="615"/>
      <c r="EB276" s="615"/>
      <c r="EC276" s="615"/>
      <c r="ED276" s="637"/>
      <c r="EE276" s="692"/>
    </row>
    <row r="277" spans="1:135" x14ac:dyDescent="0.25">
      <c r="A277" s="640" t="s">
        <v>12</v>
      </c>
      <c r="B277" s="367" t="s">
        <v>1512</v>
      </c>
      <c r="C277" s="367" t="s">
        <v>1520</v>
      </c>
      <c r="D277" s="367" t="s">
        <v>1524</v>
      </c>
      <c r="E277" s="503" t="s">
        <v>1515</v>
      </c>
      <c r="F277" s="570">
        <v>44651</v>
      </c>
      <c r="G277" s="85" t="s">
        <v>59</v>
      </c>
      <c r="H277" s="85" t="s">
        <v>92</v>
      </c>
      <c r="I277" s="85" t="s">
        <v>358</v>
      </c>
      <c r="J277" s="675" t="s">
        <v>358</v>
      </c>
      <c r="K277" s="85" t="s">
        <v>358</v>
      </c>
      <c r="L277" s="85" t="s">
        <v>40</v>
      </c>
      <c r="M277" s="85" t="s">
        <v>5</v>
      </c>
      <c r="N277" s="668" t="s">
        <v>44</v>
      </c>
      <c r="O277" s="669"/>
      <c r="P277" s="615"/>
      <c r="Q277" s="615">
        <v>2</v>
      </c>
      <c r="R277" s="615"/>
      <c r="S277" s="615"/>
      <c r="T277" s="615"/>
      <c r="U277" s="615"/>
      <c r="V277" s="615"/>
      <c r="W277" s="615"/>
      <c r="X277" s="615"/>
      <c r="Y277" s="615"/>
      <c r="Z277" s="635"/>
      <c r="AA277" s="636"/>
      <c r="AB277" s="615"/>
      <c r="AC277" s="615"/>
      <c r="AD277" s="615"/>
      <c r="AE277" s="615"/>
      <c r="AF277" s="615"/>
      <c r="AG277" s="615"/>
      <c r="AH277" s="615"/>
      <c r="AI277" s="615"/>
      <c r="AJ277" s="615"/>
      <c r="AK277" s="615"/>
      <c r="AL277" s="635"/>
      <c r="AM277" s="636"/>
      <c r="AN277" s="615"/>
      <c r="AO277" s="615"/>
      <c r="AP277" s="615"/>
      <c r="AQ277" s="615"/>
      <c r="AR277" s="615"/>
      <c r="AS277" s="615"/>
      <c r="AT277" s="615"/>
      <c r="AU277" s="615"/>
      <c r="AV277" s="615"/>
      <c r="AW277" s="615"/>
      <c r="AX277" s="635"/>
      <c r="AY277" s="636"/>
      <c r="AZ277" s="615"/>
      <c r="BA277" s="615"/>
      <c r="BB277" s="615"/>
      <c r="BC277" s="615"/>
      <c r="BD277" s="615"/>
      <c r="BE277" s="615"/>
      <c r="BF277" s="615"/>
      <c r="BG277" s="615"/>
      <c r="BH277" s="615"/>
      <c r="BI277" s="615"/>
      <c r="BJ277" s="635"/>
      <c r="BK277" s="636"/>
      <c r="BL277" s="615"/>
      <c r="BM277" s="615"/>
      <c r="BN277" s="615"/>
      <c r="BO277" s="615"/>
      <c r="BP277" s="615"/>
      <c r="BQ277" s="615"/>
      <c r="BR277" s="615"/>
      <c r="BS277" s="615"/>
      <c r="BT277" s="615"/>
      <c r="BU277" s="615"/>
      <c r="BV277" s="637"/>
      <c r="BW277" s="669"/>
      <c r="BX277" s="615"/>
      <c r="BY277" s="615">
        <v>96.7</v>
      </c>
      <c r="BZ277" s="615"/>
      <c r="CA277" s="615"/>
      <c r="CB277" s="615"/>
      <c r="CC277" s="615"/>
      <c r="CD277" s="615"/>
      <c r="CE277" s="615"/>
      <c r="CF277" s="615"/>
      <c r="CG277" s="615"/>
      <c r="CH277" s="635"/>
      <c r="CI277" s="636"/>
      <c r="CJ277" s="615"/>
      <c r="CK277" s="615"/>
      <c r="CL277" s="615"/>
      <c r="CM277" s="615"/>
      <c r="CN277" s="615"/>
      <c r="CO277" s="615"/>
      <c r="CP277" s="615"/>
      <c r="CQ277" s="615"/>
      <c r="CR277" s="615"/>
      <c r="CS277" s="615"/>
      <c r="CT277" s="635"/>
      <c r="CU277" s="636"/>
      <c r="CV277" s="615"/>
      <c r="CW277" s="615"/>
      <c r="CX277" s="615"/>
      <c r="CY277" s="615"/>
      <c r="CZ277" s="615"/>
      <c r="DA277" s="615"/>
      <c r="DB277" s="615"/>
      <c r="DC277" s="615"/>
      <c r="DD277" s="615"/>
      <c r="DE277" s="615"/>
      <c r="DF277" s="635"/>
      <c r="DG277" s="636"/>
      <c r="DH277" s="615"/>
      <c r="DI277" s="615"/>
      <c r="DJ277" s="615"/>
      <c r="DK277" s="615"/>
      <c r="DL277" s="615"/>
      <c r="DM277" s="615"/>
      <c r="DN277" s="615"/>
      <c r="DO277" s="615"/>
      <c r="DP277" s="615"/>
      <c r="DQ277" s="615"/>
      <c r="DR277" s="635"/>
      <c r="DS277" s="636"/>
      <c r="DT277" s="615"/>
      <c r="DU277" s="615"/>
      <c r="DV277" s="615"/>
      <c r="DW277" s="615"/>
      <c r="DX277" s="615"/>
      <c r="DY277" s="615"/>
      <c r="DZ277" s="615"/>
      <c r="EA277" s="615"/>
      <c r="EB277" s="615"/>
      <c r="EC277" s="615"/>
      <c r="ED277" s="637"/>
      <c r="EE277" s="692"/>
    </row>
    <row r="278" spans="1:135" x14ac:dyDescent="0.25">
      <c r="A278" s="640" t="s">
        <v>12</v>
      </c>
      <c r="B278" s="367" t="s">
        <v>1521</v>
      </c>
      <c r="C278" s="367" t="s">
        <v>1476</v>
      </c>
      <c r="D278" s="367" t="s">
        <v>1528</v>
      </c>
      <c r="E278" s="503" t="s">
        <v>1518</v>
      </c>
      <c r="F278" s="570">
        <v>44651</v>
      </c>
      <c r="G278" s="85" t="s">
        <v>59</v>
      </c>
      <c r="H278" s="85" t="s">
        <v>92</v>
      </c>
      <c r="I278" s="85" t="s">
        <v>358</v>
      </c>
      <c r="J278" s="675" t="s">
        <v>358</v>
      </c>
      <c r="K278" s="85" t="s">
        <v>358</v>
      </c>
      <c r="L278" s="85" t="s">
        <v>40</v>
      </c>
      <c r="M278" s="85" t="s">
        <v>5</v>
      </c>
      <c r="N278" s="668" t="s">
        <v>44</v>
      </c>
      <c r="O278" s="669"/>
      <c r="P278" s="615"/>
      <c r="Q278" s="615">
        <v>10</v>
      </c>
      <c r="R278" s="615"/>
      <c r="S278" s="615"/>
      <c r="T278" s="615"/>
      <c r="U278" s="615"/>
      <c r="V278" s="615"/>
      <c r="W278" s="615"/>
      <c r="X278" s="615"/>
      <c r="Y278" s="615"/>
      <c r="Z278" s="635"/>
      <c r="AA278" s="636"/>
      <c r="AB278" s="615"/>
      <c r="AC278" s="615"/>
      <c r="AD278" s="615"/>
      <c r="AE278" s="615"/>
      <c r="AF278" s="615"/>
      <c r="AG278" s="615"/>
      <c r="AH278" s="615"/>
      <c r="AI278" s="615"/>
      <c r="AJ278" s="615"/>
      <c r="AK278" s="615"/>
      <c r="AL278" s="635"/>
      <c r="AM278" s="636"/>
      <c r="AN278" s="615"/>
      <c r="AO278" s="615"/>
      <c r="AP278" s="615"/>
      <c r="AQ278" s="615"/>
      <c r="AR278" s="615"/>
      <c r="AS278" s="615"/>
      <c r="AT278" s="615"/>
      <c r="AU278" s="615"/>
      <c r="AV278" s="615"/>
      <c r="AW278" s="615"/>
      <c r="AX278" s="635"/>
      <c r="AY278" s="636"/>
      <c r="AZ278" s="615"/>
      <c r="BA278" s="615"/>
      <c r="BB278" s="615"/>
      <c r="BC278" s="615"/>
      <c r="BD278" s="615"/>
      <c r="BE278" s="615"/>
      <c r="BF278" s="615"/>
      <c r="BG278" s="615"/>
      <c r="BH278" s="615"/>
      <c r="BI278" s="615"/>
      <c r="BJ278" s="635"/>
      <c r="BK278" s="636"/>
      <c r="BL278" s="615"/>
      <c r="BM278" s="615"/>
      <c r="BN278" s="615"/>
      <c r="BO278" s="615"/>
      <c r="BP278" s="615"/>
      <c r="BQ278" s="615"/>
      <c r="BR278" s="615"/>
      <c r="BS278" s="615"/>
      <c r="BT278" s="615"/>
      <c r="BU278" s="615"/>
      <c r="BV278" s="637"/>
      <c r="BW278" s="669"/>
      <c r="BX278" s="615"/>
      <c r="BY278" s="615">
        <v>96.7</v>
      </c>
      <c r="BZ278" s="615"/>
      <c r="CA278" s="615"/>
      <c r="CB278" s="615"/>
      <c r="CC278" s="615"/>
      <c r="CD278" s="615"/>
      <c r="CE278" s="615"/>
      <c r="CF278" s="615"/>
      <c r="CG278" s="615"/>
      <c r="CH278" s="635"/>
      <c r="CI278" s="636"/>
      <c r="CJ278" s="615"/>
      <c r="CK278" s="615"/>
      <c r="CL278" s="615"/>
      <c r="CM278" s="615"/>
      <c r="CN278" s="615"/>
      <c r="CO278" s="615"/>
      <c r="CP278" s="615"/>
      <c r="CQ278" s="615"/>
      <c r="CR278" s="615"/>
      <c r="CS278" s="615"/>
      <c r="CT278" s="635"/>
      <c r="CU278" s="636"/>
      <c r="CV278" s="615"/>
      <c r="CW278" s="615"/>
      <c r="CX278" s="615"/>
      <c r="CY278" s="615"/>
      <c r="CZ278" s="615"/>
      <c r="DA278" s="615"/>
      <c r="DB278" s="615"/>
      <c r="DC278" s="615"/>
      <c r="DD278" s="615"/>
      <c r="DE278" s="615"/>
      <c r="DF278" s="635"/>
      <c r="DG278" s="636"/>
      <c r="DH278" s="615"/>
      <c r="DI278" s="615"/>
      <c r="DJ278" s="615"/>
      <c r="DK278" s="615"/>
      <c r="DL278" s="615"/>
      <c r="DM278" s="615"/>
      <c r="DN278" s="615"/>
      <c r="DO278" s="615"/>
      <c r="DP278" s="615"/>
      <c r="DQ278" s="615"/>
      <c r="DR278" s="635"/>
      <c r="DS278" s="636"/>
      <c r="DT278" s="615"/>
      <c r="DU278" s="615"/>
      <c r="DV278" s="615"/>
      <c r="DW278" s="615"/>
      <c r="DX278" s="615"/>
      <c r="DY278" s="615"/>
      <c r="DZ278" s="615"/>
      <c r="EA278" s="615"/>
      <c r="EB278" s="615"/>
      <c r="EC278" s="615"/>
      <c r="ED278" s="637"/>
      <c r="EE278" s="692"/>
    </row>
    <row r="279" spans="1:135" x14ac:dyDescent="0.25">
      <c r="A279" s="640" t="s">
        <v>12</v>
      </c>
      <c r="B279" s="367" t="s">
        <v>1523</v>
      </c>
      <c r="C279" s="367" t="s">
        <v>511</v>
      </c>
      <c r="D279" s="367" t="s">
        <v>1542</v>
      </c>
      <c r="E279" s="503" t="s">
        <v>1536</v>
      </c>
      <c r="F279" s="570">
        <v>44655</v>
      </c>
      <c r="G279" s="85" t="s">
        <v>59</v>
      </c>
      <c r="H279" s="85" t="s">
        <v>92</v>
      </c>
      <c r="I279" s="85" t="s">
        <v>358</v>
      </c>
      <c r="J279" s="675" t="s">
        <v>358</v>
      </c>
      <c r="K279" s="85" t="s">
        <v>358</v>
      </c>
      <c r="L279" s="85" t="s">
        <v>40</v>
      </c>
      <c r="M279" s="85" t="s">
        <v>6</v>
      </c>
      <c r="N279" s="668" t="s">
        <v>44</v>
      </c>
      <c r="O279" s="669"/>
      <c r="P279" s="615"/>
      <c r="Q279" s="615">
        <v>1.24</v>
      </c>
      <c r="R279" s="615"/>
      <c r="S279" s="615"/>
      <c r="T279" s="615"/>
      <c r="U279" s="615"/>
      <c r="V279" s="615"/>
      <c r="W279" s="615"/>
      <c r="X279" s="615"/>
      <c r="Y279" s="615"/>
      <c r="Z279" s="635"/>
      <c r="AA279" s="636"/>
      <c r="AB279" s="615"/>
      <c r="AC279" s="615"/>
      <c r="AD279" s="615"/>
      <c r="AE279" s="615"/>
      <c r="AF279" s="615"/>
      <c r="AG279" s="615"/>
      <c r="AH279" s="615"/>
      <c r="AI279" s="615"/>
      <c r="AJ279" s="615"/>
      <c r="AK279" s="615"/>
      <c r="AL279" s="635"/>
      <c r="AM279" s="636"/>
      <c r="AN279" s="615"/>
      <c r="AO279" s="615"/>
      <c r="AP279" s="615"/>
      <c r="AQ279" s="615"/>
      <c r="AR279" s="615"/>
      <c r="AS279" s="615"/>
      <c r="AT279" s="615"/>
      <c r="AU279" s="615"/>
      <c r="AV279" s="615"/>
      <c r="AW279" s="615"/>
      <c r="AX279" s="635"/>
      <c r="AY279" s="636"/>
      <c r="AZ279" s="615"/>
      <c r="BA279" s="615"/>
      <c r="BB279" s="615"/>
      <c r="BC279" s="615"/>
      <c r="BD279" s="615"/>
      <c r="BE279" s="615"/>
      <c r="BF279" s="615"/>
      <c r="BG279" s="615"/>
      <c r="BH279" s="615"/>
      <c r="BI279" s="615"/>
      <c r="BJ279" s="635"/>
      <c r="BK279" s="636"/>
      <c r="BL279" s="615"/>
      <c r="BM279" s="615"/>
      <c r="BN279" s="615"/>
      <c r="BO279" s="615"/>
      <c r="BP279" s="615"/>
      <c r="BQ279" s="615"/>
      <c r="BR279" s="615"/>
      <c r="BS279" s="615"/>
      <c r="BT279" s="615"/>
      <c r="BU279" s="615"/>
      <c r="BV279" s="637"/>
      <c r="BW279" s="669"/>
      <c r="BX279" s="615"/>
      <c r="BY279" s="615">
        <v>253.7</v>
      </c>
      <c r="BZ279" s="615"/>
      <c r="CA279" s="615"/>
      <c r="CB279" s="615"/>
      <c r="CC279" s="615"/>
      <c r="CD279" s="615"/>
      <c r="CE279" s="615"/>
      <c r="CF279" s="615"/>
      <c r="CG279" s="615"/>
      <c r="CH279" s="635"/>
      <c r="CI279" s="636"/>
      <c r="CJ279" s="615"/>
      <c r="CK279" s="615"/>
      <c r="CL279" s="615"/>
      <c r="CM279" s="615"/>
      <c r="CN279" s="615"/>
      <c r="CO279" s="615"/>
      <c r="CP279" s="615"/>
      <c r="CQ279" s="615"/>
      <c r="CR279" s="615"/>
      <c r="CS279" s="615"/>
      <c r="CT279" s="635"/>
      <c r="CU279" s="636"/>
      <c r="CV279" s="615"/>
      <c r="CW279" s="615"/>
      <c r="CX279" s="615"/>
      <c r="CY279" s="615"/>
      <c r="CZ279" s="615"/>
      <c r="DA279" s="615"/>
      <c r="DB279" s="615"/>
      <c r="DC279" s="615"/>
      <c r="DD279" s="615"/>
      <c r="DE279" s="615"/>
      <c r="DF279" s="635"/>
      <c r="DG279" s="636"/>
      <c r="DH279" s="615"/>
      <c r="DI279" s="615"/>
      <c r="DJ279" s="615"/>
      <c r="DK279" s="615"/>
      <c r="DL279" s="615"/>
      <c r="DM279" s="615"/>
      <c r="DN279" s="615"/>
      <c r="DO279" s="615"/>
      <c r="DP279" s="615"/>
      <c r="DQ279" s="615"/>
      <c r="DR279" s="635"/>
      <c r="DS279" s="636"/>
      <c r="DT279" s="615"/>
      <c r="DU279" s="615"/>
      <c r="DV279" s="615"/>
      <c r="DW279" s="615"/>
      <c r="DX279" s="615"/>
      <c r="DY279" s="615"/>
      <c r="DZ279" s="615"/>
      <c r="EA279" s="615"/>
      <c r="EB279" s="615"/>
      <c r="EC279" s="615"/>
      <c r="ED279" s="637"/>
      <c r="EE279" s="692"/>
    </row>
    <row r="280" spans="1:135" x14ac:dyDescent="0.25">
      <c r="A280" s="640" t="s">
        <v>12</v>
      </c>
      <c r="B280" s="367" t="s">
        <v>1527</v>
      </c>
      <c r="C280" s="367" t="s">
        <v>466</v>
      </c>
      <c r="D280" s="367" t="s">
        <v>1544</v>
      </c>
      <c r="E280" s="503" t="s">
        <v>1537</v>
      </c>
      <c r="F280" s="570">
        <v>44655</v>
      </c>
      <c r="G280" s="85" t="s">
        <v>59</v>
      </c>
      <c r="H280" s="85" t="s">
        <v>92</v>
      </c>
      <c r="I280" s="85" t="s">
        <v>358</v>
      </c>
      <c r="J280" s="675" t="s">
        <v>358</v>
      </c>
      <c r="K280" s="85" t="s">
        <v>358</v>
      </c>
      <c r="L280" s="85" t="s">
        <v>40</v>
      </c>
      <c r="M280" s="85" t="s">
        <v>6</v>
      </c>
      <c r="N280" s="668" t="s">
        <v>44</v>
      </c>
      <c r="O280" s="669"/>
      <c r="P280" s="615"/>
      <c r="Q280" s="615">
        <v>0.3</v>
      </c>
      <c r="R280" s="615"/>
      <c r="S280" s="615"/>
      <c r="T280" s="615"/>
      <c r="U280" s="615"/>
      <c r="V280" s="615"/>
      <c r="W280" s="615"/>
      <c r="X280" s="615"/>
      <c r="Y280" s="615"/>
      <c r="Z280" s="635"/>
      <c r="AA280" s="636"/>
      <c r="AB280" s="615"/>
      <c r="AC280" s="615"/>
      <c r="AD280" s="615"/>
      <c r="AE280" s="615"/>
      <c r="AF280" s="615"/>
      <c r="AG280" s="615"/>
      <c r="AH280" s="615"/>
      <c r="AI280" s="615"/>
      <c r="AJ280" s="615"/>
      <c r="AK280" s="615"/>
      <c r="AL280" s="635"/>
      <c r="AM280" s="636"/>
      <c r="AN280" s="615"/>
      <c r="AO280" s="615"/>
      <c r="AP280" s="615"/>
      <c r="AQ280" s="615"/>
      <c r="AR280" s="615"/>
      <c r="AS280" s="615"/>
      <c r="AT280" s="615"/>
      <c r="AU280" s="615"/>
      <c r="AV280" s="615"/>
      <c r="AW280" s="615"/>
      <c r="AX280" s="635"/>
      <c r="AY280" s="636"/>
      <c r="AZ280" s="615"/>
      <c r="BA280" s="615"/>
      <c r="BB280" s="615"/>
      <c r="BC280" s="615"/>
      <c r="BD280" s="615"/>
      <c r="BE280" s="615"/>
      <c r="BF280" s="615"/>
      <c r="BG280" s="615"/>
      <c r="BH280" s="615"/>
      <c r="BI280" s="615"/>
      <c r="BJ280" s="635"/>
      <c r="BK280" s="636"/>
      <c r="BL280" s="615"/>
      <c r="BM280" s="615"/>
      <c r="BN280" s="615"/>
      <c r="BO280" s="615"/>
      <c r="BP280" s="615"/>
      <c r="BQ280" s="615"/>
      <c r="BR280" s="615"/>
      <c r="BS280" s="615"/>
      <c r="BT280" s="615"/>
      <c r="BU280" s="615"/>
      <c r="BV280" s="637"/>
      <c r="BW280" s="669"/>
      <c r="BX280" s="615"/>
      <c r="BY280" s="615">
        <v>256.7</v>
      </c>
      <c r="BZ280" s="615"/>
      <c r="CA280" s="615"/>
      <c r="CB280" s="615"/>
      <c r="CC280" s="615"/>
      <c r="CD280" s="615"/>
      <c r="CE280" s="615"/>
      <c r="CF280" s="615"/>
      <c r="CG280" s="615"/>
      <c r="CH280" s="635"/>
      <c r="CI280" s="636"/>
      <c r="CJ280" s="615"/>
      <c r="CK280" s="615"/>
      <c r="CL280" s="615"/>
      <c r="CM280" s="615"/>
      <c r="CN280" s="615"/>
      <c r="CO280" s="615"/>
      <c r="CP280" s="615"/>
      <c r="CQ280" s="615"/>
      <c r="CR280" s="615"/>
      <c r="CS280" s="615"/>
      <c r="CT280" s="635"/>
      <c r="CU280" s="636"/>
      <c r="CV280" s="615"/>
      <c r="CW280" s="615"/>
      <c r="CX280" s="615"/>
      <c r="CY280" s="615"/>
      <c r="CZ280" s="615"/>
      <c r="DA280" s="615"/>
      <c r="DB280" s="615"/>
      <c r="DC280" s="615"/>
      <c r="DD280" s="615"/>
      <c r="DE280" s="615"/>
      <c r="DF280" s="635"/>
      <c r="DG280" s="636"/>
      <c r="DH280" s="615"/>
      <c r="DI280" s="615"/>
      <c r="DJ280" s="615"/>
      <c r="DK280" s="615"/>
      <c r="DL280" s="615"/>
      <c r="DM280" s="615"/>
      <c r="DN280" s="615"/>
      <c r="DO280" s="615"/>
      <c r="DP280" s="615"/>
      <c r="DQ280" s="615"/>
      <c r="DR280" s="635"/>
      <c r="DS280" s="636"/>
      <c r="DT280" s="615"/>
      <c r="DU280" s="615"/>
      <c r="DV280" s="615"/>
      <c r="DW280" s="615"/>
      <c r="DX280" s="615"/>
      <c r="DY280" s="615"/>
      <c r="DZ280" s="615"/>
      <c r="EA280" s="615"/>
      <c r="EB280" s="615"/>
      <c r="EC280" s="615"/>
      <c r="ED280" s="637"/>
      <c r="EE280" s="692"/>
    </row>
    <row r="281" spans="1:135" x14ac:dyDescent="0.25">
      <c r="A281" s="640" t="s">
        <v>12</v>
      </c>
      <c r="B281" s="367" t="s">
        <v>1541</v>
      </c>
      <c r="C281" s="367" t="s">
        <v>1540</v>
      </c>
      <c r="D281" s="367" t="s">
        <v>1546</v>
      </c>
      <c r="E281" s="503" t="s">
        <v>1538</v>
      </c>
      <c r="F281" s="570">
        <v>44655</v>
      </c>
      <c r="G281" s="85" t="s">
        <v>59</v>
      </c>
      <c r="H281" s="85" t="s">
        <v>92</v>
      </c>
      <c r="I281" s="85" t="s">
        <v>358</v>
      </c>
      <c r="J281" s="675" t="s">
        <v>358</v>
      </c>
      <c r="K281" s="85" t="s">
        <v>358</v>
      </c>
      <c r="L281" s="85" t="s">
        <v>40</v>
      </c>
      <c r="M281" s="85" t="s">
        <v>6</v>
      </c>
      <c r="N281" s="668" t="s">
        <v>44</v>
      </c>
      <c r="O281" s="669"/>
      <c r="P281" s="615"/>
      <c r="Q281" s="615">
        <v>1</v>
      </c>
      <c r="R281" s="615"/>
      <c r="S281" s="615"/>
      <c r="T281" s="615"/>
      <c r="U281" s="615"/>
      <c r="V281" s="615"/>
      <c r="W281" s="615"/>
      <c r="X281" s="615"/>
      <c r="Y281" s="615"/>
      <c r="Z281" s="635"/>
      <c r="AA281" s="636"/>
      <c r="AB281" s="615"/>
      <c r="AC281" s="615"/>
      <c r="AD281" s="615"/>
      <c r="AE281" s="615"/>
      <c r="AF281" s="615"/>
      <c r="AG281" s="615"/>
      <c r="AH281" s="615"/>
      <c r="AI281" s="615"/>
      <c r="AJ281" s="615"/>
      <c r="AK281" s="615"/>
      <c r="AL281" s="635"/>
      <c r="AM281" s="636"/>
      <c r="AN281" s="615"/>
      <c r="AO281" s="615"/>
      <c r="AP281" s="615"/>
      <c r="AQ281" s="615"/>
      <c r="AR281" s="615"/>
      <c r="AS281" s="615"/>
      <c r="AT281" s="615"/>
      <c r="AU281" s="615"/>
      <c r="AV281" s="615"/>
      <c r="AW281" s="615"/>
      <c r="AX281" s="635"/>
      <c r="AY281" s="636"/>
      <c r="AZ281" s="615"/>
      <c r="BA281" s="615"/>
      <c r="BB281" s="615"/>
      <c r="BC281" s="615"/>
      <c r="BD281" s="615"/>
      <c r="BE281" s="615"/>
      <c r="BF281" s="615"/>
      <c r="BG281" s="615"/>
      <c r="BH281" s="615"/>
      <c r="BI281" s="615"/>
      <c r="BJ281" s="635"/>
      <c r="BK281" s="636"/>
      <c r="BL281" s="615"/>
      <c r="BM281" s="615"/>
      <c r="BN281" s="615"/>
      <c r="BO281" s="615"/>
      <c r="BP281" s="615"/>
      <c r="BQ281" s="615"/>
      <c r="BR281" s="615"/>
      <c r="BS281" s="615"/>
      <c r="BT281" s="615"/>
      <c r="BU281" s="615"/>
      <c r="BV281" s="637"/>
      <c r="BW281" s="669"/>
      <c r="BX281" s="615"/>
      <c r="BY281" s="615">
        <v>253.7</v>
      </c>
      <c r="BZ281" s="615"/>
      <c r="CA281" s="615"/>
      <c r="CB281" s="615"/>
      <c r="CC281" s="615"/>
      <c r="CD281" s="615"/>
      <c r="CE281" s="615"/>
      <c r="CF281" s="615"/>
      <c r="CG281" s="615"/>
      <c r="CH281" s="635"/>
      <c r="CI281" s="636"/>
      <c r="CJ281" s="615"/>
      <c r="CK281" s="615"/>
      <c r="CL281" s="615"/>
      <c r="CM281" s="615"/>
      <c r="CN281" s="615"/>
      <c r="CO281" s="615"/>
      <c r="CP281" s="615"/>
      <c r="CQ281" s="615"/>
      <c r="CR281" s="615"/>
      <c r="CS281" s="615"/>
      <c r="CT281" s="635"/>
      <c r="CU281" s="636"/>
      <c r="CV281" s="615"/>
      <c r="CW281" s="615"/>
      <c r="CX281" s="615"/>
      <c r="CY281" s="615"/>
      <c r="CZ281" s="615"/>
      <c r="DA281" s="615"/>
      <c r="DB281" s="615"/>
      <c r="DC281" s="615"/>
      <c r="DD281" s="615"/>
      <c r="DE281" s="615"/>
      <c r="DF281" s="635"/>
      <c r="DG281" s="636"/>
      <c r="DH281" s="615"/>
      <c r="DI281" s="615"/>
      <c r="DJ281" s="615"/>
      <c r="DK281" s="615"/>
      <c r="DL281" s="615"/>
      <c r="DM281" s="615"/>
      <c r="DN281" s="615"/>
      <c r="DO281" s="615"/>
      <c r="DP281" s="615"/>
      <c r="DQ281" s="615"/>
      <c r="DR281" s="635"/>
      <c r="DS281" s="636"/>
      <c r="DT281" s="615"/>
      <c r="DU281" s="615"/>
      <c r="DV281" s="615"/>
      <c r="DW281" s="615"/>
      <c r="DX281" s="615"/>
      <c r="DY281" s="615"/>
      <c r="DZ281" s="615"/>
      <c r="EA281" s="615"/>
      <c r="EB281" s="615"/>
      <c r="EC281" s="615"/>
      <c r="ED281" s="637"/>
      <c r="EE281" s="692"/>
    </row>
    <row r="282" spans="1:135" x14ac:dyDescent="0.25">
      <c r="A282" s="640" t="s">
        <v>12</v>
      </c>
      <c r="B282" s="367" t="s">
        <v>1543</v>
      </c>
      <c r="C282" s="367" t="s">
        <v>502</v>
      </c>
      <c r="D282" s="367" t="s">
        <v>1548</v>
      </c>
      <c r="E282" s="503" t="s">
        <v>1539</v>
      </c>
      <c r="F282" s="570">
        <v>44655</v>
      </c>
      <c r="G282" s="85" t="s">
        <v>59</v>
      </c>
      <c r="H282" s="85" t="s">
        <v>92</v>
      </c>
      <c r="I282" s="85" t="s">
        <v>358</v>
      </c>
      <c r="J282" s="675" t="s">
        <v>358</v>
      </c>
      <c r="K282" s="85" t="s">
        <v>358</v>
      </c>
      <c r="L282" s="85" t="s">
        <v>40</v>
      </c>
      <c r="M282" s="85" t="s">
        <v>6</v>
      </c>
      <c r="N282" s="668" t="s">
        <v>44</v>
      </c>
      <c r="O282" s="669"/>
      <c r="P282" s="615"/>
      <c r="Q282" s="615">
        <v>2.8</v>
      </c>
      <c r="R282" s="615"/>
      <c r="S282" s="615"/>
      <c r="T282" s="615"/>
      <c r="U282" s="615"/>
      <c r="V282" s="615"/>
      <c r="W282" s="615"/>
      <c r="X282" s="615"/>
      <c r="Y282" s="615"/>
      <c r="Z282" s="635"/>
      <c r="AA282" s="636"/>
      <c r="AB282" s="615"/>
      <c r="AC282" s="615"/>
      <c r="AD282" s="615"/>
      <c r="AE282" s="615"/>
      <c r="AF282" s="615"/>
      <c r="AG282" s="615"/>
      <c r="AH282" s="615"/>
      <c r="AI282" s="615"/>
      <c r="AJ282" s="615"/>
      <c r="AK282" s="615"/>
      <c r="AL282" s="635"/>
      <c r="AM282" s="636"/>
      <c r="AN282" s="615"/>
      <c r="AO282" s="615"/>
      <c r="AP282" s="615"/>
      <c r="AQ282" s="615"/>
      <c r="AR282" s="615"/>
      <c r="AS282" s="615"/>
      <c r="AT282" s="615"/>
      <c r="AU282" s="615"/>
      <c r="AV282" s="615"/>
      <c r="AW282" s="615"/>
      <c r="AX282" s="635"/>
      <c r="AY282" s="636"/>
      <c r="AZ282" s="615"/>
      <c r="BA282" s="615"/>
      <c r="BB282" s="615"/>
      <c r="BC282" s="615"/>
      <c r="BD282" s="615"/>
      <c r="BE282" s="615"/>
      <c r="BF282" s="615"/>
      <c r="BG282" s="615"/>
      <c r="BH282" s="615"/>
      <c r="BI282" s="615"/>
      <c r="BJ282" s="635"/>
      <c r="BK282" s="636"/>
      <c r="BL282" s="615"/>
      <c r="BM282" s="615"/>
      <c r="BN282" s="615"/>
      <c r="BO282" s="615"/>
      <c r="BP282" s="615"/>
      <c r="BQ282" s="615"/>
      <c r="BR282" s="615"/>
      <c r="BS282" s="615"/>
      <c r="BT282" s="615"/>
      <c r="BU282" s="615"/>
      <c r="BV282" s="637"/>
      <c r="BW282" s="669"/>
      <c r="BX282" s="615"/>
      <c r="BY282" s="615">
        <v>253.7</v>
      </c>
      <c r="BZ282" s="615"/>
      <c r="CA282" s="615"/>
      <c r="CB282" s="615"/>
      <c r="CC282" s="615"/>
      <c r="CD282" s="615"/>
      <c r="CE282" s="615"/>
      <c r="CF282" s="615"/>
      <c r="CG282" s="615"/>
      <c r="CH282" s="635"/>
      <c r="CI282" s="636"/>
      <c r="CJ282" s="615"/>
      <c r="CK282" s="615"/>
      <c r="CL282" s="615"/>
      <c r="CM282" s="615"/>
      <c r="CN282" s="615"/>
      <c r="CO282" s="615"/>
      <c r="CP282" s="615"/>
      <c r="CQ282" s="615"/>
      <c r="CR282" s="615"/>
      <c r="CS282" s="615"/>
      <c r="CT282" s="635"/>
      <c r="CU282" s="636"/>
      <c r="CV282" s="615"/>
      <c r="CW282" s="615"/>
      <c r="CX282" s="615"/>
      <c r="CY282" s="615"/>
      <c r="CZ282" s="615"/>
      <c r="DA282" s="615"/>
      <c r="DB282" s="615"/>
      <c r="DC282" s="615"/>
      <c r="DD282" s="615"/>
      <c r="DE282" s="615"/>
      <c r="DF282" s="635"/>
      <c r="DG282" s="636"/>
      <c r="DH282" s="615"/>
      <c r="DI282" s="615"/>
      <c r="DJ282" s="615"/>
      <c r="DK282" s="615"/>
      <c r="DL282" s="615"/>
      <c r="DM282" s="615"/>
      <c r="DN282" s="615"/>
      <c r="DO282" s="615"/>
      <c r="DP282" s="615"/>
      <c r="DQ282" s="615"/>
      <c r="DR282" s="635"/>
      <c r="DS282" s="636"/>
      <c r="DT282" s="615"/>
      <c r="DU282" s="615"/>
      <c r="DV282" s="615"/>
      <c r="DW282" s="615"/>
      <c r="DX282" s="615"/>
      <c r="DY282" s="615"/>
      <c r="DZ282" s="615"/>
      <c r="EA282" s="615"/>
      <c r="EB282" s="615"/>
      <c r="EC282" s="615"/>
      <c r="ED282" s="637"/>
      <c r="EE282" s="692"/>
    </row>
    <row r="283" spans="1:135" x14ac:dyDescent="0.25">
      <c r="A283" s="640" t="s">
        <v>12</v>
      </c>
      <c r="B283" s="367" t="s">
        <v>1545</v>
      </c>
      <c r="C283" s="367" t="s">
        <v>620</v>
      </c>
      <c r="D283" s="367" t="s">
        <v>1556</v>
      </c>
      <c r="E283" s="503" t="s">
        <v>1549</v>
      </c>
      <c r="F283" s="570">
        <v>44656</v>
      </c>
      <c r="G283" s="85" t="s">
        <v>59</v>
      </c>
      <c r="H283" s="85" t="s">
        <v>92</v>
      </c>
      <c r="I283" s="85" t="s">
        <v>358</v>
      </c>
      <c r="J283" s="675" t="s">
        <v>358</v>
      </c>
      <c r="K283" s="85" t="s">
        <v>358</v>
      </c>
      <c r="L283" s="85" t="s">
        <v>40</v>
      </c>
      <c r="M283" s="85" t="s">
        <v>5</v>
      </c>
      <c r="N283" s="668" t="s">
        <v>44</v>
      </c>
      <c r="O283" s="669"/>
      <c r="P283" s="615"/>
      <c r="Q283" s="615">
        <v>2</v>
      </c>
      <c r="R283" s="615"/>
      <c r="S283" s="615"/>
      <c r="T283" s="615"/>
      <c r="U283" s="615"/>
      <c r="V283" s="615"/>
      <c r="W283" s="615"/>
      <c r="X283" s="615"/>
      <c r="Y283" s="615"/>
      <c r="Z283" s="635"/>
      <c r="AA283" s="636"/>
      <c r="AB283" s="615"/>
      <c r="AC283" s="615"/>
      <c r="AD283" s="615"/>
      <c r="AE283" s="615"/>
      <c r="AF283" s="615"/>
      <c r="AG283" s="615"/>
      <c r="AH283" s="615"/>
      <c r="AI283" s="615"/>
      <c r="AJ283" s="615"/>
      <c r="AK283" s="615"/>
      <c r="AL283" s="635"/>
      <c r="AM283" s="636"/>
      <c r="AN283" s="615"/>
      <c r="AO283" s="615"/>
      <c r="AP283" s="615"/>
      <c r="AQ283" s="615"/>
      <c r="AR283" s="615"/>
      <c r="AS283" s="615"/>
      <c r="AT283" s="615"/>
      <c r="AU283" s="615"/>
      <c r="AV283" s="615"/>
      <c r="AW283" s="615"/>
      <c r="AX283" s="635"/>
      <c r="AY283" s="636"/>
      <c r="AZ283" s="615"/>
      <c r="BA283" s="615"/>
      <c r="BB283" s="615"/>
      <c r="BC283" s="615"/>
      <c r="BD283" s="615"/>
      <c r="BE283" s="615"/>
      <c r="BF283" s="615"/>
      <c r="BG283" s="615"/>
      <c r="BH283" s="615"/>
      <c r="BI283" s="615"/>
      <c r="BJ283" s="635"/>
      <c r="BK283" s="636"/>
      <c r="BL283" s="615"/>
      <c r="BM283" s="615"/>
      <c r="BN283" s="615"/>
      <c r="BO283" s="615"/>
      <c r="BP283" s="615"/>
      <c r="BQ283" s="615"/>
      <c r="BR283" s="615"/>
      <c r="BS283" s="615"/>
      <c r="BT283" s="615"/>
      <c r="BU283" s="615"/>
      <c r="BV283" s="637"/>
      <c r="BW283" s="669"/>
      <c r="BX283" s="615"/>
      <c r="BY283" s="615">
        <v>95.7</v>
      </c>
      <c r="BZ283" s="615"/>
      <c r="CA283" s="615"/>
      <c r="CB283" s="615"/>
      <c r="CC283" s="615"/>
      <c r="CD283" s="615"/>
      <c r="CE283" s="615"/>
      <c r="CF283" s="615"/>
      <c r="CG283" s="615"/>
      <c r="CH283" s="635"/>
      <c r="CI283" s="636"/>
      <c r="CJ283" s="615"/>
      <c r="CK283" s="615"/>
      <c r="CL283" s="615"/>
      <c r="CM283" s="615"/>
      <c r="CN283" s="615"/>
      <c r="CO283" s="615"/>
      <c r="CP283" s="615"/>
      <c r="CQ283" s="615"/>
      <c r="CR283" s="615"/>
      <c r="CS283" s="615"/>
      <c r="CT283" s="635"/>
      <c r="CU283" s="636"/>
      <c r="CV283" s="615"/>
      <c r="CW283" s="615"/>
      <c r="CX283" s="615"/>
      <c r="CY283" s="615"/>
      <c r="CZ283" s="615"/>
      <c r="DA283" s="615"/>
      <c r="DB283" s="615"/>
      <c r="DC283" s="615"/>
      <c r="DD283" s="615"/>
      <c r="DE283" s="615"/>
      <c r="DF283" s="635"/>
      <c r="DG283" s="636"/>
      <c r="DH283" s="615"/>
      <c r="DI283" s="615"/>
      <c r="DJ283" s="615"/>
      <c r="DK283" s="615"/>
      <c r="DL283" s="615"/>
      <c r="DM283" s="615"/>
      <c r="DN283" s="615"/>
      <c r="DO283" s="615"/>
      <c r="DP283" s="615"/>
      <c r="DQ283" s="615"/>
      <c r="DR283" s="635"/>
      <c r="DS283" s="636"/>
      <c r="DT283" s="615"/>
      <c r="DU283" s="615"/>
      <c r="DV283" s="615"/>
      <c r="DW283" s="615"/>
      <c r="DX283" s="615"/>
      <c r="DY283" s="615"/>
      <c r="DZ283" s="615"/>
      <c r="EA283" s="615"/>
      <c r="EB283" s="615"/>
      <c r="EC283" s="615"/>
      <c r="ED283" s="637"/>
      <c r="EE283" s="692"/>
    </row>
    <row r="284" spans="1:135" x14ac:dyDescent="0.25">
      <c r="A284" s="640" t="s">
        <v>12</v>
      </c>
      <c r="B284" s="367" t="s">
        <v>1547</v>
      </c>
      <c r="C284" s="367" t="s">
        <v>620</v>
      </c>
      <c r="D284" s="367" t="s">
        <v>1557</v>
      </c>
      <c r="E284" s="503" t="s">
        <v>1550</v>
      </c>
      <c r="F284" s="570">
        <v>44656</v>
      </c>
      <c r="G284" s="85" t="s">
        <v>59</v>
      </c>
      <c r="H284" s="85" t="s">
        <v>92</v>
      </c>
      <c r="I284" s="85" t="s">
        <v>358</v>
      </c>
      <c r="J284" s="675" t="s">
        <v>358</v>
      </c>
      <c r="K284" s="85" t="s">
        <v>358</v>
      </c>
      <c r="L284" s="85" t="s">
        <v>40</v>
      </c>
      <c r="M284" s="85" t="s">
        <v>5</v>
      </c>
      <c r="N284" s="668" t="s">
        <v>44</v>
      </c>
      <c r="O284" s="669"/>
      <c r="P284" s="615"/>
      <c r="Q284" s="615">
        <v>2</v>
      </c>
      <c r="R284" s="615"/>
      <c r="S284" s="615"/>
      <c r="T284" s="615"/>
      <c r="U284" s="615"/>
      <c r="V284" s="615"/>
      <c r="W284" s="615"/>
      <c r="X284" s="615"/>
      <c r="Y284" s="615"/>
      <c r="Z284" s="635"/>
      <c r="AA284" s="636"/>
      <c r="AB284" s="615"/>
      <c r="AC284" s="615"/>
      <c r="AD284" s="615"/>
      <c r="AE284" s="615"/>
      <c r="AF284" s="615"/>
      <c r="AG284" s="615"/>
      <c r="AH284" s="615"/>
      <c r="AI284" s="615"/>
      <c r="AJ284" s="615"/>
      <c r="AK284" s="615"/>
      <c r="AL284" s="635"/>
      <c r="AM284" s="636"/>
      <c r="AN284" s="615"/>
      <c r="AO284" s="615"/>
      <c r="AP284" s="615"/>
      <c r="AQ284" s="615"/>
      <c r="AR284" s="615"/>
      <c r="AS284" s="615"/>
      <c r="AT284" s="615"/>
      <c r="AU284" s="615"/>
      <c r="AV284" s="615"/>
      <c r="AW284" s="615"/>
      <c r="AX284" s="635"/>
      <c r="AY284" s="636"/>
      <c r="AZ284" s="615"/>
      <c r="BA284" s="615"/>
      <c r="BB284" s="615"/>
      <c r="BC284" s="615"/>
      <c r="BD284" s="615"/>
      <c r="BE284" s="615"/>
      <c r="BF284" s="615"/>
      <c r="BG284" s="615"/>
      <c r="BH284" s="615"/>
      <c r="BI284" s="615"/>
      <c r="BJ284" s="635"/>
      <c r="BK284" s="636"/>
      <c r="BL284" s="615"/>
      <c r="BM284" s="615"/>
      <c r="BN284" s="615"/>
      <c r="BO284" s="615"/>
      <c r="BP284" s="615"/>
      <c r="BQ284" s="615"/>
      <c r="BR284" s="615"/>
      <c r="BS284" s="615"/>
      <c r="BT284" s="615"/>
      <c r="BU284" s="615"/>
      <c r="BV284" s="637"/>
      <c r="BW284" s="669"/>
      <c r="BX284" s="615"/>
      <c r="BY284" s="615">
        <v>95.7</v>
      </c>
      <c r="BZ284" s="615"/>
      <c r="CA284" s="615"/>
      <c r="CB284" s="615"/>
      <c r="CC284" s="615"/>
      <c r="CD284" s="615"/>
      <c r="CE284" s="615"/>
      <c r="CF284" s="615"/>
      <c r="CG284" s="615"/>
      <c r="CH284" s="635"/>
      <c r="CI284" s="636"/>
      <c r="CJ284" s="615"/>
      <c r="CK284" s="615"/>
      <c r="CL284" s="615"/>
      <c r="CM284" s="615"/>
      <c r="CN284" s="615"/>
      <c r="CO284" s="615"/>
      <c r="CP284" s="615"/>
      <c r="CQ284" s="615"/>
      <c r="CR284" s="615"/>
      <c r="CS284" s="615"/>
      <c r="CT284" s="635"/>
      <c r="CU284" s="636"/>
      <c r="CV284" s="615"/>
      <c r="CW284" s="615"/>
      <c r="CX284" s="615"/>
      <c r="CY284" s="615"/>
      <c r="CZ284" s="615"/>
      <c r="DA284" s="615"/>
      <c r="DB284" s="615"/>
      <c r="DC284" s="615"/>
      <c r="DD284" s="615"/>
      <c r="DE284" s="615"/>
      <c r="DF284" s="635"/>
      <c r="DG284" s="636"/>
      <c r="DH284" s="615"/>
      <c r="DI284" s="615"/>
      <c r="DJ284" s="615"/>
      <c r="DK284" s="615"/>
      <c r="DL284" s="615"/>
      <c r="DM284" s="615"/>
      <c r="DN284" s="615"/>
      <c r="DO284" s="615"/>
      <c r="DP284" s="615"/>
      <c r="DQ284" s="615"/>
      <c r="DR284" s="635"/>
      <c r="DS284" s="636"/>
      <c r="DT284" s="615"/>
      <c r="DU284" s="615"/>
      <c r="DV284" s="615"/>
      <c r="DW284" s="615"/>
      <c r="DX284" s="615"/>
      <c r="DY284" s="615"/>
      <c r="DZ284" s="615"/>
      <c r="EA284" s="615"/>
      <c r="EB284" s="615"/>
      <c r="EC284" s="615"/>
      <c r="ED284" s="637"/>
      <c r="EE284" s="692"/>
    </row>
    <row r="285" spans="1:135" x14ac:dyDescent="0.25">
      <c r="A285" s="640" t="s">
        <v>12</v>
      </c>
      <c r="B285" s="367" t="s">
        <v>1558</v>
      </c>
      <c r="C285" s="367" t="s">
        <v>1540</v>
      </c>
      <c r="D285" s="367" t="s">
        <v>1559</v>
      </c>
      <c r="E285" s="503" t="s">
        <v>1551</v>
      </c>
      <c r="F285" s="570">
        <v>44656</v>
      </c>
      <c r="G285" s="85" t="s">
        <v>59</v>
      </c>
      <c r="H285" s="85" t="s">
        <v>92</v>
      </c>
      <c r="I285" s="85" t="s">
        <v>358</v>
      </c>
      <c r="J285" s="675" t="s">
        <v>358</v>
      </c>
      <c r="K285" s="85" t="s">
        <v>358</v>
      </c>
      <c r="L285" s="85" t="s">
        <v>40</v>
      </c>
      <c r="M285" s="85" t="s">
        <v>6</v>
      </c>
      <c r="N285" s="668" t="s">
        <v>44</v>
      </c>
      <c r="O285" s="669"/>
      <c r="P285" s="615"/>
      <c r="Q285" s="615">
        <v>0.2</v>
      </c>
      <c r="R285" s="615"/>
      <c r="S285" s="615"/>
      <c r="T285" s="615"/>
      <c r="U285" s="615"/>
      <c r="V285" s="615"/>
      <c r="W285" s="615"/>
      <c r="X285" s="615"/>
      <c r="Y285" s="615"/>
      <c r="Z285" s="635"/>
      <c r="AA285" s="636"/>
      <c r="AB285" s="615"/>
      <c r="AC285" s="615"/>
      <c r="AD285" s="615"/>
      <c r="AE285" s="615"/>
      <c r="AF285" s="615"/>
      <c r="AG285" s="615"/>
      <c r="AH285" s="615"/>
      <c r="AI285" s="615"/>
      <c r="AJ285" s="615"/>
      <c r="AK285" s="615"/>
      <c r="AL285" s="635"/>
      <c r="AM285" s="636"/>
      <c r="AN285" s="615"/>
      <c r="AO285" s="615"/>
      <c r="AP285" s="615"/>
      <c r="AQ285" s="615"/>
      <c r="AR285" s="615"/>
      <c r="AS285" s="615"/>
      <c r="AT285" s="615"/>
      <c r="AU285" s="615"/>
      <c r="AV285" s="615"/>
      <c r="AW285" s="615"/>
      <c r="AX285" s="635"/>
      <c r="AY285" s="636"/>
      <c r="AZ285" s="615"/>
      <c r="BA285" s="615"/>
      <c r="BB285" s="615"/>
      <c r="BC285" s="615"/>
      <c r="BD285" s="615"/>
      <c r="BE285" s="615"/>
      <c r="BF285" s="615"/>
      <c r="BG285" s="615"/>
      <c r="BH285" s="615"/>
      <c r="BI285" s="615"/>
      <c r="BJ285" s="635"/>
      <c r="BK285" s="636"/>
      <c r="BL285" s="615"/>
      <c r="BM285" s="615"/>
      <c r="BN285" s="615"/>
      <c r="BO285" s="615"/>
      <c r="BP285" s="615"/>
      <c r="BQ285" s="615"/>
      <c r="BR285" s="615"/>
      <c r="BS285" s="615"/>
      <c r="BT285" s="615"/>
      <c r="BU285" s="615"/>
      <c r="BV285" s="637"/>
      <c r="BW285" s="669"/>
      <c r="BX285" s="615"/>
      <c r="BY285" s="615">
        <v>253.7</v>
      </c>
      <c r="BZ285" s="615"/>
      <c r="CA285" s="615"/>
      <c r="CB285" s="615"/>
      <c r="CC285" s="615"/>
      <c r="CD285" s="615"/>
      <c r="CE285" s="615"/>
      <c r="CF285" s="615"/>
      <c r="CG285" s="615"/>
      <c r="CH285" s="635"/>
      <c r="CI285" s="636"/>
      <c r="CJ285" s="615"/>
      <c r="CK285" s="615"/>
      <c r="CL285" s="615"/>
      <c r="CM285" s="615"/>
      <c r="CN285" s="615"/>
      <c r="CO285" s="615"/>
      <c r="CP285" s="615"/>
      <c r="CQ285" s="615"/>
      <c r="CR285" s="615"/>
      <c r="CS285" s="615"/>
      <c r="CT285" s="635"/>
      <c r="CU285" s="636"/>
      <c r="CV285" s="615"/>
      <c r="CW285" s="615"/>
      <c r="CX285" s="615"/>
      <c r="CY285" s="615"/>
      <c r="CZ285" s="615"/>
      <c r="DA285" s="615"/>
      <c r="DB285" s="615"/>
      <c r="DC285" s="615"/>
      <c r="DD285" s="615"/>
      <c r="DE285" s="615"/>
      <c r="DF285" s="635"/>
      <c r="DG285" s="636"/>
      <c r="DH285" s="615"/>
      <c r="DI285" s="615"/>
      <c r="DJ285" s="615"/>
      <c r="DK285" s="615"/>
      <c r="DL285" s="615"/>
      <c r="DM285" s="615"/>
      <c r="DN285" s="615"/>
      <c r="DO285" s="615"/>
      <c r="DP285" s="615"/>
      <c r="DQ285" s="615"/>
      <c r="DR285" s="635"/>
      <c r="DS285" s="636"/>
      <c r="DT285" s="615"/>
      <c r="DU285" s="615"/>
      <c r="DV285" s="615"/>
      <c r="DW285" s="615"/>
      <c r="DX285" s="615"/>
      <c r="DY285" s="615"/>
      <c r="DZ285" s="615"/>
      <c r="EA285" s="615"/>
      <c r="EB285" s="615"/>
      <c r="EC285" s="615"/>
      <c r="ED285" s="637"/>
      <c r="EE285" s="692"/>
    </row>
    <row r="286" spans="1:135" x14ac:dyDescent="0.25">
      <c r="A286" s="640" t="s">
        <v>12</v>
      </c>
      <c r="B286" s="367" t="s">
        <v>1560</v>
      </c>
      <c r="C286" s="367" t="s">
        <v>411</v>
      </c>
      <c r="D286" s="367" t="s">
        <v>1561</v>
      </c>
      <c r="E286" s="503" t="s">
        <v>1552</v>
      </c>
      <c r="F286" s="570">
        <v>44656</v>
      </c>
      <c r="G286" s="85" t="s">
        <v>59</v>
      </c>
      <c r="H286" s="85" t="s">
        <v>92</v>
      </c>
      <c r="I286" s="85" t="s">
        <v>358</v>
      </c>
      <c r="J286" s="675" t="s">
        <v>358</v>
      </c>
      <c r="K286" s="85" t="s">
        <v>358</v>
      </c>
      <c r="L286" s="85" t="s">
        <v>40</v>
      </c>
      <c r="M286" s="85" t="s">
        <v>5</v>
      </c>
      <c r="N286" s="668" t="s">
        <v>44</v>
      </c>
      <c r="O286" s="669"/>
      <c r="P286" s="615"/>
      <c r="Q286" s="615">
        <v>1.9</v>
      </c>
      <c r="R286" s="615"/>
      <c r="S286" s="615"/>
      <c r="T286" s="615"/>
      <c r="U286" s="615"/>
      <c r="V286" s="615"/>
      <c r="W286" s="615"/>
      <c r="X286" s="615"/>
      <c r="Y286" s="615"/>
      <c r="Z286" s="635"/>
      <c r="AA286" s="636"/>
      <c r="AB286" s="615"/>
      <c r="AC286" s="615"/>
      <c r="AD286" s="615"/>
      <c r="AE286" s="615"/>
      <c r="AF286" s="615"/>
      <c r="AG286" s="615"/>
      <c r="AH286" s="615"/>
      <c r="AI286" s="615"/>
      <c r="AJ286" s="615"/>
      <c r="AK286" s="615"/>
      <c r="AL286" s="635"/>
      <c r="AM286" s="636"/>
      <c r="AN286" s="615"/>
      <c r="AO286" s="615"/>
      <c r="AP286" s="615"/>
      <c r="AQ286" s="615"/>
      <c r="AR286" s="615"/>
      <c r="AS286" s="615"/>
      <c r="AT286" s="615"/>
      <c r="AU286" s="615"/>
      <c r="AV286" s="615"/>
      <c r="AW286" s="615"/>
      <c r="AX286" s="635"/>
      <c r="AY286" s="636"/>
      <c r="AZ286" s="615"/>
      <c r="BA286" s="615"/>
      <c r="BB286" s="615"/>
      <c r="BC286" s="615"/>
      <c r="BD286" s="615"/>
      <c r="BE286" s="615"/>
      <c r="BF286" s="615"/>
      <c r="BG286" s="615"/>
      <c r="BH286" s="615"/>
      <c r="BI286" s="615"/>
      <c r="BJ286" s="635"/>
      <c r="BK286" s="636"/>
      <c r="BL286" s="615"/>
      <c r="BM286" s="615"/>
      <c r="BN286" s="615"/>
      <c r="BO286" s="615"/>
      <c r="BP286" s="615"/>
      <c r="BQ286" s="615"/>
      <c r="BR286" s="615"/>
      <c r="BS286" s="615"/>
      <c r="BT286" s="615"/>
      <c r="BU286" s="615"/>
      <c r="BV286" s="637"/>
      <c r="BW286" s="669"/>
      <c r="BX286" s="615"/>
      <c r="BY286" s="615">
        <v>95.7</v>
      </c>
      <c r="BZ286" s="615"/>
      <c r="CA286" s="615"/>
      <c r="CB286" s="615"/>
      <c r="CC286" s="615"/>
      <c r="CD286" s="615"/>
      <c r="CE286" s="615"/>
      <c r="CF286" s="615"/>
      <c r="CG286" s="615"/>
      <c r="CH286" s="635"/>
      <c r="CI286" s="636"/>
      <c r="CJ286" s="615"/>
      <c r="CK286" s="615"/>
      <c r="CL286" s="615"/>
      <c r="CM286" s="615"/>
      <c r="CN286" s="615"/>
      <c r="CO286" s="615"/>
      <c r="CP286" s="615"/>
      <c r="CQ286" s="615"/>
      <c r="CR286" s="615"/>
      <c r="CS286" s="615"/>
      <c r="CT286" s="635"/>
      <c r="CU286" s="636"/>
      <c r="CV286" s="615"/>
      <c r="CW286" s="615"/>
      <c r="CX286" s="615"/>
      <c r="CY286" s="615"/>
      <c r="CZ286" s="615"/>
      <c r="DA286" s="615"/>
      <c r="DB286" s="615"/>
      <c r="DC286" s="615"/>
      <c r="DD286" s="615"/>
      <c r="DE286" s="615"/>
      <c r="DF286" s="635"/>
      <c r="DG286" s="636"/>
      <c r="DH286" s="615"/>
      <c r="DI286" s="615"/>
      <c r="DJ286" s="615"/>
      <c r="DK286" s="615"/>
      <c r="DL286" s="615"/>
      <c r="DM286" s="615"/>
      <c r="DN286" s="615"/>
      <c r="DO286" s="615"/>
      <c r="DP286" s="615"/>
      <c r="DQ286" s="615"/>
      <c r="DR286" s="635"/>
      <c r="DS286" s="636"/>
      <c r="DT286" s="615"/>
      <c r="DU286" s="615"/>
      <c r="DV286" s="615"/>
      <c r="DW286" s="615"/>
      <c r="DX286" s="615"/>
      <c r="DY286" s="615"/>
      <c r="DZ286" s="615"/>
      <c r="EA286" s="615"/>
      <c r="EB286" s="615"/>
      <c r="EC286" s="615"/>
      <c r="ED286" s="637"/>
      <c r="EE286" s="692"/>
    </row>
    <row r="287" spans="1:135" x14ac:dyDescent="0.25">
      <c r="A287" s="640" t="s">
        <v>12</v>
      </c>
      <c r="B287" s="367" t="s">
        <v>1562</v>
      </c>
      <c r="C287" s="367" t="s">
        <v>475</v>
      </c>
      <c r="D287" s="367" t="s">
        <v>1563</v>
      </c>
      <c r="E287" s="503" t="s">
        <v>1553</v>
      </c>
      <c r="F287" s="570">
        <v>44656</v>
      </c>
      <c r="G287" s="85" t="s">
        <v>59</v>
      </c>
      <c r="H287" s="85" t="s">
        <v>92</v>
      </c>
      <c r="I287" s="85" t="s">
        <v>358</v>
      </c>
      <c r="J287" s="675" t="s">
        <v>358</v>
      </c>
      <c r="K287" s="85" t="s">
        <v>358</v>
      </c>
      <c r="L287" s="85" t="s">
        <v>40</v>
      </c>
      <c r="M287" s="85" t="s">
        <v>5</v>
      </c>
      <c r="N287" s="668" t="s">
        <v>44</v>
      </c>
      <c r="O287" s="669"/>
      <c r="P287" s="615"/>
      <c r="Q287" s="615">
        <v>0.1</v>
      </c>
      <c r="R287" s="615"/>
      <c r="S287" s="615"/>
      <c r="T287" s="615"/>
      <c r="U287" s="615"/>
      <c r="V287" s="615"/>
      <c r="W287" s="615"/>
      <c r="X287" s="615"/>
      <c r="Y287" s="615"/>
      <c r="Z287" s="635"/>
      <c r="AA287" s="636"/>
      <c r="AB287" s="615"/>
      <c r="AC287" s="615"/>
      <c r="AD287" s="615"/>
      <c r="AE287" s="615"/>
      <c r="AF287" s="615"/>
      <c r="AG287" s="615"/>
      <c r="AH287" s="615"/>
      <c r="AI287" s="615"/>
      <c r="AJ287" s="615"/>
      <c r="AK287" s="615"/>
      <c r="AL287" s="635"/>
      <c r="AM287" s="636"/>
      <c r="AN287" s="615"/>
      <c r="AO287" s="615"/>
      <c r="AP287" s="615"/>
      <c r="AQ287" s="615"/>
      <c r="AR287" s="615"/>
      <c r="AS287" s="615"/>
      <c r="AT287" s="615"/>
      <c r="AU287" s="615"/>
      <c r="AV287" s="615"/>
      <c r="AW287" s="615"/>
      <c r="AX287" s="635"/>
      <c r="AY287" s="636"/>
      <c r="AZ287" s="615"/>
      <c r="BA287" s="615"/>
      <c r="BB287" s="615"/>
      <c r="BC287" s="615"/>
      <c r="BD287" s="615"/>
      <c r="BE287" s="615"/>
      <c r="BF287" s="615"/>
      <c r="BG287" s="615"/>
      <c r="BH287" s="615"/>
      <c r="BI287" s="615"/>
      <c r="BJ287" s="635"/>
      <c r="BK287" s="636"/>
      <c r="BL287" s="615"/>
      <c r="BM287" s="615"/>
      <c r="BN287" s="615"/>
      <c r="BO287" s="615"/>
      <c r="BP287" s="615"/>
      <c r="BQ287" s="615"/>
      <c r="BR287" s="615"/>
      <c r="BS287" s="615"/>
      <c r="BT287" s="615"/>
      <c r="BU287" s="615"/>
      <c r="BV287" s="637"/>
      <c r="BW287" s="669"/>
      <c r="BX287" s="615"/>
      <c r="BY287" s="615">
        <v>95.7</v>
      </c>
      <c r="BZ287" s="615"/>
      <c r="CA287" s="615"/>
      <c r="CB287" s="615"/>
      <c r="CC287" s="615"/>
      <c r="CD287" s="615"/>
      <c r="CE287" s="615"/>
      <c r="CF287" s="615"/>
      <c r="CG287" s="615"/>
      <c r="CH287" s="635"/>
      <c r="CI287" s="636"/>
      <c r="CJ287" s="615"/>
      <c r="CK287" s="615"/>
      <c r="CL287" s="615"/>
      <c r="CM287" s="615"/>
      <c r="CN287" s="615"/>
      <c r="CO287" s="615"/>
      <c r="CP287" s="615"/>
      <c r="CQ287" s="615"/>
      <c r="CR287" s="615"/>
      <c r="CS287" s="615"/>
      <c r="CT287" s="635"/>
      <c r="CU287" s="636"/>
      <c r="CV287" s="615"/>
      <c r="CW287" s="615"/>
      <c r="CX287" s="615"/>
      <c r="CY287" s="615"/>
      <c r="CZ287" s="615"/>
      <c r="DA287" s="615"/>
      <c r="DB287" s="615"/>
      <c r="DC287" s="615"/>
      <c r="DD287" s="615"/>
      <c r="DE287" s="615"/>
      <c r="DF287" s="635"/>
      <c r="DG287" s="636"/>
      <c r="DH287" s="615"/>
      <c r="DI287" s="615"/>
      <c r="DJ287" s="615"/>
      <c r="DK287" s="615"/>
      <c r="DL287" s="615"/>
      <c r="DM287" s="615"/>
      <c r="DN287" s="615"/>
      <c r="DO287" s="615"/>
      <c r="DP287" s="615"/>
      <c r="DQ287" s="615"/>
      <c r="DR287" s="635"/>
      <c r="DS287" s="636"/>
      <c r="DT287" s="615"/>
      <c r="DU287" s="615"/>
      <c r="DV287" s="615"/>
      <c r="DW287" s="615"/>
      <c r="DX287" s="615"/>
      <c r="DY287" s="615"/>
      <c r="DZ287" s="615"/>
      <c r="EA287" s="615"/>
      <c r="EB287" s="615"/>
      <c r="EC287" s="615"/>
      <c r="ED287" s="637"/>
      <c r="EE287" s="692"/>
    </row>
    <row r="288" spans="1:135" x14ac:dyDescent="0.25">
      <c r="A288" s="640" t="s">
        <v>12</v>
      </c>
      <c r="B288" s="367" t="s">
        <v>1564</v>
      </c>
      <c r="C288" s="367" t="s">
        <v>639</v>
      </c>
      <c r="D288" s="367" t="s">
        <v>1565</v>
      </c>
      <c r="E288" s="503" t="s">
        <v>1554</v>
      </c>
      <c r="F288" s="570">
        <v>44656</v>
      </c>
      <c r="G288" s="85" t="s">
        <v>59</v>
      </c>
      <c r="H288" s="85" t="s">
        <v>92</v>
      </c>
      <c r="I288" s="85" t="s">
        <v>358</v>
      </c>
      <c r="J288" s="675" t="s">
        <v>358</v>
      </c>
      <c r="K288" s="85" t="s">
        <v>358</v>
      </c>
      <c r="L288" s="85" t="s">
        <v>40</v>
      </c>
      <c r="M288" s="85" t="s">
        <v>5</v>
      </c>
      <c r="N288" s="668" t="s">
        <v>44</v>
      </c>
      <c r="O288" s="669"/>
      <c r="P288" s="615"/>
      <c r="Q288" s="615">
        <v>4</v>
      </c>
      <c r="R288" s="615"/>
      <c r="S288" s="615"/>
      <c r="T288" s="615"/>
      <c r="U288" s="615"/>
      <c r="V288" s="615"/>
      <c r="W288" s="615"/>
      <c r="X288" s="615"/>
      <c r="Y288" s="615"/>
      <c r="Z288" s="635"/>
      <c r="AA288" s="636"/>
      <c r="AB288" s="615"/>
      <c r="AC288" s="615"/>
      <c r="AD288" s="615"/>
      <c r="AE288" s="615"/>
      <c r="AF288" s="615"/>
      <c r="AG288" s="615"/>
      <c r="AH288" s="615"/>
      <c r="AI288" s="615"/>
      <c r="AJ288" s="615"/>
      <c r="AK288" s="615"/>
      <c r="AL288" s="635"/>
      <c r="AM288" s="636"/>
      <c r="AN288" s="615"/>
      <c r="AO288" s="615"/>
      <c r="AP288" s="615"/>
      <c r="AQ288" s="615"/>
      <c r="AR288" s="615"/>
      <c r="AS288" s="615"/>
      <c r="AT288" s="615"/>
      <c r="AU288" s="615"/>
      <c r="AV288" s="615"/>
      <c r="AW288" s="615"/>
      <c r="AX288" s="635"/>
      <c r="AY288" s="636"/>
      <c r="AZ288" s="615"/>
      <c r="BA288" s="615"/>
      <c r="BB288" s="615"/>
      <c r="BC288" s="615"/>
      <c r="BD288" s="615"/>
      <c r="BE288" s="615"/>
      <c r="BF288" s="615"/>
      <c r="BG288" s="615"/>
      <c r="BH288" s="615"/>
      <c r="BI288" s="615"/>
      <c r="BJ288" s="635"/>
      <c r="BK288" s="636"/>
      <c r="BL288" s="615"/>
      <c r="BM288" s="615"/>
      <c r="BN288" s="615"/>
      <c r="BO288" s="615"/>
      <c r="BP288" s="615"/>
      <c r="BQ288" s="615"/>
      <c r="BR288" s="615"/>
      <c r="BS288" s="615"/>
      <c r="BT288" s="615"/>
      <c r="BU288" s="615"/>
      <c r="BV288" s="637"/>
      <c r="BW288" s="669"/>
      <c r="BX288" s="615"/>
      <c r="BY288" s="615">
        <v>95.7</v>
      </c>
      <c r="BZ288" s="615"/>
      <c r="CA288" s="615"/>
      <c r="CB288" s="615"/>
      <c r="CC288" s="615"/>
      <c r="CD288" s="615"/>
      <c r="CE288" s="615"/>
      <c r="CF288" s="615"/>
      <c r="CG288" s="615"/>
      <c r="CH288" s="635"/>
      <c r="CI288" s="636"/>
      <c r="CJ288" s="615"/>
      <c r="CK288" s="615"/>
      <c r="CL288" s="615"/>
      <c r="CM288" s="615"/>
      <c r="CN288" s="615"/>
      <c r="CO288" s="615"/>
      <c r="CP288" s="615"/>
      <c r="CQ288" s="615"/>
      <c r="CR288" s="615"/>
      <c r="CS288" s="615"/>
      <c r="CT288" s="635"/>
      <c r="CU288" s="636"/>
      <c r="CV288" s="615"/>
      <c r="CW288" s="615"/>
      <c r="CX288" s="615"/>
      <c r="CY288" s="615"/>
      <c r="CZ288" s="615"/>
      <c r="DA288" s="615"/>
      <c r="DB288" s="615"/>
      <c r="DC288" s="615"/>
      <c r="DD288" s="615"/>
      <c r="DE288" s="615"/>
      <c r="DF288" s="635"/>
      <c r="DG288" s="636"/>
      <c r="DH288" s="615"/>
      <c r="DI288" s="615"/>
      <c r="DJ288" s="615"/>
      <c r="DK288" s="615"/>
      <c r="DL288" s="615"/>
      <c r="DM288" s="615"/>
      <c r="DN288" s="615"/>
      <c r="DO288" s="615"/>
      <c r="DP288" s="615"/>
      <c r="DQ288" s="615"/>
      <c r="DR288" s="635"/>
      <c r="DS288" s="636"/>
      <c r="DT288" s="615"/>
      <c r="DU288" s="615"/>
      <c r="DV288" s="615"/>
      <c r="DW288" s="615"/>
      <c r="DX288" s="615"/>
      <c r="DY288" s="615"/>
      <c r="DZ288" s="615"/>
      <c r="EA288" s="615"/>
      <c r="EB288" s="615"/>
      <c r="EC288" s="615"/>
      <c r="ED288" s="637"/>
      <c r="EE288" s="692"/>
    </row>
    <row r="289" spans="1:135" x14ac:dyDescent="0.25">
      <c r="A289" s="640" t="s">
        <v>12</v>
      </c>
      <c r="B289" s="367" t="s">
        <v>1566</v>
      </c>
      <c r="C289" s="367" t="s">
        <v>1520</v>
      </c>
      <c r="D289" s="367" t="s">
        <v>1567</v>
      </c>
      <c r="E289" s="503" t="s">
        <v>1555</v>
      </c>
      <c r="F289" s="570">
        <v>44656</v>
      </c>
      <c r="G289" s="85" t="s">
        <v>59</v>
      </c>
      <c r="H289" s="85" t="s">
        <v>92</v>
      </c>
      <c r="I289" s="85" t="s">
        <v>358</v>
      </c>
      <c r="J289" s="675" t="s">
        <v>358</v>
      </c>
      <c r="K289" s="85" t="s">
        <v>358</v>
      </c>
      <c r="L289" s="85" t="s">
        <v>40</v>
      </c>
      <c r="M289" s="85" t="s">
        <v>6</v>
      </c>
      <c r="N289" s="668" t="s">
        <v>44</v>
      </c>
      <c r="O289" s="669"/>
      <c r="P289" s="615"/>
      <c r="Q289" s="615">
        <v>0.5</v>
      </c>
      <c r="R289" s="615"/>
      <c r="S289" s="615"/>
      <c r="T289" s="615"/>
      <c r="U289" s="615"/>
      <c r="V289" s="615"/>
      <c r="W289" s="615"/>
      <c r="X289" s="615"/>
      <c r="Y289" s="615"/>
      <c r="Z289" s="635"/>
      <c r="AA289" s="636"/>
      <c r="AB289" s="615"/>
      <c r="AC289" s="615"/>
      <c r="AD289" s="615"/>
      <c r="AE289" s="615"/>
      <c r="AF289" s="615"/>
      <c r="AG289" s="615"/>
      <c r="AH289" s="615"/>
      <c r="AI289" s="615"/>
      <c r="AJ289" s="615"/>
      <c r="AK289" s="615"/>
      <c r="AL289" s="635"/>
      <c r="AM289" s="636"/>
      <c r="AN289" s="615"/>
      <c r="AO289" s="615"/>
      <c r="AP289" s="615"/>
      <c r="AQ289" s="615"/>
      <c r="AR289" s="615"/>
      <c r="AS289" s="615"/>
      <c r="AT289" s="615"/>
      <c r="AU289" s="615"/>
      <c r="AV289" s="615"/>
      <c r="AW289" s="615"/>
      <c r="AX289" s="635"/>
      <c r="AY289" s="636"/>
      <c r="AZ289" s="615"/>
      <c r="BA289" s="615"/>
      <c r="BB289" s="615"/>
      <c r="BC289" s="615"/>
      <c r="BD289" s="615"/>
      <c r="BE289" s="615"/>
      <c r="BF289" s="615"/>
      <c r="BG289" s="615"/>
      <c r="BH289" s="615"/>
      <c r="BI289" s="615"/>
      <c r="BJ289" s="635"/>
      <c r="BK289" s="636"/>
      <c r="BL289" s="615"/>
      <c r="BM289" s="615"/>
      <c r="BN289" s="615"/>
      <c r="BO289" s="615"/>
      <c r="BP289" s="615"/>
      <c r="BQ289" s="615"/>
      <c r="BR289" s="615"/>
      <c r="BS289" s="615"/>
      <c r="BT289" s="615"/>
      <c r="BU289" s="615"/>
      <c r="BV289" s="637"/>
      <c r="BW289" s="669"/>
      <c r="BX289" s="615"/>
      <c r="BY289" s="615">
        <v>256.7</v>
      </c>
      <c r="BZ289" s="615"/>
      <c r="CA289" s="615"/>
      <c r="CB289" s="615"/>
      <c r="CC289" s="615"/>
      <c r="CD289" s="615"/>
      <c r="CE289" s="615"/>
      <c r="CF289" s="615"/>
      <c r="CG289" s="615"/>
      <c r="CH289" s="635"/>
      <c r="CI289" s="636"/>
      <c r="CJ289" s="615"/>
      <c r="CK289" s="615"/>
      <c r="CL289" s="615"/>
      <c r="CM289" s="615"/>
      <c r="CN289" s="615"/>
      <c r="CO289" s="615"/>
      <c r="CP289" s="615"/>
      <c r="CQ289" s="615"/>
      <c r="CR289" s="615"/>
      <c r="CS289" s="615"/>
      <c r="CT289" s="635"/>
      <c r="CU289" s="636"/>
      <c r="CV289" s="615"/>
      <c r="CW289" s="615"/>
      <c r="CX289" s="615"/>
      <c r="CY289" s="615"/>
      <c r="CZ289" s="615"/>
      <c r="DA289" s="615"/>
      <c r="DB289" s="615"/>
      <c r="DC289" s="615"/>
      <c r="DD289" s="615"/>
      <c r="DE289" s="615"/>
      <c r="DF289" s="635"/>
      <c r="DG289" s="636"/>
      <c r="DH289" s="615"/>
      <c r="DI289" s="615"/>
      <c r="DJ289" s="615"/>
      <c r="DK289" s="615"/>
      <c r="DL289" s="615"/>
      <c r="DM289" s="615"/>
      <c r="DN289" s="615"/>
      <c r="DO289" s="615"/>
      <c r="DP289" s="615"/>
      <c r="DQ289" s="615"/>
      <c r="DR289" s="635"/>
      <c r="DS289" s="636"/>
      <c r="DT289" s="615"/>
      <c r="DU289" s="615"/>
      <c r="DV289" s="615"/>
      <c r="DW289" s="615"/>
      <c r="DX289" s="615"/>
      <c r="DY289" s="615"/>
      <c r="DZ289" s="615"/>
      <c r="EA289" s="615"/>
      <c r="EB289" s="615"/>
      <c r="EC289" s="615"/>
      <c r="ED289" s="637"/>
      <c r="EE289" s="692"/>
    </row>
    <row r="290" spans="1:135" x14ac:dyDescent="0.25">
      <c r="A290" s="640" t="s">
        <v>12</v>
      </c>
      <c r="B290" s="367" t="s">
        <v>1621</v>
      </c>
      <c r="C290" s="367" t="s">
        <v>1620</v>
      </c>
      <c r="D290" s="367" t="s">
        <v>1622</v>
      </c>
      <c r="E290" s="503" t="s">
        <v>1618</v>
      </c>
      <c r="F290" s="570">
        <v>44678</v>
      </c>
      <c r="G290" s="85" t="s">
        <v>59</v>
      </c>
      <c r="H290" s="85" t="s">
        <v>92</v>
      </c>
      <c r="I290" s="85" t="s">
        <v>358</v>
      </c>
      <c r="J290" s="675" t="s">
        <v>358</v>
      </c>
      <c r="K290" s="85" t="s">
        <v>358</v>
      </c>
      <c r="L290" s="85" t="s">
        <v>40</v>
      </c>
      <c r="M290" s="85" t="s">
        <v>5</v>
      </c>
      <c r="N290" s="668" t="s">
        <v>44</v>
      </c>
      <c r="O290" s="669"/>
      <c r="P290" s="615"/>
      <c r="Q290" s="615"/>
      <c r="R290" s="615">
        <v>10</v>
      </c>
      <c r="S290" s="615"/>
      <c r="T290" s="615"/>
      <c r="U290" s="615"/>
      <c r="V290" s="615"/>
      <c r="W290" s="615"/>
      <c r="X290" s="615"/>
      <c r="Y290" s="615"/>
      <c r="Z290" s="635"/>
      <c r="AA290" s="636"/>
      <c r="AB290" s="615"/>
      <c r="AC290" s="615"/>
      <c r="AD290" s="615"/>
      <c r="AE290" s="615"/>
      <c r="AF290" s="615"/>
      <c r="AG290" s="615"/>
      <c r="AH290" s="615"/>
      <c r="AI290" s="615"/>
      <c r="AJ290" s="615"/>
      <c r="AK290" s="615"/>
      <c r="AL290" s="635"/>
      <c r="AM290" s="636"/>
      <c r="AN290" s="615"/>
      <c r="AO290" s="615"/>
      <c r="AP290" s="615"/>
      <c r="AQ290" s="615"/>
      <c r="AR290" s="615"/>
      <c r="AS290" s="615"/>
      <c r="AT290" s="615"/>
      <c r="AU290" s="615"/>
      <c r="AV290" s="615"/>
      <c r="AW290" s="615"/>
      <c r="AX290" s="635"/>
      <c r="AY290" s="636"/>
      <c r="AZ290" s="615"/>
      <c r="BA290" s="615"/>
      <c r="BB290" s="615"/>
      <c r="BC290" s="615"/>
      <c r="BD290" s="615"/>
      <c r="BE290" s="615"/>
      <c r="BF290" s="615"/>
      <c r="BG290" s="615"/>
      <c r="BH290" s="615"/>
      <c r="BI290" s="615"/>
      <c r="BJ290" s="635"/>
      <c r="BK290" s="636"/>
      <c r="BL290" s="615"/>
      <c r="BM290" s="615"/>
      <c r="BN290" s="615"/>
      <c r="BO290" s="615"/>
      <c r="BP290" s="615"/>
      <c r="BQ290" s="615"/>
      <c r="BR290" s="615"/>
      <c r="BS290" s="615"/>
      <c r="BT290" s="615"/>
      <c r="BU290" s="615"/>
      <c r="BV290" s="637"/>
      <c r="BW290" s="669"/>
      <c r="BX290" s="615"/>
      <c r="BY290" s="615"/>
      <c r="BZ290" s="615">
        <v>95.7</v>
      </c>
      <c r="CA290" s="615"/>
      <c r="CB290" s="615"/>
      <c r="CC290" s="615"/>
      <c r="CD290" s="615"/>
      <c r="CE290" s="615"/>
      <c r="CF290" s="615"/>
      <c r="CG290" s="615"/>
      <c r="CH290" s="635"/>
      <c r="CI290" s="636"/>
      <c r="CJ290" s="615"/>
      <c r="CK290" s="615"/>
      <c r="CL290" s="615"/>
      <c r="CM290" s="615"/>
      <c r="CN290" s="615"/>
      <c r="CO290" s="615"/>
      <c r="CP290" s="615"/>
      <c r="CQ290" s="615"/>
      <c r="CR290" s="615"/>
      <c r="CS290" s="615"/>
      <c r="CT290" s="635"/>
      <c r="CU290" s="636"/>
      <c r="CV290" s="615"/>
      <c r="CW290" s="615"/>
      <c r="CX290" s="615"/>
      <c r="CY290" s="615"/>
      <c r="CZ290" s="615"/>
      <c r="DA290" s="615"/>
      <c r="DB290" s="615"/>
      <c r="DC290" s="615"/>
      <c r="DD290" s="615"/>
      <c r="DE290" s="615"/>
      <c r="DF290" s="635"/>
      <c r="DG290" s="636"/>
      <c r="DH290" s="615"/>
      <c r="DI290" s="615"/>
      <c r="DJ290" s="615"/>
      <c r="DK290" s="615"/>
      <c r="DL290" s="615"/>
      <c r="DM290" s="615"/>
      <c r="DN290" s="615"/>
      <c r="DO290" s="615"/>
      <c r="DP290" s="615"/>
      <c r="DQ290" s="615"/>
      <c r="DR290" s="635"/>
      <c r="DS290" s="636"/>
      <c r="DT290" s="615"/>
      <c r="DU290" s="615"/>
      <c r="DV290" s="615"/>
      <c r="DW290" s="615"/>
      <c r="DX290" s="615"/>
      <c r="DY290" s="615"/>
      <c r="DZ290" s="615"/>
      <c r="EA290" s="615"/>
      <c r="EB290" s="615"/>
      <c r="EC290" s="615"/>
      <c r="ED290" s="637"/>
      <c r="EE290" s="692"/>
    </row>
    <row r="291" spans="1:135" x14ac:dyDescent="0.25">
      <c r="A291" s="640" t="s">
        <v>12</v>
      </c>
      <c r="B291" s="367" t="s">
        <v>1623</v>
      </c>
      <c r="C291" s="367" t="s">
        <v>1167</v>
      </c>
      <c r="D291" s="367" t="s">
        <v>1624</v>
      </c>
      <c r="E291" s="503" t="s">
        <v>1619</v>
      </c>
      <c r="F291" s="570">
        <v>44678</v>
      </c>
      <c r="G291" s="85" t="s">
        <v>59</v>
      </c>
      <c r="H291" s="85" t="s">
        <v>92</v>
      </c>
      <c r="I291" s="85" t="s">
        <v>358</v>
      </c>
      <c r="J291" s="675" t="s">
        <v>358</v>
      </c>
      <c r="K291" s="85" t="s">
        <v>358</v>
      </c>
      <c r="L291" s="85" t="s">
        <v>40</v>
      </c>
      <c r="M291" s="85" t="s">
        <v>5</v>
      </c>
      <c r="N291" s="668" t="s">
        <v>44</v>
      </c>
      <c r="O291" s="669"/>
      <c r="P291" s="615"/>
      <c r="Q291" s="615"/>
      <c r="R291" s="615">
        <v>5</v>
      </c>
      <c r="S291" s="615"/>
      <c r="T291" s="615"/>
      <c r="U291" s="615"/>
      <c r="V291" s="615"/>
      <c r="W291" s="615"/>
      <c r="X291" s="615"/>
      <c r="Y291" s="615"/>
      <c r="Z291" s="635"/>
      <c r="AA291" s="636"/>
      <c r="AB291" s="615"/>
      <c r="AC291" s="615"/>
      <c r="AD291" s="615"/>
      <c r="AE291" s="615"/>
      <c r="AF291" s="615"/>
      <c r="AG291" s="615"/>
      <c r="AH291" s="615"/>
      <c r="AI291" s="615"/>
      <c r="AJ291" s="615"/>
      <c r="AK291" s="615"/>
      <c r="AL291" s="635"/>
      <c r="AM291" s="636"/>
      <c r="AN291" s="615"/>
      <c r="AO291" s="615"/>
      <c r="AP291" s="615"/>
      <c r="AQ291" s="615"/>
      <c r="AR291" s="615"/>
      <c r="AS291" s="615"/>
      <c r="AT291" s="615"/>
      <c r="AU291" s="615"/>
      <c r="AV291" s="615"/>
      <c r="AW291" s="615"/>
      <c r="AX291" s="635"/>
      <c r="AY291" s="636"/>
      <c r="AZ291" s="615"/>
      <c r="BA291" s="615"/>
      <c r="BB291" s="615"/>
      <c r="BC291" s="615"/>
      <c r="BD291" s="615"/>
      <c r="BE291" s="615"/>
      <c r="BF291" s="615"/>
      <c r="BG291" s="615"/>
      <c r="BH291" s="615"/>
      <c r="BI291" s="615"/>
      <c r="BJ291" s="635"/>
      <c r="BK291" s="636"/>
      <c r="BL291" s="615"/>
      <c r="BM291" s="615"/>
      <c r="BN291" s="615"/>
      <c r="BO291" s="615"/>
      <c r="BP291" s="615"/>
      <c r="BQ291" s="615"/>
      <c r="BR291" s="615"/>
      <c r="BS291" s="615"/>
      <c r="BT291" s="615"/>
      <c r="BU291" s="615"/>
      <c r="BV291" s="637"/>
      <c r="BW291" s="669"/>
      <c r="BX291" s="615"/>
      <c r="BY291" s="615"/>
      <c r="BZ291" s="615">
        <v>95.7</v>
      </c>
      <c r="CA291" s="615"/>
      <c r="CB291" s="615"/>
      <c r="CC291" s="615"/>
      <c r="CD291" s="615"/>
      <c r="CE291" s="615"/>
      <c r="CF291" s="615"/>
      <c r="CG291" s="615"/>
      <c r="CH291" s="635"/>
      <c r="CI291" s="636"/>
      <c r="CJ291" s="615"/>
      <c r="CK291" s="615"/>
      <c r="CL291" s="615"/>
      <c r="CM291" s="615"/>
      <c r="CN291" s="615"/>
      <c r="CO291" s="615"/>
      <c r="CP291" s="615"/>
      <c r="CQ291" s="615"/>
      <c r="CR291" s="615"/>
      <c r="CS291" s="615"/>
      <c r="CT291" s="635"/>
      <c r="CU291" s="636"/>
      <c r="CV291" s="615"/>
      <c r="CW291" s="615"/>
      <c r="CX291" s="615"/>
      <c r="CY291" s="615"/>
      <c r="CZ291" s="615"/>
      <c r="DA291" s="615"/>
      <c r="DB291" s="615"/>
      <c r="DC291" s="615"/>
      <c r="DD291" s="615"/>
      <c r="DE291" s="615"/>
      <c r="DF291" s="635"/>
      <c r="DG291" s="636"/>
      <c r="DH291" s="615"/>
      <c r="DI291" s="615"/>
      <c r="DJ291" s="615"/>
      <c r="DK291" s="615"/>
      <c r="DL291" s="615"/>
      <c r="DM291" s="615"/>
      <c r="DN291" s="615"/>
      <c r="DO291" s="615"/>
      <c r="DP291" s="615"/>
      <c r="DQ291" s="615"/>
      <c r="DR291" s="635"/>
      <c r="DS291" s="636"/>
      <c r="DT291" s="615"/>
      <c r="DU291" s="615"/>
      <c r="DV291" s="615"/>
      <c r="DW291" s="615"/>
      <c r="DX291" s="615"/>
      <c r="DY291" s="615"/>
      <c r="DZ291" s="615"/>
      <c r="EA291" s="615"/>
      <c r="EB291" s="615"/>
      <c r="EC291" s="615"/>
      <c r="ED291" s="637"/>
      <c r="EE291" s="692"/>
    </row>
    <row r="292" spans="1:135" x14ac:dyDescent="0.25">
      <c r="A292" s="640" t="s">
        <v>12</v>
      </c>
      <c r="B292" s="367" t="s">
        <v>1630</v>
      </c>
      <c r="C292" s="367" t="s">
        <v>639</v>
      </c>
      <c r="D292" s="367" t="s">
        <v>1631</v>
      </c>
      <c r="E292" s="503" t="s">
        <v>1627</v>
      </c>
      <c r="F292" s="570">
        <v>44679</v>
      </c>
      <c r="G292" s="85" t="s">
        <v>59</v>
      </c>
      <c r="H292" s="85" t="s">
        <v>92</v>
      </c>
      <c r="I292" s="85" t="s">
        <v>358</v>
      </c>
      <c r="J292" s="675" t="s">
        <v>358</v>
      </c>
      <c r="K292" s="85" t="s">
        <v>358</v>
      </c>
      <c r="L292" s="85" t="s">
        <v>40</v>
      </c>
      <c r="M292" s="85" t="s">
        <v>5</v>
      </c>
      <c r="N292" s="668" t="s">
        <v>44</v>
      </c>
      <c r="O292" s="669"/>
      <c r="P292" s="615"/>
      <c r="Q292" s="615"/>
      <c r="R292" s="615">
        <v>2.5</v>
      </c>
      <c r="S292" s="615"/>
      <c r="T292" s="615"/>
      <c r="U292" s="615"/>
      <c r="V292" s="615"/>
      <c r="W292" s="615"/>
      <c r="X292" s="615"/>
      <c r="Y292" s="615"/>
      <c r="Z292" s="635"/>
      <c r="AA292" s="636"/>
      <c r="AB292" s="615"/>
      <c r="AC292" s="615"/>
      <c r="AD292" s="615"/>
      <c r="AE292" s="615"/>
      <c r="AF292" s="615"/>
      <c r="AG292" s="615"/>
      <c r="AH292" s="615"/>
      <c r="AI292" s="615"/>
      <c r="AJ292" s="615"/>
      <c r="AK292" s="615"/>
      <c r="AL292" s="635"/>
      <c r="AM292" s="636"/>
      <c r="AN292" s="615"/>
      <c r="AO292" s="615"/>
      <c r="AP292" s="615"/>
      <c r="AQ292" s="615"/>
      <c r="AR292" s="615"/>
      <c r="AS292" s="615"/>
      <c r="AT292" s="615"/>
      <c r="AU292" s="615"/>
      <c r="AV292" s="615"/>
      <c r="AW292" s="615"/>
      <c r="AX292" s="635"/>
      <c r="AY292" s="636"/>
      <c r="AZ292" s="615"/>
      <c r="BA292" s="615"/>
      <c r="BB292" s="615"/>
      <c r="BC292" s="615"/>
      <c r="BD292" s="615"/>
      <c r="BE292" s="615"/>
      <c r="BF292" s="615"/>
      <c r="BG292" s="615"/>
      <c r="BH292" s="615"/>
      <c r="BI292" s="615"/>
      <c r="BJ292" s="635"/>
      <c r="BK292" s="636"/>
      <c r="BL292" s="615"/>
      <c r="BM292" s="615"/>
      <c r="BN292" s="615"/>
      <c r="BO292" s="615"/>
      <c r="BP292" s="615"/>
      <c r="BQ292" s="615"/>
      <c r="BR292" s="615"/>
      <c r="BS292" s="615"/>
      <c r="BT292" s="615"/>
      <c r="BU292" s="615"/>
      <c r="BV292" s="637"/>
      <c r="BW292" s="669"/>
      <c r="BX292" s="615"/>
      <c r="BY292" s="615"/>
      <c r="BZ292" s="615">
        <v>95.7</v>
      </c>
      <c r="CA292" s="615"/>
      <c r="CB292" s="615"/>
      <c r="CC292" s="615"/>
      <c r="CD292" s="615"/>
      <c r="CE292" s="615"/>
      <c r="CF292" s="615"/>
      <c r="CG292" s="615"/>
      <c r="CH292" s="635"/>
      <c r="CI292" s="636"/>
      <c r="CJ292" s="615"/>
      <c r="CK292" s="615"/>
      <c r="CL292" s="615"/>
      <c r="CM292" s="615"/>
      <c r="CN292" s="615"/>
      <c r="CO292" s="615"/>
      <c r="CP292" s="615"/>
      <c r="CQ292" s="615"/>
      <c r="CR292" s="615"/>
      <c r="CS292" s="615"/>
      <c r="CT292" s="635"/>
      <c r="CU292" s="636"/>
      <c r="CV292" s="615"/>
      <c r="CW292" s="615"/>
      <c r="CX292" s="615"/>
      <c r="CY292" s="615"/>
      <c r="CZ292" s="615"/>
      <c r="DA292" s="615"/>
      <c r="DB292" s="615"/>
      <c r="DC292" s="615"/>
      <c r="DD292" s="615"/>
      <c r="DE292" s="615"/>
      <c r="DF292" s="635"/>
      <c r="DG292" s="636"/>
      <c r="DH292" s="615"/>
      <c r="DI292" s="615"/>
      <c r="DJ292" s="615"/>
      <c r="DK292" s="615"/>
      <c r="DL292" s="615"/>
      <c r="DM292" s="615"/>
      <c r="DN292" s="615"/>
      <c r="DO292" s="615"/>
      <c r="DP292" s="615"/>
      <c r="DQ292" s="615"/>
      <c r="DR292" s="635"/>
      <c r="DS292" s="636"/>
      <c r="DT292" s="615"/>
      <c r="DU292" s="615"/>
      <c r="DV292" s="615"/>
      <c r="DW292" s="615"/>
      <c r="DX292" s="615"/>
      <c r="DY292" s="615"/>
      <c r="DZ292" s="615"/>
      <c r="EA292" s="615"/>
      <c r="EB292" s="615"/>
      <c r="EC292" s="615"/>
      <c r="ED292" s="637"/>
      <c r="EE292" s="692"/>
    </row>
    <row r="293" spans="1:135" x14ac:dyDescent="0.25">
      <c r="A293" s="640" t="s">
        <v>12</v>
      </c>
      <c r="B293" s="367" t="s">
        <v>1641</v>
      </c>
      <c r="C293" s="367" t="s">
        <v>502</v>
      </c>
      <c r="D293" s="367" t="s">
        <v>1642</v>
      </c>
      <c r="E293" s="503" t="s">
        <v>1636</v>
      </c>
      <c r="F293" s="570">
        <v>44683</v>
      </c>
      <c r="G293" s="85" t="s">
        <v>59</v>
      </c>
      <c r="H293" s="85" t="s">
        <v>92</v>
      </c>
      <c r="I293" s="85" t="s">
        <v>358</v>
      </c>
      <c r="J293" s="675" t="s">
        <v>358</v>
      </c>
      <c r="K293" s="85" t="s">
        <v>358</v>
      </c>
      <c r="L293" s="85" t="s">
        <v>40</v>
      </c>
      <c r="M293" s="85" t="s">
        <v>6</v>
      </c>
      <c r="N293" s="668" t="s">
        <v>44</v>
      </c>
      <c r="O293" s="669"/>
      <c r="P293" s="615"/>
      <c r="Q293" s="615"/>
      <c r="R293" s="615">
        <v>4</v>
      </c>
      <c r="S293" s="615"/>
      <c r="T293" s="615"/>
      <c r="U293" s="615"/>
      <c r="V293" s="615"/>
      <c r="W293" s="615"/>
      <c r="X293" s="615"/>
      <c r="Y293" s="615"/>
      <c r="Z293" s="635"/>
      <c r="AA293" s="636"/>
      <c r="AB293" s="615"/>
      <c r="AC293" s="615"/>
      <c r="AD293" s="615"/>
      <c r="AE293" s="615"/>
      <c r="AF293" s="615"/>
      <c r="AG293" s="615"/>
      <c r="AH293" s="615"/>
      <c r="AI293" s="615"/>
      <c r="AJ293" s="615"/>
      <c r="AK293" s="615"/>
      <c r="AL293" s="635"/>
      <c r="AM293" s="636"/>
      <c r="AN293" s="615"/>
      <c r="AO293" s="615"/>
      <c r="AP293" s="615"/>
      <c r="AQ293" s="615"/>
      <c r="AR293" s="615"/>
      <c r="AS293" s="615"/>
      <c r="AT293" s="615"/>
      <c r="AU293" s="615"/>
      <c r="AV293" s="615"/>
      <c r="AW293" s="615"/>
      <c r="AX293" s="635"/>
      <c r="AY293" s="636"/>
      <c r="AZ293" s="615"/>
      <c r="BA293" s="615"/>
      <c r="BB293" s="615"/>
      <c r="BC293" s="615"/>
      <c r="BD293" s="615"/>
      <c r="BE293" s="615"/>
      <c r="BF293" s="615"/>
      <c r="BG293" s="615"/>
      <c r="BH293" s="615"/>
      <c r="BI293" s="615"/>
      <c r="BJ293" s="635"/>
      <c r="BK293" s="636"/>
      <c r="BL293" s="615"/>
      <c r="BM293" s="615"/>
      <c r="BN293" s="615"/>
      <c r="BO293" s="615"/>
      <c r="BP293" s="615"/>
      <c r="BQ293" s="615"/>
      <c r="BR293" s="615"/>
      <c r="BS293" s="615"/>
      <c r="BT293" s="615"/>
      <c r="BU293" s="615"/>
      <c r="BV293" s="637"/>
      <c r="BW293" s="669"/>
      <c r="BX293" s="615"/>
      <c r="BY293" s="615"/>
      <c r="BZ293" s="615">
        <v>250.7</v>
      </c>
      <c r="CA293" s="615"/>
      <c r="CB293" s="615"/>
      <c r="CC293" s="615"/>
      <c r="CD293" s="615"/>
      <c r="CE293" s="615"/>
      <c r="CF293" s="615"/>
      <c r="CG293" s="615"/>
      <c r="CH293" s="635"/>
      <c r="CI293" s="636"/>
      <c r="CJ293" s="615"/>
      <c r="CK293" s="615"/>
      <c r="CL293" s="615"/>
      <c r="CM293" s="615"/>
      <c r="CN293" s="615"/>
      <c r="CO293" s="615"/>
      <c r="CP293" s="615"/>
      <c r="CQ293" s="615"/>
      <c r="CR293" s="615"/>
      <c r="CS293" s="615"/>
      <c r="CT293" s="635"/>
      <c r="CU293" s="636"/>
      <c r="CV293" s="615"/>
      <c r="CW293" s="615"/>
      <c r="CX293" s="615"/>
      <c r="CY293" s="615"/>
      <c r="CZ293" s="615"/>
      <c r="DA293" s="615"/>
      <c r="DB293" s="615"/>
      <c r="DC293" s="615"/>
      <c r="DD293" s="615"/>
      <c r="DE293" s="615"/>
      <c r="DF293" s="635"/>
      <c r="DG293" s="636"/>
      <c r="DH293" s="615"/>
      <c r="DI293" s="615"/>
      <c r="DJ293" s="615"/>
      <c r="DK293" s="615"/>
      <c r="DL293" s="615"/>
      <c r="DM293" s="615"/>
      <c r="DN293" s="615"/>
      <c r="DO293" s="615"/>
      <c r="DP293" s="615"/>
      <c r="DQ293" s="615"/>
      <c r="DR293" s="635"/>
      <c r="DS293" s="636"/>
      <c r="DT293" s="615"/>
      <c r="DU293" s="615"/>
      <c r="DV293" s="615"/>
      <c r="DW293" s="615"/>
      <c r="DX293" s="615"/>
      <c r="DY293" s="615"/>
      <c r="DZ293" s="615"/>
      <c r="EA293" s="615"/>
      <c r="EB293" s="615"/>
      <c r="EC293" s="615"/>
      <c r="ED293" s="637"/>
      <c r="EE293" s="692"/>
    </row>
    <row r="294" spans="1:135" x14ac:dyDescent="0.25">
      <c r="A294" s="640" t="s">
        <v>11</v>
      </c>
      <c r="B294" s="367" t="s">
        <v>1704</v>
      </c>
      <c r="C294" s="367" t="s">
        <v>477</v>
      </c>
      <c r="D294" s="367" t="s">
        <v>1705</v>
      </c>
      <c r="E294" s="503" t="s">
        <v>1694</v>
      </c>
      <c r="F294" s="570">
        <v>44701</v>
      </c>
      <c r="G294" s="85" t="s">
        <v>58</v>
      </c>
      <c r="H294" s="85" t="s">
        <v>54</v>
      </c>
      <c r="I294" s="85" t="s">
        <v>358</v>
      </c>
      <c r="J294" s="675" t="s">
        <v>358</v>
      </c>
      <c r="K294" s="85" t="s">
        <v>358</v>
      </c>
      <c r="L294" s="85" t="s">
        <v>40</v>
      </c>
      <c r="M294" s="85" t="s">
        <v>3</v>
      </c>
      <c r="N294" s="668" t="s">
        <v>44</v>
      </c>
      <c r="O294" s="669"/>
      <c r="P294" s="615"/>
      <c r="Q294" s="615"/>
      <c r="R294" s="615"/>
      <c r="S294" s="615"/>
      <c r="T294" s="615">
        <v>-4.0999999999999996</v>
      </c>
      <c r="U294" s="615"/>
      <c r="V294" s="615"/>
      <c r="W294" s="615"/>
      <c r="X294" s="615"/>
      <c r="Y294" s="615"/>
      <c r="Z294" s="635"/>
      <c r="AA294" s="636"/>
      <c r="AB294" s="615"/>
      <c r="AC294" s="615"/>
      <c r="AD294" s="615"/>
      <c r="AE294" s="615"/>
      <c r="AF294" s="615"/>
      <c r="AG294" s="615"/>
      <c r="AH294" s="615"/>
      <c r="AI294" s="615"/>
      <c r="AJ294" s="615"/>
      <c r="AK294" s="615"/>
      <c r="AL294" s="635"/>
      <c r="AM294" s="636"/>
      <c r="AN294" s="615"/>
      <c r="AO294" s="615"/>
      <c r="AP294" s="615"/>
      <c r="AQ294" s="615"/>
      <c r="AR294" s="615"/>
      <c r="AS294" s="615"/>
      <c r="AT294" s="615"/>
      <c r="AU294" s="615"/>
      <c r="AV294" s="615"/>
      <c r="AW294" s="615"/>
      <c r="AX294" s="635"/>
      <c r="AY294" s="636"/>
      <c r="AZ294" s="615"/>
      <c r="BA294" s="615"/>
      <c r="BB294" s="615"/>
      <c r="BC294" s="615"/>
      <c r="BD294" s="615"/>
      <c r="BE294" s="615"/>
      <c r="BF294" s="615"/>
      <c r="BG294" s="615"/>
      <c r="BH294" s="615"/>
      <c r="BI294" s="615"/>
      <c r="BJ294" s="635"/>
      <c r="BK294" s="636"/>
      <c r="BL294" s="615"/>
      <c r="BM294" s="615"/>
      <c r="BN294" s="615"/>
      <c r="BO294" s="615"/>
      <c r="BP294" s="615"/>
      <c r="BQ294" s="615"/>
      <c r="BR294" s="615"/>
      <c r="BS294" s="615"/>
      <c r="BT294" s="615"/>
      <c r="BU294" s="615"/>
      <c r="BV294" s="637"/>
      <c r="BW294" s="669"/>
      <c r="BX294" s="615"/>
      <c r="BY294" s="615"/>
      <c r="BZ294" s="615"/>
      <c r="CA294" s="615"/>
      <c r="CB294" s="615">
        <v>80</v>
      </c>
      <c r="CC294" s="615"/>
      <c r="CD294" s="615"/>
      <c r="CE294" s="615"/>
      <c r="CF294" s="615"/>
      <c r="CG294" s="615"/>
      <c r="CH294" s="635"/>
      <c r="CI294" s="636"/>
      <c r="CJ294" s="615"/>
      <c r="CK294" s="615"/>
      <c r="CL294" s="615"/>
      <c r="CM294" s="615"/>
      <c r="CN294" s="615"/>
      <c r="CO294" s="615"/>
      <c r="CP294" s="615"/>
      <c r="CQ294" s="615"/>
      <c r="CR294" s="615"/>
      <c r="CS294" s="615"/>
      <c r="CT294" s="635"/>
      <c r="CU294" s="636"/>
      <c r="CV294" s="615"/>
      <c r="CW294" s="615"/>
      <c r="CX294" s="615"/>
      <c r="CY294" s="615"/>
      <c r="CZ294" s="615"/>
      <c r="DA294" s="615"/>
      <c r="DB294" s="615"/>
      <c r="DC294" s="615"/>
      <c r="DD294" s="615"/>
      <c r="DE294" s="615"/>
      <c r="DF294" s="635"/>
      <c r="DG294" s="636"/>
      <c r="DH294" s="615"/>
      <c r="DI294" s="615"/>
      <c r="DJ294" s="615"/>
      <c r="DK294" s="615"/>
      <c r="DL294" s="615"/>
      <c r="DM294" s="615"/>
      <c r="DN294" s="615"/>
      <c r="DO294" s="615"/>
      <c r="DP294" s="615"/>
      <c r="DQ294" s="615"/>
      <c r="DR294" s="635"/>
      <c r="DS294" s="636"/>
      <c r="DT294" s="615"/>
      <c r="DU294" s="615"/>
      <c r="DV294" s="615"/>
      <c r="DW294" s="615"/>
      <c r="DX294" s="615"/>
      <c r="DY294" s="615"/>
      <c r="DZ294" s="615"/>
      <c r="EA294" s="615"/>
      <c r="EB294" s="615"/>
      <c r="EC294" s="615"/>
      <c r="ED294" s="637"/>
      <c r="EE294" s="692"/>
    </row>
    <row r="295" spans="1:135" x14ac:dyDescent="0.25">
      <c r="A295" s="640" t="s">
        <v>11</v>
      </c>
      <c r="B295" s="367" t="s">
        <v>1706</v>
      </c>
      <c r="C295" s="367" t="s">
        <v>504</v>
      </c>
      <c r="D295" s="367" t="s">
        <v>1707</v>
      </c>
      <c r="E295" s="503" t="s">
        <v>1695</v>
      </c>
      <c r="F295" s="570">
        <v>44701</v>
      </c>
      <c r="G295" s="85" t="s">
        <v>59</v>
      </c>
      <c r="H295" s="85" t="s">
        <v>54</v>
      </c>
      <c r="I295" s="85" t="s">
        <v>358</v>
      </c>
      <c r="J295" s="675" t="s">
        <v>358</v>
      </c>
      <c r="K295" s="85" t="s">
        <v>358</v>
      </c>
      <c r="L295" s="85" t="s">
        <v>40</v>
      </c>
      <c r="M295" s="85" t="s">
        <v>3</v>
      </c>
      <c r="N295" s="668" t="s">
        <v>44</v>
      </c>
      <c r="O295" s="669"/>
      <c r="P295" s="615"/>
      <c r="Q295" s="615"/>
      <c r="R295" s="615"/>
      <c r="S295" s="615"/>
      <c r="T295" s="615">
        <v>3.9</v>
      </c>
      <c r="U295" s="615"/>
      <c r="V295" s="615"/>
      <c r="W295" s="615"/>
      <c r="X295" s="615"/>
      <c r="Y295" s="615"/>
      <c r="Z295" s="635"/>
      <c r="AA295" s="636"/>
      <c r="AB295" s="615"/>
      <c r="AC295" s="615"/>
      <c r="AD295" s="615"/>
      <c r="AE295" s="615"/>
      <c r="AF295" s="615"/>
      <c r="AG295" s="615"/>
      <c r="AH295" s="615"/>
      <c r="AI295" s="615"/>
      <c r="AJ295" s="615"/>
      <c r="AK295" s="615"/>
      <c r="AL295" s="635"/>
      <c r="AM295" s="636"/>
      <c r="AN295" s="615"/>
      <c r="AO295" s="615"/>
      <c r="AP295" s="615"/>
      <c r="AQ295" s="615"/>
      <c r="AR295" s="615"/>
      <c r="AS295" s="615"/>
      <c r="AT295" s="615"/>
      <c r="AU295" s="615"/>
      <c r="AV295" s="615"/>
      <c r="AW295" s="615"/>
      <c r="AX295" s="635"/>
      <c r="AY295" s="636"/>
      <c r="AZ295" s="615"/>
      <c r="BA295" s="615"/>
      <c r="BB295" s="615"/>
      <c r="BC295" s="615"/>
      <c r="BD295" s="615"/>
      <c r="BE295" s="615"/>
      <c r="BF295" s="615"/>
      <c r="BG295" s="615"/>
      <c r="BH295" s="615"/>
      <c r="BI295" s="615"/>
      <c r="BJ295" s="635"/>
      <c r="BK295" s="636"/>
      <c r="BL295" s="615"/>
      <c r="BM295" s="615"/>
      <c r="BN295" s="615"/>
      <c r="BO295" s="615"/>
      <c r="BP295" s="615"/>
      <c r="BQ295" s="615"/>
      <c r="BR295" s="615"/>
      <c r="BS295" s="615"/>
      <c r="BT295" s="615"/>
      <c r="BU295" s="615"/>
      <c r="BV295" s="637"/>
      <c r="BW295" s="669"/>
      <c r="BX295" s="615"/>
      <c r="BY295" s="615"/>
      <c r="BZ295" s="615"/>
      <c r="CA295" s="615"/>
      <c r="CB295" s="615">
        <v>80</v>
      </c>
      <c r="CC295" s="615"/>
      <c r="CD295" s="615"/>
      <c r="CE295" s="615"/>
      <c r="CF295" s="615"/>
      <c r="CG295" s="615"/>
      <c r="CH295" s="635"/>
      <c r="CI295" s="636"/>
      <c r="CJ295" s="615"/>
      <c r="CK295" s="615"/>
      <c r="CL295" s="615"/>
      <c r="CM295" s="615"/>
      <c r="CN295" s="615"/>
      <c r="CO295" s="615"/>
      <c r="CP295" s="615"/>
      <c r="CQ295" s="615"/>
      <c r="CR295" s="615"/>
      <c r="CS295" s="615"/>
      <c r="CT295" s="635"/>
      <c r="CU295" s="636"/>
      <c r="CV295" s="615"/>
      <c r="CW295" s="615"/>
      <c r="CX295" s="615"/>
      <c r="CY295" s="615"/>
      <c r="CZ295" s="615"/>
      <c r="DA295" s="615"/>
      <c r="DB295" s="615"/>
      <c r="DC295" s="615"/>
      <c r="DD295" s="615"/>
      <c r="DE295" s="615"/>
      <c r="DF295" s="635"/>
      <c r="DG295" s="636"/>
      <c r="DH295" s="615"/>
      <c r="DI295" s="615"/>
      <c r="DJ295" s="615"/>
      <c r="DK295" s="615"/>
      <c r="DL295" s="615"/>
      <c r="DM295" s="615"/>
      <c r="DN295" s="615"/>
      <c r="DO295" s="615"/>
      <c r="DP295" s="615"/>
      <c r="DQ295" s="615"/>
      <c r="DR295" s="635"/>
      <c r="DS295" s="636"/>
      <c r="DT295" s="615"/>
      <c r="DU295" s="615"/>
      <c r="DV295" s="615"/>
      <c r="DW295" s="615"/>
      <c r="DX295" s="615"/>
      <c r="DY295" s="615"/>
      <c r="DZ295" s="615"/>
      <c r="EA295" s="615"/>
      <c r="EB295" s="615"/>
      <c r="EC295" s="615"/>
      <c r="ED295" s="637"/>
      <c r="EE295" s="692"/>
    </row>
    <row r="296" spans="1:135" x14ac:dyDescent="0.25">
      <c r="A296" s="640" t="s">
        <v>11</v>
      </c>
      <c r="B296" s="367" t="s">
        <v>1708</v>
      </c>
      <c r="C296" s="367" t="s">
        <v>504</v>
      </c>
      <c r="D296" s="367" t="s">
        <v>1709</v>
      </c>
      <c r="E296" s="503" t="s">
        <v>1696</v>
      </c>
      <c r="F296" s="570">
        <v>44701</v>
      </c>
      <c r="G296" s="85" t="s">
        <v>58</v>
      </c>
      <c r="H296" s="85" t="s">
        <v>54</v>
      </c>
      <c r="I296" s="85" t="s">
        <v>358</v>
      </c>
      <c r="J296" s="675" t="s">
        <v>358</v>
      </c>
      <c r="K296" s="85" t="s">
        <v>358</v>
      </c>
      <c r="L296" s="85" t="s">
        <v>40</v>
      </c>
      <c r="M296" s="85" t="s">
        <v>3</v>
      </c>
      <c r="N296" s="668" t="s">
        <v>44</v>
      </c>
      <c r="O296" s="669"/>
      <c r="P296" s="615"/>
      <c r="Q296" s="615"/>
      <c r="R296" s="615"/>
      <c r="S296" s="615"/>
      <c r="T296" s="615"/>
      <c r="U296" s="615"/>
      <c r="V296" s="615"/>
      <c r="W296" s="615"/>
      <c r="X296" s="615"/>
      <c r="Y296" s="615"/>
      <c r="Z296" s="635">
        <v>-3.9</v>
      </c>
      <c r="AA296" s="636"/>
      <c r="AB296" s="615"/>
      <c r="AC296" s="615"/>
      <c r="AD296" s="615"/>
      <c r="AE296" s="615"/>
      <c r="AF296" s="615"/>
      <c r="AG296" s="615"/>
      <c r="AH296" s="615"/>
      <c r="AI296" s="615"/>
      <c r="AJ296" s="615"/>
      <c r="AK296" s="615"/>
      <c r="AL296" s="635"/>
      <c r="AM296" s="636"/>
      <c r="AN296" s="615"/>
      <c r="AO296" s="615"/>
      <c r="AP296" s="615"/>
      <c r="AQ296" s="615"/>
      <c r="AR296" s="615"/>
      <c r="AS296" s="615"/>
      <c r="AT296" s="615"/>
      <c r="AU296" s="615"/>
      <c r="AV296" s="615"/>
      <c r="AW296" s="615"/>
      <c r="AX296" s="635"/>
      <c r="AY296" s="636"/>
      <c r="AZ296" s="615"/>
      <c r="BA296" s="615"/>
      <c r="BB296" s="615"/>
      <c r="BC296" s="615"/>
      <c r="BD296" s="615"/>
      <c r="BE296" s="615"/>
      <c r="BF296" s="615"/>
      <c r="BG296" s="615"/>
      <c r="BH296" s="615"/>
      <c r="BI296" s="615"/>
      <c r="BJ296" s="635"/>
      <c r="BK296" s="636"/>
      <c r="BL296" s="615"/>
      <c r="BM296" s="615"/>
      <c r="BN296" s="615"/>
      <c r="BO296" s="615"/>
      <c r="BP296" s="615"/>
      <c r="BQ296" s="615"/>
      <c r="BR296" s="615"/>
      <c r="BS296" s="615"/>
      <c r="BT296" s="615"/>
      <c r="BU296" s="615"/>
      <c r="BV296" s="637"/>
      <c r="BW296" s="669"/>
      <c r="BX296" s="615"/>
      <c r="BY296" s="615"/>
      <c r="BZ296" s="615"/>
      <c r="CA296" s="615"/>
      <c r="CB296" s="615"/>
      <c r="CC296" s="615"/>
      <c r="CD296" s="615"/>
      <c r="CE296" s="615"/>
      <c r="CF296" s="615"/>
      <c r="CG296" s="615"/>
      <c r="CH296" s="635">
        <v>145</v>
      </c>
      <c r="CI296" s="636"/>
      <c r="CJ296" s="615"/>
      <c r="CK296" s="615"/>
      <c r="CL296" s="615"/>
      <c r="CM296" s="615"/>
      <c r="CN296" s="615"/>
      <c r="CO296" s="615"/>
      <c r="CP296" s="615"/>
      <c r="CQ296" s="615"/>
      <c r="CR296" s="615"/>
      <c r="CS296" s="615"/>
      <c r="CT296" s="635"/>
      <c r="CU296" s="636"/>
      <c r="CV296" s="615"/>
      <c r="CW296" s="615"/>
      <c r="CX296" s="615"/>
      <c r="CY296" s="615"/>
      <c r="CZ296" s="615"/>
      <c r="DA296" s="615"/>
      <c r="DB296" s="615"/>
      <c r="DC296" s="615"/>
      <c r="DD296" s="615"/>
      <c r="DE296" s="615"/>
      <c r="DF296" s="635"/>
      <c r="DG296" s="636"/>
      <c r="DH296" s="615"/>
      <c r="DI296" s="615"/>
      <c r="DJ296" s="615"/>
      <c r="DK296" s="615"/>
      <c r="DL296" s="615"/>
      <c r="DM296" s="615"/>
      <c r="DN296" s="615"/>
      <c r="DO296" s="615"/>
      <c r="DP296" s="615"/>
      <c r="DQ296" s="615"/>
      <c r="DR296" s="635"/>
      <c r="DS296" s="636"/>
      <c r="DT296" s="615"/>
      <c r="DU296" s="615"/>
      <c r="DV296" s="615"/>
      <c r="DW296" s="615"/>
      <c r="DX296" s="615"/>
      <c r="DY296" s="615"/>
      <c r="DZ296" s="615"/>
      <c r="EA296" s="615"/>
      <c r="EB296" s="615"/>
      <c r="EC296" s="615"/>
      <c r="ED296" s="637"/>
      <c r="EE296" s="692"/>
    </row>
    <row r="297" spans="1:135" x14ac:dyDescent="0.25">
      <c r="A297" s="640" t="s">
        <v>11</v>
      </c>
      <c r="B297" s="367" t="s">
        <v>1710</v>
      </c>
      <c r="C297" s="367" t="s">
        <v>477</v>
      </c>
      <c r="D297" s="367" t="s">
        <v>1711</v>
      </c>
      <c r="E297" s="503" t="s">
        <v>1697</v>
      </c>
      <c r="F297" s="570">
        <v>44701</v>
      </c>
      <c r="G297" s="85" t="s">
        <v>58</v>
      </c>
      <c r="H297" s="85" t="s">
        <v>54</v>
      </c>
      <c r="I297" s="85" t="s">
        <v>358</v>
      </c>
      <c r="J297" s="675" t="s">
        <v>358</v>
      </c>
      <c r="K297" s="85" t="s">
        <v>358</v>
      </c>
      <c r="L297" s="85" t="s">
        <v>40</v>
      </c>
      <c r="M297" s="85" t="s">
        <v>3</v>
      </c>
      <c r="N297" s="668" t="s">
        <v>44</v>
      </c>
      <c r="O297" s="669"/>
      <c r="P297" s="615"/>
      <c r="Q297" s="615"/>
      <c r="R297" s="615"/>
      <c r="S297" s="615"/>
      <c r="T297" s="615">
        <v>-6.1</v>
      </c>
      <c r="U297" s="615"/>
      <c r="V297" s="615"/>
      <c r="W297" s="615"/>
      <c r="X297" s="615"/>
      <c r="Y297" s="615"/>
      <c r="Z297" s="635"/>
      <c r="AA297" s="636"/>
      <c r="AB297" s="615"/>
      <c r="AC297" s="615"/>
      <c r="AD297" s="615"/>
      <c r="AE297" s="615"/>
      <c r="AF297" s="615"/>
      <c r="AG297" s="615"/>
      <c r="AH297" s="615"/>
      <c r="AI297" s="615"/>
      <c r="AJ297" s="615"/>
      <c r="AK297" s="615"/>
      <c r="AL297" s="635"/>
      <c r="AM297" s="636"/>
      <c r="AN297" s="615"/>
      <c r="AO297" s="615"/>
      <c r="AP297" s="615"/>
      <c r="AQ297" s="615"/>
      <c r="AR297" s="615"/>
      <c r="AS297" s="615"/>
      <c r="AT297" s="615"/>
      <c r="AU297" s="615"/>
      <c r="AV297" s="615"/>
      <c r="AW297" s="615"/>
      <c r="AX297" s="635"/>
      <c r="AY297" s="636"/>
      <c r="AZ297" s="615"/>
      <c r="BA297" s="615"/>
      <c r="BB297" s="615"/>
      <c r="BC297" s="615"/>
      <c r="BD297" s="615"/>
      <c r="BE297" s="615"/>
      <c r="BF297" s="615"/>
      <c r="BG297" s="615"/>
      <c r="BH297" s="615"/>
      <c r="BI297" s="615"/>
      <c r="BJ297" s="635"/>
      <c r="BK297" s="636"/>
      <c r="BL297" s="615"/>
      <c r="BM297" s="615"/>
      <c r="BN297" s="615"/>
      <c r="BO297" s="615"/>
      <c r="BP297" s="615"/>
      <c r="BQ297" s="615"/>
      <c r="BR297" s="615"/>
      <c r="BS297" s="615"/>
      <c r="BT297" s="615"/>
      <c r="BU297" s="615"/>
      <c r="BV297" s="637"/>
      <c r="BW297" s="669"/>
      <c r="BX297" s="615"/>
      <c r="BY297" s="615"/>
      <c r="BZ297" s="615"/>
      <c r="CA297" s="615"/>
      <c r="CB297" s="615">
        <v>80</v>
      </c>
      <c r="CC297" s="615"/>
      <c r="CD297" s="615"/>
      <c r="CE297" s="615"/>
      <c r="CF297" s="615"/>
      <c r="CG297" s="615"/>
      <c r="CH297" s="635"/>
      <c r="CI297" s="636"/>
      <c r="CJ297" s="615"/>
      <c r="CK297" s="615"/>
      <c r="CL297" s="615"/>
      <c r="CM297" s="615"/>
      <c r="CN297" s="615"/>
      <c r="CO297" s="615"/>
      <c r="CP297" s="615"/>
      <c r="CQ297" s="615"/>
      <c r="CR297" s="615"/>
      <c r="CS297" s="615"/>
      <c r="CT297" s="635"/>
      <c r="CU297" s="636"/>
      <c r="CV297" s="615"/>
      <c r="CW297" s="615"/>
      <c r="CX297" s="615"/>
      <c r="CY297" s="615"/>
      <c r="CZ297" s="615"/>
      <c r="DA297" s="615"/>
      <c r="DB297" s="615"/>
      <c r="DC297" s="615"/>
      <c r="DD297" s="615"/>
      <c r="DE297" s="615"/>
      <c r="DF297" s="635"/>
      <c r="DG297" s="636"/>
      <c r="DH297" s="615"/>
      <c r="DI297" s="615"/>
      <c r="DJ297" s="615"/>
      <c r="DK297" s="615"/>
      <c r="DL297" s="615"/>
      <c r="DM297" s="615"/>
      <c r="DN297" s="615"/>
      <c r="DO297" s="615"/>
      <c r="DP297" s="615"/>
      <c r="DQ297" s="615"/>
      <c r="DR297" s="635"/>
      <c r="DS297" s="636"/>
      <c r="DT297" s="615"/>
      <c r="DU297" s="615"/>
      <c r="DV297" s="615"/>
      <c r="DW297" s="615"/>
      <c r="DX297" s="615"/>
      <c r="DY297" s="615"/>
      <c r="DZ297" s="615"/>
      <c r="EA297" s="615"/>
      <c r="EB297" s="615"/>
      <c r="EC297" s="615"/>
      <c r="ED297" s="637"/>
      <c r="EE297" s="692"/>
    </row>
    <row r="298" spans="1:135" x14ac:dyDescent="0.25">
      <c r="A298" s="640" t="s">
        <v>11</v>
      </c>
      <c r="B298" s="367" t="s">
        <v>1713</v>
      </c>
      <c r="C298" s="367" t="s">
        <v>475</v>
      </c>
      <c r="D298" s="367" t="s">
        <v>1714</v>
      </c>
      <c r="E298" s="503" t="s">
        <v>1699</v>
      </c>
      <c r="F298" s="570">
        <v>44701</v>
      </c>
      <c r="G298" s="85" t="s">
        <v>58</v>
      </c>
      <c r="H298" s="85" t="s">
        <v>54</v>
      </c>
      <c r="I298" s="85" t="s">
        <v>358</v>
      </c>
      <c r="J298" s="675" t="s">
        <v>358</v>
      </c>
      <c r="K298" s="85" t="s">
        <v>358</v>
      </c>
      <c r="L298" s="85" t="s">
        <v>40</v>
      </c>
      <c r="M298" s="85" t="s">
        <v>3</v>
      </c>
      <c r="N298" s="668" t="s">
        <v>44</v>
      </c>
      <c r="O298" s="669"/>
      <c r="P298" s="615"/>
      <c r="Q298" s="615"/>
      <c r="R298" s="615"/>
      <c r="S298" s="615"/>
      <c r="T298" s="615"/>
      <c r="U298" s="615"/>
      <c r="V298" s="615"/>
      <c r="W298" s="615">
        <v>-8.3000000000000007</v>
      </c>
      <c r="X298" s="615"/>
      <c r="Y298" s="615"/>
      <c r="Z298" s="635"/>
      <c r="AA298" s="636"/>
      <c r="AB298" s="615"/>
      <c r="AC298" s="615"/>
      <c r="AD298" s="615"/>
      <c r="AE298" s="615"/>
      <c r="AF298" s="615"/>
      <c r="AG298" s="615"/>
      <c r="AH298" s="615"/>
      <c r="AI298" s="615"/>
      <c r="AJ298" s="615"/>
      <c r="AK298" s="615"/>
      <c r="AL298" s="635"/>
      <c r="AM298" s="636"/>
      <c r="AN298" s="615"/>
      <c r="AO298" s="615"/>
      <c r="AP298" s="615"/>
      <c r="AQ298" s="615"/>
      <c r="AR298" s="615"/>
      <c r="AS298" s="615"/>
      <c r="AT298" s="615"/>
      <c r="AU298" s="615"/>
      <c r="AV298" s="615"/>
      <c r="AW298" s="615"/>
      <c r="AX298" s="635"/>
      <c r="AY298" s="636"/>
      <c r="AZ298" s="615"/>
      <c r="BA298" s="615"/>
      <c r="BB298" s="615"/>
      <c r="BC298" s="615"/>
      <c r="BD298" s="615"/>
      <c r="BE298" s="615"/>
      <c r="BF298" s="615"/>
      <c r="BG298" s="615"/>
      <c r="BH298" s="615"/>
      <c r="BI298" s="615"/>
      <c r="BJ298" s="635"/>
      <c r="BK298" s="636"/>
      <c r="BL298" s="615"/>
      <c r="BM298" s="615"/>
      <c r="BN298" s="615"/>
      <c r="BO298" s="615"/>
      <c r="BP298" s="615"/>
      <c r="BQ298" s="615"/>
      <c r="BR298" s="615"/>
      <c r="BS298" s="615"/>
      <c r="BT298" s="615"/>
      <c r="BU298" s="615"/>
      <c r="BV298" s="637"/>
      <c r="BW298" s="669"/>
      <c r="BX298" s="615"/>
      <c r="BY298" s="615"/>
      <c r="BZ298" s="615"/>
      <c r="CA298" s="615"/>
      <c r="CB298" s="615"/>
      <c r="CC298" s="615"/>
      <c r="CD298" s="615"/>
      <c r="CE298" s="615">
        <v>135</v>
      </c>
      <c r="CF298" s="615"/>
      <c r="CG298" s="615"/>
      <c r="CH298" s="635"/>
      <c r="CI298" s="636"/>
      <c r="CJ298" s="615"/>
      <c r="CK298" s="615"/>
      <c r="CL298" s="615"/>
      <c r="CM298" s="615"/>
      <c r="CN298" s="615"/>
      <c r="CO298" s="615"/>
      <c r="CP298" s="615"/>
      <c r="CQ298" s="615"/>
      <c r="CR298" s="615"/>
      <c r="CS298" s="615"/>
      <c r="CT298" s="635"/>
      <c r="CU298" s="636"/>
      <c r="CV298" s="615"/>
      <c r="CW298" s="615"/>
      <c r="CX298" s="615"/>
      <c r="CY298" s="615"/>
      <c r="CZ298" s="615"/>
      <c r="DA298" s="615"/>
      <c r="DB298" s="615"/>
      <c r="DC298" s="615"/>
      <c r="DD298" s="615"/>
      <c r="DE298" s="615"/>
      <c r="DF298" s="635"/>
      <c r="DG298" s="636"/>
      <c r="DH298" s="615"/>
      <c r="DI298" s="615"/>
      <c r="DJ298" s="615"/>
      <c r="DK298" s="615"/>
      <c r="DL298" s="615"/>
      <c r="DM298" s="615"/>
      <c r="DN298" s="615"/>
      <c r="DO298" s="615"/>
      <c r="DP298" s="615"/>
      <c r="DQ298" s="615"/>
      <c r="DR298" s="635"/>
      <c r="DS298" s="636"/>
      <c r="DT298" s="615"/>
      <c r="DU298" s="615"/>
      <c r="DV298" s="615"/>
      <c r="DW298" s="615"/>
      <c r="DX298" s="615"/>
      <c r="DY298" s="615"/>
      <c r="DZ298" s="615"/>
      <c r="EA298" s="615"/>
      <c r="EB298" s="615"/>
      <c r="EC298" s="615"/>
      <c r="ED298" s="637"/>
      <c r="EE298" s="692"/>
    </row>
    <row r="299" spans="1:135" x14ac:dyDescent="0.25">
      <c r="A299" s="640" t="s">
        <v>11</v>
      </c>
      <c r="B299" s="367" t="s">
        <v>1715</v>
      </c>
      <c r="C299" s="367" t="s">
        <v>475</v>
      </c>
      <c r="D299" s="367" t="s">
        <v>1716</v>
      </c>
      <c r="E299" s="503" t="s">
        <v>1700</v>
      </c>
      <c r="F299" s="570">
        <v>44701</v>
      </c>
      <c r="G299" s="85" t="s">
        <v>58</v>
      </c>
      <c r="H299" s="85" t="s">
        <v>54</v>
      </c>
      <c r="I299" s="85" t="s">
        <v>358</v>
      </c>
      <c r="J299" s="675" t="s">
        <v>358</v>
      </c>
      <c r="K299" s="85" t="s">
        <v>358</v>
      </c>
      <c r="L299" s="85" t="s">
        <v>40</v>
      </c>
      <c r="M299" s="85" t="s">
        <v>3</v>
      </c>
      <c r="N299" s="668" t="s">
        <v>44</v>
      </c>
      <c r="O299" s="669"/>
      <c r="P299" s="615"/>
      <c r="Q299" s="615"/>
      <c r="R299" s="615"/>
      <c r="S299" s="615"/>
      <c r="T299" s="615"/>
      <c r="U299" s="615"/>
      <c r="V299" s="615">
        <v>-11</v>
      </c>
      <c r="W299" s="615"/>
      <c r="X299" s="615"/>
      <c r="Y299" s="615"/>
      <c r="Z299" s="635"/>
      <c r="AA299" s="636"/>
      <c r="AB299" s="615"/>
      <c r="AC299" s="615"/>
      <c r="AD299" s="615"/>
      <c r="AE299" s="615"/>
      <c r="AF299" s="615"/>
      <c r="AG299" s="615"/>
      <c r="AH299" s="615"/>
      <c r="AI299" s="615"/>
      <c r="AJ299" s="615"/>
      <c r="AK299" s="615"/>
      <c r="AL299" s="635"/>
      <c r="AM299" s="636"/>
      <c r="AN299" s="615"/>
      <c r="AO299" s="615"/>
      <c r="AP299" s="615"/>
      <c r="AQ299" s="615"/>
      <c r="AR299" s="615"/>
      <c r="AS299" s="615"/>
      <c r="AT299" s="615"/>
      <c r="AU299" s="615"/>
      <c r="AV299" s="615"/>
      <c r="AW299" s="615"/>
      <c r="AX299" s="635"/>
      <c r="AY299" s="636"/>
      <c r="AZ299" s="615"/>
      <c r="BA299" s="615"/>
      <c r="BB299" s="615"/>
      <c r="BC299" s="615"/>
      <c r="BD299" s="615"/>
      <c r="BE299" s="615"/>
      <c r="BF299" s="615"/>
      <c r="BG299" s="615"/>
      <c r="BH299" s="615"/>
      <c r="BI299" s="615"/>
      <c r="BJ299" s="635"/>
      <c r="BK299" s="636"/>
      <c r="BL299" s="615"/>
      <c r="BM299" s="615"/>
      <c r="BN299" s="615"/>
      <c r="BO299" s="615"/>
      <c r="BP299" s="615"/>
      <c r="BQ299" s="615"/>
      <c r="BR299" s="615"/>
      <c r="BS299" s="615"/>
      <c r="BT299" s="615"/>
      <c r="BU299" s="615"/>
      <c r="BV299" s="637"/>
      <c r="BW299" s="669"/>
      <c r="BX299" s="615"/>
      <c r="BY299" s="615"/>
      <c r="BZ299" s="615"/>
      <c r="CA299" s="615"/>
      <c r="CB299" s="615"/>
      <c r="CC299" s="615"/>
      <c r="CD299" s="615">
        <v>129</v>
      </c>
      <c r="CE299" s="615"/>
      <c r="CF299" s="615"/>
      <c r="CG299" s="615"/>
      <c r="CH299" s="635"/>
      <c r="CI299" s="636"/>
      <c r="CJ299" s="615"/>
      <c r="CK299" s="615"/>
      <c r="CL299" s="615"/>
      <c r="CM299" s="615"/>
      <c r="CN299" s="615"/>
      <c r="CO299" s="615"/>
      <c r="CP299" s="615"/>
      <c r="CQ299" s="615"/>
      <c r="CR299" s="615"/>
      <c r="CS299" s="615"/>
      <c r="CT299" s="635"/>
      <c r="CU299" s="636"/>
      <c r="CV299" s="615"/>
      <c r="CW299" s="615"/>
      <c r="CX299" s="615"/>
      <c r="CY299" s="615"/>
      <c r="CZ299" s="615"/>
      <c r="DA299" s="615"/>
      <c r="DB299" s="615"/>
      <c r="DC299" s="615"/>
      <c r="DD299" s="615"/>
      <c r="DE299" s="615"/>
      <c r="DF299" s="635"/>
      <c r="DG299" s="636"/>
      <c r="DH299" s="615"/>
      <c r="DI299" s="615"/>
      <c r="DJ299" s="615"/>
      <c r="DK299" s="615"/>
      <c r="DL299" s="615"/>
      <c r="DM299" s="615"/>
      <c r="DN299" s="615"/>
      <c r="DO299" s="615"/>
      <c r="DP299" s="615"/>
      <c r="DQ299" s="615"/>
      <c r="DR299" s="635"/>
      <c r="DS299" s="636"/>
      <c r="DT299" s="615"/>
      <c r="DU299" s="615"/>
      <c r="DV299" s="615"/>
      <c r="DW299" s="615"/>
      <c r="DX299" s="615"/>
      <c r="DY299" s="615"/>
      <c r="DZ299" s="615"/>
      <c r="EA299" s="615"/>
      <c r="EB299" s="615"/>
      <c r="EC299" s="615"/>
      <c r="ED299" s="637"/>
      <c r="EE299" s="692"/>
    </row>
    <row r="300" spans="1:135" x14ac:dyDescent="0.25">
      <c r="A300" s="640" t="s">
        <v>11</v>
      </c>
      <c r="B300" s="367" t="s">
        <v>1717</v>
      </c>
      <c r="C300" s="367" t="s">
        <v>405</v>
      </c>
      <c r="D300" s="367" t="s">
        <v>1718</v>
      </c>
      <c r="E300" s="503" t="s">
        <v>1701</v>
      </c>
      <c r="F300" s="570">
        <v>44701</v>
      </c>
      <c r="G300" s="85" t="s">
        <v>58</v>
      </c>
      <c r="H300" s="85" t="s">
        <v>54</v>
      </c>
      <c r="I300" s="85" t="s">
        <v>358</v>
      </c>
      <c r="J300" s="675" t="s">
        <v>358</v>
      </c>
      <c r="K300" s="85" t="s">
        <v>358</v>
      </c>
      <c r="L300" s="85" t="s">
        <v>40</v>
      </c>
      <c r="M300" s="85" t="s">
        <v>3</v>
      </c>
      <c r="N300" s="668" t="s">
        <v>44</v>
      </c>
      <c r="O300" s="669"/>
      <c r="P300" s="615"/>
      <c r="Q300" s="615"/>
      <c r="R300" s="615"/>
      <c r="S300" s="615"/>
      <c r="T300" s="615"/>
      <c r="U300" s="615">
        <v>-10.3</v>
      </c>
      <c r="V300" s="615"/>
      <c r="W300" s="615"/>
      <c r="X300" s="615"/>
      <c r="Y300" s="615"/>
      <c r="Z300" s="635"/>
      <c r="AA300" s="636"/>
      <c r="AB300" s="615"/>
      <c r="AC300" s="615"/>
      <c r="AD300" s="615"/>
      <c r="AE300" s="615"/>
      <c r="AF300" s="615"/>
      <c r="AG300" s="615"/>
      <c r="AH300" s="615"/>
      <c r="AI300" s="615"/>
      <c r="AJ300" s="615"/>
      <c r="AK300" s="615"/>
      <c r="AL300" s="635"/>
      <c r="AM300" s="636"/>
      <c r="AN300" s="615"/>
      <c r="AO300" s="615"/>
      <c r="AP300" s="615"/>
      <c r="AQ300" s="615"/>
      <c r="AR300" s="615"/>
      <c r="AS300" s="615"/>
      <c r="AT300" s="615"/>
      <c r="AU300" s="615"/>
      <c r="AV300" s="615"/>
      <c r="AW300" s="615"/>
      <c r="AX300" s="635"/>
      <c r="AY300" s="636"/>
      <c r="AZ300" s="615"/>
      <c r="BA300" s="615"/>
      <c r="BB300" s="615"/>
      <c r="BC300" s="615"/>
      <c r="BD300" s="615"/>
      <c r="BE300" s="615"/>
      <c r="BF300" s="615"/>
      <c r="BG300" s="615"/>
      <c r="BH300" s="615"/>
      <c r="BI300" s="615"/>
      <c r="BJ300" s="635"/>
      <c r="BK300" s="636"/>
      <c r="BL300" s="615"/>
      <c r="BM300" s="615"/>
      <c r="BN300" s="615"/>
      <c r="BO300" s="615"/>
      <c r="BP300" s="615"/>
      <c r="BQ300" s="615"/>
      <c r="BR300" s="615"/>
      <c r="BS300" s="615"/>
      <c r="BT300" s="615"/>
      <c r="BU300" s="615"/>
      <c r="BV300" s="637"/>
      <c r="BW300" s="669"/>
      <c r="BX300" s="615"/>
      <c r="BY300" s="615"/>
      <c r="BZ300" s="615"/>
      <c r="CA300" s="615"/>
      <c r="CB300" s="615"/>
      <c r="CC300" s="615">
        <v>115</v>
      </c>
      <c r="CD300" s="615"/>
      <c r="CE300" s="615"/>
      <c r="CF300" s="615"/>
      <c r="CG300" s="615"/>
      <c r="CH300" s="635"/>
      <c r="CI300" s="636"/>
      <c r="CJ300" s="615"/>
      <c r="CK300" s="615"/>
      <c r="CL300" s="615"/>
      <c r="CM300" s="615"/>
      <c r="CN300" s="615"/>
      <c r="CO300" s="615"/>
      <c r="CP300" s="615"/>
      <c r="CQ300" s="615"/>
      <c r="CR300" s="615"/>
      <c r="CS300" s="615"/>
      <c r="CT300" s="635"/>
      <c r="CU300" s="636"/>
      <c r="CV300" s="615"/>
      <c r="CW300" s="615"/>
      <c r="CX300" s="615"/>
      <c r="CY300" s="615"/>
      <c r="CZ300" s="615"/>
      <c r="DA300" s="615"/>
      <c r="DB300" s="615"/>
      <c r="DC300" s="615"/>
      <c r="DD300" s="615"/>
      <c r="DE300" s="615"/>
      <c r="DF300" s="635"/>
      <c r="DG300" s="636"/>
      <c r="DH300" s="615"/>
      <c r="DI300" s="615"/>
      <c r="DJ300" s="615"/>
      <c r="DK300" s="615"/>
      <c r="DL300" s="615"/>
      <c r="DM300" s="615"/>
      <c r="DN300" s="615"/>
      <c r="DO300" s="615"/>
      <c r="DP300" s="615"/>
      <c r="DQ300" s="615"/>
      <c r="DR300" s="635"/>
      <c r="DS300" s="636"/>
      <c r="DT300" s="615"/>
      <c r="DU300" s="615"/>
      <c r="DV300" s="615"/>
      <c r="DW300" s="615"/>
      <c r="DX300" s="615"/>
      <c r="DY300" s="615"/>
      <c r="DZ300" s="615"/>
      <c r="EA300" s="615"/>
      <c r="EB300" s="615"/>
      <c r="EC300" s="615"/>
      <c r="ED300" s="637"/>
      <c r="EE300" s="692"/>
    </row>
    <row r="301" spans="1:135" x14ac:dyDescent="0.25">
      <c r="A301" s="640" t="s">
        <v>11</v>
      </c>
      <c r="B301" s="367" t="s">
        <v>1719</v>
      </c>
      <c r="C301" s="367" t="s">
        <v>349</v>
      </c>
      <c r="D301" s="367" t="s">
        <v>1720</v>
      </c>
      <c r="E301" s="503" t="s">
        <v>1702</v>
      </c>
      <c r="F301" s="570">
        <v>44701</v>
      </c>
      <c r="G301" s="85" t="s">
        <v>58</v>
      </c>
      <c r="H301" s="85" t="s">
        <v>54</v>
      </c>
      <c r="I301" s="85" t="s">
        <v>358</v>
      </c>
      <c r="J301" s="675" t="s">
        <v>358</v>
      </c>
      <c r="K301" s="85" t="s">
        <v>358</v>
      </c>
      <c r="L301" s="85" t="s">
        <v>40</v>
      </c>
      <c r="M301" s="85" t="s">
        <v>3</v>
      </c>
      <c r="N301" s="668" t="s">
        <v>44</v>
      </c>
      <c r="O301" s="669"/>
      <c r="P301" s="615"/>
      <c r="Q301" s="615"/>
      <c r="R301" s="615"/>
      <c r="S301" s="615"/>
      <c r="T301" s="615"/>
      <c r="U301" s="615"/>
      <c r="V301" s="615"/>
      <c r="W301" s="615"/>
      <c r="X301" s="615">
        <v>-1</v>
      </c>
      <c r="Y301" s="615"/>
      <c r="Z301" s="635"/>
      <c r="AA301" s="636"/>
      <c r="AB301" s="615"/>
      <c r="AC301" s="615"/>
      <c r="AD301" s="615"/>
      <c r="AE301" s="615"/>
      <c r="AF301" s="615"/>
      <c r="AG301" s="615"/>
      <c r="AH301" s="615"/>
      <c r="AI301" s="615"/>
      <c r="AJ301" s="615"/>
      <c r="AK301" s="615"/>
      <c r="AL301" s="635"/>
      <c r="AM301" s="636"/>
      <c r="AN301" s="615"/>
      <c r="AO301" s="615"/>
      <c r="AP301" s="615"/>
      <c r="AQ301" s="615"/>
      <c r="AR301" s="615"/>
      <c r="AS301" s="615"/>
      <c r="AT301" s="615"/>
      <c r="AU301" s="615"/>
      <c r="AV301" s="615"/>
      <c r="AW301" s="615"/>
      <c r="AX301" s="635"/>
      <c r="AY301" s="636"/>
      <c r="AZ301" s="615"/>
      <c r="BA301" s="615"/>
      <c r="BB301" s="615"/>
      <c r="BC301" s="615"/>
      <c r="BD301" s="615"/>
      <c r="BE301" s="615"/>
      <c r="BF301" s="615"/>
      <c r="BG301" s="615"/>
      <c r="BH301" s="615"/>
      <c r="BI301" s="615"/>
      <c r="BJ301" s="635"/>
      <c r="BK301" s="636"/>
      <c r="BL301" s="615"/>
      <c r="BM301" s="615"/>
      <c r="BN301" s="615"/>
      <c r="BO301" s="615"/>
      <c r="BP301" s="615"/>
      <c r="BQ301" s="615"/>
      <c r="BR301" s="615"/>
      <c r="BS301" s="615"/>
      <c r="BT301" s="615"/>
      <c r="BU301" s="615"/>
      <c r="BV301" s="637"/>
      <c r="BW301" s="669"/>
      <c r="BX301" s="615"/>
      <c r="BY301" s="615"/>
      <c r="BZ301" s="615"/>
      <c r="CA301" s="615"/>
      <c r="CB301" s="615"/>
      <c r="CC301" s="615"/>
      <c r="CD301" s="615"/>
      <c r="CE301" s="615"/>
      <c r="CF301" s="615">
        <v>160</v>
      </c>
      <c r="CG301" s="615"/>
      <c r="CH301" s="635"/>
      <c r="CI301" s="636"/>
      <c r="CJ301" s="615"/>
      <c r="CK301" s="615"/>
      <c r="CL301" s="615"/>
      <c r="CM301" s="615"/>
      <c r="CN301" s="615"/>
      <c r="CO301" s="615"/>
      <c r="CP301" s="615"/>
      <c r="CQ301" s="615"/>
      <c r="CR301" s="615"/>
      <c r="CS301" s="615"/>
      <c r="CT301" s="635"/>
      <c r="CU301" s="636"/>
      <c r="CV301" s="615"/>
      <c r="CW301" s="615"/>
      <c r="CX301" s="615"/>
      <c r="CY301" s="615"/>
      <c r="CZ301" s="615"/>
      <c r="DA301" s="615"/>
      <c r="DB301" s="615"/>
      <c r="DC301" s="615"/>
      <c r="DD301" s="615"/>
      <c r="DE301" s="615"/>
      <c r="DF301" s="635"/>
      <c r="DG301" s="636"/>
      <c r="DH301" s="615"/>
      <c r="DI301" s="615"/>
      <c r="DJ301" s="615"/>
      <c r="DK301" s="615"/>
      <c r="DL301" s="615"/>
      <c r="DM301" s="615"/>
      <c r="DN301" s="615"/>
      <c r="DO301" s="615"/>
      <c r="DP301" s="615"/>
      <c r="DQ301" s="615"/>
      <c r="DR301" s="635"/>
      <c r="DS301" s="636"/>
      <c r="DT301" s="615"/>
      <c r="DU301" s="615"/>
      <c r="DV301" s="615"/>
      <c r="DW301" s="615"/>
      <c r="DX301" s="615"/>
      <c r="DY301" s="615"/>
      <c r="DZ301" s="615"/>
      <c r="EA301" s="615"/>
      <c r="EB301" s="615"/>
      <c r="EC301" s="615"/>
      <c r="ED301" s="637"/>
      <c r="EE301" s="692"/>
    </row>
    <row r="302" spans="1:135" x14ac:dyDescent="0.25">
      <c r="A302" s="640" t="s">
        <v>11</v>
      </c>
      <c r="B302" s="367" t="s">
        <v>1724</v>
      </c>
      <c r="C302" s="367" t="s">
        <v>585</v>
      </c>
      <c r="D302" s="367" t="s">
        <v>1725</v>
      </c>
      <c r="E302" s="503" t="s">
        <v>1722</v>
      </c>
      <c r="F302" s="570">
        <v>44704</v>
      </c>
      <c r="G302" s="85" t="s">
        <v>58</v>
      </c>
      <c r="H302" s="85" t="s">
        <v>54</v>
      </c>
      <c r="I302" s="85" t="s">
        <v>358</v>
      </c>
      <c r="J302" s="675" t="s">
        <v>358</v>
      </c>
      <c r="K302" s="85" t="s">
        <v>358</v>
      </c>
      <c r="L302" s="85" t="s">
        <v>40</v>
      </c>
      <c r="M302" s="85" t="s">
        <v>3</v>
      </c>
      <c r="N302" s="668" t="s">
        <v>44</v>
      </c>
      <c r="O302" s="669"/>
      <c r="P302" s="615"/>
      <c r="Q302" s="615"/>
      <c r="R302" s="615"/>
      <c r="S302" s="615"/>
      <c r="T302" s="615"/>
      <c r="U302" s="615"/>
      <c r="V302" s="615"/>
      <c r="W302" s="615"/>
      <c r="X302" s="615">
        <v>-13.6</v>
      </c>
      <c r="Y302" s="615"/>
      <c r="Z302" s="635"/>
      <c r="AA302" s="636"/>
      <c r="AB302" s="615"/>
      <c r="AC302" s="615"/>
      <c r="AD302" s="615"/>
      <c r="AE302" s="615"/>
      <c r="AF302" s="615"/>
      <c r="AG302" s="615"/>
      <c r="AH302" s="615"/>
      <c r="AI302" s="615"/>
      <c r="AJ302" s="615"/>
      <c r="AK302" s="615"/>
      <c r="AL302" s="635"/>
      <c r="AM302" s="636"/>
      <c r="AN302" s="615"/>
      <c r="AO302" s="615"/>
      <c r="AP302" s="615"/>
      <c r="AQ302" s="615"/>
      <c r="AR302" s="615"/>
      <c r="AS302" s="615"/>
      <c r="AT302" s="615"/>
      <c r="AU302" s="615"/>
      <c r="AV302" s="615"/>
      <c r="AW302" s="615"/>
      <c r="AX302" s="635"/>
      <c r="AY302" s="636"/>
      <c r="AZ302" s="615"/>
      <c r="BA302" s="615"/>
      <c r="BB302" s="615"/>
      <c r="BC302" s="615"/>
      <c r="BD302" s="615"/>
      <c r="BE302" s="615"/>
      <c r="BF302" s="615"/>
      <c r="BG302" s="615"/>
      <c r="BH302" s="615"/>
      <c r="BI302" s="615"/>
      <c r="BJ302" s="635"/>
      <c r="BK302" s="636"/>
      <c r="BL302" s="615"/>
      <c r="BM302" s="615"/>
      <c r="BN302" s="615"/>
      <c r="BO302" s="615"/>
      <c r="BP302" s="615"/>
      <c r="BQ302" s="615"/>
      <c r="BR302" s="615"/>
      <c r="BS302" s="615"/>
      <c r="BT302" s="615"/>
      <c r="BU302" s="615"/>
      <c r="BV302" s="637"/>
      <c r="BW302" s="669"/>
      <c r="BX302" s="615"/>
      <c r="BY302" s="615"/>
      <c r="BZ302" s="615"/>
      <c r="CA302" s="615"/>
      <c r="CB302" s="615"/>
      <c r="CC302" s="615"/>
      <c r="CD302" s="615"/>
      <c r="CE302" s="615"/>
      <c r="CF302" s="615">
        <v>157</v>
      </c>
      <c r="CG302" s="615"/>
      <c r="CH302" s="635"/>
      <c r="CI302" s="636"/>
      <c r="CJ302" s="615"/>
      <c r="CK302" s="615"/>
      <c r="CL302" s="615"/>
      <c r="CM302" s="615"/>
      <c r="CN302" s="615"/>
      <c r="CO302" s="615"/>
      <c r="CP302" s="615"/>
      <c r="CQ302" s="615"/>
      <c r="CR302" s="615"/>
      <c r="CS302" s="615"/>
      <c r="CT302" s="635"/>
      <c r="CU302" s="636"/>
      <c r="CV302" s="615"/>
      <c r="CW302" s="615"/>
      <c r="CX302" s="615"/>
      <c r="CY302" s="615"/>
      <c r="CZ302" s="615"/>
      <c r="DA302" s="615"/>
      <c r="DB302" s="615"/>
      <c r="DC302" s="615"/>
      <c r="DD302" s="615"/>
      <c r="DE302" s="615"/>
      <c r="DF302" s="635"/>
      <c r="DG302" s="636"/>
      <c r="DH302" s="615"/>
      <c r="DI302" s="615"/>
      <c r="DJ302" s="615"/>
      <c r="DK302" s="615"/>
      <c r="DL302" s="615"/>
      <c r="DM302" s="615"/>
      <c r="DN302" s="615"/>
      <c r="DO302" s="615"/>
      <c r="DP302" s="615"/>
      <c r="DQ302" s="615"/>
      <c r="DR302" s="635"/>
      <c r="DS302" s="636"/>
      <c r="DT302" s="615"/>
      <c r="DU302" s="615"/>
      <c r="DV302" s="615"/>
      <c r="DW302" s="615"/>
      <c r="DX302" s="615"/>
      <c r="DY302" s="615"/>
      <c r="DZ302" s="615"/>
      <c r="EA302" s="615"/>
      <c r="EB302" s="615"/>
      <c r="EC302" s="615"/>
      <c r="ED302" s="637"/>
      <c r="EE302" s="692"/>
    </row>
    <row r="303" spans="1:135" x14ac:dyDescent="0.25">
      <c r="A303" s="640" t="s">
        <v>11</v>
      </c>
      <c r="B303" s="367" t="s">
        <v>1726</v>
      </c>
      <c r="C303" s="367" t="s">
        <v>902</v>
      </c>
      <c r="D303" s="367" t="s">
        <v>1727</v>
      </c>
      <c r="E303" s="503" t="s">
        <v>1723</v>
      </c>
      <c r="F303" s="570">
        <v>44704</v>
      </c>
      <c r="G303" s="85" t="s">
        <v>58</v>
      </c>
      <c r="H303" s="85" t="s">
        <v>54</v>
      </c>
      <c r="I303" s="85" t="s">
        <v>358</v>
      </c>
      <c r="J303" s="675" t="s">
        <v>358</v>
      </c>
      <c r="K303" s="85" t="s">
        <v>358</v>
      </c>
      <c r="L303" s="85" t="s">
        <v>40</v>
      </c>
      <c r="M303" s="85" t="s">
        <v>3</v>
      </c>
      <c r="N303" s="668" t="s">
        <v>44</v>
      </c>
      <c r="O303" s="669"/>
      <c r="P303" s="615"/>
      <c r="Q303" s="615"/>
      <c r="R303" s="615"/>
      <c r="S303" s="615"/>
      <c r="T303" s="615"/>
      <c r="U303" s="615"/>
      <c r="V303" s="615"/>
      <c r="W303" s="615"/>
      <c r="X303" s="615">
        <v>-3</v>
      </c>
      <c r="Y303" s="615"/>
      <c r="Z303" s="635"/>
      <c r="AA303" s="636"/>
      <c r="AB303" s="615"/>
      <c r="AC303" s="615"/>
      <c r="AD303" s="615"/>
      <c r="AE303" s="615"/>
      <c r="AF303" s="615"/>
      <c r="AG303" s="615"/>
      <c r="AH303" s="615"/>
      <c r="AI303" s="615"/>
      <c r="AJ303" s="615"/>
      <c r="AK303" s="615"/>
      <c r="AL303" s="635"/>
      <c r="AM303" s="636"/>
      <c r="AN303" s="615"/>
      <c r="AO303" s="615"/>
      <c r="AP303" s="615"/>
      <c r="AQ303" s="615"/>
      <c r="AR303" s="615"/>
      <c r="AS303" s="615"/>
      <c r="AT303" s="615"/>
      <c r="AU303" s="615"/>
      <c r="AV303" s="615"/>
      <c r="AW303" s="615"/>
      <c r="AX303" s="635"/>
      <c r="AY303" s="636"/>
      <c r="AZ303" s="615"/>
      <c r="BA303" s="615"/>
      <c r="BB303" s="615"/>
      <c r="BC303" s="615"/>
      <c r="BD303" s="615"/>
      <c r="BE303" s="615"/>
      <c r="BF303" s="615"/>
      <c r="BG303" s="615"/>
      <c r="BH303" s="615"/>
      <c r="BI303" s="615"/>
      <c r="BJ303" s="635"/>
      <c r="BK303" s="636"/>
      <c r="BL303" s="615"/>
      <c r="BM303" s="615"/>
      <c r="BN303" s="615"/>
      <c r="BO303" s="615"/>
      <c r="BP303" s="615"/>
      <c r="BQ303" s="615"/>
      <c r="BR303" s="615"/>
      <c r="BS303" s="615"/>
      <c r="BT303" s="615"/>
      <c r="BU303" s="615"/>
      <c r="BV303" s="637"/>
      <c r="BW303" s="669"/>
      <c r="BX303" s="615"/>
      <c r="BY303" s="615"/>
      <c r="BZ303" s="615"/>
      <c r="CA303" s="615"/>
      <c r="CB303" s="615"/>
      <c r="CC303" s="615"/>
      <c r="CD303" s="615"/>
      <c r="CE303" s="615"/>
      <c r="CF303" s="615">
        <v>151</v>
      </c>
      <c r="CG303" s="615"/>
      <c r="CH303" s="635"/>
      <c r="CI303" s="636"/>
      <c r="CJ303" s="615"/>
      <c r="CK303" s="615"/>
      <c r="CL303" s="615"/>
      <c r="CM303" s="615"/>
      <c r="CN303" s="615"/>
      <c r="CO303" s="615"/>
      <c r="CP303" s="615"/>
      <c r="CQ303" s="615"/>
      <c r="CR303" s="615"/>
      <c r="CS303" s="615"/>
      <c r="CT303" s="635"/>
      <c r="CU303" s="636"/>
      <c r="CV303" s="615"/>
      <c r="CW303" s="615"/>
      <c r="CX303" s="615"/>
      <c r="CY303" s="615"/>
      <c r="CZ303" s="615"/>
      <c r="DA303" s="615"/>
      <c r="DB303" s="615"/>
      <c r="DC303" s="615"/>
      <c r="DD303" s="615"/>
      <c r="DE303" s="615"/>
      <c r="DF303" s="635"/>
      <c r="DG303" s="636"/>
      <c r="DH303" s="615"/>
      <c r="DI303" s="615"/>
      <c r="DJ303" s="615"/>
      <c r="DK303" s="615"/>
      <c r="DL303" s="615"/>
      <c r="DM303" s="615"/>
      <c r="DN303" s="615"/>
      <c r="DO303" s="615"/>
      <c r="DP303" s="615"/>
      <c r="DQ303" s="615"/>
      <c r="DR303" s="635"/>
      <c r="DS303" s="636"/>
      <c r="DT303" s="615"/>
      <c r="DU303" s="615"/>
      <c r="DV303" s="615"/>
      <c r="DW303" s="615"/>
      <c r="DX303" s="615"/>
      <c r="DY303" s="615"/>
      <c r="DZ303" s="615"/>
      <c r="EA303" s="615"/>
      <c r="EB303" s="615"/>
      <c r="EC303" s="615"/>
      <c r="ED303" s="637"/>
      <c r="EE303" s="692"/>
    </row>
    <row r="304" spans="1:135" x14ac:dyDescent="0.25">
      <c r="A304" s="640" t="s">
        <v>11</v>
      </c>
      <c r="B304" s="367" t="s">
        <v>1754</v>
      </c>
      <c r="C304" s="367" t="s">
        <v>902</v>
      </c>
      <c r="D304" s="367" t="s">
        <v>1755</v>
      </c>
      <c r="E304" s="503" t="s">
        <v>1745</v>
      </c>
      <c r="F304" s="570">
        <v>44706</v>
      </c>
      <c r="G304" s="85" t="s">
        <v>58</v>
      </c>
      <c r="H304" s="85" t="s">
        <v>54</v>
      </c>
      <c r="I304" s="85" t="s">
        <v>358</v>
      </c>
      <c r="J304" s="675" t="s">
        <v>358</v>
      </c>
      <c r="K304" s="85" t="s">
        <v>358</v>
      </c>
      <c r="L304" s="85" t="s">
        <v>40</v>
      </c>
      <c r="M304" s="85" t="s">
        <v>3</v>
      </c>
      <c r="N304" s="668" t="s">
        <v>44</v>
      </c>
      <c r="O304" s="669"/>
      <c r="P304" s="615"/>
      <c r="Q304" s="615"/>
      <c r="R304" s="615"/>
      <c r="S304" s="615"/>
      <c r="T304" s="615"/>
      <c r="U304" s="615"/>
      <c r="V304" s="615"/>
      <c r="W304" s="615"/>
      <c r="X304" s="615"/>
      <c r="Y304" s="615">
        <v>-0.5</v>
      </c>
      <c r="Z304" s="635"/>
      <c r="AA304" s="636"/>
      <c r="AB304" s="615"/>
      <c r="AC304" s="615"/>
      <c r="AD304" s="615"/>
      <c r="AE304" s="615"/>
      <c r="AF304" s="615"/>
      <c r="AG304" s="615"/>
      <c r="AH304" s="615"/>
      <c r="AI304" s="615"/>
      <c r="AJ304" s="615"/>
      <c r="AK304" s="615"/>
      <c r="AL304" s="635"/>
      <c r="AM304" s="636"/>
      <c r="AN304" s="615"/>
      <c r="AO304" s="615"/>
      <c r="AP304" s="615"/>
      <c r="AQ304" s="615"/>
      <c r="AR304" s="615"/>
      <c r="AS304" s="615"/>
      <c r="AT304" s="615"/>
      <c r="AU304" s="615"/>
      <c r="AV304" s="615"/>
      <c r="AW304" s="615"/>
      <c r="AX304" s="635"/>
      <c r="AY304" s="636"/>
      <c r="AZ304" s="615"/>
      <c r="BA304" s="615"/>
      <c r="BB304" s="615"/>
      <c r="BC304" s="615"/>
      <c r="BD304" s="615"/>
      <c r="BE304" s="615"/>
      <c r="BF304" s="615"/>
      <c r="BG304" s="615"/>
      <c r="BH304" s="615"/>
      <c r="BI304" s="615"/>
      <c r="BJ304" s="635"/>
      <c r="BK304" s="636"/>
      <c r="BL304" s="615"/>
      <c r="BM304" s="615"/>
      <c r="BN304" s="615"/>
      <c r="BO304" s="615"/>
      <c r="BP304" s="615"/>
      <c r="BQ304" s="615"/>
      <c r="BR304" s="615"/>
      <c r="BS304" s="615"/>
      <c r="BT304" s="615"/>
      <c r="BU304" s="615"/>
      <c r="BV304" s="637"/>
      <c r="BW304" s="669"/>
      <c r="BX304" s="615"/>
      <c r="BY304" s="615"/>
      <c r="BZ304" s="615"/>
      <c r="CA304" s="615"/>
      <c r="CB304" s="615"/>
      <c r="CC304" s="615"/>
      <c r="CD304" s="615"/>
      <c r="CE304" s="615"/>
      <c r="CF304" s="615"/>
      <c r="CG304" s="615">
        <v>139</v>
      </c>
      <c r="CH304" s="635"/>
      <c r="CI304" s="636"/>
      <c r="CJ304" s="615"/>
      <c r="CK304" s="615"/>
      <c r="CL304" s="615"/>
      <c r="CM304" s="615"/>
      <c r="CN304" s="615"/>
      <c r="CO304" s="615"/>
      <c r="CP304" s="615"/>
      <c r="CQ304" s="615"/>
      <c r="CR304" s="615"/>
      <c r="CS304" s="615"/>
      <c r="CT304" s="635"/>
      <c r="CU304" s="636"/>
      <c r="CV304" s="615"/>
      <c r="CW304" s="615"/>
      <c r="CX304" s="615"/>
      <c r="CY304" s="615"/>
      <c r="CZ304" s="615"/>
      <c r="DA304" s="615"/>
      <c r="DB304" s="615"/>
      <c r="DC304" s="615"/>
      <c r="DD304" s="615"/>
      <c r="DE304" s="615"/>
      <c r="DF304" s="635"/>
      <c r="DG304" s="636"/>
      <c r="DH304" s="615"/>
      <c r="DI304" s="615"/>
      <c r="DJ304" s="615"/>
      <c r="DK304" s="615"/>
      <c r="DL304" s="615"/>
      <c r="DM304" s="615"/>
      <c r="DN304" s="615"/>
      <c r="DO304" s="615"/>
      <c r="DP304" s="615"/>
      <c r="DQ304" s="615"/>
      <c r="DR304" s="635"/>
      <c r="DS304" s="636"/>
      <c r="DT304" s="615"/>
      <c r="DU304" s="615"/>
      <c r="DV304" s="615"/>
      <c r="DW304" s="615"/>
      <c r="DX304" s="615"/>
      <c r="DY304" s="615"/>
      <c r="DZ304" s="615"/>
      <c r="EA304" s="615"/>
      <c r="EB304" s="615"/>
      <c r="EC304" s="615"/>
      <c r="ED304" s="637"/>
      <c r="EE304" s="692"/>
    </row>
    <row r="305" spans="1:135" x14ac:dyDescent="0.25">
      <c r="A305" s="640" t="s">
        <v>12</v>
      </c>
      <c r="B305" s="367" t="s">
        <v>1780</v>
      </c>
      <c r="C305" s="367" t="s">
        <v>967</v>
      </c>
      <c r="D305" s="367" t="s">
        <v>1781</v>
      </c>
      <c r="E305" s="503" t="s">
        <v>1770</v>
      </c>
      <c r="F305" s="570">
        <v>44713</v>
      </c>
      <c r="G305" s="85" t="s">
        <v>59</v>
      </c>
      <c r="H305" s="85" t="s">
        <v>92</v>
      </c>
      <c r="I305" s="85" t="s">
        <v>358</v>
      </c>
      <c r="J305" s="675" t="s">
        <v>358</v>
      </c>
      <c r="K305" s="85" t="s">
        <v>358</v>
      </c>
      <c r="L305" s="85" t="s">
        <v>40</v>
      </c>
      <c r="M305" s="85" t="s">
        <v>6</v>
      </c>
      <c r="N305" s="668" t="s">
        <v>44</v>
      </c>
      <c r="O305" s="669"/>
      <c r="P305" s="615"/>
      <c r="Q305" s="615"/>
      <c r="R305" s="615"/>
      <c r="S305" s="615">
        <v>3</v>
      </c>
      <c r="T305" s="615"/>
      <c r="U305" s="615"/>
      <c r="V305" s="615"/>
      <c r="W305" s="615"/>
      <c r="X305" s="615"/>
      <c r="Y305" s="615"/>
      <c r="Z305" s="635"/>
      <c r="AA305" s="636"/>
      <c r="AB305" s="615"/>
      <c r="AC305" s="615"/>
      <c r="AD305" s="615"/>
      <c r="AE305" s="615"/>
      <c r="AF305" s="615"/>
      <c r="AG305" s="615"/>
      <c r="AH305" s="615"/>
      <c r="AI305" s="615"/>
      <c r="AJ305" s="615"/>
      <c r="AK305" s="615"/>
      <c r="AL305" s="635"/>
      <c r="AM305" s="636"/>
      <c r="AN305" s="615"/>
      <c r="AO305" s="615"/>
      <c r="AP305" s="615"/>
      <c r="AQ305" s="615"/>
      <c r="AR305" s="615"/>
      <c r="AS305" s="615"/>
      <c r="AT305" s="615"/>
      <c r="AU305" s="615"/>
      <c r="AV305" s="615"/>
      <c r="AW305" s="615"/>
      <c r="AX305" s="635"/>
      <c r="AY305" s="636"/>
      <c r="AZ305" s="615"/>
      <c r="BA305" s="615"/>
      <c r="BB305" s="615"/>
      <c r="BC305" s="615"/>
      <c r="BD305" s="615"/>
      <c r="BE305" s="615"/>
      <c r="BF305" s="615"/>
      <c r="BG305" s="615"/>
      <c r="BH305" s="615"/>
      <c r="BI305" s="615"/>
      <c r="BJ305" s="635"/>
      <c r="BK305" s="636"/>
      <c r="BL305" s="615"/>
      <c r="BM305" s="615"/>
      <c r="BN305" s="615"/>
      <c r="BO305" s="615"/>
      <c r="BP305" s="615"/>
      <c r="BQ305" s="615"/>
      <c r="BR305" s="615"/>
      <c r="BS305" s="615"/>
      <c r="BT305" s="615"/>
      <c r="BU305" s="615"/>
      <c r="BV305" s="637"/>
      <c r="BW305" s="669"/>
      <c r="BX305" s="615"/>
      <c r="BY305" s="615"/>
      <c r="BZ305" s="615"/>
      <c r="CA305" s="615">
        <v>245.7</v>
      </c>
      <c r="CB305" s="615"/>
      <c r="CC305" s="615"/>
      <c r="CD305" s="615"/>
      <c r="CE305" s="615"/>
      <c r="CF305" s="615"/>
      <c r="CG305" s="615"/>
      <c r="CH305" s="635"/>
      <c r="CI305" s="636"/>
      <c r="CJ305" s="615"/>
      <c r="CK305" s="615"/>
      <c r="CL305" s="615"/>
      <c r="CM305" s="615"/>
      <c r="CN305" s="615"/>
      <c r="CO305" s="615"/>
      <c r="CP305" s="615"/>
      <c r="CQ305" s="615"/>
      <c r="CR305" s="615"/>
      <c r="CS305" s="615"/>
      <c r="CT305" s="635"/>
      <c r="CU305" s="636"/>
      <c r="CV305" s="615"/>
      <c r="CW305" s="615"/>
      <c r="CX305" s="615"/>
      <c r="CY305" s="615"/>
      <c r="CZ305" s="615"/>
      <c r="DA305" s="615"/>
      <c r="DB305" s="615"/>
      <c r="DC305" s="615"/>
      <c r="DD305" s="615"/>
      <c r="DE305" s="615"/>
      <c r="DF305" s="635"/>
      <c r="DG305" s="636"/>
      <c r="DH305" s="615"/>
      <c r="DI305" s="615"/>
      <c r="DJ305" s="615"/>
      <c r="DK305" s="615"/>
      <c r="DL305" s="615"/>
      <c r="DM305" s="615"/>
      <c r="DN305" s="615"/>
      <c r="DO305" s="615"/>
      <c r="DP305" s="615"/>
      <c r="DQ305" s="615"/>
      <c r="DR305" s="635"/>
      <c r="DS305" s="636"/>
      <c r="DT305" s="615"/>
      <c r="DU305" s="615"/>
      <c r="DV305" s="615"/>
      <c r="DW305" s="615"/>
      <c r="DX305" s="615"/>
      <c r="DY305" s="615"/>
      <c r="DZ305" s="615"/>
      <c r="EA305" s="615"/>
      <c r="EB305" s="615"/>
      <c r="EC305" s="615"/>
      <c r="ED305" s="637"/>
      <c r="EE305" s="692"/>
    </row>
    <row r="306" spans="1:135" x14ac:dyDescent="0.25">
      <c r="A306" s="640" t="s">
        <v>11</v>
      </c>
      <c r="B306" s="367" t="s">
        <v>1787</v>
      </c>
      <c r="C306" s="367" t="s">
        <v>502</v>
      </c>
      <c r="D306" s="367" t="s">
        <v>1788</v>
      </c>
      <c r="E306" s="503" t="s">
        <v>1776</v>
      </c>
      <c r="F306" s="570">
        <v>44713</v>
      </c>
      <c r="G306" s="85" t="s">
        <v>59</v>
      </c>
      <c r="H306" s="85" t="s">
        <v>54</v>
      </c>
      <c r="I306" s="85" t="s">
        <v>649</v>
      </c>
      <c r="J306" s="675">
        <v>44713</v>
      </c>
      <c r="K306" s="85">
        <v>1</v>
      </c>
      <c r="L306" s="85" t="s">
        <v>40</v>
      </c>
      <c r="M306" s="85" t="s">
        <v>3</v>
      </c>
      <c r="N306" s="668" t="s">
        <v>44</v>
      </c>
      <c r="O306" s="669"/>
      <c r="P306" s="615"/>
      <c r="Q306" s="615"/>
      <c r="R306" s="615"/>
      <c r="S306" s="615"/>
      <c r="T306" s="615"/>
      <c r="U306" s="615"/>
      <c r="V306" s="615"/>
      <c r="W306" s="615"/>
      <c r="X306" s="615"/>
      <c r="Y306" s="615"/>
      <c r="Z306" s="635"/>
      <c r="AA306" s="636">
        <v>5</v>
      </c>
      <c r="AB306" s="615">
        <v>5</v>
      </c>
      <c r="AC306" s="615">
        <v>5</v>
      </c>
      <c r="AD306" s="615"/>
      <c r="AE306" s="615"/>
      <c r="AF306" s="615"/>
      <c r="AG306" s="615"/>
      <c r="AH306" s="615"/>
      <c r="AI306" s="615"/>
      <c r="AJ306" s="615"/>
      <c r="AK306" s="615"/>
      <c r="AL306" s="635"/>
      <c r="AM306" s="636"/>
      <c r="AN306" s="615"/>
      <c r="AO306" s="615"/>
      <c r="AP306" s="615"/>
      <c r="AQ306" s="615"/>
      <c r="AR306" s="615"/>
      <c r="AS306" s="615"/>
      <c r="AT306" s="615"/>
      <c r="AU306" s="615"/>
      <c r="AV306" s="615"/>
      <c r="AW306" s="615"/>
      <c r="AX306" s="635"/>
      <c r="AY306" s="636"/>
      <c r="AZ306" s="615"/>
      <c r="BA306" s="615"/>
      <c r="BB306" s="615"/>
      <c r="BC306" s="615"/>
      <c r="BD306" s="615"/>
      <c r="BE306" s="615"/>
      <c r="BF306" s="615"/>
      <c r="BG306" s="615"/>
      <c r="BH306" s="615"/>
      <c r="BI306" s="615"/>
      <c r="BJ306" s="635"/>
      <c r="BK306" s="636"/>
      <c r="BL306" s="615"/>
      <c r="BM306" s="615"/>
      <c r="BN306" s="615"/>
      <c r="BO306" s="615"/>
      <c r="BP306" s="615"/>
      <c r="BQ306" s="615"/>
      <c r="BR306" s="615"/>
      <c r="BS306" s="615"/>
      <c r="BT306" s="615"/>
      <c r="BU306" s="615"/>
      <c r="BV306" s="637"/>
      <c r="BW306" s="669"/>
      <c r="BX306" s="615"/>
      <c r="BY306" s="615"/>
      <c r="BZ306" s="615"/>
      <c r="CA306" s="615"/>
      <c r="CB306" s="615"/>
      <c r="CC306" s="615"/>
      <c r="CD306" s="615"/>
      <c r="CE306" s="615"/>
      <c r="CF306" s="615"/>
      <c r="CG306" s="615"/>
      <c r="CH306" s="635"/>
      <c r="CI306" s="636">
        <v>186.50592573143422</v>
      </c>
      <c r="CJ306" s="615">
        <v>186.50592573143422</v>
      </c>
      <c r="CK306" s="615">
        <v>186.50592573143422</v>
      </c>
      <c r="CL306" s="615"/>
      <c r="CM306" s="615"/>
      <c r="CN306" s="615"/>
      <c r="CO306" s="615"/>
      <c r="CP306" s="615"/>
      <c r="CQ306" s="615"/>
      <c r="CR306" s="615"/>
      <c r="CS306" s="615"/>
      <c r="CT306" s="635"/>
      <c r="CU306" s="636"/>
      <c r="CV306" s="615"/>
      <c r="CW306" s="615"/>
      <c r="CX306" s="615"/>
      <c r="CY306" s="615"/>
      <c r="CZ306" s="615"/>
      <c r="DA306" s="615"/>
      <c r="DB306" s="615"/>
      <c r="DC306" s="615"/>
      <c r="DD306" s="615"/>
      <c r="DE306" s="615"/>
      <c r="DF306" s="635"/>
      <c r="DG306" s="636"/>
      <c r="DH306" s="615"/>
      <c r="DI306" s="615"/>
      <c r="DJ306" s="615"/>
      <c r="DK306" s="615"/>
      <c r="DL306" s="615"/>
      <c r="DM306" s="615"/>
      <c r="DN306" s="615"/>
      <c r="DO306" s="615"/>
      <c r="DP306" s="615"/>
      <c r="DQ306" s="615"/>
      <c r="DR306" s="635"/>
      <c r="DS306" s="636"/>
      <c r="DT306" s="615"/>
      <c r="DU306" s="615"/>
      <c r="DV306" s="615"/>
      <c r="DW306" s="615"/>
      <c r="DX306" s="615"/>
      <c r="DY306" s="615"/>
      <c r="DZ306" s="615"/>
      <c r="EA306" s="615"/>
      <c r="EB306" s="615"/>
      <c r="EC306" s="615"/>
      <c r="ED306" s="637"/>
      <c r="EE306" s="692"/>
    </row>
    <row r="307" spans="1:135" x14ac:dyDescent="0.25">
      <c r="A307" s="640" t="s">
        <v>11</v>
      </c>
      <c r="B307" s="367" t="s">
        <v>1790</v>
      </c>
      <c r="C307" s="367" t="s">
        <v>1195</v>
      </c>
      <c r="D307" s="367" t="s">
        <v>1791</v>
      </c>
      <c r="E307" s="503" t="s">
        <v>1778</v>
      </c>
      <c r="F307" s="570">
        <v>44713</v>
      </c>
      <c r="G307" s="85" t="s">
        <v>59</v>
      </c>
      <c r="H307" s="85" t="s">
        <v>54</v>
      </c>
      <c r="I307" s="85" t="s">
        <v>649</v>
      </c>
      <c r="J307" s="675">
        <v>44713</v>
      </c>
      <c r="K307" s="85">
        <v>1</v>
      </c>
      <c r="L307" s="85" t="s">
        <v>40</v>
      </c>
      <c r="M307" s="85" t="s">
        <v>3</v>
      </c>
      <c r="N307" s="668" t="s">
        <v>44</v>
      </c>
      <c r="O307" s="669"/>
      <c r="P307" s="615"/>
      <c r="Q307" s="615"/>
      <c r="R307" s="615"/>
      <c r="S307" s="615"/>
      <c r="T307" s="615"/>
      <c r="U307" s="615"/>
      <c r="V307" s="615"/>
      <c r="W307" s="615"/>
      <c r="X307" s="615"/>
      <c r="Y307" s="615"/>
      <c r="Z307" s="635"/>
      <c r="AA307" s="636">
        <v>5</v>
      </c>
      <c r="AB307" s="615">
        <v>5</v>
      </c>
      <c r="AC307" s="615">
        <v>5</v>
      </c>
      <c r="AD307" s="615"/>
      <c r="AE307" s="615"/>
      <c r="AF307" s="615"/>
      <c r="AG307" s="615"/>
      <c r="AH307" s="615"/>
      <c r="AI307" s="615"/>
      <c r="AJ307" s="615"/>
      <c r="AK307" s="615"/>
      <c r="AL307" s="635"/>
      <c r="AM307" s="636"/>
      <c r="AN307" s="615"/>
      <c r="AO307" s="615"/>
      <c r="AP307" s="615"/>
      <c r="AQ307" s="615"/>
      <c r="AR307" s="615"/>
      <c r="AS307" s="615"/>
      <c r="AT307" s="615"/>
      <c r="AU307" s="615"/>
      <c r="AV307" s="615"/>
      <c r="AW307" s="615"/>
      <c r="AX307" s="635"/>
      <c r="AY307" s="636"/>
      <c r="AZ307" s="615"/>
      <c r="BA307" s="615"/>
      <c r="BB307" s="615"/>
      <c r="BC307" s="615"/>
      <c r="BD307" s="615"/>
      <c r="BE307" s="615"/>
      <c r="BF307" s="615"/>
      <c r="BG307" s="615"/>
      <c r="BH307" s="615"/>
      <c r="BI307" s="615"/>
      <c r="BJ307" s="635"/>
      <c r="BK307" s="636"/>
      <c r="BL307" s="615"/>
      <c r="BM307" s="615"/>
      <c r="BN307" s="615"/>
      <c r="BO307" s="615"/>
      <c r="BP307" s="615"/>
      <c r="BQ307" s="615"/>
      <c r="BR307" s="615"/>
      <c r="BS307" s="615"/>
      <c r="BT307" s="615"/>
      <c r="BU307" s="615"/>
      <c r="BV307" s="637"/>
      <c r="BW307" s="669"/>
      <c r="BX307" s="615"/>
      <c r="BY307" s="615"/>
      <c r="BZ307" s="615"/>
      <c r="CA307" s="615"/>
      <c r="CB307" s="615"/>
      <c r="CC307" s="615"/>
      <c r="CD307" s="615"/>
      <c r="CE307" s="615"/>
      <c r="CF307" s="615"/>
      <c r="CG307" s="615"/>
      <c r="CH307" s="635"/>
      <c r="CI307" s="636">
        <v>181.46522503599004</v>
      </c>
      <c r="CJ307" s="615">
        <v>181.46522503599004</v>
      </c>
      <c r="CK307" s="615">
        <v>181.46522503599004</v>
      </c>
      <c r="CL307" s="615"/>
      <c r="CM307" s="615"/>
      <c r="CN307" s="615"/>
      <c r="CO307" s="615"/>
      <c r="CP307" s="615"/>
      <c r="CQ307" s="615"/>
      <c r="CR307" s="615"/>
      <c r="CS307" s="615"/>
      <c r="CT307" s="635"/>
      <c r="CU307" s="636"/>
      <c r="CV307" s="615"/>
      <c r="CW307" s="615"/>
      <c r="CX307" s="615"/>
      <c r="CY307" s="615"/>
      <c r="CZ307" s="615"/>
      <c r="DA307" s="615"/>
      <c r="DB307" s="615"/>
      <c r="DC307" s="615"/>
      <c r="DD307" s="615"/>
      <c r="DE307" s="615"/>
      <c r="DF307" s="635"/>
      <c r="DG307" s="636"/>
      <c r="DH307" s="615"/>
      <c r="DI307" s="615"/>
      <c r="DJ307" s="615"/>
      <c r="DK307" s="615"/>
      <c r="DL307" s="615"/>
      <c r="DM307" s="615"/>
      <c r="DN307" s="615"/>
      <c r="DO307" s="615"/>
      <c r="DP307" s="615"/>
      <c r="DQ307" s="615"/>
      <c r="DR307" s="635"/>
      <c r="DS307" s="636"/>
      <c r="DT307" s="615"/>
      <c r="DU307" s="615"/>
      <c r="DV307" s="615"/>
      <c r="DW307" s="615"/>
      <c r="DX307" s="615"/>
      <c r="DY307" s="615"/>
      <c r="DZ307" s="615"/>
      <c r="EA307" s="615"/>
      <c r="EB307" s="615"/>
      <c r="EC307" s="615"/>
      <c r="ED307" s="637"/>
      <c r="EE307" s="692"/>
    </row>
    <row r="308" spans="1:135" x14ac:dyDescent="0.25">
      <c r="A308" s="640" t="s">
        <v>11</v>
      </c>
      <c r="B308" s="367" t="s">
        <v>1796</v>
      </c>
      <c r="C308" s="367" t="s">
        <v>944</v>
      </c>
      <c r="D308" s="367" t="s">
        <v>1797</v>
      </c>
      <c r="E308" s="503" t="s">
        <v>1792</v>
      </c>
      <c r="F308" s="570">
        <v>44714</v>
      </c>
      <c r="G308" s="85" t="s">
        <v>59</v>
      </c>
      <c r="H308" s="85" t="s">
        <v>54</v>
      </c>
      <c r="I308" s="85" t="s">
        <v>649</v>
      </c>
      <c r="J308" s="675">
        <v>44714</v>
      </c>
      <c r="K308" s="85">
        <v>1</v>
      </c>
      <c r="L308" s="85" t="s">
        <v>40</v>
      </c>
      <c r="M308" s="85" t="s">
        <v>3</v>
      </c>
      <c r="N308" s="668" t="s">
        <v>44</v>
      </c>
      <c r="O308" s="669"/>
      <c r="P308" s="615"/>
      <c r="Q308" s="615"/>
      <c r="R308" s="615"/>
      <c r="S308" s="615"/>
      <c r="T308" s="615"/>
      <c r="U308" s="615"/>
      <c r="V308" s="615"/>
      <c r="W308" s="615"/>
      <c r="X308" s="615"/>
      <c r="Y308" s="615"/>
      <c r="Z308" s="635"/>
      <c r="AA308" s="636">
        <v>5</v>
      </c>
      <c r="AB308" s="615">
        <v>5</v>
      </c>
      <c r="AC308" s="615">
        <v>5</v>
      </c>
      <c r="AD308" s="615"/>
      <c r="AE308" s="615"/>
      <c r="AF308" s="615"/>
      <c r="AG308" s="615"/>
      <c r="AH308" s="615"/>
      <c r="AI308" s="615"/>
      <c r="AJ308" s="615"/>
      <c r="AK308" s="615"/>
      <c r="AL308" s="635"/>
      <c r="AM308" s="636"/>
      <c r="AN308" s="615"/>
      <c r="AO308" s="615"/>
      <c r="AP308" s="615"/>
      <c r="AQ308" s="615"/>
      <c r="AR308" s="615"/>
      <c r="AS308" s="615"/>
      <c r="AT308" s="615"/>
      <c r="AU308" s="615"/>
      <c r="AV308" s="615"/>
      <c r="AW308" s="615"/>
      <c r="AX308" s="635"/>
      <c r="AY308" s="636"/>
      <c r="AZ308" s="615"/>
      <c r="BA308" s="615"/>
      <c r="BB308" s="615"/>
      <c r="BC308" s="615"/>
      <c r="BD308" s="615"/>
      <c r="BE308" s="615"/>
      <c r="BF308" s="615"/>
      <c r="BG308" s="615"/>
      <c r="BH308" s="615"/>
      <c r="BI308" s="615"/>
      <c r="BJ308" s="635"/>
      <c r="BK308" s="636"/>
      <c r="BL308" s="615"/>
      <c r="BM308" s="615"/>
      <c r="BN308" s="615"/>
      <c r="BO308" s="615"/>
      <c r="BP308" s="615"/>
      <c r="BQ308" s="615"/>
      <c r="BR308" s="615"/>
      <c r="BS308" s="615"/>
      <c r="BT308" s="615"/>
      <c r="BU308" s="615"/>
      <c r="BV308" s="637"/>
      <c r="BW308" s="669"/>
      <c r="BX308" s="615"/>
      <c r="BY308" s="615"/>
      <c r="BZ308" s="615"/>
      <c r="CA308" s="615"/>
      <c r="CB308" s="615"/>
      <c r="CC308" s="615"/>
      <c r="CD308" s="615"/>
      <c r="CE308" s="615"/>
      <c r="CF308" s="615"/>
      <c r="CG308" s="615"/>
      <c r="CH308" s="635"/>
      <c r="CI308" s="636">
        <v>190.53848628778954</v>
      </c>
      <c r="CJ308" s="615">
        <v>190.53848628778954</v>
      </c>
      <c r="CK308" s="615">
        <v>190.53848628778954</v>
      </c>
      <c r="CL308" s="615"/>
      <c r="CM308" s="615"/>
      <c r="CN308" s="615"/>
      <c r="CO308" s="615"/>
      <c r="CP308" s="615"/>
      <c r="CQ308" s="615"/>
      <c r="CR308" s="615"/>
      <c r="CS308" s="615"/>
      <c r="CT308" s="635"/>
      <c r="CU308" s="636"/>
      <c r="CV308" s="615"/>
      <c r="CW308" s="615"/>
      <c r="CX308" s="615"/>
      <c r="CY308" s="615"/>
      <c r="CZ308" s="615"/>
      <c r="DA308" s="615"/>
      <c r="DB308" s="615"/>
      <c r="DC308" s="615"/>
      <c r="DD308" s="615"/>
      <c r="DE308" s="615"/>
      <c r="DF308" s="635"/>
      <c r="DG308" s="636"/>
      <c r="DH308" s="615"/>
      <c r="DI308" s="615"/>
      <c r="DJ308" s="615"/>
      <c r="DK308" s="615"/>
      <c r="DL308" s="615"/>
      <c r="DM308" s="615"/>
      <c r="DN308" s="615"/>
      <c r="DO308" s="615"/>
      <c r="DP308" s="615"/>
      <c r="DQ308" s="615"/>
      <c r="DR308" s="635"/>
      <c r="DS308" s="636"/>
      <c r="DT308" s="615"/>
      <c r="DU308" s="615"/>
      <c r="DV308" s="615"/>
      <c r="DW308" s="615"/>
      <c r="DX308" s="615"/>
      <c r="DY308" s="615"/>
      <c r="DZ308" s="615"/>
      <c r="EA308" s="615"/>
      <c r="EB308" s="615"/>
      <c r="EC308" s="615"/>
      <c r="ED308" s="637"/>
      <c r="EE308" s="692"/>
    </row>
    <row r="309" spans="1:135" x14ac:dyDescent="0.25">
      <c r="A309" s="640" t="s">
        <v>11</v>
      </c>
      <c r="B309" s="367" t="s">
        <v>1804</v>
      </c>
      <c r="C309" s="367" t="s">
        <v>585</v>
      </c>
      <c r="D309" s="367" t="s">
        <v>1805</v>
      </c>
      <c r="E309" s="503" t="s">
        <v>1800</v>
      </c>
      <c r="F309" s="570">
        <v>44715</v>
      </c>
      <c r="G309" s="85" t="s">
        <v>59</v>
      </c>
      <c r="H309" s="85" t="s">
        <v>54</v>
      </c>
      <c r="I309" s="85" t="s">
        <v>649</v>
      </c>
      <c r="J309" s="675">
        <v>44715</v>
      </c>
      <c r="K309" s="85">
        <v>1</v>
      </c>
      <c r="L309" s="85" t="s">
        <v>40</v>
      </c>
      <c r="M309" s="85" t="s">
        <v>3</v>
      </c>
      <c r="N309" s="668" t="s">
        <v>44</v>
      </c>
      <c r="O309" s="669"/>
      <c r="P309" s="615"/>
      <c r="Q309" s="615"/>
      <c r="R309" s="615"/>
      <c r="S309" s="615"/>
      <c r="T309" s="615"/>
      <c r="U309" s="615"/>
      <c r="V309" s="615"/>
      <c r="W309" s="615"/>
      <c r="X309" s="615"/>
      <c r="Y309" s="615"/>
      <c r="Z309" s="635"/>
      <c r="AA309" s="636">
        <v>5</v>
      </c>
      <c r="AB309" s="615">
        <v>5</v>
      </c>
      <c r="AC309" s="615">
        <v>5</v>
      </c>
      <c r="AD309" s="615"/>
      <c r="AE309" s="615"/>
      <c r="AF309" s="615"/>
      <c r="AG309" s="615"/>
      <c r="AH309" s="615"/>
      <c r="AI309" s="615"/>
      <c r="AJ309" s="615"/>
      <c r="AK309" s="615"/>
      <c r="AL309" s="635"/>
      <c r="AM309" s="636"/>
      <c r="AN309" s="615"/>
      <c r="AO309" s="615"/>
      <c r="AP309" s="615"/>
      <c r="AQ309" s="615"/>
      <c r="AR309" s="615"/>
      <c r="AS309" s="615"/>
      <c r="AT309" s="615"/>
      <c r="AU309" s="615"/>
      <c r="AV309" s="615"/>
      <c r="AW309" s="615"/>
      <c r="AX309" s="635"/>
      <c r="AY309" s="636"/>
      <c r="AZ309" s="615"/>
      <c r="BA309" s="615"/>
      <c r="BB309" s="615"/>
      <c r="BC309" s="615"/>
      <c r="BD309" s="615"/>
      <c r="BE309" s="615"/>
      <c r="BF309" s="615"/>
      <c r="BG309" s="615"/>
      <c r="BH309" s="615"/>
      <c r="BI309" s="615"/>
      <c r="BJ309" s="635"/>
      <c r="BK309" s="636"/>
      <c r="BL309" s="615"/>
      <c r="BM309" s="615"/>
      <c r="BN309" s="615"/>
      <c r="BO309" s="615"/>
      <c r="BP309" s="615"/>
      <c r="BQ309" s="615"/>
      <c r="BR309" s="615"/>
      <c r="BS309" s="615"/>
      <c r="BT309" s="615"/>
      <c r="BU309" s="615"/>
      <c r="BV309" s="637"/>
      <c r="BW309" s="669"/>
      <c r="BX309" s="615"/>
      <c r="BY309" s="615"/>
      <c r="BZ309" s="615"/>
      <c r="CA309" s="615"/>
      <c r="CB309" s="615"/>
      <c r="CC309" s="615"/>
      <c r="CD309" s="615"/>
      <c r="CE309" s="615"/>
      <c r="CF309" s="615"/>
      <c r="CG309" s="615"/>
      <c r="CH309" s="635"/>
      <c r="CI309" s="636">
        <v>193.56290670505604</v>
      </c>
      <c r="CJ309" s="615">
        <v>193.56290670505604</v>
      </c>
      <c r="CK309" s="615">
        <v>193.56290670505604</v>
      </c>
      <c r="CL309" s="615"/>
      <c r="CM309" s="615"/>
      <c r="CN309" s="615"/>
      <c r="CO309" s="615"/>
      <c r="CP309" s="615"/>
      <c r="CQ309" s="615"/>
      <c r="CR309" s="615"/>
      <c r="CS309" s="615"/>
      <c r="CT309" s="635"/>
      <c r="CU309" s="636"/>
      <c r="CV309" s="615"/>
      <c r="CW309" s="615"/>
      <c r="CX309" s="615"/>
      <c r="CY309" s="615"/>
      <c r="CZ309" s="615"/>
      <c r="DA309" s="615"/>
      <c r="DB309" s="615"/>
      <c r="DC309" s="615"/>
      <c r="DD309" s="615"/>
      <c r="DE309" s="615"/>
      <c r="DF309" s="635"/>
      <c r="DG309" s="636"/>
      <c r="DH309" s="615"/>
      <c r="DI309" s="615"/>
      <c r="DJ309" s="615"/>
      <c r="DK309" s="615"/>
      <c r="DL309" s="615"/>
      <c r="DM309" s="615"/>
      <c r="DN309" s="615"/>
      <c r="DO309" s="615"/>
      <c r="DP309" s="615"/>
      <c r="DQ309" s="615"/>
      <c r="DR309" s="635"/>
      <c r="DS309" s="636"/>
      <c r="DT309" s="615"/>
      <c r="DU309" s="615"/>
      <c r="DV309" s="615"/>
      <c r="DW309" s="615"/>
      <c r="DX309" s="615"/>
      <c r="DY309" s="615"/>
      <c r="DZ309" s="615"/>
      <c r="EA309" s="615"/>
      <c r="EB309" s="615"/>
      <c r="EC309" s="615"/>
      <c r="ED309" s="637"/>
      <c r="EE309" s="692"/>
    </row>
    <row r="310" spans="1:135" x14ac:dyDescent="0.25">
      <c r="A310" s="640" t="s">
        <v>11</v>
      </c>
      <c r="B310" s="367" t="s">
        <v>1806</v>
      </c>
      <c r="C310" s="367" t="s">
        <v>475</v>
      </c>
      <c r="D310" s="367" t="s">
        <v>1807</v>
      </c>
      <c r="E310" s="503" t="s">
        <v>1801</v>
      </c>
      <c r="F310" s="570">
        <v>44715</v>
      </c>
      <c r="G310" s="85" t="s">
        <v>59</v>
      </c>
      <c r="H310" s="85" t="s">
        <v>54</v>
      </c>
      <c r="I310" s="85" t="s">
        <v>649</v>
      </c>
      <c r="J310" s="675">
        <v>44715</v>
      </c>
      <c r="K310" s="85">
        <v>1</v>
      </c>
      <c r="L310" s="85" t="s">
        <v>40</v>
      </c>
      <c r="M310" s="85" t="s">
        <v>3</v>
      </c>
      <c r="N310" s="668" t="s">
        <v>44</v>
      </c>
      <c r="O310" s="669"/>
      <c r="P310" s="615"/>
      <c r="Q310" s="615"/>
      <c r="R310" s="615"/>
      <c r="S310" s="615"/>
      <c r="T310" s="615"/>
      <c r="U310" s="615"/>
      <c r="V310" s="615"/>
      <c r="W310" s="615"/>
      <c r="X310" s="615"/>
      <c r="Y310" s="615"/>
      <c r="Z310" s="635"/>
      <c r="AA310" s="636">
        <v>10</v>
      </c>
      <c r="AB310" s="615">
        <v>10</v>
      </c>
      <c r="AC310" s="615">
        <v>10</v>
      </c>
      <c r="AD310" s="615"/>
      <c r="AE310" s="615"/>
      <c r="AF310" s="615"/>
      <c r="AG310" s="615"/>
      <c r="AH310" s="615"/>
      <c r="AI310" s="615"/>
      <c r="AJ310" s="615"/>
      <c r="AK310" s="615"/>
      <c r="AL310" s="635"/>
      <c r="AM310" s="636"/>
      <c r="AN310" s="615"/>
      <c r="AO310" s="615"/>
      <c r="AP310" s="615"/>
      <c r="AQ310" s="615"/>
      <c r="AR310" s="615"/>
      <c r="AS310" s="615"/>
      <c r="AT310" s="615"/>
      <c r="AU310" s="615"/>
      <c r="AV310" s="615"/>
      <c r="AW310" s="615"/>
      <c r="AX310" s="635"/>
      <c r="AY310" s="636"/>
      <c r="AZ310" s="615"/>
      <c r="BA310" s="615"/>
      <c r="BB310" s="615"/>
      <c r="BC310" s="615"/>
      <c r="BD310" s="615"/>
      <c r="BE310" s="615"/>
      <c r="BF310" s="615"/>
      <c r="BG310" s="615"/>
      <c r="BH310" s="615"/>
      <c r="BI310" s="615"/>
      <c r="BJ310" s="635"/>
      <c r="BK310" s="636"/>
      <c r="BL310" s="615"/>
      <c r="BM310" s="615"/>
      <c r="BN310" s="615"/>
      <c r="BO310" s="615"/>
      <c r="BP310" s="615"/>
      <c r="BQ310" s="615"/>
      <c r="BR310" s="615"/>
      <c r="BS310" s="615"/>
      <c r="BT310" s="615"/>
      <c r="BU310" s="615"/>
      <c r="BV310" s="637"/>
      <c r="BW310" s="669"/>
      <c r="BX310" s="615"/>
      <c r="BY310" s="615"/>
      <c r="BZ310" s="615"/>
      <c r="CA310" s="615"/>
      <c r="CB310" s="615"/>
      <c r="CC310" s="615"/>
      <c r="CD310" s="615"/>
      <c r="CE310" s="615"/>
      <c r="CF310" s="615"/>
      <c r="CG310" s="615"/>
      <c r="CH310" s="635"/>
      <c r="CI310" s="636">
        <v>191.54662642687839</v>
      </c>
      <c r="CJ310" s="615">
        <v>191.54662642687839</v>
      </c>
      <c r="CK310" s="615">
        <v>191.54662642687839</v>
      </c>
      <c r="CL310" s="615"/>
      <c r="CM310" s="615"/>
      <c r="CN310" s="615"/>
      <c r="CO310" s="615"/>
      <c r="CP310" s="615"/>
      <c r="CQ310" s="615"/>
      <c r="CR310" s="615"/>
      <c r="CS310" s="615"/>
      <c r="CT310" s="635"/>
      <c r="CU310" s="636"/>
      <c r="CV310" s="615"/>
      <c r="CW310" s="615"/>
      <c r="CX310" s="615"/>
      <c r="CY310" s="615"/>
      <c r="CZ310" s="615"/>
      <c r="DA310" s="615"/>
      <c r="DB310" s="615"/>
      <c r="DC310" s="615"/>
      <c r="DD310" s="615"/>
      <c r="DE310" s="615"/>
      <c r="DF310" s="635"/>
      <c r="DG310" s="636"/>
      <c r="DH310" s="615"/>
      <c r="DI310" s="615"/>
      <c r="DJ310" s="615"/>
      <c r="DK310" s="615"/>
      <c r="DL310" s="615"/>
      <c r="DM310" s="615"/>
      <c r="DN310" s="615"/>
      <c r="DO310" s="615"/>
      <c r="DP310" s="615"/>
      <c r="DQ310" s="615"/>
      <c r="DR310" s="635"/>
      <c r="DS310" s="636"/>
      <c r="DT310" s="615"/>
      <c r="DU310" s="615"/>
      <c r="DV310" s="615"/>
      <c r="DW310" s="615"/>
      <c r="DX310" s="615"/>
      <c r="DY310" s="615"/>
      <c r="DZ310" s="615"/>
      <c r="EA310" s="615"/>
      <c r="EB310" s="615"/>
      <c r="EC310" s="615"/>
      <c r="ED310" s="637"/>
      <c r="EE310" s="692"/>
    </row>
    <row r="311" spans="1:135" x14ac:dyDescent="0.25">
      <c r="A311" s="640" t="s">
        <v>11</v>
      </c>
      <c r="B311" s="367" t="s">
        <v>1808</v>
      </c>
      <c r="C311" s="367" t="s">
        <v>465</v>
      </c>
      <c r="D311" s="367" t="s">
        <v>1809</v>
      </c>
      <c r="E311" s="503" t="s">
        <v>1802</v>
      </c>
      <c r="F311" s="570">
        <v>44715</v>
      </c>
      <c r="G311" s="85" t="s">
        <v>59</v>
      </c>
      <c r="H311" s="85" t="s">
        <v>54</v>
      </c>
      <c r="I311" s="85" t="s">
        <v>649</v>
      </c>
      <c r="J311" s="675">
        <v>44715</v>
      </c>
      <c r="K311" s="85">
        <v>1</v>
      </c>
      <c r="L311" s="85" t="s">
        <v>40</v>
      </c>
      <c r="M311" s="85" t="s">
        <v>3</v>
      </c>
      <c r="N311" s="668" t="s">
        <v>44</v>
      </c>
      <c r="O311" s="669"/>
      <c r="P311" s="615"/>
      <c r="Q311" s="615"/>
      <c r="R311" s="615"/>
      <c r="S311" s="615"/>
      <c r="T311" s="615"/>
      <c r="U311" s="615"/>
      <c r="V311" s="615"/>
      <c r="W311" s="615"/>
      <c r="X311" s="615"/>
      <c r="Y311" s="615"/>
      <c r="Z311" s="635"/>
      <c r="AA311" s="636">
        <v>10</v>
      </c>
      <c r="AB311" s="615">
        <v>10</v>
      </c>
      <c r="AC311" s="615">
        <v>10</v>
      </c>
      <c r="AD311" s="615"/>
      <c r="AE311" s="615"/>
      <c r="AF311" s="615"/>
      <c r="AG311" s="615"/>
      <c r="AH311" s="615"/>
      <c r="AI311" s="615"/>
      <c r="AJ311" s="615"/>
      <c r="AK311" s="615"/>
      <c r="AL311" s="635"/>
      <c r="AM311" s="636"/>
      <c r="AN311" s="615"/>
      <c r="AO311" s="615"/>
      <c r="AP311" s="615"/>
      <c r="AQ311" s="615"/>
      <c r="AR311" s="615"/>
      <c r="AS311" s="615"/>
      <c r="AT311" s="615"/>
      <c r="AU311" s="615"/>
      <c r="AV311" s="615"/>
      <c r="AW311" s="615"/>
      <c r="AX311" s="635"/>
      <c r="AY311" s="636"/>
      <c r="AZ311" s="615"/>
      <c r="BA311" s="615"/>
      <c r="BB311" s="615"/>
      <c r="BC311" s="615"/>
      <c r="BD311" s="615"/>
      <c r="BE311" s="615"/>
      <c r="BF311" s="615"/>
      <c r="BG311" s="615"/>
      <c r="BH311" s="615"/>
      <c r="BI311" s="615"/>
      <c r="BJ311" s="635"/>
      <c r="BK311" s="636"/>
      <c r="BL311" s="615"/>
      <c r="BM311" s="615"/>
      <c r="BN311" s="615"/>
      <c r="BO311" s="615"/>
      <c r="BP311" s="615"/>
      <c r="BQ311" s="615"/>
      <c r="BR311" s="615"/>
      <c r="BS311" s="615"/>
      <c r="BT311" s="615"/>
      <c r="BU311" s="615"/>
      <c r="BV311" s="637"/>
      <c r="BW311" s="669"/>
      <c r="BX311" s="615"/>
      <c r="BY311" s="615"/>
      <c r="BZ311" s="615"/>
      <c r="CA311" s="615"/>
      <c r="CB311" s="615"/>
      <c r="CC311" s="615"/>
      <c r="CD311" s="615"/>
      <c r="CE311" s="615"/>
      <c r="CF311" s="615"/>
      <c r="CG311" s="615"/>
      <c r="CH311" s="635"/>
      <c r="CI311" s="636">
        <v>191.54662642687839</v>
      </c>
      <c r="CJ311" s="615">
        <v>191.54662642687839</v>
      </c>
      <c r="CK311" s="615">
        <v>191.54662642687839</v>
      </c>
      <c r="CL311" s="615"/>
      <c r="CM311" s="615"/>
      <c r="CN311" s="615"/>
      <c r="CO311" s="615"/>
      <c r="CP311" s="615"/>
      <c r="CQ311" s="615"/>
      <c r="CR311" s="615"/>
      <c r="CS311" s="615"/>
      <c r="CT311" s="635"/>
      <c r="CU311" s="636"/>
      <c r="CV311" s="615"/>
      <c r="CW311" s="615"/>
      <c r="CX311" s="615"/>
      <c r="CY311" s="615"/>
      <c r="CZ311" s="615"/>
      <c r="DA311" s="615"/>
      <c r="DB311" s="615"/>
      <c r="DC311" s="615"/>
      <c r="DD311" s="615"/>
      <c r="DE311" s="615"/>
      <c r="DF311" s="635"/>
      <c r="DG311" s="636"/>
      <c r="DH311" s="615"/>
      <c r="DI311" s="615"/>
      <c r="DJ311" s="615"/>
      <c r="DK311" s="615"/>
      <c r="DL311" s="615"/>
      <c r="DM311" s="615"/>
      <c r="DN311" s="615"/>
      <c r="DO311" s="615"/>
      <c r="DP311" s="615"/>
      <c r="DQ311" s="615"/>
      <c r="DR311" s="635"/>
      <c r="DS311" s="636"/>
      <c r="DT311" s="615"/>
      <c r="DU311" s="615"/>
      <c r="DV311" s="615"/>
      <c r="DW311" s="615"/>
      <c r="DX311" s="615"/>
      <c r="DY311" s="615"/>
      <c r="DZ311" s="615"/>
      <c r="EA311" s="615"/>
      <c r="EB311" s="615"/>
      <c r="EC311" s="615"/>
      <c r="ED311" s="637"/>
      <c r="EE311" s="692"/>
    </row>
    <row r="312" spans="1:135" x14ac:dyDescent="0.25">
      <c r="A312" s="640" t="s">
        <v>12</v>
      </c>
      <c r="B312" s="367" t="s">
        <v>1891</v>
      </c>
      <c r="C312" s="367" t="s">
        <v>355</v>
      </c>
      <c r="D312" s="367" t="s">
        <v>1892</v>
      </c>
      <c r="E312" s="503" t="s">
        <v>1887</v>
      </c>
      <c r="F312" s="570">
        <v>44742</v>
      </c>
      <c r="G312" s="85" t="s">
        <v>58</v>
      </c>
      <c r="H312" s="85" t="s">
        <v>92</v>
      </c>
      <c r="I312" s="85" t="s">
        <v>358</v>
      </c>
      <c r="J312" s="675" t="s">
        <v>358</v>
      </c>
      <c r="K312" s="85" t="s">
        <v>358</v>
      </c>
      <c r="L312" s="85" t="s">
        <v>40</v>
      </c>
      <c r="M312" s="85" t="s">
        <v>5</v>
      </c>
      <c r="N312" s="668" t="s">
        <v>44</v>
      </c>
      <c r="O312" s="669"/>
      <c r="P312" s="615"/>
      <c r="Q312" s="615"/>
      <c r="R312" s="615"/>
      <c r="S312" s="615"/>
      <c r="T312" s="615">
        <v>-3</v>
      </c>
      <c r="U312" s="615"/>
      <c r="V312" s="615"/>
      <c r="W312" s="615"/>
      <c r="X312" s="615"/>
      <c r="Y312" s="615"/>
      <c r="Z312" s="635"/>
      <c r="AA312" s="636"/>
      <c r="AB312" s="615"/>
      <c r="AC312" s="615"/>
      <c r="AD312" s="615"/>
      <c r="AE312" s="615"/>
      <c r="AF312" s="615"/>
      <c r="AG312" s="615"/>
      <c r="AH312" s="615"/>
      <c r="AI312" s="615"/>
      <c r="AJ312" s="615"/>
      <c r="AK312" s="615"/>
      <c r="AL312" s="635"/>
      <c r="AM312" s="636"/>
      <c r="AN312" s="615"/>
      <c r="AO312" s="615"/>
      <c r="AP312" s="615"/>
      <c r="AQ312" s="615"/>
      <c r="AR312" s="615"/>
      <c r="AS312" s="615"/>
      <c r="AT312" s="615"/>
      <c r="AU312" s="615"/>
      <c r="AV312" s="615"/>
      <c r="AW312" s="615"/>
      <c r="AX312" s="635"/>
      <c r="AY312" s="636"/>
      <c r="AZ312" s="615"/>
      <c r="BA312" s="615"/>
      <c r="BB312" s="615"/>
      <c r="BC312" s="615"/>
      <c r="BD312" s="615"/>
      <c r="BE312" s="615"/>
      <c r="BF312" s="615"/>
      <c r="BG312" s="615"/>
      <c r="BH312" s="615"/>
      <c r="BI312" s="615"/>
      <c r="BJ312" s="635"/>
      <c r="BK312" s="636"/>
      <c r="BL312" s="615"/>
      <c r="BM312" s="615"/>
      <c r="BN312" s="615"/>
      <c r="BO312" s="615"/>
      <c r="BP312" s="615"/>
      <c r="BQ312" s="615"/>
      <c r="BR312" s="615"/>
      <c r="BS312" s="615"/>
      <c r="BT312" s="615"/>
      <c r="BU312" s="615"/>
      <c r="BV312" s="637"/>
      <c r="BW312" s="669"/>
      <c r="BX312" s="615"/>
      <c r="BY312" s="615"/>
      <c r="BZ312" s="615"/>
      <c r="CA312" s="615"/>
      <c r="CB312" s="615">
        <v>85.710000000000008</v>
      </c>
      <c r="CC312" s="615"/>
      <c r="CD312" s="615"/>
      <c r="CE312" s="615"/>
      <c r="CF312" s="615"/>
      <c r="CG312" s="615"/>
      <c r="CH312" s="635"/>
      <c r="CI312" s="636"/>
      <c r="CJ312" s="615"/>
      <c r="CK312" s="615"/>
      <c r="CL312" s="615"/>
      <c r="CM312" s="615"/>
      <c r="CN312" s="615"/>
      <c r="CO312" s="615"/>
      <c r="CP312" s="615"/>
      <c r="CQ312" s="615"/>
      <c r="CR312" s="615"/>
      <c r="CS312" s="615"/>
      <c r="CT312" s="635"/>
      <c r="CU312" s="636"/>
      <c r="CV312" s="615"/>
      <c r="CW312" s="615"/>
      <c r="CX312" s="615"/>
      <c r="CY312" s="615"/>
      <c r="CZ312" s="615"/>
      <c r="DA312" s="615"/>
      <c r="DB312" s="615"/>
      <c r="DC312" s="615"/>
      <c r="DD312" s="615"/>
      <c r="DE312" s="615"/>
      <c r="DF312" s="635"/>
      <c r="DG312" s="636"/>
      <c r="DH312" s="615"/>
      <c r="DI312" s="615"/>
      <c r="DJ312" s="615"/>
      <c r="DK312" s="615"/>
      <c r="DL312" s="615"/>
      <c r="DM312" s="615"/>
      <c r="DN312" s="615"/>
      <c r="DO312" s="615"/>
      <c r="DP312" s="615"/>
      <c r="DQ312" s="615"/>
      <c r="DR312" s="635"/>
      <c r="DS312" s="636"/>
      <c r="DT312" s="615"/>
      <c r="DU312" s="615"/>
      <c r="DV312" s="615"/>
      <c r="DW312" s="615"/>
      <c r="DX312" s="615"/>
      <c r="DY312" s="615"/>
      <c r="DZ312" s="615"/>
      <c r="EA312" s="615"/>
      <c r="EB312" s="615"/>
      <c r="EC312" s="615"/>
      <c r="ED312" s="637"/>
      <c r="EE312" s="692"/>
    </row>
    <row r="313" spans="1:135" x14ac:dyDescent="0.25">
      <c r="A313" s="640" t="s">
        <v>12</v>
      </c>
      <c r="B313" s="367" t="s">
        <v>1893</v>
      </c>
      <c r="C313" s="367" t="s">
        <v>1890</v>
      </c>
      <c r="D313" s="367" t="s">
        <v>1894</v>
      </c>
      <c r="E313" s="503" t="s">
        <v>1888</v>
      </c>
      <c r="F313" s="570">
        <v>44742</v>
      </c>
      <c r="G313" s="85" t="s">
        <v>58</v>
      </c>
      <c r="H313" s="85" t="s">
        <v>92</v>
      </c>
      <c r="I313" s="85" t="s">
        <v>358</v>
      </c>
      <c r="J313" s="675" t="s">
        <v>358</v>
      </c>
      <c r="K313" s="85" t="s">
        <v>358</v>
      </c>
      <c r="L313" s="85" t="s">
        <v>40</v>
      </c>
      <c r="M313" s="85" t="s">
        <v>5</v>
      </c>
      <c r="N313" s="668" t="s">
        <v>13</v>
      </c>
      <c r="O313" s="669"/>
      <c r="P313" s="615"/>
      <c r="Q313" s="615"/>
      <c r="R313" s="615"/>
      <c r="S313" s="615"/>
      <c r="T313" s="615">
        <v>-2.82</v>
      </c>
      <c r="U313" s="615"/>
      <c r="V313" s="615"/>
      <c r="W313" s="615"/>
      <c r="X313" s="615"/>
      <c r="Y313" s="615"/>
      <c r="Z313" s="635"/>
      <c r="AA313" s="636"/>
      <c r="AB313" s="615"/>
      <c r="AC313" s="615"/>
      <c r="AD313" s="615"/>
      <c r="AE313" s="615"/>
      <c r="AF313" s="615"/>
      <c r="AG313" s="615"/>
      <c r="AH313" s="615"/>
      <c r="AI313" s="615"/>
      <c r="AJ313" s="615"/>
      <c r="AK313" s="615"/>
      <c r="AL313" s="635"/>
      <c r="AM313" s="636"/>
      <c r="AN313" s="615"/>
      <c r="AO313" s="615"/>
      <c r="AP313" s="615"/>
      <c r="AQ313" s="615"/>
      <c r="AR313" s="615"/>
      <c r="AS313" s="615"/>
      <c r="AT313" s="615"/>
      <c r="AU313" s="615"/>
      <c r="AV313" s="615"/>
      <c r="AW313" s="615"/>
      <c r="AX313" s="635"/>
      <c r="AY313" s="636"/>
      <c r="AZ313" s="615"/>
      <c r="BA313" s="615"/>
      <c r="BB313" s="615"/>
      <c r="BC313" s="615"/>
      <c r="BD313" s="615"/>
      <c r="BE313" s="615"/>
      <c r="BF313" s="615"/>
      <c r="BG313" s="615"/>
      <c r="BH313" s="615"/>
      <c r="BI313" s="615"/>
      <c r="BJ313" s="635"/>
      <c r="BK313" s="636"/>
      <c r="BL313" s="615"/>
      <c r="BM313" s="615"/>
      <c r="BN313" s="615"/>
      <c r="BO313" s="615"/>
      <c r="BP313" s="615"/>
      <c r="BQ313" s="615"/>
      <c r="BR313" s="615"/>
      <c r="BS313" s="615"/>
      <c r="BT313" s="615"/>
      <c r="BU313" s="615"/>
      <c r="BV313" s="637"/>
      <c r="BW313" s="669"/>
      <c r="BX313" s="615"/>
      <c r="BY313" s="615"/>
      <c r="BZ313" s="615"/>
      <c r="CA313" s="615"/>
      <c r="CB313" s="615">
        <v>86.11</v>
      </c>
      <c r="CC313" s="615"/>
      <c r="CD313" s="615"/>
      <c r="CE313" s="615"/>
      <c r="CF313" s="615"/>
      <c r="CG313" s="615"/>
      <c r="CH313" s="635"/>
      <c r="CI313" s="636"/>
      <c r="CJ313" s="615"/>
      <c r="CK313" s="615"/>
      <c r="CL313" s="615"/>
      <c r="CM313" s="615"/>
      <c r="CN313" s="615"/>
      <c r="CO313" s="615"/>
      <c r="CP313" s="615"/>
      <c r="CQ313" s="615"/>
      <c r="CR313" s="615"/>
      <c r="CS313" s="615"/>
      <c r="CT313" s="635"/>
      <c r="CU313" s="636"/>
      <c r="CV313" s="615"/>
      <c r="CW313" s="615"/>
      <c r="CX313" s="615"/>
      <c r="CY313" s="615"/>
      <c r="CZ313" s="615"/>
      <c r="DA313" s="615"/>
      <c r="DB313" s="615"/>
      <c r="DC313" s="615"/>
      <c r="DD313" s="615"/>
      <c r="DE313" s="615"/>
      <c r="DF313" s="635"/>
      <c r="DG313" s="636"/>
      <c r="DH313" s="615"/>
      <c r="DI313" s="615"/>
      <c r="DJ313" s="615"/>
      <c r="DK313" s="615"/>
      <c r="DL313" s="615"/>
      <c r="DM313" s="615"/>
      <c r="DN313" s="615"/>
      <c r="DO313" s="615"/>
      <c r="DP313" s="615"/>
      <c r="DQ313" s="615"/>
      <c r="DR313" s="635"/>
      <c r="DS313" s="636"/>
      <c r="DT313" s="615"/>
      <c r="DU313" s="615"/>
      <c r="DV313" s="615"/>
      <c r="DW313" s="615"/>
      <c r="DX313" s="615"/>
      <c r="DY313" s="615"/>
      <c r="DZ313" s="615"/>
      <c r="EA313" s="615"/>
      <c r="EB313" s="615"/>
      <c r="EC313" s="615"/>
      <c r="ED313" s="637"/>
      <c r="EE313" s="692"/>
    </row>
    <row r="314" spans="1:135" x14ac:dyDescent="0.25">
      <c r="A314" s="640" t="s">
        <v>12</v>
      </c>
      <c r="B314" s="367" t="s">
        <v>1895</v>
      </c>
      <c r="C314" s="367" t="s">
        <v>464</v>
      </c>
      <c r="D314" s="367" t="s">
        <v>1896</v>
      </c>
      <c r="E314" s="503" t="s">
        <v>1889</v>
      </c>
      <c r="F314" s="570">
        <v>44742</v>
      </c>
      <c r="G314" s="85" t="s">
        <v>58</v>
      </c>
      <c r="H314" s="85" t="s">
        <v>92</v>
      </c>
      <c r="I314" s="85" t="s">
        <v>358</v>
      </c>
      <c r="J314" s="675" t="s">
        <v>358</v>
      </c>
      <c r="K314" s="85" t="s">
        <v>358</v>
      </c>
      <c r="L314" s="85" t="s">
        <v>40</v>
      </c>
      <c r="M314" s="85" t="s">
        <v>5</v>
      </c>
      <c r="N314" s="668" t="s">
        <v>44</v>
      </c>
      <c r="O314" s="669"/>
      <c r="P314" s="615"/>
      <c r="Q314" s="615"/>
      <c r="R314" s="615"/>
      <c r="S314" s="615"/>
      <c r="T314" s="615">
        <v>-10</v>
      </c>
      <c r="U314" s="615"/>
      <c r="V314" s="615"/>
      <c r="W314" s="615"/>
      <c r="X314" s="615"/>
      <c r="Y314" s="615"/>
      <c r="Z314" s="635"/>
      <c r="AA314" s="636"/>
      <c r="AB314" s="615"/>
      <c r="AC314" s="615"/>
      <c r="AD314" s="615"/>
      <c r="AE314" s="615"/>
      <c r="AF314" s="615"/>
      <c r="AG314" s="615"/>
      <c r="AH314" s="615"/>
      <c r="AI314" s="615"/>
      <c r="AJ314" s="615"/>
      <c r="AK314" s="615"/>
      <c r="AL314" s="635"/>
      <c r="AM314" s="636"/>
      <c r="AN314" s="615"/>
      <c r="AO314" s="615"/>
      <c r="AP314" s="615"/>
      <c r="AQ314" s="615"/>
      <c r="AR314" s="615"/>
      <c r="AS314" s="615"/>
      <c r="AT314" s="615"/>
      <c r="AU314" s="615"/>
      <c r="AV314" s="615"/>
      <c r="AW314" s="615"/>
      <c r="AX314" s="635"/>
      <c r="AY314" s="636"/>
      <c r="AZ314" s="615"/>
      <c r="BA314" s="615"/>
      <c r="BB314" s="615"/>
      <c r="BC314" s="615"/>
      <c r="BD314" s="615"/>
      <c r="BE314" s="615"/>
      <c r="BF314" s="615"/>
      <c r="BG314" s="615"/>
      <c r="BH314" s="615"/>
      <c r="BI314" s="615"/>
      <c r="BJ314" s="635"/>
      <c r="BK314" s="636"/>
      <c r="BL314" s="615"/>
      <c r="BM314" s="615"/>
      <c r="BN314" s="615"/>
      <c r="BO314" s="615"/>
      <c r="BP314" s="615"/>
      <c r="BQ314" s="615"/>
      <c r="BR314" s="615"/>
      <c r="BS314" s="615"/>
      <c r="BT314" s="615"/>
      <c r="BU314" s="615"/>
      <c r="BV314" s="637"/>
      <c r="BW314" s="669"/>
      <c r="BX314" s="615"/>
      <c r="BY314" s="615"/>
      <c r="BZ314" s="615"/>
      <c r="CA314" s="615"/>
      <c r="CB314" s="615">
        <v>86.210000000000008</v>
      </c>
      <c r="CC314" s="615"/>
      <c r="CD314" s="615"/>
      <c r="CE314" s="615"/>
      <c r="CF314" s="615"/>
      <c r="CG314" s="615"/>
      <c r="CH314" s="635"/>
      <c r="CI314" s="636"/>
      <c r="CJ314" s="615"/>
      <c r="CK314" s="615"/>
      <c r="CL314" s="615"/>
      <c r="CM314" s="615"/>
      <c r="CN314" s="615"/>
      <c r="CO314" s="615"/>
      <c r="CP314" s="615"/>
      <c r="CQ314" s="615"/>
      <c r="CR314" s="615"/>
      <c r="CS314" s="615"/>
      <c r="CT314" s="635"/>
      <c r="CU314" s="636"/>
      <c r="CV314" s="615"/>
      <c r="CW314" s="615"/>
      <c r="CX314" s="615"/>
      <c r="CY314" s="615"/>
      <c r="CZ314" s="615"/>
      <c r="DA314" s="615"/>
      <c r="DB314" s="615"/>
      <c r="DC314" s="615"/>
      <c r="DD314" s="615"/>
      <c r="DE314" s="615"/>
      <c r="DF314" s="635"/>
      <c r="DG314" s="636"/>
      <c r="DH314" s="615"/>
      <c r="DI314" s="615"/>
      <c r="DJ314" s="615"/>
      <c r="DK314" s="615"/>
      <c r="DL314" s="615"/>
      <c r="DM314" s="615"/>
      <c r="DN314" s="615"/>
      <c r="DO314" s="615"/>
      <c r="DP314" s="615"/>
      <c r="DQ314" s="615"/>
      <c r="DR314" s="635"/>
      <c r="DS314" s="636"/>
      <c r="DT314" s="615"/>
      <c r="DU314" s="615"/>
      <c r="DV314" s="615"/>
      <c r="DW314" s="615"/>
      <c r="DX314" s="615"/>
      <c r="DY314" s="615"/>
      <c r="DZ314" s="615"/>
      <c r="EA314" s="615"/>
      <c r="EB314" s="615"/>
      <c r="EC314" s="615"/>
      <c r="ED314" s="637"/>
      <c r="EE314" s="692"/>
    </row>
    <row r="315" spans="1:135" x14ac:dyDescent="0.25">
      <c r="A315" s="640" t="s">
        <v>12</v>
      </c>
      <c r="B315" s="367" t="s">
        <v>1901</v>
      </c>
      <c r="C315" s="367" t="s">
        <v>508</v>
      </c>
      <c r="D315" s="367" t="s">
        <v>1902</v>
      </c>
      <c r="E315" s="503" t="s">
        <v>1897</v>
      </c>
      <c r="F315" s="570">
        <v>44743</v>
      </c>
      <c r="G315" s="85" t="s">
        <v>58</v>
      </c>
      <c r="H315" s="85" t="s">
        <v>92</v>
      </c>
      <c r="I315" s="85" t="s">
        <v>358</v>
      </c>
      <c r="J315" s="675" t="s">
        <v>358</v>
      </c>
      <c r="K315" s="85" t="s">
        <v>358</v>
      </c>
      <c r="L315" s="85" t="s">
        <v>40</v>
      </c>
      <c r="M315" s="85" t="s">
        <v>5</v>
      </c>
      <c r="N315" s="668" t="s">
        <v>44</v>
      </c>
      <c r="O315" s="669"/>
      <c r="P315" s="615"/>
      <c r="Q315" s="615"/>
      <c r="R315" s="615"/>
      <c r="S315" s="615"/>
      <c r="T315" s="615">
        <v>-5</v>
      </c>
      <c r="U315" s="615"/>
      <c r="V315" s="615"/>
      <c r="W315" s="615"/>
      <c r="X315" s="615"/>
      <c r="Y315" s="615"/>
      <c r="Z315" s="635"/>
      <c r="AA315" s="636"/>
      <c r="AB315" s="615"/>
      <c r="AC315" s="615"/>
      <c r="AD315" s="615"/>
      <c r="AE315" s="615"/>
      <c r="AF315" s="615"/>
      <c r="AG315" s="615"/>
      <c r="AH315" s="615"/>
      <c r="AI315" s="615"/>
      <c r="AJ315" s="615"/>
      <c r="AK315" s="615"/>
      <c r="AL315" s="635"/>
      <c r="AM315" s="636"/>
      <c r="AN315" s="615"/>
      <c r="AO315" s="615"/>
      <c r="AP315" s="615"/>
      <c r="AQ315" s="615"/>
      <c r="AR315" s="615"/>
      <c r="AS315" s="615"/>
      <c r="AT315" s="615"/>
      <c r="AU315" s="615"/>
      <c r="AV315" s="615"/>
      <c r="AW315" s="615"/>
      <c r="AX315" s="635"/>
      <c r="AY315" s="636"/>
      <c r="AZ315" s="615"/>
      <c r="BA315" s="615"/>
      <c r="BB315" s="615"/>
      <c r="BC315" s="615"/>
      <c r="BD315" s="615"/>
      <c r="BE315" s="615"/>
      <c r="BF315" s="615"/>
      <c r="BG315" s="615"/>
      <c r="BH315" s="615"/>
      <c r="BI315" s="615"/>
      <c r="BJ315" s="635"/>
      <c r="BK315" s="636"/>
      <c r="BL315" s="615"/>
      <c r="BM315" s="615"/>
      <c r="BN315" s="615"/>
      <c r="BO315" s="615"/>
      <c r="BP315" s="615"/>
      <c r="BQ315" s="615"/>
      <c r="BR315" s="615"/>
      <c r="BS315" s="615"/>
      <c r="BT315" s="615"/>
      <c r="BU315" s="615"/>
      <c r="BV315" s="637"/>
      <c r="BW315" s="669"/>
      <c r="BX315" s="615"/>
      <c r="BY315" s="615"/>
      <c r="BZ315" s="615"/>
      <c r="CA315" s="615"/>
      <c r="CB315" s="615">
        <v>85.210000000000008</v>
      </c>
      <c r="CC315" s="615"/>
      <c r="CD315" s="615"/>
      <c r="CE315" s="615"/>
      <c r="CF315" s="615"/>
      <c r="CG315" s="615"/>
      <c r="CH315" s="635"/>
      <c r="CI315" s="636"/>
      <c r="CJ315" s="615"/>
      <c r="CK315" s="615"/>
      <c r="CL315" s="615"/>
      <c r="CM315" s="615"/>
      <c r="CN315" s="615"/>
      <c r="CO315" s="615"/>
      <c r="CP315" s="615"/>
      <c r="CQ315" s="615"/>
      <c r="CR315" s="615"/>
      <c r="CS315" s="615"/>
      <c r="CT315" s="635"/>
      <c r="CU315" s="636"/>
      <c r="CV315" s="615"/>
      <c r="CW315" s="615"/>
      <c r="CX315" s="615"/>
      <c r="CY315" s="615"/>
      <c r="CZ315" s="615"/>
      <c r="DA315" s="615"/>
      <c r="DB315" s="615"/>
      <c r="DC315" s="615"/>
      <c r="DD315" s="615"/>
      <c r="DE315" s="615"/>
      <c r="DF315" s="635"/>
      <c r="DG315" s="636"/>
      <c r="DH315" s="615"/>
      <c r="DI315" s="615"/>
      <c r="DJ315" s="615"/>
      <c r="DK315" s="615"/>
      <c r="DL315" s="615"/>
      <c r="DM315" s="615"/>
      <c r="DN315" s="615"/>
      <c r="DO315" s="615"/>
      <c r="DP315" s="615"/>
      <c r="DQ315" s="615"/>
      <c r="DR315" s="635"/>
      <c r="DS315" s="636"/>
      <c r="DT315" s="615"/>
      <c r="DU315" s="615"/>
      <c r="DV315" s="615"/>
      <c r="DW315" s="615"/>
      <c r="DX315" s="615"/>
      <c r="DY315" s="615"/>
      <c r="DZ315" s="615"/>
      <c r="EA315" s="615"/>
      <c r="EB315" s="615"/>
      <c r="EC315" s="615"/>
      <c r="ED315" s="637"/>
      <c r="EE315" s="692"/>
    </row>
    <row r="316" spans="1:135" x14ac:dyDescent="0.25">
      <c r="A316" s="640" t="s">
        <v>12</v>
      </c>
      <c r="B316" s="367" t="s">
        <v>1903</v>
      </c>
      <c r="C316" s="367" t="s">
        <v>471</v>
      </c>
      <c r="D316" s="367" t="s">
        <v>1904</v>
      </c>
      <c r="E316" s="503" t="s">
        <v>1898</v>
      </c>
      <c r="F316" s="570">
        <v>44743</v>
      </c>
      <c r="G316" s="85" t="s">
        <v>58</v>
      </c>
      <c r="H316" s="85" t="s">
        <v>92</v>
      </c>
      <c r="I316" s="85" t="s">
        <v>358</v>
      </c>
      <c r="J316" s="675" t="s">
        <v>358</v>
      </c>
      <c r="K316" s="85" t="s">
        <v>358</v>
      </c>
      <c r="L316" s="85" t="s">
        <v>40</v>
      </c>
      <c r="M316" s="85" t="s">
        <v>5</v>
      </c>
      <c r="N316" s="668" t="s">
        <v>44</v>
      </c>
      <c r="O316" s="669"/>
      <c r="P316" s="615"/>
      <c r="Q316" s="615"/>
      <c r="R316" s="615"/>
      <c r="S316" s="615"/>
      <c r="T316" s="615">
        <v>-5</v>
      </c>
      <c r="U316" s="615"/>
      <c r="V316" s="615"/>
      <c r="W316" s="615"/>
      <c r="X316" s="615"/>
      <c r="Y316" s="615"/>
      <c r="Z316" s="635"/>
      <c r="AA316" s="636"/>
      <c r="AB316" s="615"/>
      <c r="AC316" s="615"/>
      <c r="AD316" s="615"/>
      <c r="AE316" s="615"/>
      <c r="AF316" s="615"/>
      <c r="AG316" s="615"/>
      <c r="AH316" s="615"/>
      <c r="AI316" s="615"/>
      <c r="AJ316" s="615"/>
      <c r="AK316" s="615"/>
      <c r="AL316" s="635"/>
      <c r="AM316" s="636"/>
      <c r="AN316" s="615"/>
      <c r="AO316" s="615"/>
      <c r="AP316" s="615"/>
      <c r="AQ316" s="615"/>
      <c r="AR316" s="615"/>
      <c r="AS316" s="615"/>
      <c r="AT316" s="615"/>
      <c r="AU316" s="615"/>
      <c r="AV316" s="615"/>
      <c r="AW316" s="615"/>
      <c r="AX316" s="635"/>
      <c r="AY316" s="636"/>
      <c r="AZ316" s="615"/>
      <c r="BA316" s="615"/>
      <c r="BB316" s="615"/>
      <c r="BC316" s="615"/>
      <c r="BD316" s="615"/>
      <c r="BE316" s="615"/>
      <c r="BF316" s="615"/>
      <c r="BG316" s="615"/>
      <c r="BH316" s="615"/>
      <c r="BI316" s="615"/>
      <c r="BJ316" s="635"/>
      <c r="BK316" s="636"/>
      <c r="BL316" s="615"/>
      <c r="BM316" s="615"/>
      <c r="BN316" s="615"/>
      <c r="BO316" s="615"/>
      <c r="BP316" s="615"/>
      <c r="BQ316" s="615"/>
      <c r="BR316" s="615"/>
      <c r="BS316" s="615"/>
      <c r="BT316" s="615"/>
      <c r="BU316" s="615"/>
      <c r="BV316" s="637"/>
      <c r="BW316" s="669"/>
      <c r="BX316" s="615"/>
      <c r="BY316" s="615"/>
      <c r="BZ316" s="615"/>
      <c r="CA316" s="615"/>
      <c r="CB316" s="615">
        <v>85.710000000000008</v>
      </c>
      <c r="CC316" s="615"/>
      <c r="CD316" s="615"/>
      <c r="CE316" s="615"/>
      <c r="CF316" s="615"/>
      <c r="CG316" s="615"/>
      <c r="CH316" s="635"/>
      <c r="CI316" s="636"/>
      <c r="CJ316" s="615"/>
      <c r="CK316" s="615"/>
      <c r="CL316" s="615"/>
      <c r="CM316" s="615"/>
      <c r="CN316" s="615"/>
      <c r="CO316" s="615"/>
      <c r="CP316" s="615"/>
      <c r="CQ316" s="615"/>
      <c r="CR316" s="615"/>
      <c r="CS316" s="615"/>
      <c r="CT316" s="635"/>
      <c r="CU316" s="636"/>
      <c r="CV316" s="615"/>
      <c r="CW316" s="615"/>
      <c r="CX316" s="615"/>
      <c r="CY316" s="615"/>
      <c r="CZ316" s="615"/>
      <c r="DA316" s="615"/>
      <c r="DB316" s="615"/>
      <c r="DC316" s="615"/>
      <c r="DD316" s="615"/>
      <c r="DE316" s="615"/>
      <c r="DF316" s="635"/>
      <c r="DG316" s="636"/>
      <c r="DH316" s="615"/>
      <c r="DI316" s="615"/>
      <c r="DJ316" s="615"/>
      <c r="DK316" s="615"/>
      <c r="DL316" s="615"/>
      <c r="DM316" s="615"/>
      <c r="DN316" s="615"/>
      <c r="DO316" s="615"/>
      <c r="DP316" s="615"/>
      <c r="DQ316" s="615"/>
      <c r="DR316" s="635"/>
      <c r="DS316" s="636"/>
      <c r="DT316" s="615"/>
      <c r="DU316" s="615"/>
      <c r="DV316" s="615"/>
      <c r="DW316" s="615"/>
      <c r="DX316" s="615"/>
      <c r="DY316" s="615"/>
      <c r="DZ316" s="615"/>
      <c r="EA316" s="615"/>
      <c r="EB316" s="615"/>
      <c r="EC316" s="615"/>
      <c r="ED316" s="637"/>
      <c r="EE316" s="692"/>
    </row>
    <row r="317" spans="1:135" x14ac:dyDescent="0.25">
      <c r="A317" s="640" t="s">
        <v>12</v>
      </c>
      <c r="B317" s="367" t="s">
        <v>1905</v>
      </c>
      <c r="C317" s="367" t="s">
        <v>1166</v>
      </c>
      <c r="D317" s="367" t="s">
        <v>1906</v>
      </c>
      <c r="E317" s="503" t="s">
        <v>1899</v>
      </c>
      <c r="F317" s="570">
        <v>44743</v>
      </c>
      <c r="G317" s="85" t="s">
        <v>58</v>
      </c>
      <c r="H317" s="85" t="s">
        <v>92</v>
      </c>
      <c r="I317" s="85" t="s">
        <v>358</v>
      </c>
      <c r="J317" s="675" t="s">
        <v>358</v>
      </c>
      <c r="K317" s="85" t="s">
        <v>358</v>
      </c>
      <c r="L317" s="85" t="s">
        <v>40</v>
      </c>
      <c r="M317" s="85" t="s">
        <v>5</v>
      </c>
      <c r="N317" s="668" t="s">
        <v>44</v>
      </c>
      <c r="O317" s="669"/>
      <c r="P317" s="615"/>
      <c r="Q317" s="615"/>
      <c r="R317" s="615"/>
      <c r="S317" s="615"/>
      <c r="T317" s="615">
        <v>-5</v>
      </c>
      <c r="U317" s="615"/>
      <c r="V317" s="615"/>
      <c r="W317" s="615"/>
      <c r="X317" s="615"/>
      <c r="Y317" s="615"/>
      <c r="Z317" s="635"/>
      <c r="AA317" s="636"/>
      <c r="AB317" s="615"/>
      <c r="AC317" s="615"/>
      <c r="AD317" s="615"/>
      <c r="AE317" s="615"/>
      <c r="AF317" s="615"/>
      <c r="AG317" s="615"/>
      <c r="AH317" s="615"/>
      <c r="AI317" s="615"/>
      <c r="AJ317" s="615"/>
      <c r="AK317" s="615"/>
      <c r="AL317" s="635"/>
      <c r="AM317" s="636"/>
      <c r="AN317" s="615"/>
      <c r="AO317" s="615"/>
      <c r="AP317" s="615"/>
      <c r="AQ317" s="615"/>
      <c r="AR317" s="615"/>
      <c r="AS317" s="615"/>
      <c r="AT317" s="615"/>
      <c r="AU317" s="615"/>
      <c r="AV317" s="615"/>
      <c r="AW317" s="615"/>
      <c r="AX317" s="635"/>
      <c r="AY317" s="636"/>
      <c r="AZ317" s="615"/>
      <c r="BA317" s="615"/>
      <c r="BB317" s="615"/>
      <c r="BC317" s="615"/>
      <c r="BD317" s="615"/>
      <c r="BE317" s="615"/>
      <c r="BF317" s="615"/>
      <c r="BG317" s="615"/>
      <c r="BH317" s="615"/>
      <c r="BI317" s="615"/>
      <c r="BJ317" s="635"/>
      <c r="BK317" s="636"/>
      <c r="BL317" s="615"/>
      <c r="BM317" s="615"/>
      <c r="BN317" s="615"/>
      <c r="BO317" s="615"/>
      <c r="BP317" s="615"/>
      <c r="BQ317" s="615"/>
      <c r="BR317" s="615"/>
      <c r="BS317" s="615"/>
      <c r="BT317" s="615"/>
      <c r="BU317" s="615"/>
      <c r="BV317" s="637"/>
      <c r="BW317" s="669"/>
      <c r="BX317" s="615"/>
      <c r="BY317" s="615"/>
      <c r="BZ317" s="615"/>
      <c r="CA317" s="615"/>
      <c r="CB317" s="615">
        <v>85.91</v>
      </c>
      <c r="CC317" s="615"/>
      <c r="CD317" s="615"/>
      <c r="CE317" s="615"/>
      <c r="CF317" s="615"/>
      <c r="CG317" s="615"/>
      <c r="CH317" s="635"/>
      <c r="CI317" s="636"/>
      <c r="CJ317" s="615"/>
      <c r="CK317" s="615"/>
      <c r="CL317" s="615"/>
      <c r="CM317" s="615"/>
      <c r="CN317" s="615"/>
      <c r="CO317" s="615"/>
      <c r="CP317" s="615"/>
      <c r="CQ317" s="615"/>
      <c r="CR317" s="615"/>
      <c r="CS317" s="615"/>
      <c r="CT317" s="635"/>
      <c r="CU317" s="636"/>
      <c r="CV317" s="615"/>
      <c r="CW317" s="615"/>
      <c r="CX317" s="615"/>
      <c r="CY317" s="615"/>
      <c r="CZ317" s="615"/>
      <c r="DA317" s="615"/>
      <c r="DB317" s="615"/>
      <c r="DC317" s="615"/>
      <c r="DD317" s="615"/>
      <c r="DE317" s="615"/>
      <c r="DF317" s="635"/>
      <c r="DG317" s="636"/>
      <c r="DH317" s="615"/>
      <c r="DI317" s="615"/>
      <c r="DJ317" s="615"/>
      <c r="DK317" s="615"/>
      <c r="DL317" s="615"/>
      <c r="DM317" s="615"/>
      <c r="DN317" s="615"/>
      <c r="DO317" s="615"/>
      <c r="DP317" s="615"/>
      <c r="DQ317" s="615"/>
      <c r="DR317" s="635"/>
      <c r="DS317" s="636"/>
      <c r="DT317" s="615"/>
      <c r="DU317" s="615"/>
      <c r="DV317" s="615"/>
      <c r="DW317" s="615"/>
      <c r="DX317" s="615"/>
      <c r="DY317" s="615"/>
      <c r="DZ317" s="615"/>
      <c r="EA317" s="615"/>
      <c r="EB317" s="615"/>
      <c r="EC317" s="615"/>
      <c r="ED317" s="637"/>
      <c r="EE317" s="692"/>
    </row>
    <row r="318" spans="1:135" x14ac:dyDescent="0.25">
      <c r="A318" s="640" t="s">
        <v>12</v>
      </c>
      <c r="B318" s="367" t="s">
        <v>1908</v>
      </c>
      <c r="C318" s="367" t="s">
        <v>1073</v>
      </c>
      <c r="D318" s="367" t="s">
        <v>1909</v>
      </c>
      <c r="E318" s="503">
        <v>25504</v>
      </c>
      <c r="F318" s="570">
        <v>44743</v>
      </c>
      <c r="G318" s="85" t="s">
        <v>58</v>
      </c>
      <c r="H318" s="85" t="s">
        <v>92</v>
      </c>
      <c r="I318" s="85" t="s">
        <v>358</v>
      </c>
      <c r="J318" s="675" t="s">
        <v>358</v>
      </c>
      <c r="K318" s="85" t="s">
        <v>358</v>
      </c>
      <c r="L318" s="85" t="s">
        <v>40</v>
      </c>
      <c r="M318" s="85" t="s">
        <v>5</v>
      </c>
      <c r="N318" s="668" t="s">
        <v>44</v>
      </c>
      <c r="O318" s="669"/>
      <c r="P318" s="615"/>
      <c r="Q318" s="615"/>
      <c r="R318" s="615"/>
      <c r="S318" s="615"/>
      <c r="T318" s="615">
        <v>-10.199999999999999</v>
      </c>
      <c r="U318" s="615"/>
      <c r="V318" s="615"/>
      <c r="W318" s="615"/>
      <c r="X318" s="615"/>
      <c r="Y318" s="615"/>
      <c r="Z318" s="635"/>
      <c r="AA318" s="636"/>
      <c r="AB318" s="615"/>
      <c r="AC318" s="615"/>
      <c r="AD318" s="615"/>
      <c r="AE318" s="615"/>
      <c r="AF318" s="615"/>
      <c r="AG318" s="615"/>
      <c r="AH318" s="615"/>
      <c r="AI318" s="615"/>
      <c r="AJ318" s="615"/>
      <c r="AK318" s="615"/>
      <c r="AL318" s="635"/>
      <c r="AM318" s="636"/>
      <c r="AN318" s="615"/>
      <c r="AO318" s="615"/>
      <c r="AP318" s="615"/>
      <c r="AQ318" s="615"/>
      <c r="AR318" s="615"/>
      <c r="AS318" s="615"/>
      <c r="AT318" s="615"/>
      <c r="AU318" s="615"/>
      <c r="AV318" s="615"/>
      <c r="AW318" s="615"/>
      <c r="AX318" s="635"/>
      <c r="AY318" s="636"/>
      <c r="AZ318" s="615"/>
      <c r="BA318" s="615"/>
      <c r="BB318" s="615"/>
      <c r="BC318" s="615"/>
      <c r="BD318" s="615"/>
      <c r="BE318" s="615"/>
      <c r="BF318" s="615"/>
      <c r="BG318" s="615"/>
      <c r="BH318" s="615"/>
      <c r="BI318" s="615"/>
      <c r="BJ318" s="635"/>
      <c r="BK318" s="636"/>
      <c r="BL318" s="615"/>
      <c r="BM318" s="615"/>
      <c r="BN318" s="615"/>
      <c r="BO318" s="615"/>
      <c r="BP318" s="615"/>
      <c r="BQ318" s="615"/>
      <c r="BR318" s="615"/>
      <c r="BS318" s="615"/>
      <c r="BT318" s="615"/>
      <c r="BU318" s="615"/>
      <c r="BV318" s="637"/>
      <c r="BW318" s="669"/>
      <c r="BX318" s="615"/>
      <c r="BY318" s="615"/>
      <c r="BZ318" s="615"/>
      <c r="CA318" s="615"/>
      <c r="CB318" s="615">
        <v>86.710000000000008</v>
      </c>
      <c r="CC318" s="615"/>
      <c r="CD318" s="615"/>
      <c r="CE318" s="615"/>
      <c r="CF318" s="615"/>
      <c r="CG318" s="615"/>
      <c r="CH318" s="635"/>
      <c r="CI318" s="636"/>
      <c r="CJ318" s="615"/>
      <c r="CK318" s="615"/>
      <c r="CL318" s="615"/>
      <c r="CM318" s="615"/>
      <c r="CN318" s="615"/>
      <c r="CO318" s="615"/>
      <c r="CP318" s="615"/>
      <c r="CQ318" s="615"/>
      <c r="CR318" s="615"/>
      <c r="CS318" s="615"/>
      <c r="CT318" s="635"/>
      <c r="CU318" s="636"/>
      <c r="CV318" s="615"/>
      <c r="CW318" s="615"/>
      <c r="CX318" s="615"/>
      <c r="CY318" s="615"/>
      <c r="CZ318" s="615"/>
      <c r="DA318" s="615"/>
      <c r="DB318" s="615"/>
      <c r="DC318" s="615"/>
      <c r="DD318" s="615"/>
      <c r="DE318" s="615"/>
      <c r="DF318" s="635"/>
      <c r="DG318" s="636"/>
      <c r="DH318" s="615"/>
      <c r="DI318" s="615"/>
      <c r="DJ318" s="615"/>
      <c r="DK318" s="615"/>
      <c r="DL318" s="615"/>
      <c r="DM318" s="615"/>
      <c r="DN318" s="615"/>
      <c r="DO318" s="615"/>
      <c r="DP318" s="615"/>
      <c r="DQ318" s="615"/>
      <c r="DR318" s="635"/>
      <c r="DS318" s="636"/>
      <c r="DT318" s="615"/>
      <c r="DU318" s="615"/>
      <c r="DV318" s="615"/>
      <c r="DW318" s="615"/>
      <c r="DX318" s="615"/>
      <c r="DY318" s="615"/>
      <c r="DZ318" s="615"/>
      <c r="EA318" s="615"/>
      <c r="EB318" s="615"/>
      <c r="EC318" s="615"/>
      <c r="ED318" s="637"/>
      <c r="EE318" s="692"/>
    </row>
    <row r="319" spans="1:135" x14ac:dyDescent="0.25">
      <c r="A319" s="640" t="s">
        <v>12</v>
      </c>
      <c r="B319" s="367" t="s">
        <v>1921</v>
      </c>
      <c r="C319" s="367" t="s">
        <v>1917</v>
      </c>
      <c r="D319" s="367" t="s">
        <v>1922</v>
      </c>
      <c r="E319" s="503" t="s">
        <v>1910</v>
      </c>
      <c r="F319" s="570">
        <v>44746</v>
      </c>
      <c r="G319" s="85" t="s">
        <v>58</v>
      </c>
      <c r="H319" s="85" t="s">
        <v>92</v>
      </c>
      <c r="I319" s="85" t="s">
        <v>358</v>
      </c>
      <c r="J319" s="675" t="s">
        <v>358</v>
      </c>
      <c r="K319" s="85" t="s">
        <v>358</v>
      </c>
      <c r="L319" s="85" t="s">
        <v>40</v>
      </c>
      <c r="M319" s="85" t="s">
        <v>5</v>
      </c>
      <c r="N319" s="668" t="s">
        <v>44</v>
      </c>
      <c r="O319" s="669"/>
      <c r="P319" s="615"/>
      <c r="Q319" s="615"/>
      <c r="R319" s="615"/>
      <c r="S319" s="615"/>
      <c r="T319" s="615">
        <v>-1</v>
      </c>
      <c r="U319" s="615"/>
      <c r="V319" s="615"/>
      <c r="W319" s="615"/>
      <c r="X319" s="615"/>
      <c r="Y319" s="615"/>
      <c r="Z319" s="635"/>
      <c r="AA319" s="636"/>
      <c r="AB319" s="615"/>
      <c r="AC319" s="615"/>
      <c r="AD319" s="615"/>
      <c r="AE319" s="615"/>
      <c r="AF319" s="615"/>
      <c r="AG319" s="615"/>
      <c r="AH319" s="615"/>
      <c r="AI319" s="615"/>
      <c r="AJ319" s="615"/>
      <c r="AK319" s="615"/>
      <c r="AL319" s="635"/>
      <c r="AM319" s="636"/>
      <c r="AN319" s="615"/>
      <c r="AO319" s="615"/>
      <c r="AP319" s="615"/>
      <c r="AQ319" s="615"/>
      <c r="AR319" s="615"/>
      <c r="AS319" s="615"/>
      <c r="AT319" s="615"/>
      <c r="AU319" s="615"/>
      <c r="AV319" s="615"/>
      <c r="AW319" s="615"/>
      <c r="AX319" s="635"/>
      <c r="AY319" s="636"/>
      <c r="AZ319" s="615"/>
      <c r="BA319" s="615"/>
      <c r="BB319" s="615"/>
      <c r="BC319" s="615"/>
      <c r="BD319" s="615"/>
      <c r="BE319" s="615"/>
      <c r="BF319" s="615"/>
      <c r="BG319" s="615"/>
      <c r="BH319" s="615"/>
      <c r="BI319" s="615"/>
      <c r="BJ319" s="635"/>
      <c r="BK319" s="636"/>
      <c r="BL319" s="615"/>
      <c r="BM319" s="615"/>
      <c r="BN319" s="615"/>
      <c r="BO319" s="615"/>
      <c r="BP319" s="615"/>
      <c r="BQ319" s="615"/>
      <c r="BR319" s="615"/>
      <c r="BS319" s="615"/>
      <c r="BT319" s="615"/>
      <c r="BU319" s="615"/>
      <c r="BV319" s="637"/>
      <c r="BW319" s="669"/>
      <c r="BX319" s="615"/>
      <c r="BY319" s="615"/>
      <c r="BZ319" s="615"/>
      <c r="CA319" s="615"/>
      <c r="CB319" s="615">
        <v>85.61</v>
      </c>
      <c r="CC319" s="615"/>
      <c r="CD319" s="615"/>
      <c r="CE319" s="615"/>
      <c r="CF319" s="615"/>
      <c r="CG319" s="615"/>
      <c r="CH319" s="635"/>
      <c r="CI319" s="636"/>
      <c r="CJ319" s="615"/>
      <c r="CK319" s="615"/>
      <c r="CL319" s="615"/>
      <c r="CM319" s="615"/>
      <c r="CN319" s="615"/>
      <c r="CO319" s="615"/>
      <c r="CP319" s="615"/>
      <c r="CQ319" s="615"/>
      <c r="CR319" s="615"/>
      <c r="CS319" s="615"/>
      <c r="CT319" s="635"/>
      <c r="CU319" s="636"/>
      <c r="CV319" s="615"/>
      <c r="CW319" s="615"/>
      <c r="CX319" s="615"/>
      <c r="CY319" s="615"/>
      <c r="CZ319" s="615"/>
      <c r="DA319" s="615"/>
      <c r="DB319" s="615"/>
      <c r="DC319" s="615"/>
      <c r="DD319" s="615"/>
      <c r="DE319" s="615"/>
      <c r="DF319" s="635"/>
      <c r="DG319" s="636"/>
      <c r="DH319" s="615"/>
      <c r="DI319" s="615"/>
      <c r="DJ319" s="615"/>
      <c r="DK319" s="615"/>
      <c r="DL319" s="615"/>
      <c r="DM319" s="615"/>
      <c r="DN319" s="615"/>
      <c r="DO319" s="615"/>
      <c r="DP319" s="615"/>
      <c r="DQ319" s="615"/>
      <c r="DR319" s="635"/>
      <c r="DS319" s="636"/>
      <c r="DT319" s="615"/>
      <c r="DU319" s="615"/>
      <c r="DV319" s="615"/>
      <c r="DW319" s="615"/>
      <c r="DX319" s="615"/>
      <c r="DY319" s="615"/>
      <c r="DZ319" s="615"/>
      <c r="EA319" s="615"/>
      <c r="EB319" s="615"/>
      <c r="EC319" s="615"/>
      <c r="ED319" s="637"/>
      <c r="EE319" s="692"/>
    </row>
    <row r="320" spans="1:135" x14ac:dyDescent="0.25">
      <c r="A320" s="640" t="s">
        <v>12</v>
      </c>
      <c r="B320" s="367" t="s">
        <v>1923</v>
      </c>
      <c r="C320" s="367" t="s">
        <v>1918</v>
      </c>
      <c r="D320" s="367" t="s">
        <v>1924</v>
      </c>
      <c r="E320" s="503" t="s">
        <v>1911</v>
      </c>
      <c r="F320" s="570">
        <v>44746</v>
      </c>
      <c r="G320" s="85" t="s">
        <v>58</v>
      </c>
      <c r="H320" s="85" t="s">
        <v>92</v>
      </c>
      <c r="I320" s="85" t="s">
        <v>358</v>
      </c>
      <c r="J320" s="675" t="s">
        <v>358</v>
      </c>
      <c r="K320" s="85" t="s">
        <v>358</v>
      </c>
      <c r="L320" s="85" t="s">
        <v>40</v>
      </c>
      <c r="M320" s="85" t="s">
        <v>5</v>
      </c>
      <c r="N320" s="668" t="s">
        <v>44</v>
      </c>
      <c r="O320" s="669"/>
      <c r="P320" s="615"/>
      <c r="Q320" s="615"/>
      <c r="R320" s="615"/>
      <c r="S320" s="615"/>
      <c r="T320" s="615">
        <v>-2</v>
      </c>
      <c r="U320" s="615"/>
      <c r="V320" s="615"/>
      <c r="W320" s="615"/>
      <c r="X320" s="615"/>
      <c r="Y320" s="615"/>
      <c r="Z320" s="635"/>
      <c r="AA320" s="636"/>
      <c r="AB320" s="615"/>
      <c r="AC320" s="615"/>
      <c r="AD320" s="615"/>
      <c r="AE320" s="615"/>
      <c r="AF320" s="615"/>
      <c r="AG320" s="615"/>
      <c r="AH320" s="615"/>
      <c r="AI320" s="615"/>
      <c r="AJ320" s="615"/>
      <c r="AK320" s="615"/>
      <c r="AL320" s="635"/>
      <c r="AM320" s="636"/>
      <c r="AN320" s="615"/>
      <c r="AO320" s="615"/>
      <c r="AP320" s="615"/>
      <c r="AQ320" s="615"/>
      <c r="AR320" s="615"/>
      <c r="AS320" s="615"/>
      <c r="AT320" s="615"/>
      <c r="AU320" s="615"/>
      <c r="AV320" s="615"/>
      <c r="AW320" s="615"/>
      <c r="AX320" s="635"/>
      <c r="AY320" s="636"/>
      <c r="AZ320" s="615"/>
      <c r="BA320" s="615"/>
      <c r="BB320" s="615"/>
      <c r="BC320" s="615"/>
      <c r="BD320" s="615"/>
      <c r="BE320" s="615"/>
      <c r="BF320" s="615"/>
      <c r="BG320" s="615"/>
      <c r="BH320" s="615"/>
      <c r="BI320" s="615"/>
      <c r="BJ320" s="635"/>
      <c r="BK320" s="636"/>
      <c r="BL320" s="615"/>
      <c r="BM320" s="615"/>
      <c r="BN320" s="615"/>
      <c r="BO320" s="615"/>
      <c r="BP320" s="615"/>
      <c r="BQ320" s="615"/>
      <c r="BR320" s="615"/>
      <c r="BS320" s="615"/>
      <c r="BT320" s="615"/>
      <c r="BU320" s="615"/>
      <c r="BV320" s="637"/>
      <c r="BW320" s="669"/>
      <c r="BX320" s="615"/>
      <c r="BY320" s="615"/>
      <c r="BZ320" s="615"/>
      <c r="CA320" s="615"/>
      <c r="CB320" s="615">
        <v>85.710000000000008</v>
      </c>
      <c r="CC320" s="615"/>
      <c r="CD320" s="615"/>
      <c r="CE320" s="615"/>
      <c r="CF320" s="615"/>
      <c r="CG320" s="615"/>
      <c r="CH320" s="635"/>
      <c r="CI320" s="636"/>
      <c r="CJ320" s="615"/>
      <c r="CK320" s="615"/>
      <c r="CL320" s="615"/>
      <c r="CM320" s="615"/>
      <c r="CN320" s="615"/>
      <c r="CO320" s="615"/>
      <c r="CP320" s="615"/>
      <c r="CQ320" s="615"/>
      <c r="CR320" s="615"/>
      <c r="CS320" s="615"/>
      <c r="CT320" s="635"/>
      <c r="CU320" s="636"/>
      <c r="CV320" s="615"/>
      <c r="CW320" s="615"/>
      <c r="CX320" s="615"/>
      <c r="CY320" s="615"/>
      <c r="CZ320" s="615"/>
      <c r="DA320" s="615"/>
      <c r="DB320" s="615"/>
      <c r="DC320" s="615"/>
      <c r="DD320" s="615"/>
      <c r="DE320" s="615"/>
      <c r="DF320" s="635"/>
      <c r="DG320" s="636"/>
      <c r="DH320" s="615"/>
      <c r="DI320" s="615"/>
      <c r="DJ320" s="615"/>
      <c r="DK320" s="615"/>
      <c r="DL320" s="615"/>
      <c r="DM320" s="615"/>
      <c r="DN320" s="615"/>
      <c r="DO320" s="615"/>
      <c r="DP320" s="615"/>
      <c r="DQ320" s="615"/>
      <c r="DR320" s="635"/>
      <c r="DS320" s="636"/>
      <c r="DT320" s="615"/>
      <c r="DU320" s="615"/>
      <c r="DV320" s="615"/>
      <c r="DW320" s="615"/>
      <c r="DX320" s="615"/>
      <c r="DY320" s="615"/>
      <c r="DZ320" s="615"/>
      <c r="EA320" s="615"/>
      <c r="EB320" s="615"/>
      <c r="EC320" s="615"/>
      <c r="ED320" s="637"/>
      <c r="EE320" s="692"/>
    </row>
    <row r="321" spans="1:135" x14ac:dyDescent="0.25">
      <c r="A321" s="640" t="s">
        <v>12</v>
      </c>
      <c r="B321" s="367" t="s">
        <v>1925</v>
      </c>
      <c r="C321" s="367" t="s">
        <v>469</v>
      </c>
      <c r="D321" s="367" t="s">
        <v>1926</v>
      </c>
      <c r="E321" s="503" t="s">
        <v>1912</v>
      </c>
      <c r="F321" s="570">
        <v>44746</v>
      </c>
      <c r="G321" s="85" t="s">
        <v>58</v>
      </c>
      <c r="H321" s="85" t="s">
        <v>92</v>
      </c>
      <c r="I321" s="85" t="s">
        <v>358</v>
      </c>
      <c r="J321" s="675" t="s">
        <v>358</v>
      </c>
      <c r="K321" s="85" t="s">
        <v>358</v>
      </c>
      <c r="L321" s="85" t="s">
        <v>40</v>
      </c>
      <c r="M321" s="85" t="s">
        <v>5</v>
      </c>
      <c r="N321" s="668" t="s">
        <v>44</v>
      </c>
      <c r="O321" s="669"/>
      <c r="P321" s="615"/>
      <c r="Q321" s="615"/>
      <c r="R321" s="615"/>
      <c r="S321" s="615"/>
      <c r="T321" s="615">
        <v>-0.5</v>
      </c>
      <c r="U321" s="615"/>
      <c r="V321" s="615"/>
      <c r="W321" s="615"/>
      <c r="X321" s="615"/>
      <c r="Y321" s="615"/>
      <c r="Z321" s="635"/>
      <c r="AA321" s="636"/>
      <c r="AB321" s="615"/>
      <c r="AC321" s="615"/>
      <c r="AD321" s="615"/>
      <c r="AE321" s="615"/>
      <c r="AF321" s="615"/>
      <c r="AG321" s="615"/>
      <c r="AH321" s="615"/>
      <c r="AI321" s="615"/>
      <c r="AJ321" s="615"/>
      <c r="AK321" s="615"/>
      <c r="AL321" s="635"/>
      <c r="AM321" s="636"/>
      <c r="AN321" s="615"/>
      <c r="AO321" s="615"/>
      <c r="AP321" s="615"/>
      <c r="AQ321" s="615"/>
      <c r="AR321" s="615"/>
      <c r="AS321" s="615"/>
      <c r="AT321" s="615"/>
      <c r="AU321" s="615"/>
      <c r="AV321" s="615"/>
      <c r="AW321" s="615"/>
      <c r="AX321" s="635"/>
      <c r="AY321" s="636"/>
      <c r="AZ321" s="615"/>
      <c r="BA321" s="615"/>
      <c r="BB321" s="615"/>
      <c r="BC321" s="615"/>
      <c r="BD321" s="615"/>
      <c r="BE321" s="615"/>
      <c r="BF321" s="615"/>
      <c r="BG321" s="615"/>
      <c r="BH321" s="615"/>
      <c r="BI321" s="615"/>
      <c r="BJ321" s="635"/>
      <c r="BK321" s="636"/>
      <c r="BL321" s="615"/>
      <c r="BM321" s="615"/>
      <c r="BN321" s="615"/>
      <c r="BO321" s="615"/>
      <c r="BP321" s="615"/>
      <c r="BQ321" s="615"/>
      <c r="BR321" s="615"/>
      <c r="BS321" s="615"/>
      <c r="BT321" s="615"/>
      <c r="BU321" s="615"/>
      <c r="BV321" s="637"/>
      <c r="BW321" s="669"/>
      <c r="BX321" s="615"/>
      <c r="BY321" s="615"/>
      <c r="BZ321" s="615"/>
      <c r="CA321" s="615"/>
      <c r="CB321" s="615">
        <v>85.56</v>
      </c>
      <c r="CC321" s="615"/>
      <c r="CD321" s="615"/>
      <c r="CE321" s="615"/>
      <c r="CF321" s="615"/>
      <c r="CG321" s="615"/>
      <c r="CH321" s="635"/>
      <c r="CI321" s="636"/>
      <c r="CJ321" s="615"/>
      <c r="CK321" s="615"/>
      <c r="CL321" s="615"/>
      <c r="CM321" s="615"/>
      <c r="CN321" s="615"/>
      <c r="CO321" s="615"/>
      <c r="CP321" s="615"/>
      <c r="CQ321" s="615"/>
      <c r="CR321" s="615"/>
      <c r="CS321" s="615"/>
      <c r="CT321" s="635"/>
      <c r="CU321" s="636"/>
      <c r="CV321" s="615"/>
      <c r="CW321" s="615"/>
      <c r="CX321" s="615"/>
      <c r="CY321" s="615"/>
      <c r="CZ321" s="615"/>
      <c r="DA321" s="615"/>
      <c r="DB321" s="615"/>
      <c r="DC321" s="615"/>
      <c r="DD321" s="615"/>
      <c r="DE321" s="615"/>
      <c r="DF321" s="635"/>
      <c r="DG321" s="636"/>
      <c r="DH321" s="615"/>
      <c r="DI321" s="615"/>
      <c r="DJ321" s="615"/>
      <c r="DK321" s="615"/>
      <c r="DL321" s="615"/>
      <c r="DM321" s="615"/>
      <c r="DN321" s="615"/>
      <c r="DO321" s="615"/>
      <c r="DP321" s="615"/>
      <c r="DQ321" s="615"/>
      <c r="DR321" s="635"/>
      <c r="DS321" s="636"/>
      <c r="DT321" s="615"/>
      <c r="DU321" s="615"/>
      <c r="DV321" s="615"/>
      <c r="DW321" s="615"/>
      <c r="DX321" s="615"/>
      <c r="DY321" s="615"/>
      <c r="DZ321" s="615"/>
      <c r="EA321" s="615"/>
      <c r="EB321" s="615"/>
      <c r="EC321" s="615"/>
      <c r="ED321" s="637"/>
      <c r="EE321" s="692"/>
    </row>
    <row r="322" spans="1:135" x14ac:dyDescent="0.25">
      <c r="A322" s="640" t="s">
        <v>12</v>
      </c>
      <c r="B322" s="367" t="s">
        <v>1927</v>
      </c>
      <c r="C322" s="367" t="s">
        <v>1919</v>
      </c>
      <c r="D322" s="367" t="s">
        <v>1928</v>
      </c>
      <c r="E322" s="503" t="s">
        <v>1913</v>
      </c>
      <c r="F322" s="570">
        <v>44746</v>
      </c>
      <c r="G322" s="85" t="s">
        <v>58</v>
      </c>
      <c r="H322" s="85" t="s">
        <v>92</v>
      </c>
      <c r="I322" s="85" t="s">
        <v>358</v>
      </c>
      <c r="J322" s="675" t="s">
        <v>358</v>
      </c>
      <c r="K322" s="85" t="s">
        <v>358</v>
      </c>
      <c r="L322" s="85" t="s">
        <v>40</v>
      </c>
      <c r="M322" s="85" t="s">
        <v>5</v>
      </c>
      <c r="N322" s="668" t="s">
        <v>44</v>
      </c>
      <c r="O322" s="669"/>
      <c r="P322" s="615"/>
      <c r="Q322" s="615"/>
      <c r="R322" s="615"/>
      <c r="S322" s="615"/>
      <c r="T322" s="615">
        <v>-2</v>
      </c>
      <c r="U322" s="615"/>
      <c r="V322" s="615"/>
      <c r="W322" s="615"/>
      <c r="X322" s="615"/>
      <c r="Y322" s="615"/>
      <c r="Z322" s="635"/>
      <c r="AA322" s="636"/>
      <c r="AB322" s="615"/>
      <c r="AC322" s="615"/>
      <c r="AD322" s="615"/>
      <c r="AE322" s="615"/>
      <c r="AF322" s="615"/>
      <c r="AG322" s="615"/>
      <c r="AH322" s="615"/>
      <c r="AI322" s="615"/>
      <c r="AJ322" s="615"/>
      <c r="AK322" s="615"/>
      <c r="AL322" s="635"/>
      <c r="AM322" s="636"/>
      <c r="AN322" s="615"/>
      <c r="AO322" s="615"/>
      <c r="AP322" s="615"/>
      <c r="AQ322" s="615"/>
      <c r="AR322" s="615"/>
      <c r="AS322" s="615"/>
      <c r="AT322" s="615"/>
      <c r="AU322" s="615"/>
      <c r="AV322" s="615"/>
      <c r="AW322" s="615"/>
      <c r="AX322" s="635"/>
      <c r="AY322" s="636"/>
      <c r="AZ322" s="615"/>
      <c r="BA322" s="615"/>
      <c r="BB322" s="615"/>
      <c r="BC322" s="615"/>
      <c r="BD322" s="615"/>
      <c r="BE322" s="615"/>
      <c r="BF322" s="615"/>
      <c r="BG322" s="615"/>
      <c r="BH322" s="615"/>
      <c r="BI322" s="615"/>
      <c r="BJ322" s="635"/>
      <c r="BK322" s="636"/>
      <c r="BL322" s="615"/>
      <c r="BM322" s="615"/>
      <c r="BN322" s="615"/>
      <c r="BO322" s="615"/>
      <c r="BP322" s="615"/>
      <c r="BQ322" s="615"/>
      <c r="BR322" s="615"/>
      <c r="BS322" s="615"/>
      <c r="BT322" s="615"/>
      <c r="BU322" s="615"/>
      <c r="BV322" s="637"/>
      <c r="BW322" s="669"/>
      <c r="BX322" s="615"/>
      <c r="BY322" s="615"/>
      <c r="BZ322" s="615"/>
      <c r="CA322" s="615"/>
      <c r="CB322" s="615">
        <v>85.710000000000008</v>
      </c>
      <c r="CC322" s="615"/>
      <c r="CD322" s="615"/>
      <c r="CE322" s="615"/>
      <c r="CF322" s="615"/>
      <c r="CG322" s="615"/>
      <c r="CH322" s="635"/>
      <c r="CI322" s="636"/>
      <c r="CJ322" s="615"/>
      <c r="CK322" s="615"/>
      <c r="CL322" s="615"/>
      <c r="CM322" s="615"/>
      <c r="CN322" s="615"/>
      <c r="CO322" s="615"/>
      <c r="CP322" s="615"/>
      <c r="CQ322" s="615"/>
      <c r="CR322" s="615"/>
      <c r="CS322" s="615"/>
      <c r="CT322" s="635"/>
      <c r="CU322" s="636"/>
      <c r="CV322" s="615"/>
      <c r="CW322" s="615"/>
      <c r="CX322" s="615"/>
      <c r="CY322" s="615"/>
      <c r="CZ322" s="615"/>
      <c r="DA322" s="615"/>
      <c r="DB322" s="615"/>
      <c r="DC322" s="615"/>
      <c r="DD322" s="615"/>
      <c r="DE322" s="615"/>
      <c r="DF322" s="635"/>
      <c r="DG322" s="636"/>
      <c r="DH322" s="615"/>
      <c r="DI322" s="615"/>
      <c r="DJ322" s="615"/>
      <c r="DK322" s="615"/>
      <c r="DL322" s="615"/>
      <c r="DM322" s="615"/>
      <c r="DN322" s="615"/>
      <c r="DO322" s="615"/>
      <c r="DP322" s="615"/>
      <c r="DQ322" s="615"/>
      <c r="DR322" s="635"/>
      <c r="DS322" s="636"/>
      <c r="DT322" s="615"/>
      <c r="DU322" s="615"/>
      <c r="DV322" s="615"/>
      <c r="DW322" s="615"/>
      <c r="DX322" s="615"/>
      <c r="DY322" s="615"/>
      <c r="DZ322" s="615"/>
      <c r="EA322" s="615"/>
      <c r="EB322" s="615"/>
      <c r="EC322" s="615"/>
      <c r="ED322" s="637"/>
      <c r="EE322" s="692"/>
    </row>
    <row r="323" spans="1:135" x14ac:dyDescent="0.25">
      <c r="A323" s="640" t="s">
        <v>12</v>
      </c>
      <c r="B323" s="367" t="s">
        <v>1929</v>
      </c>
      <c r="C323" s="367" t="s">
        <v>469</v>
      </c>
      <c r="D323" s="367" t="s">
        <v>1930</v>
      </c>
      <c r="E323" s="503" t="s">
        <v>1914</v>
      </c>
      <c r="F323" s="570">
        <v>44746</v>
      </c>
      <c r="G323" s="85" t="s">
        <v>58</v>
      </c>
      <c r="H323" s="85" t="s">
        <v>92</v>
      </c>
      <c r="I323" s="85" t="s">
        <v>358</v>
      </c>
      <c r="J323" s="675" t="s">
        <v>358</v>
      </c>
      <c r="K323" s="85" t="s">
        <v>358</v>
      </c>
      <c r="L323" s="85" t="s">
        <v>40</v>
      </c>
      <c r="M323" s="85" t="s">
        <v>5</v>
      </c>
      <c r="N323" s="668" t="s">
        <v>44</v>
      </c>
      <c r="O323" s="669"/>
      <c r="P323" s="615"/>
      <c r="Q323" s="615"/>
      <c r="R323" s="615"/>
      <c r="S323" s="615"/>
      <c r="T323" s="615">
        <v>-1</v>
      </c>
      <c r="U323" s="615"/>
      <c r="V323" s="615"/>
      <c r="W323" s="615"/>
      <c r="X323" s="615"/>
      <c r="Y323" s="615"/>
      <c r="Z323" s="635"/>
      <c r="AA323" s="636"/>
      <c r="AB323" s="615"/>
      <c r="AC323" s="615"/>
      <c r="AD323" s="615"/>
      <c r="AE323" s="615"/>
      <c r="AF323" s="615"/>
      <c r="AG323" s="615"/>
      <c r="AH323" s="615"/>
      <c r="AI323" s="615"/>
      <c r="AJ323" s="615"/>
      <c r="AK323" s="615"/>
      <c r="AL323" s="635"/>
      <c r="AM323" s="636"/>
      <c r="AN323" s="615"/>
      <c r="AO323" s="615"/>
      <c r="AP323" s="615"/>
      <c r="AQ323" s="615"/>
      <c r="AR323" s="615"/>
      <c r="AS323" s="615"/>
      <c r="AT323" s="615"/>
      <c r="AU323" s="615"/>
      <c r="AV323" s="615"/>
      <c r="AW323" s="615"/>
      <c r="AX323" s="635"/>
      <c r="AY323" s="636"/>
      <c r="AZ323" s="615"/>
      <c r="BA323" s="615"/>
      <c r="BB323" s="615"/>
      <c r="BC323" s="615"/>
      <c r="BD323" s="615"/>
      <c r="BE323" s="615"/>
      <c r="BF323" s="615"/>
      <c r="BG323" s="615"/>
      <c r="BH323" s="615"/>
      <c r="BI323" s="615"/>
      <c r="BJ323" s="635"/>
      <c r="BK323" s="636"/>
      <c r="BL323" s="615"/>
      <c r="BM323" s="615"/>
      <c r="BN323" s="615"/>
      <c r="BO323" s="615"/>
      <c r="BP323" s="615"/>
      <c r="BQ323" s="615"/>
      <c r="BR323" s="615"/>
      <c r="BS323" s="615"/>
      <c r="BT323" s="615"/>
      <c r="BU323" s="615"/>
      <c r="BV323" s="637"/>
      <c r="BW323" s="669"/>
      <c r="BX323" s="615"/>
      <c r="BY323" s="615"/>
      <c r="BZ323" s="615"/>
      <c r="CA323" s="615"/>
      <c r="CB323" s="615">
        <v>85.61</v>
      </c>
      <c r="CC323" s="615"/>
      <c r="CD323" s="615"/>
      <c r="CE323" s="615"/>
      <c r="CF323" s="615"/>
      <c r="CG323" s="615"/>
      <c r="CH323" s="635"/>
      <c r="CI323" s="636"/>
      <c r="CJ323" s="615"/>
      <c r="CK323" s="615"/>
      <c r="CL323" s="615"/>
      <c r="CM323" s="615"/>
      <c r="CN323" s="615"/>
      <c r="CO323" s="615"/>
      <c r="CP323" s="615"/>
      <c r="CQ323" s="615"/>
      <c r="CR323" s="615"/>
      <c r="CS323" s="615"/>
      <c r="CT323" s="635"/>
      <c r="CU323" s="636"/>
      <c r="CV323" s="615"/>
      <c r="CW323" s="615"/>
      <c r="CX323" s="615"/>
      <c r="CY323" s="615"/>
      <c r="CZ323" s="615"/>
      <c r="DA323" s="615"/>
      <c r="DB323" s="615"/>
      <c r="DC323" s="615"/>
      <c r="DD323" s="615"/>
      <c r="DE323" s="615"/>
      <c r="DF323" s="635"/>
      <c r="DG323" s="636"/>
      <c r="DH323" s="615"/>
      <c r="DI323" s="615"/>
      <c r="DJ323" s="615"/>
      <c r="DK323" s="615"/>
      <c r="DL323" s="615"/>
      <c r="DM323" s="615"/>
      <c r="DN323" s="615"/>
      <c r="DO323" s="615"/>
      <c r="DP323" s="615"/>
      <c r="DQ323" s="615"/>
      <c r="DR323" s="635"/>
      <c r="DS323" s="636"/>
      <c r="DT323" s="615"/>
      <c r="DU323" s="615"/>
      <c r="DV323" s="615"/>
      <c r="DW323" s="615"/>
      <c r="DX323" s="615"/>
      <c r="DY323" s="615"/>
      <c r="DZ323" s="615"/>
      <c r="EA323" s="615"/>
      <c r="EB323" s="615"/>
      <c r="EC323" s="615"/>
      <c r="ED323" s="637"/>
      <c r="EE323" s="692"/>
    </row>
    <row r="324" spans="1:135" x14ac:dyDescent="0.25">
      <c r="A324" s="640" t="s">
        <v>12</v>
      </c>
      <c r="B324" s="367" t="s">
        <v>1931</v>
      </c>
      <c r="C324" s="367" t="s">
        <v>1795</v>
      </c>
      <c r="D324" s="367" t="s">
        <v>1932</v>
      </c>
      <c r="E324" s="503" t="s">
        <v>1915</v>
      </c>
      <c r="F324" s="570">
        <v>44746</v>
      </c>
      <c r="G324" s="85" t="s">
        <v>58</v>
      </c>
      <c r="H324" s="85" t="s">
        <v>92</v>
      </c>
      <c r="I324" s="85" t="s">
        <v>358</v>
      </c>
      <c r="J324" s="675" t="s">
        <v>358</v>
      </c>
      <c r="K324" s="85" t="s">
        <v>358</v>
      </c>
      <c r="L324" s="85" t="s">
        <v>40</v>
      </c>
      <c r="M324" s="85" t="s">
        <v>5</v>
      </c>
      <c r="N324" s="668" t="s">
        <v>44</v>
      </c>
      <c r="O324" s="669"/>
      <c r="P324" s="615"/>
      <c r="Q324" s="615"/>
      <c r="R324" s="615"/>
      <c r="S324" s="615"/>
      <c r="T324" s="615">
        <v>-10</v>
      </c>
      <c r="U324" s="615"/>
      <c r="V324" s="615"/>
      <c r="W324" s="615"/>
      <c r="X324" s="615"/>
      <c r="Y324" s="615"/>
      <c r="Z324" s="635"/>
      <c r="AA324" s="636"/>
      <c r="AB324" s="615"/>
      <c r="AC324" s="615"/>
      <c r="AD324" s="615"/>
      <c r="AE324" s="615"/>
      <c r="AF324" s="615"/>
      <c r="AG324" s="615"/>
      <c r="AH324" s="615"/>
      <c r="AI324" s="615"/>
      <c r="AJ324" s="615"/>
      <c r="AK324" s="615"/>
      <c r="AL324" s="635"/>
      <c r="AM324" s="636"/>
      <c r="AN324" s="615"/>
      <c r="AO324" s="615"/>
      <c r="AP324" s="615"/>
      <c r="AQ324" s="615"/>
      <c r="AR324" s="615"/>
      <c r="AS324" s="615"/>
      <c r="AT324" s="615"/>
      <c r="AU324" s="615"/>
      <c r="AV324" s="615"/>
      <c r="AW324" s="615"/>
      <c r="AX324" s="635"/>
      <c r="AY324" s="636"/>
      <c r="AZ324" s="615"/>
      <c r="BA324" s="615"/>
      <c r="BB324" s="615"/>
      <c r="BC324" s="615"/>
      <c r="BD324" s="615"/>
      <c r="BE324" s="615"/>
      <c r="BF324" s="615"/>
      <c r="BG324" s="615"/>
      <c r="BH324" s="615"/>
      <c r="BI324" s="615"/>
      <c r="BJ324" s="635"/>
      <c r="BK324" s="636"/>
      <c r="BL324" s="615"/>
      <c r="BM324" s="615"/>
      <c r="BN324" s="615"/>
      <c r="BO324" s="615"/>
      <c r="BP324" s="615"/>
      <c r="BQ324" s="615"/>
      <c r="BR324" s="615"/>
      <c r="BS324" s="615"/>
      <c r="BT324" s="615"/>
      <c r="BU324" s="615"/>
      <c r="BV324" s="637"/>
      <c r="BW324" s="669"/>
      <c r="BX324" s="615"/>
      <c r="BY324" s="615"/>
      <c r="BZ324" s="615"/>
      <c r="CA324" s="615"/>
      <c r="CB324" s="615">
        <v>85.710000000000008</v>
      </c>
      <c r="CC324" s="615"/>
      <c r="CD324" s="615"/>
      <c r="CE324" s="615"/>
      <c r="CF324" s="615"/>
      <c r="CG324" s="615"/>
      <c r="CH324" s="635"/>
      <c r="CI324" s="636"/>
      <c r="CJ324" s="615"/>
      <c r="CK324" s="615"/>
      <c r="CL324" s="615"/>
      <c r="CM324" s="615"/>
      <c r="CN324" s="615"/>
      <c r="CO324" s="615"/>
      <c r="CP324" s="615"/>
      <c r="CQ324" s="615"/>
      <c r="CR324" s="615"/>
      <c r="CS324" s="615"/>
      <c r="CT324" s="635"/>
      <c r="CU324" s="636"/>
      <c r="CV324" s="615"/>
      <c r="CW324" s="615"/>
      <c r="CX324" s="615"/>
      <c r="CY324" s="615"/>
      <c r="CZ324" s="615"/>
      <c r="DA324" s="615"/>
      <c r="DB324" s="615"/>
      <c r="DC324" s="615"/>
      <c r="DD324" s="615"/>
      <c r="DE324" s="615"/>
      <c r="DF324" s="635"/>
      <c r="DG324" s="636"/>
      <c r="DH324" s="615"/>
      <c r="DI324" s="615"/>
      <c r="DJ324" s="615"/>
      <c r="DK324" s="615"/>
      <c r="DL324" s="615"/>
      <c r="DM324" s="615"/>
      <c r="DN324" s="615"/>
      <c r="DO324" s="615"/>
      <c r="DP324" s="615"/>
      <c r="DQ324" s="615"/>
      <c r="DR324" s="635"/>
      <c r="DS324" s="636"/>
      <c r="DT324" s="615"/>
      <c r="DU324" s="615"/>
      <c r="DV324" s="615"/>
      <c r="DW324" s="615"/>
      <c r="DX324" s="615"/>
      <c r="DY324" s="615"/>
      <c r="DZ324" s="615"/>
      <c r="EA324" s="615"/>
      <c r="EB324" s="615"/>
      <c r="EC324" s="615"/>
      <c r="ED324" s="637"/>
      <c r="EE324" s="692"/>
    </row>
    <row r="325" spans="1:135" x14ac:dyDescent="0.25">
      <c r="A325" s="640" t="s">
        <v>12</v>
      </c>
      <c r="B325" s="367" t="s">
        <v>1933</v>
      </c>
      <c r="C325" s="367" t="s">
        <v>1920</v>
      </c>
      <c r="D325" s="367" t="s">
        <v>1934</v>
      </c>
      <c r="E325" s="503" t="s">
        <v>1916</v>
      </c>
      <c r="F325" s="570">
        <v>44746</v>
      </c>
      <c r="G325" s="85" t="s">
        <v>58</v>
      </c>
      <c r="H325" s="85" t="s">
        <v>92</v>
      </c>
      <c r="I325" s="85" t="s">
        <v>358</v>
      </c>
      <c r="J325" s="675" t="s">
        <v>358</v>
      </c>
      <c r="K325" s="85" t="s">
        <v>358</v>
      </c>
      <c r="L325" s="85" t="s">
        <v>40</v>
      </c>
      <c r="M325" s="85" t="s">
        <v>5</v>
      </c>
      <c r="N325" s="668" t="s">
        <v>44</v>
      </c>
      <c r="O325" s="669"/>
      <c r="P325" s="615"/>
      <c r="Q325" s="615"/>
      <c r="R325" s="615"/>
      <c r="S325" s="615"/>
      <c r="T325" s="615">
        <v>-1</v>
      </c>
      <c r="U325" s="615"/>
      <c r="V325" s="615"/>
      <c r="W325" s="615"/>
      <c r="X325" s="615"/>
      <c r="Y325" s="615"/>
      <c r="Z325" s="635"/>
      <c r="AA325" s="636"/>
      <c r="AB325" s="615"/>
      <c r="AC325" s="615"/>
      <c r="AD325" s="615"/>
      <c r="AE325" s="615"/>
      <c r="AF325" s="615"/>
      <c r="AG325" s="615"/>
      <c r="AH325" s="615"/>
      <c r="AI325" s="615"/>
      <c r="AJ325" s="615"/>
      <c r="AK325" s="615"/>
      <c r="AL325" s="635"/>
      <c r="AM325" s="636"/>
      <c r="AN325" s="615"/>
      <c r="AO325" s="615"/>
      <c r="AP325" s="615"/>
      <c r="AQ325" s="615"/>
      <c r="AR325" s="615"/>
      <c r="AS325" s="615"/>
      <c r="AT325" s="615"/>
      <c r="AU325" s="615"/>
      <c r="AV325" s="615"/>
      <c r="AW325" s="615"/>
      <c r="AX325" s="635"/>
      <c r="AY325" s="636"/>
      <c r="AZ325" s="615"/>
      <c r="BA325" s="615"/>
      <c r="BB325" s="615"/>
      <c r="BC325" s="615"/>
      <c r="BD325" s="615"/>
      <c r="BE325" s="615"/>
      <c r="BF325" s="615"/>
      <c r="BG325" s="615"/>
      <c r="BH325" s="615"/>
      <c r="BI325" s="615"/>
      <c r="BJ325" s="635"/>
      <c r="BK325" s="636"/>
      <c r="BL325" s="615"/>
      <c r="BM325" s="615"/>
      <c r="BN325" s="615"/>
      <c r="BO325" s="615"/>
      <c r="BP325" s="615"/>
      <c r="BQ325" s="615"/>
      <c r="BR325" s="615"/>
      <c r="BS325" s="615"/>
      <c r="BT325" s="615"/>
      <c r="BU325" s="615"/>
      <c r="BV325" s="637"/>
      <c r="BW325" s="669"/>
      <c r="BX325" s="615"/>
      <c r="BY325" s="615"/>
      <c r="BZ325" s="615"/>
      <c r="CA325" s="615"/>
      <c r="CB325" s="615">
        <v>84.210000000000008</v>
      </c>
      <c r="CC325" s="615"/>
      <c r="CD325" s="615"/>
      <c r="CE325" s="615"/>
      <c r="CF325" s="615"/>
      <c r="CG325" s="615"/>
      <c r="CH325" s="635"/>
      <c r="CI325" s="636"/>
      <c r="CJ325" s="615"/>
      <c r="CK325" s="615"/>
      <c r="CL325" s="615"/>
      <c r="CM325" s="615"/>
      <c r="CN325" s="615"/>
      <c r="CO325" s="615"/>
      <c r="CP325" s="615"/>
      <c r="CQ325" s="615"/>
      <c r="CR325" s="615"/>
      <c r="CS325" s="615"/>
      <c r="CT325" s="635"/>
      <c r="CU325" s="636"/>
      <c r="CV325" s="615"/>
      <c r="CW325" s="615"/>
      <c r="CX325" s="615"/>
      <c r="CY325" s="615"/>
      <c r="CZ325" s="615"/>
      <c r="DA325" s="615"/>
      <c r="DB325" s="615"/>
      <c r="DC325" s="615"/>
      <c r="DD325" s="615"/>
      <c r="DE325" s="615"/>
      <c r="DF325" s="635"/>
      <c r="DG325" s="636"/>
      <c r="DH325" s="615"/>
      <c r="DI325" s="615"/>
      <c r="DJ325" s="615"/>
      <c r="DK325" s="615"/>
      <c r="DL325" s="615"/>
      <c r="DM325" s="615"/>
      <c r="DN325" s="615"/>
      <c r="DO325" s="615"/>
      <c r="DP325" s="615"/>
      <c r="DQ325" s="615"/>
      <c r="DR325" s="635"/>
      <c r="DS325" s="636"/>
      <c r="DT325" s="615"/>
      <c r="DU325" s="615"/>
      <c r="DV325" s="615"/>
      <c r="DW325" s="615"/>
      <c r="DX325" s="615"/>
      <c r="DY325" s="615"/>
      <c r="DZ325" s="615"/>
      <c r="EA325" s="615"/>
      <c r="EB325" s="615"/>
      <c r="EC325" s="615"/>
      <c r="ED325" s="637"/>
      <c r="EE325" s="692"/>
    </row>
    <row r="326" spans="1:135" x14ac:dyDescent="0.25">
      <c r="A326" s="640" t="s">
        <v>12</v>
      </c>
      <c r="B326" s="367" t="s">
        <v>1945</v>
      </c>
      <c r="C326" s="367" t="s">
        <v>350</v>
      </c>
      <c r="D326" s="367" t="s">
        <v>1946</v>
      </c>
      <c r="E326" s="503" t="s">
        <v>1935</v>
      </c>
      <c r="F326" s="570">
        <v>44747</v>
      </c>
      <c r="G326" s="85" t="s">
        <v>58</v>
      </c>
      <c r="H326" s="85" t="s">
        <v>92</v>
      </c>
      <c r="I326" s="85" t="s">
        <v>358</v>
      </c>
      <c r="J326" s="675" t="s">
        <v>358</v>
      </c>
      <c r="K326" s="85" t="s">
        <v>358</v>
      </c>
      <c r="L326" s="85" t="s">
        <v>40</v>
      </c>
      <c r="M326" s="85" t="s">
        <v>5</v>
      </c>
      <c r="N326" s="668" t="s">
        <v>44</v>
      </c>
      <c r="O326" s="669"/>
      <c r="P326" s="615"/>
      <c r="Q326" s="615"/>
      <c r="R326" s="615"/>
      <c r="S326" s="615"/>
      <c r="T326" s="615">
        <v>-30</v>
      </c>
      <c r="U326" s="615"/>
      <c r="V326" s="615"/>
      <c r="W326" s="615"/>
      <c r="X326" s="615"/>
      <c r="Y326" s="615"/>
      <c r="Z326" s="635"/>
      <c r="AA326" s="636"/>
      <c r="AB326" s="615"/>
      <c r="AC326" s="615"/>
      <c r="AD326" s="615"/>
      <c r="AE326" s="615"/>
      <c r="AF326" s="615"/>
      <c r="AG326" s="615"/>
      <c r="AH326" s="615"/>
      <c r="AI326" s="615"/>
      <c r="AJ326" s="615"/>
      <c r="AK326" s="615"/>
      <c r="AL326" s="635"/>
      <c r="AM326" s="636"/>
      <c r="AN326" s="615"/>
      <c r="AO326" s="615"/>
      <c r="AP326" s="615"/>
      <c r="AQ326" s="615"/>
      <c r="AR326" s="615"/>
      <c r="AS326" s="615"/>
      <c r="AT326" s="615"/>
      <c r="AU326" s="615"/>
      <c r="AV326" s="615"/>
      <c r="AW326" s="615"/>
      <c r="AX326" s="635"/>
      <c r="AY326" s="636"/>
      <c r="AZ326" s="615"/>
      <c r="BA326" s="615"/>
      <c r="BB326" s="615"/>
      <c r="BC326" s="615"/>
      <c r="BD326" s="615"/>
      <c r="BE326" s="615"/>
      <c r="BF326" s="615"/>
      <c r="BG326" s="615"/>
      <c r="BH326" s="615"/>
      <c r="BI326" s="615"/>
      <c r="BJ326" s="635"/>
      <c r="BK326" s="636"/>
      <c r="BL326" s="615"/>
      <c r="BM326" s="615"/>
      <c r="BN326" s="615"/>
      <c r="BO326" s="615"/>
      <c r="BP326" s="615"/>
      <c r="BQ326" s="615"/>
      <c r="BR326" s="615"/>
      <c r="BS326" s="615"/>
      <c r="BT326" s="615"/>
      <c r="BU326" s="615"/>
      <c r="BV326" s="637"/>
      <c r="BW326" s="669"/>
      <c r="BX326" s="615"/>
      <c r="BY326" s="615"/>
      <c r="BZ326" s="615"/>
      <c r="CA326" s="615"/>
      <c r="CB326" s="615">
        <v>86.710000000000008</v>
      </c>
      <c r="CC326" s="615"/>
      <c r="CD326" s="615"/>
      <c r="CE326" s="615"/>
      <c r="CF326" s="615"/>
      <c r="CG326" s="615"/>
      <c r="CH326" s="635"/>
      <c r="CI326" s="636"/>
      <c r="CJ326" s="615"/>
      <c r="CK326" s="615"/>
      <c r="CL326" s="615"/>
      <c r="CM326" s="615"/>
      <c r="CN326" s="615"/>
      <c r="CO326" s="615"/>
      <c r="CP326" s="615"/>
      <c r="CQ326" s="615"/>
      <c r="CR326" s="615"/>
      <c r="CS326" s="615"/>
      <c r="CT326" s="635"/>
      <c r="CU326" s="636"/>
      <c r="CV326" s="615"/>
      <c r="CW326" s="615"/>
      <c r="CX326" s="615"/>
      <c r="CY326" s="615"/>
      <c r="CZ326" s="615"/>
      <c r="DA326" s="615"/>
      <c r="DB326" s="615"/>
      <c r="DC326" s="615"/>
      <c r="DD326" s="615"/>
      <c r="DE326" s="615"/>
      <c r="DF326" s="635"/>
      <c r="DG326" s="636"/>
      <c r="DH326" s="615"/>
      <c r="DI326" s="615"/>
      <c r="DJ326" s="615"/>
      <c r="DK326" s="615"/>
      <c r="DL326" s="615"/>
      <c r="DM326" s="615"/>
      <c r="DN326" s="615"/>
      <c r="DO326" s="615"/>
      <c r="DP326" s="615"/>
      <c r="DQ326" s="615"/>
      <c r="DR326" s="635"/>
      <c r="DS326" s="636"/>
      <c r="DT326" s="615"/>
      <c r="DU326" s="615"/>
      <c r="DV326" s="615"/>
      <c r="DW326" s="615"/>
      <c r="DX326" s="615"/>
      <c r="DY326" s="615"/>
      <c r="DZ326" s="615"/>
      <c r="EA326" s="615"/>
      <c r="EB326" s="615"/>
      <c r="EC326" s="615"/>
      <c r="ED326" s="637"/>
      <c r="EE326" s="692"/>
    </row>
    <row r="327" spans="1:135" x14ac:dyDescent="0.25">
      <c r="A327" s="640" t="s">
        <v>12</v>
      </c>
      <c r="B327" s="367" t="s">
        <v>1947</v>
      </c>
      <c r="C327" s="367" t="s">
        <v>1919</v>
      </c>
      <c r="D327" s="367" t="s">
        <v>1948</v>
      </c>
      <c r="E327" s="503" t="s">
        <v>1936</v>
      </c>
      <c r="F327" s="570">
        <v>44747</v>
      </c>
      <c r="G327" s="85" t="s">
        <v>58</v>
      </c>
      <c r="H327" s="85" t="s">
        <v>92</v>
      </c>
      <c r="I327" s="85" t="s">
        <v>358</v>
      </c>
      <c r="J327" s="675" t="s">
        <v>358</v>
      </c>
      <c r="K327" s="85" t="s">
        <v>358</v>
      </c>
      <c r="L327" s="85" t="s">
        <v>40</v>
      </c>
      <c r="M327" s="85" t="s">
        <v>5</v>
      </c>
      <c r="N327" s="668" t="s">
        <v>44</v>
      </c>
      <c r="O327" s="669"/>
      <c r="P327" s="615"/>
      <c r="Q327" s="615"/>
      <c r="R327" s="615"/>
      <c r="S327" s="615"/>
      <c r="T327" s="615">
        <v>-3</v>
      </c>
      <c r="U327" s="615"/>
      <c r="V327" s="615"/>
      <c r="W327" s="615"/>
      <c r="X327" s="615"/>
      <c r="Y327" s="615"/>
      <c r="Z327" s="635"/>
      <c r="AA327" s="636"/>
      <c r="AB327" s="615"/>
      <c r="AC327" s="615"/>
      <c r="AD327" s="615"/>
      <c r="AE327" s="615"/>
      <c r="AF327" s="615"/>
      <c r="AG327" s="615"/>
      <c r="AH327" s="615"/>
      <c r="AI327" s="615"/>
      <c r="AJ327" s="615"/>
      <c r="AK327" s="615"/>
      <c r="AL327" s="635"/>
      <c r="AM327" s="636"/>
      <c r="AN327" s="615"/>
      <c r="AO327" s="615"/>
      <c r="AP327" s="615"/>
      <c r="AQ327" s="615"/>
      <c r="AR327" s="615"/>
      <c r="AS327" s="615"/>
      <c r="AT327" s="615"/>
      <c r="AU327" s="615"/>
      <c r="AV327" s="615"/>
      <c r="AW327" s="615"/>
      <c r="AX327" s="635"/>
      <c r="AY327" s="636"/>
      <c r="AZ327" s="615"/>
      <c r="BA327" s="615"/>
      <c r="BB327" s="615"/>
      <c r="BC327" s="615"/>
      <c r="BD327" s="615"/>
      <c r="BE327" s="615"/>
      <c r="BF327" s="615"/>
      <c r="BG327" s="615"/>
      <c r="BH327" s="615"/>
      <c r="BI327" s="615"/>
      <c r="BJ327" s="635"/>
      <c r="BK327" s="636"/>
      <c r="BL327" s="615"/>
      <c r="BM327" s="615"/>
      <c r="BN327" s="615"/>
      <c r="BO327" s="615"/>
      <c r="BP327" s="615"/>
      <c r="BQ327" s="615"/>
      <c r="BR327" s="615"/>
      <c r="BS327" s="615"/>
      <c r="BT327" s="615"/>
      <c r="BU327" s="615"/>
      <c r="BV327" s="637"/>
      <c r="BW327" s="669"/>
      <c r="BX327" s="615"/>
      <c r="BY327" s="615"/>
      <c r="BZ327" s="615"/>
      <c r="CA327" s="615"/>
      <c r="CB327" s="615">
        <v>86.210000000000008</v>
      </c>
      <c r="CC327" s="615"/>
      <c r="CD327" s="615"/>
      <c r="CE327" s="615"/>
      <c r="CF327" s="615"/>
      <c r="CG327" s="615"/>
      <c r="CH327" s="635"/>
      <c r="CI327" s="636"/>
      <c r="CJ327" s="615"/>
      <c r="CK327" s="615"/>
      <c r="CL327" s="615"/>
      <c r="CM327" s="615"/>
      <c r="CN327" s="615"/>
      <c r="CO327" s="615"/>
      <c r="CP327" s="615"/>
      <c r="CQ327" s="615"/>
      <c r="CR327" s="615"/>
      <c r="CS327" s="615"/>
      <c r="CT327" s="635"/>
      <c r="CU327" s="636"/>
      <c r="CV327" s="615"/>
      <c r="CW327" s="615"/>
      <c r="CX327" s="615"/>
      <c r="CY327" s="615"/>
      <c r="CZ327" s="615"/>
      <c r="DA327" s="615"/>
      <c r="DB327" s="615"/>
      <c r="DC327" s="615"/>
      <c r="DD327" s="615"/>
      <c r="DE327" s="615"/>
      <c r="DF327" s="635"/>
      <c r="DG327" s="636"/>
      <c r="DH327" s="615"/>
      <c r="DI327" s="615"/>
      <c r="DJ327" s="615"/>
      <c r="DK327" s="615"/>
      <c r="DL327" s="615"/>
      <c r="DM327" s="615"/>
      <c r="DN327" s="615"/>
      <c r="DO327" s="615"/>
      <c r="DP327" s="615"/>
      <c r="DQ327" s="615"/>
      <c r="DR327" s="635"/>
      <c r="DS327" s="636"/>
      <c r="DT327" s="615"/>
      <c r="DU327" s="615"/>
      <c r="DV327" s="615"/>
      <c r="DW327" s="615"/>
      <c r="DX327" s="615"/>
      <c r="DY327" s="615"/>
      <c r="DZ327" s="615"/>
      <c r="EA327" s="615"/>
      <c r="EB327" s="615"/>
      <c r="EC327" s="615"/>
      <c r="ED327" s="637"/>
      <c r="EE327" s="692"/>
    </row>
    <row r="328" spans="1:135" x14ac:dyDescent="0.25">
      <c r="A328" s="640" t="s">
        <v>12</v>
      </c>
      <c r="B328" s="367" t="s">
        <v>1949</v>
      </c>
      <c r="C328" s="367" t="s">
        <v>1919</v>
      </c>
      <c r="D328" s="367" t="s">
        <v>1950</v>
      </c>
      <c r="E328" s="503" t="s">
        <v>1937</v>
      </c>
      <c r="F328" s="570">
        <v>44747</v>
      </c>
      <c r="G328" s="85" t="s">
        <v>58</v>
      </c>
      <c r="H328" s="85" t="s">
        <v>92</v>
      </c>
      <c r="I328" s="85" t="s">
        <v>358</v>
      </c>
      <c r="J328" s="675" t="s">
        <v>358</v>
      </c>
      <c r="K328" s="85" t="s">
        <v>358</v>
      </c>
      <c r="L328" s="85" t="s">
        <v>40</v>
      </c>
      <c r="M328" s="85" t="s">
        <v>5</v>
      </c>
      <c r="N328" s="668" t="s">
        <v>44</v>
      </c>
      <c r="O328" s="669"/>
      <c r="P328" s="615"/>
      <c r="Q328" s="615"/>
      <c r="R328" s="615"/>
      <c r="S328" s="615"/>
      <c r="T328" s="615">
        <v>-5</v>
      </c>
      <c r="U328" s="615"/>
      <c r="V328" s="615"/>
      <c r="W328" s="615"/>
      <c r="X328" s="615"/>
      <c r="Y328" s="615"/>
      <c r="Z328" s="635"/>
      <c r="AA328" s="636"/>
      <c r="AB328" s="615"/>
      <c r="AC328" s="615"/>
      <c r="AD328" s="615"/>
      <c r="AE328" s="615"/>
      <c r="AF328" s="615"/>
      <c r="AG328" s="615"/>
      <c r="AH328" s="615"/>
      <c r="AI328" s="615"/>
      <c r="AJ328" s="615"/>
      <c r="AK328" s="615"/>
      <c r="AL328" s="635"/>
      <c r="AM328" s="636"/>
      <c r="AN328" s="615"/>
      <c r="AO328" s="615"/>
      <c r="AP328" s="615"/>
      <c r="AQ328" s="615"/>
      <c r="AR328" s="615"/>
      <c r="AS328" s="615"/>
      <c r="AT328" s="615"/>
      <c r="AU328" s="615"/>
      <c r="AV328" s="615"/>
      <c r="AW328" s="615"/>
      <c r="AX328" s="635"/>
      <c r="AY328" s="636"/>
      <c r="AZ328" s="615"/>
      <c r="BA328" s="615"/>
      <c r="BB328" s="615"/>
      <c r="BC328" s="615"/>
      <c r="BD328" s="615"/>
      <c r="BE328" s="615"/>
      <c r="BF328" s="615"/>
      <c r="BG328" s="615"/>
      <c r="BH328" s="615"/>
      <c r="BI328" s="615"/>
      <c r="BJ328" s="635"/>
      <c r="BK328" s="636"/>
      <c r="BL328" s="615"/>
      <c r="BM328" s="615"/>
      <c r="BN328" s="615"/>
      <c r="BO328" s="615"/>
      <c r="BP328" s="615"/>
      <c r="BQ328" s="615"/>
      <c r="BR328" s="615"/>
      <c r="BS328" s="615"/>
      <c r="BT328" s="615"/>
      <c r="BU328" s="615"/>
      <c r="BV328" s="637"/>
      <c r="BW328" s="669"/>
      <c r="BX328" s="615"/>
      <c r="BY328" s="615"/>
      <c r="BZ328" s="615"/>
      <c r="CA328" s="615"/>
      <c r="CB328" s="615">
        <v>86.210000000000008</v>
      </c>
      <c r="CC328" s="615"/>
      <c r="CD328" s="615"/>
      <c r="CE328" s="615"/>
      <c r="CF328" s="615"/>
      <c r="CG328" s="615"/>
      <c r="CH328" s="635"/>
      <c r="CI328" s="636"/>
      <c r="CJ328" s="615"/>
      <c r="CK328" s="615"/>
      <c r="CL328" s="615"/>
      <c r="CM328" s="615"/>
      <c r="CN328" s="615"/>
      <c r="CO328" s="615"/>
      <c r="CP328" s="615"/>
      <c r="CQ328" s="615"/>
      <c r="CR328" s="615"/>
      <c r="CS328" s="615"/>
      <c r="CT328" s="635"/>
      <c r="CU328" s="636"/>
      <c r="CV328" s="615"/>
      <c r="CW328" s="615"/>
      <c r="CX328" s="615"/>
      <c r="CY328" s="615"/>
      <c r="CZ328" s="615"/>
      <c r="DA328" s="615"/>
      <c r="DB328" s="615"/>
      <c r="DC328" s="615"/>
      <c r="DD328" s="615"/>
      <c r="DE328" s="615"/>
      <c r="DF328" s="635"/>
      <c r="DG328" s="636"/>
      <c r="DH328" s="615"/>
      <c r="DI328" s="615"/>
      <c r="DJ328" s="615"/>
      <c r="DK328" s="615"/>
      <c r="DL328" s="615"/>
      <c r="DM328" s="615"/>
      <c r="DN328" s="615"/>
      <c r="DO328" s="615"/>
      <c r="DP328" s="615"/>
      <c r="DQ328" s="615"/>
      <c r="DR328" s="635"/>
      <c r="DS328" s="636"/>
      <c r="DT328" s="615"/>
      <c r="DU328" s="615"/>
      <c r="DV328" s="615"/>
      <c r="DW328" s="615"/>
      <c r="DX328" s="615"/>
      <c r="DY328" s="615"/>
      <c r="DZ328" s="615"/>
      <c r="EA328" s="615"/>
      <c r="EB328" s="615"/>
      <c r="EC328" s="615"/>
      <c r="ED328" s="637"/>
      <c r="EE328" s="692"/>
    </row>
    <row r="329" spans="1:135" x14ac:dyDescent="0.25">
      <c r="A329" s="640" t="s">
        <v>12</v>
      </c>
      <c r="B329" s="367" t="s">
        <v>1951</v>
      </c>
      <c r="C329" s="367" t="s">
        <v>1838</v>
      </c>
      <c r="D329" s="367" t="s">
        <v>1952</v>
      </c>
      <c r="E329" s="503" t="s">
        <v>1938</v>
      </c>
      <c r="F329" s="570">
        <v>44747</v>
      </c>
      <c r="G329" s="85" t="s">
        <v>58</v>
      </c>
      <c r="H329" s="85" t="s">
        <v>92</v>
      </c>
      <c r="I329" s="85" t="s">
        <v>358</v>
      </c>
      <c r="J329" s="675" t="s">
        <v>358</v>
      </c>
      <c r="K329" s="85" t="s">
        <v>358</v>
      </c>
      <c r="L329" s="85" t="s">
        <v>40</v>
      </c>
      <c r="M329" s="85" t="s">
        <v>5</v>
      </c>
      <c r="N329" s="668" t="s">
        <v>44</v>
      </c>
      <c r="O329" s="669"/>
      <c r="P329" s="615"/>
      <c r="Q329" s="615"/>
      <c r="R329" s="615"/>
      <c r="S329" s="615"/>
      <c r="T329" s="615">
        <v>-3</v>
      </c>
      <c r="U329" s="615"/>
      <c r="V329" s="615"/>
      <c r="W329" s="615"/>
      <c r="X329" s="615"/>
      <c r="Y329" s="615"/>
      <c r="Z329" s="635"/>
      <c r="AA329" s="636"/>
      <c r="AB329" s="615"/>
      <c r="AC329" s="615"/>
      <c r="AD329" s="615"/>
      <c r="AE329" s="615"/>
      <c r="AF329" s="615"/>
      <c r="AG329" s="615"/>
      <c r="AH329" s="615"/>
      <c r="AI329" s="615"/>
      <c r="AJ329" s="615"/>
      <c r="AK329" s="615"/>
      <c r="AL329" s="635"/>
      <c r="AM329" s="636"/>
      <c r="AN329" s="615"/>
      <c r="AO329" s="615"/>
      <c r="AP329" s="615"/>
      <c r="AQ329" s="615"/>
      <c r="AR329" s="615"/>
      <c r="AS329" s="615"/>
      <c r="AT329" s="615"/>
      <c r="AU329" s="615"/>
      <c r="AV329" s="615"/>
      <c r="AW329" s="615"/>
      <c r="AX329" s="635"/>
      <c r="AY329" s="636"/>
      <c r="AZ329" s="615"/>
      <c r="BA329" s="615"/>
      <c r="BB329" s="615"/>
      <c r="BC329" s="615"/>
      <c r="BD329" s="615"/>
      <c r="BE329" s="615"/>
      <c r="BF329" s="615"/>
      <c r="BG329" s="615"/>
      <c r="BH329" s="615"/>
      <c r="BI329" s="615"/>
      <c r="BJ329" s="635"/>
      <c r="BK329" s="636"/>
      <c r="BL329" s="615"/>
      <c r="BM329" s="615"/>
      <c r="BN329" s="615"/>
      <c r="BO329" s="615"/>
      <c r="BP329" s="615"/>
      <c r="BQ329" s="615"/>
      <c r="BR329" s="615"/>
      <c r="BS329" s="615"/>
      <c r="BT329" s="615"/>
      <c r="BU329" s="615"/>
      <c r="BV329" s="637"/>
      <c r="BW329" s="669"/>
      <c r="BX329" s="615"/>
      <c r="BY329" s="615"/>
      <c r="BZ329" s="615"/>
      <c r="CA329" s="615"/>
      <c r="CB329" s="615">
        <v>85.710000000000008</v>
      </c>
      <c r="CC329" s="615"/>
      <c r="CD329" s="615"/>
      <c r="CE329" s="615"/>
      <c r="CF329" s="615"/>
      <c r="CG329" s="615"/>
      <c r="CH329" s="635"/>
      <c r="CI329" s="636"/>
      <c r="CJ329" s="615"/>
      <c r="CK329" s="615"/>
      <c r="CL329" s="615"/>
      <c r="CM329" s="615"/>
      <c r="CN329" s="615"/>
      <c r="CO329" s="615"/>
      <c r="CP329" s="615"/>
      <c r="CQ329" s="615"/>
      <c r="CR329" s="615"/>
      <c r="CS329" s="615"/>
      <c r="CT329" s="635"/>
      <c r="CU329" s="636"/>
      <c r="CV329" s="615"/>
      <c r="CW329" s="615"/>
      <c r="CX329" s="615"/>
      <c r="CY329" s="615"/>
      <c r="CZ329" s="615"/>
      <c r="DA329" s="615"/>
      <c r="DB329" s="615"/>
      <c r="DC329" s="615"/>
      <c r="DD329" s="615"/>
      <c r="DE329" s="615"/>
      <c r="DF329" s="635"/>
      <c r="DG329" s="636"/>
      <c r="DH329" s="615"/>
      <c r="DI329" s="615"/>
      <c r="DJ329" s="615"/>
      <c r="DK329" s="615"/>
      <c r="DL329" s="615"/>
      <c r="DM329" s="615"/>
      <c r="DN329" s="615"/>
      <c r="DO329" s="615"/>
      <c r="DP329" s="615"/>
      <c r="DQ329" s="615"/>
      <c r="DR329" s="635"/>
      <c r="DS329" s="636"/>
      <c r="DT329" s="615"/>
      <c r="DU329" s="615"/>
      <c r="DV329" s="615"/>
      <c r="DW329" s="615"/>
      <c r="DX329" s="615"/>
      <c r="DY329" s="615"/>
      <c r="DZ329" s="615"/>
      <c r="EA329" s="615"/>
      <c r="EB329" s="615"/>
      <c r="EC329" s="615"/>
      <c r="ED329" s="637"/>
      <c r="EE329" s="692"/>
    </row>
    <row r="330" spans="1:135" x14ac:dyDescent="0.25">
      <c r="A330" s="640" t="s">
        <v>12</v>
      </c>
      <c r="B330" s="367" t="s">
        <v>1953</v>
      </c>
      <c r="C330" s="367" t="s">
        <v>510</v>
      </c>
      <c r="D330" s="367" t="s">
        <v>1954</v>
      </c>
      <c r="E330" s="503" t="s">
        <v>1939</v>
      </c>
      <c r="F330" s="570">
        <v>44747</v>
      </c>
      <c r="G330" s="85" t="s">
        <v>58</v>
      </c>
      <c r="H330" s="85" t="s">
        <v>92</v>
      </c>
      <c r="I330" s="85" t="s">
        <v>358</v>
      </c>
      <c r="J330" s="675" t="s">
        <v>358</v>
      </c>
      <c r="K330" s="85" t="s">
        <v>358</v>
      </c>
      <c r="L330" s="85" t="s">
        <v>40</v>
      </c>
      <c r="M330" s="85" t="s">
        <v>5</v>
      </c>
      <c r="N330" s="668" t="s">
        <v>44</v>
      </c>
      <c r="O330" s="669"/>
      <c r="P330" s="615"/>
      <c r="Q330" s="615"/>
      <c r="R330" s="615"/>
      <c r="S330" s="615"/>
      <c r="T330" s="615">
        <v>-4.5</v>
      </c>
      <c r="U330" s="615"/>
      <c r="V330" s="615"/>
      <c r="W330" s="615"/>
      <c r="X330" s="615"/>
      <c r="Y330" s="615"/>
      <c r="Z330" s="635"/>
      <c r="AA330" s="636"/>
      <c r="AB330" s="615"/>
      <c r="AC330" s="615"/>
      <c r="AD330" s="615"/>
      <c r="AE330" s="615"/>
      <c r="AF330" s="615"/>
      <c r="AG330" s="615"/>
      <c r="AH330" s="615"/>
      <c r="AI330" s="615"/>
      <c r="AJ330" s="615"/>
      <c r="AK330" s="615"/>
      <c r="AL330" s="635"/>
      <c r="AM330" s="636"/>
      <c r="AN330" s="615"/>
      <c r="AO330" s="615"/>
      <c r="AP330" s="615"/>
      <c r="AQ330" s="615"/>
      <c r="AR330" s="615"/>
      <c r="AS330" s="615"/>
      <c r="AT330" s="615"/>
      <c r="AU330" s="615"/>
      <c r="AV330" s="615"/>
      <c r="AW330" s="615"/>
      <c r="AX330" s="635"/>
      <c r="AY330" s="636"/>
      <c r="AZ330" s="615"/>
      <c r="BA330" s="615"/>
      <c r="BB330" s="615"/>
      <c r="BC330" s="615"/>
      <c r="BD330" s="615"/>
      <c r="BE330" s="615"/>
      <c r="BF330" s="615"/>
      <c r="BG330" s="615"/>
      <c r="BH330" s="615"/>
      <c r="BI330" s="615"/>
      <c r="BJ330" s="635"/>
      <c r="BK330" s="636"/>
      <c r="BL330" s="615"/>
      <c r="BM330" s="615"/>
      <c r="BN330" s="615"/>
      <c r="BO330" s="615"/>
      <c r="BP330" s="615"/>
      <c r="BQ330" s="615"/>
      <c r="BR330" s="615"/>
      <c r="BS330" s="615"/>
      <c r="BT330" s="615"/>
      <c r="BU330" s="615"/>
      <c r="BV330" s="637"/>
      <c r="BW330" s="669"/>
      <c r="BX330" s="615"/>
      <c r="BY330" s="615"/>
      <c r="BZ330" s="615"/>
      <c r="CA330" s="615"/>
      <c r="CB330" s="615">
        <v>85.710000000000008</v>
      </c>
      <c r="CC330" s="615"/>
      <c r="CD330" s="615"/>
      <c r="CE330" s="615"/>
      <c r="CF330" s="615"/>
      <c r="CG330" s="615"/>
      <c r="CH330" s="635"/>
      <c r="CI330" s="636"/>
      <c r="CJ330" s="615"/>
      <c r="CK330" s="615"/>
      <c r="CL330" s="615"/>
      <c r="CM330" s="615"/>
      <c r="CN330" s="615"/>
      <c r="CO330" s="615"/>
      <c r="CP330" s="615"/>
      <c r="CQ330" s="615"/>
      <c r="CR330" s="615"/>
      <c r="CS330" s="615"/>
      <c r="CT330" s="635"/>
      <c r="CU330" s="636"/>
      <c r="CV330" s="615"/>
      <c r="CW330" s="615"/>
      <c r="CX330" s="615"/>
      <c r="CY330" s="615"/>
      <c r="CZ330" s="615"/>
      <c r="DA330" s="615"/>
      <c r="DB330" s="615"/>
      <c r="DC330" s="615"/>
      <c r="DD330" s="615"/>
      <c r="DE330" s="615"/>
      <c r="DF330" s="635"/>
      <c r="DG330" s="636"/>
      <c r="DH330" s="615"/>
      <c r="DI330" s="615"/>
      <c r="DJ330" s="615"/>
      <c r="DK330" s="615"/>
      <c r="DL330" s="615"/>
      <c r="DM330" s="615"/>
      <c r="DN330" s="615"/>
      <c r="DO330" s="615"/>
      <c r="DP330" s="615"/>
      <c r="DQ330" s="615"/>
      <c r="DR330" s="635"/>
      <c r="DS330" s="636"/>
      <c r="DT330" s="615"/>
      <c r="DU330" s="615"/>
      <c r="DV330" s="615"/>
      <c r="DW330" s="615"/>
      <c r="DX330" s="615"/>
      <c r="DY330" s="615"/>
      <c r="DZ330" s="615"/>
      <c r="EA330" s="615"/>
      <c r="EB330" s="615"/>
      <c r="EC330" s="615"/>
      <c r="ED330" s="637"/>
      <c r="EE330" s="692"/>
    </row>
    <row r="331" spans="1:135" x14ac:dyDescent="0.25">
      <c r="A331" s="640" t="s">
        <v>12</v>
      </c>
      <c r="B331" s="367" t="s">
        <v>1955</v>
      </c>
      <c r="C331" s="367" t="s">
        <v>1941</v>
      </c>
      <c r="D331" s="367" t="s">
        <v>1956</v>
      </c>
      <c r="E331" s="503">
        <v>25604</v>
      </c>
      <c r="F331" s="570">
        <v>44747</v>
      </c>
      <c r="G331" s="85" t="s">
        <v>58</v>
      </c>
      <c r="H331" s="85" t="s">
        <v>92</v>
      </c>
      <c r="I331" s="85" t="s">
        <v>358</v>
      </c>
      <c r="J331" s="675" t="s">
        <v>358</v>
      </c>
      <c r="K331" s="85" t="s">
        <v>358</v>
      </c>
      <c r="L331" s="85" t="s">
        <v>40</v>
      </c>
      <c r="M331" s="85" t="s">
        <v>5</v>
      </c>
      <c r="N331" s="668" t="s">
        <v>44</v>
      </c>
      <c r="O331" s="669"/>
      <c r="P331" s="615"/>
      <c r="Q331" s="615"/>
      <c r="R331" s="615"/>
      <c r="S331" s="615"/>
      <c r="T331" s="615">
        <v>-0.11944444444444401</v>
      </c>
      <c r="U331" s="615"/>
      <c r="V331" s="615"/>
      <c r="W331" s="615"/>
      <c r="X331" s="615"/>
      <c r="Y331" s="615"/>
      <c r="Z331" s="635"/>
      <c r="AA331" s="636"/>
      <c r="AB331" s="615"/>
      <c r="AC331" s="615"/>
      <c r="AD331" s="615"/>
      <c r="AE331" s="615"/>
      <c r="AF331" s="615"/>
      <c r="AG331" s="615"/>
      <c r="AH331" s="615"/>
      <c r="AI331" s="615"/>
      <c r="AJ331" s="615"/>
      <c r="AK331" s="615"/>
      <c r="AL331" s="635"/>
      <c r="AM331" s="636"/>
      <c r="AN331" s="615"/>
      <c r="AO331" s="615"/>
      <c r="AP331" s="615"/>
      <c r="AQ331" s="615"/>
      <c r="AR331" s="615"/>
      <c r="AS331" s="615"/>
      <c r="AT331" s="615"/>
      <c r="AU331" s="615"/>
      <c r="AV331" s="615"/>
      <c r="AW331" s="615"/>
      <c r="AX331" s="635"/>
      <c r="AY331" s="636"/>
      <c r="AZ331" s="615"/>
      <c r="BA331" s="615"/>
      <c r="BB331" s="615"/>
      <c r="BC331" s="615"/>
      <c r="BD331" s="615"/>
      <c r="BE331" s="615"/>
      <c r="BF331" s="615"/>
      <c r="BG331" s="615"/>
      <c r="BH331" s="615"/>
      <c r="BI331" s="615"/>
      <c r="BJ331" s="635"/>
      <c r="BK331" s="636"/>
      <c r="BL331" s="615"/>
      <c r="BM331" s="615"/>
      <c r="BN331" s="615"/>
      <c r="BO331" s="615"/>
      <c r="BP331" s="615"/>
      <c r="BQ331" s="615"/>
      <c r="BR331" s="615"/>
      <c r="BS331" s="615"/>
      <c r="BT331" s="615"/>
      <c r="BU331" s="615"/>
      <c r="BV331" s="637"/>
      <c r="BW331" s="669"/>
      <c r="BX331" s="615"/>
      <c r="BY331" s="615"/>
      <c r="BZ331" s="615"/>
      <c r="CA331" s="615"/>
      <c r="CB331" s="615">
        <v>85.210000000000008</v>
      </c>
      <c r="CC331" s="615"/>
      <c r="CD331" s="615"/>
      <c r="CE331" s="615"/>
      <c r="CF331" s="615"/>
      <c r="CG331" s="615"/>
      <c r="CH331" s="635"/>
      <c r="CI331" s="636"/>
      <c r="CJ331" s="615"/>
      <c r="CK331" s="615"/>
      <c r="CL331" s="615"/>
      <c r="CM331" s="615"/>
      <c r="CN331" s="615"/>
      <c r="CO331" s="615"/>
      <c r="CP331" s="615"/>
      <c r="CQ331" s="615"/>
      <c r="CR331" s="615"/>
      <c r="CS331" s="615"/>
      <c r="CT331" s="635"/>
      <c r="CU331" s="636"/>
      <c r="CV331" s="615"/>
      <c r="CW331" s="615"/>
      <c r="CX331" s="615"/>
      <c r="CY331" s="615"/>
      <c r="CZ331" s="615"/>
      <c r="DA331" s="615"/>
      <c r="DB331" s="615"/>
      <c r="DC331" s="615"/>
      <c r="DD331" s="615"/>
      <c r="DE331" s="615"/>
      <c r="DF331" s="635"/>
      <c r="DG331" s="636"/>
      <c r="DH331" s="615"/>
      <c r="DI331" s="615"/>
      <c r="DJ331" s="615"/>
      <c r="DK331" s="615"/>
      <c r="DL331" s="615"/>
      <c r="DM331" s="615"/>
      <c r="DN331" s="615"/>
      <c r="DO331" s="615"/>
      <c r="DP331" s="615"/>
      <c r="DQ331" s="615"/>
      <c r="DR331" s="635"/>
      <c r="DS331" s="636"/>
      <c r="DT331" s="615"/>
      <c r="DU331" s="615"/>
      <c r="DV331" s="615"/>
      <c r="DW331" s="615"/>
      <c r="DX331" s="615"/>
      <c r="DY331" s="615"/>
      <c r="DZ331" s="615"/>
      <c r="EA331" s="615"/>
      <c r="EB331" s="615"/>
      <c r="EC331" s="615"/>
      <c r="ED331" s="637"/>
      <c r="EE331" s="692"/>
    </row>
    <row r="332" spans="1:135" x14ac:dyDescent="0.25">
      <c r="A332" s="640" t="s">
        <v>12</v>
      </c>
      <c r="B332" s="367" t="s">
        <v>1957</v>
      </c>
      <c r="C332" s="367" t="s">
        <v>1942</v>
      </c>
      <c r="D332" s="367" t="s">
        <v>1958</v>
      </c>
      <c r="E332" s="503">
        <v>25606</v>
      </c>
      <c r="F332" s="570">
        <v>44747</v>
      </c>
      <c r="G332" s="85" t="s">
        <v>58</v>
      </c>
      <c r="H332" s="85" t="s">
        <v>92</v>
      </c>
      <c r="I332" s="85" t="s">
        <v>358</v>
      </c>
      <c r="J332" s="675" t="s">
        <v>358</v>
      </c>
      <c r="K332" s="85" t="s">
        <v>358</v>
      </c>
      <c r="L332" s="85" t="s">
        <v>40</v>
      </c>
      <c r="M332" s="85" t="s">
        <v>5</v>
      </c>
      <c r="N332" s="668" t="s">
        <v>44</v>
      </c>
      <c r="O332" s="669"/>
      <c r="P332" s="615"/>
      <c r="Q332" s="615"/>
      <c r="R332" s="615"/>
      <c r="S332" s="615"/>
      <c r="T332" s="615">
        <v>-2.9013888888888899</v>
      </c>
      <c r="U332" s="615"/>
      <c r="V332" s="615"/>
      <c r="W332" s="615"/>
      <c r="X332" s="615"/>
      <c r="Y332" s="615"/>
      <c r="Z332" s="635"/>
      <c r="AA332" s="636"/>
      <c r="AB332" s="615"/>
      <c r="AC332" s="615"/>
      <c r="AD332" s="615"/>
      <c r="AE332" s="615"/>
      <c r="AF332" s="615"/>
      <c r="AG332" s="615"/>
      <c r="AH332" s="615"/>
      <c r="AI332" s="615"/>
      <c r="AJ332" s="615"/>
      <c r="AK332" s="615"/>
      <c r="AL332" s="635"/>
      <c r="AM332" s="636"/>
      <c r="AN332" s="615"/>
      <c r="AO332" s="615"/>
      <c r="AP332" s="615"/>
      <c r="AQ332" s="615"/>
      <c r="AR332" s="615"/>
      <c r="AS332" s="615"/>
      <c r="AT332" s="615"/>
      <c r="AU332" s="615"/>
      <c r="AV332" s="615"/>
      <c r="AW332" s="615"/>
      <c r="AX332" s="635"/>
      <c r="AY332" s="636"/>
      <c r="AZ332" s="615"/>
      <c r="BA332" s="615"/>
      <c r="BB332" s="615"/>
      <c r="BC332" s="615"/>
      <c r="BD332" s="615"/>
      <c r="BE332" s="615"/>
      <c r="BF332" s="615"/>
      <c r="BG332" s="615"/>
      <c r="BH332" s="615"/>
      <c r="BI332" s="615"/>
      <c r="BJ332" s="635"/>
      <c r="BK332" s="636"/>
      <c r="BL332" s="615"/>
      <c r="BM332" s="615"/>
      <c r="BN332" s="615"/>
      <c r="BO332" s="615"/>
      <c r="BP332" s="615"/>
      <c r="BQ332" s="615"/>
      <c r="BR332" s="615"/>
      <c r="BS332" s="615"/>
      <c r="BT332" s="615"/>
      <c r="BU332" s="615"/>
      <c r="BV332" s="637"/>
      <c r="BW332" s="669"/>
      <c r="BX332" s="615"/>
      <c r="BY332" s="615"/>
      <c r="BZ332" s="615"/>
      <c r="CA332" s="615"/>
      <c r="CB332" s="615">
        <v>85.210000000000008</v>
      </c>
      <c r="CC332" s="615"/>
      <c r="CD332" s="615"/>
      <c r="CE332" s="615"/>
      <c r="CF332" s="615"/>
      <c r="CG332" s="615"/>
      <c r="CH332" s="635"/>
      <c r="CI332" s="636"/>
      <c r="CJ332" s="615"/>
      <c r="CK332" s="615"/>
      <c r="CL332" s="615"/>
      <c r="CM332" s="615"/>
      <c r="CN332" s="615"/>
      <c r="CO332" s="615"/>
      <c r="CP332" s="615"/>
      <c r="CQ332" s="615"/>
      <c r="CR332" s="615"/>
      <c r="CS332" s="615"/>
      <c r="CT332" s="635"/>
      <c r="CU332" s="636"/>
      <c r="CV332" s="615"/>
      <c r="CW332" s="615"/>
      <c r="CX332" s="615"/>
      <c r="CY332" s="615"/>
      <c r="CZ332" s="615"/>
      <c r="DA332" s="615"/>
      <c r="DB332" s="615"/>
      <c r="DC332" s="615"/>
      <c r="DD332" s="615"/>
      <c r="DE332" s="615"/>
      <c r="DF332" s="635"/>
      <c r="DG332" s="636"/>
      <c r="DH332" s="615"/>
      <c r="DI332" s="615"/>
      <c r="DJ332" s="615"/>
      <c r="DK332" s="615"/>
      <c r="DL332" s="615"/>
      <c r="DM332" s="615"/>
      <c r="DN332" s="615"/>
      <c r="DO332" s="615"/>
      <c r="DP332" s="615"/>
      <c r="DQ332" s="615"/>
      <c r="DR332" s="635"/>
      <c r="DS332" s="636"/>
      <c r="DT332" s="615"/>
      <c r="DU332" s="615"/>
      <c r="DV332" s="615"/>
      <c r="DW332" s="615"/>
      <c r="DX332" s="615"/>
      <c r="DY332" s="615"/>
      <c r="DZ332" s="615"/>
      <c r="EA332" s="615"/>
      <c r="EB332" s="615"/>
      <c r="EC332" s="615"/>
      <c r="ED332" s="637"/>
      <c r="EE332" s="692"/>
    </row>
    <row r="333" spans="1:135" x14ac:dyDescent="0.25">
      <c r="A333" s="640" t="s">
        <v>12</v>
      </c>
      <c r="B333" s="367" t="s">
        <v>1959</v>
      </c>
      <c r="C333" s="367" t="s">
        <v>1943</v>
      </c>
      <c r="D333" s="367" t="s">
        <v>1960</v>
      </c>
      <c r="E333" s="503">
        <v>25608</v>
      </c>
      <c r="F333" s="570">
        <v>44747</v>
      </c>
      <c r="G333" s="85" t="s">
        <v>58</v>
      </c>
      <c r="H333" s="85" t="s">
        <v>92</v>
      </c>
      <c r="I333" s="85" t="s">
        <v>358</v>
      </c>
      <c r="J333" s="675" t="s">
        <v>358</v>
      </c>
      <c r="K333" s="85" t="s">
        <v>358</v>
      </c>
      <c r="L333" s="85" t="s">
        <v>40</v>
      </c>
      <c r="M333" s="85" t="s">
        <v>5</v>
      </c>
      <c r="N333" s="668" t="s">
        <v>44</v>
      </c>
      <c r="O333" s="669"/>
      <c r="P333" s="615"/>
      <c r="Q333" s="615"/>
      <c r="R333" s="615"/>
      <c r="S333" s="615"/>
      <c r="T333" s="615">
        <v>-0.36111111111111099</v>
      </c>
      <c r="U333" s="615"/>
      <c r="V333" s="615"/>
      <c r="W333" s="615"/>
      <c r="X333" s="615"/>
      <c r="Y333" s="615"/>
      <c r="Z333" s="635"/>
      <c r="AA333" s="636"/>
      <c r="AB333" s="615"/>
      <c r="AC333" s="615"/>
      <c r="AD333" s="615"/>
      <c r="AE333" s="615"/>
      <c r="AF333" s="615"/>
      <c r="AG333" s="615"/>
      <c r="AH333" s="615"/>
      <c r="AI333" s="615"/>
      <c r="AJ333" s="615"/>
      <c r="AK333" s="615"/>
      <c r="AL333" s="635"/>
      <c r="AM333" s="636"/>
      <c r="AN333" s="615"/>
      <c r="AO333" s="615"/>
      <c r="AP333" s="615"/>
      <c r="AQ333" s="615"/>
      <c r="AR333" s="615"/>
      <c r="AS333" s="615"/>
      <c r="AT333" s="615"/>
      <c r="AU333" s="615"/>
      <c r="AV333" s="615"/>
      <c r="AW333" s="615"/>
      <c r="AX333" s="635"/>
      <c r="AY333" s="636"/>
      <c r="AZ333" s="615"/>
      <c r="BA333" s="615"/>
      <c r="BB333" s="615"/>
      <c r="BC333" s="615"/>
      <c r="BD333" s="615"/>
      <c r="BE333" s="615"/>
      <c r="BF333" s="615"/>
      <c r="BG333" s="615"/>
      <c r="BH333" s="615"/>
      <c r="BI333" s="615"/>
      <c r="BJ333" s="635"/>
      <c r="BK333" s="636"/>
      <c r="BL333" s="615"/>
      <c r="BM333" s="615"/>
      <c r="BN333" s="615"/>
      <c r="BO333" s="615"/>
      <c r="BP333" s="615"/>
      <c r="BQ333" s="615"/>
      <c r="BR333" s="615"/>
      <c r="BS333" s="615"/>
      <c r="BT333" s="615"/>
      <c r="BU333" s="615"/>
      <c r="BV333" s="637"/>
      <c r="BW333" s="669"/>
      <c r="BX333" s="615"/>
      <c r="BY333" s="615"/>
      <c r="BZ333" s="615"/>
      <c r="CA333" s="615"/>
      <c r="CB333" s="615">
        <v>85.210000000000008</v>
      </c>
      <c r="CC333" s="615"/>
      <c r="CD333" s="615"/>
      <c r="CE333" s="615"/>
      <c r="CF333" s="615"/>
      <c r="CG333" s="615"/>
      <c r="CH333" s="635"/>
      <c r="CI333" s="636"/>
      <c r="CJ333" s="615"/>
      <c r="CK333" s="615"/>
      <c r="CL333" s="615"/>
      <c r="CM333" s="615"/>
      <c r="CN333" s="615"/>
      <c r="CO333" s="615"/>
      <c r="CP333" s="615"/>
      <c r="CQ333" s="615"/>
      <c r="CR333" s="615"/>
      <c r="CS333" s="615"/>
      <c r="CT333" s="635"/>
      <c r="CU333" s="636"/>
      <c r="CV333" s="615"/>
      <c r="CW333" s="615"/>
      <c r="CX333" s="615"/>
      <c r="CY333" s="615"/>
      <c r="CZ333" s="615"/>
      <c r="DA333" s="615"/>
      <c r="DB333" s="615"/>
      <c r="DC333" s="615"/>
      <c r="DD333" s="615"/>
      <c r="DE333" s="615"/>
      <c r="DF333" s="635"/>
      <c r="DG333" s="636"/>
      <c r="DH333" s="615"/>
      <c r="DI333" s="615"/>
      <c r="DJ333" s="615"/>
      <c r="DK333" s="615"/>
      <c r="DL333" s="615"/>
      <c r="DM333" s="615"/>
      <c r="DN333" s="615"/>
      <c r="DO333" s="615"/>
      <c r="DP333" s="615"/>
      <c r="DQ333" s="615"/>
      <c r="DR333" s="635"/>
      <c r="DS333" s="636"/>
      <c r="DT333" s="615"/>
      <c r="DU333" s="615"/>
      <c r="DV333" s="615"/>
      <c r="DW333" s="615"/>
      <c r="DX333" s="615"/>
      <c r="DY333" s="615"/>
      <c r="DZ333" s="615"/>
      <c r="EA333" s="615"/>
      <c r="EB333" s="615"/>
      <c r="EC333" s="615"/>
      <c r="ED333" s="637"/>
      <c r="EE333" s="692"/>
    </row>
    <row r="334" spans="1:135" x14ac:dyDescent="0.25">
      <c r="A334" s="640" t="s">
        <v>12</v>
      </c>
      <c r="B334" s="367" t="s">
        <v>1961</v>
      </c>
      <c r="C334" s="367" t="s">
        <v>1944</v>
      </c>
      <c r="D334" s="367" t="s">
        <v>1962</v>
      </c>
      <c r="E334" s="503">
        <v>25602</v>
      </c>
      <c r="F334" s="570">
        <v>44747</v>
      </c>
      <c r="G334" s="85" t="s">
        <v>58</v>
      </c>
      <c r="H334" s="85" t="s">
        <v>92</v>
      </c>
      <c r="I334" s="85" t="s">
        <v>358</v>
      </c>
      <c r="J334" s="675" t="s">
        <v>358</v>
      </c>
      <c r="K334" s="85" t="s">
        <v>358</v>
      </c>
      <c r="L334" s="85" t="s">
        <v>40</v>
      </c>
      <c r="M334" s="85" t="s">
        <v>5</v>
      </c>
      <c r="N334" s="668" t="s">
        <v>44</v>
      </c>
      <c r="O334" s="669"/>
      <c r="P334" s="615"/>
      <c r="Q334" s="615"/>
      <c r="R334" s="615"/>
      <c r="S334" s="615"/>
      <c r="T334" s="615">
        <v>-1.2094444444444401</v>
      </c>
      <c r="U334" s="615"/>
      <c r="V334" s="615"/>
      <c r="W334" s="615"/>
      <c r="X334" s="615"/>
      <c r="Y334" s="615"/>
      <c r="Z334" s="635"/>
      <c r="AA334" s="636"/>
      <c r="AB334" s="615"/>
      <c r="AC334" s="615"/>
      <c r="AD334" s="615"/>
      <c r="AE334" s="615"/>
      <c r="AF334" s="615"/>
      <c r="AG334" s="615"/>
      <c r="AH334" s="615"/>
      <c r="AI334" s="615"/>
      <c r="AJ334" s="615"/>
      <c r="AK334" s="615"/>
      <c r="AL334" s="635"/>
      <c r="AM334" s="636"/>
      <c r="AN334" s="615"/>
      <c r="AO334" s="615"/>
      <c r="AP334" s="615"/>
      <c r="AQ334" s="615"/>
      <c r="AR334" s="615"/>
      <c r="AS334" s="615"/>
      <c r="AT334" s="615"/>
      <c r="AU334" s="615"/>
      <c r="AV334" s="615"/>
      <c r="AW334" s="615"/>
      <c r="AX334" s="635"/>
      <c r="AY334" s="636"/>
      <c r="AZ334" s="615"/>
      <c r="BA334" s="615"/>
      <c r="BB334" s="615"/>
      <c r="BC334" s="615"/>
      <c r="BD334" s="615"/>
      <c r="BE334" s="615"/>
      <c r="BF334" s="615"/>
      <c r="BG334" s="615"/>
      <c r="BH334" s="615"/>
      <c r="BI334" s="615"/>
      <c r="BJ334" s="635"/>
      <c r="BK334" s="636"/>
      <c r="BL334" s="615"/>
      <c r="BM334" s="615"/>
      <c r="BN334" s="615"/>
      <c r="BO334" s="615"/>
      <c r="BP334" s="615"/>
      <c r="BQ334" s="615"/>
      <c r="BR334" s="615"/>
      <c r="BS334" s="615"/>
      <c r="BT334" s="615"/>
      <c r="BU334" s="615"/>
      <c r="BV334" s="637"/>
      <c r="BW334" s="669"/>
      <c r="BX334" s="615"/>
      <c r="BY334" s="615"/>
      <c r="BZ334" s="615"/>
      <c r="CA334" s="615"/>
      <c r="CB334" s="615">
        <v>85.210000000000008</v>
      </c>
      <c r="CC334" s="615"/>
      <c r="CD334" s="615"/>
      <c r="CE334" s="615"/>
      <c r="CF334" s="615"/>
      <c r="CG334" s="615"/>
      <c r="CH334" s="635"/>
      <c r="CI334" s="636"/>
      <c r="CJ334" s="615"/>
      <c r="CK334" s="615"/>
      <c r="CL334" s="615"/>
      <c r="CM334" s="615"/>
      <c r="CN334" s="615"/>
      <c r="CO334" s="615"/>
      <c r="CP334" s="615"/>
      <c r="CQ334" s="615"/>
      <c r="CR334" s="615"/>
      <c r="CS334" s="615"/>
      <c r="CT334" s="635"/>
      <c r="CU334" s="636"/>
      <c r="CV334" s="615"/>
      <c r="CW334" s="615"/>
      <c r="CX334" s="615"/>
      <c r="CY334" s="615"/>
      <c r="CZ334" s="615"/>
      <c r="DA334" s="615"/>
      <c r="DB334" s="615"/>
      <c r="DC334" s="615"/>
      <c r="DD334" s="615"/>
      <c r="DE334" s="615"/>
      <c r="DF334" s="635"/>
      <c r="DG334" s="636"/>
      <c r="DH334" s="615"/>
      <c r="DI334" s="615"/>
      <c r="DJ334" s="615"/>
      <c r="DK334" s="615"/>
      <c r="DL334" s="615"/>
      <c r="DM334" s="615"/>
      <c r="DN334" s="615"/>
      <c r="DO334" s="615"/>
      <c r="DP334" s="615"/>
      <c r="DQ334" s="615"/>
      <c r="DR334" s="635"/>
      <c r="DS334" s="636"/>
      <c r="DT334" s="615"/>
      <c r="DU334" s="615"/>
      <c r="DV334" s="615"/>
      <c r="DW334" s="615"/>
      <c r="DX334" s="615"/>
      <c r="DY334" s="615"/>
      <c r="DZ334" s="615"/>
      <c r="EA334" s="615"/>
      <c r="EB334" s="615"/>
      <c r="EC334" s="615"/>
      <c r="ED334" s="637"/>
      <c r="EE334" s="692"/>
    </row>
    <row r="335" spans="1:135" x14ac:dyDescent="0.25">
      <c r="A335" s="640" t="s">
        <v>11</v>
      </c>
      <c r="B335" s="367" t="s">
        <v>1972</v>
      </c>
      <c r="C335" s="367" t="s">
        <v>409</v>
      </c>
      <c r="D335" s="367" t="s">
        <v>1973</v>
      </c>
      <c r="E335" s="503" t="s">
        <v>1966</v>
      </c>
      <c r="F335" s="570">
        <v>44755</v>
      </c>
      <c r="G335" s="85" t="s">
        <v>58</v>
      </c>
      <c r="H335" s="85" t="s">
        <v>54</v>
      </c>
      <c r="I335" s="85" t="s">
        <v>358</v>
      </c>
      <c r="J335" s="675" t="s">
        <v>358</v>
      </c>
      <c r="K335" s="85" t="s">
        <v>358</v>
      </c>
      <c r="L335" s="85" t="s">
        <v>40</v>
      </c>
      <c r="M335" s="85" t="s">
        <v>3</v>
      </c>
      <c r="N335" s="668" t="s">
        <v>44</v>
      </c>
      <c r="O335" s="669"/>
      <c r="P335" s="615"/>
      <c r="Q335" s="615"/>
      <c r="R335" s="615"/>
      <c r="S335" s="615"/>
      <c r="T335" s="615"/>
      <c r="U335" s="615">
        <v>-5</v>
      </c>
      <c r="V335" s="615"/>
      <c r="W335" s="615"/>
      <c r="X335" s="615"/>
      <c r="Y335" s="615"/>
      <c r="Z335" s="635"/>
      <c r="AA335" s="636"/>
      <c r="AB335" s="615"/>
      <c r="AC335" s="615"/>
      <c r="AD335" s="615"/>
      <c r="AE335" s="615"/>
      <c r="AF335" s="615"/>
      <c r="AG335" s="615"/>
      <c r="AH335" s="615"/>
      <c r="AI335" s="615"/>
      <c r="AJ335" s="615"/>
      <c r="AK335" s="615"/>
      <c r="AL335" s="635"/>
      <c r="AM335" s="636"/>
      <c r="AN335" s="615"/>
      <c r="AO335" s="615"/>
      <c r="AP335" s="615"/>
      <c r="AQ335" s="615"/>
      <c r="AR335" s="615"/>
      <c r="AS335" s="615"/>
      <c r="AT335" s="615"/>
      <c r="AU335" s="615"/>
      <c r="AV335" s="615"/>
      <c r="AW335" s="615"/>
      <c r="AX335" s="635"/>
      <c r="AY335" s="636"/>
      <c r="AZ335" s="615"/>
      <c r="BA335" s="615"/>
      <c r="BB335" s="615"/>
      <c r="BC335" s="615"/>
      <c r="BD335" s="615"/>
      <c r="BE335" s="615"/>
      <c r="BF335" s="615"/>
      <c r="BG335" s="615"/>
      <c r="BH335" s="615"/>
      <c r="BI335" s="615"/>
      <c r="BJ335" s="635"/>
      <c r="BK335" s="636"/>
      <c r="BL335" s="615"/>
      <c r="BM335" s="615"/>
      <c r="BN335" s="615"/>
      <c r="BO335" s="615"/>
      <c r="BP335" s="615"/>
      <c r="BQ335" s="615"/>
      <c r="BR335" s="615"/>
      <c r="BS335" s="615"/>
      <c r="BT335" s="615"/>
      <c r="BU335" s="615"/>
      <c r="BV335" s="637"/>
      <c r="BW335" s="669"/>
      <c r="BX335" s="615"/>
      <c r="BY335" s="615"/>
      <c r="BZ335" s="615"/>
      <c r="CA335" s="615"/>
      <c r="CB335" s="615"/>
      <c r="CC335" s="615">
        <v>62.9</v>
      </c>
      <c r="CD335" s="615"/>
      <c r="CE335" s="615"/>
      <c r="CF335" s="615"/>
      <c r="CG335" s="615"/>
      <c r="CH335" s="635"/>
      <c r="CI335" s="636"/>
      <c r="CJ335" s="615"/>
      <c r="CK335" s="615"/>
      <c r="CL335" s="615"/>
      <c r="CM335" s="615"/>
      <c r="CN335" s="615"/>
      <c r="CO335" s="615"/>
      <c r="CP335" s="615"/>
      <c r="CQ335" s="615"/>
      <c r="CR335" s="615"/>
      <c r="CS335" s="615"/>
      <c r="CT335" s="635"/>
      <c r="CU335" s="636"/>
      <c r="CV335" s="615"/>
      <c r="CW335" s="615"/>
      <c r="CX335" s="615"/>
      <c r="CY335" s="615"/>
      <c r="CZ335" s="615"/>
      <c r="DA335" s="615"/>
      <c r="DB335" s="615"/>
      <c r="DC335" s="615"/>
      <c r="DD335" s="615"/>
      <c r="DE335" s="615"/>
      <c r="DF335" s="635"/>
      <c r="DG335" s="636"/>
      <c r="DH335" s="615"/>
      <c r="DI335" s="615"/>
      <c r="DJ335" s="615"/>
      <c r="DK335" s="615"/>
      <c r="DL335" s="615"/>
      <c r="DM335" s="615"/>
      <c r="DN335" s="615"/>
      <c r="DO335" s="615"/>
      <c r="DP335" s="615"/>
      <c r="DQ335" s="615"/>
      <c r="DR335" s="635"/>
      <c r="DS335" s="636"/>
      <c r="DT335" s="615"/>
      <c r="DU335" s="615"/>
      <c r="DV335" s="615"/>
      <c r="DW335" s="615"/>
      <c r="DX335" s="615"/>
      <c r="DY335" s="615"/>
      <c r="DZ335" s="615"/>
      <c r="EA335" s="615"/>
      <c r="EB335" s="615"/>
      <c r="EC335" s="615"/>
      <c r="ED335" s="637"/>
      <c r="EE335" s="692"/>
    </row>
    <row r="336" spans="1:135" x14ac:dyDescent="0.25">
      <c r="A336" s="640" t="s">
        <v>11</v>
      </c>
      <c r="B336" s="367" t="s">
        <v>1975</v>
      </c>
      <c r="C336" s="367" t="s">
        <v>409</v>
      </c>
      <c r="D336" s="367" t="s">
        <v>1976</v>
      </c>
      <c r="E336" s="503" t="s">
        <v>1968</v>
      </c>
      <c r="F336" s="570">
        <v>44755</v>
      </c>
      <c r="G336" s="85" t="s">
        <v>58</v>
      </c>
      <c r="H336" s="85" t="s">
        <v>54</v>
      </c>
      <c r="I336" s="85" t="s">
        <v>358</v>
      </c>
      <c r="J336" s="675" t="s">
        <v>358</v>
      </c>
      <c r="K336" s="85" t="s">
        <v>358</v>
      </c>
      <c r="L336" s="85" t="s">
        <v>40</v>
      </c>
      <c r="M336" s="85" t="s">
        <v>3</v>
      </c>
      <c r="N336" s="668" t="s">
        <v>44</v>
      </c>
      <c r="O336" s="669"/>
      <c r="P336" s="615"/>
      <c r="Q336" s="615"/>
      <c r="R336" s="615"/>
      <c r="S336" s="615"/>
      <c r="T336" s="615"/>
      <c r="U336" s="615">
        <v>-1</v>
      </c>
      <c r="V336" s="615"/>
      <c r="W336" s="615"/>
      <c r="X336" s="615"/>
      <c r="Y336" s="615"/>
      <c r="Z336" s="635"/>
      <c r="AA336" s="636"/>
      <c r="AB336" s="615"/>
      <c r="AC336" s="615"/>
      <c r="AD336" s="615"/>
      <c r="AE336" s="615"/>
      <c r="AF336" s="615"/>
      <c r="AG336" s="615"/>
      <c r="AH336" s="615"/>
      <c r="AI336" s="615"/>
      <c r="AJ336" s="615"/>
      <c r="AK336" s="615"/>
      <c r="AL336" s="635"/>
      <c r="AM336" s="636"/>
      <c r="AN336" s="615"/>
      <c r="AO336" s="615"/>
      <c r="AP336" s="615"/>
      <c r="AQ336" s="615"/>
      <c r="AR336" s="615"/>
      <c r="AS336" s="615"/>
      <c r="AT336" s="615"/>
      <c r="AU336" s="615"/>
      <c r="AV336" s="615"/>
      <c r="AW336" s="615"/>
      <c r="AX336" s="635"/>
      <c r="AY336" s="636"/>
      <c r="AZ336" s="615"/>
      <c r="BA336" s="615"/>
      <c r="BB336" s="615"/>
      <c r="BC336" s="615"/>
      <c r="BD336" s="615"/>
      <c r="BE336" s="615"/>
      <c r="BF336" s="615"/>
      <c r="BG336" s="615"/>
      <c r="BH336" s="615"/>
      <c r="BI336" s="615"/>
      <c r="BJ336" s="635"/>
      <c r="BK336" s="636"/>
      <c r="BL336" s="615"/>
      <c r="BM336" s="615"/>
      <c r="BN336" s="615"/>
      <c r="BO336" s="615"/>
      <c r="BP336" s="615"/>
      <c r="BQ336" s="615"/>
      <c r="BR336" s="615"/>
      <c r="BS336" s="615"/>
      <c r="BT336" s="615"/>
      <c r="BU336" s="615"/>
      <c r="BV336" s="637"/>
      <c r="BW336" s="669"/>
      <c r="BX336" s="615"/>
      <c r="BY336" s="615"/>
      <c r="BZ336" s="615"/>
      <c r="CA336" s="615"/>
      <c r="CB336" s="615"/>
      <c r="CC336" s="615">
        <v>62.9</v>
      </c>
      <c r="CD336" s="615"/>
      <c r="CE336" s="615"/>
      <c r="CF336" s="615"/>
      <c r="CG336" s="615"/>
      <c r="CH336" s="635"/>
      <c r="CI336" s="636"/>
      <c r="CJ336" s="615"/>
      <c r="CK336" s="615"/>
      <c r="CL336" s="615"/>
      <c r="CM336" s="615"/>
      <c r="CN336" s="615"/>
      <c r="CO336" s="615"/>
      <c r="CP336" s="615"/>
      <c r="CQ336" s="615"/>
      <c r="CR336" s="615"/>
      <c r="CS336" s="615"/>
      <c r="CT336" s="635"/>
      <c r="CU336" s="636"/>
      <c r="CV336" s="615"/>
      <c r="CW336" s="615"/>
      <c r="CX336" s="615"/>
      <c r="CY336" s="615"/>
      <c r="CZ336" s="615"/>
      <c r="DA336" s="615"/>
      <c r="DB336" s="615"/>
      <c r="DC336" s="615"/>
      <c r="DD336" s="615"/>
      <c r="DE336" s="615"/>
      <c r="DF336" s="635"/>
      <c r="DG336" s="636"/>
      <c r="DH336" s="615"/>
      <c r="DI336" s="615"/>
      <c r="DJ336" s="615"/>
      <c r="DK336" s="615"/>
      <c r="DL336" s="615"/>
      <c r="DM336" s="615"/>
      <c r="DN336" s="615"/>
      <c r="DO336" s="615"/>
      <c r="DP336" s="615"/>
      <c r="DQ336" s="615"/>
      <c r="DR336" s="635"/>
      <c r="DS336" s="636"/>
      <c r="DT336" s="615"/>
      <c r="DU336" s="615"/>
      <c r="DV336" s="615"/>
      <c r="DW336" s="615"/>
      <c r="DX336" s="615"/>
      <c r="DY336" s="615"/>
      <c r="DZ336" s="615"/>
      <c r="EA336" s="615"/>
      <c r="EB336" s="615"/>
      <c r="EC336" s="615"/>
      <c r="ED336" s="637"/>
      <c r="EE336" s="692"/>
    </row>
    <row r="337" spans="1:135" x14ac:dyDescent="0.25">
      <c r="A337" s="640" t="s">
        <v>11</v>
      </c>
      <c r="B337" s="367" t="s">
        <v>1979</v>
      </c>
      <c r="C337" s="367" t="s">
        <v>1540</v>
      </c>
      <c r="D337" s="367" t="s">
        <v>1980</v>
      </c>
      <c r="E337" s="503" t="s">
        <v>1971</v>
      </c>
      <c r="F337" s="570">
        <v>44755</v>
      </c>
      <c r="G337" s="85" t="s">
        <v>58</v>
      </c>
      <c r="H337" s="85" t="s">
        <v>54</v>
      </c>
      <c r="I337" s="85" t="s">
        <v>358</v>
      </c>
      <c r="J337" s="675" t="s">
        <v>358</v>
      </c>
      <c r="K337" s="85" t="s">
        <v>358</v>
      </c>
      <c r="L337" s="85" t="s">
        <v>40</v>
      </c>
      <c r="M337" s="85" t="s">
        <v>3</v>
      </c>
      <c r="N337" s="668" t="s">
        <v>44</v>
      </c>
      <c r="O337" s="669"/>
      <c r="P337" s="615"/>
      <c r="Q337" s="615"/>
      <c r="R337" s="615"/>
      <c r="S337" s="615"/>
      <c r="T337" s="615"/>
      <c r="U337" s="615"/>
      <c r="V337" s="615">
        <v>-12</v>
      </c>
      <c r="W337" s="615"/>
      <c r="X337" s="615"/>
      <c r="Y337" s="615"/>
      <c r="Z337" s="635"/>
      <c r="AA337" s="636"/>
      <c r="AB337" s="615"/>
      <c r="AC337" s="615"/>
      <c r="AD337" s="615"/>
      <c r="AE337" s="615"/>
      <c r="AF337" s="615"/>
      <c r="AG337" s="615"/>
      <c r="AH337" s="615"/>
      <c r="AI337" s="615"/>
      <c r="AJ337" s="615"/>
      <c r="AK337" s="615"/>
      <c r="AL337" s="635"/>
      <c r="AM337" s="636"/>
      <c r="AN337" s="615"/>
      <c r="AO337" s="615"/>
      <c r="AP337" s="615"/>
      <c r="AQ337" s="615"/>
      <c r="AR337" s="615"/>
      <c r="AS337" s="615"/>
      <c r="AT337" s="615"/>
      <c r="AU337" s="615"/>
      <c r="AV337" s="615"/>
      <c r="AW337" s="615"/>
      <c r="AX337" s="635"/>
      <c r="AY337" s="636"/>
      <c r="AZ337" s="615"/>
      <c r="BA337" s="615"/>
      <c r="BB337" s="615"/>
      <c r="BC337" s="615"/>
      <c r="BD337" s="615"/>
      <c r="BE337" s="615"/>
      <c r="BF337" s="615"/>
      <c r="BG337" s="615"/>
      <c r="BH337" s="615"/>
      <c r="BI337" s="615"/>
      <c r="BJ337" s="635"/>
      <c r="BK337" s="636"/>
      <c r="BL337" s="615"/>
      <c r="BM337" s="615"/>
      <c r="BN337" s="615"/>
      <c r="BO337" s="615"/>
      <c r="BP337" s="615"/>
      <c r="BQ337" s="615"/>
      <c r="BR337" s="615"/>
      <c r="BS337" s="615"/>
      <c r="BT337" s="615"/>
      <c r="BU337" s="615"/>
      <c r="BV337" s="637"/>
      <c r="BW337" s="669"/>
      <c r="BX337" s="615"/>
      <c r="BY337" s="615"/>
      <c r="BZ337" s="615"/>
      <c r="CA337" s="615"/>
      <c r="CB337" s="615"/>
      <c r="CC337" s="615"/>
      <c r="CD337" s="615">
        <v>82</v>
      </c>
      <c r="CE337" s="615"/>
      <c r="CF337" s="615"/>
      <c r="CG337" s="615"/>
      <c r="CH337" s="635"/>
      <c r="CI337" s="636"/>
      <c r="CJ337" s="615"/>
      <c r="CK337" s="615"/>
      <c r="CL337" s="615"/>
      <c r="CM337" s="615"/>
      <c r="CN337" s="615"/>
      <c r="CO337" s="615"/>
      <c r="CP337" s="615"/>
      <c r="CQ337" s="615"/>
      <c r="CR337" s="615"/>
      <c r="CS337" s="615"/>
      <c r="CT337" s="635"/>
      <c r="CU337" s="636"/>
      <c r="CV337" s="615"/>
      <c r="CW337" s="615"/>
      <c r="CX337" s="615"/>
      <c r="CY337" s="615"/>
      <c r="CZ337" s="615"/>
      <c r="DA337" s="615"/>
      <c r="DB337" s="615"/>
      <c r="DC337" s="615"/>
      <c r="DD337" s="615"/>
      <c r="DE337" s="615"/>
      <c r="DF337" s="635"/>
      <c r="DG337" s="636"/>
      <c r="DH337" s="615"/>
      <c r="DI337" s="615"/>
      <c r="DJ337" s="615"/>
      <c r="DK337" s="615"/>
      <c r="DL337" s="615"/>
      <c r="DM337" s="615"/>
      <c r="DN337" s="615"/>
      <c r="DO337" s="615"/>
      <c r="DP337" s="615"/>
      <c r="DQ337" s="615"/>
      <c r="DR337" s="635"/>
      <c r="DS337" s="636"/>
      <c r="DT337" s="615"/>
      <c r="DU337" s="615"/>
      <c r="DV337" s="615"/>
      <c r="DW337" s="615"/>
      <c r="DX337" s="615"/>
      <c r="DY337" s="615"/>
      <c r="DZ337" s="615"/>
      <c r="EA337" s="615"/>
      <c r="EB337" s="615"/>
      <c r="EC337" s="615"/>
      <c r="ED337" s="637"/>
      <c r="EE337" s="692"/>
    </row>
    <row r="338" spans="1:135" x14ac:dyDescent="0.25">
      <c r="A338" s="640" t="s">
        <v>11</v>
      </c>
      <c r="B338" s="367" t="s">
        <v>1982</v>
      </c>
      <c r="C338" s="367" t="s">
        <v>1748</v>
      </c>
      <c r="D338" s="367" t="s">
        <v>1983</v>
      </c>
      <c r="E338" s="503" t="s">
        <v>1981</v>
      </c>
      <c r="F338" s="570">
        <v>44756</v>
      </c>
      <c r="G338" s="85" t="s">
        <v>58</v>
      </c>
      <c r="H338" s="85" t="s">
        <v>54</v>
      </c>
      <c r="I338" s="85" t="s">
        <v>358</v>
      </c>
      <c r="J338" s="675" t="s">
        <v>358</v>
      </c>
      <c r="K338" s="85" t="s">
        <v>358</v>
      </c>
      <c r="L338" s="85" t="s">
        <v>40</v>
      </c>
      <c r="M338" s="85" t="s">
        <v>3</v>
      </c>
      <c r="N338" s="668" t="s">
        <v>44</v>
      </c>
      <c r="O338" s="669"/>
      <c r="P338" s="615"/>
      <c r="Q338" s="615"/>
      <c r="R338" s="615"/>
      <c r="S338" s="615"/>
      <c r="T338" s="615"/>
      <c r="U338" s="615">
        <v>-1</v>
      </c>
      <c r="V338" s="615"/>
      <c r="W338" s="615"/>
      <c r="X338" s="615"/>
      <c r="Y338" s="615"/>
      <c r="Z338" s="635"/>
      <c r="AA338" s="636"/>
      <c r="AB338" s="615"/>
      <c r="AC338" s="615"/>
      <c r="AD338" s="615"/>
      <c r="AE338" s="615"/>
      <c r="AF338" s="615"/>
      <c r="AG338" s="615"/>
      <c r="AH338" s="615"/>
      <c r="AI338" s="615"/>
      <c r="AJ338" s="615"/>
      <c r="AK338" s="615"/>
      <c r="AL338" s="635"/>
      <c r="AM338" s="636"/>
      <c r="AN338" s="615"/>
      <c r="AO338" s="615"/>
      <c r="AP338" s="615"/>
      <c r="AQ338" s="615"/>
      <c r="AR338" s="615"/>
      <c r="AS338" s="615"/>
      <c r="AT338" s="615"/>
      <c r="AU338" s="615"/>
      <c r="AV338" s="615"/>
      <c r="AW338" s="615"/>
      <c r="AX338" s="635"/>
      <c r="AY338" s="636"/>
      <c r="AZ338" s="615"/>
      <c r="BA338" s="615"/>
      <c r="BB338" s="615"/>
      <c r="BC338" s="615"/>
      <c r="BD338" s="615"/>
      <c r="BE338" s="615"/>
      <c r="BF338" s="615"/>
      <c r="BG338" s="615"/>
      <c r="BH338" s="615"/>
      <c r="BI338" s="615"/>
      <c r="BJ338" s="635"/>
      <c r="BK338" s="636"/>
      <c r="BL338" s="615"/>
      <c r="BM338" s="615"/>
      <c r="BN338" s="615"/>
      <c r="BO338" s="615"/>
      <c r="BP338" s="615"/>
      <c r="BQ338" s="615"/>
      <c r="BR338" s="615"/>
      <c r="BS338" s="615"/>
      <c r="BT338" s="615"/>
      <c r="BU338" s="615"/>
      <c r="BV338" s="637"/>
      <c r="BW338" s="669"/>
      <c r="BX338" s="615"/>
      <c r="BY338" s="615"/>
      <c r="BZ338" s="615"/>
      <c r="CA338" s="615"/>
      <c r="CB338" s="615"/>
      <c r="CC338" s="615">
        <v>64</v>
      </c>
      <c r="CD338" s="615"/>
      <c r="CE338" s="615"/>
      <c r="CF338" s="615"/>
      <c r="CG338" s="615"/>
      <c r="CH338" s="635"/>
      <c r="CI338" s="636"/>
      <c r="CJ338" s="615"/>
      <c r="CK338" s="615"/>
      <c r="CL338" s="615"/>
      <c r="CM338" s="615"/>
      <c r="CN338" s="615"/>
      <c r="CO338" s="615"/>
      <c r="CP338" s="615"/>
      <c r="CQ338" s="615"/>
      <c r="CR338" s="615"/>
      <c r="CS338" s="615"/>
      <c r="CT338" s="635"/>
      <c r="CU338" s="636"/>
      <c r="CV338" s="615"/>
      <c r="CW338" s="615"/>
      <c r="CX338" s="615"/>
      <c r="CY338" s="615"/>
      <c r="CZ338" s="615"/>
      <c r="DA338" s="615"/>
      <c r="DB338" s="615"/>
      <c r="DC338" s="615"/>
      <c r="DD338" s="615"/>
      <c r="DE338" s="615"/>
      <c r="DF338" s="635"/>
      <c r="DG338" s="636"/>
      <c r="DH338" s="615"/>
      <c r="DI338" s="615"/>
      <c r="DJ338" s="615"/>
      <c r="DK338" s="615"/>
      <c r="DL338" s="615"/>
      <c r="DM338" s="615"/>
      <c r="DN338" s="615"/>
      <c r="DO338" s="615"/>
      <c r="DP338" s="615"/>
      <c r="DQ338" s="615"/>
      <c r="DR338" s="635"/>
      <c r="DS338" s="636"/>
      <c r="DT338" s="615"/>
      <c r="DU338" s="615"/>
      <c r="DV338" s="615"/>
      <c r="DW338" s="615"/>
      <c r="DX338" s="615"/>
      <c r="DY338" s="615"/>
      <c r="DZ338" s="615"/>
      <c r="EA338" s="615"/>
      <c r="EB338" s="615"/>
      <c r="EC338" s="615"/>
      <c r="ED338" s="637"/>
      <c r="EE338" s="692"/>
    </row>
    <row r="339" spans="1:135" x14ac:dyDescent="0.25">
      <c r="A339" s="640" t="s">
        <v>11</v>
      </c>
      <c r="B339" s="367" t="s">
        <v>1990</v>
      </c>
      <c r="C339" s="367" t="s">
        <v>466</v>
      </c>
      <c r="D339" s="367" t="s">
        <v>1991</v>
      </c>
      <c r="E339" s="503" t="s">
        <v>1984</v>
      </c>
      <c r="F339" s="570">
        <v>44757</v>
      </c>
      <c r="G339" s="85" t="s">
        <v>58</v>
      </c>
      <c r="H339" s="85" t="s">
        <v>54</v>
      </c>
      <c r="I339" s="85" t="s">
        <v>358</v>
      </c>
      <c r="J339" s="675" t="s">
        <v>358</v>
      </c>
      <c r="K339" s="85" t="s">
        <v>358</v>
      </c>
      <c r="L339" s="85" t="s">
        <v>40</v>
      </c>
      <c r="M339" s="85" t="s">
        <v>3</v>
      </c>
      <c r="N339" s="668" t="s">
        <v>44</v>
      </c>
      <c r="O339" s="669"/>
      <c r="P339" s="615"/>
      <c r="Q339" s="615"/>
      <c r="R339" s="615"/>
      <c r="S339" s="615"/>
      <c r="T339" s="615"/>
      <c r="U339" s="615"/>
      <c r="V339" s="615"/>
      <c r="W339" s="615">
        <v>-10</v>
      </c>
      <c r="X339" s="615"/>
      <c r="Y339" s="615"/>
      <c r="Z339" s="635"/>
      <c r="AA339" s="636"/>
      <c r="AB339" s="615"/>
      <c r="AC339" s="615"/>
      <c r="AD339" s="615"/>
      <c r="AE339" s="615"/>
      <c r="AF339" s="615"/>
      <c r="AG339" s="615"/>
      <c r="AH339" s="615"/>
      <c r="AI339" s="615"/>
      <c r="AJ339" s="615"/>
      <c r="AK339" s="615"/>
      <c r="AL339" s="635"/>
      <c r="AM339" s="636"/>
      <c r="AN339" s="615"/>
      <c r="AO339" s="615"/>
      <c r="AP339" s="615"/>
      <c r="AQ339" s="615"/>
      <c r="AR339" s="615"/>
      <c r="AS339" s="615"/>
      <c r="AT339" s="615"/>
      <c r="AU339" s="615"/>
      <c r="AV339" s="615"/>
      <c r="AW339" s="615"/>
      <c r="AX339" s="635"/>
      <c r="AY339" s="636"/>
      <c r="AZ339" s="615"/>
      <c r="BA339" s="615"/>
      <c r="BB339" s="615"/>
      <c r="BC339" s="615"/>
      <c r="BD339" s="615"/>
      <c r="BE339" s="615"/>
      <c r="BF339" s="615"/>
      <c r="BG339" s="615"/>
      <c r="BH339" s="615"/>
      <c r="BI339" s="615"/>
      <c r="BJ339" s="635"/>
      <c r="BK339" s="636"/>
      <c r="BL339" s="615"/>
      <c r="BM339" s="615"/>
      <c r="BN339" s="615"/>
      <c r="BO339" s="615"/>
      <c r="BP339" s="615"/>
      <c r="BQ339" s="615"/>
      <c r="BR339" s="615"/>
      <c r="BS339" s="615"/>
      <c r="BT339" s="615"/>
      <c r="BU339" s="615"/>
      <c r="BV339" s="637"/>
      <c r="BW339" s="669"/>
      <c r="BX339" s="615"/>
      <c r="BY339" s="615"/>
      <c r="BZ339" s="615"/>
      <c r="CA339" s="615"/>
      <c r="CB339" s="615"/>
      <c r="CC339" s="615"/>
      <c r="CD339" s="615"/>
      <c r="CE339" s="615">
        <v>88</v>
      </c>
      <c r="CF339" s="615"/>
      <c r="CG339" s="615"/>
      <c r="CH339" s="635"/>
      <c r="CI339" s="636"/>
      <c r="CJ339" s="615"/>
      <c r="CK339" s="615"/>
      <c r="CL339" s="615"/>
      <c r="CM339" s="615"/>
      <c r="CN339" s="615"/>
      <c r="CO339" s="615"/>
      <c r="CP339" s="615"/>
      <c r="CQ339" s="615"/>
      <c r="CR339" s="615"/>
      <c r="CS339" s="615"/>
      <c r="CT339" s="635"/>
      <c r="CU339" s="636"/>
      <c r="CV339" s="615"/>
      <c r="CW339" s="615"/>
      <c r="CX339" s="615"/>
      <c r="CY339" s="615"/>
      <c r="CZ339" s="615"/>
      <c r="DA339" s="615"/>
      <c r="DB339" s="615"/>
      <c r="DC339" s="615"/>
      <c r="DD339" s="615"/>
      <c r="DE339" s="615"/>
      <c r="DF339" s="635"/>
      <c r="DG339" s="636"/>
      <c r="DH339" s="615"/>
      <c r="DI339" s="615"/>
      <c r="DJ339" s="615"/>
      <c r="DK339" s="615"/>
      <c r="DL339" s="615"/>
      <c r="DM339" s="615"/>
      <c r="DN339" s="615"/>
      <c r="DO339" s="615"/>
      <c r="DP339" s="615"/>
      <c r="DQ339" s="615"/>
      <c r="DR339" s="635"/>
      <c r="DS339" s="636"/>
      <c r="DT339" s="615"/>
      <c r="DU339" s="615"/>
      <c r="DV339" s="615"/>
      <c r="DW339" s="615"/>
      <c r="DX339" s="615"/>
      <c r="DY339" s="615"/>
      <c r="DZ339" s="615"/>
      <c r="EA339" s="615"/>
      <c r="EB339" s="615"/>
      <c r="EC339" s="615"/>
      <c r="ED339" s="637"/>
      <c r="EE339" s="692"/>
    </row>
    <row r="340" spans="1:135" x14ac:dyDescent="0.25">
      <c r="A340" s="640" t="s">
        <v>11</v>
      </c>
      <c r="B340" s="367" t="s">
        <v>1992</v>
      </c>
      <c r="C340" s="367" t="s">
        <v>968</v>
      </c>
      <c r="D340" s="367" t="s">
        <v>1993</v>
      </c>
      <c r="E340" s="503" t="s">
        <v>1985</v>
      </c>
      <c r="F340" s="570">
        <v>44757</v>
      </c>
      <c r="G340" s="85" t="s">
        <v>58</v>
      </c>
      <c r="H340" s="85" t="s">
        <v>54</v>
      </c>
      <c r="I340" s="85" t="s">
        <v>358</v>
      </c>
      <c r="J340" s="675" t="s">
        <v>358</v>
      </c>
      <c r="K340" s="85" t="s">
        <v>358</v>
      </c>
      <c r="L340" s="85" t="s">
        <v>40</v>
      </c>
      <c r="M340" s="85" t="s">
        <v>3</v>
      </c>
      <c r="N340" s="668" t="s">
        <v>44</v>
      </c>
      <c r="O340" s="669"/>
      <c r="P340" s="615"/>
      <c r="Q340" s="615"/>
      <c r="R340" s="615"/>
      <c r="S340" s="615"/>
      <c r="T340" s="615"/>
      <c r="U340" s="615"/>
      <c r="V340" s="615"/>
      <c r="W340" s="615">
        <v>-1</v>
      </c>
      <c r="X340" s="615"/>
      <c r="Y340" s="615"/>
      <c r="Z340" s="635"/>
      <c r="AA340" s="636"/>
      <c r="AB340" s="615"/>
      <c r="AC340" s="615"/>
      <c r="AD340" s="615"/>
      <c r="AE340" s="615"/>
      <c r="AF340" s="615"/>
      <c r="AG340" s="615"/>
      <c r="AH340" s="615"/>
      <c r="AI340" s="615"/>
      <c r="AJ340" s="615"/>
      <c r="AK340" s="615"/>
      <c r="AL340" s="635"/>
      <c r="AM340" s="636"/>
      <c r="AN340" s="615"/>
      <c r="AO340" s="615"/>
      <c r="AP340" s="615"/>
      <c r="AQ340" s="615"/>
      <c r="AR340" s="615"/>
      <c r="AS340" s="615"/>
      <c r="AT340" s="615"/>
      <c r="AU340" s="615"/>
      <c r="AV340" s="615"/>
      <c r="AW340" s="615"/>
      <c r="AX340" s="635"/>
      <c r="AY340" s="636"/>
      <c r="AZ340" s="615"/>
      <c r="BA340" s="615"/>
      <c r="BB340" s="615"/>
      <c r="BC340" s="615"/>
      <c r="BD340" s="615"/>
      <c r="BE340" s="615"/>
      <c r="BF340" s="615"/>
      <c r="BG340" s="615"/>
      <c r="BH340" s="615"/>
      <c r="BI340" s="615"/>
      <c r="BJ340" s="635"/>
      <c r="BK340" s="636"/>
      <c r="BL340" s="615"/>
      <c r="BM340" s="615"/>
      <c r="BN340" s="615"/>
      <c r="BO340" s="615"/>
      <c r="BP340" s="615"/>
      <c r="BQ340" s="615"/>
      <c r="BR340" s="615"/>
      <c r="BS340" s="615"/>
      <c r="BT340" s="615"/>
      <c r="BU340" s="615"/>
      <c r="BV340" s="637"/>
      <c r="BW340" s="669"/>
      <c r="BX340" s="615"/>
      <c r="BY340" s="615"/>
      <c r="BZ340" s="615"/>
      <c r="CA340" s="615"/>
      <c r="CB340" s="615"/>
      <c r="CC340" s="615"/>
      <c r="CD340" s="615"/>
      <c r="CE340" s="615">
        <v>88</v>
      </c>
      <c r="CF340" s="615"/>
      <c r="CG340" s="615"/>
      <c r="CH340" s="635"/>
      <c r="CI340" s="636"/>
      <c r="CJ340" s="615"/>
      <c r="CK340" s="615"/>
      <c r="CL340" s="615"/>
      <c r="CM340" s="615"/>
      <c r="CN340" s="615"/>
      <c r="CO340" s="615"/>
      <c r="CP340" s="615"/>
      <c r="CQ340" s="615"/>
      <c r="CR340" s="615"/>
      <c r="CS340" s="615"/>
      <c r="CT340" s="635"/>
      <c r="CU340" s="636"/>
      <c r="CV340" s="615"/>
      <c r="CW340" s="615"/>
      <c r="CX340" s="615"/>
      <c r="CY340" s="615"/>
      <c r="CZ340" s="615"/>
      <c r="DA340" s="615"/>
      <c r="DB340" s="615"/>
      <c r="DC340" s="615"/>
      <c r="DD340" s="615"/>
      <c r="DE340" s="615"/>
      <c r="DF340" s="635"/>
      <c r="DG340" s="636"/>
      <c r="DH340" s="615"/>
      <c r="DI340" s="615"/>
      <c r="DJ340" s="615"/>
      <c r="DK340" s="615"/>
      <c r="DL340" s="615"/>
      <c r="DM340" s="615"/>
      <c r="DN340" s="615"/>
      <c r="DO340" s="615"/>
      <c r="DP340" s="615"/>
      <c r="DQ340" s="615"/>
      <c r="DR340" s="635"/>
      <c r="DS340" s="636"/>
      <c r="DT340" s="615"/>
      <c r="DU340" s="615"/>
      <c r="DV340" s="615"/>
      <c r="DW340" s="615"/>
      <c r="DX340" s="615"/>
      <c r="DY340" s="615"/>
      <c r="DZ340" s="615"/>
      <c r="EA340" s="615"/>
      <c r="EB340" s="615"/>
      <c r="EC340" s="615"/>
      <c r="ED340" s="637"/>
      <c r="EE340" s="692"/>
    </row>
    <row r="341" spans="1:135" x14ac:dyDescent="0.25">
      <c r="A341" s="640" t="s">
        <v>11</v>
      </c>
      <c r="B341" s="367" t="s">
        <v>1994</v>
      </c>
      <c r="C341" s="367" t="s">
        <v>466</v>
      </c>
      <c r="D341" s="367" t="s">
        <v>1995</v>
      </c>
      <c r="E341" s="503" t="s">
        <v>1986</v>
      </c>
      <c r="F341" s="570">
        <v>44757</v>
      </c>
      <c r="G341" s="85" t="s">
        <v>58</v>
      </c>
      <c r="H341" s="85" t="s">
        <v>54</v>
      </c>
      <c r="I341" s="85" t="s">
        <v>358</v>
      </c>
      <c r="J341" s="675" t="s">
        <v>358</v>
      </c>
      <c r="K341" s="85" t="s">
        <v>358</v>
      </c>
      <c r="L341" s="85" t="s">
        <v>40</v>
      </c>
      <c r="M341" s="85" t="s">
        <v>3</v>
      </c>
      <c r="N341" s="668" t="s">
        <v>44</v>
      </c>
      <c r="O341" s="669"/>
      <c r="P341" s="615"/>
      <c r="Q341" s="615"/>
      <c r="R341" s="615"/>
      <c r="S341" s="615"/>
      <c r="T341" s="615"/>
      <c r="U341" s="615"/>
      <c r="V341" s="615"/>
      <c r="W341" s="615">
        <v>-1</v>
      </c>
      <c r="X341" s="615"/>
      <c r="Y341" s="615"/>
      <c r="Z341" s="635"/>
      <c r="AA341" s="636"/>
      <c r="AB341" s="615"/>
      <c r="AC341" s="615"/>
      <c r="AD341" s="615"/>
      <c r="AE341" s="615"/>
      <c r="AF341" s="615"/>
      <c r="AG341" s="615"/>
      <c r="AH341" s="615"/>
      <c r="AI341" s="615"/>
      <c r="AJ341" s="615"/>
      <c r="AK341" s="615"/>
      <c r="AL341" s="635"/>
      <c r="AM341" s="636"/>
      <c r="AN341" s="615"/>
      <c r="AO341" s="615"/>
      <c r="AP341" s="615"/>
      <c r="AQ341" s="615"/>
      <c r="AR341" s="615"/>
      <c r="AS341" s="615"/>
      <c r="AT341" s="615"/>
      <c r="AU341" s="615"/>
      <c r="AV341" s="615"/>
      <c r="AW341" s="615"/>
      <c r="AX341" s="635"/>
      <c r="AY341" s="636"/>
      <c r="AZ341" s="615"/>
      <c r="BA341" s="615"/>
      <c r="BB341" s="615"/>
      <c r="BC341" s="615"/>
      <c r="BD341" s="615"/>
      <c r="BE341" s="615"/>
      <c r="BF341" s="615"/>
      <c r="BG341" s="615"/>
      <c r="BH341" s="615"/>
      <c r="BI341" s="615"/>
      <c r="BJ341" s="635"/>
      <c r="BK341" s="636"/>
      <c r="BL341" s="615"/>
      <c r="BM341" s="615"/>
      <c r="BN341" s="615"/>
      <c r="BO341" s="615"/>
      <c r="BP341" s="615"/>
      <c r="BQ341" s="615"/>
      <c r="BR341" s="615"/>
      <c r="BS341" s="615"/>
      <c r="BT341" s="615"/>
      <c r="BU341" s="615"/>
      <c r="BV341" s="637"/>
      <c r="BW341" s="669"/>
      <c r="BX341" s="615"/>
      <c r="BY341" s="615"/>
      <c r="BZ341" s="615"/>
      <c r="CA341" s="615"/>
      <c r="CB341" s="615"/>
      <c r="CC341" s="615"/>
      <c r="CD341" s="615"/>
      <c r="CE341" s="615">
        <v>88</v>
      </c>
      <c r="CF341" s="615"/>
      <c r="CG341" s="615"/>
      <c r="CH341" s="635"/>
      <c r="CI341" s="636"/>
      <c r="CJ341" s="615"/>
      <c r="CK341" s="615"/>
      <c r="CL341" s="615"/>
      <c r="CM341" s="615"/>
      <c r="CN341" s="615"/>
      <c r="CO341" s="615"/>
      <c r="CP341" s="615"/>
      <c r="CQ341" s="615"/>
      <c r="CR341" s="615"/>
      <c r="CS341" s="615"/>
      <c r="CT341" s="635"/>
      <c r="CU341" s="636"/>
      <c r="CV341" s="615"/>
      <c r="CW341" s="615"/>
      <c r="CX341" s="615"/>
      <c r="CY341" s="615"/>
      <c r="CZ341" s="615"/>
      <c r="DA341" s="615"/>
      <c r="DB341" s="615"/>
      <c r="DC341" s="615"/>
      <c r="DD341" s="615"/>
      <c r="DE341" s="615"/>
      <c r="DF341" s="635"/>
      <c r="DG341" s="636"/>
      <c r="DH341" s="615"/>
      <c r="DI341" s="615"/>
      <c r="DJ341" s="615"/>
      <c r="DK341" s="615"/>
      <c r="DL341" s="615"/>
      <c r="DM341" s="615"/>
      <c r="DN341" s="615"/>
      <c r="DO341" s="615"/>
      <c r="DP341" s="615"/>
      <c r="DQ341" s="615"/>
      <c r="DR341" s="635"/>
      <c r="DS341" s="636"/>
      <c r="DT341" s="615"/>
      <c r="DU341" s="615"/>
      <c r="DV341" s="615"/>
      <c r="DW341" s="615"/>
      <c r="DX341" s="615"/>
      <c r="DY341" s="615"/>
      <c r="DZ341" s="615"/>
      <c r="EA341" s="615"/>
      <c r="EB341" s="615"/>
      <c r="EC341" s="615"/>
      <c r="ED341" s="637"/>
      <c r="EE341" s="692"/>
    </row>
    <row r="342" spans="1:135" x14ac:dyDescent="0.25">
      <c r="A342" s="640" t="s">
        <v>11</v>
      </c>
      <c r="B342" s="367" t="s">
        <v>1996</v>
      </c>
      <c r="C342" s="367" t="s">
        <v>466</v>
      </c>
      <c r="D342" s="367" t="s">
        <v>1997</v>
      </c>
      <c r="E342" s="503" t="s">
        <v>1987</v>
      </c>
      <c r="F342" s="570">
        <v>44757</v>
      </c>
      <c r="G342" s="85" t="s">
        <v>58</v>
      </c>
      <c r="H342" s="85" t="s">
        <v>54</v>
      </c>
      <c r="I342" s="85" t="s">
        <v>358</v>
      </c>
      <c r="J342" s="675" t="s">
        <v>358</v>
      </c>
      <c r="K342" s="85" t="s">
        <v>358</v>
      </c>
      <c r="L342" s="85" t="s">
        <v>40</v>
      </c>
      <c r="M342" s="85" t="s">
        <v>3</v>
      </c>
      <c r="N342" s="668" t="s">
        <v>44</v>
      </c>
      <c r="O342" s="669"/>
      <c r="P342" s="615"/>
      <c r="Q342" s="615"/>
      <c r="R342" s="615"/>
      <c r="S342" s="615"/>
      <c r="T342" s="615"/>
      <c r="U342" s="615"/>
      <c r="V342" s="615"/>
      <c r="W342" s="615">
        <v>-1</v>
      </c>
      <c r="X342" s="615"/>
      <c r="Y342" s="615"/>
      <c r="Z342" s="635"/>
      <c r="AA342" s="636"/>
      <c r="AB342" s="615"/>
      <c r="AC342" s="615"/>
      <c r="AD342" s="615"/>
      <c r="AE342" s="615"/>
      <c r="AF342" s="615"/>
      <c r="AG342" s="615"/>
      <c r="AH342" s="615"/>
      <c r="AI342" s="615"/>
      <c r="AJ342" s="615"/>
      <c r="AK342" s="615"/>
      <c r="AL342" s="635"/>
      <c r="AM342" s="636"/>
      <c r="AN342" s="615"/>
      <c r="AO342" s="615"/>
      <c r="AP342" s="615"/>
      <c r="AQ342" s="615"/>
      <c r="AR342" s="615"/>
      <c r="AS342" s="615"/>
      <c r="AT342" s="615"/>
      <c r="AU342" s="615"/>
      <c r="AV342" s="615"/>
      <c r="AW342" s="615"/>
      <c r="AX342" s="635"/>
      <c r="AY342" s="636"/>
      <c r="AZ342" s="615"/>
      <c r="BA342" s="615"/>
      <c r="BB342" s="615"/>
      <c r="BC342" s="615"/>
      <c r="BD342" s="615"/>
      <c r="BE342" s="615"/>
      <c r="BF342" s="615"/>
      <c r="BG342" s="615"/>
      <c r="BH342" s="615"/>
      <c r="BI342" s="615"/>
      <c r="BJ342" s="635"/>
      <c r="BK342" s="636"/>
      <c r="BL342" s="615"/>
      <c r="BM342" s="615"/>
      <c r="BN342" s="615"/>
      <c r="BO342" s="615"/>
      <c r="BP342" s="615"/>
      <c r="BQ342" s="615"/>
      <c r="BR342" s="615"/>
      <c r="BS342" s="615"/>
      <c r="BT342" s="615"/>
      <c r="BU342" s="615"/>
      <c r="BV342" s="637"/>
      <c r="BW342" s="669"/>
      <c r="BX342" s="615"/>
      <c r="BY342" s="615"/>
      <c r="BZ342" s="615"/>
      <c r="CA342" s="615"/>
      <c r="CB342" s="615"/>
      <c r="CC342" s="615"/>
      <c r="CD342" s="615"/>
      <c r="CE342" s="615">
        <v>88</v>
      </c>
      <c r="CF342" s="615"/>
      <c r="CG342" s="615"/>
      <c r="CH342" s="635"/>
      <c r="CI342" s="636"/>
      <c r="CJ342" s="615"/>
      <c r="CK342" s="615"/>
      <c r="CL342" s="615"/>
      <c r="CM342" s="615"/>
      <c r="CN342" s="615"/>
      <c r="CO342" s="615"/>
      <c r="CP342" s="615"/>
      <c r="CQ342" s="615"/>
      <c r="CR342" s="615"/>
      <c r="CS342" s="615"/>
      <c r="CT342" s="635"/>
      <c r="CU342" s="636"/>
      <c r="CV342" s="615"/>
      <c r="CW342" s="615"/>
      <c r="CX342" s="615"/>
      <c r="CY342" s="615"/>
      <c r="CZ342" s="615"/>
      <c r="DA342" s="615"/>
      <c r="DB342" s="615"/>
      <c r="DC342" s="615"/>
      <c r="DD342" s="615"/>
      <c r="DE342" s="615"/>
      <c r="DF342" s="635"/>
      <c r="DG342" s="636"/>
      <c r="DH342" s="615"/>
      <c r="DI342" s="615"/>
      <c r="DJ342" s="615"/>
      <c r="DK342" s="615"/>
      <c r="DL342" s="615"/>
      <c r="DM342" s="615"/>
      <c r="DN342" s="615"/>
      <c r="DO342" s="615"/>
      <c r="DP342" s="615"/>
      <c r="DQ342" s="615"/>
      <c r="DR342" s="635"/>
      <c r="DS342" s="636"/>
      <c r="DT342" s="615"/>
      <c r="DU342" s="615"/>
      <c r="DV342" s="615"/>
      <c r="DW342" s="615"/>
      <c r="DX342" s="615"/>
      <c r="DY342" s="615"/>
      <c r="DZ342" s="615"/>
      <c r="EA342" s="615"/>
      <c r="EB342" s="615"/>
      <c r="EC342" s="615"/>
      <c r="ED342" s="637"/>
      <c r="EE342" s="692"/>
    </row>
    <row r="343" spans="1:135" x14ac:dyDescent="0.25">
      <c r="A343" s="640" t="s">
        <v>11</v>
      </c>
      <c r="B343" s="367" t="s">
        <v>1998</v>
      </c>
      <c r="C343" s="367" t="s">
        <v>350</v>
      </c>
      <c r="D343" s="367" t="s">
        <v>1999</v>
      </c>
      <c r="E343" s="503" t="s">
        <v>1988</v>
      </c>
      <c r="F343" s="570">
        <v>44757</v>
      </c>
      <c r="G343" s="85" t="s">
        <v>58</v>
      </c>
      <c r="H343" s="85" t="s">
        <v>54</v>
      </c>
      <c r="I343" s="85" t="s">
        <v>358</v>
      </c>
      <c r="J343" s="675" t="s">
        <v>358</v>
      </c>
      <c r="K343" s="85" t="s">
        <v>358</v>
      </c>
      <c r="L343" s="85" t="s">
        <v>40</v>
      </c>
      <c r="M343" s="85" t="s">
        <v>3</v>
      </c>
      <c r="N343" s="668" t="s">
        <v>44</v>
      </c>
      <c r="O343" s="669"/>
      <c r="P343" s="615"/>
      <c r="Q343" s="615"/>
      <c r="R343" s="615"/>
      <c r="S343" s="615"/>
      <c r="T343" s="615"/>
      <c r="U343" s="615"/>
      <c r="V343" s="615"/>
      <c r="W343" s="615">
        <v>-1</v>
      </c>
      <c r="X343" s="615"/>
      <c r="Y343" s="615"/>
      <c r="Z343" s="635"/>
      <c r="AA343" s="636"/>
      <c r="AB343" s="615"/>
      <c r="AC343" s="615"/>
      <c r="AD343" s="615"/>
      <c r="AE343" s="615"/>
      <c r="AF343" s="615"/>
      <c r="AG343" s="615"/>
      <c r="AH343" s="615"/>
      <c r="AI343" s="615"/>
      <c r="AJ343" s="615"/>
      <c r="AK343" s="615"/>
      <c r="AL343" s="635"/>
      <c r="AM343" s="636"/>
      <c r="AN343" s="615"/>
      <c r="AO343" s="615"/>
      <c r="AP343" s="615"/>
      <c r="AQ343" s="615"/>
      <c r="AR343" s="615"/>
      <c r="AS343" s="615"/>
      <c r="AT343" s="615"/>
      <c r="AU343" s="615"/>
      <c r="AV343" s="615"/>
      <c r="AW343" s="615"/>
      <c r="AX343" s="635"/>
      <c r="AY343" s="636"/>
      <c r="AZ343" s="615"/>
      <c r="BA343" s="615"/>
      <c r="BB343" s="615"/>
      <c r="BC343" s="615"/>
      <c r="BD343" s="615"/>
      <c r="BE343" s="615"/>
      <c r="BF343" s="615"/>
      <c r="BG343" s="615"/>
      <c r="BH343" s="615"/>
      <c r="BI343" s="615"/>
      <c r="BJ343" s="635"/>
      <c r="BK343" s="636"/>
      <c r="BL343" s="615"/>
      <c r="BM343" s="615"/>
      <c r="BN343" s="615"/>
      <c r="BO343" s="615"/>
      <c r="BP343" s="615"/>
      <c r="BQ343" s="615"/>
      <c r="BR343" s="615"/>
      <c r="BS343" s="615"/>
      <c r="BT343" s="615"/>
      <c r="BU343" s="615"/>
      <c r="BV343" s="637"/>
      <c r="BW343" s="669"/>
      <c r="BX343" s="615"/>
      <c r="BY343" s="615"/>
      <c r="BZ343" s="615"/>
      <c r="CA343" s="615"/>
      <c r="CB343" s="615"/>
      <c r="CC343" s="615"/>
      <c r="CD343" s="615"/>
      <c r="CE343" s="615">
        <v>88</v>
      </c>
      <c r="CF343" s="615"/>
      <c r="CG343" s="615"/>
      <c r="CH343" s="635"/>
      <c r="CI343" s="636"/>
      <c r="CJ343" s="615"/>
      <c r="CK343" s="615"/>
      <c r="CL343" s="615"/>
      <c r="CM343" s="615"/>
      <c r="CN343" s="615"/>
      <c r="CO343" s="615"/>
      <c r="CP343" s="615"/>
      <c r="CQ343" s="615"/>
      <c r="CR343" s="615"/>
      <c r="CS343" s="615"/>
      <c r="CT343" s="635"/>
      <c r="CU343" s="636"/>
      <c r="CV343" s="615"/>
      <c r="CW343" s="615"/>
      <c r="CX343" s="615"/>
      <c r="CY343" s="615"/>
      <c r="CZ343" s="615"/>
      <c r="DA343" s="615"/>
      <c r="DB343" s="615"/>
      <c r="DC343" s="615"/>
      <c r="DD343" s="615"/>
      <c r="DE343" s="615"/>
      <c r="DF343" s="635"/>
      <c r="DG343" s="636"/>
      <c r="DH343" s="615"/>
      <c r="DI343" s="615"/>
      <c r="DJ343" s="615"/>
      <c r="DK343" s="615"/>
      <c r="DL343" s="615"/>
      <c r="DM343" s="615"/>
      <c r="DN343" s="615"/>
      <c r="DO343" s="615"/>
      <c r="DP343" s="615"/>
      <c r="DQ343" s="615"/>
      <c r="DR343" s="635"/>
      <c r="DS343" s="636"/>
      <c r="DT343" s="615"/>
      <c r="DU343" s="615"/>
      <c r="DV343" s="615"/>
      <c r="DW343" s="615"/>
      <c r="DX343" s="615"/>
      <c r="DY343" s="615"/>
      <c r="DZ343" s="615"/>
      <c r="EA343" s="615"/>
      <c r="EB343" s="615"/>
      <c r="EC343" s="615"/>
      <c r="ED343" s="637"/>
      <c r="EE343" s="692"/>
    </row>
    <row r="344" spans="1:135" x14ac:dyDescent="0.25">
      <c r="A344" s="640" t="s">
        <v>11</v>
      </c>
      <c r="B344" s="367" t="s">
        <v>2000</v>
      </c>
      <c r="C344" s="367" t="s">
        <v>1748</v>
      </c>
      <c r="D344" s="367" t="s">
        <v>2001</v>
      </c>
      <c r="E344" s="503" t="s">
        <v>1989</v>
      </c>
      <c r="F344" s="570">
        <v>44757</v>
      </c>
      <c r="G344" s="85" t="s">
        <v>58</v>
      </c>
      <c r="H344" s="85" t="s">
        <v>54</v>
      </c>
      <c r="I344" s="85" t="s">
        <v>358</v>
      </c>
      <c r="J344" s="675" t="s">
        <v>358</v>
      </c>
      <c r="K344" s="85" t="s">
        <v>358</v>
      </c>
      <c r="L344" s="85" t="s">
        <v>40</v>
      </c>
      <c r="M344" s="85" t="s">
        <v>3</v>
      </c>
      <c r="N344" s="668" t="s">
        <v>44</v>
      </c>
      <c r="O344" s="669"/>
      <c r="P344" s="615"/>
      <c r="Q344" s="615"/>
      <c r="R344" s="615"/>
      <c r="S344" s="615"/>
      <c r="T344" s="615"/>
      <c r="U344" s="615">
        <v>-13</v>
      </c>
      <c r="V344" s="615"/>
      <c r="W344" s="615"/>
      <c r="X344" s="615"/>
      <c r="Y344" s="615"/>
      <c r="Z344" s="635"/>
      <c r="AA344" s="636"/>
      <c r="AB344" s="615"/>
      <c r="AC344" s="615"/>
      <c r="AD344" s="615"/>
      <c r="AE344" s="615"/>
      <c r="AF344" s="615"/>
      <c r="AG344" s="615"/>
      <c r="AH344" s="615"/>
      <c r="AI344" s="615"/>
      <c r="AJ344" s="615"/>
      <c r="AK344" s="615"/>
      <c r="AL344" s="635"/>
      <c r="AM344" s="636"/>
      <c r="AN344" s="615"/>
      <c r="AO344" s="615"/>
      <c r="AP344" s="615"/>
      <c r="AQ344" s="615"/>
      <c r="AR344" s="615"/>
      <c r="AS344" s="615"/>
      <c r="AT344" s="615"/>
      <c r="AU344" s="615"/>
      <c r="AV344" s="615"/>
      <c r="AW344" s="615"/>
      <c r="AX344" s="635"/>
      <c r="AY344" s="636"/>
      <c r="AZ344" s="615"/>
      <c r="BA344" s="615"/>
      <c r="BB344" s="615"/>
      <c r="BC344" s="615"/>
      <c r="BD344" s="615"/>
      <c r="BE344" s="615"/>
      <c r="BF344" s="615"/>
      <c r="BG344" s="615"/>
      <c r="BH344" s="615"/>
      <c r="BI344" s="615"/>
      <c r="BJ344" s="635"/>
      <c r="BK344" s="636"/>
      <c r="BL344" s="615"/>
      <c r="BM344" s="615"/>
      <c r="BN344" s="615"/>
      <c r="BO344" s="615"/>
      <c r="BP344" s="615"/>
      <c r="BQ344" s="615"/>
      <c r="BR344" s="615"/>
      <c r="BS344" s="615"/>
      <c r="BT344" s="615"/>
      <c r="BU344" s="615"/>
      <c r="BV344" s="637"/>
      <c r="BW344" s="669"/>
      <c r="BX344" s="615"/>
      <c r="BY344" s="615"/>
      <c r="BZ344" s="615"/>
      <c r="CA344" s="615"/>
      <c r="CB344" s="615"/>
      <c r="CC344" s="615">
        <v>64</v>
      </c>
      <c r="CD344" s="615"/>
      <c r="CE344" s="615"/>
      <c r="CF344" s="615"/>
      <c r="CG344" s="615"/>
      <c r="CH344" s="635"/>
      <c r="CI344" s="636"/>
      <c r="CJ344" s="615"/>
      <c r="CK344" s="615"/>
      <c r="CL344" s="615"/>
      <c r="CM344" s="615"/>
      <c r="CN344" s="615"/>
      <c r="CO344" s="615"/>
      <c r="CP344" s="615"/>
      <c r="CQ344" s="615"/>
      <c r="CR344" s="615"/>
      <c r="CS344" s="615"/>
      <c r="CT344" s="635"/>
      <c r="CU344" s="636"/>
      <c r="CV344" s="615"/>
      <c r="CW344" s="615"/>
      <c r="CX344" s="615"/>
      <c r="CY344" s="615"/>
      <c r="CZ344" s="615"/>
      <c r="DA344" s="615"/>
      <c r="DB344" s="615"/>
      <c r="DC344" s="615"/>
      <c r="DD344" s="615"/>
      <c r="DE344" s="615"/>
      <c r="DF344" s="635"/>
      <c r="DG344" s="636"/>
      <c r="DH344" s="615"/>
      <c r="DI344" s="615"/>
      <c r="DJ344" s="615"/>
      <c r="DK344" s="615"/>
      <c r="DL344" s="615"/>
      <c r="DM344" s="615"/>
      <c r="DN344" s="615"/>
      <c r="DO344" s="615"/>
      <c r="DP344" s="615"/>
      <c r="DQ344" s="615"/>
      <c r="DR344" s="635"/>
      <c r="DS344" s="636"/>
      <c r="DT344" s="615"/>
      <c r="DU344" s="615"/>
      <c r="DV344" s="615"/>
      <c r="DW344" s="615"/>
      <c r="DX344" s="615"/>
      <c r="DY344" s="615"/>
      <c r="DZ344" s="615"/>
      <c r="EA344" s="615"/>
      <c r="EB344" s="615"/>
      <c r="EC344" s="615"/>
      <c r="ED344" s="637"/>
      <c r="EE344" s="692"/>
    </row>
    <row r="345" spans="1:135" x14ac:dyDescent="0.25">
      <c r="A345" s="640" t="s">
        <v>11</v>
      </c>
      <c r="B345" s="367" t="s">
        <v>2020</v>
      </c>
      <c r="C345" s="367" t="s">
        <v>585</v>
      </c>
      <c r="D345" s="367" t="s">
        <v>2021</v>
      </c>
      <c r="E345" s="503" t="s">
        <v>2016</v>
      </c>
      <c r="F345" s="570">
        <v>44762</v>
      </c>
      <c r="G345" s="85" t="s">
        <v>58</v>
      </c>
      <c r="H345" s="85" t="s">
        <v>54</v>
      </c>
      <c r="I345" s="85" t="s">
        <v>358</v>
      </c>
      <c r="J345" s="675" t="s">
        <v>358</v>
      </c>
      <c r="K345" s="85" t="s">
        <v>358</v>
      </c>
      <c r="L345" s="85" t="s">
        <v>40</v>
      </c>
      <c r="M345" s="85" t="s">
        <v>3</v>
      </c>
      <c r="N345" s="668" t="s">
        <v>44</v>
      </c>
      <c r="O345" s="669"/>
      <c r="P345" s="615"/>
      <c r="Q345" s="615"/>
      <c r="R345" s="615"/>
      <c r="S345" s="615"/>
      <c r="T345" s="615"/>
      <c r="U345" s="615">
        <v>-10</v>
      </c>
      <c r="V345" s="615"/>
      <c r="W345" s="615"/>
      <c r="X345" s="615"/>
      <c r="Y345" s="615"/>
      <c r="Z345" s="635"/>
      <c r="AA345" s="636"/>
      <c r="AB345" s="615"/>
      <c r="AC345" s="615"/>
      <c r="AD345" s="615"/>
      <c r="AE345" s="615"/>
      <c r="AF345" s="615"/>
      <c r="AG345" s="615"/>
      <c r="AH345" s="615"/>
      <c r="AI345" s="615"/>
      <c r="AJ345" s="615"/>
      <c r="AK345" s="615"/>
      <c r="AL345" s="635"/>
      <c r="AM345" s="636"/>
      <c r="AN345" s="615"/>
      <c r="AO345" s="615"/>
      <c r="AP345" s="615"/>
      <c r="AQ345" s="615"/>
      <c r="AR345" s="615"/>
      <c r="AS345" s="615"/>
      <c r="AT345" s="615"/>
      <c r="AU345" s="615"/>
      <c r="AV345" s="615"/>
      <c r="AW345" s="615"/>
      <c r="AX345" s="635"/>
      <c r="AY345" s="636"/>
      <c r="AZ345" s="615"/>
      <c r="BA345" s="615"/>
      <c r="BB345" s="615"/>
      <c r="BC345" s="615"/>
      <c r="BD345" s="615"/>
      <c r="BE345" s="615"/>
      <c r="BF345" s="615"/>
      <c r="BG345" s="615"/>
      <c r="BH345" s="615"/>
      <c r="BI345" s="615"/>
      <c r="BJ345" s="635"/>
      <c r="BK345" s="636"/>
      <c r="BL345" s="615"/>
      <c r="BM345" s="615"/>
      <c r="BN345" s="615"/>
      <c r="BO345" s="615"/>
      <c r="BP345" s="615"/>
      <c r="BQ345" s="615"/>
      <c r="BR345" s="615"/>
      <c r="BS345" s="615"/>
      <c r="BT345" s="615"/>
      <c r="BU345" s="615"/>
      <c r="BV345" s="637"/>
      <c r="BW345" s="669"/>
      <c r="BX345" s="615"/>
      <c r="BY345" s="615"/>
      <c r="BZ345" s="615"/>
      <c r="CA345" s="615"/>
      <c r="CB345" s="615"/>
      <c r="CC345" s="615">
        <v>66</v>
      </c>
      <c r="CD345" s="615"/>
      <c r="CE345" s="615"/>
      <c r="CF345" s="615"/>
      <c r="CG345" s="615"/>
      <c r="CH345" s="635"/>
      <c r="CI345" s="636"/>
      <c r="CJ345" s="615"/>
      <c r="CK345" s="615"/>
      <c r="CL345" s="615"/>
      <c r="CM345" s="615"/>
      <c r="CN345" s="615"/>
      <c r="CO345" s="615"/>
      <c r="CP345" s="615"/>
      <c r="CQ345" s="615"/>
      <c r="CR345" s="615"/>
      <c r="CS345" s="615"/>
      <c r="CT345" s="635"/>
      <c r="CU345" s="636"/>
      <c r="CV345" s="615"/>
      <c r="CW345" s="615"/>
      <c r="CX345" s="615"/>
      <c r="CY345" s="615"/>
      <c r="CZ345" s="615"/>
      <c r="DA345" s="615"/>
      <c r="DB345" s="615"/>
      <c r="DC345" s="615"/>
      <c r="DD345" s="615"/>
      <c r="DE345" s="615"/>
      <c r="DF345" s="635"/>
      <c r="DG345" s="636"/>
      <c r="DH345" s="615"/>
      <c r="DI345" s="615"/>
      <c r="DJ345" s="615"/>
      <c r="DK345" s="615"/>
      <c r="DL345" s="615"/>
      <c r="DM345" s="615"/>
      <c r="DN345" s="615"/>
      <c r="DO345" s="615"/>
      <c r="DP345" s="615"/>
      <c r="DQ345" s="615"/>
      <c r="DR345" s="635"/>
      <c r="DS345" s="636"/>
      <c r="DT345" s="615"/>
      <c r="DU345" s="615"/>
      <c r="DV345" s="615"/>
      <c r="DW345" s="615"/>
      <c r="DX345" s="615"/>
      <c r="DY345" s="615"/>
      <c r="DZ345" s="615"/>
      <c r="EA345" s="615"/>
      <c r="EB345" s="615"/>
      <c r="EC345" s="615"/>
      <c r="ED345" s="637"/>
      <c r="EE345" s="692"/>
    </row>
    <row r="346" spans="1:135" x14ac:dyDescent="0.25">
      <c r="A346" s="640" t="s">
        <v>11</v>
      </c>
      <c r="B346" s="367" t="s">
        <v>2037</v>
      </c>
      <c r="C346" s="367" t="s">
        <v>1919</v>
      </c>
      <c r="D346" s="367" t="s">
        <v>2038</v>
      </c>
      <c r="E346" s="503" t="s">
        <v>2029</v>
      </c>
      <c r="F346" s="570">
        <v>44763</v>
      </c>
      <c r="G346" s="85" t="s">
        <v>58</v>
      </c>
      <c r="H346" s="85" t="s">
        <v>54</v>
      </c>
      <c r="I346" s="85" t="s">
        <v>358</v>
      </c>
      <c r="J346" s="675" t="s">
        <v>358</v>
      </c>
      <c r="K346" s="85" t="s">
        <v>358</v>
      </c>
      <c r="L346" s="85" t="s">
        <v>40</v>
      </c>
      <c r="M346" s="85" t="s">
        <v>5</v>
      </c>
      <c r="N346" s="668" t="s">
        <v>44</v>
      </c>
      <c r="O346" s="669"/>
      <c r="P346" s="615"/>
      <c r="Q346" s="615"/>
      <c r="R346" s="615"/>
      <c r="S346" s="615"/>
      <c r="T346" s="615"/>
      <c r="U346" s="615">
        <v>-5</v>
      </c>
      <c r="V346" s="615"/>
      <c r="W346" s="615"/>
      <c r="X346" s="615"/>
      <c r="Y346" s="615"/>
      <c r="Z346" s="635"/>
      <c r="AA346" s="636"/>
      <c r="AB346" s="615"/>
      <c r="AC346" s="615"/>
      <c r="AD346" s="615"/>
      <c r="AE346" s="615"/>
      <c r="AF346" s="615"/>
      <c r="AG346" s="615"/>
      <c r="AH346" s="615"/>
      <c r="AI346" s="615"/>
      <c r="AJ346" s="615"/>
      <c r="AK346" s="615"/>
      <c r="AL346" s="635"/>
      <c r="AM346" s="636"/>
      <c r="AN346" s="615"/>
      <c r="AO346" s="615"/>
      <c r="AP346" s="615"/>
      <c r="AQ346" s="615"/>
      <c r="AR346" s="615"/>
      <c r="AS346" s="615"/>
      <c r="AT346" s="615"/>
      <c r="AU346" s="615"/>
      <c r="AV346" s="615"/>
      <c r="AW346" s="615"/>
      <c r="AX346" s="635"/>
      <c r="AY346" s="636"/>
      <c r="AZ346" s="615"/>
      <c r="BA346" s="615"/>
      <c r="BB346" s="615"/>
      <c r="BC346" s="615"/>
      <c r="BD346" s="615"/>
      <c r="BE346" s="615"/>
      <c r="BF346" s="615"/>
      <c r="BG346" s="615"/>
      <c r="BH346" s="615"/>
      <c r="BI346" s="615"/>
      <c r="BJ346" s="635"/>
      <c r="BK346" s="636"/>
      <c r="BL346" s="615"/>
      <c r="BM346" s="615"/>
      <c r="BN346" s="615"/>
      <c r="BO346" s="615"/>
      <c r="BP346" s="615"/>
      <c r="BQ346" s="615"/>
      <c r="BR346" s="615"/>
      <c r="BS346" s="615"/>
      <c r="BT346" s="615"/>
      <c r="BU346" s="615"/>
      <c r="BV346" s="637"/>
      <c r="BW346" s="669"/>
      <c r="BX346" s="615"/>
      <c r="BY346" s="615"/>
      <c r="BZ346" s="615"/>
      <c r="CA346" s="615"/>
      <c r="CB346" s="615"/>
      <c r="CC346" s="615">
        <v>95</v>
      </c>
      <c r="CD346" s="615"/>
      <c r="CE346" s="615"/>
      <c r="CF346" s="615"/>
      <c r="CG346" s="615"/>
      <c r="CH346" s="635"/>
      <c r="CI346" s="636"/>
      <c r="CJ346" s="615"/>
      <c r="CK346" s="615"/>
      <c r="CL346" s="615"/>
      <c r="CM346" s="615"/>
      <c r="CN346" s="615"/>
      <c r="CO346" s="615"/>
      <c r="CP346" s="615"/>
      <c r="CQ346" s="615"/>
      <c r="CR346" s="615"/>
      <c r="CS346" s="615"/>
      <c r="CT346" s="635"/>
      <c r="CU346" s="636"/>
      <c r="CV346" s="615"/>
      <c r="CW346" s="615"/>
      <c r="CX346" s="615"/>
      <c r="CY346" s="615"/>
      <c r="CZ346" s="615"/>
      <c r="DA346" s="615"/>
      <c r="DB346" s="615"/>
      <c r="DC346" s="615"/>
      <c r="DD346" s="615"/>
      <c r="DE346" s="615"/>
      <c r="DF346" s="635"/>
      <c r="DG346" s="636"/>
      <c r="DH346" s="615"/>
      <c r="DI346" s="615"/>
      <c r="DJ346" s="615"/>
      <c r="DK346" s="615"/>
      <c r="DL346" s="615"/>
      <c r="DM346" s="615"/>
      <c r="DN346" s="615"/>
      <c r="DO346" s="615"/>
      <c r="DP346" s="615"/>
      <c r="DQ346" s="615"/>
      <c r="DR346" s="635"/>
      <c r="DS346" s="636"/>
      <c r="DT346" s="615"/>
      <c r="DU346" s="615"/>
      <c r="DV346" s="615"/>
      <c r="DW346" s="615"/>
      <c r="DX346" s="615"/>
      <c r="DY346" s="615"/>
      <c r="DZ346" s="615"/>
      <c r="EA346" s="615"/>
      <c r="EB346" s="615"/>
      <c r="EC346" s="615"/>
      <c r="ED346" s="637"/>
      <c r="EE346" s="692"/>
    </row>
    <row r="347" spans="1:135" x14ac:dyDescent="0.25">
      <c r="A347" s="640" t="s">
        <v>11</v>
      </c>
      <c r="B347" s="367" t="s">
        <v>2040</v>
      </c>
      <c r="C347" s="367" t="s">
        <v>585</v>
      </c>
      <c r="D347" s="367" t="s">
        <v>2041</v>
      </c>
      <c r="E347" s="503" t="s">
        <v>2039</v>
      </c>
      <c r="F347" s="570">
        <v>44764</v>
      </c>
      <c r="G347" s="85" t="s">
        <v>58</v>
      </c>
      <c r="H347" s="85" t="s">
        <v>54</v>
      </c>
      <c r="I347" s="85" t="s">
        <v>358</v>
      </c>
      <c r="J347" s="675" t="s">
        <v>358</v>
      </c>
      <c r="K347" s="85" t="s">
        <v>358</v>
      </c>
      <c r="L347" s="85" t="s">
        <v>40</v>
      </c>
      <c r="M347" s="85" t="s">
        <v>3</v>
      </c>
      <c r="N347" s="668" t="s">
        <v>44</v>
      </c>
      <c r="O347" s="669"/>
      <c r="P347" s="615"/>
      <c r="Q347" s="615"/>
      <c r="R347" s="615"/>
      <c r="S347" s="615"/>
      <c r="T347" s="615"/>
      <c r="U347" s="615">
        <v>-15.4</v>
      </c>
      <c r="V347" s="615"/>
      <c r="W347" s="615"/>
      <c r="X347" s="615"/>
      <c r="Y347" s="615"/>
      <c r="Z347" s="635"/>
      <c r="AA347" s="636"/>
      <c r="AB347" s="615"/>
      <c r="AC347" s="615"/>
      <c r="AD347" s="615"/>
      <c r="AE347" s="615"/>
      <c r="AF347" s="615"/>
      <c r="AG347" s="615"/>
      <c r="AH347" s="615"/>
      <c r="AI347" s="615"/>
      <c r="AJ347" s="615"/>
      <c r="AK347" s="615"/>
      <c r="AL347" s="635"/>
      <c r="AM347" s="636"/>
      <c r="AN347" s="615"/>
      <c r="AO347" s="615"/>
      <c r="AP347" s="615"/>
      <c r="AQ347" s="615"/>
      <c r="AR347" s="615"/>
      <c r="AS347" s="615"/>
      <c r="AT347" s="615"/>
      <c r="AU347" s="615"/>
      <c r="AV347" s="615"/>
      <c r="AW347" s="615"/>
      <c r="AX347" s="635"/>
      <c r="AY347" s="636"/>
      <c r="AZ347" s="615"/>
      <c r="BA347" s="615"/>
      <c r="BB347" s="615"/>
      <c r="BC347" s="615"/>
      <c r="BD347" s="615"/>
      <c r="BE347" s="615"/>
      <c r="BF347" s="615"/>
      <c r="BG347" s="615"/>
      <c r="BH347" s="615"/>
      <c r="BI347" s="615"/>
      <c r="BJ347" s="635"/>
      <c r="BK347" s="636"/>
      <c r="BL347" s="615"/>
      <c r="BM347" s="615"/>
      <c r="BN347" s="615"/>
      <c r="BO347" s="615"/>
      <c r="BP347" s="615"/>
      <c r="BQ347" s="615"/>
      <c r="BR347" s="615"/>
      <c r="BS347" s="615"/>
      <c r="BT347" s="615"/>
      <c r="BU347" s="615"/>
      <c r="BV347" s="637"/>
      <c r="BW347" s="669"/>
      <c r="BX347" s="615"/>
      <c r="BY347" s="615"/>
      <c r="BZ347" s="615"/>
      <c r="CA347" s="615"/>
      <c r="CB347" s="615"/>
      <c r="CC347" s="615">
        <v>65.5</v>
      </c>
      <c r="CD347" s="615"/>
      <c r="CE347" s="615"/>
      <c r="CF347" s="615"/>
      <c r="CG347" s="615"/>
      <c r="CH347" s="635"/>
      <c r="CI347" s="636"/>
      <c r="CJ347" s="615"/>
      <c r="CK347" s="615"/>
      <c r="CL347" s="615"/>
      <c r="CM347" s="615"/>
      <c r="CN347" s="615"/>
      <c r="CO347" s="615"/>
      <c r="CP347" s="615"/>
      <c r="CQ347" s="615"/>
      <c r="CR347" s="615"/>
      <c r="CS347" s="615"/>
      <c r="CT347" s="635"/>
      <c r="CU347" s="636"/>
      <c r="CV347" s="615"/>
      <c r="CW347" s="615"/>
      <c r="CX347" s="615"/>
      <c r="CY347" s="615"/>
      <c r="CZ347" s="615"/>
      <c r="DA347" s="615"/>
      <c r="DB347" s="615"/>
      <c r="DC347" s="615"/>
      <c r="DD347" s="615"/>
      <c r="DE347" s="615"/>
      <c r="DF347" s="635"/>
      <c r="DG347" s="636"/>
      <c r="DH347" s="615"/>
      <c r="DI347" s="615"/>
      <c r="DJ347" s="615"/>
      <c r="DK347" s="615"/>
      <c r="DL347" s="615"/>
      <c r="DM347" s="615"/>
      <c r="DN347" s="615"/>
      <c r="DO347" s="615"/>
      <c r="DP347" s="615"/>
      <c r="DQ347" s="615"/>
      <c r="DR347" s="635"/>
      <c r="DS347" s="636"/>
      <c r="DT347" s="615"/>
      <c r="DU347" s="615"/>
      <c r="DV347" s="615"/>
      <c r="DW347" s="615"/>
      <c r="DX347" s="615"/>
      <c r="DY347" s="615"/>
      <c r="DZ347" s="615"/>
      <c r="EA347" s="615"/>
      <c r="EB347" s="615"/>
      <c r="EC347" s="615"/>
      <c r="ED347" s="637"/>
      <c r="EE347" s="692"/>
    </row>
    <row r="348" spans="1:135" x14ac:dyDescent="0.25">
      <c r="A348" s="640" t="s">
        <v>11</v>
      </c>
      <c r="B348" s="367" t="s">
        <v>2052</v>
      </c>
      <c r="C348" s="367" t="s">
        <v>2050</v>
      </c>
      <c r="D348" s="367" t="s">
        <v>2053</v>
      </c>
      <c r="E348" s="503" t="s">
        <v>2044</v>
      </c>
      <c r="F348" s="570">
        <v>44769</v>
      </c>
      <c r="G348" s="85" t="s">
        <v>58</v>
      </c>
      <c r="H348" s="85" t="s">
        <v>92</v>
      </c>
      <c r="I348" s="85" t="s">
        <v>358</v>
      </c>
      <c r="J348" s="675" t="s">
        <v>358</v>
      </c>
      <c r="K348" s="85" t="s">
        <v>358</v>
      </c>
      <c r="L348" s="85" t="s">
        <v>40</v>
      </c>
      <c r="M348" s="85" t="s">
        <v>5</v>
      </c>
      <c r="N348" s="668" t="s">
        <v>44</v>
      </c>
      <c r="O348" s="669"/>
      <c r="P348" s="615"/>
      <c r="Q348" s="615"/>
      <c r="R348" s="615"/>
      <c r="S348" s="615"/>
      <c r="T348" s="615"/>
      <c r="U348" s="615">
        <v>-3</v>
      </c>
      <c r="V348" s="615"/>
      <c r="W348" s="615"/>
      <c r="X348" s="615"/>
      <c r="Y348" s="615"/>
      <c r="Z348" s="635"/>
      <c r="AA348" s="636"/>
      <c r="AB348" s="615"/>
      <c r="AC348" s="615"/>
      <c r="AD348" s="615"/>
      <c r="AE348" s="615"/>
      <c r="AF348" s="615"/>
      <c r="AG348" s="615"/>
      <c r="AH348" s="615"/>
      <c r="AI348" s="615"/>
      <c r="AJ348" s="615"/>
      <c r="AK348" s="615"/>
      <c r="AL348" s="635"/>
      <c r="AM348" s="636"/>
      <c r="AN348" s="615"/>
      <c r="AO348" s="615"/>
      <c r="AP348" s="615"/>
      <c r="AQ348" s="615"/>
      <c r="AR348" s="615"/>
      <c r="AS348" s="615"/>
      <c r="AT348" s="615"/>
      <c r="AU348" s="615"/>
      <c r="AV348" s="615"/>
      <c r="AW348" s="615"/>
      <c r="AX348" s="635"/>
      <c r="AY348" s="636"/>
      <c r="AZ348" s="615"/>
      <c r="BA348" s="615"/>
      <c r="BB348" s="615"/>
      <c r="BC348" s="615"/>
      <c r="BD348" s="615"/>
      <c r="BE348" s="615"/>
      <c r="BF348" s="615"/>
      <c r="BG348" s="615"/>
      <c r="BH348" s="615"/>
      <c r="BI348" s="615"/>
      <c r="BJ348" s="635"/>
      <c r="BK348" s="636"/>
      <c r="BL348" s="615"/>
      <c r="BM348" s="615"/>
      <c r="BN348" s="615"/>
      <c r="BO348" s="615"/>
      <c r="BP348" s="615"/>
      <c r="BQ348" s="615"/>
      <c r="BR348" s="615"/>
      <c r="BS348" s="615"/>
      <c r="BT348" s="615"/>
      <c r="BU348" s="615"/>
      <c r="BV348" s="637"/>
      <c r="BW348" s="669"/>
      <c r="BX348" s="615"/>
      <c r="BY348" s="615"/>
      <c r="BZ348" s="615"/>
      <c r="CA348" s="615"/>
      <c r="CB348" s="615"/>
      <c r="CC348" s="615">
        <v>96.32</v>
      </c>
      <c r="CD348" s="615"/>
      <c r="CE348" s="615"/>
      <c r="CF348" s="615"/>
      <c r="CG348" s="615"/>
      <c r="CH348" s="635"/>
      <c r="CI348" s="636"/>
      <c r="CJ348" s="615"/>
      <c r="CK348" s="615"/>
      <c r="CL348" s="615"/>
      <c r="CM348" s="615"/>
      <c r="CN348" s="615"/>
      <c r="CO348" s="615"/>
      <c r="CP348" s="615"/>
      <c r="CQ348" s="615"/>
      <c r="CR348" s="615"/>
      <c r="CS348" s="615"/>
      <c r="CT348" s="635"/>
      <c r="CU348" s="636"/>
      <c r="CV348" s="615"/>
      <c r="CW348" s="615"/>
      <c r="CX348" s="615"/>
      <c r="CY348" s="615"/>
      <c r="CZ348" s="615"/>
      <c r="DA348" s="615"/>
      <c r="DB348" s="615"/>
      <c r="DC348" s="615"/>
      <c r="DD348" s="615"/>
      <c r="DE348" s="615"/>
      <c r="DF348" s="635"/>
      <c r="DG348" s="636"/>
      <c r="DH348" s="615"/>
      <c r="DI348" s="615"/>
      <c r="DJ348" s="615"/>
      <c r="DK348" s="615"/>
      <c r="DL348" s="615"/>
      <c r="DM348" s="615"/>
      <c r="DN348" s="615"/>
      <c r="DO348" s="615"/>
      <c r="DP348" s="615"/>
      <c r="DQ348" s="615"/>
      <c r="DR348" s="635"/>
      <c r="DS348" s="636"/>
      <c r="DT348" s="615"/>
      <c r="DU348" s="615"/>
      <c r="DV348" s="615"/>
      <c r="DW348" s="615"/>
      <c r="DX348" s="615"/>
      <c r="DY348" s="615"/>
      <c r="DZ348" s="615"/>
      <c r="EA348" s="615"/>
      <c r="EB348" s="615"/>
      <c r="EC348" s="615"/>
      <c r="ED348" s="637"/>
      <c r="EE348" s="692"/>
    </row>
    <row r="349" spans="1:135" x14ac:dyDescent="0.25">
      <c r="A349" s="640" t="s">
        <v>11</v>
      </c>
      <c r="B349" s="367" t="s">
        <v>2054</v>
      </c>
      <c r="C349" s="367" t="s">
        <v>2050</v>
      </c>
      <c r="D349" s="367" t="s">
        <v>2055</v>
      </c>
      <c r="E349" s="503" t="s">
        <v>2045</v>
      </c>
      <c r="F349" s="570">
        <v>44769</v>
      </c>
      <c r="G349" s="85" t="s">
        <v>58</v>
      </c>
      <c r="H349" s="85" t="s">
        <v>92</v>
      </c>
      <c r="I349" s="85" t="s">
        <v>358</v>
      </c>
      <c r="J349" s="675" t="s">
        <v>358</v>
      </c>
      <c r="K349" s="85" t="s">
        <v>358</v>
      </c>
      <c r="L349" s="85" t="s">
        <v>40</v>
      </c>
      <c r="M349" s="85" t="s">
        <v>5</v>
      </c>
      <c r="N349" s="668" t="s">
        <v>44</v>
      </c>
      <c r="O349" s="669"/>
      <c r="P349" s="615"/>
      <c r="Q349" s="615"/>
      <c r="R349" s="615"/>
      <c r="S349" s="615"/>
      <c r="T349" s="615"/>
      <c r="U349" s="615">
        <v>-2</v>
      </c>
      <c r="V349" s="615"/>
      <c r="W349" s="615"/>
      <c r="X349" s="615"/>
      <c r="Y349" s="615"/>
      <c r="Z349" s="635"/>
      <c r="AA349" s="636"/>
      <c r="AB349" s="615"/>
      <c r="AC349" s="615"/>
      <c r="AD349" s="615"/>
      <c r="AE349" s="615"/>
      <c r="AF349" s="615"/>
      <c r="AG349" s="615"/>
      <c r="AH349" s="615"/>
      <c r="AI349" s="615"/>
      <c r="AJ349" s="615"/>
      <c r="AK349" s="615"/>
      <c r="AL349" s="635"/>
      <c r="AM349" s="636"/>
      <c r="AN349" s="615"/>
      <c r="AO349" s="615"/>
      <c r="AP349" s="615"/>
      <c r="AQ349" s="615"/>
      <c r="AR349" s="615"/>
      <c r="AS349" s="615"/>
      <c r="AT349" s="615"/>
      <c r="AU349" s="615"/>
      <c r="AV349" s="615"/>
      <c r="AW349" s="615"/>
      <c r="AX349" s="635"/>
      <c r="AY349" s="636"/>
      <c r="AZ349" s="615"/>
      <c r="BA349" s="615"/>
      <c r="BB349" s="615"/>
      <c r="BC349" s="615"/>
      <c r="BD349" s="615"/>
      <c r="BE349" s="615"/>
      <c r="BF349" s="615"/>
      <c r="BG349" s="615"/>
      <c r="BH349" s="615"/>
      <c r="BI349" s="615"/>
      <c r="BJ349" s="635"/>
      <c r="BK349" s="636"/>
      <c r="BL349" s="615"/>
      <c r="BM349" s="615"/>
      <c r="BN349" s="615"/>
      <c r="BO349" s="615"/>
      <c r="BP349" s="615"/>
      <c r="BQ349" s="615"/>
      <c r="BR349" s="615"/>
      <c r="BS349" s="615"/>
      <c r="BT349" s="615"/>
      <c r="BU349" s="615"/>
      <c r="BV349" s="637"/>
      <c r="BW349" s="669"/>
      <c r="BX349" s="615"/>
      <c r="BY349" s="615"/>
      <c r="BZ349" s="615"/>
      <c r="CA349" s="615"/>
      <c r="CB349" s="615"/>
      <c r="CC349" s="615">
        <v>96.32</v>
      </c>
      <c r="CD349" s="615"/>
      <c r="CE349" s="615"/>
      <c r="CF349" s="615"/>
      <c r="CG349" s="615"/>
      <c r="CH349" s="635"/>
      <c r="CI349" s="636"/>
      <c r="CJ349" s="615"/>
      <c r="CK349" s="615"/>
      <c r="CL349" s="615"/>
      <c r="CM349" s="615"/>
      <c r="CN349" s="615"/>
      <c r="CO349" s="615"/>
      <c r="CP349" s="615"/>
      <c r="CQ349" s="615"/>
      <c r="CR349" s="615"/>
      <c r="CS349" s="615"/>
      <c r="CT349" s="635"/>
      <c r="CU349" s="636"/>
      <c r="CV349" s="615"/>
      <c r="CW349" s="615"/>
      <c r="CX349" s="615"/>
      <c r="CY349" s="615"/>
      <c r="CZ349" s="615"/>
      <c r="DA349" s="615"/>
      <c r="DB349" s="615"/>
      <c r="DC349" s="615"/>
      <c r="DD349" s="615"/>
      <c r="DE349" s="615"/>
      <c r="DF349" s="635"/>
      <c r="DG349" s="636"/>
      <c r="DH349" s="615"/>
      <c r="DI349" s="615"/>
      <c r="DJ349" s="615"/>
      <c r="DK349" s="615"/>
      <c r="DL349" s="615"/>
      <c r="DM349" s="615"/>
      <c r="DN349" s="615"/>
      <c r="DO349" s="615"/>
      <c r="DP349" s="615"/>
      <c r="DQ349" s="615"/>
      <c r="DR349" s="635"/>
      <c r="DS349" s="636"/>
      <c r="DT349" s="615"/>
      <c r="DU349" s="615"/>
      <c r="DV349" s="615"/>
      <c r="DW349" s="615"/>
      <c r="DX349" s="615"/>
      <c r="DY349" s="615"/>
      <c r="DZ349" s="615"/>
      <c r="EA349" s="615"/>
      <c r="EB349" s="615"/>
      <c r="EC349" s="615"/>
      <c r="ED349" s="637"/>
      <c r="EE349" s="692"/>
    </row>
    <row r="350" spans="1:135" x14ac:dyDescent="0.25">
      <c r="A350" s="640" t="s">
        <v>11</v>
      </c>
      <c r="B350" s="367" t="s">
        <v>2056</v>
      </c>
      <c r="C350" s="367" t="s">
        <v>1919</v>
      </c>
      <c r="D350" s="367" t="s">
        <v>2057</v>
      </c>
      <c r="E350" s="503" t="s">
        <v>2046</v>
      </c>
      <c r="F350" s="570">
        <v>44769</v>
      </c>
      <c r="G350" s="85" t="s">
        <v>58</v>
      </c>
      <c r="H350" s="85" t="s">
        <v>54</v>
      </c>
      <c r="I350" s="85" t="s">
        <v>358</v>
      </c>
      <c r="J350" s="675" t="s">
        <v>358</v>
      </c>
      <c r="K350" s="85" t="s">
        <v>358</v>
      </c>
      <c r="L350" s="85" t="s">
        <v>40</v>
      </c>
      <c r="M350" s="85" t="s">
        <v>5</v>
      </c>
      <c r="N350" s="668" t="s">
        <v>44</v>
      </c>
      <c r="O350" s="669"/>
      <c r="P350" s="615"/>
      <c r="Q350" s="615"/>
      <c r="R350" s="615"/>
      <c r="S350" s="615"/>
      <c r="T350" s="615"/>
      <c r="U350" s="615">
        <v>-7</v>
      </c>
      <c r="V350" s="615"/>
      <c r="W350" s="615"/>
      <c r="X350" s="615"/>
      <c r="Y350" s="615"/>
      <c r="Z350" s="635"/>
      <c r="AA350" s="636"/>
      <c r="AB350" s="615"/>
      <c r="AC350" s="615"/>
      <c r="AD350" s="615"/>
      <c r="AE350" s="615"/>
      <c r="AF350" s="615"/>
      <c r="AG350" s="615"/>
      <c r="AH350" s="615"/>
      <c r="AI350" s="615"/>
      <c r="AJ350" s="615"/>
      <c r="AK350" s="615"/>
      <c r="AL350" s="635"/>
      <c r="AM350" s="636"/>
      <c r="AN350" s="615"/>
      <c r="AO350" s="615"/>
      <c r="AP350" s="615"/>
      <c r="AQ350" s="615"/>
      <c r="AR350" s="615"/>
      <c r="AS350" s="615"/>
      <c r="AT350" s="615"/>
      <c r="AU350" s="615"/>
      <c r="AV350" s="615"/>
      <c r="AW350" s="615"/>
      <c r="AX350" s="635"/>
      <c r="AY350" s="636"/>
      <c r="AZ350" s="615"/>
      <c r="BA350" s="615"/>
      <c r="BB350" s="615"/>
      <c r="BC350" s="615"/>
      <c r="BD350" s="615"/>
      <c r="BE350" s="615"/>
      <c r="BF350" s="615"/>
      <c r="BG350" s="615"/>
      <c r="BH350" s="615"/>
      <c r="BI350" s="615"/>
      <c r="BJ350" s="635"/>
      <c r="BK350" s="636"/>
      <c r="BL350" s="615"/>
      <c r="BM350" s="615"/>
      <c r="BN350" s="615"/>
      <c r="BO350" s="615"/>
      <c r="BP350" s="615"/>
      <c r="BQ350" s="615"/>
      <c r="BR350" s="615"/>
      <c r="BS350" s="615"/>
      <c r="BT350" s="615"/>
      <c r="BU350" s="615"/>
      <c r="BV350" s="637"/>
      <c r="BW350" s="669"/>
      <c r="BX350" s="615"/>
      <c r="BY350" s="615"/>
      <c r="BZ350" s="615"/>
      <c r="CA350" s="615"/>
      <c r="CB350" s="615"/>
      <c r="CC350" s="615">
        <v>95.5</v>
      </c>
      <c r="CD350" s="615"/>
      <c r="CE350" s="615"/>
      <c r="CF350" s="615"/>
      <c r="CG350" s="615"/>
      <c r="CH350" s="635"/>
      <c r="CI350" s="636"/>
      <c r="CJ350" s="615"/>
      <c r="CK350" s="615"/>
      <c r="CL350" s="615"/>
      <c r="CM350" s="615"/>
      <c r="CN350" s="615"/>
      <c r="CO350" s="615"/>
      <c r="CP350" s="615"/>
      <c r="CQ350" s="615"/>
      <c r="CR350" s="615"/>
      <c r="CS350" s="615"/>
      <c r="CT350" s="635"/>
      <c r="CU350" s="636"/>
      <c r="CV350" s="615"/>
      <c r="CW350" s="615"/>
      <c r="CX350" s="615"/>
      <c r="CY350" s="615"/>
      <c r="CZ350" s="615"/>
      <c r="DA350" s="615"/>
      <c r="DB350" s="615"/>
      <c r="DC350" s="615"/>
      <c r="DD350" s="615"/>
      <c r="DE350" s="615"/>
      <c r="DF350" s="635"/>
      <c r="DG350" s="636"/>
      <c r="DH350" s="615"/>
      <c r="DI350" s="615"/>
      <c r="DJ350" s="615"/>
      <c r="DK350" s="615"/>
      <c r="DL350" s="615"/>
      <c r="DM350" s="615"/>
      <c r="DN350" s="615"/>
      <c r="DO350" s="615"/>
      <c r="DP350" s="615"/>
      <c r="DQ350" s="615"/>
      <c r="DR350" s="635"/>
      <c r="DS350" s="636"/>
      <c r="DT350" s="615"/>
      <c r="DU350" s="615"/>
      <c r="DV350" s="615"/>
      <c r="DW350" s="615"/>
      <c r="DX350" s="615"/>
      <c r="DY350" s="615"/>
      <c r="DZ350" s="615"/>
      <c r="EA350" s="615"/>
      <c r="EB350" s="615"/>
      <c r="EC350" s="615"/>
      <c r="ED350" s="637"/>
      <c r="EE350" s="692"/>
    </row>
    <row r="351" spans="1:135" x14ac:dyDescent="0.25">
      <c r="A351" s="640" t="s">
        <v>11</v>
      </c>
      <c r="B351" s="367" t="s">
        <v>2058</v>
      </c>
      <c r="C351" s="367" t="s">
        <v>2051</v>
      </c>
      <c r="D351" s="367" t="s">
        <v>2059</v>
      </c>
      <c r="E351" s="503" t="s">
        <v>2047</v>
      </c>
      <c r="F351" s="570">
        <v>44769</v>
      </c>
      <c r="G351" s="85" t="s">
        <v>58</v>
      </c>
      <c r="H351" s="85" t="s">
        <v>92</v>
      </c>
      <c r="I351" s="85" t="s">
        <v>358</v>
      </c>
      <c r="J351" s="675" t="s">
        <v>358</v>
      </c>
      <c r="K351" s="85" t="s">
        <v>358</v>
      </c>
      <c r="L351" s="85" t="s">
        <v>40</v>
      </c>
      <c r="M351" s="85" t="s">
        <v>5</v>
      </c>
      <c r="N351" s="668" t="s">
        <v>44</v>
      </c>
      <c r="O351" s="669"/>
      <c r="P351" s="615"/>
      <c r="Q351" s="615"/>
      <c r="R351" s="615"/>
      <c r="S351" s="615"/>
      <c r="T351" s="615"/>
      <c r="U351" s="615">
        <v>-15</v>
      </c>
      <c r="V351" s="615"/>
      <c r="W351" s="615"/>
      <c r="X351" s="615"/>
      <c r="Y351" s="615"/>
      <c r="Z351" s="635"/>
      <c r="AA351" s="636"/>
      <c r="AB351" s="615"/>
      <c r="AC351" s="615"/>
      <c r="AD351" s="615"/>
      <c r="AE351" s="615"/>
      <c r="AF351" s="615"/>
      <c r="AG351" s="615"/>
      <c r="AH351" s="615"/>
      <c r="AI351" s="615"/>
      <c r="AJ351" s="615"/>
      <c r="AK351" s="615"/>
      <c r="AL351" s="635"/>
      <c r="AM351" s="636"/>
      <c r="AN351" s="615"/>
      <c r="AO351" s="615"/>
      <c r="AP351" s="615"/>
      <c r="AQ351" s="615"/>
      <c r="AR351" s="615"/>
      <c r="AS351" s="615"/>
      <c r="AT351" s="615"/>
      <c r="AU351" s="615"/>
      <c r="AV351" s="615"/>
      <c r="AW351" s="615"/>
      <c r="AX351" s="635"/>
      <c r="AY351" s="636"/>
      <c r="AZ351" s="615"/>
      <c r="BA351" s="615"/>
      <c r="BB351" s="615"/>
      <c r="BC351" s="615"/>
      <c r="BD351" s="615"/>
      <c r="BE351" s="615"/>
      <c r="BF351" s="615"/>
      <c r="BG351" s="615"/>
      <c r="BH351" s="615"/>
      <c r="BI351" s="615"/>
      <c r="BJ351" s="635"/>
      <c r="BK351" s="636"/>
      <c r="BL351" s="615"/>
      <c r="BM351" s="615"/>
      <c r="BN351" s="615"/>
      <c r="BO351" s="615"/>
      <c r="BP351" s="615"/>
      <c r="BQ351" s="615"/>
      <c r="BR351" s="615"/>
      <c r="BS351" s="615"/>
      <c r="BT351" s="615"/>
      <c r="BU351" s="615"/>
      <c r="BV351" s="637"/>
      <c r="BW351" s="669"/>
      <c r="BX351" s="615"/>
      <c r="BY351" s="615"/>
      <c r="BZ351" s="615"/>
      <c r="CA351" s="615"/>
      <c r="CB351" s="615"/>
      <c r="CC351" s="615">
        <v>96.61999999999999</v>
      </c>
      <c r="CD351" s="615"/>
      <c r="CE351" s="615"/>
      <c r="CF351" s="615"/>
      <c r="CG351" s="615"/>
      <c r="CH351" s="635"/>
      <c r="CI351" s="636"/>
      <c r="CJ351" s="615"/>
      <c r="CK351" s="615"/>
      <c r="CL351" s="615"/>
      <c r="CM351" s="615"/>
      <c r="CN351" s="615"/>
      <c r="CO351" s="615"/>
      <c r="CP351" s="615"/>
      <c r="CQ351" s="615"/>
      <c r="CR351" s="615"/>
      <c r="CS351" s="615"/>
      <c r="CT351" s="635"/>
      <c r="CU351" s="636"/>
      <c r="CV351" s="615"/>
      <c r="CW351" s="615"/>
      <c r="CX351" s="615"/>
      <c r="CY351" s="615"/>
      <c r="CZ351" s="615"/>
      <c r="DA351" s="615"/>
      <c r="DB351" s="615"/>
      <c r="DC351" s="615"/>
      <c r="DD351" s="615"/>
      <c r="DE351" s="615"/>
      <c r="DF351" s="635"/>
      <c r="DG351" s="636"/>
      <c r="DH351" s="615"/>
      <c r="DI351" s="615"/>
      <c r="DJ351" s="615"/>
      <c r="DK351" s="615"/>
      <c r="DL351" s="615"/>
      <c r="DM351" s="615"/>
      <c r="DN351" s="615"/>
      <c r="DO351" s="615"/>
      <c r="DP351" s="615"/>
      <c r="DQ351" s="615"/>
      <c r="DR351" s="635"/>
      <c r="DS351" s="636"/>
      <c r="DT351" s="615"/>
      <c r="DU351" s="615"/>
      <c r="DV351" s="615"/>
      <c r="DW351" s="615"/>
      <c r="DX351" s="615"/>
      <c r="DY351" s="615"/>
      <c r="DZ351" s="615"/>
      <c r="EA351" s="615"/>
      <c r="EB351" s="615"/>
      <c r="EC351" s="615"/>
      <c r="ED351" s="637"/>
      <c r="EE351" s="692"/>
    </row>
    <row r="352" spans="1:135" x14ac:dyDescent="0.25">
      <c r="A352" s="640" t="s">
        <v>11</v>
      </c>
      <c r="B352" s="367" t="s">
        <v>2060</v>
      </c>
      <c r="C352" s="367" t="s">
        <v>875</v>
      </c>
      <c r="D352" s="367" t="s">
        <v>2061</v>
      </c>
      <c r="E352" s="503" t="s">
        <v>2048</v>
      </c>
      <c r="F352" s="570">
        <v>44769</v>
      </c>
      <c r="G352" s="85" t="s">
        <v>58</v>
      </c>
      <c r="H352" s="85" t="s">
        <v>92</v>
      </c>
      <c r="I352" s="85" t="s">
        <v>358</v>
      </c>
      <c r="J352" s="675" t="s">
        <v>358</v>
      </c>
      <c r="K352" s="85" t="s">
        <v>358</v>
      </c>
      <c r="L352" s="85" t="s">
        <v>40</v>
      </c>
      <c r="M352" s="85" t="s">
        <v>5</v>
      </c>
      <c r="N352" s="668" t="s">
        <v>44</v>
      </c>
      <c r="O352" s="669"/>
      <c r="P352" s="615"/>
      <c r="Q352" s="615"/>
      <c r="R352" s="615"/>
      <c r="S352" s="615"/>
      <c r="T352" s="615"/>
      <c r="U352" s="615">
        <v>-1</v>
      </c>
      <c r="V352" s="615"/>
      <c r="W352" s="615"/>
      <c r="X352" s="615"/>
      <c r="Y352" s="615"/>
      <c r="Z352" s="635"/>
      <c r="AA352" s="636"/>
      <c r="AB352" s="615"/>
      <c r="AC352" s="615"/>
      <c r="AD352" s="615"/>
      <c r="AE352" s="615"/>
      <c r="AF352" s="615"/>
      <c r="AG352" s="615"/>
      <c r="AH352" s="615"/>
      <c r="AI352" s="615"/>
      <c r="AJ352" s="615"/>
      <c r="AK352" s="615"/>
      <c r="AL352" s="635"/>
      <c r="AM352" s="636"/>
      <c r="AN352" s="615"/>
      <c r="AO352" s="615"/>
      <c r="AP352" s="615"/>
      <c r="AQ352" s="615"/>
      <c r="AR352" s="615"/>
      <c r="AS352" s="615"/>
      <c r="AT352" s="615"/>
      <c r="AU352" s="615"/>
      <c r="AV352" s="615"/>
      <c r="AW352" s="615"/>
      <c r="AX352" s="635"/>
      <c r="AY352" s="636"/>
      <c r="AZ352" s="615"/>
      <c r="BA352" s="615"/>
      <c r="BB352" s="615"/>
      <c r="BC352" s="615"/>
      <c r="BD352" s="615"/>
      <c r="BE352" s="615"/>
      <c r="BF352" s="615"/>
      <c r="BG352" s="615"/>
      <c r="BH352" s="615"/>
      <c r="BI352" s="615"/>
      <c r="BJ352" s="635"/>
      <c r="BK352" s="636"/>
      <c r="BL352" s="615"/>
      <c r="BM352" s="615"/>
      <c r="BN352" s="615"/>
      <c r="BO352" s="615"/>
      <c r="BP352" s="615"/>
      <c r="BQ352" s="615"/>
      <c r="BR352" s="615"/>
      <c r="BS352" s="615"/>
      <c r="BT352" s="615"/>
      <c r="BU352" s="615"/>
      <c r="BV352" s="637"/>
      <c r="BW352" s="669"/>
      <c r="BX352" s="615"/>
      <c r="BY352" s="615"/>
      <c r="BZ352" s="615"/>
      <c r="CA352" s="615"/>
      <c r="CB352" s="615"/>
      <c r="CC352" s="615">
        <v>96.32</v>
      </c>
      <c r="CD352" s="615"/>
      <c r="CE352" s="615"/>
      <c r="CF352" s="615"/>
      <c r="CG352" s="615"/>
      <c r="CH352" s="635"/>
      <c r="CI352" s="636"/>
      <c r="CJ352" s="615"/>
      <c r="CK352" s="615"/>
      <c r="CL352" s="615"/>
      <c r="CM352" s="615"/>
      <c r="CN352" s="615"/>
      <c r="CO352" s="615"/>
      <c r="CP352" s="615"/>
      <c r="CQ352" s="615"/>
      <c r="CR352" s="615"/>
      <c r="CS352" s="615"/>
      <c r="CT352" s="635"/>
      <c r="CU352" s="636"/>
      <c r="CV352" s="615"/>
      <c r="CW352" s="615"/>
      <c r="CX352" s="615"/>
      <c r="CY352" s="615"/>
      <c r="CZ352" s="615"/>
      <c r="DA352" s="615"/>
      <c r="DB352" s="615"/>
      <c r="DC352" s="615"/>
      <c r="DD352" s="615"/>
      <c r="DE352" s="615"/>
      <c r="DF352" s="635"/>
      <c r="DG352" s="636"/>
      <c r="DH352" s="615"/>
      <c r="DI352" s="615"/>
      <c r="DJ352" s="615"/>
      <c r="DK352" s="615"/>
      <c r="DL352" s="615"/>
      <c r="DM352" s="615"/>
      <c r="DN352" s="615"/>
      <c r="DO352" s="615"/>
      <c r="DP352" s="615"/>
      <c r="DQ352" s="615"/>
      <c r="DR352" s="635"/>
      <c r="DS352" s="636"/>
      <c r="DT352" s="615"/>
      <c r="DU352" s="615"/>
      <c r="DV352" s="615"/>
      <c r="DW352" s="615"/>
      <c r="DX352" s="615"/>
      <c r="DY352" s="615"/>
      <c r="DZ352" s="615"/>
      <c r="EA352" s="615"/>
      <c r="EB352" s="615"/>
      <c r="EC352" s="615"/>
      <c r="ED352" s="637"/>
      <c r="EE352" s="692"/>
    </row>
    <row r="353" spans="1:135" x14ac:dyDescent="0.25">
      <c r="A353" s="640" t="s">
        <v>11</v>
      </c>
      <c r="B353" s="367" t="s">
        <v>2069</v>
      </c>
      <c r="C353" s="367" t="s">
        <v>355</v>
      </c>
      <c r="D353" s="367" t="s">
        <v>2070</v>
      </c>
      <c r="E353" s="503" t="s">
        <v>2063</v>
      </c>
      <c r="F353" s="570">
        <v>44770</v>
      </c>
      <c r="G353" s="85" t="s">
        <v>58</v>
      </c>
      <c r="H353" s="85" t="s">
        <v>54</v>
      </c>
      <c r="I353" s="85" t="s">
        <v>358</v>
      </c>
      <c r="J353" s="675" t="s">
        <v>358</v>
      </c>
      <c r="K353" s="85" t="s">
        <v>358</v>
      </c>
      <c r="L353" s="85" t="s">
        <v>40</v>
      </c>
      <c r="M353" s="85" t="s">
        <v>3</v>
      </c>
      <c r="N353" s="668" t="s">
        <v>44</v>
      </c>
      <c r="O353" s="669"/>
      <c r="P353" s="615"/>
      <c r="Q353" s="615"/>
      <c r="R353" s="615"/>
      <c r="S353" s="615"/>
      <c r="T353" s="615"/>
      <c r="U353" s="615"/>
      <c r="V353" s="615"/>
      <c r="W353" s="615">
        <v>-2</v>
      </c>
      <c r="X353" s="615"/>
      <c r="Y353" s="615"/>
      <c r="Z353" s="635"/>
      <c r="AA353" s="636"/>
      <c r="AB353" s="615"/>
      <c r="AC353" s="615"/>
      <c r="AD353" s="615"/>
      <c r="AE353" s="615"/>
      <c r="AF353" s="615"/>
      <c r="AG353" s="615"/>
      <c r="AH353" s="615"/>
      <c r="AI353" s="615"/>
      <c r="AJ353" s="615"/>
      <c r="AK353" s="615"/>
      <c r="AL353" s="635"/>
      <c r="AM353" s="636"/>
      <c r="AN353" s="615"/>
      <c r="AO353" s="615"/>
      <c r="AP353" s="615"/>
      <c r="AQ353" s="615"/>
      <c r="AR353" s="615"/>
      <c r="AS353" s="615"/>
      <c r="AT353" s="615"/>
      <c r="AU353" s="615"/>
      <c r="AV353" s="615"/>
      <c r="AW353" s="615"/>
      <c r="AX353" s="635"/>
      <c r="AY353" s="636"/>
      <c r="AZ353" s="615"/>
      <c r="BA353" s="615"/>
      <c r="BB353" s="615"/>
      <c r="BC353" s="615"/>
      <c r="BD353" s="615"/>
      <c r="BE353" s="615"/>
      <c r="BF353" s="615"/>
      <c r="BG353" s="615"/>
      <c r="BH353" s="615"/>
      <c r="BI353" s="615"/>
      <c r="BJ353" s="635"/>
      <c r="BK353" s="636"/>
      <c r="BL353" s="615"/>
      <c r="BM353" s="615"/>
      <c r="BN353" s="615"/>
      <c r="BO353" s="615"/>
      <c r="BP353" s="615"/>
      <c r="BQ353" s="615"/>
      <c r="BR353" s="615"/>
      <c r="BS353" s="615"/>
      <c r="BT353" s="615"/>
      <c r="BU353" s="615"/>
      <c r="BV353" s="637"/>
      <c r="BW353" s="669"/>
      <c r="BX353" s="615"/>
      <c r="BY353" s="615"/>
      <c r="BZ353" s="615"/>
      <c r="CA353" s="615"/>
      <c r="CB353" s="615"/>
      <c r="CC353" s="615"/>
      <c r="CD353" s="615"/>
      <c r="CE353" s="615">
        <v>86.5</v>
      </c>
      <c r="CF353" s="615"/>
      <c r="CG353" s="615"/>
      <c r="CH353" s="635"/>
      <c r="CI353" s="636"/>
      <c r="CJ353" s="615"/>
      <c r="CK353" s="615"/>
      <c r="CL353" s="615"/>
      <c r="CM353" s="615"/>
      <c r="CN353" s="615"/>
      <c r="CO353" s="615"/>
      <c r="CP353" s="615"/>
      <c r="CQ353" s="615"/>
      <c r="CR353" s="615"/>
      <c r="CS353" s="615"/>
      <c r="CT353" s="635"/>
      <c r="CU353" s="636"/>
      <c r="CV353" s="615"/>
      <c r="CW353" s="615"/>
      <c r="CX353" s="615"/>
      <c r="CY353" s="615"/>
      <c r="CZ353" s="615"/>
      <c r="DA353" s="615"/>
      <c r="DB353" s="615"/>
      <c r="DC353" s="615"/>
      <c r="DD353" s="615"/>
      <c r="DE353" s="615"/>
      <c r="DF353" s="635"/>
      <c r="DG353" s="636"/>
      <c r="DH353" s="615"/>
      <c r="DI353" s="615"/>
      <c r="DJ353" s="615"/>
      <c r="DK353" s="615"/>
      <c r="DL353" s="615"/>
      <c r="DM353" s="615"/>
      <c r="DN353" s="615"/>
      <c r="DO353" s="615"/>
      <c r="DP353" s="615"/>
      <c r="DQ353" s="615"/>
      <c r="DR353" s="635"/>
      <c r="DS353" s="636"/>
      <c r="DT353" s="615"/>
      <c r="DU353" s="615"/>
      <c r="DV353" s="615"/>
      <c r="DW353" s="615"/>
      <c r="DX353" s="615"/>
      <c r="DY353" s="615"/>
      <c r="DZ353" s="615"/>
      <c r="EA353" s="615"/>
      <c r="EB353" s="615"/>
      <c r="EC353" s="615"/>
      <c r="ED353" s="637"/>
      <c r="EE353" s="692"/>
    </row>
    <row r="354" spans="1:135" x14ac:dyDescent="0.25">
      <c r="A354" s="640" t="s">
        <v>11</v>
      </c>
      <c r="B354" s="367" t="s">
        <v>2071</v>
      </c>
      <c r="C354" s="367" t="s">
        <v>471</v>
      </c>
      <c r="D354" s="367" t="s">
        <v>2072</v>
      </c>
      <c r="E354" s="503" t="s">
        <v>2064</v>
      </c>
      <c r="F354" s="570">
        <v>44770</v>
      </c>
      <c r="G354" s="85" t="s">
        <v>58</v>
      </c>
      <c r="H354" s="85" t="s">
        <v>54</v>
      </c>
      <c r="I354" s="85" t="s">
        <v>358</v>
      </c>
      <c r="J354" s="675" t="s">
        <v>358</v>
      </c>
      <c r="K354" s="85" t="s">
        <v>358</v>
      </c>
      <c r="L354" s="85" t="s">
        <v>40</v>
      </c>
      <c r="M354" s="85" t="s">
        <v>3</v>
      </c>
      <c r="N354" s="668" t="s">
        <v>44</v>
      </c>
      <c r="O354" s="669"/>
      <c r="P354" s="615"/>
      <c r="Q354" s="615"/>
      <c r="R354" s="615"/>
      <c r="S354" s="615"/>
      <c r="T354" s="615"/>
      <c r="U354" s="615"/>
      <c r="V354" s="615"/>
      <c r="W354" s="615">
        <v>-5</v>
      </c>
      <c r="X354" s="615"/>
      <c r="Y354" s="615"/>
      <c r="Z354" s="635"/>
      <c r="AA354" s="636"/>
      <c r="AB354" s="615"/>
      <c r="AC354" s="615"/>
      <c r="AD354" s="615"/>
      <c r="AE354" s="615"/>
      <c r="AF354" s="615"/>
      <c r="AG354" s="615"/>
      <c r="AH354" s="615"/>
      <c r="AI354" s="615"/>
      <c r="AJ354" s="615"/>
      <c r="AK354" s="615"/>
      <c r="AL354" s="635"/>
      <c r="AM354" s="636"/>
      <c r="AN354" s="615"/>
      <c r="AO354" s="615"/>
      <c r="AP354" s="615"/>
      <c r="AQ354" s="615"/>
      <c r="AR354" s="615"/>
      <c r="AS354" s="615"/>
      <c r="AT354" s="615"/>
      <c r="AU354" s="615"/>
      <c r="AV354" s="615"/>
      <c r="AW354" s="615"/>
      <c r="AX354" s="635"/>
      <c r="AY354" s="636"/>
      <c r="AZ354" s="615"/>
      <c r="BA354" s="615"/>
      <c r="BB354" s="615"/>
      <c r="BC354" s="615"/>
      <c r="BD354" s="615"/>
      <c r="BE354" s="615"/>
      <c r="BF354" s="615"/>
      <c r="BG354" s="615"/>
      <c r="BH354" s="615"/>
      <c r="BI354" s="615"/>
      <c r="BJ354" s="635"/>
      <c r="BK354" s="636"/>
      <c r="BL354" s="615"/>
      <c r="BM354" s="615"/>
      <c r="BN354" s="615"/>
      <c r="BO354" s="615"/>
      <c r="BP354" s="615"/>
      <c r="BQ354" s="615"/>
      <c r="BR354" s="615"/>
      <c r="BS354" s="615"/>
      <c r="BT354" s="615"/>
      <c r="BU354" s="615"/>
      <c r="BV354" s="637"/>
      <c r="BW354" s="669"/>
      <c r="BX354" s="615"/>
      <c r="BY354" s="615"/>
      <c r="BZ354" s="615"/>
      <c r="CA354" s="615"/>
      <c r="CB354" s="615"/>
      <c r="CC354" s="615"/>
      <c r="CD354" s="615"/>
      <c r="CE354" s="615">
        <v>86.5</v>
      </c>
      <c r="CF354" s="615"/>
      <c r="CG354" s="615"/>
      <c r="CH354" s="635"/>
      <c r="CI354" s="636"/>
      <c r="CJ354" s="615"/>
      <c r="CK354" s="615"/>
      <c r="CL354" s="615"/>
      <c r="CM354" s="615"/>
      <c r="CN354" s="615"/>
      <c r="CO354" s="615"/>
      <c r="CP354" s="615"/>
      <c r="CQ354" s="615"/>
      <c r="CR354" s="615"/>
      <c r="CS354" s="615"/>
      <c r="CT354" s="635"/>
      <c r="CU354" s="636"/>
      <c r="CV354" s="615"/>
      <c r="CW354" s="615"/>
      <c r="CX354" s="615"/>
      <c r="CY354" s="615"/>
      <c r="CZ354" s="615"/>
      <c r="DA354" s="615"/>
      <c r="DB354" s="615"/>
      <c r="DC354" s="615"/>
      <c r="DD354" s="615"/>
      <c r="DE354" s="615"/>
      <c r="DF354" s="635"/>
      <c r="DG354" s="636"/>
      <c r="DH354" s="615"/>
      <c r="DI354" s="615"/>
      <c r="DJ354" s="615"/>
      <c r="DK354" s="615"/>
      <c r="DL354" s="615"/>
      <c r="DM354" s="615"/>
      <c r="DN354" s="615"/>
      <c r="DO354" s="615"/>
      <c r="DP354" s="615"/>
      <c r="DQ354" s="615"/>
      <c r="DR354" s="635"/>
      <c r="DS354" s="636"/>
      <c r="DT354" s="615"/>
      <c r="DU354" s="615"/>
      <c r="DV354" s="615"/>
      <c r="DW354" s="615"/>
      <c r="DX354" s="615"/>
      <c r="DY354" s="615"/>
      <c r="DZ354" s="615"/>
      <c r="EA354" s="615"/>
      <c r="EB354" s="615"/>
      <c r="EC354" s="615"/>
      <c r="ED354" s="637"/>
      <c r="EE354" s="692"/>
    </row>
    <row r="355" spans="1:135" x14ac:dyDescent="0.25">
      <c r="A355" s="640" t="s">
        <v>11</v>
      </c>
      <c r="B355" s="367" t="s">
        <v>2073</v>
      </c>
      <c r="C355" s="367" t="s">
        <v>466</v>
      </c>
      <c r="D355" s="367" t="s">
        <v>2074</v>
      </c>
      <c r="E355" s="503" t="s">
        <v>2065</v>
      </c>
      <c r="F355" s="570">
        <v>44770</v>
      </c>
      <c r="G355" s="85" t="s">
        <v>58</v>
      </c>
      <c r="H355" s="85" t="s">
        <v>54</v>
      </c>
      <c r="I355" s="85" t="s">
        <v>358</v>
      </c>
      <c r="J355" s="675" t="s">
        <v>358</v>
      </c>
      <c r="K355" s="85" t="s">
        <v>358</v>
      </c>
      <c r="L355" s="85" t="s">
        <v>40</v>
      </c>
      <c r="M355" s="85" t="s">
        <v>3</v>
      </c>
      <c r="N355" s="668" t="s">
        <v>44</v>
      </c>
      <c r="O355" s="669"/>
      <c r="P355" s="615"/>
      <c r="Q355" s="615"/>
      <c r="R355" s="615"/>
      <c r="S355" s="615"/>
      <c r="T355" s="615"/>
      <c r="U355" s="615"/>
      <c r="V355" s="615"/>
      <c r="W355" s="615">
        <v>-1</v>
      </c>
      <c r="X355" s="615"/>
      <c r="Y355" s="615"/>
      <c r="Z355" s="635"/>
      <c r="AA355" s="636"/>
      <c r="AB355" s="615"/>
      <c r="AC355" s="615"/>
      <c r="AD355" s="615"/>
      <c r="AE355" s="615"/>
      <c r="AF355" s="615"/>
      <c r="AG355" s="615"/>
      <c r="AH355" s="615"/>
      <c r="AI355" s="615"/>
      <c r="AJ355" s="615"/>
      <c r="AK355" s="615"/>
      <c r="AL355" s="635"/>
      <c r="AM355" s="636"/>
      <c r="AN355" s="615"/>
      <c r="AO355" s="615"/>
      <c r="AP355" s="615"/>
      <c r="AQ355" s="615"/>
      <c r="AR355" s="615"/>
      <c r="AS355" s="615"/>
      <c r="AT355" s="615"/>
      <c r="AU355" s="615"/>
      <c r="AV355" s="615"/>
      <c r="AW355" s="615"/>
      <c r="AX355" s="635"/>
      <c r="AY355" s="636"/>
      <c r="AZ355" s="615"/>
      <c r="BA355" s="615"/>
      <c r="BB355" s="615"/>
      <c r="BC355" s="615"/>
      <c r="BD355" s="615"/>
      <c r="BE355" s="615"/>
      <c r="BF355" s="615"/>
      <c r="BG355" s="615"/>
      <c r="BH355" s="615"/>
      <c r="BI355" s="615"/>
      <c r="BJ355" s="635"/>
      <c r="BK355" s="636"/>
      <c r="BL355" s="615"/>
      <c r="BM355" s="615"/>
      <c r="BN355" s="615"/>
      <c r="BO355" s="615"/>
      <c r="BP355" s="615"/>
      <c r="BQ355" s="615"/>
      <c r="BR355" s="615"/>
      <c r="BS355" s="615"/>
      <c r="BT355" s="615"/>
      <c r="BU355" s="615"/>
      <c r="BV355" s="637"/>
      <c r="BW355" s="669"/>
      <c r="BX355" s="615"/>
      <c r="BY355" s="615"/>
      <c r="BZ355" s="615"/>
      <c r="CA355" s="615"/>
      <c r="CB355" s="615"/>
      <c r="CC355" s="615"/>
      <c r="CD355" s="615"/>
      <c r="CE355" s="615">
        <v>87</v>
      </c>
      <c r="CF355" s="615"/>
      <c r="CG355" s="615"/>
      <c r="CH355" s="635"/>
      <c r="CI355" s="636"/>
      <c r="CJ355" s="615"/>
      <c r="CK355" s="615"/>
      <c r="CL355" s="615"/>
      <c r="CM355" s="615"/>
      <c r="CN355" s="615"/>
      <c r="CO355" s="615"/>
      <c r="CP355" s="615"/>
      <c r="CQ355" s="615"/>
      <c r="CR355" s="615"/>
      <c r="CS355" s="615"/>
      <c r="CT355" s="635"/>
      <c r="CU355" s="636"/>
      <c r="CV355" s="615"/>
      <c r="CW355" s="615"/>
      <c r="CX355" s="615"/>
      <c r="CY355" s="615"/>
      <c r="CZ355" s="615"/>
      <c r="DA355" s="615"/>
      <c r="DB355" s="615"/>
      <c r="DC355" s="615"/>
      <c r="DD355" s="615"/>
      <c r="DE355" s="615"/>
      <c r="DF355" s="635"/>
      <c r="DG355" s="636"/>
      <c r="DH355" s="615"/>
      <c r="DI355" s="615"/>
      <c r="DJ355" s="615"/>
      <c r="DK355" s="615"/>
      <c r="DL355" s="615"/>
      <c r="DM355" s="615"/>
      <c r="DN355" s="615"/>
      <c r="DO355" s="615"/>
      <c r="DP355" s="615"/>
      <c r="DQ355" s="615"/>
      <c r="DR355" s="635"/>
      <c r="DS355" s="636"/>
      <c r="DT355" s="615"/>
      <c r="DU355" s="615"/>
      <c r="DV355" s="615"/>
      <c r="DW355" s="615"/>
      <c r="DX355" s="615"/>
      <c r="DY355" s="615"/>
      <c r="DZ355" s="615"/>
      <c r="EA355" s="615"/>
      <c r="EB355" s="615"/>
      <c r="EC355" s="615"/>
      <c r="ED355" s="637"/>
      <c r="EE355" s="692"/>
    </row>
    <row r="356" spans="1:135" x14ac:dyDescent="0.25">
      <c r="A356" s="640" t="s">
        <v>11</v>
      </c>
      <c r="B356" s="367" t="s">
        <v>2077</v>
      </c>
      <c r="C356" s="367" t="s">
        <v>1540</v>
      </c>
      <c r="D356" s="367" t="s">
        <v>2078</v>
      </c>
      <c r="E356" s="503" t="s">
        <v>2068</v>
      </c>
      <c r="F356" s="570">
        <v>44770</v>
      </c>
      <c r="G356" s="85" t="s">
        <v>58</v>
      </c>
      <c r="H356" s="85" t="s">
        <v>92</v>
      </c>
      <c r="I356" s="85" t="s">
        <v>358</v>
      </c>
      <c r="J356" s="675" t="s">
        <v>358</v>
      </c>
      <c r="K356" s="85" t="s">
        <v>358</v>
      </c>
      <c r="L356" s="85" t="s">
        <v>40</v>
      </c>
      <c r="M356" s="85" t="s">
        <v>5</v>
      </c>
      <c r="N356" s="668" t="s">
        <v>44</v>
      </c>
      <c r="O356" s="669"/>
      <c r="P356" s="615"/>
      <c r="Q356" s="615"/>
      <c r="R356" s="615"/>
      <c r="S356" s="615"/>
      <c r="T356" s="615"/>
      <c r="U356" s="615">
        <v>-10</v>
      </c>
      <c r="V356" s="615"/>
      <c r="W356" s="615"/>
      <c r="X356" s="615"/>
      <c r="Y356" s="615"/>
      <c r="Z356" s="635"/>
      <c r="AA356" s="636"/>
      <c r="AB356" s="615"/>
      <c r="AC356" s="615"/>
      <c r="AD356" s="615"/>
      <c r="AE356" s="615"/>
      <c r="AF356" s="615"/>
      <c r="AG356" s="615"/>
      <c r="AH356" s="615"/>
      <c r="AI356" s="615"/>
      <c r="AJ356" s="615"/>
      <c r="AK356" s="615"/>
      <c r="AL356" s="635"/>
      <c r="AM356" s="636"/>
      <c r="AN356" s="615"/>
      <c r="AO356" s="615"/>
      <c r="AP356" s="615"/>
      <c r="AQ356" s="615"/>
      <c r="AR356" s="615"/>
      <c r="AS356" s="615"/>
      <c r="AT356" s="615"/>
      <c r="AU356" s="615"/>
      <c r="AV356" s="615"/>
      <c r="AW356" s="615"/>
      <c r="AX356" s="635"/>
      <c r="AY356" s="636"/>
      <c r="AZ356" s="615"/>
      <c r="BA356" s="615"/>
      <c r="BB356" s="615"/>
      <c r="BC356" s="615"/>
      <c r="BD356" s="615"/>
      <c r="BE356" s="615"/>
      <c r="BF356" s="615"/>
      <c r="BG356" s="615"/>
      <c r="BH356" s="615"/>
      <c r="BI356" s="615"/>
      <c r="BJ356" s="635"/>
      <c r="BK356" s="636"/>
      <c r="BL356" s="615"/>
      <c r="BM356" s="615"/>
      <c r="BN356" s="615"/>
      <c r="BO356" s="615"/>
      <c r="BP356" s="615"/>
      <c r="BQ356" s="615"/>
      <c r="BR356" s="615"/>
      <c r="BS356" s="615"/>
      <c r="BT356" s="615"/>
      <c r="BU356" s="615"/>
      <c r="BV356" s="637"/>
      <c r="BW356" s="669"/>
      <c r="BX356" s="615"/>
      <c r="BY356" s="615"/>
      <c r="BZ356" s="615"/>
      <c r="CA356" s="615"/>
      <c r="CB356" s="615"/>
      <c r="CC356" s="615">
        <v>96.52</v>
      </c>
      <c r="CD356" s="615"/>
      <c r="CE356" s="615"/>
      <c r="CF356" s="615"/>
      <c r="CG356" s="615"/>
      <c r="CH356" s="635"/>
      <c r="CI356" s="636"/>
      <c r="CJ356" s="615"/>
      <c r="CK356" s="615"/>
      <c r="CL356" s="615"/>
      <c r="CM356" s="615"/>
      <c r="CN356" s="615"/>
      <c r="CO356" s="615"/>
      <c r="CP356" s="615"/>
      <c r="CQ356" s="615"/>
      <c r="CR356" s="615"/>
      <c r="CS356" s="615"/>
      <c r="CT356" s="635"/>
      <c r="CU356" s="636"/>
      <c r="CV356" s="615"/>
      <c r="CW356" s="615"/>
      <c r="CX356" s="615"/>
      <c r="CY356" s="615"/>
      <c r="CZ356" s="615"/>
      <c r="DA356" s="615"/>
      <c r="DB356" s="615"/>
      <c r="DC356" s="615"/>
      <c r="DD356" s="615"/>
      <c r="DE356" s="615"/>
      <c r="DF356" s="635"/>
      <c r="DG356" s="636"/>
      <c r="DH356" s="615"/>
      <c r="DI356" s="615"/>
      <c r="DJ356" s="615"/>
      <c r="DK356" s="615"/>
      <c r="DL356" s="615"/>
      <c r="DM356" s="615"/>
      <c r="DN356" s="615"/>
      <c r="DO356" s="615"/>
      <c r="DP356" s="615"/>
      <c r="DQ356" s="615"/>
      <c r="DR356" s="635"/>
      <c r="DS356" s="636"/>
      <c r="DT356" s="615"/>
      <c r="DU356" s="615"/>
      <c r="DV356" s="615"/>
      <c r="DW356" s="615"/>
      <c r="DX356" s="615"/>
      <c r="DY356" s="615"/>
      <c r="DZ356" s="615"/>
      <c r="EA356" s="615"/>
      <c r="EB356" s="615"/>
      <c r="EC356" s="615"/>
      <c r="ED356" s="637"/>
      <c r="EE356" s="692"/>
    </row>
    <row r="357" spans="1:135" x14ac:dyDescent="0.25">
      <c r="A357" s="640" t="s">
        <v>11</v>
      </c>
      <c r="B357" s="367" t="s">
        <v>2087</v>
      </c>
      <c r="C357" s="367" t="s">
        <v>1890</v>
      </c>
      <c r="D357" s="367" t="s">
        <v>2088</v>
      </c>
      <c r="E357" s="503" t="s">
        <v>2079</v>
      </c>
      <c r="F357" s="570">
        <v>44771</v>
      </c>
      <c r="G357" s="85" t="s">
        <v>58</v>
      </c>
      <c r="H357" s="85" t="s">
        <v>92</v>
      </c>
      <c r="I357" s="85" t="s">
        <v>358</v>
      </c>
      <c r="J357" s="675" t="s">
        <v>358</v>
      </c>
      <c r="K357" s="85" t="s">
        <v>358</v>
      </c>
      <c r="L357" s="85" t="s">
        <v>40</v>
      </c>
      <c r="M357" s="85" t="s">
        <v>5</v>
      </c>
      <c r="N357" s="668" t="s">
        <v>13</v>
      </c>
      <c r="O357" s="669"/>
      <c r="P357" s="615"/>
      <c r="Q357" s="615"/>
      <c r="R357" s="615"/>
      <c r="S357" s="615"/>
      <c r="T357" s="615"/>
      <c r="U357" s="615">
        <v>-0.55700000000000005</v>
      </c>
      <c r="V357" s="615"/>
      <c r="W357" s="615"/>
      <c r="X357" s="615"/>
      <c r="Y357" s="615"/>
      <c r="Z357" s="635"/>
      <c r="AA357" s="636"/>
      <c r="AB357" s="615"/>
      <c r="AC357" s="615"/>
      <c r="AD357" s="615"/>
      <c r="AE357" s="615"/>
      <c r="AF357" s="615"/>
      <c r="AG357" s="615"/>
      <c r="AH357" s="615"/>
      <c r="AI357" s="615"/>
      <c r="AJ357" s="615"/>
      <c r="AK357" s="615"/>
      <c r="AL357" s="635"/>
      <c r="AM357" s="636"/>
      <c r="AN357" s="615"/>
      <c r="AO357" s="615"/>
      <c r="AP357" s="615"/>
      <c r="AQ357" s="615"/>
      <c r="AR357" s="615"/>
      <c r="AS357" s="615"/>
      <c r="AT357" s="615"/>
      <c r="AU357" s="615"/>
      <c r="AV357" s="615"/>
      <c r="AW357" s="615"/>
      <c r="AX357" s="635"/>
      <c r="AY357" s="636"/>
      <c r="AZ357" s="615"/>
      <c r="BA357" s="615"/>
      <c r="BB357" s="615"/>
      <c r="BC357" s="615"/>
      <c r="BD357" s="615"/>
      <c r="BE357" s="615"/>
      <c r="BF357" s="615"/>
      <c r="BG357" s="615"/>
      <c r="BH357" s="615"/>
      <c r="BI357" s="615"/>
      <c r="BJ357" s="635"/>
      <c r="BK357" s="636"/>
      <c r="BL357" s="615"/>
      <c r="BM357" s="615"/>
      <c r="BN357" s="615"/>
      <c r="BO357" s="615"/>
      <c r="BP357" s="615"/>
      <c r="BQ357" s="615"/>
      <c r="BR357" s="615"/>
      <c r="BS357" s="615"/>
      <c r="BT357" s="615"/>
      <c r="BU357" s="615"/>
      <c r="BV357" s="637"/>
      <c r="BW357" s="669"/>
      <c r="BX357" s="615"/>
      <c r="BY357" s="615"/>
      <c r="BZ357" s="615"/>
      <c r="CA357" s="615"/>
      <c r="CB357" s="615"/>
      <c r="CC357" s="615">
        <v>96.32</v>
      </c>
      <c r="CD357" s="615"/>
      <c r="CE357" s="615"/>
      <c r="CF357" s="615"/>
      <c r="CG357" s="615"/>
      <c r="CH357" s="635"/>
      <c r="CI357" s="636"/>
      <c r="CJ357" s="615"/>
      <c r="CK357" s="615"/>
      <c r="CL357" s="615"/>
      <c r="CM357" s="615"/>
      <c r="CN357" s="615"/>
      <c r="CO357" s="615"/>
      <c r="CP357" s="615"/>
      <c r="CQ357" s="615"/>
      <c r="CR357" s="615"/>
      <c r="CS357" s="615"/>
      <c r="CT357" s="635"/>
      <c r="CU357" s="636"/>
      <c r="CV357" s="615"/>
      <c r="CW357" s="615"/>
      <c r="CX357" s="615"/>
      <c r="CY357" s="615"/>
      <c r="CZ357" s="615"/>
      <c r="DA357" s="615"/>
      <c r="DB357" s="615"/>
      <c r="DC357" s="615"/>
      <c r="DD357" s="615"/>
      <c r="DE357" s="615"/>
      <c r="DF357" s="635"/>
      <c r="DG357" s="636"/>
      <c r="DH357" s="615"/>
      <c r="DI357" s="615"/>
      <c r="DJ357" s="615"/>
      <c r="DK357" s="615"/>
      <c r="DL357" s="615"/>
      <c r="DM357" s="615"/>
      <c r="DN357" s="615"/>
      <c r="DO357" s="615"/>
      <c r="DP357" s="615"/>
      <c r="DQ357" s="615"/>
      <c r="DR357" s="635"/>
      <c r="DS357" s="636"/>
      <c r="DT357" s="615"/>
      <c r="DU357" s="615"/>
      <c r="DV357" s="615"/>
      <c r="DW357" s="615"/>
      <c r="DX357" s="615"/>
      <c r="DY357" s="615"/>
      <c r="DZ357" s="615"/>
      <c r="EA357" s="615"/>
      <c r="EB357" s="615"/>
      <c r="EC357" s="615"/>
      <c r="ED357" s="637"/>
      <c r="EE357" s="692"/>
    </row>
    <row r="358" spans="1:135" x14ac:dyDescent="0.25">
      <c r="A358" s="640" t="s">
        <v>11</v>
      </c>
      <c r="B358" s="367" t="s">
        <v>2089</v>
      </c>
      <c r="C358" s="367" t="s">
        <v>2085</v>
      </c>
      <c r="D358" s="367" t="s">
        <v>2090</v>
      </c>
      <c r="E358" s="503" t="s">
        <v>2080</v>
      </c>
      <c r="F358" s="570">
        <v>44771</v>
      </c>
      <c r="G358" s="85" t="s">
        <v>58</v>
      </c>
      <c r="H358" s="85" t="s">
        <v>54</v>
      </c>
      <c r="I358" s="85" t="s">
        <v>358</v>
      </c>
      <c r="J358" s="675" t="s">
        <v>358</v>
      </c>
      <c r="K358" s="85" t="s">
        <v>358</v>
      </c>
      <c r="L358" s="85" t="s">
        <v>40</v>
      </c>
      <c r="M358" s="85" t="s">
        <v>5</v>
      </c>
      <c r="N358" s="668" t="s">
        <v>44</v>
      </c>
      <c r="O358" s="669"/>
      <c r="P358" s="615"/>
      <c r="Q358" s="615"/>
      <c r="R358" s="615"/>
      <c r="S358" s="615"/>
      <c r="T358" s="615"/>
      <c r="U358" s="615">
        <v>-15</v>
      </c>
      <c r="V358" s="615"/>
      <c r="W358" s="615"/>
      <c r="X358" s="615"/>
      <c r="Y358" s="615"/>
      <c r="Z358" s="635"/>
      <c r="AA358" s="636"/>
      <c r="AB358" s="615"/>
      <c r="AC358" s="615"/>
      <c r="AD358" s="615"/>
      <c r="AE358" s="615"/>
      <c r="AF358" s="615"/>
      <c r="AG358" s="615"/>
      <c r="AH358" s="615"/>
      <c r="AI358" s="615"/>
      <c r="AJ358" s="615"/>
      <c r="AK358" s="615"/>
      <c r="AL358" s="635"/>
      <c r="AM358" s="636"/>
      <c r="AN358" s="615"/>
      <c r="AO358" s="615"/>
      <c r="AP358" s="615"/>
      <c r="AQ358" s="615"/>
      <c r="AR358" s="615"/>
      <c r="AS358" s="615"/>
      <c r="AT358" s="615"/>
      <c r="AU358" s="615"/>
      <c r="AV358" s="615"/>
      <c r="AW358" s="615"/>
      <c r="AX358" s="635"/>
      <c r="AY358" s="636"/>
      <c r="AZ358" s="615"/>
      <c r="BA358" s="615"/>
      <c r="BB358" s="615"/>
      <c r="BC358" s="615"/>
      <c r="BD358" s="615"/>
      <c r="BE358" s="615"/>
      <c r="BF358" s="615"/>
      <c r="BG358" s="615"/>
      <c r="BH358" s="615"/>
      <c r="BI358" s="615"/>
      <c r="BJ358" s="635"/>
      <c r="BK358" s="636"/>
      <c r="BL358" s="615"/>
      <c r="BM358" s="615"/>
      <c r="BN358" s="615"/>
      <c r="BO358" s="615"/>
      <c r="BP358" s="615"/>
      <c r="BQ358" s="615"/>
      <c r="BR358" s="615"/>
      <c r="BS358" s="615"/>
      <c r="BT358" s="615"/>
      <c r="BU358" s="615"/>
      <c r="BV358" s="637"/>
      <c r="BW358" s="669"/>
      <c r="BX358" s="615"/>
      <c r="BY358" s="615"/>
      <c r="BZ358" s="615"/>
      <c r="CA358" s="615"/>
      <c r="CB358" s="615"/>
      <c r="CC358" s="615">
        <v>96.52</v>
      </c>
      <c r="CD358" s="615"/>
      <c r="CE358" s="615"/>
      <c r="CF358" s="615"/>
      <c r="CG358" s="615"/>
      <c r="CH358" s="635"/>
      <c r="CI358" s="636"/>
      <c r="CJ358" s="615"/>
      <c r="CK358" s="615"/>
      <c r="CL358" s="615"/>
      <c r="CM358" s="615"/>
      <c r="CN358" s="615"/>
      <c r="CO358" s="615"/>
      <c r="CP358" s="615"/>
      <c r="CQ358" s="615"/>
      <c r="CR358" s="615"/>
      <c r="CS358" s="615"/>
      <c r="CT358" s="635"/>
      <c r="CU358" s="636"/>
      <c r="CV358" s="615"/>
      <c r="CW358" s="615"/>
      <c r="CX358" s="615"/>
      <c r="CY358" s="615"/>
      <c r="CZ358" s="615"/>
      <c r="DA358" s="615"/>
      <c r="DB358" s="615"/>
      <c r="DC358" s="615"/>
      <c r="DD358" s="615"/>
      <c r="DE358" s="615"/>
      <c r="DF358" s="635"/>
      <c r="DG358" s="636"/>
      <c r="DH358" s="615"/>
      <c r="DI358" s="615"/>
      <c r="DJ358" s="615"/>
      <c r="DK358" s="615"/>
      <c r="DL358" s="615"/>
      <c r="DM358" s="615"/>
      <c r="DN358" s="615"/>
      <c r="DO358" s="615"/>
      <c r="DP358" s="615"/>
      <c r="DQ358" s="615"/>
      <c r="DR358" s="635"/>
      <c r="DS358" s="636"/>
      <c r="DT358" s="615"/>
      <c r="DU358" s="615"/>
      <c r="DV358" s="615"/>
      <c r="DW358" s="615"/>
      <c r="DX358" s="615"/>
      <c r="DY358" s="615"/>
      <c r="DZ358" s="615"/>
      <c r="EA358" s="615"/>
      <c r="EB358" s="615"/>
      <c r="EC358" s="615"/>
      <c r="ED358" s="637"/>
      <c r="EE358" s="692"/>
    </row>
    <row r="359" spans="1:135" x14ac:dyDescent="0.25">
      <c r="A359" s="640" t="s">
        <v>11</v>
      </c>
      <c r="B359" s="367" t="s">
        <v>2095</v>
      </c>
      <c r="C359" s="367" t="s">
        <v>2086</v>
      </c>
      <c r="D359" s="367" t="s">
        <v>2096</v>
      </c>
      <c r="E359" s="503">
        <v>26359</v>
      </c>
      <c r="F359" s="570">
        <v>44771</v>
      </c>
      <c r="G359" s="85" t="s">
        <v>58</v>
      </c>
      <c r="H359" s="85" t="s">
        <v>92</v>
      </c>
      <c r="I359" s="85" t="s">
        <v>358</v>
      </c>
      <c r="J359" s="675" t="s">
        <v>358</v>
      </c>
      <c r="K359" s="85" t="s">
        <v>358</v>
      </c>
      <c r="L359" s="85" t="s">
        <v>40</v>
      </c>
      <c r="M359" s="85" t="s">
        <v>5</v>
      </c>
      <c r="N359" s="668" t="s">
        <v>44</v>
      </c>
      <c r="O359" s="669"/>
      <c r="P359" s="615"/>
      <c r="Q359" s="615"/>
      <c r="R359" s="615"/>
      <c r="S359" s="615"/>
      <c r="T359" s="615"/>
      <c r="U359" s="615">
        <v>-7</v>
      </c>
      <c r="V359" s="615"/>
      <c r="W359" s="615"/>
      <c r="X359" s="615"/>
      <c r="Y359" s="615"/>
      <c r="Z359" s="635"/>
      <c r="AA359" s="636"/>
      <c r="AB359" s="615"/>
      <c r="AC359" s="615"/>
      <c r="AD359" s="615"/>
      <c r="AE359" s="615"/>
      <c r="AF359" s="615"/>
      <c r="AG359" s="615"/>
      <c r="AH359" s="615"/>
      <c r="AI359" s="615"/>
      <c r="AJ359" s="615"/>
      <c r="AK359" s="615"/>
      <c r="AL359" s="635"/>
      <c r="AM359" s="636"/>
      <c r="AN359" s="615"/>
      <c r="AO359" s="615"/>
      <c r="AP359" s="615"/>
      <c r="AQ359" s="615"/>
      <c r="AR359" s="615"/>
      <c r="AS359" s="615"/>
      <c r="AT359" s="615"/>
      <c r="AU359" s="615"/>
      <c r="AV359" s="615"/>
      <c r="AW359" s="615"/>
      <c r="AX359" s="635"/>
      <c r="AY359" s="636"/>
      <c r="AZ359" s="615"/>
      <c r="BA359" s="615"/>
      <c r="BB359" s="615"/>
      <c r="BC359" s="615"/>
      <c r="BD359" s="615"/>
      <c r="BE359" s="615"/>
      <c r="BF359" s="615"/>
      <c r="BG359" s="615"/>
      <c r="BH359" s="615"/>
      <c r="BI359" s="615"/>
      <c r="BJ359" s="635"/>
      <c r="BK359" s="636"/>
      <c r="BL359" s="615"/>
      <c r="BM359" s="615"/>
      <c r="BN359" s="615"/>
      <c r="BO359" s="615"/>
      <c r="BP359" s="615"/>
      <c r="BQ359" s="615"/>
      <c r="BR359" s="615"/>
      <c r="BS359" s="615"/>
      <c r="BT359" s="615"/>
      <c r="BU359" s="615"/>
      <c r="BV359" s="637"/>
      <c r="BW359" s="669"/>
      <c r="BX359" s="615"/>
      <c r="BY359" s="615"/>
      <c r="BZ359" s="615"/>
      <c r="CA359" s="615"/>
      <c r="CB359" s="615"/>
      <c r="CC359" s="615">
        <v>96.32</v>
      </c>
      <c r="CD359" s="615"/>
      <c r="CE359" s="615"/>
      <c r="CF359" s="615"/>
      <c r="CG359" s="615"/>
      <c r="CH359" s="635"/>
      <c r="CI359" s="636"/>
      <c r="CJ359" s="615"/>
      <c r="CK359" s="615"/>
      <c r="CL359" s="615"/>
      <c r="CM359" s="615"/>
      <c r="CN359" s="615"/>
      <c r="CO359" s="615"/>
      <c r="CP359" s="615"/>
      <c r="CQ359" s="615"/>
      <c r="CR359" s="615"/>
      <c r="CS359" s="615"/>
      <c r="CT359" s="635"/>
      <c r="CU359" s="636"/>
      <c r="CV359" s="615"/>
      <c r="CW359" s="615"/>
      <c r="CX359" s="615"/>
      <c r="CY359" s="615"/>
      <c r="CZ359" s="615"/>
      <c r="DA359" s="615"/>
      <c r="DB359" s="615"/>
      <c r="DC359" s="615"/>
      <c r="DD359" s="615"/>
      <c r="DE359" s="615"/>
      <c r="DF359" s="635"/>
      <c r="DG359" s="636"/>
      <c r="DH359" s="615"/>
      <c r="DI359" s="615"/>
      <c r="DJ359" s="615"/>
      <c r="DK359" s="615"/>
      <c r="DL359" s="615"/>
      <c r="DM359" s="615"/>
      <c r="DN359" s="615"/>
      <c r="DO359" s="615"/>
      <c r="DP359" s="615"/>
      <c r="DQ359" s="615"/>
      <c r="DR359" s="635"/>
      <c r="DS359" s="636"/>
      <c r="DT359" s="615"/>
      <c r="DU359" s="615"/>
      <c r="DV359" s="615"/>
      <c r="DW359" s="615"/>
      <c r="DX359" s="615"/>
      <c r="DY359" s="615"/>
      <c r="DZ359" s="615"/>
      <c r="EA359" s="615"/>
      <c r="EB359" s="615"/>
      <c r="EC359" s="615"/>
      <c r="ED359" s="637"/>
      <c r="EE359" s="692"/>
    </row>
    <row r="360" spans="1:135" x14ac:dyDescent="0.25">
      <c r="A360" s="640" t="s">
        <v>11</v>
      </c>
      <c r="B360" s="367" t="s">
        <v>2106</v>
      </c>
      <c r="C360" s="367" t="s">
        <v>2104</v>
      </c>
      <c r="D360" s="367" t="s">
        <v>2107</v>
      </c>
      <c r="E360" s="503" t="s">
        <v>2097</v>
      </c>
      <c r="F360" s="570">
        <v>44774</v>
      </c>
      <c r="G360" s="85" t="s">
        <v>58</v>
      </c>
      <c r="H360" s="85" t="s">
        <v>92</v>
      </c>
      <c r="I360" s="85" t="s">
        <v>358</v>
      </c>
      <c r="J360" s="675" t="s">
        <v>358</v>
      </c>
      <c r="K360" s="85" t="s">
        <v>358</v>
      </c>
      <c r="L360" s="85" t="s">
        <v>40</v>
      </c>
      <c r="M360" s="85" t="s">
        <v>5</v>
      </c>
      <c r="N360" s="668" t="s">
        <v>44</v>
      </c>
      <c r="O360" s="669"/>
      <c r="P360" s="615"/>
      <c r="Q360" s="615"/>
      <c r="R360" s="615"/>
      <c r="S360" s="615"/>
      <c r="T360" s="615"/>
      <c r="U360" s="615">
        <v>-2</v>
      </c>
      <c r="V360" s="615"/>
      <c r="W360" s="615"/>
      <c r="X360" s="615"/>
      <c r="Y360" s="615"/>
      <c r="Z360" s="635"/>
      <c r="AA360" s="636"/>
      <c r="AB360" s="615"/>
      <c r="AC360" s="615"/>
      <c r="AD360" s="615"/>
      <c r="AE360" s="615"/>
      <c r="AF360" s="615"/>
      <c r="AG360" s="615"/>
      <c r="AH360" s="615"/>
      <c r="AI360" s="615"/>
      <c r="AJ360" s="615"/>
      <c r="AK360" s="615"/>
      <c r="AL360" s="635"/>
      <c r="AM360" s="636"/>
      <c r="AN360" s="615"/>
      <c r="AO360" s="615"/>
      <c r="AP360" s="615"/>
      <c r="AQ360" s="615"/>
      <c r="AR360" s="615"/>
      <c r="AS360" s="615"/>
      <c r="AT360" s="615"/>
      <c r="AU360" s="615"/>
      <c r="AV360" s="615"/>
      <c r="AW360" s="615"/>
      <c r="AX360" s="635"/>
      <c r="AY360" s="636"/>
      <c r="AZ360" s="615"/>
      <c r="BA360" s="615"/>
      <c r="BB360" s="615"/>
      <c r="BC360" s="615"/>
      <c r="BD360" s="615"/>
      <c r="BE360" s="615"/>
      <c r="BF360" s="615"/>
      <c r="BG360" s="615"/>
      <c r="BH360" s="615"/>
      <c r="BI360" s="615"/>
      <c r="BJ360" s="635"/>
      <c r="BK360" s="636"/>
      <c r="BL360" s="615"/>
      <c r="BM360" s="615"/>
      <c r="BN360" s="615"/>
      <c r="BO360" s="615"/>
      <c r="BP360" s="615"/>
      <c r="BQ360" s="615"/>
      <c r="BR360" s="615"/>
      <c r="BS360" s="615"/>
      <c r="BT360" s="615"/>
      <c r="BU360" s="615"/>
      <c r="BV360" s="637"/>
      <c r="BW360" s="669"/>
      <c r="BX360" s="615"/>
      <c r="BY360" s="615"/>
      <c r="BZ360" s="615"/>
      <c r="CA360" s="615"/>
      <c r="CB360" s="615"/>
      <c r="CC360" s="615">
        <v>96.02</v>
      </c>
      <c r="CD360" s="615"/>
      <c r="CE360" s="615"/>
      <c r="CF360" s="615"/>
      <c r="CG360" s="615"/>
      <c r="CH360" s="635"/>
      <c r="CI360" s="636"/>
      <c r="CJ360" s="615"/>
      <c r="CK360" s="615"/>
      <c r="CL360" s="615"/>
      <c r="CM360" s="615"/>
      <c r="CN360" s="615"/>
      <c r="CO360" s="615"/>
      <c r="CP360" s="615"/>
      <c r="CQ360" s="615"/>
      <c r="CR360" s="615"/>
      <c r="CS360" s="615"/>
      <c r="CT360" s="635"/>
      <c r="CU360" s="636"/>
      <c r="CV360" s="615"/>
      <c r="CW360" s="615"/>
      <c r="CX360" s="615"/>
      <c r="CY360" s="615"/>
      <c r="CZ360" s="615"/>
      <c r="DA360" s="615"/>
      <c r="DB360" s="615"/>
      <c r="DC360" s="615"/>
      <c r="DD360" s="615"/>
      <c r="DE360" s="615"/>
      <c r="DF360" s="635"/>
      <c r="DG360" s="636"/>
      <c r="DH360" s="615"/>
      <c r="DI360" s="615"/>
      <c r="DJ360" s="615"/>
      <c r="DK360" s="615"/>
      <c r="DL360" s="615"/>
      <c r="DM360" s="615"/>
      <c r="DN360" s="615"/>
      <c r="DO360" s="615"/>
      <c r="DP360" s="615"/>
      <c r="DQ360" s="615"/>
      <c r="DR360" s="635"/>
      <c r="DS360" s="636"/>
      <c r="DT360" s="615"/>
      <c r="DU360" s="615"/>
      <c r="DV360" s="615"/>
      <c r="DW360" s="615"/>
      <c r="DX360" s="615"/>
      <c r="DY360" s="615"/>
      <c r="DZ360" s="615"/>
      <c r="EA360" s="615"/>
      <c r="EB360" s="615"/>
      <c r="EC360" s="615"/>
      <c r="ED360" s="637"/>
      <c r="EE360" s="692"/>
    </row>
    <row r="361" spans="1:135" x14ac:dyDescent="0.25">
      <c r="A361" s="640" t="s">
        <v>11</v>
      </c>
      <c r="B361" s="367" t="s">
        <v>2108</v>
      </c>
      <c r="C361" s="367" t="s">
        <v>502</v>
      </c>
      <c r="D361" s="367" t="s">
        <v>2109</v>
      </c>
      <c r="E361" s="503" t="s">
        <v>2098</v>
      </c>
      <c r="F361" s="570">
        <v>44774</v>
      </c>
      <c r="G361" s="85" t="s">
        <v>58</v>
      </c>
      <c r="H361" s="85" t="s">
        <v>92</v>
      </c>
      <c r="I361" s="85" t="s">
        <v>358</v>
      </c>
      <c r="J361" s="675" t="s">
        <v>358</v>
      </c>
      <c r="K361" s="85" t="s">
        <v>358</v>
      </c>
      <c r="L361" s="85" t="s">
        <v>40</v>
      </c>
      <c r="M361" s="85" t="s">
        <v>5</v>
      </c>
      <c r="N361" s="668" t="s">
        <v>44</v>
      </c>
      <c r="O361" s="669"/>
      <c r="P361" s="615"/>
      <c r="Q361" s="615"/>
      <c r="R361" s="615"/>
      <c r="S361" s="615"/>
      <c r="T361" s="615"/>
      <c r="U361" s="615">
        <v>-4</v>
      </c>
      <c r="V361" s="615"/>
      <c r="W361" s="615"/>
      <c r="X361" s="615"/>
      <c r="Y361" s="615"/>
      <c r="Z361" s="635"/>
      <c r="AA361" s="636"/>
      <c r="AB361" s="615"/>
      <c r="AC361" s="615"/>
      <c r="AD361" s="615"/>
      <c r="AE361" s="615"/>
      <c r="AF361" s="615"/>
      <c r="AG361" s="615"/>
      <c r="AH361" s="615"/>
      <c r="AI361" s="615"/>
      <c r="AJ361" s="615"/>
      <c r="AK361" s="615"/>
      <c r="AL361" s="635"/>
      <c r="AM361" s="636"/>
      <c r="AN361" s="615"/>
      <c r="AO361" s="615"/>
      <c r="AP361" s="615"/>
      <c r="AQ361" s="615"/>
      <c r="AR361" s="615"/>
      <c r="AS361" s="615"/>
      <c r="AT361" s="615"/>
      <c r="AU361" s="615"/>
      <c r="AV361" s="615"/>
      <c r="AW361" s="615"/>
      <c r="AX361" s="635"/>
      <c r="AY361" s="636"/>
      <c r="AZ361" s="615"/>
      <c r="BA361" s="615"/>
      <c r="BB361" s="615"/>
      <c r="BC361" s="615"/>
      <c r="BD361" s="615"/>
      <c r="BE361" s="615"/>
      <c r="BF361" s="615"/>
      <c r="BG361" s="615"/>
      <c r="BH361" s="615"/>
      <c r="BI361" s="615"/>
      <c r="BJ361" s="635"/>
      <c r="BK361" s="636"/>
      <c r="BL361" s="615"/>
      <c r="BM361" s="615"/>
      <c r="BN361" s="615"/>
      <c r="BO361" s="615"/>
      <c r="BP361" s="615"/>
      <c r="BQ361" s="615"/>
      <c r="BR361" s="615"/>
      <c r="BS361" s="615"/>
      <c r="BT361" s="615"/>
      <c r="BU361" s="615"/>
      <c r="BV361" s="637"/>
      <c r="BW361" s="669"/>
      <c r="BX361" s="615"/>
      <c r="BY361" s="615"/>
      <c r="BZ361" s="615"/>
      <c r="CA361" s="615"/>
      <c r="CB361" s="615"/>
      <c r="CC361" s="615">
        <v>96.32</v>
      </c>
      <c r="CD361" s="615"/>
      <c r="CE361" s="615"/>
      <c r="CF361" s="615"/>
      <c r="CG361" s="615"/>
      <c r="CH361" s="635"/>
      <c r="CI361" s="636"/>
      <c r="CJ361" s="615"/>
      <c r="CK361" s="615"/>
      <c r="CL361" s="615"/>
      <c r="CM361" s="615"/>
      <c r="CN361" s="615"/>
      <c r="CO361" s="615"/>
      <c r="CP361" s="615"/>
      <c r="CQ361" s="615"/>
      <c r="CR361" s="615"/>
      <c r="CS361" s="615"/>
      <c r="CT361" s="635"/>
      <c r="CU361" s="636"/>
      <c r="CV361" s="615"/>
      <c r="CW361" s="615"/>
      <c r="CX361" s="615"/>
      <c r="CY361" s="615"/>
      <c r="CZ361" s="615"/>
      <c r="DA361" s="615"/>
      <c r="DB361" s="615"/>
      <c r="DC361" s="615"/>
      <c r="DD361" s="615"/>
      <c r="DE361" s="615"/>
      <c r="DF361" s="635"/>
      <c r="DG361" s="636"/>
      <c r="DH361" s="615"/>
      <c r="DI361" s="615"/>
      <c r="DJ361" s="615"/>
      <c r="DK361" s="615"/>
      <c r="DL361" s="615"/>
      <c r="DM361" s="615"/>
      <c r="DN361" s="615"/>
      <c r="DO361" s="615"/>
      <c r="DP361" s="615"/>
      <c r="DQ361" s="615"/>
      <c r="DR361" s="635"/>
      <c r="DS361" s="636"/>
      <c r="DT361" s="615"/>
      <c r="DU361" s="615"/>
      <c r="DV361" s="615"/>
      <c r="DW361" s="615"/>
      <c r="DX361" s="615"/>
      <c r="DY361" s="615"/>
      <c r="DZ361" s="615"/>
      <c r="EA361" s="615"/>
      <c r="EB361" s="615"/>
      <c r="EC361" s="615"/>
      <c r="ED361" s="637"/>
      <c r="EE361" s="692"/>
    </row>
    <row r="362" spans="1:135" x14ac:dyDescent="0.25">
      <c r="A362" s="640" t="s">
        <v>11</v>
      </c>
      <c r="B362" s="367" t="s">
        <v>2110</v>
      </c>
      <c r="C362" s="367" t="s">
        <v>2017</v>
      </c>
      <c r="D362" s="367" t="s">
        <v>2111</v>
      </c>
      <c r="E362" s="503" t="s">
        <v>2099</v>
      </c>
      <c r="F362" s="570">
        <v>44774</v>
      </c>
      <c r="G362" s="85" t="s">
        <v>58</v>
      </c>
      <c r="H362" s="85" t="s">
        <v>92</v>
      </c>
      <c r="I362" s="85" t="s">
        <v>358</v>
      </c>
      <c r="J362" s="675" t="s">
        <v>358</v>
      </c>
      <c r="K362" s="85" t="s">
        <v>358</v>
      </c>
      <c r="L362" s="85" t="s">
        <v>40</v>
      </c>
      <c r="M362" s="85" t="s">
        <v>5</v>
      </c>
      <c r="N362" s="668" t="s">
        <v>44</v>
      </c>
      <c r="O362" s="669"/>
      <c r="P362" s="615"/>
      <c r="Q362" s="615"/>
      <c r="R362" s="615"/>
      <c r="S362" s="615"/>
      <c r="T362" s="615"/>
      <c r="U362" s="615">
        <v>-5</v>
      </c>
      <c r="V362" s="615"/>
      <c r="W362" s="615"/>
      <c r="X362" s="615"/>
      <c r="Y362" s="615"/>
      <c r="Z362" s="635"/>
      <c r="AA362" s="636"/>
      <c r="AB362" s="615"/>
      <c r="AC362" s="615"/>
      <c r="AD362" s="615"/>
      <c r="AE362" s="615"/>
      <c r="AF362" s="615"/>
      <c r="AG362" s="615"/>
      <c r="AH362" s="615"/>
      <c r="AI362" s="615"/>
      <c r="AJ362" s="615"/>
      <c r="AK362" s="615"/>
      <c r="AL362" s="635"/>
      <c r="AM362" s="636"/>
      <c r="AN362" s="615"/>
      <c r="AO362" s="615"/>
      <c r="AP362" s="615"/>
      <c r="AQ362" s="615"/>
      <c r="AR362" s="615"/>
      <c r="AS362" s="615"/>
      <c r="AT362" s="615"/>
      <c r="AU362" s="615"/>
      <c r="AV362" s="615"/>
      <c r="AW362" s="615"/>
      <c r="AX362" s="635"/>
      <c r="AY362" s="636"/>
      <c r="AZ362" s="615"/>
      <c r="BA362" s="615"/>
      <c r="BB362" s="615"/>
      <c r="BC362" s="615"/>
      <c r="BD362" s="615"/>
      <c r="BE362" s="615"/>
      <c r="BF362" s="615"/>
      <c r="BG362" s="615"/>
      <c r="BH362" s="615"/>
      <c r="BI362" s="615"/>
      <c r="BJ362" s="635"/>
      <c r="BK362" s="636"/>
      <c r="BL362" s="615"/>
      <c r="BM362" s="615"/>
      <c r="BN362" s="615"/>
      <c r="BO362" s="615"/>
      <c r="BP362" s="615"/>
      <c r="BQ362" s="615"/>
      <c r="BR362" s="615"/>
      <c r="BS362" s="615"/>
      <c r="BT362" s="615"/>
      <c r="BU362" s="615"/>
      <c r="BV362" s="637"/>
      <c r="BW362" s="669"/>
      <c r="BX362" s="615"/>
      <c r="BY362" s="615"/>
      <c r="BZ362" s="615"/>
      <c r="CA362" s="615"/>
      <c r="CB362" s="615"/>
      <c r="CC362" s="615">
        <v>96.32</v>
      </c>
      <c r="CD362" s="615"/>
      <c r="CE362" s="615"/>
      <c r="CF362" s="615"/>
      <c r="CG362" s="615"/>
      <c r="CH362" s="635"/>
      <c r="CI362" s="636"/>
      <c r="CJ362" s="615"/>
      <c r="CK362" s="615"/>
      <c r="CL362" s="615"/>
      <c r="CM362" s="615"/>
      <c r="CN362" s="615"/>
      <c r="CO362" s="615"/>
      <c r="CP362" s="615"/>
      <c r="CQ362" s="615"/>
      <c r="CR362" s="615"/>
      <c r="CS362" s="615"/>
      <c r="CT362" s="635"/>
      <c r="CU362" s="636"/>
      <c r="CV362" s="615"/>
      <c r="CW362" s="615"/>
      <c r="CX362" s="615"/>
      <c r="CY362" s="615"/>
      <c r="CZ362" s="615"/>
      <c r="DA362" s="615"/>
      <c r="DB362" s="615"/>
      <c r="DC362" s="615"/>
      <c r="DD362" s="615"/>
      <c r="DE362" s="615"/>
      <c r="DF362" s="635"/>
      <c r="DG362" s="636"/>
      <c r="DH362" s="615"/>
      <c r="DI362" s="615"/>
      <c r="DJ362" s="615"/>
      <c r="DK362" s="615"/>
      <c r="DL362" s="615"/>
      <c r="DM362" s="615"/>
      <c r="DN362" s="615"/>
      <c r="DO362" s="615"/>
      <c r="DP362" s="615"/>
      <c r="DQ362" s="615"/>
      <c r="DR362" s="635"/>
      <c r="DS362" s="636"/>
      <c r="DT362" s="615"/>
      <c r="DU362" s="615"/>
      <c r="DV362" s="615"/>
      <c r="DW362" s="615"/>
      <c r="DX362" s="615"/>
      <c r="DY362" s="615"/>
      <c r="DZ362" s="615"/>
      <c r="EA362" s="615"/>
      <c r="EB362" s="615"/>
      <c r="EC362" s="615"/>
      <c r="ED362" s="637"/>
      <c r="EE362" s="692"/>
    </row>
    <row r="363" spans="1:135" x14ac:dyDescent="0.25">
      <c r="A363" s="640" t="s">
        <v>11</v>
      </c>
      <c r="B363" s="367" t="s">
        <v>2112</v>
      </c>
      <c r="C363" s="367" t="s">
        <v>2105</v>
      </c>
      <c r="D363" s="367" t="s">
        <v>2113</v>
      </c>
      <c r="E363" s="503" t="s">
        <v>2100</v>
      </c>
      <c r="F363" s="570">
        <v>44774</v>
      </c>
      <c r="G363" s="85" t="s">
        <v>58</v>
      </c>
      <c r="H363" s="85" t="s">
        <v>92</v>
      </c>
      <c r="I363" s="85" t="s">
        <v>358</v>
      </c>
      <c r="J363" s="675" t="s">
        <v>358</v>
      </c>
      <c r="K363" s="85" t="s">
        <v>358</v>
      </c>
      <c r="L363" s="85" t="s">
        <v>40</v>
      </c>
      <c r="M363" s="85" t="s">
        <v>5</v>
      </c>
      <c r="N363" s="668" t="s">
        <v>44</v>
      </c>
      <c r="O363" s="669"/>
      <c r="P363" s="615"/>
      <c r="Q363" s="615"/>
      <c r="R363" s="615"/>
      <c r="S363" s="615"/>
      <c r="T363" s="615"/>
      <c r="U363" s="615">
        <v>-10</v>
      </c>
      <c r="V363" s="615"/>
      <c r="W363" s="615"/>
      <c r="X363" s="615"/>
      <c r="Y363" s="615"/>
      <c r="Z363" s="635"/>
      <c r="AA363" s="636"/>
      <c r="AB363" s="615"/>
      <c r="AC363" s="615"/>
      <c r="AD363" s="615"/>
      <c r="AE363" s="615"/>
      <c r="AF363" s="615"/>
      <c r="AG363" s="615"/>
      <c r="AH363" s="615"/>
      <c r="AI363" s="615"/>
      <c r="AJ363" s="615"/>
      <c r="AK363" s="615"/>
      <c r="AL363" s="635"/>
      <c r="AM363" s="636"/>
      <c r="AN363" s="615"/>
      <c r="AO363" s="615"/>
      <c r="AP363" s="615"/>
      <c r="AQ363" s="615"/>
      <c r="AR363" s="615"/>
      <c r="AS363" s="615"/>
      <c r="AT363" s="615"/>
      <c r="AU363" s="615"/>
      <c r="AV363" s="615"/>
      <c r="AW363" s="615"/>
      <c r="AX363" s="635"/>
      <c r="AY363" s="636"/>
      <c r="AZ363" s="615"/>
      <c r="BA363" s="615"/>
      <c r="BB363" s="615"/>
      <c r="BC363" s="615"/>
      <c r="BD363" s="615"/>
      <c r="BE363" s="615"/>
      <c r="BF363" s="615"/>
      <c r="BG363" s="615"/>
      <c r="BH363" s="615"/>
      <c r="BI363" s="615"/>
      <c r="BJ363" s="635"/>
      <c r="BK363" s="636"/>
      <c r="BL363" s="615"/>
      <c r="BM363" s="615"/>
      <c r="BN363" s="615"/>
      <c r="BO363" s="615"/>
      <c r="BP363" s="615"/>
      <c r="BQ363" s="615"/>
      <c r="BR363" s="615"/>
      <c r="BS363" s="615"/>
      <c r="BT363" s="615"/>
      <c r="BU363" s="615"/>
      <c r="BV363" s="637"/>
      <c r="BW363" s="669"/>
      <c r="BX363" s="615"/>
      <c r="BY363" s="615"/>
      <c r="BZ363" s="615"/>
      <c r="CA363" s="615"/>
      <c r="CB363" s="615"/>
      <c r="CC363" s="615">
        <v>96.32</v>
      </c>
      <c r="CD363" s="615"/>
      <c r="CE363" s="615"/>
      <c r="CF363" s="615"/>
      <c r="CG363" s="615"/>
      <c r="CH363" s="635"/>
      <c r="CI363" s="636"/>
      <c r="CJ363" s="615"/>
      <c r="CK363" s="615"/>
      <c r="CL363" s="615"/>
      <c r="CM363" s="615"/>
      <c r="CN363" s="615"/>
      <c r="CO363" s="615"/>
      <c r="CP363" s="615"/>
      <c r="CQ363" s="615"/>
      <c r="CR363" s="615"/>
      <c r="CS363" s="615"/>
      <c r="CT363" s="635"/>
      <c r="CU363" s="636"/>
      <c r="CV363" s="615"/>
      <c r="CW363" s="615"/>
      <c r="CX363" s="615"/>
      <c r="CY363" s="615"/>
      <c r="CZ363" s="615"/>
      <c r="DA363" s="615"/>
      <c r="DB363" s="615"/>
      <c r="DC363" s="615"/>
      <c r="DD363" s="615"/>
      <c r="DE363" s="615"/>
      <c r="DF363" s="635"/>
      <c r="DG363" s="636"/>
      <c r="DH363" s="615"/>
      <c r="DI363" s="615"/>
      <c r="DJ363" s="615"/>
      <c r="DK363" s="615"/>
      <c r="DL363" s="615"/>
      <c r="DM363" s="615"/>
      <c r="DN363" s="615"/>
      <c r="DO363" s="615"/>
      <c r="DP363" s="615"/>
      <c r="DQ363" s="615"/>
      <c r="DR363" s="635"/>
      <c r="DS363" s="636"/>
      <c r="DT363" s="615"/>
      <c r="DU363" s="615"/>
      <c r="DV363" s="615"/>
      <c r="DW363" s="615"/>
      <c r="DX363" s="615"/>
      <c r="DY363" s="615"/>
      <c r="DZ363" s="615"/>
      <c r="EA363" s="615"/>
      <c r="EB363" s="615"/>
      <c r="EC363" s="615"/>
      <c r="ED363" s="637"/>
      <c r="EE363" s="692"/>
    </row>
    <row r="364" spans="1:135" x14ac:dyDescent="0.25">
      <c r="A364" s="640" t="s">
        <v>11</v>
      </c>
      <c r="B364" s="367" t="s">
        <v>2114</v>
      </c>
      <c r="C364" s="367" t="s">
        <v>471</v>
      </c>
      <c r="D364" s="367" t="s">
        <v>2115</v>
      </c>
      <c r="E364" s="503" t="s">
        <v>2101</v>
      </c>
      <c r="F364" s="570">
        <v>44774</v>
      </c>
      <c r="G364" s="85" t="s">
        <v>58</v>
      </c>
      <c r="H364" s="85" t="s">
        <v>92</v>
      </c>
      <c r="I364" s="85" t="s">
        <v>358</v>
      </c>
      <c r="J364" s="675" t="s">
        <v>358</v>
      </c>
      <c r="K364" s="85" t="s">
        <v>358</v>
      </c>
      <c r="L364" s="85" t="s">
        <v>40</v>
      </c>
      <c r="M364" s="85" t="s">
        <v>5</v>
      </c>
      <c r="N364" s="668" t="s">
        <v>44</v>
      </c>
      <c r="O364" s="669"/>
      <c r="P364" s="615"/>
      <c r="Q364" s="615"/>
      <c r="R364" s="615"/>
      <c r="S364" s="615"/>
      <c r="T364" s="615"/>
      <c r="U364" s="615">
        <v>-10</v>
      </c>
      <c r="V364" s="615"/>
      <c r="W364" s="615"/>
      <c r="X364" s="615"/>
      <c r="Y364" s="615"/>
      <c r="Z364" s="635"/>
      <c r="AA364" s="636"/>
      <c r="AB364" s="615"/>
      <c r="AC364" s="615"/>
      <c r="AD364" s="615"/>
      <c r="AE364" s="615"/>
      <c r="AF364" s="615"/>
      <c r="AG364" s="615"/>
      <c r="AH364" s="615"/>
      <c r="AI364" s="615"/>
      <c r="AJ364" s="615"/>
      <c r="AK364" s="615"/>
      <c r="AL364" s="635"/>
      <c r="AM364" s="636"/>
      <c r="AN364" s="615"/>
      <c r="AO364" s="615"/>
      <c r="AP364" s="615"/>
      <c r="AQ364" s="615"/>
      <c r="AR364" s="615"/>
      <c r="AS364" s="615"/>
      <c r="AT364" s="615"/>
      <c r="AU364" s="615"/>
      <c r="AV364" s="615"/>
      <c r="AW364" s="615"/>
      <c r="AX364" s="635"/>
      <c r="AY364" s="636"/>
      <c r="AZ364" s="615"/>
      <c r="BA364" s="615"/>
      <c r="BB364" s="615"/>
      <c r="BC364" s="615"/>
      <c r="BD364" s="615"/>
      <c r="BE364" s="615"/>
      <c r="BF364" s="615"/>
      <c r="BG364" s="615"/>
      <c r="BH364" s="615"/>
      <c r="BI364" s="615"/>
      <c r="BJ364" s="635"/>
      <c r="BK364" s="636"/>
      <c r="BL364" s="615"/>
      <c r="BM364" s="615"/>
      <c r="BN364" s="615"/>
      <c r="BO364" s="615"/>
      <c r="BP364" s="615"/>
      <c r="BQ364" s="615"/>
      <c r="BR364" s="615"/>
      <c r="BS364" s="615"/>
      <c r="BT364" s="615"/>
      <c r="BU364" s="615"/>
      <c r="BV364" s="637"/>
      <c r="BW364" s="669"/>
      <c r="BX364" s="615"/>
      <c r="BY364" s="615"/>
      <c r="BZ364" s="615"/>
      <c r="CA364" s="615"/>
      <c r="CB364" s="615"/>
      <c r="CC364" s="615">
        <v>96.61999999999999</v>
      </c>
      <c r="CD364" s="615"/>
      <c r="CE364" s="615"/>
      <c r="CF364" s="615"/>
      <c r="CG364" s="615"/>
      <c r="CH364" s="635"/>
      <c r="CI364" s="636"/>
      <c r="CJ364" s="615"/>
      <c r="CK364" s="615"/>
      <c r="CL364" s="615"/>
      <c r="CM364" s="615"/>
      <c r="CN364" s="615"/>
      <c r="CO364" s="615"/>
      <c r="CP364" s="615"/>
      <c r="CQ364" s="615"/>
      <c r="CR364" s="615"/>
      <c r="CS364" s="615"/>
      <c r="CT364" s="635"/>
      <c r="CU364" s="636"/>
      <c r="CV364" s="615"/>
      <c r="CW364" s="615"/>
      <c r="CX364" s="615"/>
      <c r="CY364" s="615"/>
      <c r="CZ364" s="615"/>
      <c r="DA364" s="615"/>
      <c r="DB364" s="615"/>
      <c r="DC364" s="615"/>
      <c r="DD364" s="615"/>
      <c r="DE364" s="615"/>
      <c r="DF364" s="635"/>
      <c r="DG364" s="636"/>
      <c r="DH364" s="615"/>
      <c r="DI364" s="615"/>
      <c r="DJ364" s="615"/>
      <c r="DK364" s="615"/>
      <c r="DL364" s="615"/>
      <c r="DM364" s="615"/>
      <c r="DN364" s="615"/>
      <c r="DO364" s="615"/>
      <c r="DP364" s="615"/>
      <c r="DQ364" s="615"/>
      <c r="DR364" s="635"/>
      <c r="DS364" s="636"/>
      <c r="DT364" s="615"/>
      <c r="DU364" s="615"/>
      <c r="DV364" s="615"/>
      <c r="DW364" s="615"/>
      <c r="DX364" s="615"/>
      <c r="DY364" s="615"/>
      <c r="DZ364" s="615"/>
      <c r="EA364" s="615"/>
      <c r="EB364" s="615"/>
      <c r="EC364" s="615"/>
      <c r="ED364" s="637"/>
      <c r="EE364" s="692"/>
    </row>
    <row r="365" spans="1:135" x14ac:dyDescent="0.25">
      <c r="A365" s="640" t="s">
        <v>11</v>
      </c>
      <c r="B365" s="367" t="s">
        <v>2116</v>
      </c>
      <c r="C365" s="367" t="s">
        <v>1838</v>
      </c>
      <c r="D365" s="367" t="s">
        <v>2117</v>
      </c>
      <c r="E365" s="503" t="s">
        <v>2102</v>
      </c>
      <c r="F365" s="570">
        <v>44774</v>
      </c>
      <c r="G365" s="85" t="s">
        <v>58</v>
      </c>
      <c r="H365" s="85" t="s">
        <v>92</v>
      </c>
      <c r="I365" s="85" t="s">
        <v>358</v>
      </c>
      <c r="J365" s="675" t="s">
        <v>358</v>
      </c>
      <c r="K365" s="85" t="s">
        <v>358</v>
      </c>
      <c r="L365" s="85" t="s">
        <v>40</v>
      </c>
      <c r="M365" s="85" t="s">
        <v>5</v>
      </c>
      <c r="N365" s="668" t="s">
        <v>44</v>
      </c>
      <c r="O365" s="669"/>
      <c r="P365" s="615"/>
      <c r="Q365" s="615"/>
      <c r="R365" s="615"/>
      <c r="S365" s="615"/>
      <c r="T365" s="615"/>
      <c r="U365" s="615">
        <v>-2</v>
      </c>
      <c r="V365" s="615"/>
      <c r="W365" s="615"/>
      <c r="X365" s="615"/>
      <c r="Y365" s="615"/>
      <c r="Z365" s="635"/>
      <c r="AA365" s="636"/>
      <c r="AB365" s="615"/>
      <c r="AC365" s="615"/>
      <c r="AD365" s="615"/>
      <c r="AE365" s="615"/>
      <c r="AF365" s="615"/>
      <c r="AG365" s="615"/>
      <c r="AH365" s="615"/>
      <c r="AI365" s="615"/>
      <c r="AJ365" s="615"/>
      <c r="AK365" s="615"/>
      <c r="AL365" s="635"/>
      <c r="AM365" s="636"/>
      <c r="AN365" s="615"/>
      <c r="AO365" s="615"/>
      <c r="AP365" s="615"/>
      <c r="AQ365" s="615"/>
      <c r="AR365" s="615"/>
      <c r="AS365" s="615"/>
      <c r="AT365" s="615"/>
      <c r="AU365" s="615"/>
      <c r="AV365" s="615"/>
      <c r="AW365" s="615"/>
      <c r="AX365" s="635"/>
      <c r="AY365" s="636"/>
      <c r="AZ365" s="615"/>
      <c r="BA365" s="615"/>
      <c r="BB365" s="615"/>
      <c r="BC365" s="615"/>
      <c r="BD365" s="615"/>
      <c r="BE365" s="615"/>
      <c r="BF365" s="615"/>
      <c r="BG365" s="615"/>
      <c r="BH365" s="615"/>
      <c r="BI365" s="615"/>
      <c r="BJ365" s="635"/>
      <c r="BK365" s="636"/>
      <c r="BL365" s="615"/>
      <c r="BM365" s="615"/>
      <c r="BN365" s="615"/>
      <c r="BO365" s="615"/>
      <c r="BP365" s="615"/>
      <c r="BQ365" s="615"/>
      <c r="BR365" s="615"/>
      <c r="BS365" s="615"/>
      <c r="BT365" s="615"/>
      <c r="BU365" s="615"/>
      <c r="BV365" s="637"/>
      <c r="BW365" s="669"/>
      <c r="BX365" s="615"/>
      <c r="BY365" s="615"/>
      <c r="BZ365" s="615"/>
      <c r="CA365" s="615"/>
      <c r="CB365" s="615"/>
      <c r="CC365" s="615">
        <v>96.32</v>
      </c>
      <c r="CD365" s="615"/>
      <c r="CE365" s="615"/>
      <c r="CF365" s="615"/>
      <c r="CG365" s="615"/>
      <c r="CH365" s="635"/>
      <c r="CI365" s="636"/>
      <c r="CJ365" s="615"/>
      <c r="CK365" s="615"/>
      <c r="CL365" s="615"/>
      <c r="CM365" s="615"/>
      <c r="CN365" s="615"/>
      <c r="CO365" s="615"/>
      <c r="CP365" s="615"/>
      <c r="CQ365" s="615"/>
      <c r="CR365" s="615"/>
      <c r="CS365" s="615"/>
      <c r="CT365" s="635"/>
      <c r="CU365" s="636"/>
      <c r="CV365" s="615"/>
      <c r="CW365" s="615"/>
      <c r="CX365" s="615"/>
      <c r="CY365" s="615"/>
      <c r="CZ365" s="615"/>
      <c r="DA365" s="615"/>
      <c r="DB365" s="615"/>
      <c r="DC365" s="615"/>
      <c r="DD365" s="615"/>
      <c r="DE365" s="615"/>
      <c r="DF365" s="635"/>
      <c r="DG365" s="636"/>
      <c r="DH365" s="615"/>
      <c r="DI365" s="615"/>
      <c r="DJ365" s="615"/>
      <c r="DK365" s="615"/>
      <c r="DL365" s="615"/>
      <c r="DM365" s="615"/>
      <c r="DN365" s="615"/>
      <c r="DO365" s="615"/>
      <c r="DP365" s="615"/>
      <c r="DQ365" s="615"/>
      <c r="DR365" s="635"/>
      <c r="DS365" s="636"/>
      <c r="DT365" s="615"/>
      <c r="DU365" s="615"/>
      <c r="DV365" s="615"/>
      <c r="DW365" s="615"/>
      <c r="DX365" s="615"/>
      <c r="DY365" s="615"/>
      <c r="DZ365" s="615"/>
      <c r="EA365" s="615"/>
      <c r="EB365" s="615"/>
      <c r="EC365" s="615"/>
      <c r="ED365" s="637"/>
      <c r="EE365" s="692"/>
    </row>
    <row r="366" spans="1:135" x14ac:dyDescent="0.25">
      <c r="A366" s="640" t="s">
        <v>11</v>
      </c>
      <c r="B366" s="367" t="s">
        <v>2118</v>
      </c>
      <c r="C366" s="367" t="s">
        <v>2085</v>
      </c>
      <c r="D366" s="367" t="s">
        <v>2119</v>
      </c>
      <c r="E366" s="503" t="s">
        <v>2103</v>
      </c>
      <c r="F366" s="570">
        <v>44774</v>
      </c>
      <c r="G366" s="85" t="s">
        <v>58</v>
      </c>
      <c r="H366" s="85" t="s">
        <v>54</v>
      </c>
      <c r="I366" s="85" t="s">
        <v>358</v>
      </c>
      <c r="J366" s="675" t="s">
        <v>358</v>
      </c>
      <c r="K366" s="85" t="s">
        <v>358</v>
      </c>
      <c r="L366" s="85" t="s">
        <v>40</v>
      </c>
      <c r="M366" s="85" t="s">
        <v>5</v>
      </c>
      <c r="N366" s="668" t="s">
        <v>44</v>
      </c>
      <c r="O366" s="669"/>
      <c r="P366" s="615"/>
      <c r="Q366" s="615"/>
      <c r="R366" s="615"/>
      <c r="S366" s="615"/>
      <c r="T366" s="615"/>
      <c r="U366" s="615">
        <v>-19</v>
      </c>
      <c r="V366" s="615"/>
      <c r="W366" s="615"/>
      <c r="X366" s="615"/>
      <c r="Y366" s="615"/>
      <c r="Z366" s="635"/>
      <c r="AA366" s="636"/>
      <c r="AB366" s="615"/>
      <c r="AC366" s="615"/>
      <c r="AD366" s="615"/>
      <c r="AE366" s="615"/>
      <c r="AF366" s="615"/>
      <c r="AG366" s="615"/>
      <c r="AH366" s="615"/>
      <c r="AI366" s="615"/>
      <c r="AJ366" s="615"/>
      <c r="AK366" s="615"/>
      <c r="AL366" s="635"/>
      <c r="AM366" s="636"/>
      <c r="AN366" s="615"/>
      <c r="AO366" s="615"/>
      <c r="AP366" s="615"/>
      <c r="AQ366" s="615"/>
      <c r="AR366" s="615"/>
      <c r="AS366" s="615"/>
      <c r="AT366" s="615"/>
      <c r="AU366" s="615"/>
      <c r="AV366" s="615"/>
      <c r="AW366" s="615"/>
      <c r="AX366" s="635"/>
      <c r="AY366" s="636"/>
      <c r="AZ366" s="615"/>
      <c r="BA366" s="615"/>
      <c r="BB366" s="615"/>
      <c r="BC366" s="615"/>
      <c r="BD366" s="615"/>
      <c r="BE366" s="615"/>
      <c r="BF366" s="615"/>
      <c r="BG366" s="615"/>
      <c r="BH366" s="615"/>
      <c r="BI366" s="615"/>
      <c r="BJ366" s="635"/>
      <c r="BK366" s="636"/>
      <c r="BL366" s="615"/>
      <c r="BM366" s="615"/>
      <c r="BN366" s="615"/>
      <c r="BO366" s="615"/>
      <c r="BP366" s="615"/>
      <c r="BQ366" s="615"/>
      <c r="BR366" s="615"/>
      <c r="BS366" s="615"/>
      <c r="BT366" s="615"/>
      <c r="BU366" s="615"/>
      <c r="BV366" s="637"/>
      <c r="BW366" s="669"/>
      <c r="BX366" s="615"/>
      <c r="BY366" s="615"/>
      <c r="BZ366" s="615"/>
      <c r="CA366" s="615"/>
      <c r="CB366" s="615"/>
      <c r="CC366" s="615">
        <v>96.62</v>
      </c>
      <c r="CD366" s="615"/>
      <c r="CE366" s="615"/>
      <c r="CF366" s="615"/>
      <c r="CG366" s="615"/>
      <c r="CH366" s="635"/>
      <c r="CI366" s="636"/>
      <c r="CJ366" s="615"/>
      <c r="CK366" s="615"/>
      <c r="CL366" s="615"/>
      <c r="CM366" s="615"/>
      <c r="CN366" s="615"/>
      <c r="CO366" s="615"/>
      <c r="CP366" s="615"/>
      <c r="CQ366" s="615"/>
      <c r="CR366" s="615"/>
      <c r="CS366" s="615"/>
      <c r="CT366" s="635"/>
      <c r="CU366" s="636"/>
      <c r="CV366" s="615"/>
      <c r="CW366" s="615"/>
      <c r="CX366" s="615"/>
      <c r="CY366" s="615"/>
      <c r="CZ366" s="615"/>
      <c r="DA366" s="615"/>
      <c r="DB366" s="615"/>
      <c r="DC366" s="615"/>
      <c r="DD366" s="615"/>
      <c r="DE366" s="615"/>
      <c r="DF366" s="635"/>
      <c r="DG366" s="636"/>
      <c r="DH366" s="615"/>
      <c r="DI366" s="615"/>
      <c r="DJ366" s="615"/>
      <c r="DK366" s="615"/>
      <c r="DL366" s="615"/>
      <c r="DM366" s="615"/>
      <c r="DN366" s="615"/>
      <c r="DO366" s="615"/>
      <c r="DP366" s="615"/>
      <c r="DQ366" s="615"/>
      <c r="DR366" s="635"/>
      <c r="DS366" s="636"/>
      <c r="DT366" s="615"/>
      <c r="DU366" s="615"/>
      <c r="DV366" s="615"/>
      <c r="DW366" s="615"/>
      <c r="DX366" s="615"/>
      <c r="DY366" s="615"/>
      <c r="DZ366" s="615"/>
      <c r="EA366" s="615"/>
      <c r="EB366" s="615"/>
      <c r="EC366" s="615"/>
      <c r="ED366" s="637"/>
      <c r="EE366" s="692"/>
    </row>
    <row r="367" spans="1:135" x14ac:dyDescent="0.25">
      <c r="A367" s="640" t="s">
        <v>11</v>
      </c>
      <c r="B367" s="367" t="s">
        <v>2122</v>
      </c>
      <c r="C367" s="367" t="s">
        <v>2121</v>
      </c>
      <c r="D367" s="367" t="s">
        <v>2123</v>
      </c>
      <c r="E367" s="503" t="s">
        <v>2120</v>
      </c>
      <c r="F367" s="570">
        <v>44775</v>
      </c>
      <c r="G367" s="85" t="s">
        <v>58</v>
      </c>
      <c r="H367" s="85" t="s">
        <v>92</v>
      </c>
      <c r="I367" s="85" t="s">
        <v>358</v>
      </c>
      <c r="J367" s="675" t="s">
        <v>358</v>
      </c>
      <c r="K367" s="85" t="s">
        <v>358</v>
      </c>
      <c r="L367" s="85" t="s">
        <v>40</v>
      </c>
      <c r="M367" s="85" t="s">
        <v>5</v>
      </c>
      <c r="N367" s="668" t="s">
        <v>44</v>
      </c>
      <c r="O367" s="669"/>
      <c r="P367" s="615"/>
      <c r="Q367" s="615"/>
      <c r="R367" s="615"/>
      <c r="S367" s="615"/>
      <c r="T367" s="615"/>
      <c r="U367" s="615">
        <v>-2</v>
      </c>
      <c r="V367" s="615"/>
      <c r="W367" s="615"/>
      <c r="X367" s="615"/>
      <c r="Y367" s="615"/>
      <c r="Z367" s="635"/>
      <c r="AA367" s="636"/>
      <c r="AB367" s="615"/>
      <c r="AC367" s="615"/>
      <c r="AD367" s="615"/>
      <c r="AE367" s="615"/>
      <c r="AF367" s="615"/>
      <c r="AG367" s="615"/>
      <c r="AH367" s="615"/>
      <c r="AI367" s="615"/>
      <c r="AJ367" s="615"/>
      <c r="AK367" s="615"/>
      <c r="AL367" s="635"/>
      <c r="AM367" s="636"/>
      <c r="AN367" s="615"/>
      <c r="AO367" s="615"/>
      <c r="AP367" s="615"/>
      <c r="AQ367" s="615"/>
      <c r="AR367" s="615"/>
      <c r="AS367" s="615"/>
      <c r="AT367" s="615"/>
      <c r="AU367" s="615"/>
      <c r="AV367" s="615"/>
      <c r="AW367" s="615"/>
      <c r="AX367" s="635"/>
      <c r="AY367" s="636"/>
      <c r="AZ367" s="615"/>
      <c r="BA367" s="615"/>
      <c r="BB367" s="615"/>
      <c r="BC367" s="615"/>
      <c r="BD367" s="615"/>
      <c r="BE367" s="615"/>
      <c r="BF367" s="615"/>
      <c r="BG367" s="615"/>
      <c r="BH367" s="615"/>
      <c r="BI367" s="615"/>
      <c r="BJ367" s="635"/>
      <c r="BK367" s="636"/>
      <c r="BL367" s="615"/>
      <c r="BM367" s="615"/>
      <c r="BN367" s="615"/>
      <c r="BO367" s="615"/>
      <c r="BP367" s="615"/>
      <c r="BQ367" s="615"/>
      <c r="BR367" s="615"/>
      <c r="BS367" s="615"/>
      <c r="BT367" s="615"/>
      <c r="BU367" s="615"/>
      <c r="BV367" s="637"/>
      <c r="BW367" s="669"/>
      <c r="BX367" s="615"/>
      <c r="BY367" s="615"/>
      <c r="BZ367" s="615"/>
      <c r="CA367" s="615"/>
      <c r="CB367" s="615"/>
      <c r="CC367" s="615">
        <v>95.32</v>
      </c>
      <c r="CD367" s="615"/>
      <c r="CE367" s="615"/>
      <c r="CF367" s="615"/>
      <c r="CG367" s="615"/>
      <c r="CH367" s="635"/>
      <c r="CI367" s="636"/>
      <c r="CJ367" s="615"/>
      <c r="CK367" s="615"/>
      <c r="CL367" s="615"/>
      <c r="CM367" s="615"/>
      <c r="CN367" s="615"/>
      <c r="CO367" s="615"/>
      <c r="CP367" s="615"/>
      <c r="CQ367" s="615"/>
      <c r="CR367" s="615"/>
      <c r="CS367" s="615"/>
      <c r="CT367" s="635"/>
      <c r="CU367" s="636"/>
      <c r="CV367" s="615"/>
      <c r="CW367" s="615"/>
      <c r="CX367" s="615"/>
      <c r="CY367" s="615"/>
      <c r="CZ367" s="615"/>
      <c r="DA367" s="615"/>
      <c r="DB367" s="615"/>
      <c r="DC367" s="615"/>
      <c r="DD367" s="615"/>
      <c r="DE367" s="615"/>
      <c r="DF367" s="635"/>
      <c r="DG367" s="636"/>
      <c r="DH367" s="615"/>
      <c r="DI367" s="615"/>
      <c r="DJ367" s="615"/>
      <c r="DK367" s="615"/>
      <c r="DL367" s="615"/>
      <c r="DM367" s="615"/>
      <c r="DN367" s="615"/>
      <c r="DO367" s="615"/>
      <c r="DP367" s="615"/>
      <c r="DQ367" s="615"/>
      <c r="DR367" s="635"/>
      <c r="DS367" s="636"/>
      <c r="DT367" s="615"/>
      <c r="DU367" s="615"/>
      <c r="DV367" s="615"/>
      <c r="DW367" s="615"/>
      <c r="DX367" s="615"/>
      <c r="DY367" s="615"/>
      <c r="DZ367" s="615"/>
      <c r="EA367" s="615"/>
      <c r="EB367" s="615"/>
      <c r="EC367" s="615"/>
      <c r="ED367" s="637"/>
      <c r="EE367" s="692"/>
    </row>
    <row r="368" spans="1:135" x14ac:dyDescent="0.25">
      <c r="A368" s="640" t="s">
        <v>11</v>
      </c>
      <c r="B368" s="367" t="s">
        <v>2124</v>
      </c>
      <c r="C368" s="367" t="s">
        <v>1919</v>
      </c>
      <c r="D368" s="367" t="s">
        <v>2125</v>
      </c>
      <c r="E368" s="503">
        <v>26285</v>
      </c>
      <c r="F368" s="570">
        <v>44775</v>
      </c>
      <c r="G368" s="85" t="s">
        <v>58</v>
      </c>
      <c r="H368" s="85" t="s">
        <v>92</v>
      </c>
      <c r="I368" s="85" t="s">
        <v>358</v>
      </c>
      <c r="J368" s="675" t="s">
        <v>358</v>
      </c>
      <c r="K368" s="85" t="s">
        <v>358</v>
      </c>
      <c r="L368" s="85" t="s">
        <v>40</v>
      </c>
      <c r="M368" s="85" t="s">
        <v>5</v>
      </c>
      <c r="N368" s="668" t="s">
        <v>12</v>
      </c>
      <c r="O368" s="669"/>
      <c r="P368" s="615"/>
      <c r="Q368" s="615"/>
      <c r="R368" s="615"/>
      <c r="S368" s="615"/>
      <c r="T368" s="615"/>
      <c r="U368" s="615">
        <v>-20</v>
      </c>
      <c r="V368" s="615"/>
      <c r="W368" s="615"/>
      <c r="X368" s="615"/>
      <c r="Y368" s="615"/>
      <c r="Z368" s="635"/>
      <c r="AA368" s="636"/>
      <c r="AB368" s="615"/>
      <c r="AC368" s="615"/>
      <c r="AD368" s="615"/>
      <c r="AE368" s="615"/>
      <c r="AF368" s="615"/>
      <c r="AG368" s="615"/>
      <c r="AH368" s="615"/>
      <c r="AI368" s="615"/>
      <c r="AJ368" s="615"/>
      <c r="AK368" s="615"/>
      <c r="AL368" s="635"/>
      <c r="AM368" s="636"/>
      <c r="AN368" s="615"/>
      <c r="AO368" s="615"/>
      <c r="AP368" s="615"/>
      <c r="AQ368" s="615"/>
      <c r="AR368" s="615"/>
      <c r="AS368" s="615"/>
      <c r="AT368" s="615"/>
      <c r="AU368" s="615"/>
      <c r="AV368" s="615"/>
      <c r="AW368" s="615"/>
      <c r="AX368" s="635"/>
      <c r="AY368" s="636"/>
      <c r="AZ368" s="615"/>
      <c r="BA368" s="615"/>
      <c r="BB368" s="615"/>
      <c r="BC368" s="615"/>
      <c r="BD368" s="615"/>
      <c r="BE368" s="615"/>
      <c r="BF368" s="615"/>
      <c r="BG368" s="615"/>
      <c r="BH368" s="615"/>
      <c r="BI368" s="615"/>
      <c r="BJ368" s="635"/>
      <c r="BK368" s="636"/>
      <c r="BL368" s="615"/>
      <c r="BM368" s="615"/>
      <c r="BN368" s="615"/>
      <c r="BO368" s="615"/>
      <c r="BP368" s="615"/>
      <c r="BQ368" s="615"/>
      <c r="BR368" s="615"/>
      <c r="BS368" s="615"/>
      <c r="BT368" s="615"/>
      <c r="BU368" s="615"/>
      <c r="BV368" s="637"/>
      <c r="BW368" s="669"/>
      <c r="BX368" s="615"/>
      <c r="BY368" s="615"/>
      <c r="BZ368" s="615"/>
      <c r="CA368" s="615"/>
      <c r="CB368" s="615"/>
      <c r="CC368" s="615">
        <v>95.55</v>
      </c>
      <c r="CD368" s="615"/>
      <c r="CE368" s="615"/>
      <c r="CF368" s="615"/>
      <c r="CG368" s="615"/>
      <c r="CH368" s="635"/>
      <c r="CI368" s="636"/>
      <c r="CJ368" s="615"/>
      <c r="CK368" s="615"/>
      <c r="CL368" s="615"/>
      <c r="CM368" s="615"/>
      <c r="CN368" s="615"/>
      <c r="CO368" s="615"/>
      <c r="CP368" s="615"/>
      <c r="CQ368" s="615"/>
      <c r="CR368" s="615"/>
      <c r="CS368" s="615"/>
      <c r="CT368" s="635"/>
      <c r="CU368" s="636"/>
      <c r="CV368" s="615"/>
      <c r="CW368" s="615"/>
      <c r="CX368" s="615"/>
      <c r="CY368" s="615"/>
      <c r="CZ368" s="615"/>
      <c r="DA368" s="615"/>
      <c r="DB368" s="615"/>
      <c r="DC368" s="615"/>
      <c r="DD368" s="615"/>
      <c r="DE368" s="615"/>
      <c r="DF368" s="635"/>
      <c r="DG368" s="636"/>
      <c r="DH368" s="615"/>
      <c r="DI368" s="615"/>
      <c r="DJ368" s="615"/>
      <c r="DK368" s="615"/>
      <c r="DL368" s="615"/>
      <c r="DM368" s="615"/>
      <c r="DN368" s="615"/>
      <c r="DO368" s="615"/>
      <c r="DP368" s="615"/>
      <c r="DQ368" s="615"/>
      <c r="DR368" s="635"/>
      <c r="DS368" s="636"/>
      <c r="DT368" s="615"/>
      <c r="DU368" s="615"/>
      <c r="DV368" s="615"/>
      <c r="DW368" s="615"/>
      <c r="DX368" s="615"/>
      <c r="DY368" s="615"/>
      <c r="DZ368" s="615"/>
      <c r="EA368" s="615"/>
      <c r="EB368" s="615"/>
      <c r="EC368" s="615"/>
      <c r="ED368" s="637"/>
      <c r="EE368" s="692"/>
    </row>
    <row r="369" spans="1:135" x14ac:dyDescent="0.25">
      <c r="A369" s="640" t="s">
        <v>11</v>
      </c>
      <c r="B369" s="367" t="s">
        <v>2128</v>
      </c>
      <c r="C369" s="367" t="s">
        <v>2017</v>
      </c>
      <c r="D369" s="367" t="s">
        <v>2129</v>
      </c>
      <c r="E369" s="503" t="s">
        <v>2126</v>
      </c>
      <c r="F369" s="570">
        <v>44777</v>
      </c>
      <c r="G369" s="85" t="s">
        <v>59</v>
      </c>
      <c r="H369" s="85" t="s">
        <v>54</v>
      </c>
      <c r="I369" s="85" t="s">
        <v>649</v>
      </c>
      <c r="J369" s="675">
        <v>44777</v>
      </c>
      <c r="K369" s="85">
        <v>1</v>
      </c>
      <c r="L369" s="85" t="s">
        <v>40</v>
      </c>
      <c r="M369" s="85" t="s">
        <v>3</v>
      </c>
      <c r="N369" s="668" t="s">
        <v>44</v>
      </c>
      <c r="O369" s="669"/>
      <c r="P369" s="615"/>
      <c r="Q369" s="615"/>
      <c r="R369" s="615"/>
      <c r="S369" s="615"/>
      <c r="T369" s="615"/>
      <c r="U369" s="615"/>
      <c r="V369" s="615"/>
      <c r="W369" s="615"/>
      <c r="X369" s="615"/>
      <c r="Y369" s="615"/>
      <c r="Z369" s="635"/>
      <c r="AA369" s="636">
        <v>14</v>
      </c>
      <c r="AB369" s="615"/>
      <c r="AC369" s="615"/>
      <c r="AD369" s="615"/>
      <c r="AE369" s="615"/>
      <c r="AF369" s="615"/>
      <c r="AG369" s="615"/>
      <c r="AH369" s="615"/>
      <c r="AI369" s="615"/>
      <c r="AJ369" s="615"/>
      <c r="AK369" s="615"/>
      <c r="AL369" s="635"/>
      <c r="AM369" s="636"/>
      <c r="AN369" s="615"/>
      <c r="AO369" s="615"/>
      <c r="AP369" s="615"/>
      <c r="AQ369" s="615"/>
      <c r="AR369" s="615"/>
      <c r="AS369" s="615"/>
      <c r="AT369" s="615"/>
      <c r="AU369" s="615"/>
      <c r="AV369" s="615"/>
      <c r="AW369" s="615"/>
      <c r="AX369" s="635"/>
      <c r="AY369" s="636"/>
      <c r="AZ369" s="615"/>
      <c r="BA369" s="615"/>
      <c r="BB369" s="615"/>
      <c r="BC369" s="615"/>
      <c r="BD369" s="615"/>
      <c r="BE369" s="615"/>
      <c r="BF369" s="615"/>
      <c r="BG369" s="615"/>
      <c r="BH369" s="615"/>
      <c r="BI369" s="615"/>
      <c r="BJ369" s="635"/>
      <c r="BK369" s="636"/>
      <c r="BL369" s="615"/>
      <c r="BM369" s="615"/>
      <c r="BN369" s="615"/>
      <c r="BO369" s="615"/>
      <c r="BP369" s="615"/>
      <c r="BQ369" s="615"/>
      <c r="BR369" s="615"/>
      <c r="BS369" s="615"/>
      <c r="BT369" s="615"/>
      <c r="BU369" s="615"/>
      <c r="BV369" s="637"/>
      <c r="BW369" s="669"/>
      <c r="BX369" s="615"/>
      <c r="BY369" s="615"/>
      <c r="BZ369" s="615"/>
      <c r="CA369" s="615"/>
      <c r="CB369" s="615"/>
      <c r="CC369" s="615"/>
      <c r="CD369" s="615"/>
      <c r="CE369" s="615"/>
      <c r="CF369" s="615"/>
      <c r="CG369" s="615"/>
      <c r="CH369" s="635"/>
      <c r="CI369" s="636">
        <v>164.35067691280813</v>
      </c>
      <c r="CJ369" s="615"/>
      <c r="CK369" s="615"/>
      <c r="CL369" s="615"/>
      <c r="CM369" s="615"/>
      <c r="CN369" s="615"/>
      <c r="CO369" s="615"/>
      <c r="CP369" s="615"/>
      <c r="CQ369" s="615"/>
      <c r="CR369" s="615"/>
      <c r="CS369" s="615"/>
      <c r="CT369" s="635"/>
      <c r="CU369" s="636"/>
      <c r="CV369" s="615"/>
      <c r="CW369" s="615"/>
      <c r="CX369" s="615"/>
      <c r="CY369" s="615"/>
      <c r="CZ369" s="615"/>
      <c r="DA369" s="615"/>
      <c r="DB369" s="615"/>
      <c r="DC369" s="615"/>
      <c r="DD369" s="615"/>
      <c r="DE369" s="615"/>
      <c r="DF369" s="635"/>
      <c r="DG369" s="636"/>
      <c r="DH369" s="615"/>
      <c r="DI369" s="615"/>
      <c r="DJ369" s="615"/>
      <c r="DK369" s="615"/>
      <c r="DL369" s="615"/>
      <c r="DM369" s="615"/>
      <c r="DN369" s="615"/>
      <c r="DO369" s="615"/>
      <c r="DP369" s="615"/>
      <c r="DQ369" s="615"/>
      <c r="DR369" s="635"/>
      <c r="DS369" s="636"/>
      <c r="DT369" s="615"/>
      <c r="DU369" s="615"/>
      <c r="DV369" s="615"/>
      <c r="DW369" s="615"/>
      <c r="DX369" s="615"/>
      <c r="DY369" s="615"/>
      <c r="DZ369" s="615"/>
      <c r="EA369" s="615"/>
      <c r="EB369" s="615"/>
      <c r="EC369" s="615"/>
      <c r="ED369" s="637"/>
      <c r="EE369" s="692"/>
    </row>
    <row r="370" spans="1:135" x14ac:dyDescent="0.25">
      <c r="A370" s="640" t="s">
        <v>11</v>
      </c>
      <c r="B370" s="367" t="s">
        <v>2130</v>
      </c>
      <c r="C370" s="367" t="s">
        <v>2017</v>
      </c>
      <c r="D370" s="367" t="s">
        <v>2131</v>
      </c>
      <c r="E370" s="503" t="s">
        <v>2127</v>
      </c>
      <c r="F370" s="570">
        <v>44777</v>
      </c>
      <c r="G370" s="85" t="s">
        <v>58</v>
      </c>
      <c r="H370" s="85" t="s">
        <v>54</v>
      </c>
      <c r="I370" s="85" t="s">
        <v>649</v>
      </c>
      <c r="J370" s="675">
        <v>44777</v>
      </c>
      <c r="K370" s="85">
        <v>2</v>
      </c>
      <c r="L370" s="85" t="s">
        <v>40</v>
      </c>
      <c r="M370" s="85" t="s">
        <v>3</v>
      </c>
      <c r="N370" s="668" t="s">
        <v>44</v>
      </c>
      <c r="O370" s="669"/>
      <c r="P370" s="615"/>
      <c r="Q370" s="615"/>
      <c r="R370" s="615"/>
      <c r="S370" s="615"/>
      <c r="T370" s="615"/>
      <c r="U370" s="615"/>
      <c r="V370" s="615"/>
      <c r="W370" s="615"/>
      <c r="X370" s="615"/>
      <c r="Y370" s="615"/>
      <c r="Z370" s="635"/>
      <c r="AA370" s="636"/>
      <c r="AB370" s="615">
        <v>-14</v>
      </c>
      <c r="AC370" s="615"/>
      <c r="AD370" s="615"/>
      <c r="AE370" s="615"/>
      <c r="AF370" s="615"/>
      <c r="AG370" s="615"/>
      <c r="AH370" s="615"/>
      <c r="AI370" s="615"/>
      <c r="AJ370" s="615"/>
      <c r="AK370" s="615"/>
      <c r="AL370" s="635"/>
      <c r="AM370" s="636"/>
      <c r="AN370" s="615"/>
      <c r="AO370" s="615"/>
      <c r="AP370" s="615"/>
      <c r="AQ370" s="615"/>
      <c r="AR370" s="615"/>
      <c r="AS370" s="615"/>
      <c r="AT370" s="615"/>
      <c r="AU370" s="615"/>
      <c r="AV370" s="615"/>
      <c r="AW370" s="615"/>
      <c r="AX370" s="635"/>
      <c r="AY370" s="636"/>
      <c r="AZ370" s="615"/>
      <c r="BA370" s="615"/>
      <c r="BB370" s="615"/>
      <c r="BC370" s="615"/>
      <c r="BD370" s="615"/>
      <c r="BE370" s="615"/>
      <c r="BF370" s="615"/>
      <c r="BG370" s="615"/>
      <c r="BH370" s="615"/>
      <c r="BI370" s="615"/>
      <c r="BJ370" s="635"/>
      <c r="BK370" s="636"/>
      <c r="BL370" s="615"/>
      <c r="BM370" s="615"/>
      <c r="BN370" s="615"/>
      <c r="BO370" s="615"/>
      <c r="BP370" s="615"/>
      <c r="BQ370" s="615"/>
      <c r="BR370" s="615"/>
      <c r="BS370" s="615"/>
      <c r="BT370" s="615"/>
      <c r="BU370" s="615"/>
      <c r="BV370" s="637"/>
      <c r="BW370" s="669"/>
      <c r="BX370" s="615"/>
      <c r="BY370" s="615"/>
      <c r="BZ370" s="615"/>
      <c r="CA370" s="615"/>
      <c r="CB370" s="615"/>
      <c r="CC370" s="615"/>
      <c r="CD370" s="615"/>
      <c r="CE370" s="615"/>
      <c r="CF370" s="615"/>
      <c r="CG370" s="615"/>
      <c r="CH370" s="635"/>
      <c r="CI370" s="636"/>
      <c r="CJ370" s="615">
        <v>164.35067691280813</v>
      </c>
      <c r="CK370" s="615"/>
      <c r="CL370" s="615"/>
      <c r="CM370" s="615"/>
      <c r="CN370" s="615"/>
      <c r="CO370" s="615"/>
      <c r="CP370" s="615"/>
      <c r="CQ370" s="615"/>
      <c r="CR370" s="615"/>
      <c r="CS370" s="615"/>
      <c r="CT370" s="635"/>
      <c r="CU370" s="636"/>
      <c r="CV370" s="615"/>
      <c r="CW370" s="615"/>
      <c r="CX370" s="615"/>
      <c r="CY370" s="615"/>
      <c r="CZ370" s="615"/>
      <c r="DA370" s="615"/>
      <c r="DB370" s="615"/>
      <c r="DC370" s="615"/>
      <c r="DD370" s="615"/>
      <c r="DE370" s="615"/>
      <c r="DF370" s="635"/>
      <c r="DG370" s="636"/>
      <c r="DH370" s="615"/>
      <c r="DI370" s="615"/>
      <c r="DJ370" s="615"/>
      <c r="DK370" s="615"/>
      <c r="DL370" s="615"/>
      <c r="DM370" s="615"/>
      <c r="DN370" s="615"/>
      <c r="DO370" s="615"/>
      <c r="DP370" s="615"/>
      <c r="DQ370" s="615"/>
      <c r="DR370" s="635"/>
      <c r="DS370" s="636"/>
      <c r="DT370" s="615"/>
      <c r="DU370" s="615"/>
      <c r="DV370" s="615"/>
      <c r="DW370" s="615"/>
      <c r="DX370" s="615"/>
      <c r="DY370" s="615"/>
      <c r="DZ370" s="615"/>
      <c r="EA370" s="615"/>
      <c r="EB370" s="615"/>
      <c r="EC370" s="615"/>
      <c r="ED370" s="637"/>
      <c r="EE370" s="692"/>
    </row>
    <row r="371" spans="1:135" x14ac:dyDescent="0.25">
      <c r="A371" s="640" t="s">
        <v>11</v>
      </c>
      <c r="B371" s="367" t="s">
        <v>2133</v>
      </c>
      <c r="C371" s="367" t="s">
        <v>2105</v>
      </c>
      <c r="D371" s="367" t="s">
        <v>2134</v>
      </c>
      <c r="E371" s="503" t="s">
        <v>2132</v>
      </c>
      <c r="F371" s="570">
        <v>44783</v>
      </c>
      <c r="G371" s="85" t="s">
        <v>58</v>
      </c>
      <c r="H371" s="85" t="s">
        <v>54</v>
      </c>
      <c r="I371" s="85" t="s">
        <v>358</v>
      </c>
      <c r="J371" s="675" t="s">
        <v>358</v>
      </c>
      <c r="K371" s="85" t="s">
        <v>358</v>
      </c>
      <c r="L371" s="85" t="s">
        <v>40</v>
      </c>
      <c r="M371" s="85" t="s">
        <v>3</v>
      </c>
      <c r="N371" s="668" t="s">
        <v>44</v>
      </c>
      <c r="O371" s="669"/>
      <c r="P371" s="615"/>
      <c r="Q371" s="615"/>
      <c r="R371" s="615"/>
      <c r="S371" s="615"/>
      <c r="T371" s="615"/>
      <c r="U371" s="615"/>
      <c r="V371" s="615"/>
      <c r="W371" s="615">
        <v>-4</v>
      </c>
      <c r="X371" s="615"/>
      <c r="Y371" s="615"/>
      <c r="Z371" s="635"/>
      <c r="AA371" s="636"/>
      <c r="AB371" s="615"/>
      <c r="AC371" s="615"/>
      <c r="AD371" s="615"/>
      <c r="AE371" s="615"/>
      <c r="AF371" s="615"/>
      <c r="AG371" s="615"/>
      <c r="AH371" s="615"/>
      <c r="AI371" s="615"/>
      <c r="AJ371" s="615"/>
      <c r="AK371" s="615"/>
      <c r="AL371" s="635"/>
      <c r="AM371" s="636"/>
      <c r="AN371" s="615"/>
      <c r="AO371" s="615"/>
      <c r="AP371" s="615"/>
      <c r="AQ371" s="615"/>
      <c r="AR371" s="615"/>
      <c r="AS371" s="615"/>
      <c r="AT371" s="615"/>
      <c r="AU371" s="615"/>
      <c r="AV371" s="615"/>
      <c r="AW371" s="615"/>
      <c r="AX371" s="635"/>
      <c r="AY371" s="636"/>
      <c r="AZ371" s="615"/>
      <c r="BA371" s="615"/>
      <c r="BB371" s="615"/>
      <c r="BC371" s="615"/>
      <c r="BD371" s="615"/>
      <c r="BE371" s="615"/>
      <c r="BF371" s="615"/>
      <c r="BG371" s="615"/>
      <c r="BH371" s="615"/>
      <c r="BI371" s="615"/>
      <c r="BJ371" s="635"/>
      <c r="BK371" s="636"/>
      <c r="BL371" s="615"/>
      <c r="BM371" s="615"/>
      <c r="BN371" s="615"/>
      <c r="BO371" s="615"/>
      <c r="BP371" s="615"/>
      <c r="BQ371" s="615"/>
      <c r="BR371" s="615"/>
      <c r="BS371" s="615"/>
      <c r="BT371" s="615"/>
      <c r="BU371" s="615"/>
      <c r="BV371" s="637"/>
      <c r="BW371" s="669"/>
      <c r="BX371" s="615"/>
      <c r="BY371" s="615"/>
      <c r="BZ371" s="615"/>
      <c r="CA371" s="615"/>
      <c r="CB371" s="615"/>
      <c r="CC371" s="615"/>
      <c r="CD371" s="615"/>
      <c r="CE371" s="615">
        <v>80</v>
      </c>
      <c r="CF371" s="615"/>
      <c r="CG371" s="615"/>
      <c r="CH371" s="635"/>
      <c r="CI371" s="636"/>
      <c r="CJ371" s="615"/>
      <c r="CK371" s="615"/>
      <c r="CL371" s="615"/>
      <c r="CM371" s="615"/>
      <c r="CN371" s="615"/>
      <c r="CO371" s="615"/>
      <c r="CP371" s="615"/>
      <c r="CQ371" s="615"/>
      <c r="CR371" s="615"/>
      <c r="CS371" s="615"/>
      <c r="CT371" s="635"/>
      <c r="CU371" s="636"/>
      <c r="CV371" s="615"/>
      <c r="CW371" s="615"/>
      <c r="CX371" s="615"/>
      <c r="CY371" s="615"/>
      <c r="CZ371" s="615"/>
      <c r="DA371" s="615"/>
      <c r="DB371" s="615"/>
      <c r="DC371" s="615"/>
      <c r="DD371" s="615"/>
      <c r="DE371" s="615"/>
      <c r="DF371" s="635"/>
      <c r="DG371" s="636"/>
      <c r="DH371" s="615"/>
      <c r="DI371" s="615"/>
      <c r="DJ371" s="615"/>
      <c r="DK371" s="615"/>
      <c r="DL371" s="615"/>
      <c r="DM371" s="615"/>
      <c r="DN371" s="615"/>
      <c r="DO371" s="615"/>
      <c r="DP371" s="615"/>
      <c r="DQ371" s="615"/>
      <c r="DR371" s="635"/>
      <c r="DS371" s="636"/>
      <c r="DT371" s="615"/>
      <c r="DU371" s="615"/>
      <c r="DV371" s="615"/>
      <c r="DW371" s="615"/>
      <c r="DX371" s="615"/>
      <c r="DY371" s="615"/>
      <c r="DZ371" s="615"/>
      <c r="EA371" s="615"/>
      <c r="EB371" s="615"/>
      <c r="EC371" s="615"/>
      <c r="ED371" s="637"/>
      <c r="EE371" s="692"/>
    </row>
    <row r="372" spans="1:135" x14ac:dyDescent="0.25">
      <c r="A372" s="640" t="s">
        <v>11</v>
      </c>
      <c r="B372" s="367" t="s">
        <v>2138</v>
      </c>
      <c r="C372" s="367" t="s">
        <v>2137</v>
      </c>
      <c r="D372" s="367" t="s">
        <v>2139</v>
      </c>
      <c r="E372" s="503" t="s">
        <v>2135</v>
      </c>
      <c r="F372" s="570">
        <v>44784</v>
      </c>
      <c r="G372" s="85" t="s">
        <v>58</v>
      </c>
      <c r="H372" s="85" t="s">
        <v>54</v>
      </c>
      <c r="I372" s="85" t="s">
        <v>358</v>
      </c>
      <c r="J372" s="675" t="s">
        <v>358</v>
      </c>
      <c r="K372" s="85" t="s">
        <v>358</v>
      </c>
      <c r="L372" s="85" t="s">
        <v>40</v>
      </c>
      <c r="M372" s="85" t="s">
        <v>3</v>
      </c>
      <c r="N372" s="668" t="s">
        <v>44</v>
      </c>
      <c r="O372" s="669"/>
      <c r="P372" s="615"/>
      <c r="Q372" s="615"/>
      <c r="R372" s="615"/>
      <c r="S372" s="615"/>
      <c r="T372" s="615"/>
      <c r="U372" s="615"/>
      <c r="V372" s="615"/>
      <c r="W372" s="615">
        <v>-2</v>
      </c>
      <c r="X372" s="615"/>
      <c r="Y372" s="615"/>
      <c r="Z372" s="635"/>
      <c r="AA372" s="636"/>
      <c r="AB372" s="615"/>
      <c r="AC372" s="615"/>
      <c r="AD372" s="615"/>
      <c r="AE372" s="615"/>
      <c r="AF372" s="615"/>
      <c r="AG372" s="615"/>
      <c r="AH372" s="615"/>
      <c r="AI372" s="615"/>
      <c r="AJ372" s="615"/>
      <c r="AK372" s="615"/>
      <c r="AL372" s="635"/>
      <c r="AM372" s="636"/>
      <c r="AN372" s="615"/>
      <c r="AO372" s="615"/>
      <c r="AP372" s="615"/>
      <c r="AQ372" s="615"/>
      <c r="AR372" s="615"/>
      <c r="AS372" s="615"/>
      <c r="AT372" s="615"/>
      <c r="AU372" s="615"/>
      <c r="AV372" s="615"/>
      <c r="AW372" s="615"/>
      <c r="AX372" s="635"/>
      <c r="AY372" s="636"/>
      <c r="AZ372" s="615"/>
      <c r="BA372" s="615"/>
      <c r="BB372" s="615"/>
      <c r="BC372" s="615"/>
      <c r="BD372" s="615"/>
      <c r="BE372" s="615"/>
      <c r="BF372" s="615"/>
      <c r="BG372" s="615"/>
      <c r="BH372" s="615"/>
      <c r="BI372" s="615"/>
      <c r="BJ372" s="635"/>
      <c r="BK372" s="636"/>
      <c r="BL372" s="615"/>
      <c r="BM372" s="615"/>
      <c r="BN372" s="615"/>
      <c r="BO372" s="615"/>
      <c r="BP372" s="615"/>
      <c r="BQ372" s="615"/>
      <c r="BR372" s="615"/>
      <c r="BS372" s="615"/>
      <c r="BT372" s="615"/>
      <c r="BU372" s="615"/>
      <c r="BV372" s="637"/>
      <c r="BW372" s="669"/>
      <c r="BX372" s="615"/>
      <c r="BY372" s="615"/>
      <c r="BZ372" s="615"/>
      <c r="CA372" s="615"/>
      <c r="CB372" s="615"/>
      <c r="CC372" s="615"/>
      <c r="CD372" s="615"/>
      <c r="CE372" s="615">
        <v>79</v>
      </c>
      <c r="CF372" s="615"/>
      <c r="CG372" s="615"/>
      <c r="CH372" s="635"/>
      <c r="CI372" s="636"/>
      <c r="CJ372" s="615"/>
      <c r="CK372" s="615"/>
      <c r="CL372" s="615"/>
      <c r="CM372" s="615"/>
      <c r="CN372" s="615"/>
      <c r="CO372" s="615"/>
      <c r="CP372" s="615"/>
      <c r="CQ372" s="615"/>
      <c r="CR372" s="615"/>
      <c r="CS372" s="615"/>
      <c r="CT372" s="635"/>
      <c r="CU372" s="636"/>
      <c r="CV372" s="615"/>
      <c r="CW372" s="615"/>
      <c r="CX372" s="615"/>
      <c r="CY372" s="615"/>
      <c r="CZ372" s="615"/>
      <c r="DA372" s="615"/>
      <c r="DB372" s="615"/>
      <c r="DC372" s="615"/>
      <c r="DD372" s="615"/>
      <c r="DE372" s="615"/>
      <c r="DF372" s="635"/>
      <c r="DG372" s="636"/>
      <c r="DH372" s="615"/>
      <c r="DI372" s="615"/>
      <c r="DJ372" s="615"/>
      <c r="DK372" s="615"/>
      <c r="DL372" s="615"/>
      <c r="DM372" s="615"/>
      <c r="DN372" s="615"/>
      <c r="DO372" s="615"/>
      <c r="DP372" s="615"/>
      <c r="DQ372" s="615"/>
      <c r="DR372" s="635"/>
      <c r="DS372" s="636"/>
      <c r="DT372" s="615"/>
      <c r="DU372" s="615"/>
      <c r="DV372" s="615"/>
      <c r="DW372" s="615"/>
      <c r="DX372" s="615"/>
      <c r="DY372" s="615"/>
      <c r="DZ372" s="615"/>
      <c r="EA372" s="615"/>
      <c r="EB372" s="615"/>
      <c r="EC372" s="615"/>
      <c r="ED372" s="637"/>
      <c r="EE372" s="692"/>
    </row>
    <row r="373" spans="1:135" x14ac:dyDescent="0.25">
      <c r="A373" s="640" t="s">
        <v>11</v>
      </c>
      <c r="B373" s="367" t="s">
        <v>2140</v>
      </c>
      <c r="C373" s="367" t="s">
        <v>2137</v>
      </c>
      <c r="D373" s="367" t="s">
        <v>2141</v>
      </c>
      <c r="E373" s="503" t="s">
        <v>2136</v>
      </c>
      <c r="F373" s="570">
        <v>44784</v>
      </c>
      <c r="G373" s="85" t="s">
        <v>58</v>
      </c>
      <c r="H373" s="85" t="s">
        <v>54</v>
      </c>
      <c r="I373" s="85" t="s">
        <v>358</v>
      </c>
      <c r="J373" s="675" t="s">
        <v>358</v>
      </c>
      <c r="K373" s="85" t="s">
        <v>358</v>
      </c>
      <c r="L373" s="85" t="s">
        <v>40</v>
      </c>
      <c r="M373" s="85" t="s">
        <v>3</v>
      </c>
      <c r="N373" s="668" t="s">
        <v>44</v>
      </c>
      <c r="O373" s="669"/>
      <c r="P373" s="615"/>
      <c r="Q373" s="615"/>
      <c r="R373" s="615"/>
      <c r="S373" s="615"/>
      <c r="T373" s="615"/>
      <c r="U373" s="615"/>
      <c r="V373" s="615"/>
      <c r="W373" s="615">
        <v>-2</v>
      </c>
      <c r="X373" s="615"/>
      <c r="Y373" s="615"/>
      <c r="Z373" s="635"/>
      <c r="AA373" s="636"/>
      <c r="AB373" s="615"/>
      <c r="AC373" s="615"/>
      <c r="AD373" s="615"/>
      <c r="AE373" s="615"/>
      <c r="AF373" s="615"/>
      <c r="AG373" s="615"/>
      <c r="AH373" s="615"/>
      <c r="AI373" s="615"/>
      <c r="AJ373" s="615"/>
      <c r="AK373" s="615"/>
      <c r="AL373" s="635"/>
      <c r="AM373" s="636"/>
      <c r="AN373" s="615"/>
      <c r="AO373" s="615"/>
      <c r="AP373" s="615"/>
      <c r="AQ373" s="615"/>
      <c r="AR373" s="615"/>
      <c r="AS373" s="615"/>
      <c r="AT373" s="615"/>
      <c r="AU373" s="615"/>
      <c r="AV373" s="615"/>
      <c r="AW373" s="615"/>
      <c r="AX373" s="635"/>
      <c r="AY373" s="636"/>
      <c r="AZ373" s="615"/>
      <c r="BA373" s="615"/>
      <c r="BB373" s="615"/>
      <c r="BC373" s="615"/>
      <c r="BD373" s="615"/>
      <c r="BE373" s="615"/>
      <c r="BF373" s="615"/>
      <c r="BG373" s="615"/>
      <c r="BH373" s="615"/>
      <c r="BI373" s="615"/>
      <c r="BJ373" s="635"/>
      <c r="BK373" s="636"/>
      <c r="BL373" s="615"/>
      <c r="BM373" s="615"/>
      <c r="BN373" s="615"/>
      <c r="BO373" s="615"/>
      <c r="BP373" s="615"/>
      <c r="BQ373" s="615"/>
      <c r="BR373" s="615"/>
      <c r="BS373" s="615"/>
      <c r="BT373" s="615"/>
      <c r="BU373" s="615"/>
      <c r="BV373" s="637"/>
      <c r="BW373" s="669"/>
      <c r="BX373" s="615"/>
      <c r="BY373" s="615"/>
      <c r="BZ373" s="615"/>
      <c r="CA373" s="615"/>
      <c r="CB373" s="615"/>
      <c r="CC373" s="615"/>
      <c r="CD373" s="615"/>
      <c r="CE373" s="615">
        <v>79.5</v>
      </c>
      <c r="CF373" s="615"/>
      <c r="CG373" s="615"/>
      <c r="CH373" s="635"/>
      <c r="CI373" s="636"/>
      <c r="CJ373" s="615"/>
      <c r="CK373" s="615"/>
      <c r="CL373" s="615"/>
      <c r="CM373" s="615"/>
      <c r="CN373" s="615"/>
      <c r="CO373" s="615"/>
      <c r="CP373" s="615"/>
      <c r="CQ373" s="615"/>
      <c r="CR373" s="615"/>
      <c r="CS373" s="615"/>
      <c r="CT373" s="635"/>
      <c r="CU373" s="636"/>
      <c r="CV373" s="615"/>
      <c r="CW373" s="615"/>
      <c r="CX373" s="615"/>
      <c r="CY373" s="615"/>
      <c r="CZ373" s="615"/>
      <c r="DA373" s="615"/>
      <c r="DB373" s="615"/>
      <c r="DC373" s="615"/>
      <c r="DD373" s="615"/>
      <c r="DE373" s="615"/>
      <c r="DF373" s="635"/>
      <c r="DG373" s="636"/>
      <c r="DH373" s="615"/>
      <c r="DI373" s="615"/>
      <c r="DJ373" s="615"/>
      <c r="DK373" s="615"/>
      <c r="DL373" s="615"/>
      <c r="DM373" s="615"/>
      <c r="DN373" s="615"/>
      <c r="DO373" s="615"/>
      <c r="DP373" s="615"/>
      <c r="DQ373" s="615"/>
      <c r="DR373" s="635"/>
      <c r="DS373" s="636"/>
      <c r="DT373" s="615"/>
      <c r="DU373" s="615"/>
      <c r="DV373" s="615"/>
      <c r="DW373" s="615"/>
      <c r="DX373" s="615"/>
      <c r="DY373" s="615"/>
      <c r="DZ373" s="615"/>
      <c r="EA373" s="615"/>
      <c r="EB373" s="615"/>
      <c r="EC373" s="615"/>
      <c r="ED373" s="637"/>
      <c r="EE373" s="692"/>
    </row>
    <row r="374" spans="1:135" x14ac:dyDescent="0.25">
      <c r="A374" s="640" t="s">
        <v>11</v>
      </c>
      <c r="B374" s="367" t="s">
        <v>2149</v>
      </c>
      <c r="C374" s="367" t="s">
        <v>981</v>
      </c>
      <c r="D374" s="367" t="s">
        <v>2150</v>
      </c>
      <c r="E374" s="503" t="s">
        <v>2142</v>
      </c>
      <c r="F374" s="570">
        <v>44788</v>
      </c>
      <c r="G374" s="85" t="s">
        <v>58</v>
      </c>
      <c r="H374" s="85" t="s">
        <v>54</v>
      </c>
      <c r="I374" s="85" t="s">
        <v>358</v>
      </c>
      <c r="J374" s="675" t="s">
        <v>358</v>
      </c>
      <c r="K374" s="85" t="s">
        <v>358</v>
      </c>
      <c r="L374" s="85" t="s">
        <v>40</v>
      </c>
      <c r="M374" s="85" t="s">
        <v>3</v>
      </c>
      <c r="N374" s="668" t="s">
        <v>44</v>
      </c>
      <c r="O374" s="669"/>
      <c r="P374" s="615"/>
      <c r="Q374" s="615"/>
      <c r="R374" s="615"/>
      <c r="S374" s="615"/>
      <c r="T374" s="615"/>
      <c r="U374" s="615"/>
      <c r="V374" s="615">
        <v>-3</v>
      </c>
      <c r="W374" s="615"/>
      <c r="X374" s="615"/>
      <c r="Y374" s="615"/>
      <c r="Z374" s="635"/>
      <c r="AA374" s="636"/>
      <c r="AB374" s="615"/>
      <c r="AC374" s="615"/>
      <c r="AD374" s="615"/>
      <c r="AE374" s="615"/>
      <c r="AF374" s="615"/>
      <c r="AG374" s="615"/>
      <c r="AH374" s="615"/>
      <c r="AI374" s="615"/>
      <c r="AJ374" s="615"/>
      <c r="AK374" s="615"/>
      <c r="AL374" s="635"/>
      <c r="AM374" s="636"/>
      <c r="AN374" s="615"/>
      <c r="AO374" s="615"/>
      <c r="AP374" s="615"/>
      <c r="AQ374" s="615"/>
      <c r="AR374" s="615"/>
      <c r="AS374" s="615"/>
      <c r="AT374" s="615"/>
      <c r="AU374" s="615"/>
      <c r="AV374" s="615"/>
      <c r="AW374" s="615"/>
      <c r="AX374" s="635"/>
      <c r="AY374" s="636"/>
      <c r="AZ374" s="615"/>
      <c r="BA374" s="615"/>
      <c r="BB374" s="615"/>
      <c r="BC374" s="615"/>
      <c r="BD374" s="615"/>
      <c r="BE374" s="615"/>
      <c r="BF374" s="615"/>
      <c r="BG374" s="615"/>
      <c r="BH374" s="615"/>
      <c r="BI374" s="615"/>
      <c r="BJ374" s="635"/>
      <c r="BK374" s="636"/>
      <c r="BL374" s="615"/>
      <c r="BM374" s="615"/>
      <c r="BN374" s="615"/>
      <c r="BO374" s="615"/>
      <c r="BP374" s="615"/>
      <c r="BQ374" s="615"/>
      <c r="BR374" s="615"/>
      <c r="BS374" s="615"/>
      <c r="BT374" s="615"/>
      <c r="BU374" s="615"/>
      <c r="BV374" s="637"/>
      <c r="BW374" s="669"/>
      <c r="BX374" s="615"/>
      <c r="BY374" s="615"/>
      <c r="BZ374" s="615"/>
      <c r="CA374" s="615"/>
      <c r="CB374" s="615"/>
      <c r="CC374" s="615"/>
      <c r="CD374" s="615">
        <v>81.599999999999994</v>
      </c>
      <c r="CE374" s="615"/>
      <c r="CF374" s="615"/>
      <c r="CG374" s="615"/>
      <c r="CH374" s="635"/>
      <c r="CI374" s="636"/>
      <c r="CJ374" s="615"/>
      <c r="CK374" s="615"/>
      <c r="CL374" s="615"/>
      <c r="CM374" s="615"/>
      <c r="CN374" s="615"/>
      <c r="CO374" s="615"/>
      <c r="CP374" s="615"/>
      <c r="CQ374" s="615"/>
      <c r="CR374" s="615"/>
      <c r="CS374" s="615"/>
      <c r="CT374" s="635"/>
      <c r="CU374" s="636"/>
      <c r="CV374" s="615"/>
      <c r="CW374" s="615"/>
      <c r="CX374" s="615"/>
      <c r="CY374" s="615"/>
      <c r="CZ374" s="615"/>
      <c r="DA374" s="615"/>
      <c r="DB374" s="615"/>
      <c r="DC374" s="615"/>
      <c r="DD374" s="615"/>
      <c r="DE374" s="615"/>
      <c r="DF374" s="635"/>
      <c r="DG374" s="636"/>
      <c r="DH374" s="615"/>
      <c r="DI374" s="615"/>
      <c r="DJ374" s="615"/>
      <c r="DK374" s="615"/>
      <c r="DL374" s="615"/>
      <c r="DM374" s="615"/>
      <c r="DN374" s="615"/>
      <c r="DO374" s="615"/>
      <c r="DP374" s="615"/>
      <c r="DQ374" s="615"/>
      <c r="DR374" s="635"/>
      <c r="DS374" s="636"/>
      <c r="DT374" s="615"/>
      <c r="DU374" s="615"/>
      <c r="DV374" s="615"/>
      <c r="DW374" s="615"/>
      <c r="DX374" s="615"/>
      <c r="DY374" s="615"/>
      <c r="DZ374" s="615"/>
      <c r="EA374" s="615"/>
      <c r="EB374" s="615"/>
      <c r="EC374" s="615"/>
      <c r="ED374" s="637"/>
      <c r="EE374" s="692"/>
    </row>
    <row r="375" spans="1:135" x14ac:dyDescent="0.25">
      <c r="A375" s="640" t="s">
        <v>11</v>
      </c>
      <c r="B375" s="367" t="s">
        <v>2151</v>
      </c>
      <c r="C375" s="367" t="s">
        <v>981</v>
      </c>
      <c r="D375" s="367" t="s">
        <v>2152</v>
      </c>
      <c r="E375" s="503" t="s">
        <v>2143</v>
      </c>
      <c r="F375" s="570">
        <v>44788</v>
      </c>
      <c r="G375" s="85" t="s">
        <v>58</v>
      </c>
      <c r="H375" s="85" t="s">
        <v>54</v>
      </c>
      <c r="I375" s="85" t="s">
        <v>358</v>
      </c>
      <c r="J375" s="675" t="s">
        <v>358</v>
      </c>
      <c r="K375" s="85" t="s">
        <v>358</v>
      </c>
      <c r="L375" s="85" t="s">
        <v>40</v>
      </c>
      <c r="M375" s="85" t="s">
        <v>3</v>
      </c>
      <c r="N375" s="668" t="s">
        <v>44</v>
      </c>
      <c r="O375" s="669"/>
      <c r="P375" s="615"/>
      <c r="Q375" s="615"/>
      <c r="R375" s="615"/>
      <c r="S375" s="615"/>
      <c r="T375" s="615"/>
      <c r="U375" s="615"/>
      <c r="V375" s="615">
        <v>-2</v>
      </c>
      <c r="W375" s="615"/>
      <c r="X375" s="615"/>
      <c r="Y375" s="615"/>
      <c r="Z375" s="635"/>
      <c r="AA375" s="636"/>
      <c r="AB375" s="615"/>
      <c r="AC375" s="615"/>
      <c r="AD375" s="615"/>
      <c r="AE375" s="615"/>
      <c r="AF375" s="615"/>
      <c r="AG375" s="615"/>
      <c r="AH375" s="615"/>
      <c r="AI375" s="615"/>
      <c r="AJ375" s="615"/>
      <c r="AK375" s="615"/>
      <c r="AL375" s="635"/>
      <c r="AM375" s="636"/>
      <c r="AN375" s="615"/>
      <c r="AO375" s="615"/>
      <c r="AP375" s="615"/>
      <c r="AQ375" s="615"/>
      <c r="AR375" s="615"/>
      <c r="AS375" s="615"/>
      <c r="AT375" s="615"/>
      <c r="AU375" s="615"/>
      <c r="AV375" s="615"/>
      <c r="AW375" s="615"/>
      <c r="AX375" s="635"/>
      <c r="AY375" s="636"/>
      <c r="AZ375" s="615"/>
      <c r="BA375" s="615"/>
      <c r="BB375" s="615"/>
      <c r="BC375" s="615"/>
      <c r="BD375" s="615"/>
      <c r="BE375" s="615"/>
      <c r="BF375" s="615"/>
      <c r="BG375" s="615"/>
      <c r="BH375" s="615"/>
      <c r="BI375" s="615"/>
      <c r="BJ375" s="635"/>
      <c r="BK375" s="636"/>
      <c r="BL375" s="615"/>
      <c r="BM375" s="615"/>
      <c r="BN375" s="615"/>
      <c r="BO375" s="615"/>
      <c r="BP375" s="615"/>
      <c r="BQ375" s="615"/>
      <c r="BR375" s="615"/>
      <c r="BS375" s="615"/>
      <c r="BT375" s="615"/>
      <c r="BU375" s="615"/>
      <c r="BV375" s="637"/>
      <c r="BW375" s="669"/>
      <c r="BX375" s="615"/>
      <c r="BY375" s="615"/>
      <c r="BZ375" s="615"/>
      <c r="CA375" s="615"/>
      <c r="CB375" s="615"/>
      <c r="CC375" s="615"/>
      <c r="CD375" s="615">
        <v>82</v>
      </c>
      <c r="CE375" s="615"/>
      <c r="CF375" s="615"/>
      <c r="CG375" s="615"/>
      <c r="CH375" s="635"/>
      <c r="CI375" s="636"/>
      <c r="CJ375" s="615"/>
      <c r="CK375" s="615"/>
      <c r="CL375" s="615"/>
      <c r="CM375" s="615"/>
      <c r="CN375" s="615"/>
      <c r="CO375" s="615"/>
      <c r="CP375" s="615"/>
      <c r="CQ375" s="615"/>
      <c r="CR375" s="615"/>
      <c r="CS375" s="615"/>
      <c r="CT375" s="635"/>
      <c r="CU375" s="636"/>
      <c r="CV375" s="615"/>
      <c r="CW375" s="615"/>
      <c r="CX375" s="615"/>
      <c r="CY375" s="615"/>
      <c r="CZ375" s="615"/>
      <c r="DA375" s="615"/>
      <c r="DB375" s="615"/>
      <c r="DC375" s="615"/>
      <c r="DD375" s="615"/>
      <c r="DE375" s="615"/>
      <c r="DF375" s="635"/>
      <c r="DG375" s="636"/>
      <c r="DH375" s="615"/>
      <c r="DI375" s="615"/>
      <c r="DJ375" s="615"/>
      <c r="DK375" s="615"/>
      <c r="DL375" s="615"/>
      <c r="DM375" s="615"/>
      <c r="DN375" s="615"/>
      <c r="DO375" s="615"/>
      <c r="DP375" s="615"/>
      <c r="DQ375" s="615"/>
      <c r="DR375" s="635"/>
      <c r="DS375" s="636"/>
      <c r="DT375" s="615"/>
      <c r="DU375" s="615"/>
      <c r="DV375" s="615"/>
      <c r="DW375" s="615"/>
      <c r="DX375" s="615"/>
      <c r="DY375" s="615"/>
      <c r="DZ375" s="615"/>
      <c r="EA375" s="615"/>
      <c r="EB375" s="615"/>
      <c r="EC375" s="615"/>
      <c r="ED375" s="637"/>
      <c r="EE375" s="692"/>
    </row>
    <row r="376" spans="1:135" x14ac:dyDescent="0.25">
      <c r="A376" s="640" t="s">
        <v>11</v>
      </c>
      <c r="B376" s="367" t="s">
        <v>2153</v>
      </c>
      <c r="C376" s="367" t="s">
        <v>2147</v>
      </c>
      <c r="D376" s="367" t="s">
        <v>2154</v>
      </c>
      <c r="E376" s="503" t="s">
        <v>2144</v>
      </c>
      <c r="F376" s="570">
        <v>44788</v>
      </c>
      <c r="G376" s="85" t="s">
        <v>58</v>
      </c>
      <c r="H376" s="85" t="s">
        <v>54</v>
      </c>
      <c r="I376" s="85" t="s">
        <v>358</v>
      </c>
      <c r="J376" s="675" t="s">
        <v>358</v>
      </c>
      <c r="K376" s="85" t="s">
        <v>358</v>
      </c>
      <c r="L376" s="85" t="s">
        <v>40</v>
      </c>
      <c r="M376" s="85" t="s">
        <v>3</v>
      </c>
      <c r="N376" s="668" t="s">
        <v>44</v>
      </c>
      <c r="O376" s="669"/>
      <c r="P376" s="615"/>
      <c r="Q376" s="615"/>
      <c r="R376" s="615"/>
      <c r="S376" s="615"/>
      <c r="T376" s="615"/>
      <c r="U376" s="615"/>
      <c r="V376" s="615">
        <v>-2</v>
      </c>
      <c r="W376" s="615"/>
      <c r="X376" s="615"/>
      <c r="Y376" s="615"/>
      <c r="Z376" s="635"/>
      <c r="AA376" s="636"/>
      <c r="AB376" s="615"/>
      <c r="AC376" s="615"/>
      <c r="AD376" s="615"/>
      <c r="AE376" s="615"/>
      <c r="AF376" s="615"/>
      <c r="AG376" s="615"/>
      <c r="AH376" s="615"/>
      <c r="AI376" s="615"/>
      <c r="AJ376" s="615"/>
      <c r="AK376" s="615"/>
      <c r="AL376" s="635"/>
      <c r="AM376" s="636"/>
      <c r="AN376" s="615"/>
      <c r="AO376" s="615"/>
      <c r="AP376" s="615"/>
      <c r="AQ376" s="615"/>
      <c r="AR376" s="615"/>
      <c r="AS376" s="615"/>
      <c r="AT376" s="615"/>
      <c r="AU376" s="615"/>
      <c r="AV376" s="615"/>
      <c r="AW376" s="615"/>
      <c r="AX376" s="635"/>
      <c r="AY376" s="636"/>
      <c r="AZ376" s="615"/>
      <c r="BA376" s="615"/>
      <c r="BB376" s="615"/>
      <c r="BC376" s="615"/>
      <c r="BD376" s="615"/>
      <c r="BE376" s="615"/>
      <c r="BF376" s="615"/>
      <c r="BG376" s="615"/>
      <c r="BH376" s="615"/>
      <c r="BI376" s="615"/>
      <c r="BJ376" s="635"/>
      <c r="BK376" s="636"/>
      <c r="BL376" s="615"/>
      <c r="BM376" s="615"/>
      <c r="BN376" s="615"/>
      <c r="BO376" s="615"/>
      <c r="BP376" s="615"/>
      <c r="BQ376" s="615"/>
      <c r="BR376" s="615"/>
      <c r="BS376" s="615"/>
      <c r="BT376" s="615"/>
      <c r="BU376" s="615"/>
      <c r="BV376" s="637"/>
      <c r="BW376" s="669"/>
      <c r="BX376" s="615"/>
      <c r="BY376" s="615"/>
      <c r="BZ376" s="615"/>
      <c r="CA376" s="615"/>
      <c r="CB376" s="615"/>
      <c r="CC376" s="615"/>
      <c r="CD376" s="615">
        <v>82</v>
      </c>
      <c r="CE376" s="615"/>
      <c r="CF376" s="615"/>
      <c r="CG376" s="615"/>
      <c r="CH376" s="635"/>
      <c r="CI376" s="636"/>
      <c r="CJ376" s="615"/>
      <c r="CK376" s="615"/>
      <c r="CL376" s="615"/>
      <c r="CM376" s="615"/>
      <c r="CN376" s="615"/>
      <c r="CO376" s="615"/>
      <c r="CP376" s="615"/>
      <c r="CQ376" s="615"/>
      <c r="CR376" s="615"/>
      <c r="CS376" s="615"/>
      <c r="CT376" s="635"/>
      <c r="CU376" s="636"/>
      <c r="CV376" s="615"/>
      <c r="CW376" s="615"/>
      <c r="CX376" s="615"/>
      <c r="CY376" s="615"/>
      <c r="CZ376" s="615"/>
      <c r="DA376" s="615"/>
      <c r="DB376" s="615"/>
      <c r="DC376" s="615"/>
      <c r="DD376" s="615"/>
      <c r="DE376" s="615"/>
      <c r="DF376" s="635"/>
      <c r="DG376" s="636"/>
      <c r="DH376" s="615"/>
      <c r="DI376" s="615"/>
      <c r="DJ376" s="615"/>
      <c r="DK376" s="615"/>
      <c r="DL376" s="615"/>
      <c r="DM376" s="615"/>
      <c r="DN376" s="615"/>
      <c r="DO376" s="615"/>
      <c r="DP376" s="615"/>
      <c r="DQ376" s="615"/>
      <c r="DR376" s="635"/>
      <c r="DS376" s="636"/>
      <c r="DT376" s="615"/>
      <c r="DU376" s="615"/>
      <c r="DV376" s="615"/>
      <c r="DW376" s="615"/>
      <c r="DX376" s="615"/>
      <c r="DY376" s="615"/>
      <c r="DZ376" s="615"/>
      <c r="EA376" s="615"/>
      <c r="EB376" s="615"/>
      <c r="EC376" s="615"/>
      <c r="ED376" s="637"/>
      <c r="EE376" s="692"/>
    </row>
    <row r="377" spans="1:135" x14ac:dyDescent="0.25">
      <c r="A377" s="640" t="s">
        <v>11</v>
      </c>
      <c r="B377" s="367" t="s">
        <v>2155</v>
      </c>
      <c r="C377" s="367" t="s">
        <v>590</v>
      </c>
      <c r="D377" s="367" t="s">
        <v>2156</v>
      </c>
      <c r="E377" s="503" t="s">
        <v>2157</v>
      </c>
      <c r="F377" s="570">
        <v>44788</v>
      </c>
      <c r="G377" s="85" t="s">
        <v>59</v>
      </c>
      <c r="H377" s="85" t="s">
        <v>54</v>
      </c>
      <c r="I377" s="85" t="s">
        <v>649</v>
      </c>
      <c r="J377" s="675">
        <v>44789</v>
      </c>
      <c r="K377" s="85">
        <v>4</v>
      </c>
      <c r="L377" s="85" t="s">
        <v>40</v>
      </c>
      <c r="M377" s="85" t="s">
        <v>3</v>
      </c>
      <c r="N377" s="668" t="s">
        <v>44</v>
      </c>
      <c r="O377" s="669"/>
      <c r="P377" s="615"/>
      <c r="Q377" s="615"/>
      <c r="R377" s="615"/>
      <c r="S377" s="615"/>
      <c r="T377" s="615"/>
      <c r="U377" s="615"/>
      <c r="V377" s="615"/>
      <c r="W377" s="615"/>
      <c r="X377" s="615"/>
      <c r="Y377" s="615"/>
      <c r="Z377" s="635"/>
      <c r="AA377" s="636"/>
      <c r="AB377" s="615"/>
      <c r="AC377" s="615"/>
      <c r="AD377" s="615">
        <v>10</v>
      </c>
      <c r="AE377" s="615">
        <v>10</v>
      </c>
      <c r="AF377" s="615">
        <v>10</v>
      </c>
      <c r="AG377" s="615"/>
      <c r="AH377" s="615"/>
      <c r="AI377" s="615"/>
      <c r="AJ377" s="615"/>
      <c r="AK377" s="615"/>
      <c r="AL377" s="635"/>
      <c r="AM377" s="636"/>
      <c r="AN377" s="615"/>
      <c r="AO377" s="615"/>
      <c r="AP377" s="615"/>
      <c r="AQ377" s="615"/>
      <c r="AR377" s="615"/>
      <c r="AS377" s="615"/>
      <c r="AT377" s="615"/>
      <c r="AU377" s="615"/>
      <c r="AV377" s="615"/>
      <c r="AW377" s="615"/>
      <c r="AX377" s="635"/>
      <c r="AY377" s="636"/>
      <c r="AZ377" s="615"/>
      <c r="BA377" s="615"/>
      <c r="BB377" s="615"/>
      <c r="BC377" s="615"/>
      <c r="BD377" s="615"/>
      <c r="BE377" s="615"/>
      <c r="BF377" s="615"/>
      <c r="BG377" s="615"/>
      <c r="BH377" s="615"/>
      <c r="BI377" s="615"/>
      <c r="BJ377" s="635"/>
      <c r="BK377" s="636"/>
      <c r="BL377" s="615"/>
      <c r="BM377" s="615"/>
      <c r="BN377" s="615"/>
      <c r="BO377" s="615"/>
      <c r="BP377" s="615"/>
      <c r="BQ377" s="615"/>
      <c r="BR377" s="615"/>
      <c r="BS377" s="615"/>
      <c r="BT377" s="615"/>
      <c r="BU377" s="615"/>
      <c r="BV377" s="637"/>
      <c r="BW377" s="669"/>
      <c r="BX377" s="615"/>
      <c r="BY377" s="615"/>
      <c r="BZ377" s="615"/>
      <c r="CA377" s="615"/>
      <c r="CB377" s="615"/>
      <c r="CC377" s="615"/>
      <c r="CD377" s="615"/>
      <c r="CE377" s="615"/>
      <c r="CF377" s="615"/>
      <c r="CG377" s="615"/>
      <c r="CH377" s="635"/>
      <c r="CI377" s="636"/>
      <c r="CJ377" s="615"/>
      <c r="CK377" s="615"/>
      <c r="CL377" s="615">
        <v>126.03579517853383</v>
      </c>
      <c r="CM377" s="615">
        <v>126.03579517853383</v>
      </c>
      <c r="CN377" s="615">
        <v>126.03579517853383</v>
      </c>
      <c r="CO377" s="615"/>
      <c r="CP377" s="615"/>
      <c r="CQ377" s="615"/>
      <c r="CR377" s="615"/>
      <c r="CS377" s="615"/>
      <c r="CT377" s="635"/>
      <c r="CU377" s="636"/>
      <c r="CV377" s="615"/>
      <c r="CW377" s="615"/>
      <c r="CX377" s="615"/>
      <c r="CY377" s="615"/>
      <c r="CZ377" s="615"/>
      <c r="DA377" s="615"/>
      <c r="DB377" s="615"/>
      <c r="DC377" s="615"/>
      <c r="DD377" s="615"/>
      <c r="DE377" s="615"/>
      <c r="DF377" s="635"/>
      <c r="DG377" s="636"/>
      <c r="DH377" s="615"/>
      <c r="DI377" s="615"/>
      <c r="DJ377" s="615"/>
      <c r="DK377" s="615"/>
      <c r="DL377" s="615"/>
      <c r="DM377" s="615"/>
      <c r="DN377" s="615"/>
      <c r="DO377" s="615"/>
      <c r="DP377" s="615"/>
      <c r="DQ377" s="615"/>
      <c r="DR377" s="635"/>
      <c r="DS377" s="636"/>
      <c r="DT377" s="615"/>
      <c r="DU377" s="615"/>
      <c r="DV377" s="615"/>
      <c r="DW377" s="615"/>
      <c r="DX377" s="615"/>
      <c r="DY377" s="615"/>
      <c r="DZ377" s="615"/>
      <c r="EA377" s="615"/>
      <c r="EB377" s="615"/>
      <c r="EC377" s="615"/>
      <c r="ED377" s="637"/>
      <c r="EE377" s="692"/>
    </row>
    <row r="378" spans="1:135" x14ac:dyDescent="0.25">
      <c r="A378" s="640" t="s">
        <v>11</v>
      </c>
      <c r="B378" s="367" t="s">
        <v>2161</v>
      </c>
      <c r="C378" s="367" t="s">
        <v>981</v>
      </c>
      <c r="D378" s="367" t="s">
        <v>2162</v>
      </c>
      <c r="E378" s="503" t="s">
        <v>2158</v>
      </c>
      <c r="F378" s="570">
        <v>44789</v>
      </c>
      <c r="G378" s="85" t="s">
        <v>58</v>
      </c>
      <c r="H378" s="85" t="s">
        <v>54</v>
      </c>
      <c r="I378" s="85" t="s">
        <v>358</v>
      </c>
      <c r="J378" s="675" t="s">
        <v>358</v>
      </c>
      <c r="K378" s="85" t="s">
        <v>358</v>
      </c>
      <c r="L378" s="85" t="s">
        <v>40</v>
      </c>
      <c r="M378" s="85" t="s">
        <v>3</v>
      </c>
      <c r="N378" s="668" t="s">
        <v>44</v>
      </c>
      <c r="O378" s="669"/>
      <c r="P378" s="615"/>
      <c r="Q378" s="615"/>
      <c r="R378" s="615"/>
      <c r="S378" s="615"/>
      <c r="T378" s="615"/>
      <c r="U378" s="615"/>
      <c r="V378" s="615">
        <v>-6</v>
      </c>
      <c r="W378" s="615"/>
      <c r="X378" s="615"/>
      <c r="Y378" s="615"/>
      <c r="Z378" s="635"/>
      <c r="AA378" s="636"/>
      <c r="AB378" s="615"/>
      <c r="AC378" s="615"/>
      <c r="AD378" s="615"/>
      <c r="AE378" s="615"/>
      <c r="AF378" s="615"/>
      <c r="AG378" s="615"/>
      <c r="AH378" s="615"/>
      <c r="AI378" s="615"/>
      <c r="AJ378" s="615"/>
      <c r="AK378" s="615"/>
      <c r="AL378" s="635"/>
      <c r="AM378" s="636"/>
      <c r="AN378" s="615"/>
      <c r="AO378" s="615"/>
      <c r="AP378" s="615"/>
      <c r="AQ378" s="615"/>
      <c r="AR378" s="615"/>
      <c r="AS378" s="615"/>
      <c r="AT378" s="615"/>
      <c r="AU378" s="615"/>
      <c r="AV378" s="615"/>
      <c r="AW378" s="615"/>
      <c r="AX378" s="635"/>
      <c r="AY378" s="636"/>
      <c r="AZ378" s="615"/>
      <c r="BA378" s="615"/>
      <c r="BB378" s="615"/>
      <c r="BC378" s="615"/>
      <c r="BD378" s="615"/>
      <c r="BE378" s="615"/>
      <c r="BF378" s="615"/>
      <c r="BG378" s="615"/>
      <c r="BH378" s="615"/>
      <c r="BI378" s="615"/>
      <c r="BJ378" s="635"/>
      <c r="BK378" s="636"/>
      <c r="BL378" s="615"/>
      <c r="BM378" s="615"/>
      <c r="BN378" s="615"/>
      <c r="BO378" s="615"/>
      <c r="BP378" s="615"/>
      <c r="BQ378" s="615"/>
      <c r="BR378" s="615"/>
      <c r="BS378" s="615"/>
      <c r="BT378" s="615"/>
      <c r="BU378" s="615"/>
      <c r="BV378" s="637"/>
      <c r="BW378" s="669"/>
      <c r="BX378" s="615"/>
      <c r="BY378" s="615"/>
      <c r="BZ378" s="615"/>
      <c r="CA378" s="615"/>
      <c r="CB378" s="615"/>
      <c r="CC378" s="615"/>
      <c r="CD378" s="615">
        <v>80</v>
      </c>
      <c r="CE378" s="615"/>
      <c r="CF378" s="615"/>
      <c r="CG378" s="615"/>
      <c r="CH378" s="635"/>
      <c r="CI378" s="636"/>
      <c r="CJ378" s="615"/>
      <c r="CK378" s="615"/>
      <c r="CL378" s="615"/>
      <c r="CM378" s="615"/>
      <c r="CN378" s="615"/>
      <c r="CO378" s="615"/>
      <c r="CP378" s="615"/>
      <c r="CQ378" s="615"/>
      <c r="CR378" s="615"/>
      <c r="CS378" s="615"/>
      <c r="CT378" s="635"/>
      <c r="CU378" s="636"/>
      <c r="CV378" s="615"/>
      <c r="CW378" s="615"/>
      <c r="CX378" s="615"/>
      <c r="CY378" s="615"/>
      <c r="CZ378" s="615"/>
      <c r="DA378" s="615"/>
      <c r="DB378" s="615"/>
      <c r="DC378" s="615"/>
      <c r="DD378" s="615"/>
      <c r="DE378" s="615"/>
      <c r="DF378" s="635"/>
      <c r="DG378" s="636"/>
      <c r="DH378" s="615"/>
      <c r="DI378" s="615"/>
      <c r="DJ378" s="615"/>
      <c r="DK378" s="615"/>
      <c r="DL378" s="615"/>
      <c r="DM378" s="615"/>
      <c r="DN378" s="615"/>
      <c r="DO378" s="615"/>
      <c r="DP378" s="615"/>
      <c r="DQ378" s="615"/>
      <c r="DR378" s="635"/>
      <c r="DS378" s="636"/>
      <c r="DT378" s="615"/>
      <c r="DU378" s="615"/>
      <c r="DV378" s="615"/>
      <c r="DW378" s="615"/>
      <c r="DX378" s="615"/>
      <c r="DY378" s="615"/>
      <c r="DZ378" s="615"/>
      <c r="EA378" s="615"/>
      <c r="EB378" s="615"/>
      <c r="EC378" s="615"/>
      <c r="ED378" s="637"/>
      <c r="EE378" s="692"/>
    </row>
    <row r="379" spans="1:135" x14ac:dyDescent="0.25">
      <c r="A379" s="640" t="s">
        <v>11</v>
      </c>
      <c r="B379" s="367" t="s">
        <v>2163</v>
      </c>
      <c r="C379" s="367" t="s">
        <v>2147</v>
      </c>
      <c r="D379" s="367" t="s">
        <v>2164</v>
      </c>
      <c r="E379" s="503" t="s">
        <v>2159</v>
      </c>
      <c r="F379" s="570">
        <v>44789</v>
      </c>
      <c r="G379" s="85" t="s">
        <v>58</v>
      </c>
      <c r="H379" s="85" t="s">
        <v>54</v>
      </c>
      <c r="I379" s="85" t="s">
        <v>358</v>
      </c>
      <c r="J379" s="675" t="s">
        <v>358</v>
      </c>
      <c r="K379" s="85" t="s">
        <v>358</v>
      </c>
      <c r="L379" s="85" t="s">
        <v>40</v>
      </c>
      <c r="M379" s="85" t="s">
        <v>3</v>
      </c>
      <c r="N379" s="668" t="s">
        <v>44</v>
      </c>
      <c r="O379" s="669"/>
      <c r="P379" s="615"/>
      <c r="Q379" s="615"/>
      <c r="R379" s="615"/>
      <c r="S379" s="615"/>
      <c r="T379" s="615"/>
      <c r="U379" s="615"/>
      <c r="V379" s="615">
        <v>-2</v>
      </c>
      <c r="W379" s="615"/>
      <c r="X379" s="615"/>
      <c r="Y379" s="615"/>
      <c r="Z379" s="635"/>
      <c r="AA379" s="636"/>
      <c r="AB379" s="615"/>
      <c r="AC379" s="615"/>
      <c r="AD379" s="615"/>
      <c r="AE379" s="615"/>
      <c r="AF379" s="615"/>
      <c r="AG379" s="615"/>
      <c r="AH379" s="615"/>
      <c r="AI379" s="615"/>
      <c r="AJ379" s="615"/>
      <c r="AK379" s="615"/>
      <c r="AL379" s="635"/>
      <c r="AM379" s="636"/>
      <c r="AN379" s="615"/>
      <c r="AO379" s="615"/>
      <c r="AP379" s="615"/>
      <c r="AQ379" s="615"/>
      <c r="AR379" s="615"/>
      <c r="AS379" s="615"/>
      <c r="AT379" s="615"/>
      <c r="AU379" s="615"/>
      <c r="AV379" s="615"/>
      <c r="AW379" s="615"/>
      <c r="AX379" s="635"/>
      <c r="AY379" s="636"/>
      <c r="AZ379" s="615"/>
      <c r="BA379" s="615"/>
      <c r="BB379" s="615"/>
      <c r="BC379" s="615"/>
      <c r="BD379" s="615"/>
      <c r="BE379" s="615"/>
      <c r="BF379" s="615"/>
      <c r="BG379" s="615"/>
      <c r="BH379" s="615"/>
      <c r="BI379" s="615"/>
      <c r="BJ379" s="635"/>
      <c r="BK379" s="636"/>
      <c r="BL379" s="615"/>
      <c r="BM379" s="615"/>
      <c r="BN379" s="615"/>
      <c r="BO379" s="615"/>
      <c r="BP379" s="615"/>
      <c r="BQ379" s="615"/>
      <c r="BR379" s="615"/>
      <c r="BS379" s="615"/>
      <c r="BT379" s="615"/>
      <c r="BU379" s="615"/>
      <c r="BV379" s="637"/>
      <c r="BW379" s="669"/>
      <c r="BX379" s="615"/>
      <c r="BY379" s="615"/>
      <c r="BZ379" s="615"/>
      <c r="CA379" s="615"/>
      <c r="CB379" s="615"/>
      <c r="CC379" s="615"/>
      <c r="CD379" s="615">
        <v>79</v>
      </c>
      <c r="CE379" s="615"/>
      <c r="CF379" s="615"/>
      <c r="CG379" s="615"/>
      <c r="CH379" s="635"/>
      <c r="CI379" s="636"/>
      <c r="CJ379" s="615"/>
      <c r="CK379" s="615"/>
      <c r="CL379" s="615"/>
      <c r="CM379" s="615"/>
      <c r="CN379" s="615"/>
      <c r="CO379" s="615"/>
      <c r="CP379" s="615"/>
      <c r="CQ379" s="615"/>
      <c r="CR379" s="615"/>
      <c r="CS379" s="615"/>
      <c r="CT379" s="635"/>
      <c r="CU379" s="636"/>
      <c r="CV379" s="615"/>
      <c r="CW379" s="615"/>
      <c r="CX379" s="615"/>
      <c r="CY379" s="615"/>
      <c r="CZ379" s="615"/>
      <c r="DA379" s="615"/>
      <c r="DB379" s="615"/>
      <c r="DC379" s="615"/>
      <c r="DD379" s="615"/>
      <c r="DE379" s="615"/>
      <c r="DF379" s="635"/>
      <c r="DG379" s="636"/>
      <c r="DH379" s="615"/>
      <c r="DI379" s="615"/>
      <c r="DJ379" s="615"/>
      <c r="DK379" s="615"/>
      <c r="DL379" s="615"/>
      <c r="DM379" s="615"/>
      <c r="DN379" s="615"/>
      <c r="DO379" s="615"/>
      <c r="DP379" s="615"/>
      <c r="DQ379" s="615"/>
      <c r="DR379" s="635"/>
      <c r="DS379" s="636"/>
      <c r="DT379" s="615"/>
      <c r="DU379" s="615"/>
      <c r="DV379" s="615"/>
      <c r="DW379" s="615"/>
      <c r="DX379" s="615"/>
      <c r="DY379" s="615"/>
      <c r="DZ379" s="615"/>
      <c r="EA379" s="615"/>
      <c r="EB379" s="615"/>
      <c r="EC379" s="615"/>
      <c r="ED379" s="637"/>
      <c r="EE379" s="692"/>
    </row>
    <row r="380" spans="1:135" x14ac:dyDescent="0.25">
      <c r="A380" s="640" t="s">
        <v>11</v>
      </c>
      <c r="B380" s="367" t="s">
        <v>2177</v>
      </c>
      <c r="C380" s="367" t="s">
        <v>349</v>
      </c>
      <c r="D380" s="367" t="s">
        <v>2178</v>
      </c>
      <c r="E380" s="503" t="s">
        <v>2169</v>
      </c>
      <c r="F380" s="570">
        <v>44790</v>
      </c>
      <c r="G380" s="85" t="s">
        <v>59</v>
      </c>
      <c r="H380" s="85" t="s">
        <v>54</v>
      </c>
      <c r="I380" s="85" t="s">
        <v>649</v>
      </c>
      <c r="J380" s="675">
        <v>44790</v>
      </c>
      <c r="K380" s="85">
        <v>12</v>
      </c>
      <c r="L380" s="85" t="s">
        <v>40</v>
      </c>
      <c r="M380" s="85" t="s">
        <v>3</v>
      </c>
      <c r="N380" s="668" t="s">
        <v>44</v>
      </c>
      <c r="O380" s="669"/>
      <c r="P380" s="615"/>
      <c r="Q380" s="615"/>
      <c r="R380" s="615"/>
      <c r="S380" s="615"/>
      <c r="T380" s="615"/>
      <c r="U380" s="615"/>
      <c r="V380" s="615"/>
      <c r="W380" s="615"/>
      <c r="X380" s="615"/>
      <c r="Y380" s="615"/>
      <c r="Z380" s="635"/>
      <c r="AA380" s="636"/>
      <c r="AB380" s="615"/>
      <c r="AC380" s="615"/>
      <c r="AD380" s="615"/>
      <c r="AE380" s="615"/>
      <c r="AF380" s="615"/>
      <c r="AG380" s="615"/>
      <c r="AH380" s="615"/>
      <c r="AI380" s="615"/>
      <c r="AJ380" s="615"/>
      <c r="AK380" s="615"/>
      <c r="AL380" s="635">
        <v>12</v>
      </c>
      <c r="AM380" s="636"/>
      <c r="AN380" s="615"/>
      <c r="AO380" s="615"/>
      <c r="AP380" s="615"/>
      <c r="AQ380" s="615"/>
      <c r="AR380" s="615"/>
      <c r="AS380" s="615"/>
      <c r="AT380" s="615"/>
      <c r="AU380" s="615"/>
      <c r="AV380" s="615"/>
      <c r="AW380" s="615"/>
      <c r="AX380" s="635"/>
      <c r="AY380" s="636"/>
      <c r="AZ380" s="615"/>
      <c r="BA380" s="615"/>
      <c r="BB380" s="615"/>
      <c r="BC380" s="615"/>
      <c r="BD380" s="615"/>
      <c r="BE380" s="615"/>
      <c r="BF380" s="615"/>
      <c r="BG380" s="615"/>
      <c r="BH380" s="615"/>
      <c r="BI380" s="615"/>
      <c r="BJ380" s="635"/>
      <c r="BK380" s="636"/>
      <c r="BL380" s="615"/>
      <c r="BM380" s="615"/>
      <c r="BN380" s="615"/>
      <c r="BO380" s="615"/>
      <c r="BP380" s="615"/>
      <c r="BQ380" s="615"/>
      <c r="BR380" s="615"/>
      <c r="BS380" s="615"/>
      <c r="BT380" s="615"/>
      <c r="BU380" s="615"/>
      <c r="BV380" s="637"/>
      <c r="BW380" s="669"/>
      <c r="BX380" s="615"/>
      <c r="BY380" s="615"/>
      <c r="BZ380" s="615"/>
      <c r="CA380" s="615"/>
      <c r="CB380" s="615"/>
      <c r="CC380" s="615"/>
      <c r="CD380" s="615"/>
      <c r="CE380" s="615"/>
      <c r="CF380" s="615"/>
      <c r="CG380" s="615"/>
      <c r="CH380" s="635"/>
      <c r="CI380" s="636"/>
      <c r="CJ380" s="615"/>
      <c r="CK380" s="615"/>
      <c r="CL380" s="615"/>
      <c r="CM380" s="615"/>
      <c r="CN380" s="615"/>
      <c r="CO380" s="615"/>
      <c r="CP380" s="615"/>
      <c r="CQ380" s="615"/>
      <c r="CR380" s="615"/>
      <c r="CS380" s="615"/>
      <c r="CT380" s="635">
        <v>164.35067691280813</v>
      </c>
      <c r="CU380" s="636"/>
      <c r="CV380" s="615"/>
      <c r="CW380" s="615"/>
      <c r="CX380" s="615"/>
      <c r="CY380" s="615"/>
      <c r="CZ380" s="615"/>
      <c r="DA380" s="615"/>
      <c r="DB380" s="615"/>
      <c r="DC380" s="615"/>
      <c r="DD380" s="615"/>
      <c r="DE380" s="615"/>
      <c r="DF380" s="635"/>
      <c r="DG380" s="636"/>
      <c r="DH380" s="615"/>
      <c r="DI380" s="615"/>
      <c r="DJ380" s="615"/>
      <c r="DK380" s="615"/>
      <c r="DL380" s="615"/>
      <c r="DM380" s="615"/>
      <c r="DN380" s="615"/>
      <c r="DO380" s="615"/>
      <c r="DP380" s="615"/>
      <c r="DQ380" s="615"/>
      <c r="DR380" s="635"/>
      <c r="DS380" s="636"/>
      <c r="DT380" s="615"/>
      <c r="DU380" s="615"/>
      <c r="DV380" s="615"/>
      <c r="DW380" s="615"/>
      <c r="DX380" s="615"/>
      <c r="DY380" s="615"/>
      <c r="DZ380" s="615"/>
      <c r="EA380" s="615"/>
      <c r="EB380" s="615"/>
      <c r="EC380" s="615"/>
      <c r="ED380" s="637"/>
      <c r="EE380" s="692"/>
    </row>
    <row r="381" spans="1:135" x14ac:dyDescent="0.25">
      <c r="A381" s="640" t="s">
        <v>11</v>
      </c>
      <c r="B381" s="367" t="s">
        <v>2179</v>
      </c>
      <c r="C381" s="367" t="s">
        <v>349</v>
      </c>
      <c r="D381" s="367" t="s">
        <v>2180</v>
      </c>
      <c r="E381" s="503" t="s">
        <v>2170</v>
      </c>
      <c r="F381" s="570">
        <v>44790</v>
      </c>
      <c r="G381" s="85" t="s">
        <v>59</v>
      </c>
      <c r="H381" s="85" t="s">
        <v>54</v>
      </c>
      <c r="I381" s="85" t="s">
        <v>649</v>
      </c>
      <c r="J381" s="675">
        <v>44790</v>
      </c>
      <c r="K381" s="85">
        <v>1</v>
      </c>
      <c r="L381" s="85" t="s">
        <v>40</v>
      </c>
      <c r="M381" s="85" t="s">
        <v>3</v>
      </c>
      <c r="N381" s="668" t="s">
        <v>44</v>
      </c>
      <c r="O381" s="669"/>
      <c r="P381" s="615"/>
      <c r="Q381" s="615"/>
      <c r="R381" s="615"/>
      <c r="S381" s="615"/>
      <c r="T381" s="615"/>
      <c r="U381" s="615"/>
      <c r="V381" s="615"/>
      <c r="W381" s="615"/>
      <c r="X381" s="615"/>
      <c r="Y381" s="615"/>
      <c r="Z381" s="635"/>
      <c r="AA381" s="636">
        <v>16</v>
      </c>
      <c r="AB381" s="615">
        <v>16</v>
      </c>
      <c r="AC381" s="615">
        <v>16</v>
      </c>
      <c r="AD381" s="615"/>
      <c r="AE381" s="615"/>
      <c r="AF381" s="615"/>
      <c r="AG381" s="615"/>
      <c r="AH381" s="615"/>
      <c r="AI381" s="615"/>
      <c r="AJ381" s="615"/>
      <c r="AK381" s="615"/>
      <c r="AL381" s="635"/>
      <c r="AM381" s="636"/>
      <c r="AN381" s="615"/>
      <c r="AO381" s="615"/>
      <c r="AP381" s="615"/>
      <c r="AQ381" s="615"/>
      <c r="AR381" s="615"/>
      <c r="AS381" s="615"/>
      <c r="AT381" s="615"/>
      <c r="AU381" s="615"/>
      <c r="AV381" s="615"/>
      <c r="AW381" s="615"/>
      <c r="AX381" s="635"/>
      <c r="AY381" s="636"/>
      <c r="AZ381" s="615"/>
      <c r="BA381" s="615"/>
      <c r="BB381" s="615"/>
      <c r="BC381" s="615"/>
      <c r="BD381" s="615"/>
      <c r="BE381" s="615"/>
      <c r="BF381" s="615"/>
      <c r="BG381" s="615"/>
      <c r="BH381" s="615"/>
      <c r="BI381" s="615"/>
      <c r="BJ381" s="635"/>
      <c r="BK381" s="636"/>
      <c r="BL381" s="615"/>
      <c r="BM381" s="615"/>
      <c r="BN381" s="615"/>
      <c r="BO381" s="615"/>
      <c r="BP381" s="615"/>
      <c r="BQ381" s="615"/>
      <c r="BR381" s="615"/>
      <c r="BS381" s="615"/>
      <c r="BT381" s="615"/>
      <c r="BU381" s="615"/>
      <c r="BV381" s="637"/>
      <c r="BW381" s="669"/>
      <c r="BX381" s="615"/>
      <c r="BY381" s="615"/>
      <c r="BZ381" s="615"/>
      <c r="CA381" s="615"/>
      <c r="CB381" s="615"/>
      <c r="CC381" s="615"/>
      <c r="CD381" s="615"/>
      <c r="CE381" s="615"/>
      <c r="CF381" s="615"/>
      <c r="CG381" s="615"/>
      <c r="CH381" s="635"/>
      <c r="CI381" s="636">
        <v>148.2180951299558</v>
      </c>
      <c r="CJ381" s="615">
        <v>148.2180951299558</v>
      </c>
      <c r="CK381" s="615">
        <v>148.2180951299558</v>
      </c>
      <c r="CL381" s="615"/>
      <c r="CM381" s="615"/>
      <c r="CN381" s="615"/>
      <c r="CO381" s="615"/>
      <c r="CP381" s="615"/>
      <c r="CQ381" s="615"/>
      <c r="CR381" s="615"/>
      <c r="CS381" s="615"/>
      <c r="CT381" s="635"/>
      <c r="CU381" s="636"/>
      <c r="CV381" s="615"/>
      <c r="CW381" s="615"/>
      <c r="CX381" s="615"/>
      <c r="CY381" s="615"/>
      <c r="CZ381" s="615"/>
      <c r="DA381" s="615"/>
      <c r="DB381" s="615"/>
      <c r="DC381" s="615"/>
      <c r="DD381" s="615"/>
      <c r="DE381" s="615"/>
      <c r="DF381" s="635"/>
      <c r="DG381" s="636"/>
      <c r="DH381" s="615"/>
      <c r="DI381" s="615"/>
      <c r="DJ381" s="615"/>
      <c r="DK381" s="615"/>
      <c r="DL381" s="615"/>
      <c r="DM381" s="615"/>
      <c r="DN381" s="615"/>
      <c r="DO381" s="615"/>
      <c r="DP381" s="615"/>
      <c r="DQ381" s="615"/>
      <c r="DR381" s="635"/>
      <c r="DS381" s="636"/>
      <c r="DT381" s="615"/>
      <c r="DU381" s="615"/>
      <c r="DV381" s="615"/>
      <c r="DW381" s="615"/>
      <c r="DX381" s="615"/>
      <c r="DY381" s="615"/>
      <c r="DZ381" s="615"/>
      <c r="EA381" s="615"/>
      <c r="EB381" s="615"/>
      <c r="EC381" s="615"/>
      <c r="ED381" s="637"/>
      <c r="EE381" s="692"/>
    </row>
    <row r="382" spans="1:135" x14ac:dyDescent="0.25">
      <c r="A382" s="640" t="s">
        <v>11</v>
      </c>
      <c r="B382" s="367" t="s">
        <v>2181</v>
      </c>
      <c r="C382" s="367" t="s">
        <v>478</v>
      </c>
      <c r="D382" s="367" t="s">
        <v>2182</v>
      </c>
      <c r="E382" s="503" t="s">
        <v>2171</v>
      </c>
      <c r="F382" s="570">
        <v>44790</v>
      </c>
      <c r="G382" s="85" t="s">
        <v>59</v>
      </c>
      <c r="H382" s="85" t="s">
        <v>54</v>
      </c>
      <c r="I382" s="85" t="s">
        <v>649</v>
      </c>
      <c r="J382" s="675">
        <v>44790</v>
      </c>
      <c r="K382" s="85">
        <v>1</v>
      </c>
      <c r="L382" s="85" t="s">
        <v>40</v>
      </c>
      <c r="M382" s="85" t="s">
        <v>3</v>
      </c>
      <c r="N382" s="668" t="s">
        <v>44</v>
      </c>
      <c r="O382" s="669"/>
      <c r="P382" s="615"/>
      <c r="Q382" s="615"/>
      <c r="R382" s="615"/>
      <c r="S382" s="615"/>
      <c r="T382" s="615"/>
      <c r="U382" s="615"/>
      <c r="V382" s="615"/>
      <c r="W382" s="615"/>
      <c r="X382" s="615"/>
      <c r="Y382" s="615"/>
      <c r="Z382" s="635"/>
      <c r="AA382" s="636">
        <v>3</v>
      </c>
      <c r="AB382" s="615">
        <v>3</v>
      </c>
      <c r="AC382" s="615">
        <v>3</v>
      </c>
      <c r="AD382" s="615"/>
      <c r="AE382" s="615"/>
      <c r="AF382" s="615"/>
      <c r="AG382" s="615"/>
      <c r="AH382" s="615"/>
      <c r="AI382" s="615"/>
      <c r="AJ382" s="615"/>
      <c r="AK382" s="615"/>
      <c r="AL382" s="635"/>
      <c r="AM382" s="636"/>
      <c r="AN382" s="615"/>
      <c r="AO382" s="615"/>
      <c r="AP382" s="615"/>
      <c r="AQ382" s="615"/>
      <c r="AR382" s="615"/>
      <c r="AS382" s="615"/>
      <c r="AT382" s="615"/>
      <c r="AU382" s="615"/>
      <c r="AV382" s="615"/>
      <c r="AW382" s="615"/>
      <c r="AX382" s="635"/>
      <c r="AY382" s="636"/>
      <c r="AZ382" s="615"/>
      <c r="BA382" s="615"/>
      <c r="BB382" s="615"/>
      <c r="BC382" s="615"/>
      <c r="BD382" s="615"/>
      <c r="BE382" s="615"/>
      <c r="BF382" s="615"/>
      <c r="BG382" s="615"/>
      <c r="BH382" s="615"/>
      <c r="BI382" s="615"/>
      <c r="BJ382" s="635"/>
      <c r="BK382" s="636"/>
      <c r="BL382" s="615"/>
      <c r="BM382" s="615"/>
      <c r="BN382" s="615"/>
      <c r="BO382" s="615"/>
      <c r="BP382" s="615"/>
      <c r="BQ382" s="615"/>
      <c r="BR382" s="615"/>
      <c r="BS382" s="615"/>
      <c r="BT382" s="615"/>
      <c r="BU382" s="615"/>
      <c r="BV382" s="637"/>
      <c r="BW382" s="669"/>
      <c r="BX382" s="615"/>
      <c r="BY382" s="615"/>
      <c r="BZ382" s="615"/>
      <c r="CA382" s="615"/>
      <c r="CB382" s="615"/>
      <c r="CC382" s="615"/>
      <c r="CD382" s="615"/>
      <c r="CE382" s="615"/>
      <c r="CF382" s="615"/>
      <c r="CG382" s="615"/>
      <c r="CH382" s="635"/>
      <c r="CI382" s="636">
        <v>147.20980876852752</v>
      </c>
      <c r="CJ382" s="615">
        <v>147.20980876852752</v>
      </c>
      <c r="CK382" s="615">
        <v>147.20980876852752</v>
      </c>
      <c r="CL382" s="615"/>
      <c r="CM382" s="615"/>
      <c r="CN382" s="615"/>
      <c r="CO382" s="615"/>
      <c r="CP382" s="615"/>
      <c r="CQ382" s="615"/>
      <c r="CR382" s="615"/>
      <c r="CS382" s="615"/>
      <c r="CT382" s="635"/>
      <c r="CU382" s="636"/>
      <c r="CV382" s="615"/>
      <c r="CW382" s="615"/>
      <c r="CX382" s="615"/>
      <c r="CY382" s="615"/>
      <c r="CZ382" s="615"/>
      <c r="DA382" s="615"/>
      <c r="DB382" s="615"/>
      <c r="DC382" s="615"/>
      <c r="DD382" s="615"/>
      <c r="DE382" s="615"/>
      <c r="DF382" s="635"/>
      <c r="DG382" s="636"/>
      <c r="DH382" s="615"/>
      <c r="DI382" s="615"/>
      <c r="DJ382" s="615"/>
      <c r="DK382" s="615"/>
      <c r="DL382" s="615"/>
      <c r="DM382" s="615"/>
      <c r="DN382" s="615"/>
      <c r="DO382" s="615"/>
      <c r="DP382" s="615"/>
      <c r="DQ382" s="615"/>
      <c r="DR382" s="635"/>
      <c r="DS382" s="636"/>
      <c r="DT382" s="615"/>
      <c r="DU382" s="615"/>
      <c r="DV382" s="615"/>
      <c r="DW382" s="615"/>
      <c r="DX382" s="615"/>
      <c r="DY382" s="615"/>
      <c r="DZ382" s="615"/>
      <c r="EA382" s="615"/>
      <c r="EB382" s="615"/>
      <c r="EC382" s="615"/>
      <c r="ED382" s="637"/>
      <c r="EE382" s="692"/>
    </row>
    <row r="383" spans="1:135" x14ac:dyDescent="0.25">
      <c r="A383" s="640" t="s">
        <v>11</v>
      </c>
      <c r="B383" s="367" t="s">
        <v>2183</v>
      </c>
      <c r="C383" s="367" t="s">
        <v>2175</v>
      </c>
      <c r="D383" s="367" t="s">
        <v>2184</v>
      </c>
      <c r="E383" s="503" t="s">
        <v>2172</v>
      </c>
      <c r="F383" s="570">
        <v>44790</v>
      </c>
      <c r="G383" s="85" t="s">
        <v>59</v>
      </c>
      <c r="H383" s="85" t="s">
        <v>54</v>
      </c>
      <c r="I383" s="85" t="s">
        <v>649</v>
      </c>
      <c r="J383" s="675">
        <v>44790</v>
      </c>
      <c r="K383" s="85">
        <v>1</v>
      </c>
      <c r="L383" s="85" t="s">
        <v>40</v>
      </c>
      <c r="M383" s="85" t="s">
        <v>3</v>
      </c>
      <c r="N383" s="668" t="s">
        <v>44</v>
      </c>
      <c r="O383" s="669"/>
      <c r="P383" s="615"/>
      <c r="Q383" s="615"/>
      <c r="R383" s="615"/>
      <c r="S383" s="615"/>
      <c r="T383" s="615"/>
      <c r="U383" s="615"/>
      <c r="V383" s="615"/>
      <c r="W383" s="615"/>
      <c r="X383" s="615"/>
      <c r="Y383" s="615"/>
      <c r="Z383" s="635"/>
      <c r="AA383" s="636">
        <v>20</v>
      </c>
      <c r="AB383" s="615">
        <v>20</v>
      </c>
      <c r="AC383" s="615">
        <v>20</v>
      </c>
      <c r="AD383" s="615"/>
      <c r="AE383" s="615"/>
      <c r="AF383" s="615"/>
      <c r="AG383" s="615"/>
      <c r="AH383" s="615"/>
      <c r="AI383" s="615"/>
      <c r="AJ383" s="615"/>
      <c r="AK383" s="615"/>
      <c r="AL383" s="635"/>
      <c r="AM383" s="636"/>
      <c r="AN383" s="615"/>
      <c r="AO383" s="615"/>
      <c r="AP383" s="615"/>
      <c r="AQ383" s="615"/>
      <c r="AR383" s="615"/>
      <c r="AS383" s="615"/>
      <c r="AT383" s="615"/>
      <c r="AU383" s="615"/>
      <c r="AV383" s="615"/>
      <c r="AW383" s="615"/>
      <c r="AX383" s="635"/>
      <c r="AY383" s="636"/>
      <c r="AZ383" s="615"/>
      <c r="BA383" s="615"/>
      <c r="BB383" s="615"/>
      <c r="BC383" s="615"/>
      <c r="BD383" s="615"/>
      <c r="BE383" s="615"/>
      <c r="BF383" s="615"/>
      <c r="BG383" s="615"/>
      <c r="BH383" s="615"/>
      <c r="BI383" s="615"/>
      <c r="BJ383" s="635"/>
      <c r="BK383" s="636"/>
      <c r="BL383" s="615"/>
      <c r="BM383" s="615"/>
      <c r="BN383" s="615"/>
      <c r="BO383" s="615"/>
      <c r="BP383" s="615"/>
      <c r="BQ383" s="615"/>
      <c r="BR383" s="615"/>
      <c r="BS383" s="615"/>
      <c r="BT383" s="615"/>
      <c r="BU383" s="615"/>
      <c r="BV383" s="637"/>
      <c r="BW383" s="669"/>
      <c r="BX383" s="615"/>
      <c r="BY383" s="615"/>
      <c r="BZ383" s="615"/>
      <c r="CA383" s="615"/>
      <c r="CB383" s="615"/>
      <c r="CC383" s="615"/>
      <c r="CD383" s="615"/>
      <c r="CE383" s="615"/>
      <c r="CF383" s="615"/>
      <c r="CG383" s="615"/>
      <c r="CH383" s="635"/>
      <c r="CI383" s="636">
        <v>146.70566558781337</v>
      </c>
      <c r="CJ383" s="615">
        <v>146.70566558781337</v>
      </c>
      <c r="CK383" s="615">
        <v>146.70566558781337</v>
      </c>
      <c r="CL383" s="615"/>
      <c r="CM383" s="615"/>
      <c r="CN383" s="615"/>
      <c r="CO383" s="615"/>
      <c r="CP383" s="615"/>
      <c r="CQ383" s="615"/>
      <c r="CR383" s="615"/>
      <c r="CS383" s="615"/>
      <c r="CT383" s="635"/>
      <c r="CU383" s="636"/>
      <c r="CV383" s="615"/>
      <c r="CW383" s="615"/>
      <c r="CX383" s="615"/>
      <c r="CY383" s="615"/>
      <c r="CZ383" s="615"/>
      <c r="DA383" s="615"/>
      <c r="DB383" s="615"/>
      <c r="DC383" s="615"/>
      <c r="DD383" s="615"/>
      <c r="DE383" s="615"/>
      <c r="DF383" s="635"/>
      <c r="DG383" s="636"/>
      <c r="DH383" s="615"/>
      <c r="DI383" s="615"/>
      <c r="DJ383" s="615"/>
      <c r="DK383" s="615"/>
      <c r="DL383" s="615"/>
      <c r="DM383" s="615"/>
      <c r="DN383" s="615"/>
      <c r="DO383" s="615"/>
      <c r="DP383" s="615"/>
      <c r="DQ383" s="615"/>
      <c r="DR383" s="635"/>
      <c r="DS383" s="636"/>
      <c r="DT383" s="615"/>
      <c r="DU383" s="615"/>
      <c r="DV383" s="615"/>
      <c r="DW383" s="615"/>
      <c r="DX383" s="615"/>
      <c r="DY383" s="615"/>
      <c r="DZ383" s="615"/>
      <c r="EA383" s="615"/>
      <c r="EB383" s="615"/>
      <c r="EC383" s="615"/>
      <c r="ED383" s="637"/>
      <c r="EE383" s="692"/>
    </row>
    <row r="384" spans="1:135" x14ac:dyDescent="0.25">
      <c r="A384" s="640" t="s">
        <v>11</v>
      </c>
      <c r="B384" s="367" t="s">
        <v>2193</v>
      </c>
      <c r="C384" s="367" t="s">
        <v>2017</v>
      </c>
      <c r="D384" s="367" t="s">
        <v>2194</v>
      </c>
      <c r="E384" s="503" t="s">
        <v>2187</v>
      </c>
      <c r="F384" s="570">
        <v>44791</v>
      </c>
      <c r="G384" s="85" t="s">
        <v>58</v>
      </c>
      <c r="H384" s="85" t="s">
        <v>54</v>
      </c>
      <c r="I384" s="85" t="s">
        <v>358</v>
      </c>
      <c r="J384" s="675" t="s">
        <v>358</v>
      </c>
      <c r="K384" s="85" t="s">
        <v>358</v>
      </c>
      <c r="L384" s="85" t="s">
        <v>40</v>
      </c>
      <c r="M384" s="85" t="s">
        <v>3</v>
      </c>
      <c r="N384" s="668" t="s">
        <v>44</v>
      </c>
      <c r="O384" s="669"/>
      <c r="P384" s="615"/>
      <c r="Q384" s="615"/>
      <c r="R384" s="615"/>
      <c r="S384" s="615"/>
      <c r="T384" s="615"/>
      <c r="U384" s="615"/>
      <c r="V384" s="615">
        <v>-5</v>
      </c>
      <c r="W384" s="615"/>
      <c r="X384" s="615"/>
      <c r="Y384" s="615"/>
      <c r="Z384" s="635"/>
      <c r="AA384" s="636"/>
      <c r="AB384" s="615"/>
      <c r="AC384" s="615"/>
      <c r="AD384" s="615"/>
      <c r="AE384" s="615"/>
      <c r="AF384" s="615"/>
      <c r="AG384" s="615"/>
      <c r="AH384" s="615"/>
      <c r="AI384" s="615"/>
      <c r="AJ384" s="615"/>
      <c r="AK384" s="615"/>
      <c r="AL384" s="635"/>
      <c r="AM384" s="636"/>
      <c r="AN384" s="615"/>
      <c r="AO384" s="615"/>
      <c r="AP384" s="615"/>
      <c r="AQ384" s="615"/>
      <c r="AR384" s="615"/>
      <c r="AS384" s="615"/>
      <c r="AT384" s="615"/>
      <c r="AU384" s="615"/>
      <c r="AV384" s="615"/>
      <c r="AW384" s="615"/>
      <c r="AX384" s="635"/>
      <c r="AY384" s="636"/>
      <c r="AZ384" s="615"/>
      <c r="BA384" s="615"/>
      <c r="BB384" s="615"/>
      <c r="BC384" s="615"/>
      <c r="BD384" s="615"/>
      <c r="BE384" s="615"/>
      <c r="BF384" s="615"/>
      <c r="BG384" s="615"/>
      <c r="BH384" s="615"/>
      <c r="BI384" s="615"/>
      <c r="BJ384" s="635"/>
      <c r="BK384" s="636"/>
      <c r="BL384" s="615"/>
      <c r="BM384" s="615"/>
      <c r="BN384" s="615"/>
      <c r="BO384" s="615"/>
      <c r="BP384" s="615"/>
      <c r="BQ384" s="615"/>
      <c r="BR384" s="615"/>
      <c r="BS384" s="615"/>
      <c r="BT384" s="615"/>
      <c r="BU384" s="615"/>
      <c r="BV384" s="637"/>
      <c r="BW384" s="669"/>
      <c r="BX384" s="615"/>
      <c r="BY384" s="615"/>
      <c r="BZ384" s="615"/>
      <c r="CA384" s="615"/>
      <c r="CB384" s="615"/>
      <c r="CC384" s="615"/>
      <c r="CD384" s="615">
        <v>79</v>
      </c>
      <c r="CE384" s="615"/>
      <c r="CF384" s="615"/>
      <c r="CG384" s="615"/>
      <c r="CH384" s="635"/>
      <c r="CI384" s="636"/>
      <c r="CJ384" s="615"/>
      <c r="CK384" s="615"/>
      <c r="CL384" s="615"/>
      <c r="CM384" s="615"/>
      <c r="CN384" s="615"/>
      <c r="CO384" s="615"/>
      <c r="CP384" s="615"/>
      <c r="CQ384" s="615"/>
      <c r="CR384" s="615"/>
      <c r="CS384" s="615"/>
      <c r="CT384" s="635"/>
      <c r="CU384" s="636"/>
      <c r="CV384" s="615"/>
      <c r="CW384" s="615"/>
      <c r="CX384" s="615"/>
      <c r="CY384" s="615"/>
      <c r="CZ384" s="615"/>
      <c r="DA384" s="615"/>
      <c r="DB384" s="615"/>
      <c r="DC384" s="615"/>
      <c r="DD384" s="615"/>
      <c r="DE384" s="615"/>
      <c r="DF384" s="635"/>
      <c r="DG384" s="636"/>
      <c r="DH384" s="615"/>
      <c r="DI384" s="615"/>
      <c r="DJ384" s="615"/>
      <c r="DK384" s="615"/>
      <c r="DL384" s="615"/>
      <c r="DM384" s="615"/>
      <c r="DN384" s="615"/>
      <c r="DO384" s="615"/>
      <c r="DP384" s="615"/>
      <c r="DQ384" s="615"/>
      <c r="DR384" s="635"/>
      <c r="DS384" s="636"/>
      <c r="DT384" s="615"/>
      <c r="DU384" s="615"/>
      <c r="DV384" s="615"/>
      <c r="DW384" s="615"/>
      <c r="DX384" s="615"/>
      <c r="DY384" s="615"/>
      <c r="DZ384" s="615"/>
      <c r="EA384" s="615"/>
      <c r="EB384" s="615"/>
      <c r="EC384" s="615"/>
      <c r="ED384" s="637"/>
      <c r="EE384" s="692"/>
    </row>
    <row r="385" spans="1:135" x14ac:dyDescent="0.25">
      <c r="A385" s="640" t="s">
        <v>11</v>
      </c>
      <c r="B385" s="367" t="s">
        <v>2213</v>
      </c>
      <c r="C385" s="367" t="s">
        <v>590</v>
      </c>
      <c r="D385" s="367" t="s">
        <v>2214</v>
      </c>
      <c r="E385" s="503" t="s">
        <v>2203</v>
      </c>
      <c r="F385" s="570">
        <v>44795</v>
      </c>
      <c r="G385" s="85" t="s">
        <v>59</v>
      </c>
      <c r="H385" s="85" t="s">
        <v>54</v>
      </c>
      <c r="I385" s="85" t="s">
        <v>649</v>
      </c>
      <c r="J385" s="675">
        <v>44795</v>
      </c>
      <c r="K385" s="85">
        <v>4</v>
      </c>
      <c r="L385" s="85" t="s">
        <v>40</v>
      </c>
      <c r="M385" s="85" t="s">
        <v>3</v>
      </c>
      <c r="N385" s="668" t="s">
        <v>44</v>
      </c>
      <c r="O385" s="669"/>
      <c r="P385" s="615"/>
      <c r="Q385" s="615"/>
      <c r="R385" s="615"/>
      <c r="S385" s="615"/>
      <c r="T385" s="615"/>
      <c r="U385" s="615"/>
      <c r="V385" s="615"/>
      <c r="W385" s="615"/>
      <c r="X385" s="615"/>
      <c r="Y385" s="615"/>
      <c r="Z385" s="635"/>
      <c r="AA385" s="636"/>
      <c r="AB385" s="615"/>
      <c r="AC385" s="615"/>
      <c r="AD385" s="615">
        <v>5</v>
      </c>
      <c r="AE385" s="615">
        <v>5</v>
      </c>
      <c r="AF385" s="615">
        <v>5</v>
      </c>
      <c r="AG385" s="615"/>
      <c r="AH385" s="615"/>
      <c r="AI385" s="615"/>
      <c r="AJ385" s="615"/>
      <c r="AK385" s="615"/>
      <c r="AL385" s="635"/>
      <c r="AM385" s="636"/>
      <c r="AN385" s="615"/>
      <c r="AO385" s="615"/>
      <c r="AP385" s="615"/>
      <c r="AQ385" s="615"/>
      <c r="AR385" s="615"/>
      <c r="AS385" s="615"/>
      <c r="AT385" s="615"/>
      <c r="AU385" s="615"/>
      <c r="AV385" s="615"/>
      <c r="AW385" s="615"/>
      <c r="AX385" s="635"/>
      <c r="AY385" s="636"/>
      <c r="AZ385" s="615"/>
      <c r="BA385" s="615"/>
      <c r="BB385" s="615"/>
      <c r="BC385" s="615"/>
      <c r="BD385" s="615"/>
      <c r="BE385" s="615"/>
      <c r="BF385" s="615"/>
      <c r="BG385" s="615"/>
      <c r="BH385" s="615"/>
      <c r="BI385" s="615"/>
      <c r="BJ385" s="635"/>
      <c r="BK385" s="636"/>
      <c r="BL385" s="615"/>
      <c r="BM385" s="615"/>
      <c r="BN385" s="615"/>
      <c r="BO385" s="615"/>
      <c r="BP385" s="615"/>
      <c r="BQ385" s="615"/>
      <c r="BR385" s="615"/>
      <c r="BS385" s="615"/>
      <c r="BT385" s="615"/>
      <c r="BU385" s="615"/>
      <c r="BV385" s="637"/>
      <c r="BW385" s="669"/>
      <c r="BX385" s="615"/>
      <c r="BY385" s="615"/>
      <c r="BZ385" s="615"/>
      <c r="CA385" s="615"/>
      <c r="CB385" s="615"/>
      <c r="CC385" s="615"/>
      <c r="CD385" s="615"/>
      <c r="CE385" s="615"/>
      <c r="CF385" s="615"/>
      <c r="CG385" s="615"/>
      <c r="CH385" s="635"/>
      <c r="CI385" s="636"/>
      <c r="CJ385" s="615"/>
      <c r="CK385" s="615"/>
      <c r="CL385" s="615">
        <v>122.00264973282076</v>
      </c>
      <c r="CM385" s="615">
        <v>122.00264973282076</v>
      </c>
      <c r="CN385" s="615">
        <v>122.00264973282076</v>
      </c>
      <c r="CO385" s="615"/>
      <c r="CP385" s="615"/>
      <c r="CQ385" s="615"/>
      <c r="CR385" s="615"/>
      <c r="CS385" s="615"/>
      <c r="CT385" s="635"/>
      <c r="CU385" s="636"/>
      <c r="CV385" s="615"/>
      <c r="CW385" s="615"/>
      <c r="CX385" s="615"/>
      <c r="CY385" s="615"/>
      <c r="CZ385" s="615"/>
      <c r="DA385" s="615"/>
      <c r="DB385" s="615"/>
      <c r="DC385" s="615"/>
      <c r="DD385" s="615"/>
      <c r="DE385" s="615"/>
      <c r="DF385" s="635"/>
      <c r="DG385" s="636"/>
      <c r="DH385" s="615"/>
      <c r="DI385" s="615"/>
      <c r="DJ385" s="615"/>
      <c r="DK385" s="615"/>
      <c r="DL385" s="615"/>
      <c r="DM385" s="615"/>
      <c r="DN385" s="615"/>
      <c r="DO385" s="615"/>
      <c r="DP385" s="615"/>
      <c r="DQ385" s="615"/>
      <c r="DR385" s="635"/>
      <c r="DS385" s="636"/>
      <c r="DT385" s="615"/>
      <c r="DU385" s="615"/>
      <c r="DV385" s="615"/>
      <c r="DW385" s="615"/>
      <c r="DX385" s="615"/>
      <c r="DY385" s="615"/>
      <c r="DZ385" s="615"/>
      <c r="EA385" s="615"/>
      <c r="EB385" s="615"/>
      <c r="EC385" s="615"/>
      <c r="ED385" s="637"/>
      <c r="EE385" s="692"/>
    </row>
    <row r="386" spans="1:135" x14ac:dyDescent="0.25">
      <c r="A386" s="640" t="s">
        <v>11</v>
      </c>
      <c r="B386" s="367" t="s">
        <v>2215</v>
      </c>
      <c r="C386" s="367" t="s">
        <v>508</v>
      </c>
      <c r="D386" s="367" t="s">
        <v>2216</v>
      </c>
      <c r="E386" s="503" t="s">
        <v>2204</v>
      </c>
      <c r="F386" s="570">
        <v>44795</v>
      </c>
      <c r="G386" s="85" t="s">
        <v>59</v>
      </c>
      <c r="H386" s="85" t="s">
        <v>54</v>
      </c>
      <c r="I386" s="85" t="s">
        <v>649</v>
      </c>
      <c r="J386" s="675">
        <v>44795</v>
      </c>
      <c r="K386" s="85">
        <v>4</v>
      </c>
      <c r="L386" s="85" t="s">
        <v>40</v>
      </c>
      <c r="M386" s="85" t="s">
        <v>3</v>
      </c>
      <c r="N386" s="668" t="s">
        <v>44</v>
      </c>
      <c r="O386" s="669"/>
      <c r="P386" s="615"/>
      <c r="Q386" s="615"/>
      <c r="R386" s="615"/>
      <c r="S386" s="615"/>
      <c r="T386" s="615"/>
      <c r="U386" s="615"/>
      <c r="V386" s="615"/>
      <c r="W386" s="615"/>
      <c r="X386" s="615"/>
      <c r="Y386" s="615"/>
      <c r="Z386" s="635"/>
      <c r="AA386" s="636"/>
      <c r="AB386" s="615"/>
      <c r="AC386" s="615"/>
      <c r="AD386" s="615">
        <v>3</v>
      </c>
      <c r="AE386" s="615">
        <v>3</v>
      </c>
      <c r="AF386" s="615">
        <v>3</v>
      </c>
      <c r="AG386" s="615"/>
      <c r="AH386" s="615"/>
      <c r="AI386" s="615"/>
      <c r="AJ386" s="615"/>
      <c r="AK386" s="615"/>
      <c r="AL386" s="635"/>
      <c r="AM386" s="636"/>
      <c r="AN386" s="615"/>
      <c r="AO386" s="615"/>
      <c r="AP386" s="615"/>
      <c r="AQ386" s="615"/>
      <c r="AR386" s="615"/>
      <c r="AS386" s="615"/>
      <c r="AT386" s="615"/>
      <c r="AU386" s="615"/>
      <c r="AV386" s="615"/>
      <c r="AW386" s="615"/>
      <c r="AX386" s="635"/>
      <c r="AY386" s="636"/>
      <c r="AZ386" s="615"/>
      <c r="BA386" s="615"/>
      <c r="BB386" s="615"/>
      <c r="BC386" s="615"/>
      <c r="BD386" s="615"/>
      <c r="BE386" s="615"/>
      <c r="BF386" s="615"/>
      <c r="BG386" s="615"/>
      <c r="BH386" s="615"/>
      <c r="BI386" s="615"/>
      <c r="BJ386" s="635"/>
      <c r="BK386" s="636"/>
      <c r="BL386" s="615"/>
      <c r="BM386" s="615"/>
      <c r="BN386" s="615"/>
      <c r="BO386" s="615"/>
      <c r="BP386" s="615"/>
      <c r="BQ386" s="615"/>
      <c r="BR386" s="615"/>
      <c r="BS386" s="615"/>
      <c r="BT386" s="615"/>
      <c r="BU386" s="615"/>
      <c r="BV386" s="637"/>
      <c r="BW386" s="669"/>
      <c r="BX386" s="615"/>
      <c r="BY386" s="615"/>
      <c r="BZ386" s="615"/>
      <c r="CA386" s="615"/>
      <c r="CB386" s="615"/>
      <c r="CC386" s="615"/>
      <c r="CD386" s="615"/>
      <c r="CE386" s="615"/>
      <c r="CF386" s="615"/>
      <c r="CG386" s="615"/>
      <c r="CH386" s="635"/>
      <c r="CI386" s="636"/>
      <c r="CJ386" s="615"/>
      <c r="CK386" s="615"/>
      <c r="CL386" s="615">
        <v>120.99436337139248</v>
      </c>
      <c r="CM386" s="615">
        <v>120.99436337139248</v>
      </c>
      <c r="CN386" s="615">
        <v>120.99436337139248</v>
      </c>
      <c r="CO386" s="615"/>
      <c r="CP386" s="615"/>
      <c r="CQ386" s="615"/>
      <c r="CR386" s="615"/>
      <c r="CS386" s="615"/>
      <c r="CT386" s="635"/>
      <c r="CU386" s="636"/>
      <c r="CV386" s="615"/>
      <c r="CW386" s="615"/>
      <c r="CX386" s="615"/>
      <c r="CY386" s="615"/>
      <c r="CZ386" s="615"/>
      <c r="DA386" s="615"/>
      <c r="DB386" s="615"/>
      <c r="DC386" s="615"/>
      <c r="DD386" s="615"/>
      <c r="DE386" s="615"/>
      <c r="DF386" s="635"/>
      <c r="DG386" s="636"/>
      <c r="DH386" s="615"/>
      <c r="DI386" s="615"/>
      <c r="DJ386" s="615"/>
      <c r="DK386" s="615"/>
      <c r="DL386" s="615"/>
      <c r="DM386" s="615"/>
      <c r="DN386" s="615"/>
      <c r="DO386" s="615"/>
      <c r="DP386" s="615"/>
      <c r="DQ386" s="615"/>
      <c r="DR386" s="635"/>
      <c r="DS386" s="636"/>
      <c r="DT386" s="615"/>
      <c r="DU386" s="615"/>
      <c r="DV386" s="615"/>
      <c r="DW386" s="615"/>
      <c r="DX386" s="615"/>
      <c r="DY386" s="615"/>
      <c r="DZ386" s="615"/>
      <c r="EA386" s="615"/>
      <c r="EB386" s="615"/>
      <c r="EC386" s="615"/>
      <c r="ED386" s="637"/>
      <c r="EE386" s="692"/>
    </row>
    <row r="387" spans="1:135" x14ac:dyDescent="0.25">
      <c r="A387" s="640" t="s">
        <v>11</v>
      </c>
      <c r="B387" s="367" t="s">
        <v>2217</v>
      </c>
      <c r="C387" s="367" t="s">
        <v>1620</v>
      </c>
      <c r="D387" s="367" t="s">
        <v>2218</v>
      </c>
      <c r="E387" s="503" t="s">
        <v>2205</v>
      </c>
      <c r="F387" s="570">
        <v>44795</v>
      </c>
      <c r="G387" s="85" t="s">
        <v>59</v>
      </c>
      <c r="H387" s="85" t="s">
        <v>54</v>
      </c>
      <c r="I387" s="85" t="s">
        <v>649</v>
      </c>
      <c r="J387" s="675">
        <v>44795</v>
      </c>
      <c r="K387" s="85">
        <v>1</v>
      </c>
      <c r="L387" s="85" t="s">
        <v>40</v>
      </c>
      <c r="M387" s="85" t="s">
        <v>3</v>
      </c>
      <c r="N387" s="668" t="s">
        <v>44</v>
      </c>
      <c r="O387" s="669"/>
      <c r="P387" s="615"/>
      <c r="Q387" s="615"/>
      <c r="R387" s="615"/>
      <c r="S387" s="615"/>
      <c r="T387" s="615"/>
      <c r="U387" s="615"/>
      <c r="V387" s="615"/>
      <c r="W387" s="615"/>
      <c r="X387" s="615"/>
      <c r="Y387" s="615"/>
      <c r="Z387" s="635"/>
      <c r="AA387" s="636">
        <v>5</v>
      </c>
      <c r="AB387" s="615">
        <v>5</v>
      </c>
      <c r="AC387" s="615">
        <v>5</v>
      </c>
      <c r="AD387" s="615"/>
      <c r="AE387" s="615"/>
      <c r="AF387" s="615"/>
      <c r="AG387" s="615"/>
      <c r="AH387" s="615"/>
      <c r="AI387" s="615"/>
      <c r="AJ387" s="615"/>
      <c r="AK387" s="615"/>
      <c r="AL387" s="635"/>
      <c r="AM387" s="636"/>
      <c r="AN387" s="615"/>
      <c r="AO387" s="615"/>
      <c r="AP387" s="615"/>
      <c r="AQ387" s="615"/>
      <c r="AR387" s="615"/>
      <c r="AS387" s="615"/>
      <c r="AT387" s="615"/>
      <c r="AU387" s="615"/>
      <c r="AV387" s="615"/>
      <c r="AW387" s="615"/>
      <c r="AX387" s="635"/>
      <c r="AY387" s="636"/>
      <c r="AZ387" s="615"/>
      <c r="BA387" s="615"/>
      <c r="BB387" s="615"/>
      <c r="BC387" s="615"/>
      <c r="BD387" s="615"/>
      <c r="BE387" s="615"/>
      <c r="BF387" s="615"/>
      <c r="BG387" s="615"/>
      <c r="BH387" s="615"/>
      <c r="BI387" s="615"/>
      <c r="BJ387" s="635"/>
      <c r="BK387" s="636"/>
      <c r="BL387" s="615"/>
      <c r="BM387" s="615"/>
      <c r="BN387" s="615"/>
      <c r="BO387" s="615"/>
      <c r="BP387" s="615"/>
      <c r="BQ387" s="615"/>
      <c r="BR387" s="615"/>
      <c r="BS387" s="615"/>
      <c r="BT387" s="615"/>
      <c r="BU387" s="615"/>
      <c r="BV387" s="637"/>
      <c r="BW387" s="669"/>
      <c r="BX387" s="615"/>
      <c r="BY387" s="615"/>
      <c r="BZ387" s="615"/>
      <c r="CA387" s="615"/>
      <c r="CB387" s="615"/>
      <c r="CC387" s="615"/>
      <c r="CD387" s="615"/>
      <c r="CE387" s="615"/>
      <c r="CF387" s="615"/>
      <c r="CG387" s="615"/>
      <c r="CH387" s="635"/>
      <c r="CI387" s="636">
        <v>141.1600905999579</v>
      </c>
      <c r="CJ387" s="615">
        <v>141.1600905999579</v>
      </c>
      <c r="CK387" s="615">
        <v>141.1600905999579</v>
      </c>
      <c r="CL387" s="615"/>
      <c r="CM387" s="615"/>
      <c r="CN387" s="615"/>
      <c r="CO387" s="615"/>
      <c r="CP387" s="615"/>
      <c r="CQ387" s="615"/>
      <c r="CR387" s="615"/>
      <c r="CS387" s="615"/>
      <c r="CT387" s="635"/>
      <c r="CU387" s="636"/>
      <c r="CV387" s="615"/>
      <c r="CW387" s="615"/>
      <c r="CX387" s="615"/>
      <c r="CY387" s="615"/>
      <c r="CZ387" s="615"/>
      <c r="DA387" s="615"/>
      <c r="DB387" s="615"/>
      <c r="DC387" s="615"/>
      <c r="DD387" s="615"/>
      <c r="DE387" s="615"/>
      <c r="DF387" s="635"/>
      <c r="DG387" s="636"/>
      <c r="DH387" s="615"/>
      <c r="DI387" s="615"/>
      <c r="DJ387" s="615"/>
      <c r="DK387" s="615"/>
      <c r="DL387" s="615"/>
      <c r="DM387" s="615"/>
      <c r="DN387" s="615"/>
      <c r="DO387" s="615"/>
      <c r="DP387" s="615"/>
      <c r="DQ387" s="615"/>
      <c r="DR387" s="635"/>
      <c r="DS387" s="636"/>
      <c r="DT387" s="615"/>
      <c r="DU387" s="615"/>
      <c r="DV387" s="615"/>
      <c r="DW387" s="615"/>
      <c r="DX387" s="615"/>
      <c r="DY387" s="615"/>
      <c r="DZ387" s="615"/>
      <c r="EA387" s="615"/>
      <c r="EB387" s="615"/>
      <c r="EC387" s="615"/>
      <c r="ED387" s="637"/>
      <c r="EE387" s="692"/>
    </row>
    <row r="388" spans="1:135" x14ac:dyDescent="0.25">
      <c r="A388" s="640" t="s">
        <v>11</v>
      </c>
      <c r="B388" s="367" t="s">
        <v>2226</v>
      </c>
      <c r="C388" s="367" t="s">
        <v>981</v>
      </c>
      <c r="D388" s="367" t="s">
        <v>2227</v>
      </c>
      <c r="E388" s="503" t="s">
        <v>2222</v>
      </c>
      <c r="F388" s="570">
        <v>44798</v>
      </c>
      <c r="G388" s="85" t="s">
        <v>59</v>
      </c>
      <c r="H388" s="85" t="s">
        <v>54</v>
      </c>
      <c r="I388" s="85" t="s">
        <v>649</v>
      </c>
      <c r="J388" s="675">
        <v>44798</v>
      </c>
      <c r="K388" s="85">
        <v>4</v>
      </c>
      <c r="L388" s="85" t="s">
        <v>40</v>
      </c>
      <c r="M388" s="85" t="s">
        <v>3</v>
      </c>
      <c r="N388" s="668" t="s">
        <v>44</v>
      </c>
      <c r="O388" s="669"/>
      <c r="P388" s="615"/>
      <c r="Q388" s="615"/>
      <c r="R388" s="615"/>
      <c r="S388" s="615"/>
      <c r="T388" s="615"/>
      <c r="U388" s="615"/>
      <c r="V388" s="615"/>
      <c r="W388" s="615"/>
      <c r="X388" s="615"/>
      <c r="Y388" s="615"/>
      <c r="Z388" s="635"/>
      <c r="AA388" s="636"/>
      <c r="AB388" s="615"/>
      <c r="AC388" s="615"/>
      <c r="AD388" s="615">
        <v>12</v>
      </c>
      <c r="AE388" s="615">
        <v>12</v>
      </c>
      <c r="AF388" s="615">
        <v>12</v>
      </c>
      <c r="AG388" s="615"/>
      <c r="AH388" s="615"/>
      <c r="AI388" s="615"/>
      <c r="AJ388" s="615"/>
      <c r="AK388" s="615"/>
      <c r="AL388" s="635"/>
      <c r="AM388" s="636"/>
      <c r="AN388" s="615"/>
      <c r="AO388" s="615"/>
      <c r="AP388" s="615"/>
      <c r="AQ388" s="615"/>
      <c r="AR388" s="615"/>
      <c r="AS388" s="615"/>
      <c r="AT388" s="615"/>
      <c r="AU388" s="615"/>
      <c r="AV388" s="615"/>
      <c r="AW388" s="615"/>
      <c r="AX388" s="635"/>
      <c r="AY388" s="636"/>
      <c r="AZ388" s="615"/>
      <c r="BA388" s="615"/>
      <c r="BB388" s="615"/>
      <c r="BC388" s="615"/>
      <c r="BD388" s="615"/>
      <c r="BE388" s="615"/>
      <c r="BF388" s="615"/>
      <c r="BG388" s="615"/>
      <c r="BH388" s="615"/>
      <c r="BI388" s="615"/>
      <c r="BJ388" s="635"/>
      <c r="BK388" s="636"/>
      <c r="BL388" s="615"/>
      <c r="BM388" s="615"/>
      <c r="BN388" s="615"/>
      <c r="BO388" s="615"/>
      <c r="BP388" s="615"/>
      <c r="BQ388" s="615"/>
      <c r="BR388" s="615"/>
      <c r="BS388" s="615"/>
      <c r="BT388" s="615"/>
      <c r="BU388" s="615"/>
      <c r="BV388" s="637"/>
      <c r="BW388" s="669"/>
      <c r="BX388" s="615"/>
      <c r="BY388" s="615"/>
      <c r="BZ388" s="615"/>
      <c r="CA388" s="615"/>
      <c r="CB388" s="615"/>
      <c r="CC388" s="615"/>
      <c r="CD388" s="615"/>
      <c r="CE388" s="615"/>
      <c r="CF388" s="615"/>
      <c r="CG388" s="615"/>
      <c r="CH388" s="635"/>
      <c r="CI388" s="636"/>
      <c r="CJ388" s="615"/>
      <c r="CK388" s="615"/>
      <c r="CL388" s="615">
        <v>120.99436337139248</v>
      </c>
      <c r="CM388" s="615">
        <v>120.99436337139248</v>
      </c>
      <c r="CN388" s="615">
        <v>120.99436337139248</v>
      </c>
      <c r="CO388" s="615"/>
      <c r="CP388" s="615"/>
      <c r="CQ388" s="615"/>
      <c r="CR388" s="615"/>
      <c r="CS388" s="615"/>
      <c r="CT388" s="635"/>
      <c r="CU388" s="636"/>
      <c r="CV388" s="615"/>
      <c r="CW388" s="615"/>
      <c r="CX388" s="615"/>
      <c r="CY388" s="615"/>
      <c r="CZ388" s="615"/>
      <c r="DA388" s="615"/>
      <c r="DB388" s="615"/>
      <c r="DC388" s="615"/>
      <c r="DD388" s="615"/>
      <c r="DE388" s="615"/>
      <c r="DF388" s="635"/>
      <c r="DG388" s="636"/>
      <c r="DH388" s="615"/>
      <c r="DI388" s="615"/>
      <c r="DJ388" s="615"/>
      <c r="DK388" s="615"/>
      <c r="DL388" s="615"/>
      <c r="DM388" s="615"/>
      <c r="DN388" s="615"/>
      <c r="DO388" s="615"/>
      <c r="DP388" s="615"/>
      <c r="DQ388" s="615"/>
      <c r="DR388" s="635"/>
      <c r="DS388" s="636"/>
      <c r="DT388" s="615"/>
      <c r="DU388" s="615"/>
      <c r="DV388" s="615"/>
      <c r="DW388" s="615"/>
      <c r="DX388" s="615"/>
      <c r="DY388" s="615"/>
      <c r="DZ388" s="615"/>
      <c r="EA388" s="615"/>
      <c r="EB388" s="615"/>
      <c r="EC388" s="615"/>
      <c r="ED388" s="637"/>
      <c r="EE388" s="692"/>
    </row>
    <row r="389" spans="1:135" x14ac:dyDescent="0.25">
      <c r="A389" s="640" t="s">
        <v>11</v>
      </c>
      <c r="B389" s="367" t="s">
        <v>2228</v>
      </c>
      <c r="C389" s="367" t="s">
        <v>2224</v>
      </c>
      <c r="D389" s="367" t="s">
        <v>2229</v>
      </c>
      <c r="E389" s="503" t="s">
        <v>2223</v>
      </c>
      <c r="F389" s="570">
        <v>44798</v>
      </c>
      <c r="G389" s="85" t="s">
        <v>59</v>
      </c>
      <c r="H389" s="85" t="s">
        <v>54</v>
      </c>
      <c r="I389" s="85" t="s">
        <v>649</v>
      </c>
      <c r="J389" s="675">
        <v>44798</v>
      </c>
      <c r="K389" s="85">
        <v>4</v>
      </c>
      <c r="L389" s="85" t="s">
        <v>40</v>
      </c>
      <c r="M389" s="85" t="s">
        <v>3</v>
      </c>
      <c r="N389" s="668" t="s">
        <v>44</v>
      </c>
      <c r="O389" s="669"/>
      <c r="P389" s="615"/>
      <c r="Q389" s="615"/>
      <c r="R389" s="615"/>
      <c r="S389" s="615"/>
      <c r="T389" s="615"/>
      <c r="U389" s="615"/>
      <c r="V389" s="615"/>
      <c r="W389" s="615"/>
      <c r="X389" s="615"/>
      <c r="Y389" s="615"/>
      <c r="Z389" s="635"/>
      <c r="AA389" s="636"/>
      <c r="AB389" s="615"/>
      <c r="AC389" s="615"/>
      <c r="AD389" s="615">
        <v>5</v>
      </c>
      <c r="AE389" s="615">
        <v>5</v>
      </c>
      <c r="AF389" s="615"/>
      <c r="AG389" s="615"/>
      <c r="AH389" s="615"/>
      <c r="AI389" s="615"/>
      <c r="AJ389" s="615"/>
      <c r="AK389" s="615"/>
      <c r="AL389" s="635"/>
      <c r="AM389" s="636"/>
      <c r="AN389" s="615"/>
      <c r="AO389" s="615"/>
      <c r="AP389" s="615"/>
      <c r="AQ389" s="615"/>
      <c r="AR389" s="615"/>
      <c r="AS389" s="615"/>
      <c r="AT389" s="615"/>
      <c r="AU389" s="615"/>
      <c r="AV389" s="615"/>
      <c r="AW389" s="615"/>
      <c r="AX389" s="635"/>
      <c r="AY389" s="636"/>
      <c r="AZ389" s="615"/>
      <c r="BA389" s="615"/>
      <c r="BB389" s="615"/>
      <c r="BC389" s="615"/>
      <c r="BD389" s="615"/>
      <c r="BE389" s="615"/>
      <c r="BF389" s="615"/>
      <c r="BG389" s="615"/>
      <c r="BH389" s="615"/>
      <c r="BI389" s="615"/>
      <c r="BJ389" s="635"/>
      <c r="BK389" s="636"/>
      <c r="BL389" s="615"/>
      <c r="BM389" s="615"/>
      <c r="BN389" s="615"/>
      <c r="BO389" s="615"/>
      <c r="BP389" s="615"/>
      <c r="BQ389" s="615"/>
      <c r="BR389" s="615"/>
      <c r="BS389" s="615"/>
      <c r="BT389" s="615"/>
      <c r="BU389" s="615"/>
      <c r="BV389" s="637"/>
      <c r="BW389" s="669"/>
      <c r="BX389" s="615"/>
      <c r="BY389" s="615"/>
      <c r="BZ389" s="615"/>
      <c r="CA389" s="615"/>
      <c r="CB389" s="615"/>
      <c r="CC389" s="615"/>
      <c r="CD389" s="615"/>
      <c r="CE389" s="615"/>
      <c r="CF389" s="615"/>
      <c r="CG389" s="615"/>
      <c r="CH389" s="635"/>
      <c r="CI389" s="636"/>
      <c r="CJ389" s="615"/>
      <c r="CK389" s="615"/>
      <c r="CL389" s="615">
        <v>112.42392929925218</v>
      </c>
      <c r="CM389" s="615">
        <v>112.42392929925218</v>
      </c>
      <c r="CN389" s="615"/>
      <c r="CO389" s="615"/>
      <c r="CP389" s="615"/>
      <c r="CQ389" s="615"/>
      <c r="CR389" s="615"/>
      <c r="CS389" s="615"/>
      <c r="CT389" s="635"/>
      <c r="CU389" s="636"/>
      <c r="CV389" s="615"/>
      <c r="CW389" s="615"/>
      <c r="CX389" s="615"/>
      <c r="CY389" s="615"/>
      <c r="CZ389" s="615"/>
      <c r="DA389" s="615"/>
      <c r="DB389" s="615"/>
      <c r="DC389" s="615"/>
      <c r="DD389" s="615"/>
      <c r="DE389" s="615"/>
      <c r="DF389" s="635"/>
      <c r="DG389" s="636"/>
      <c r="DH389" s="615"/>
      <c r="DI389" s="615"/>
      <c r="DJ389" s="615"/>
      <c r="DK389" s="615"/>
      <c r="DL389" s="615"/>
      <c r="DM389" s="615"/>
      <c r="DN389" s="615"/>
      <c r="DO389" s="615"/>
      <c r="DP389" s="615"/>
      <c r="DQ389" s="615"/>
      <c r="DR389" s="635"/>
      <c r="DS389" s="636"/>
      <c r="DT389" s="615"/>
      <c r="DU389" s="615"/>
      <c r="DV389" s="615"/>
      <c r="DW389" s="615"/>
      <c r="DX389" s="615"/>
      <c r="DY389" s="615"/>
      <c r="DZ389" s="615"/>
      <c r="EA389" s="615"/>
      <c r="EB389" s="615"/>
      <c r="EC389" s="615"/>
      <c r="ED389" s="637"/>
      <c r="EE389" s="692"/>
    </row>
    <row r="390" spans="1:135" x14ac:dyDescent="0.25">
      <c r="A390" s="640" t="s">
        <v>11</v>
      </c>
      <c r="B390" s="367" t="s">
        <v>2247</v>
      </c>
      <c r="C390" s="367" t="s">
        <v>471</v>
      </c>
      <c r="D390" s="367" t="s">
        <v>2248</v>
      </c>
      <c r="E390" s="503" t="s">
        <v>2238</v>
      </c>
      <c r="F390" s="570">
        <v>44802</v>
      </c>
      <c r="G390" s="85" t="s">
        <v>58</v>
      </c>
      <c r="H390" s="85" t="s">
        <v>92</v>
      </c>
      <c r="I390" s="85" t="s">
        <v>358</v>
      </c>
      <c r="J390" s="675" t="s">
        <v>358</v>
      </c>
      <c r="K390" s="85" t="s">
        <v>358</v>
      </c>
      <c r="L390" s="85" t="s">
        <v>40</v>
      </c>
      <c r="M390" s="85" t="s">
        <v>5</v>
      </c>
      <c r="N390" s="668" t="s">
        <v>44</v>
      </c>
      <c r="O390" s="669"/>
      <c r="P390" s="615"/>
      <c r="Q390" s="615"/>
      <c r="R390" s="615"/>
      <c r="S390" s="615"/>
      <c r="T390" s="615"/>
      <c r="U390" s="615"/>
      <c r="V390" s="615">
        <v>-3</v>
      </c>
      <c r="W390" s="615"/>
      <c r="X390" s="615"/>
      <c r="Y390" s="615"/>
      <c r="Z390" s="635"/>
      <c r="AA390" s="636"/>
      <c r="AB390" s="615"/>
      <c r="AC390" s="615"/>
      <c r="AD390" s="615"/>
      <c r="AE390" s="615"/>
      <c r="AF390" s="615"/>
      <c r="AG390" s="615"/>
      <c r="AH390" s="615"/>
      <c r="AI390" s="615"/>
      <c r="AJ390" s="615"/>
      <c r="AK390" s="615"/>
      <c r="AL390" s="635"/>
      <c r="AM390" s="636"/>
      <c r="AN390" s="615"/>
      <c r="AO390" s="615"/>
      <c r="AP390" s="615"/>
      <c r="AQ390" s="615"/>
      <c r="AR390" s="615"/>
      <c r="AS390" s="615"/>
      <c r="AT390" s="615"/>
      <c r="AU390" s="615"/>
      <c r="AV390" s="615"/>
      <c r="AW390" s="615"/>
      <c r="AX390" s="635"/>
      <c r="AY390" s="636"/>
      <c r="AZ390" s="615"/>
      <c r="BA390" s="615"/>
      <c r="BB390" s="615"/>
      <c r="BC390" s="615"/>
      <c r="BD390" s="615"/>
      <c r="BE390" s="615"/>
      <c r="BF390" s="615"/>
      <c r="BG390" s="615"/>
      <c r="BH390" s="615"/>
      <c r="BI390" s="615"/>
      <c r="BJ390" s="635"/>
      <c r="BK390" s="636"/>
      <c r="BL390" s="615"/>
      <c r="BM390" s="615"/>
      <c r="BN390" s="615"/>
      <c r="BO390" s="615"/>
      <c r="BP390" s="615"/>
      <c r="BQ390" s="615"/>
      <c r="BR390" s="615"/>
      <c r="BS390" s="615"/>
      <c r="BT390" s="615"/>
      <c r="BU390" s="615"/>
      <c r="BV390" s="637"/>
      <c r="BW390" s="669"/>
      <c r="BX390" s="615"/>
      <c r="BY390" s="615"/>
      <c r="BZ390" s="615"/>
      <c r="CA390" s="615"/>
      <c r="CB390" s="615"/>
      <c r="CC390" s="615"/>
      <c r="CD390" s="615">
        <v>105.9</v>
      </c>
      <c r="CE390" s="615"/>
      <c r="CF390" s="615"/>
      <c r="CG390" s="615"/>
      <c r="CH390" s="635"/>
      <c r="CI390" s="636"/>
      <c r="CJ390" s="615"/>
      <c r="CK390" s="615"/>
      <c r="CL390" s="615"/>
      <c r="CM390" s="615"/>
      <c r="CN390" s="615"/>
      <c r="CO390" s="615"/>
      <c r="CP390" s="615"/>
      <c r="CQ390" s="615"/>
      <c r="CR390" s="615"/>
      <c r="CS390" s="615"/>
      <c r="CT390" s="635"/>
      <c r="CU390" s="636"/>
      <c r="CV390" s="615"/>
      <c r="CW390" s="615"/>
      <c r="CX390" s="615"/>
      <c r="CY390" s="615"/>
      <c r="CZ390" s="615"/>
      <c r="DA390" s="615"/>
      <c r="DB390" s="615"/>
      <c r="DC390" s="615"/>
      <c r="DD390" s="615"/>
      <c r="DE390" s="615"/>
      <c r="DF390" s="635"/>
      <c r="DG390" s="636"/>
      <c r="DH390" s="615"/>
      <c r="DI390" s="615"/>
      <c r="DJ390" s="615"/>
      <c r="DK390" s="615"/>
      <c r="DL390" s="615"/>
      <c r="DM390" s="615"/>
      <c r="DN390" s="615"/>
      <c r="DO390" s="615"/>
      <c r="DP390" s="615"/>
      <c r="DQ390" s="615"/>
      <c r="DR390" s="635"/>
      <c r="DS390" s="636"/>
      <c r="DT390" s="615"/>
      <c r="DU390" s="615"/>
      <c r="DV390" s="615"/>
      <c r="DW390" s="615"/>
      <c r="DX390" s="615"/>
      <c r="DY390" s="615"/>
      <c r="DZ390" s="615"/>
      <c r="EA390" s="615"/>
      <c r="EB390" s="615"/>
      <c r="EC390" s="615"/>
      <c r="ED390" s="637"/>
      <c r="EE390" s="692"/>
    </row>
    <row r="391" spans="1:135" x14ac:dyDescent="0.25">
      <c r="A391" s="640" t="s">
        <v>11</v>
      </c>
      <c r="B391" s="367" t="s">
        <v>2259</v>
      </c>
      <c r="C391" s="367" t="s">
        <v>471</v>
      </c>
      <c r="D391" s="367" t="s">
        <v>2260</v>
      </c>
      <c r="E391" s="503" t="s">
        <v>2254</v>
      </c>
      <c r="F391" s="570">
        <v>44803</v>
      </c>
      <c r="G391" s="85" t="s">
        <v>58</v>
      </c>
      <c r="H391" s="85" t="s">
        <v>92</v>
      </c>
      <c r="I391" s="85" t="s">
        <v>358</v>
      </c>
      <c r="J391" s="675" t="s">
        <v>358</v>
      </c>
      <c r="K391" s="85" t="s">
        <v>358</v>
      </c>
      <c r="L391" s="85" t="s">
        <v>40</v>
      </c>
      <c r="M391" s="85" t="s">
        <v>5</v>
      </c>
      <c r="N391" s="668" t="s">
        <v>44</v>
      </c>
      <c r="O391" s="669"/>
      <c r="P391" s="615"/>
      <c r="Q391" s="615"/>
      <c r="R391" s="615"/>
      <c r="S391" s="615"/>
      <c r="T391" s="615"/>
      <c r="U391" s="615"/>
      <c r="V391" s="615">
        <v>-3</v>
      </c>
      <c r="W391" s="615"/>
      <c r="X391" s="615"/>
      <c r="Y391" s="615"/>
      <c r="Z391" s="635"/>
      <c r="AA391" s="636"/>
      <c r="AB391" s="615"/>
      <c r="AC391" s="615"/>
      <c r="AD391" s="615"/>
      <c r="AE391" s="615"/>
      <c r="AF391" s="615"/>
      <c r="AG391" s="615"/>
      <c r="AH391" s="615"/>
      <c r="AI391" s="615"/>
      <c r="AJ391" s="615"/>
      <c r="AK391" s="615"/>
      <c r="AL391" s="635"/>
      <c r="AM391" s="636"/>
      <c r="AN391" s="615"/>
      <c r="AO391" s="615"/>
      <c r="AP391" s="615"/>
      <c r="AQ391" s="615"/>
      <c r="AR391" s="615"/>
      <c r="AS391" s="615"/>
      <c r="AT391" s="615"/>
      <c r="AU391" s="615"/>
      <c r="AV391" s="615"/>
      <c r="AW391" s="615"/>
      <c r="AX391" s="635"/>
      <c r="AY391" s="636"/>
      <c r="AZ391" s="615"/>
      <c r="BA391" s="615"/>
      <c r="BB391" s="615"/>
      <c r="BC391" s="615"/>
      <c r="BD391" s="615"/>
      <c r="BE391" s="615"/>
      <c r="BF391" s="615"/>
      <c r="BG391" s="615"/>
      <c r="BH391" s="615"/>
      <c r="BI391" s="615"/>
      <c r="BJ391" s="635"/>
      <c r="BK391" s="636"/>
      <c r="BL391" s="615"/>
      <c r="BM391" s="615"/>
      <c r="BN391" s="615"/>
      <c r="BO391" s="615"/>
      <c r="BP391" s="615"/>
      <c r="BQ391" s="615"/>
      <c r="BR391" s="615"/>
      <c r="BS391" s="615"/>
      <c r="BT391" s="615"/>
      <c r="BU391" s="615"/>
      <c r="BV391" s="637"/>
      <c r="BW391" s="669"/>
      <c r="BX391" s="615"/>
      <c r="BY391" s="615"/>
      <c r="BZ391" s="615"/>
      <c r="CA391" s="615"/>
      <c r="CB391" s="615"/>
      <c r="CC391" s="615"/>
      <c r="CD391" s="615">
        <v>105.9</v>
      </c>
      <c r="CE391" s="615"/>
      <c r="CF391" s="615"/>
      <c r="CG391" s="615"/>
      <c r="CH391" s="635"/>
      <c r="CI391" s="636"/>
      <c r="CJ391" s="615"/>
      <c r="CK391" s="615"/>
      <c r="CL391" s="615"/>
      <c r="CM391" s="615"/>
      <c r="CN391" s="615"/>
      <c r="CO391" s="615"/>
      <c r="CP391" s="615"/>
      <c r="CQ391" s="615"/>
      <c r="CR391" s="615"/>
      <c r="CS391" s="615"/>
      <c r="CT391" s="635"/>
      <c r="CU391" s="636"/>
      <c r="CV391" s="615"/>
      <c r="CW391" s="615"/>
      <c r="CX391" s="615"/>
      <c r="CY391" s="615"/>
      <c r="CZ391" s="615"/>
      <c r="DA391" s="615"/>
      <c r="DB391" s="615"/>
      <c r="DC391" s="615"/>
      <c r="DD391" s="615"/>
      <c r="DE391" s="615"/>
      <c r="DF391" s="635"/>
      <c r="DG391" s="636"/>
      <c r="DH391" s="615"/>
      <c r="DI391" s="615"/>
      <c r="DJ391" s="615"/>
      <c r="DK391" s="615"/>
      <c r="DL391" s="615"/>
      <c r="DM391" s="615"/>
      <c r="DN391" s="615"/>
      <c r="DO391" s="615"/>
      <c r="DP391" s="615"/>
      <c r="DQ391" s="615"/>
      <c r="DR391" s="635"/>
      <c r="DS391" s="636"/>
      <c r="DT391" s="615"/>
      <c r="DU391" s="615"/>
      <c r="DV391" s="615"/>
      <c r="DW391" s="615"/>
      <c r="DX391" s="615"/>
      <c r="DY391" s="615"/>
      <c r="DZ391" s="615"/>
      <c r="EA391" s="615"/>
      <c r="EB391" s="615"/>
      <c r="EC391" s="615"/>
      <c r="ED391" s="637"/>
      <c r="EE391" s="692"/>
    </row>
    <row r="392" spans="1:135" x14ac:dyDescent="0.25">
      <c r="A392" s="640" t="s">
        <v>11</v>
      </c>
      <c r="B392" s="367" t="s">
        <v>2261</v>
      </c>
      <c r="C392" s="367" t="s">
        <v>2050</v>
      </c>
      <c r="D392" s="367" t="s">
        <v>2262</v>
      </c>
      <c r="E392" s="503" t="s">
        <v>2255</v>
      </c>
      <c r="F392" s="570">
        <v>44803</v>
      </c>
      <c r="G392" s="85" t="s">
        <v>58</v>
      </c>
      <c r="H392" s="85" t="s">
        <v>92</v>
      </c>
      <c r="I392" s="85" t="s">
        <v>358</v>
      </c>
      <c r="J392" s="675" t="s">
        <v>358</v>
      </c>
      <c r="K392" s="85" t="s">
        <v>358</v>
      </c>
      <c r="L392" s="85" t="s">
        <v>40</v>
      </c>
      <c r="M392" s="85" t="s">
        <v>5</v>
      </c>
      <c r="N392" s="668" t="s">
        <v>44</v>
      </c>
      <c r="O392" s="669"/>
      <c r="P392" s="615"/>
      <c r="Q392" s="615"/>
      <c r="R392" s="615"/>
      <c r="S392" s="615"/>
      <c r="T392" s="615"/>
      <c r="U392" s="615"/>
      <c r="V392" s="615">
        <v>-10</v>
      </c>
      <c r="W392" s="615"/>
      <c r="X392" s="615"/>
      <c r="Y392" s="615"/>
      <c r="Z392" s="635"/>
      <c r="AA392" s="636"/>
      <c r="AB392" s="615"/>
      <c r="AC392" s="615"/>
      <c r="AD392" s="615"/>
      <c r="AE392" s="615"/>
      <c r="AF392" s="615"/>
      <c r="AG392" s="615"/>
      <c r="AH392" s="615"/>
      <c r="AI392" s="615"/>
      <c r="AJ392" s="615"/>
      <c r="AK392" s="615"/>
      <c r="AL392" s="635"/>
      <c r="AM392" s="636"/>
      <c r="AN392" s="615"/>
      <c r="AO392" s="615"/>
      <c r="AP392" s="615"/>
      <c r="AQ392" s="615"/>
      <c r="AR392" s="615"/>
      <c r="AS392" s="615"/>
      <c r="AT392" s="615"/>
      <c r="AU392" s="615"/>
      <c r="AV392" s="615"/>
      <c r="AW392" s="615"/>
      <c r="AX392" s="635"/>
      <c r="AY392" s="636"/>
      <c r="AZ392" s="615"/>
      <c r="BA392" s="615"/>
      <c r="BB392" s="615"/>
      <c r="BC392" s="615"/>
      <c r="BD392" s="615"/>
      <c r="BE392" s="615"/>
      <c r="BF392" s="615"/>
      <c r="BG392" s="615"/>
      <c r="BH392" s="615"/>
      <c r="BI392" s="615"/>
      <c r="BJ392" s="635"/>
      <c r="BK392" s="636"/>
      <c r="BL392" s="615"/>
      <c r="BM392" s="615"/>
      <c r="BN392" s="615"/>
      <c r="BO392" s="615"/>
      <c r="BP392" s="615"/>
      <c r="BQ392" s="615"/>
      <c r="BR392" s="615"/>
      <c r="BS392" s="615"/>
      <c r="BT392" s="615"/>
      <c r="BU392" s="615"/>
      <c r="BV392" s="637"/>
      <c r="BW392" s="669"/>
      <c r="BX392" s="615"/>
      <c r="BY392" s="615"/>
      <c r="BZ392" s="615"/>
      <c r="CA392" s="615"/>
      <c r="CB392" s="615"/>
      <c r="CC392" s="615"/>
      <c r="CD392" s="615">
        <v>105.9</v>
      </c>
      <c r="CE392" s="615"/>
      <c r="CF392" s="615"/>
      <c r="CG392" s="615"/>
      <c r="CH392" s="635"/>
      <c r="CI392" s="636"/>
      <c r="CJ392" s="615"/>
      <c r="CK392" s="615"/>
      <c r="CL392" s="615"/>
      <c r="CM392" s="615"/>
      <c r="CN392" s="615"/>
      <c r="CO392" s="615"/>
      <c r="CP392" s="615"/>
      <c r="CQ392" s="615"/>
      <c r="CR392" s="615"/>
      <c r="CS392" s="615"/>
      <c r="CT392" s="635"/>
      <c r="CU392" s="636"/>
      <c r="CV392" s="615"/>
      <c r="CW392" s="615"/>
      <c r="CX392" s="615"/>
      <c r="CY392" s="615"/>
      <c r="CZ392" s="615"/>
      <c r="DA392" s="615"/>
      <c r="DB392" s="615"/>
      <c r="DC392" s="615"/>
      <c r="DD392" s="615"/>
      <c r="DE392" s="615"/>
      <c r="DF392" s="635"/>
      <c r="DG392" s="636"/>
      <c r="DH392" s="615"/>
      <c r="DI392" s="615"/>
      <c r="DJ392" s="615"/>
      <c r="DK392" s="615"/>
      <c r="DL392" s="615"/>
      <c r="DM392" s="615"/>
      <c r="DN392" s="615"/>
      <c r="DO392" s="615"/>
      <c r="DP392" s="615"/>
      <c r="DQ392" s="615"/>
      <c r="DR392" s="635"/>
      <c r="DS392" s="636"/>
      <c r="DT392" s="615"/>
      <c r="DU392" s="615"/>
      <c r="DV392" s="615"/>
      <c r="DW392" s="615"/>
      <c r="DX392" s="615"/>
      <c r="DY392" s="615"/>
      <c r="DZ392" s="615"/>
      <c r="EA392" s="615"/>
      <c r="EB392" s="615"/>
      <c r="EC392" s="615"/>
      <c r="ED392" s="637"/>
      <c r="EE392" s="692"/>
    </row>
    <row r="393" spans="1:135" x14ac:dyDescent="0.25">
      <c r="A393" s="640" t="s">
        <v>11</v>
      </c>
      <c r="B393" s="367" t="s">
        <v>2263</v>
      </c>
      <c r="C393" s="367" t="s">
        <v>2085</v>
      </c>
      <c r="D393" s="367" t="s">
        <v>2264</v>
      </c>
      <c r="E393" s="503" t="s">
        <v>2256</v>
      </c>
      <c r="F393" s="570">
        <v>44803</v>
      </c>
      <c r="G393" s="85" t="s">
        <v>58</v>
      </c>
      <c r="H393" s="85" t="s">
        <v>54</v>
      </c>
      <c r="I393" s="85" t="s">
        <v>358</v>
      </c>
      <c r="J393" s="675" t="s">
        <v>358</v>
      </c>
      <c r="K393" s="85" t="s">
        <v>358</v>
      </c>
      <c r="L393" s="85" t="s">
        <v>40</v>
      </c>
      <c r="M393" s="85" t="s">
        <v>5</v>
      </c>
      <c r="N393" s="668" t="s">
        <v>44</v>
      </c>
      <c r="O393" s="669"/>
      <c r="P393" s="615"/>
      <c r="Q393" s="615"/>
      <c r="R393" s="615"/>
      <c r="S393" s="615"/>
      <c r="T393" s="615"/>
      <c r="U393" s="615"/>
      <c r="V393" s="615">
        <v>-9</v>
      </c>
      <c r="W393" s="615"/>
      <c r="X393" s="615"/>
      <c r="Y393" s="615"/>
      <c r="Z393" s="635"/>
      <c r="AA393" s="636"/>
      <c r="AB393" s="615"/>
      <c r="AC393" s="615"/>
      <c r="AD393" s="615"/>
      <c r="AE393" s="615"/>
      <c r="AF393" s="615"/>
      <c r="AG393" s="615"/>
      <c r="AH393" s="615"/>
      <c r="AI393" s="615"/>
      <c r="AJ393" s="615"/>
      <c r="AK393" s="615"/>
      <c r="AL393" s="635"/>
      <c r="AM393" s="636"/>
      <c r="AN393" s="615"/>
      <c r="AO393" s="615"/>
      <c r="AP393" s="615"/>
      <c r="AQ393" s="615"/>
      <c r="AR393" s="615"/>
      <c r="AS393" s="615"/>
      <c r="AT393" s="615"/>
      <c r="AU393" s="615"/>
      <c r="AV393" s="615"/>
      <c r="AW393" s="615"/>
      <c r="AX393" s="635"/>
      <c r="AY393" s="636"/>
      <c r="AZ393" s="615"/>
      <c r="BA393" s="615"/>
      <c r="BB393" s="615"/>
      <c r="BC393" s="615"/>
      <c r="BD393" s="615"/>
      <c r="BE393" s="615"/>
      <c r="BF393" s="615"/>
      <c r="BG393" s="615"/>
      <c r="BH393" s="615"/>
      <c r="BI393" s="615"/>
      <c r="BJ393" s="635"/>
      <c r="BK393" s="636"/>
      <c r="BL393" s="615"/>
      <c r="BM393" s="615"/>
      <c r="BN393" s="615"/>
      <c r="BO393" s="615"/>
      <c r="BP393" s="615"/>
      <c r="BQ393" s="615"/>
      <c r="BR393" s="615"/>
      <c r="BS393" s="615"/>
      <c r="BT393" s="615"/>
      <c r="BU393" s="615"/>
      <c r="BV393" s="637"/>
      <c r="BW393" s="669"/>
      <c r="BX393" s="615"/>
      <c r="BY393" s="615"/>
      <c r="BZ393" s="615"/>
      <c r="CA393" s="615"/>
      <c r="CB393" s="615"/>
      <c r="CC393" s="615"/>
      <c r="CD393" s="615">
        <v>106</v>
      </c>
      <c r="CE393" s="615"/>
      <c r="CF393" s="615"/>
      <c r="CG393" s="615"/>
      <c r="CH393" s="635"/>
      <c r="CI393" s="636"/>
      <c r="CJ393" s="615"/>
      <c r="CK393" s="615"/>
      <c r="CL393" s="615"/>
      <c r="CM393" s="615"/>
      <c r="CN393" s="615"/>
      <c r="CO393" s="615"/>
      <c r="CP393" s="615"/>
      <c r="CQ393" s="615"/>
      <c r="CR393" s="615"/>
      <c r="CS393" s="615"/>
      <c r="CT393" s="635"/>
      <c r="CU393" s="636"/>
      <c r="CV393" s="615"/>
      <c r="CW393" s="615"/>
      <c r="CX393" s="615"/>
      <c r="CY393" s="615"/>
      <c r="CZ393" s="615"/>
      <c r="DA393" s="615"/>
      <c r="DB393" s="615"/>
      <c r="DC393" s="615"/>
      <c r="DD393" s="615"/>
      <c r="DE393" s="615"/>
      <c r="DF393" s="635"/>
      <c r="DG393" s="636"/>
      <c r="DH393" s="615"/>
      <c r="DI393" s="615"/>
      <c r="DJ393" s="615"/>
      <c r="DK393" s="615"/>
      <c r="DL393" s="615"/>
      <c r="DM393" s="615"/>
      <c r="DN393" s="615"/>
      <c r="DO393" s="615"/>
      <c r="DP393" s="615"/>
      <c r="DQ393" s="615"/>
      <c r="DR393" s="635"/>
      <c r="DS393" s="636"/>
      <c r="DT393" s="615"/>
      <c r="DU393" s="615"/>
      <c r="DV393" s="615"/>
      <c r="DW393" s="615"/>
      <c r="DX393" s="615"/>
      <c r="DY393" s="615"/>
      <c r="DZ393" s="615"/>
      <c r="EA393" s="615"/>
      <c r="EB393" s="615"/>
      <c r="EC393" s="615"/>
      <c r="ED393" s="637"/>
      <c r="EE393" s="692"/>
    </row>
    <row r="394" spans="1:135" x14ac:dyDescent="0.25">
      <c r="A394" s="640" t="s">
        <v>11</v>
      </c>
      <c r="B394" s="367" t="s">
        <v>2276</v>
      </c>
      <c r="C394" s="367" t="s">
        <v>471</v>
      </c>
      <c r="D394" s="367" t="s">
        <v>2277</v>
      </c>
      <c r="E394" s="503" t="s">
        <v>2271</v>
      </c>
      <c r="F394" s="570">
        <v>44805</v>
      </c>
      <c r="G394" s="85" t="s">
        <v>58</v>
      </c>
      <c r="H394" s="85" t="s">
        <v>92</v>
      </c>
      <c r="I394" s="85" t="s">
        <v>358</v>
      </c>
      <c r="J394" s="675" t="s">
        <v>358</v>
      </c>
      <c r="K394" s="85" t="s">
        <v>358</v>
      </c>
      <c r="L394" s="85" t="s">
        <v>40</v>
      </c>
      <c r="M394" s="85" t="s">
        <v>5</v>
      </c>
      <c r="N394" s="668" t="s">
        <v>44</v>
      </c>
      <c r="O394" s="669"/>
      <c r="P394" s="615"/>
      <c r="Q394" s="615"/>
      <c r="R394" s="615"/>
      <c r="S394" s="615"/>
      <c r="T394" s="615"/>
      <c r="U394" s="615"/>
      <c r="V394" s="615">
        <v>-1.9</v>
      </c>
      <c r="W394" s="615"/>
      <c r="X394" s="615"/>
      <c r="Y394" s="615"/>
      <c r="Z394" s="635"/>
      <c r="AA394" s="636"/>
      <c r="AB394" s="615"/>
      <c r="AC394" s="615"/>
      <c r="AD394" s="615"/>
      <c r="AE394" s="615"/>
      <c r="AF394" s="615"/>
      <c r="AG394" s="615"/>
      <c r="AH394" s="615"/>
      <c r="AI394" s="615"/>
      <c r="AJ394" s="615"/>
      <c r="AK394" s="615"/>
      <c r="AL394" s="635"/>
      <c r="AM394" s="636"/>
      <c r="AN394" s="615"/>
      <c r="AO394" s="615"/>
      <c r="AP394" s="615"/>
      <c r="AQ394" s="615"/>
      <c r="AR394" s="615"/>
      <c r="AS394" s="615"/>
      <c r="AT394" s="615"/>
      <c r="AU394" s="615"/>
      <c r="AV394" s="615"/>
      <c r="AW394" s="615"/>
      <c r="AX394" s="635"/>
      <c r="AY394" s="636"/>
      <c r="AZ394" s="615"/>
      <c r="BA394" s="615"/>
      <c r="BB394" s="615"/>
      <c r="BC394" s="615"/>
      <c r="BD394" s="615"/>
      <c r="BE394" s="615"/>
      <c r="BF394" s="615"/>
      <c r="BG394" s="615"/>
      <c r="BH394" s="615"/>
      <c r="BI394" s="615"/>
      <c r="BJ394" s="635"/>
      <c r="BK394" s="636"/>
      <c r="BL394" s="615"/>
      <c r="BM394" s="615"/>
      <c r="BN394" s="615"/>
      <c r="BO394" s="615"/>
      <c r="BP394" s="615"/>
      <c r="BQ394" s="615"/>
      <c r="BR394" s="615"/>
      <c r="BS394" s="615"/>
      <c r="BT394" s="615"/>
      <c r="BU394" s="615"/>
      <c r="BV394" s="637"/>
      <c r="BW394" s="669"/>
      <c r="BX394" s="615"/>
      <c r="BY394" s="615"/>
      <c r="BZ394" s="615"/>
      <c r="CA394" s="615"/>
      <c r="CB394" s="615"/>
      <c r="CC394" s="615"/>
      <c r="CD394" s="615">
        <v>104.9</v>
      </c>
      <c r="CE394" s="615"/>
      <c r="CF394" s="615"/>
      <c r="CG394" s="615"/>
      <c r="CH394" s="635"/>
      <c r="CI394" s="636"/>
      <c r="CJ394" s="615"/>
      <c r="CK394" s="615"/>
      <c r="CL394" s="615"/>
      <c r="CM394" s="615"/>
      <c r="CN394" s="615"/>
      <c r="CO394" s="615"/>
      <c r="CP394" s="615"/>
      <c r="CQ394" s="615"/>
      <c r="CR394" s="615"/>
      <c r="CS394" s="615"/>
      <c r="CT394" s="635"/>
      <c r="CU394" s="636"/>
      <c r="CV394" s="615"/>
      <c r="CW394" s="615"/>
      <c r="CX394" s="615"/>
      <c r="CY394" s="615"/>
      <c r="CZ394" s="615"/>
      <c r="DA394" s="615"/>
      <c r="DB394" s="615"/>
      <c r="DC394" s="615"/>
      <c r="DD394" s="615"/>
      <c r="DE394" s="615"/>
      <c r="DF394" s="635"/>
      <c r="DG394" s="636"/>
      <c r="DH394" s="615"/>
      <c r="DI394" s="615"/>
      <c r="DJ394" s="615"/>
      <c r="DK394" s="615"/>
      <c r="DL394" s="615"/>
      <c r="DM394" s="615"/>
      <c r="DN394" s="615"/>
      <c r="DO394" s="615"/>
      <c r="DP394" s="615"/>
      <c r="DQ394" s="615"/>
      <c r="DR394" s="635"/>
      <c r="DS394" s="636"/>
      <c r="DT394" s="615"/>
      <c r="DU394" s="615"/>
      <c r="DV394" s="615"/>
      <c r="DW394" s="615"/>
      <c r="DX394" s="615"/>
      <c r="DY394" s="615"/>
      <c r="DZ394" s="615"/>
      <c r="EA394" s="615"/>
      <c r="EB394" s="615"/>
      <c r="EC394" s="615"/>
      <c r="ED394" s="637"/>
      <c r="EE394" s="692"/>
    </row>
    <row r="395" spans="1:135" x14ac:dyDescent="0.25">
      <c r="A395" s="640" t="s">
        <v>11</v>
      </c>
      <c r="B395" s="367" t="s">
        <v>2371</v>
      </c>
      <c r="C395" s="367" t="s">
        <v>876</v>
      </c>
      <c r="D395" s="367" t="s">
        <v>2372</v>
      </c>
      <c r="E395" s="503" t="s">
        <v>2363</v>
      </c>
      <c r="F395" s="570">
        <v>44840</v>
      </c>
      <c r="G395" s="85" t="s">
        <v>58</v>
      </c>
      <c r="H395" s="85" t="s">
        <v>54</v>
      </c>
      <c r="I395" s="85" t="s">
        <v>358</v>
      </c>
      <c r="J395" s="675" t="s">
        <v>358</v>
      </c>
      <c r="K395" s="85" t="s">
        <v>358</v>
      </c>
      <c r="L395" s="85" t="s">
        <v>40</v>
      </c>
      <c r="M395" s="85" t="s">
        <v>3</v>
      </c>
      <c r="N395" s="668" t="s">
        <v>44</v>
      </c>
      <c r="O395" s="669"/>
      <c r="P395" s="615"/>
      <c r="Q395" s="615"/>
      <c r="R395" s="615"/>
      <c r="S395" s="615"/>
      <c r="T395" s="615"/>
      <c r="U395" s="615"/>
      <c r="V395" s="615"/>
      <c r="W395" s="615"/>
      <c r="X395" s="615"/>
      <c r="Y395" s="615"/>
      <c r="Z395" s="635"/>
      <c r="AA395" s="636"/>
      <c r="AB395" s="615"/>
      <c r="AC395" s="615"/>
      <c r="AD395" s="615">
        <v>-1.7</v>
      </c>
      <c r="AE395" s="615">
        <v>-1.7</v>
      </c>
      <c r="AF395" s="615">
        <v>-1.7</v>
      </c>
      <c r="AG395" s="615"/>
      <c r="AH395" s="615"/>
      <c r="AI395" s="615"/>
      <c r="AJ395" s="615"/>
      <c r="AK395" s="615"/>
      <c r="AL395" s="635"/>
      <c r="AM395" s="636"/>
      <c r="AN395" s="615"/>
      <c r="AO395" s="615"/>
      <c r="AP395" s="615"/>
      <c r="AQ395" s="615"/>
      <c r="AR395" s="615"/>
      <c r="AS395" s="615"/>
      <c r="AT395" s="615"/>
      <c r="AU395" s="615"/>
      <c r="AV395" s="615"/>
      <c r="AW395" s="615"/>
      <c r="AX395" s="635"/>
      <c r="AY395" s="636"/>
      <c r="AZ395" s="615"/>
      <c r="BA395" s="615"/>
      <c r="BB395" s="615"/>
      <c r="BC395" s="615"/>
      <c r="BD395" s="615"/>
      <c r="BE395" s="615"/>
      <c r="BF395" s="615"/>
      <c r="BG395" s="615"/>
      <c r="BH395" s="615"/>
      <c r="BI395" s="615"/>
      <c r="BJ395" s="635"/>
      <c r="BK395" s="636"/>
      <c r="BL395" s="615"/>
      <c r="BM395" s="615"/>
      <c r="BN395" s="615"/>
      <c r="BO395" s="615"/>
      <c r="BP395" s="615"/>
      <c r="BQ395" s="615"/>
      <c r="BR395" s="615"/>
      <c r="BS395" s="615"/>
      <c r="BT395" s="615"/>
      <c r="BU395" s="615"/>
      <c r="BV395" s="637"/>
      <c r="BW395" s="669"/>
      <c r="BX395" s="615"/>
      <c r="BY395" s="615"/>
      <c r="BZ395" s="615"/>
      <c r="CA395" s="615"/>
      <c r="CB395" s="615"/>
      <c r="CC395" s="615"/>
      <c r="CD395" s="615"/>
      <c r="CE395" s="615"/>
      <c r="CF395" s="615"/>
      <c r="CG395" s="615"/>
      <c r="CH395" s="635"/>
      <c r="CI395" s="636"/>
      <c r="CJ395" s="615"/>
      <c r="CK395" s="615"/>
      <c r="CL395" s="615">
        <v>75</v>
      </c>
      <c r="CM395" s="615">
        <v>75</v>
      </c>
      <c r="CN395" s="615">
        <v>75</v>
      </c>
      <c r="CO395" s="615"/>
      <c r="CP395" s="615"/>
      <c r="CQ395" s="615"/>
      <c r="CR395" s="615"/>
      <c r="CS395" s="615"/>
      <c r="CT395" s="635"/>
      <c r="CU395" s="636"/>
      <c r="CV395" s="615"/>
      <c r="CW395" s="615"/>
      <c r="CX395" s="615"/>
      <c r="CY395" s="615"/>
      <c r="CZ395" s="615"/>
      <c r="DA395" s="615"/>
      <c r="DB395" s="615"/>
      <c r="DC395" s="615"/>
      <c r="DD395" s="615"/>
      <c r="DE395" s="615"/>
      <c r="DF395" s="635"/>
      <c r="DG395" s="636"/>
      <c r="DH395" s="615"/>
      <c r="DI395" s="615"/>
      <c r="DJ395" s="615"/>
      <c r="DK395" s="615"/>
      <c r="DL395" s="615"/>
      <c r="DM395" s="615"/>
      <c r="DN395" s="615"/>
      <c r="DO395" s="615"/>
      <c r="DP395" s="615"/>
      <c r="DQ395" s="615"/>
      <c r="DR395" s="635"/>
      <c r="DS395" s="636"/>
      <c r="DT395" s="615"/>
      <c r="DU395" s="615"/>
      <c r="DV395" s="615"/>
      <c r="DW395" s="615"/>
      <c r="DX395" s="615"/>
      <c r="DY395" s="615"/>
      <c r="DZ395" s="615"/>
      <c r="EA395" s="615"/>
      <c r="EB395" s="615"/>
      <c r="EC395" s="615"/>
      <c r="ED395" s="637"/>
      <c r="EE395" s="692"/>
    </row>
    <row r="396" spans="1:135" x14ac:dyDescent="0.25">
      <c r="A396" s="640" t="s">
        <v>11</v>
      </c>
      <c r="B396" s="367" t="s">
        <v>2373</v>
      </c>
      <c r="C396" s="367" t="s">
        <v>2369</v>
      </c>
      <c r="D396" s="367" t="s">
        <v>2374</v>
      </c>
      <c r="E396" s="503" t="s">
        <v>2364</v>
      </c>
      <c r="F396" s="570">
        <v>44840</v>
      </c>
      <c r="G396" s="85" t="s">
        <v>58</v>
      </c>
      <c r="H396" s="85" t="s">
        <v>54</v>
      </c>
      <c r="I396" s="85" t="s">
        <v>358</v>
      </c>
      <c r="J396" s="675" t="s">
        <v>358</v>
      </c>
      <c r="K396" s="85" t="s">
        <v>358</v>
      </c>
      <c r="L396" s="85" t="s">
        <v>40</v>
      </c>
      <c r="M396" s="85" t="s">
        <v>3</v>
      </c>
      <c r="N396" s="668" t="s">
        <v>44</v>
      </c>
      <c r="O396" s="669"/>
      <c r="P396" s="615"/>
      <c r="Q396" s="615"/>
      <c r="R396" s="615"/>
      <c r="S396" s="615"/>
      <c r="T396" s="615"/>
      <c r="U396" s="615"/>
      <c r="V396" s="615"/>
      <c r="W396" s="615"/>
      <c r="X396" s="615"/>
      <c r="Y396" s="615"/>
      <c r="Z396" s="635"/>
      <c r="AA396" s="636">
        <v>-5</v>
      </c>
      <c r="AB396" s="615">
        <v>-5</v>
      </c>
      <c r="AC396" s="615">
        <v>-5</v>
      </c>
      <c r="AD396" s="615"/>
      <c r="AE396" s="615"/>
      <c r="AF396" s="615"/>
      <c r="AG396" s="615"/>
      <c r="AH396" s="615"/>
      <c r="AI396" s="615"/>
      <c r="AJ396" s="615"/>
      <c r="AK396" s="615"/>
      <c r="AL396" s="635"/>
      <c r="AM396" s="636"/>
      <c r="AN396" s="615"/>
      <c r="AO396" s="615"/>
      <c r="AP396" s="615"/>
      <c r="AQ396" s="615"/>
      <c r="AR396" s="615"/>
      <c r="AS396" s="615"/>
      <c r="AT396" s="615"/>
      <c r="AU396" s="615"/>
      <c r="AV396" s="615"/>
      <c r="AW396" s="615"/>
      <c r="AX396" s="635"/>
      <c r="AY396" s="636"/>
      <c r="AZ396" s="615"/>
      <c r="BA396" s="615"/>
      <c r="BB396" s="615"/>
      <c r="BC396" s="615"/>
      <c r="BD396" s="615"/>
      <c r="BE396" s="615"/>
      <c r="BF396" s="615"/>
      <c r="BG396" s="615"/>
      <c r="BH396" s="615"/>
      <c r="BI396" s="615"/>
      <c r="BJ396" s="635"/>
      <c r="BK396" s="636"/>
      <c r="BL396" s="615"/>
      <c r="BM396" s="615"/>
      <c r="BN396" s="615"/>
      <c r="BO396" s="615"/>
      <c r="BP396" s="615"/>
      <c r="BQ396" s="615"/>
      <c r="BR396" s="615"/>
      <c r="BS396" s="615"/>
      <c r="BT396" s="615"/>
      <c r="BU396" s="615"/>
      <c r="BV396" s="637"/>
      <c r="BW396" s="669"/>
      <c r="BX396" s="615"/>
      <c r="BY396" s="615"/>
      <c r="BZ396" s="615"/>
      <c r="CA396" s="615"/>
      <c r="CB396" s="615"/>
      <c r="CC396" s="615"/>
      <c r="CD396" s="615"/>
      <c r="CE396" s="615"/>
      <c r="CF396" s="615"/>
      <c r="CG396" s="615"/>
      <c r="CH396" s="635"/>
      <c r="CI396" s="636">
        <v>74</v>
      </c>
      <c r="CJ396" s="615">
        <v>74</v>
      </c>
      <c r="CK396" s="615">
        <v>74</v>
      </c>
      <c r="CL396" s="615"/>
      <c r="CM396" s="615"/>
      <c r="CN396" s="615"/>
      <c r="CO396" s="615"/>
      <c r="CP396" s="615"/>
      <c r="CQ396" s="615"/>
      <c r="CR396" s="615"/>
      <c r="CS396" s="615"/>
      <c r="CT396" s="635"/>
      <c r="CU396" s="636"/>
      <c r="CV396" s="615"/>
      <c r="CW396" s="615"/>
      <c r="CX396" s="615"/>
      <c r="CY396" s="615"/>
      <c r="CZ396" s="615"/>
      <c r="DA396" s="615"/>
      <c r="DB396" s="615"/>
      <c r="DC396" s="615"/>
      <c r="DD396" s="615"/>
      <c r="DE396" s="615"/>
      <c r="DF396" s="635"/>
      <c r="DG396" s="636"/>
      <c r="DH396" s="615"/>
      <c r="DI396" s="615"/>
      <c r="DJ396" s="615"/>
      <c r="DK396" s="615"/>
      <c r="DL396" s="615"/>
      <c r="DM396" s="615"/>
      <c r="DN396" s="615"/>
      <c r="DO396" s="615"/>
      <c r="DP396" s="615"/>
      <c r="DQ396" s="615"/>
      <c r="DR396" s="635"/>
      <c r="DS396" s="636"/>
      <c r="DT396" s="615"/>
      <c r="DU396" s="615"/>
      <c r="DV396" s="615"/>
      <c r="DW396" s="615"/>
      <c r="DX396" s="615"/>
      <c r="DY396" s="615"/>
      <c r="DZ396" s="615"/>
      <c r="EA396" s="615"/>
      <c r="EB396" s="615"/>
      <c r="EC396" s="615"/>
      <c r="ED396" s="637"/>
      <c r="EE396" s="692"/>
    </row>
    <row r="397" spans="1:135" x14ac:dyDescent="0.25">
      <c r="A397" s="640" t="s">
        <v>11</v>
      </c>
      <c r="B397" s="367" t="s">
        <v>2375</v>
      </c>
      <c r="C397" s="367" t="s">
        <v>1917</v>
      </c>
      <c r="D397" s="367" t="s">
        <v>2376</v>
      </c>
      <c r="E397" s="503" t="s">
        <v>2365</v>
      </c>
      <c r="F397" s="570">
        <v>44840</v>
      </c>
      <c r="G397" s="85" t="s">
        <v>58</v>
      </c>
      <c r="H397" s="85" t="s">
        <v>54</v>
      </c>
      <c r="I397" s="85" t="s">
        <v>358</v>
      </c>
      <c r="J397" s="675" t="s">
        <v>358</v>
      </c>
      <c r="K397" s="85" t="s">
        <v>358</v>
      </c>
      <c r="L397" s="85" t="s">
        <v>40</v>
      </c>
      <c r="M397" s="85" t="s">
        <v>3</v>
      </c>
      <c r="N397" s="668" t="s">
        <v>44</v>
      </c>
      <c r="O397" s="669"/>
      <c r="P397" s="615"/>
      <c r="Q397" s="615"/>
      <c r="R397" s="615"/>
      <c r="S397" s="615"/>
      <c r="T397" s="615"/>
      <c r="U397" s="615"/>
      <c r="V397" s="615"/>
      <c r="W397" s="615"/>
      <c r="X397" s="615"/>
      <c r="Y397" s="615"/>
      <c r="Z397" s="635"/>
      <c r="AA397" s="636"/>
      <c r="AB397" s="615"/>
      <c r="AC397" s="615"/>
      <c r="AD397" s="615">
        <v>-1</v>
      </c>
      <c r="AE397" s="615">
        <v>-1</v>
      </c>
      <c r="AF397" s="615">
        <v>-1</v>
      </c>
      <c r="AG397" s="615"/>
      <c r="AH397" s="615"/>
      <c r="AI397" s="615"/>
      <c r="AJ397" s="615"/>
      <c r="AK397" s="615"/>
      <c r="AL397" s="635"/>
      <c r="AM397" s="636"/>
      <c r="AN397" s="615"/>
      <c r="AO397" s="615"/>
      <c r="AP397" s="615"/>
      <c r="AQ397" s="615"/>
      <c r="AR397" s="615"/>
      <c r="AS397" s="615"/>
      <c r="AT397" s="615"/>
      <c r="AU397" s="615"/>
      <c r="AV397" s="615"/>
      <c r="AW397" s="615"/>
      <c r="AX397" s="635"/>
      <c r="AY397" s="636"/>
      <c r="AZ397" s="615"/>
      <c r="BA397" s="615"/>
      <c r="BB397" s="615"/>
      <c r="BC397" s="615"/>
      <c r="BD397" s="615"/>
      <c r="BE397" s="615"/>
      <c r="BF397" s="615"/>
      <c r="BG397" s="615"/>
      <c r="BH397" s="615"/>
      <c r="BI397" s="615"/>
      <c r="BJ397" s="635"/>
      <c r="BK397" s="636"/>
      <c r="BL397" s="615"/>
      <c r="BM397" s="615"/>
      <c r="BN397" s="615"/>
      <c r="BO397" s="615"/>
      <c r="BP397" s="615"/>
      <c r="BQ397" s="615"/>
      <c r="BR397" s="615"/>
      <c r="BS397" s="615"/>
      <c r="BT397" s="615"/>
      <c r="BU397" s="615"/>
      <c r="BV397" s="637"/>
      <c r="BW397" s="669"/>
      <c r="BX397" s="615"/>
      <c r="BY397" s="615"/>
      <c r="BZ397" s="615"/>
      <c r="CA397" s="615"/>
      <c r="CB397" s="615"/>
      <c r="CC397" s="615"/>
      <c r="CD397" s="615"/>
      <c r="CE397" s="615"/>
      <c r="CF397" s="615"/>
      <c r="CG397" s="615"/>
      <c r="CH397" s="635"/>
      <c r="CI397" s="636"/>
      <c r="CJ397" s="615"/>
      <c r="CK397" s="615"/>
      <c r="CL397" s="615">
        <v>75</v>
      </c>
      <c r="CM397" s="615">
        <v>75</v>
      </c>
      <c r="CN397" s="615">
        <v>75</v>
      </c>
      <c r="CO397" s="615"/>
      <c r="CP397" s="615"/>
      <c r="CQ397" s="615"/>
      <c r="CR397" s="615"/>
      <c r="CS397" s="615"/>
      <c r="CT397" s="635"/>
      <c r="CU397" s="636"/>
      <c r="CV397" s="615"/>
      <c r="CW397" s="615"/>
      <c r="CX397" s="615"/>
      <c r="CY397" s="615"/>
      <c r="CZ397" s="615"/>
      <c r="DA397" s="615"/>
      <c r="DB397" s="615"/>
      <c r="DC397" s="615"/>
      <c r="DD397" s="615"/>
      <c r="DE397" s="615"/>
      <c r="DF397" s="635"/>
      <c r="DG397" s="636"/>
      <c r="DH397" s="615"/>
      <c r="DI397" s="615"/>
      <c r="DJ397" s="615"/>
      <c r="DK397" s="615"/>
      <c r="DL397" s="615"/>
      <c r="DM397" s="615"/>
      <c r="DN397" s="615"/>
      <c r="DO397" s="615"/>
      <c r="DP397" s="615"/>
      <c r="DQ397" s="615"/>
      <c r="DR397" s="635"/>
      <c r="DS397" s="636"/>
      <c r="DT397" s="615"/>
      <c r="DU397" s="615"/>
      <c r="DV397" s="615"/>
      <c r="DW397" s="615"/>
      <c r="DX397" s="615"/>
      <c r="DY397" s="615"/>
      <c r="DZ397" s="615"/>
      <c r="EA397" s="615"/>
      <c r="EB397" s="615"/>
      <c r="EC397" s="615"/>
      <c r="ED397" s="637"/>
      <c r="EE397" s="692"/>
    </row>
    <row r="398" spans="1:135" x14ac:dyDescent="0.25">
      <c r="A398" s="640" t="s">
        <v>11</v>
      </c>
      <c r="B398" s="367" t="s">
        <v>2377</v>
      </c>
      <c r="C398" s="367" t="s">
        <v>876</v>
      </c>
      <c r="D398" s="367" t="s">
        <v>2378</v>
      </c>
      <c r="E398" s="503" t="s">
        <v>2366</v>
      </c>
      <c r="F398" s="570">
        <v>44840</v>
      </c>
      <c r="G398" s="85" t="s">
        <v>58</v>
      </c>
      <c r="H398" s="85" t="s">
        <v>54</v>
      </c>
      <c r="I398" s="85" t="s">
        <v>358</v>
      </c>
      <c r="J398" s="675" t="s">
        <v>358</v>
      </c>
      <c r="K398" s="85" t="s">
        <v>358</v>
      </c>
      <c r="L398" s="85" t="s">
        <v>40</v>
      </c>
      <c r="M398" s="85" t="s">
        <v>3</v>
      </c>
      <c r="N398" s="668" t="s">
        <v>44</v>
      </c>
      <c r="O398" s="669"/>
      <c r="P398" s="615"/>
      <c r="Q398" s="615"/>
      <c r="R398" s="615"/>
      <c r="S398" s="615"/>
      <c r="T398" s="615"/>
      <c r="U398" s="615"/>
      <c r="V398" s="615"/>
      <c r="W398" s="615"/>
      <c r="X398" s="615"/>
      <c r="Y398" s="615"/>
      <c r="Z398" s="635"/>
      <c r="AA398" s="636"/>
      <c r="AB398" s="615"/>
      <c r="AC398" s="615"/>
      <c r="AD398" s="615">
        <v>-1.3</v>
      </c>
      <c r="AE398" s="615">
        <v>-1.3</v>
      </c>
      <c r="AF398" s="615">
        <v>-1.3</v>
      </c>
      <c r="AG398" s="615"/>
      <c r="AH398" s="615"/>
      <c r="AI398" s="615"/>
      <c r="AJ398" s="615"/>
      <c r="AK398" s="615"/>
      <c r="AL398" s="635"/>
      <c r="AM398" s="636"/>
      <c r="AN398" s="615"/>
      <c r="AO398" s="615"/>
      <c r="AP398" s="615"/>
      <c r="AQ398" s="615"/>
      <c r="AR398" s="615"/>
      <c r="AS398" s="615"/>
      <c r="AT398" s="615"/>
      <c r="AU398" s="615"/>
      <c r="AV398" s="615"/>
      <c r="AW398" s="615"/>
      <c r="AX398" s="635"/>
      <c r="AY398" s="636"/>
      <c r="AZ398" s="615"/>
      <c r="BA398" s="615"/>
      <c r="BB398" s="615"/>
      <c r="BC398" s="615"/>
      <c r="BD398" s="615"/>
      <c r="BE398" s="615"/>
      <c r="BF398" s="615"/>
      <c r="BG398" s="615"/>
      <c r="BH398" s="615"/>
      <c r="BI398" s="615"/>
      <c r="BJ398" s="635"/>
      <c r="BK398" s="636"/>
      <c r="BL398" s="615"/>
      <c r="BM398" s="615"/>
      <c r="BN398" s="615"/>
      <c r="BO398" s="615"/>
      <c r="BP398" s="615"/>
      <c r="BQ398" s="615"/>
      <c r="BR398" s="615"/>
      <c r="BS398" s="615"/>
      <c r="BT398" s="615"/>
      <c r="BU398" s="615"/>
      <c r="BV398" s="637"/>
      <c r="BW398" s="669"/>
      <c r="BX398" s="615"/>
      <c r="BY398" s="615"/>
      <c r="BZ398" s="615"/>
      <c r="CA398" s="615"/>
      <c r="CB398" s="615"/>
      <c r="CC398" s="615"/>
      <c r="CD398" s="615"/>
      <c r="CE398" s="615"/>
      <c r="CF398" s="615"/>
      <c r="CG398" s="615"/>
      <c r="CH398" s="635"/>
      <c r="CI398" s="636"/>
      <c r="CJ398" s="615"/>
      <c r="CK398" s="615"/>
      <c r="CL398" s="615">
        <v>75</v>
      </c>
      <c r="CM398" s="615">
        <v>75</v>
      </c>
      <c r="CN398" s="615">
        <v>75</v>
      </c>
      <c r="CO398" s="615"/>
      <c r="CP398" s="615"/>
      <c r="CQ398" s="615"/>
      <c r="CR398" s="615"/>
      <c r="CS398" s="615"/>
      <c r="CT398" s="635"/>
      <c r="CU398" s="636"/>
      <c r="CV398" s="615"/>
      <c r="CW398" s="615"/>
      <c r="CX398" s="615"/>
      <c r="CY398" s="615"/>
      <c r="CZ398" s="615"/>
      <c r="DA398" s="615"/>
      <c r="DB398" s="615"/>
      <c r="DC398" s="615"/>
      <c r="DD398" s="615"/>
      <c r="DE398" s="615"/>
      <c r="DF398" s="635"/>
      <c r="DG398" s="636"/>
      <c r="DH398" s="615"/>
      <c r="DI398" s="615"/>
      <c r="DJ398" s="615"/>
      <c r="DK398" s="615"/>
      <c r="DL398" s="615"/>
      <c r="DM398" s="615"/>
      <c r="DN398" s="615"/>
      <c r="DO398" s="615"/>
      <c r="DP398" s="615"/>
      <c r="DQ398" s="615"/>
      <c r="DR398" s="635"/>
      <c r="DS398" s="636"/>
      <c r="DT398" s="615"/>
      <c r="DU398" s="615"/>
      <c r="DV398" s="615"/>
      <c r="DW398" s="615"/>
      <c r="DX398" s="615"/>
      <c r="DY398" s="615"/>
      <c r="DZ398" s="615"/>
      <c r="EA398" s="615"/>
      <c r="EB398" s="615"/>
      <c r="EC398" s="615"/>
      <c r="ED398" s="637"/>
      <c r="EE398" s="692"/>
    </row>
    <row r="399" spans="1:135" x14ac:dyDescent="0.25">
      <c r="A399" s="640" t="s">
        <v>11</v>
      </c>
      <c r="B399" s="367" t="s">
        <v>2380</v>
      </c>
      <c r="C399" s="367" t="s">
        <v>876</v>
      </c>
      <c r="D399" s="367" t="s">
        <v>2381</v>
      </c>
      <c r="E399" s="503">
        <v>27907</v>
      </c>
      <c r="F399" s="570">
        <v>44840</v>
      </c>
      <c r="G399" s="85" t="s">
        <v>59</v>
      </c>
      <c r="H399" s="85" t="s">
        <v>54</v>
      </c>
      <c r="I399" s="85" t="s">
        <v>358</v>
      </c>
      <c r="J399" s="675" t="s">
        <v>358</v>
      </c>
      <c r="K399" s="85" t="s">
        <v>358</v>
      </c>
      <c r="L399" s="85" t="s">
        <v>40</v>
      </c>
      <c r="M399" s="85" t="s">
        <v>3</v>
      </c>
      <c r="N399" s="668" t="s">
        <v>44</v>
      </c>
      <c r="O399" s="669"/>
      <c r="P399" s="615"/>
      <c r="Q399" s="615"/>
      <c r="R399" s="615"/>
      <c r="S399" s="615"/>
      <c r="T399" s="615"/>
      <c r="U399" s="615"/>
      <c r="V399" s="615"/>
      <c r="W399" s="615"/>
      <c r="X399" s="615"/>
      <c r="Y399" s="615"/>
      <c r="Z399" s="635"/>
      <c r="AA399" s="636"/>
      <c r="AB399" s="615"/>
      <c r="AC399" s="615"/>
      <c r="AD399" s="615"/>
      <c r="AE399" s="615"/>
      <c r="AF399" s="615"/>
      <c r="AG399" s="615">
        <v>30</v>
      </c>
      <c r="AH399" s="615">
        <v>30</v>
      </c>
      <c r="AI399" s="615">
        <v>30</v>
      </c>
      <c r="AJ399" s="615">
        <v>30</v>
      </c>
      <c r="AK399" s="615">
        <v>30</v>
      </c>
      <c r="AL399" s="635">
        <v>30</v>
      </c>
      <c r="AM399" s="636"/>
      <c r="AN399" s="615"/>
      <c r="AO399" s="615"/>
      <c r="AP399" s="615"/>
      <c r="AQ399" s="615"/>
      <c r="AR399" s="615"/>
      <c r="AS399" s="615"/>
      <c r="AT399" s="615"/>
      <c r="AU399" s="615"/>
      <c r="AV399" s="615"/>
      <c r="AW399" s="615"/>
      <c r="AX399" s="635"/>
      <c r="AY399" s="636"/>
      <c r="AZ399" s="615"/>
      <c r="BA399" s="615"/>
      <c r="BB399" s="615"/>
      <c r="BC399" s="615"/>
      <c r="BD399" s="615"/>
      <c r="BE399" s="615"/>
      <c r="BF399" s="615"/>
      <c r="BG399" s="615"/>
      <c r="BH399" s="615"/>
      <c r="BI399" s="615"/>
      <c r="BJ399" s="635"/>
      <c r="BK399" s="636"/>
      <c r="BL399" s="615"/>
      <c r="BM399" s="615"/>
      <c r="BN399" s="615"/>
      <c r="BO399" s="615"/>
      <c r="BP399" s="615"/>
      <c r="BQ399" s="615"/>
      <c r="BR399" s="615"/>
      <c r="BS399" s="615"/>
      <c r="BT399" s="615"/>
      <c r="BU399" s="615"/>
      <c r="BV399" s="637"/>
      <c r="BW399" s="669"/>
      <c r="BX399" s="615"/>
      <c r="BY399" s="615"/>
      <c r="BZ399" s="615"/>
      <c r="CA399" s="615"/>
      <c r="CB399" s="615"/>
      <c r="CC399" s="615"/>
      <c r="CD399" s="615"/>
      <c r="CE399" s="615"/>
      <c r="CF399" s="615"/>
      <c r="CG399" s="615"/>
      <c r="CH399" s="635"/>
      <c r="CI399" s="636"/>
      <c r="CJ399" s="615"/>
      <c r="CK399" s="615"/>
      <c r="CL399" s="615"/>
      <c r="CM399" s="615"/>
      <c r="CN399" s="615"/>
      <c r="CO399" s="615">
        <v>127</v>
      </c>
      <c r="CP399" s="615">
        <v>127</v>
      </c>
      <c r="CQ399" s="615">
        <v>127</v>
      </c>
      <c r="CR399" s="615">
        <v>127</v>
      </c>
      <c r="CS399" s="615">
        <v>127</v>
      </c>
      <c r="CT399" s="635">
        <v>127</v>
      </c>
      <c r="CU399" s="636"/>
      <c r="CV399" s="615"/>
      <c r="CW399" s="615"/>
      <c r="CX399" s="615"/>
      <c r="CY399" s="615"/>
      <c r="CZ399" s="615"/>
      <c r="DA399" s="615"/>
      <c r="DB399" s="615"/>
      <c r="DC399" s="615"/>
      <c r="DD399" s="615"/>
      <c r="DE399" s="615"/>
      <c r="DF399" s="635"/>
      <c r="DG399" s="636"/>
      <c r="DH399" s="615"/>
      <c r="DI399" s="615"/>
      <c r="DJ399" s="615"/>
      <c r="DK399" s="615"/>
      <c r="DL399" s="615"/>
      <c r="DM399" s="615"/>
      <c r="DN399" s="615"/>
      <c r="DO399" s="615"/>
      <c r="DP399" s="615"/>
      <c r="DQ399" s="615"/>
      <c r="DR399" s="635"/>
      <c r="DS399" s="636"/>
      <c r="DT399" s="615"/>
      <c r="DU399" s="615"/>
      <c r="DV399" s="615"/>
      <c r="DW399" s="615"/>
      <c r="DX399" s="615"/>
      <c r="DY399" s="615"/>
      <c r="DZ399" s="615"/>
      <c r="EA399" s="615"/>
      <c r="EB399" s="615"/>
      <c r="EC399" s="615"/>
      <c r="ED399" s="637"/>
      <c r="EE399" s="692"/>
    </row>
    <row r="400" spans="1:135" x14ac:dyDescent="0.25">
      <c r="A400" s="640" t="s">
        <v>11</v>
      </c>
      <c r="B400" s="367" t="s">
        <v>2385</v>
      </c>
      <c r="C400" s="367" t="s">
        <v>590</v>
      </c>
      <c r="D400" s="367" t="s">
        <v>2386</v>
      </c>
      <c r="E400" s="503" t="s">
        <v>2383</v>
      </c>
      <c r="F400" s="570">
        <v>44841</v>
      </c>
      <c r="G400" s="85" t="s">
        <v>58</v>
      </c>
      <c r="H400" s="85" t="s">
        <v>54</v>
      </c>
      <c r="I400" s="85" t="s">
        <v>358</v>
      </c>
      <c r="J400" s="675" t="s">
        <v>358</v>
      </c>
      <c r="K400" s="85" t="s">
        <v>358</v>
      </c>
      <c r="L400" s="85" t="s">
        <v>40</v>
      </c>
      <c r="M400" s="85" t="s">
        <v>3</v>
      </c>
      <c r="N400" s="668" t="s">
        <v>44</v>
      </c>
      <c r="O400" s="669"/>
      <c r="P400" s="615"/>
      <c r="Q400" s="615"/>
      <c r="R400" s="615"/>
      <c r="S400" s="615"/>
      <c r="T400" s="615"/>
      <c r="U400" s="615"/>
      <c r="V400" s="615"/>
      <c r="W400" s="615"/>
      <c r="X400" s="615"/>
      <c r="Y400" s="615"/>
      <c r="Z400" s="635"/>
      <c r="AA400" s="636"/>
      <c r="AB400" s="615"/>
      <c r="AC400" s="615"/>
      <c r="AD400" s="615"/>
      <c r="AE400" s="615"/>
      <c r="AF400" s="615"/>
      <c r="AG400" s="615"/>
      <c r="AH400" s="615"/>
      <c r="AI400" s="615"/>
      <c r="AJ400" s="615"/>
      <c r="AK400" s="615"/>
      <c r="AL400" s="635">
        <v>-20</v>
      </c>
      <c r="AM400" s="636"/>
      <c r="AN400" s="615"/>
      <c r="AO400" s="615"/>
      <c r="AP400" s="615"/>
      <c r="AQ400" s="615"/>
      <c r="AR400" s="615"/>
      <c r="AS400" s="615"/>
      <c r="AT400" s="615"/>
      <c r="AU400" s="615"/>
      <c r="AV400" s="615"/>
      <c r="AW400" s="615"/>
      <c r="AX400" s="635"/>
      <c r="AY400" s="636"/>
      <c r="AZ400" s="615"/>
      <c r="BA400" s="615"/>
      <c r="BB400" s="615"/>
      <c r="BC400" s="615"/>
      <c r="BD400" s="615"/>
      <c r="BE400" s="615"/>
      <c r="BF400" s="615"/>
      <c r="BG400" s="615"/>
      <c r="BH400" s="615"/>
      <c r="BI400" s="615"/>
      <c r="BJ400" s="635"/>
      <c r="BK400" s="636"/>
      <c r="BL400" s="615"/>
      <c r="BM400" s="615"/>
      <c r="BN400" s="615"/>
      <c r="BO400" s="615"/>
      <c r="BP400" s="615"/>
      <c r="BQ400" s="615"/>
      <c r="BR400" s="615"/>
      <c r="BS400" s="615"/>
      <c r="BT400" s="615"/>
      <c r="BU400" s="615"/>
      <c r="BV400" s="637"/>
      <c r="BW400" s="669"/>
      <c r="BX400" s="615"/>
      <c r="BY400" s="615"/>
      <c r="BZ400" s="615"/>
      <c r="CA400" s="615"/>
      <c r="CB400" s="615"/>
      <c r="CC400" s="615"/>
      <c r="CD400" s="615"/>
      <c r="CE400" s="615"/>
      <c r="CF400" s="615"/>
      <c r="CG400" s="615"/>
      <c r="CH400" s="635"/>
      <c r="CI400" s="636"/>
      <c r="CJ400" s="615"/>
      <c r="CK400" s="615"/>
      <c r="CL400" s="615"/>
      <c r="CM400" s="615"/>
      <c r="CN400" s="615"/>
      <c r="CO400" s="615"/>
      <c r="CP400" s="615"/>
      <c r="CQ400" s="615"/>
      <c r="CR400" s="615"/>
      <c r="CS400" s="615"/>
      <c r="CT400" s="635">
        <v>110</v>
      </c>
      <c r="CU400" s="636"/>
      <c r="CV400" s="615"/>
      <c r="CW400" s="615"/>
      <c r="CX400" s="615"/>
      <c r="CY400" s="615"/>
      <c r="CZ400" s="615"/>
      <c r="DA400" s="615"/>
      <c r="DB400" s="615"/>
      <c r="DC400" s="615"/>
      <c r="DD400" s="615"/>
      <c r="DE400" s="615"/>
      <c r="DF400" s="635"/>
      <c r="DG400" s="636"/>
      <c r="DH400" s="615"/>
      <c r="DI400" s="615"/>
      <c r="DJ400" s="615"/>
      <c r="DK400" s="615"/>
      <c r="DL400" s="615"/>
      <c r="DM400" s="615"/>
      <c r="DN400" s="615"/>
      <c r="DO400" s="615"/>
      <c r="DP400" s="615"/>
      <c r="DQ400" s="615"/>
      <c r="DR400" s="635"/>
      <c r="DS400" s="636"/>
      <c r="DT400" s="615"/>
      <c r="DU400" s="615"/>
      <c r="DV400" s="615"/>
      <c r="DW400" s="615"/>
      <c r="DX400" s="615"/>
      <c r="DY400" s="615"/>
      <c r="DZ400" s="615"/>
      <c r="EA400" s="615"/>
      <c r="EB400" s="615"/>
      <c r="EC400" s="615"/>
      <c r="ED400" s="637"/>
      <c r="EE400" s="692"/>
    </row>
    <row r="401" spans="1:135" x14ac:dyDescent="0.25">
      <c r="A401" s="640" t="s">
        <v>11</v>
      </c>
      <c r="B401" s="367" t="s">
        <v>2387</v>
      </c>
      <c r="C401" s="367" t="s">
        <v>508</v>
      </c>
      <c r="D401" s="367" t="s">
        <v>2388</v>
      </c>
      <c r="E401" s="503" t="s">
        <v>2384</v>
      </c>
      <c r="F401" s="570">
        <v>44841</v>
      </c>
      <c r="G401" s="85" t="s">
        <v>58</v>
      </c>
      <c r="H401" s="85" t="s">
        <v>54</v>
      </c>
      <c r="I401" s="85" t="s">
        <v>358</v>
      </c>
      <c r="J401" s="675" t="s">
        <v>358</v>
      </c>
      <c r="K401" s="85" t="s">
        <v>358</v>
      </c>
      <c r="L401" s="85" t="s">
        <v>40</v>
      </c>
      <c r="M401" s="85" t="s">
        <v>3</v>
      </c>
      <c r="N401" s="668" t="s">
        <v>44</v>
      </c>
      <c r="O401" s="669"/>
      <c r="P401" s="615"/>
      <c r="Q401" s="615"/>
      <c r="R401" s="615"/>
      <c r="S401" s="615"/>
      <c r="T401" s="615"/>
      <c r="U401" s="615"/>
      <c r="V401" s="615"/>
      <c r="W401" s="615"/>
      <c r="X401" s="615"/>
      <c r="Y401" s="615"/>
      <c r="Z401" s="635"/>
      <c r="AA401" s="636">
        <v>-2</v>
      </c>
      <c r="AB401" s="615">
        <v>-2</v>
      </c>
      <c r="AC401" s="615">
        <v>-2</v>
      </c>
      <c r="AD401" s="615">
        <v>-2</v>
      </c>
      <c r="AE401" s="615">
        <v>-2</v>
      </c>
      <c r="AF401" s="615">
        <v>-2</v>
      </c>
      <c r="AG401" s="615"/>
      <c r="AH401" s="615"/>
      <c r="AI401" s="615"/>
      <c r="AJ401" s="615"/>
      <c r="AK401" s="615"/>
      <c r="AL401" s="635"/>
      <c r="AM401" s="636"/>
      <c r="AN401" s="615"/>
      <c r="AO401" s="615"/>
      <c r="AP401" s="615"/>
      <c r="AQ401" s="615"/>
      <c r="AR401" s="615"/>
      <c r="AS401" s="615"/>
      <c r="AT401" s="615"/>
      <c r="AU401" s="615"/>
      <c r="AV401" s="615"/>
      <c r="AW401" s="615"/>
      <c r="AX401" s="635"/>
      <c r="AY401" s="636"/>
      <c r="AZ401" s="615"/>
      <c r="BA401" s="615"/>
      <c r="BB401" s="615"/>
      <c r="BC401" s="615"/>
      <c r="BD401" s="615"/>
      <c r="BE401" s="615"/>
      <c r="BF401" s="615"/>
      <c r="BG401" s="615"/>
      <c r="BH401" s="615"/>
      <c r="BI401" s="615"/>
      <c r="BJ401" s="635"/>
      <c r="BK401" s="636"/>
      <c r="BL401" s="615"/>
      <c r="BM401" s="615"/>
      <c r="BN401" s="615"/>
      <c r="BO401" s="615"/>
      <c r="BP401" s="615"/>
      <c r="BQ401" s="615"/>
      <c r="BR401" s="615"/>
      <c r="BS401" s="615"/>
      <c r="BT401" s="615"/>
      <c r="BU401" s="615"/>
      <c r="BV401" s="637"/>
      <c r="BW401" s="669"/>
      <c r="BX401" s="615"/>
      <c r="BY401" s="615"/>
      <c r="BZ401" s="615"/>
      <c r="CA401" s="615"/>
      <c r="CB401" s="615"/>
      <c r="CC401" s="615"/>
      <c r="CD401" s="615"/>
      <c r="CE401" s="615"/>
      <c r="CF401" s="615"/>
      <c r="CG401" s="615"/>
      <c r="CH401" s="635"/>
      <c r="CI401" s="636">
        <v>73</v>
      </c>
      <c r="CJ401" s="615">
        <v>73</v>
      </c>
      <c r="CK401" s="615">
        <v>73</v>
      </c>
      <c r="CL401" s="615">
        <v>73</v>
      </c>
      <c r="CM401" s="615">
        <v>73</v>
      </c>
      <c r="CN401" s="615">
        <v>73</v>
      </c>
      <c r="CO401" s="615"/>
      <c r="CP401" s="615"/>
      <c r="CQ401" s="615"/>
      <c r="CR401" s="615"/>
      <c r="CS401" s="615"/>
      <c r="CT401" s="635"/>
      <c r="CU401" s="636"/>
      <c r="CV401" s="615"/>
      <c r="CW401" s="615"/>
      <c r="CX401" s="615"/>
      <c r="CY401" s="615"/>
      <c r="CZ401" s="615"/>
      <c r="DA401" s="615"/>
      <c r="DB401" s="615"/>
      <c r="DC401" s="615"/>
      <c r="DD401" s="615"/>
      <c r="DE401" s="615"/>
      <c r="DF401" s="635"/>
      <c r="DG401" s="636"/>
      <c r="DH401" s="615"/>
      <c r="DI401" s="615"/>
      <c r="DJ401" s="615"/>
      <c r="DK401" s="615"/>
      <c r="DL401" s="615"/>
      <c r="DM401" s="615"/>
      <c r="DN401" s="615"/>
      <c r="DO401" s="615"/>
      <c r="DP401" s="615"/>
      <c r="DQ401" s="615"/>
      <c r="DR401" s="635"/>
      <c r="DS401" s="636"/>
      <c r="DT401" s="615"/>
      <c r="DU401" s="615"/>
      <c r="DV401" s="615"/>
      <c r="DW401" s="615"/>
      <c r="DX401" s="615"/>
      <c r="DY401" s="615"/>
      <c r="DZ401" s="615"/>
      <c r="EA401" s="615"/>
      <c r="EB401" s="615"/>
      <c r="EC401" s="615"/>
      <c r="ED401" s="637"/>
      <c r="EE401" s="692"/>
    </row>
    <row r="402" spans="1:135" x14ac:dyDescent="0.25">
      <c r="A402" s="640" t="s">
        <v>11</v>
      </c>
      <c r="B402" s="367" t="s">
        <v>2394</v>
      </c>
      <c r="C402" s="367" t="s">
        <v>2017</v>
      </c>
      <c r="D402" s="367" t="s">
        <v>2395</v>
      </c>
      <c r="E402" s="503" t="s">
        <v>2390</v>
      </c>
      <c r="F402" s="570">
        <v>44844</v>
      </c>
      <c r="G402" s="85" t="s">
        <v>58</v>
      </c>
      <c r="H402" s="85" t="s">
        <v>54</v>
      </c>
      <c r="I402" s="85" t="s">
        <v>358</v>
      </c>
      <c r="J402" s="675" t="s">
        <v>358</v>
      </c>
      <c r="K402" s="85" t="s">
        <v>358</v>
      </c>
      <c r="L402" s="85" t="s">
        <v>40</v>
      </c>
      <c r="M402" s="85" t="s">
        <v>3</v>
      </c>
      <c r="N402" s="668" t="s">
        <v>44</v>
      </c>
      <c r="O402" s="669"/>
      <c r="P402" s="615"/>
      <c r="Q402" s="615"/>
      <c r="R402" s="615"/>
      <c r="S402" s="615"/>
      <c r="T402" s="615"/>
      <c r="U402" s="615"/>
      <c r="V402" s="615"/>
      <c r="W402" s="615"/>
      <c r="X402" s="615"/>
      <c r="Y402" s="615"/>
      <c r="Z402" s="635"/>
      <c r="AA402" s="636">
        <v>-5</v>
      </c>
      <c r="AB402" s="615">
        <v>-5</v>
      </c>
      <c r="AC402" s="615">
        <v>-5</v>
      </c>
      <c r="AD402" s="615"/>
      <c r="AE402" s="615"/>
      <c r="AF402" s="615"/>
      <c r="AG402" s="615"/>
      <c r="AH402" s="615"/>
      <c r="AI402" s="615"/>
      <c r="AJ402" s="615"/>
      <c r="AK402" s="615"/>
      <c r="AL402" s="635"/>
      <c r="AM402" s="636"/>
      <c r="AN402" s="615"/>
      <c r="AO402" s="615"/>
      <c r="AP402" s="615"/>
      <c r="AQ402" s="615"/>
      <c r="AR402" s="615"/>
      <c r="AS402" s="615"/>
      <c r="AT402" s="615"/>
      <c r="AU402" s="615"/>
      <c r="AV402" s="615"/>
      <c r="AW402" s="615"/>
      <c r="AX402" s="635"/>
      <c r="AY402" s="636"/>
      <c r="AZ402" s="615"/>
      <c r="BA402" s="615"/>
      <c r="BB402" s="615"/>
      <c r="BC402" s="615"/>
      <c r="BD402" s="615"/>
      <c r="BE402" s="615"/>
      <c r="BF402" s="615"/>
      <c r="BG402" s="615"/>
      <c r="BH402" s="615"/>
      <c r="BI402" s="615"/>
      <c r="BJ402" s="635"/>
      <c r="BK402" s="636"/>
      <c r="BL402" s="615"/>
      <c r="BM402" s="615"/>
      <c r="BN402" s="615"/>
      <c r="BO402" s="615"/>
      <c r="BP402" s="615"/>
      <c r="BQ402" s="615"/>
      <c r="BR402" s="615"/>
      <c r="BS402" s="615"/>
      <c r="BT402" s="615"/>
      <c r="BU402" s="615"/>
      <c r="BV402" s="637"/>
      <c r="BW402" s="669"/>
      <c r="BX402" s="615"/>
      <c r="BY402" s="615"/>
      <c r="BZ402" s="615"/>
      <c r="CA402" s="615"/>
      <c r="CB402" s="615"/>
      <c r="CC402" s="615"/>
      <c r="CD402" s="615"/>
      <c r="CE402" s="615"/>
      <c r="CF402" s="615"/>
      <c r="CG402" s="615"/>
      <c r="CH402" s="635"/>
      <c r="CI402" s="636">
        <v>72</v>
      </c>
      <c r="CJ402" s="615">
        <v>72</v>
      </c>
      <c r="CK402" s="615">
        <v>72</v>
      </c>
      <c r="CL402" s="615"/>
      <c r="CM402" s="615"/>
      <c r="CN402" s="615"/>
      <c r="CO402" s="615"/>
      <c r="CP402" s="615"/>
      <c r="CQ402" s="615"/>
      <c r="CR402" s="615"/>
      <c r="CS402" s="615"/>
      <c r="CT402" s="635"/>
      <c r="CU402" s="636"/>
      <c r="CV402" s="615"/>
      <c r="CW402" s="615"/>
      <c r="CX402" s="615"/>
      <c r="CY402" s="615"/>
      <c r="CZ402" s="615"/>
      <c r="DA402" s="615"/>
      <c r="DB402" s="615"/>
      <c r="DC402" s="615"/>
      <c r="DD402" s="615"/>
      <c r="DE402" s="615"/>
      <c r="DF402" s="635"/>
      <c r="DG402" s="636"/>
      <c r="DH402" s="615"/>
      <c r="DI402" s="615"/>
      <c r="DJ402" s="615"/>
      <c r="DK402" s="615"/>
      <c r="DL402" s="615"/>
      <c r="DM402" s="615"/>
      <c r="DN402" s="615"/>
      <c r="DO402" s="615"/>
      <c r="DP402" s="615"/>
      <c r="DQ402" s="615"/>
      <c r="DR402" s="635"/>
      <c r="DS402" s="636"/>
      <c r="DT402" s="615"/>
      <c r="DU402" s="615"/>
      <c r="DV402" s="615"/>
      <c r="DW402" s="615"/>
      <c r="DX402" s="615"/>
      <c r="DY402" s="615"/>
      <c r="DZ402" s="615"/>
      <c r="EA402" s="615"/>
      <c r="EB402" s="615"/>
      <c r="EC402" s="615"/>
      <c r="ED402" s="637"/>
      <c r="EE402" s="692"/>
    </row>
    <row r="403" spans="1:135" x14ac:dyDescent="0.25">
      <c r="A403" s="640" t="s">
        <v>11</v>
      </c>
      <c r="B403" s="367" t="s">
        <v>2396</v>
      </c>
      <c r="C403" s="367" t="s">
        <v>478</v>
      </c>
      <c r="D403" s="367" t="s">
        <v>2397</v>
      </c>
      <c r="E403" s="503" t="s">
        <v>2391</v>
      </c>
      <c r="F403" s="570">
        <v>44844</v>
      </c>
      <c r="G403" s="85" t="s">
        <v>58</v>
      </c>
      <c r="H403" s="85" t="s">
        <v>54</v>
      </c>
      <c r="I403" s="85" t="s">
        <v>358</v>
      </c>
      <c r="J403" s="675" t="s">
        <v>358</v>
      </c>
      <c r="K403" s="85" t="s">
        <v>358</v>
      </c>
      <c r="L403" s="85" t="s">
        <v>40</v>
      </c>
      <c r="M403" s="85" t="s">
        <v>3</v>
      </c>
      <c r="N403" s="668" t="s">
        <v>44</v>
      </c>
      <c r="O403" s="669"/>
      <c r="P403" s="615"/>
      <c r="Q403" s="615"/>
      <c r="R403" s="615"/>
      <c r="S403" s="615"/>
      <c r="T403" s="615"/>
      <c r="U403" s="615"/>
      <c r="V403" s="615"/>
      <c r="W403" s="615"/>
      <c r="X403" s="615"/>
      <c r="Y403" s="615"/>
      <c r="Z403" s="635"/>
      <c r="AA403" s="636">
        <v>-10</v>
      </c>
      <c r="AB403" s="615">
        <v>-10</v>
      </c>
      <c r="AC403" s="615">
        <v>-10</v>
      </c>
      <c r="AD403" s="615"/>
      <c r="AE403" s="615"/>
      <c r="AF403" s="615"/>
      <c r="AG403" s="615"/>
      <c r="AH403" s="615"/>
      <c r="AI403" s="615"/>
      <c r="AJ403" s="615"/>
      <c r="AK403" s="615"/>
      <c r="AL403" s="635"/>
      <c r="AM403" s="636"/>
      <c r="AN403" s="615"/>
      <c r="AO403" s="615"/>
      <c r="AP403" s="615"/>
      <c r="AQ403" s="615"/>
      <c r="AR403" s="615"/>
      <c r="AS403" s="615"/>
      <c r="AT403" s="615"/>
      <c r="AU403" s="615"/>
      <c r="AV403" s="615"/>
      <c r="AW403" s="615"/>
      <c r="AX403" s="635"/>
      <c r="AY403" s="636"/>
      <c r="AZ403" s="615"/>
      <c r="BA403" s="615"/>
      <c r="BB403" s="615"/>
      <c r="BC403" s="615"/>
      <c r="BD403" s="615"/>
      <c r="BE403" s="615"/>
      <c r="BF403" s="615"/>
      <c r="BG403" s="615"/>
      <c r="BH403" s="615"/>
      <c r="BI403" s="615"/>
      <c r="BJ403" s="635"/>
      <c r="BK403" s="636"/>
      <c r="BL403" s="615"/>
      <c r="BM403" s="615"/>
      <c r="BN403" s="615"/>
      <c r="BO403" s="615"/>
      <c r="BP403" s="615"/>
      <c r="BQ403" s="615"/>
      <c r="BR403" s="615"/>
      <c r="BS403" s="615"/>
      <c r="BT403" s="615"/>
      <c r="BU403" s="615"/>
      <c r="BV403" s="637"/>
      <c r="BW403" s="669"/>
      <c r="BX403" s="615"/>
      <c r="BY403" s="615"/>
      <c r="BZ403" s="615"/>
      <c r="CA403" s="615"/>
      <c r="CB403" s="615"/>
      <c r="CC403" s="615"/>
      <c r="CD403" s="615"/>
      <c r="CE403" s="615"/>
      <c r="CF403" s="615"/>
      <c r="CG403" s="615"/>
      <c r="CH403" s="635"/>
      <c r="CI403" s="636">
        <v>72.2</v>
      </c>
      <c r="CJ403" s="615">
        <v>72.2</v>
      </c>
      <c r="CK403" s="615">
        <v>72.2</v>
      </c>
      <c r="CL403" s="615"/>
      <c r="CM403" s="615"/>
      <c r="CN403" s="615"/>
      <c r="CO403" s="615"/>
      <c r="CP403" s="615"/>
      <c r="CQ403" s="615"/>
      <c r="CR403" s="615"/>
      <c r="CS403" s="615"/>
      <c r="CT403" s="635"/>
      <c r="CU403" s="636"/>
      <c r="CV403" s="615"/>
      <c r="CW403" s="615"/>
      <c r="CX403" s="615"/>
      <c r="CY403" s="615"/>
      <c r="CZ403" s="615"/>
      <c r="DA403" s="615"/>
      <c r="DB403" s="615"/>
      <c r="DC403" s="615"/>
      <c r="DD403" s="615"/>
      <c r="DE403" s="615"/>
      <c r="DF403" s="635"/>
      <c r="DG403" s="636"/>
      <c r="DH403" s="615"/>
      <c r="DI403" s="615"/>
      <c r="DJ403" s="615"/>
      <c r="DK403" s="615"/>
      <c r="DL403" s="615"/>
      <c r="DM403" s="615"/>
      <c r="DN403" s="615"/>
      <c r="DO403" s="615"/>
      <c r="DP403" s="615"/>
      <c r="DQ403" s="615"/>
      <c r="DR403" s="635"/>
      <c r="DS403" s="636"/>
      <c r="DT403" s="615"/>
      <c r="DU403" s="615"/>
      <c r="DV403" s="615"/>
      <c r="DW403" s="615"/>
      <c r="DX403" s="615"/>
      <c r="DY403" s="615"/>
      <c r="DZ403" s="615"/>
      <c r="EA403" s="615"/>
      <c r="EB403" s="615"/>
      <c r="EC403" s="615"/>
      <c r="ED403" s="637"/>
      <c r="EE403" s="692"/>
    </row>
    <row r="404" spans="1:135" x14ac:dyDescent="0.25">
      <c r="A404" s="640" t="s">
        <v>11</v>
      </c>
      <c r="B404" s="367" t="s">
        <v>2402</v>
      </c>
      <c r="C404" s="367" t="s">
        <v>2121</v>
      </c>
      <c r="D404" s="367" t="s">
        <v>2403</v>
      </c>
      <c r="E404" s="503" t="s">
        <v>2399</v>
      </c>
      <c r="F404" s="570">
        <v>44847</v>
      </c>
      <c r="G404" s="85" t="s">
        <v>59</v>
      </c>
      <c r="H404" s="85" t="s">
        <v>54</v>
      </c>
      <c r="I404" s="85" t="s">
        <v>358</v>
      </c>
      <c r="J404" s="675" t="s">
        <v>358</v>
      </c>
      <c r="K404" s="85" t="s">
        <v>358</v>
      </c>
      <c r="L404" s="85" t="s">
        <v>40</v>
      </c>
      <c r="M404" s="85" t="s">
        <v>3</v>
      </c>
      <c r="N404" s="668" t="s">
        <v>44</v>
      </c>
      <c r="O404" s="669"/>
      <c r="P404" s="615"/>
      <c r="Q404" s="615"/>
      <c r="R404" s="615"/>
      <c r="S404" s="615"/>
      <c r="T404" s="615"/>
      <c r="U404" s="615"/>
      <c r="V404" s="615"/>
      <c r="W404" s="615"/>
      <c r="X404" s="615"/>
      <c r="Y404" s="615"/>
      <c r="Z404" s="635"/>
      <c r="AA404" s="636"/>
      <c r="AB404" s="615"/>
      <c r="AC404" s="615"/>
      <c r="AD404" s="615"/>
      <c r="AE404" s="615"/>
      <c r="AF404" s="615"/>
      <c r="AG404" s="615">
        <v>10</v>
      </c>
      <c r="AH404" s="615">
        <v>10</v>
      </c>
      <c r="AI404" s="615">
        <v>10</v>
      </c>
      <c r="AJ404" s="615">
        <v>10</v>
      </c>
      <c r="AK404" s="615">
        <v>10</v>
      </c>
      <c r="AL404" s="635">
        <v>10</v>
      </c>
      <c r="AM404" s="636"/>
      <c r="AN404" s="615"/>
      <c r="AO404" s="615"/>
      <c r="AP404" s="615"/>
      <c r="AQ404" s="615"/>
      <c r="AR404" s="615"/>
      <c r="AS404" s="615"/>
      <c r="AT404" s="615"/>
      <c r="AU404" s="615"/>
      <c r="AV404" s="615"/>
      <c r="AW404" s="615"/>
      <c r="AX404" s="635"/>
      <c r="AY404" s="636"/>
      <c r="AZ404" s="615"/>
      <c r="BA404" s="615"/>
      <c r="BB404" s="615"/>
      <c r="BC404" s="615"/>
      <c r="BD404" s="615"/>
      <c r="BE404" s="615"/>
      <c r="BF404" s="615"/>
      <c r="BG404" s="615"/>
      <c r="BH404" s="615"/>
      <c r="BI404" s="615"/>
      <c r="BJ404" s="635"/>
      <c r="BK404" s="636"/>
      <c r="BL404" s="615"/>
      <c r="BM404" s="615"/>
      <c r="BN404" s="615"/>
      <c r="BO404" s="615"/>
      <c r="BP404" s="615"/>
      <c r="BQ404" s="615"/>
      <c r="BR404" s="615"/>
      <c r="BS404" s="615"/>
      <c r="BT404" s="615"/>
      <c r="BU404" s="615"/>
      <c r="BV404" s="637"/>
      <c r="BW404" s="669"/>
      <c r="BX404" s="615"/>
      <c r="BY404" s="615"/>
      <c r="BZ404" s="615"/>
      <c r="CA404" s="615"/>
      <c r="CB404" s="615"/>
      <c r="CC404" s="615"/>
      <c r="CD404" s="615"/>
      <c r="CE404" s="615"/>
      <c r="CF404" s="615"/>
      <c r="CG404" s="615"/>
      <c r="CH404" s="635"/>
      <c r="CI404" s="636"/>
      <c r="CJ404" s="615"/>
      <c r="CK404" s="615"/>
      <c r="CL404" s="615"/>
      <c r="CM404" s="615"/>
      <c r="CN404" s="615"/>
      <c r="CO404" s="615">
        <v>115</v>
      </c>
      <c r="CP404" s="615">
        <v>115</v>
      </c>
      <c r="CQ404" s="615">
        <v>115</v>
      </c>
      <c r="CR404" s="615">
        <v>115</v>
      </c>
      <c r="CS404" s="615">
        <v>115</v>
      </c>
      <c r="CT404" s="635">
        <v>115</v>
      </c>
      <c r="CU404" s="636"/>
      <c r="CV404" s="615"/>
      <c r="CW404" s="615"/>
      <c r="CX404" s="615"/>
      <c r="CY404" s="615"/>
      <c r="CZ404" s="615"/>
      <c r="DA404" s="615"/>
      <c r="DB404" s="615"/>
      <c r="DC404" s="615"/>
      <c r="DD404" s="615"/>
      <c r="DE404" s="615"/>
      <c r="DF404" s="635"/>
      <c r="DG404" s="636"/>
      <c r="DH404" s="615"/>
      <c r="DI404" s="615"/>
      <c r="DJ404" s="615"/>
      <c r="DK404" s="615"/>
      <c r="DL404" s="615"/>
      <c r="DM404" s="615"/>
      <c r="DN404" s="615"/>
      <c r="DO404" s="615"/>
      <c r="DP404" s="615"/>
      <c r="DQ404" s="615"/>
      <c r="DR404" s="635"/>
      <c r="DS404" s="636"/>
      <c r="DT404" s="615"/>
      <c r="DU404" s="615"/>
      <c r="DV404" s="615"/>
      <c r="DW404" s="615"/>
      <c r="DX404" s="615"/>
      <c r="DY404" s="615"/>
      <c r="DZ404" s="615"/>
      <c r="EA404" s="615"/>
      <c r="EB404" s="615"/>
      <c r="EC404" s="615"/>
      <c r="ED404" s="637"/>
      <c r="EE404" s="692"/>
    </row>
    <row r="405" spans="1:135" x14ac:dyDescent="0.25">
      <c r="A405" s="640" t="s">
        <v>11</v>
      </c>
      <c r="B405" s="367" t="s">
        <v>2404</v>
      </c>
      <c r="C405" s="367" t="s">
        <v>2351</v>
      </c>
      <c r="D405" s="367" t="s">
        <v>2405</v>
      </c>
      <c r="E405" s="503" t="s">
        <v>2400</v>
      </c>
      <c r="F405" s="570">
        <v>44847</v>
      </c>
      <c r="G405" s="85" t="s">
        <v>59</v>
      </c>
      <c r="H405" s="85" t="s">
        <v>54</v>
      </c>
      <c r="I405" s="85" t="s">
        <v>358</v>
      </c>
      <c r="J405" s="675" t="s">
        <v>358</v>
      </c>
      <c r="K405" s="85" t="s">
        <v>358</v>
      </c>
      <c r="L405" s="85" t="s">
        <v>40</v>
      </c>
      <c r="M405" s="85" t="s">
        <v>3</v>
      </c>
      <c r="N405" s="668" t="s">
        <v>44</v>
      </c>
      <c r="O405" s="669"/>
      <c r="P405" s="615"/>
      <c r="Q405" s="615"/>
      <c r="R405" s="615"/>
      <c r="S405" s="615"/>
      <c r="T405" s="615"/>
      <c r="U405" s="615"/>
      <c r="V405" s="615"/>
      <c r="W405" s="615"/>
      <c r="X405" s="615"/>
      <c r="Y405" s="615"/>
      <c r="Z405" s="635"/>
      <c r="AA405" s="636"/>
      <c r="AB405" s="615"/>
      <c r="AC405" s="615"/>
      <c r="AD405" s="615"/>
      <c r="AE405" s="615"/>
      <c r="AF405" s="615"/>
      <c r="AG405" s="615">
        <v>4</v>
      </c>
      <c r="AH405" s="615">
        <v>4</v>
      </c>
      <c r="AI405" s="615">
        <v>4</v>
      </c>
      <c r="AJ405" s="615">
        <v>4</v>
      </c>
      <c r="AK405" s="615">
        <v>4</v>
      </c>
      <c r="AL405" s="635">
        <v>4</v>
      </c>
      <c r="AM405" s="636"/>
      <c r="AN405" s="615"/>
      <c r="AO405" s="615"/>
      <c r="AP405" s="615"/>
      <c r="AQ405" s="615"/>
      <c r="AR405" s="615"/>
      <c r="AS405" s="615"/>
      <c r="AT405" s="615"/>
      <c r="AU405" s="615"/>
      <c r="AV405" s="615"/>
      <c r="AW405" s="615"/>
      <c r="AX405" s="635"/>
      <c r="AY405" s="636"/>
      <c r="AZ405" s="615"/>
      <c r="BA405" s="615"/>
      <c r="BB405" s="615"/>
      <c r="BC405" s="615"/>
      <c r="BD405" s="615"/>
      <c r="BE405" s="615"/>
      <c r="BF405" s="615"/>
      <c r="BG405" s="615"/>
      <c r="BH405" s="615"/>
      <c r="BI405" s="615"/>
      <c r="BJ405" s="635"/>
      <c r="BK405" s="636"/>
      <c r="BL405" s="615"/>
      <c r="BM405" s="615"/>
      <c r="BN405" s="615"/>
      <c r="BO405" s="615"/>
      <c r="BP405" s="615"/>
      <c r="BQ405" s="615"/>
      <c r="BR405" s="615"/>
      <c r="BS405" s="615"/>
      <c r="BT405" s="615"/>
      <c r="BU405" s="615"/>
      <c r="BV405" s="637"/>
      <c r="BW405" s="669"/>
      <c r="BX405" s="615"/>
      <c r="BY405" s="615"/>
      <c r="BZ405" s="615"/>
      <c r="CA405" s="615"/>
      <c r="CB405" s="615"/>
      <c r="CC405" s="615"/>
      <c r="CD405" s="615"/>
      <c r="CE405" s="615"/>
      <c r="CF405" s="615"/>
      <c r="CG405" s="615"/>
      <c r="CH405" s="635"/>
      <c r="CI405" s="636"/>
      <c r="CJ405" s="615"/>
      <c r="CK405" s="615"/>
      <c r="CL405" s="615"/>
      <c r="CM405" s="615"/>
      <c r="CN405" s="615"/>
      <c r="CO405" s="615">
        <v>115</v>
      </c>
      <c r="CP405" s="615">
        <v>115</v>
      </c>
      <c r="CQ405" s="615">
        <v>115</v>
      </c>
      <c r="CR405" s="615">
        <v>115</v>
      </c>
      <c r="CS405" s="615">
        <v>115</v>
      </c>
      <c r="CT405" s="635">
        <v>115</v>
      </c>
      <c r="CU405" s="636"/>
      <c r="CV405" s="615"/>
      <c r="CW405" s="615"/>
      <c r="CX405" s="615"/>
      <c r="CY405" s="615"/>
      <c r="CZ405" s="615"/>
      <c r="DA405" s="615"/>
      <c r="DB405" s="615"/>
      <c r="DC405" s="615"/>
      <c r="DD405" s="615"/>
      <c r="DE405" s="615"/>
      <c r="DF405" s="635"/>
      <c r="DG405" s="636"/>
      <c r="DH405" s="615"/>
      <c r="DI405" s="615"/>
      <c r="DJ405" s="615"/>
      <c r="DK405" s="615"/>
      <c r="DL405" s="615"/>
      <c r="DM405" s="615"/>
      <c r="DN405" s="615"/>
      <c r="DO405" s="615"/>
      <c r="DP405" s="615"/>
      <c r="DQ405" s="615"/>
      <c r="DR405" s="635"/>
      <c r="DS405" s="636"/>
      <c r="DT405" s="615"/>
      <c r="DU405" s="615"/>
      <c r="DV405" s="615"/>
      <c r="DW405" s="615"/>
      <c r="DX405" s="615"/>
      <c r="DY405" s="615"/>
      <c r="DZ405" s="615"/>
      <c r="EA405" s="615"/>
      <c r="EB405" s="615"/>
      <c r="EC405" s="615"/>
      <c r="ED405" s="637"/>
      <c r="EE405" s="692"/>
    </row>
    <row r="406" spans="1:135" x14ac:dyDescent="0.25">
      <c r="A406" s="640" t="s">
        <v>11</v>
      </c>
      <c r="B406" s="367" t="s">
        <v>2406</v>
      </c>
      <c r="C406" s="367" t="s">
        <v>471</v>
      </c>
      <c r="D406" s="367" t="s">
        <v>2407</v>
      </c>
      <c r="E406" s="503" t="s">
        <v>2401</v>
      </c>
      <c r="F406" s="570">
        <v>44847</v>
      </c>
      <c r="G406" s="85" t="s">
        <v>59</v>
      </c>
      <c r="H406" s="85" t="s">
        <v>54</v>
      </c>
      <c r="I406" s="85" t="s">
        <v>358</v>
      </c>
      <c r="J406" s="675" t="s">
        <v>358</v>
      </c>
      <c r="K406" s="85" t="s">
        <v>358</v>
      </c>
      <c r="L406" s="85" t="s">
        <v>40</v>
      </c>
      <c r="M406" s="85" t="s">
        <v>3</v>
      </c>
      <c r="N406" s="668" t="s">
        <v>44</v>
      </c>
      <c r="O406" s="669"/>
      <c r="P406" s="615"/>
      <c r="Q406" s="615"/>
      <c r="R406" s="615"/>
      <c r="S406" s="615"/>
      <c r="T406" s="615"/>
      <c r="U406" s="615"/>
      <c r="V406" s="615"/>
      <c r="W406" s="615"/>
      <c r="X406" s="615"/>
      <c r="Y406" s="615"/>
      <c r="Z406" s="635"/>
      <c r="AA406" s="636"/>
      <c r="AB406" s="615"/>
      <c r="AC406" s="615"/>
      <c r="AD406" s="615"/>
      <c r="AE406" s="615"/>
      <c r="AF406" s="615"/>
      <c r="AG406" s="615">
        <v>1</v>
      </c>
      <c r="AH406" s="615">
        <v>1</v>
      </c>
      <c r="AI406" s="615">
        <v>1</v>
      </c>
      <c r="AJ406" s="615">
        <v>1</v>
      </c>
      <c r="AK406" s="615">
        <v>1</v>
      </c>
      <c r="AL406" s="635">
        <v>1</v>
      </c>
      <c r="AM406" s="636"/>
      <c r="AN406" s="615"/>
      <c r="AO406" s="615"/>
      <c r="AP406" s="615"/>
      <c r="AQ406" s="615"/>
      <c r="AR406" s="615"/>
      <c r="AS406" s="615"/>
      <c r="AT406" s="615"/>
      <c r="AU406" s="615"/>
      <c r="AV406" s="615"/>
      <c r="AW406" s="615"/>
      <c r="AX406" s="635"/>
      <c r="AY406" s="636"/>
      <c r="AZ406" s="615"/>
      <c r="BA406" s="615"/>
      <c r="BB406" s="615"/>
      <c r="BC406" s="615"/>
      <c r="BD406" s="615"/>
      <c r="BE406" s="615"/>
      <c r="BF406" s="615"/>
      <c r="BG406" s="615"/>
      <c r="BH406" s="615"/>
      <c r="BI406" s="615"/>
      <c r="BJ406" s="635"/>
      <c r="BK406" s="636"/>
      <c r="BL406" s="615"/>
      <c r="BM406" s="615"/>
      <c r="BN406" s="615"/>
      <c r="BO406" s="615"/>
      <c r="BP406" s="615"/>
      <c r="BQ406" s="615"/>
      <c r="BR406" s="615"/>
      <c r="BS406" s="615"/>
      <c r="BT406" s="615"/>
      <c r="BU406" s="615"/>
      <c r="BV406" s="637"/>
      <c r="BW406" s="669"/>
      <c r="BX406" s="615"/>
      <c r="BY406" s="615"/>
      <c r="BZ406" s="615"/>
      <c r="CA406" s="615"/>
      <c r="CB406" s="615"/>
      <c r="CC406" s="615"/>
      <c r="CD406" s="615"/>
      <c r="CE406" s="615"/>
      <c r="CF406" s="615"/>
      <c r="CG406" s="615"/>
      <c r="CH406" s="635"/>
      <c r="CI406" s="636"/>
      <c r="CJ406" s="615"/>
      <c r="CK406" s="615"/>
      <c r="CL406" s="615"/>
      <c r="CM406" s="615"/>
      <c r="CN406" s="615"/>
      <c r="CO406" s="615">
        <v>115.5</v>
      </c>
      <c r="CP406" s="615">
        <v>115.5</v>
      </c>
      <c r="CQ406" s="615">
        <v>115.5</v>
      </c>
      <c r="CR406" s="615">
        <v>115.5</v>
      </c>
      <c r="CS406" s="615">
        <v>115.5</v>
      </c>
      <c r="CT406" s="635">
        <v>115.5</v>
      </c>
      <c r="CU406" s="636"/>
      <c r="CV406" s="615"/>
      <c r="CW406" s="615"/>
      <c r="CX406" s="615"/>
      <c r="CY406" s="615"/>
      <c r="CZ406" s="615"/>
      <c r="DA406" s="615"/>
      <c r="DB406" s="615"/>
      <c r="DC406" s="615"/>
      <c r="DD406" s="615"/>
      <c r="DE406" s="615"/>
      <c r="DF406" s="635"/>
      <c r="DG406" s="636"/>
      <c r="DH406" s="615"/>
      <c r="DI406" s="615"/>
      <c r="DJ406" s="615"/>
      <c r="DK406" s="615"/>
      <c r="DL406" s="615"/>
      <c r="DM406" s="615"/>
      <c r="DN406" s="615"/>
      <c r="DO406" s="615"/>
      <c r="DP406" s="615"/>
      <c r="DQ406" s="615"/>
      <c r="DR406" s="635"/>
      <c r="DS406" s="636"/>
      <c r="DT406" s="615"/>
      <c r="DU406" s="615"/>
      <c r="DV406" s="615"/>
      <c r="DW406" s="615"/>
      <c r="DX406" s="615"/>
      <c r="DY406" s="615"/>
      <c r="DZ406" s="615"/>
      <c r="EA406" s="615"/>
      <c r="EB406" s="615"/>
      <c r="EC406" s="615"/>
      <c r="ED406" s="637"/>
      <c r="EE406" s="692"/>
    </row>
    <row r="407" spans="1:135" x14ac:dyDescent="0.25">
      <c r="A407" s="640" t="s">
        <v>11</v>
      </c>
      <c r="B407" s="367" t="s">
        <v>2418</v>
      </c>
      <c r="C407" s="367" t="s">
        <v>477</v>
      </c>
      <c r="D407" s="367" t="s">
        <v>2419</v>
      </c>
      <c r="E407" s="503" t="s">
        <v>2413</v>
      </c>
      <c r="F407" s="570">
        <v>44851</v>
      </c>
      <c r="G407" s="85" t="s">
        <v>59</v>
      </c>
      <c r="H407" s="85" t="s">
        <v>54</v>
      </c>
      <c r="I407" s="85" t="s">
        <v>358</v>
      </c>
      <c r="J407" s="675" t="s">
        <v>358</v>
      </c>
      <c r="K407" s="85" t="s">
        <v>358</v>
      </c>
      <c r="L407" s="85" t="s">
        <v>40</v>
      </c>
      <c r="M407" s="85" t="s">
        <v>3</v>
      </c>
      <c r="N407" s="668" t="s">
        <v>44</v>
      </c>
      <c r="O407" s="669"/>
      <c r="P407" s="615"/>
      <c r="Q407" s="615"/>
      <c r="R407" s="615"/>
      <c r="S407" s="615"/>
      <c r="T407" s="615"/>
      <c r="U407" s="615"/>
      <c r="V407" s="615"/>
      <c r="W407" s="615"/>
      <c r="X407" s="615"/>
      <c r="Y407" s="615"/>
      <c r="Z407" s="635"/>
      <c r="AA407" s="636"/>
      <c r="AB407" s="615"/>
      <c r="AC407" s="615"/>
      <c r="AD407" s="615"/>
      <c r="AE407" s="615"/>
      <c r="AF407" s="615"/>
      <c r="AG407" s="615"/>
      <c r="AH407" s="615"/>
      <c r="AI407" s="615"/>
      <c r="AJ407" s="615">
        <v>5</v>
      </c>
      <c r="AK407" s="615">
        <v>5</v>
      </c>
      <c r="AL407" s="635">
        <v>5</v>
      </c>
      <c r="AM407" s="636"/>
      <c r="AN407" s="615"/>
      <c r="AO407" s="615"/>
      <c r="AP407" s="615"/>
      <c r="AQ407" s="615"/>
      <c r="AR407" s="615"/>
      <c r="AS407" s="615"/>
      <c r="AT407" s="615"/>
      <c r="AU407" s="615"/>
      <c r="AV407" s="615"/>
      <c r="AW407" s="615"/>
      <c r="AX407" s="635"/>
      <c r="AY407" s="636"/>
      <c r="AZ407" s="615"/>
      <c r="BA407" s="615"/>
      <c r="BB407" s="615"/>
      <c r="BC407" s="615"/>
      <c r="BD407" s="615"/>
      <c r="BE407" s="615"/>
      <c r="BF407" s="615"/>
      <c r="BG407" s="615"/>
      <c r="BH407" s="615"/>
      <c r="BI407" s="615"/>
      <c r="BJ407" s="635"/>
      <c r="BK407" s="636"/>
      <c r="BL407" s="615"/>
      <c r="BM407" s="615"/>
      <c r="BN407" s="615"/>
      <c r="BO407" s="615"/>
      <c r="BP407" s="615"/>
      <c r="BQ407" s="615"/>
      <c r="BR407" s="615"/>
      <c r="BS407" s="615"/>
      <c r="BT407" s="615"/>
      <c r="BU407" s="615"/>
      <c r="BV407" s="637"/>
      <c r="BW407" s="669"/>
      <c r="BX407" s="615"/>
      <c r="BY407" s="615"/>
      <c r="BZ407" s="615"/>
      <c r="CA407" s="615"/>
      <c r="CB407" s="615"/>
      <c r="CC407" s="615"/>
      <c r="CD407" s="615"/>
      <c r="CE407" s="615"/>
      <c r="CF407" s="615"/>
      <c r="CG407" s="615"/>
      <c r="CH407" s="635"/>
      <c r="CI407" s="636"/>
      <c r="CJ407" s="615"/>
      <c r="CK407" s="615"/>
      <c r="CL407" s="615"/>
      <c r="CM407" s="615"/>
      <c r="CN407" s="615"/>
      <c r="CO407" s="615"/>
      <c r="CP407" s="615"/>
      <c r="CQ407" s="615"/>
      <c r="CR407" s="615">
        <v>115</v>
      </c>
      <c r="CS407" s="615">
        <v>115</v>
      </c>
      <c r="CT407" s="635">
        <v>115</v>
      </c>
      <c r="CU407" s="636"/>
      <c r="CV407" s="615"/>
      <c r="CW407" s="615"/>
      <c r="CX407" s="615"/>
      <c r="CY407" s="615"/>
      <c r="CZ407" s="615"/>
      <c r="DA407" s="615"/>
      <c r="DB407" s="615"/>
      <c r="DC407" s="615"/>
      <c r="DD407" s="615"/>
      <c r="DE407" s="615"/>
      <c r="DF407" s="635"/>
      <c r="DG407" s="636"/>
      <c r="DH407" s="615"/>
      <c r="DI407" s="615"/>
      <c r="DJ407" s="615"/>
      <c r="DK407" s="615"/>
      <c r="DL407" s="615"/>
      <c r="DM407" s="615"/>
      <c r="DN407" s="615"/>
      <c r="DO407" s="615"/>
      <c r="DP407" s="615"/>
      <c r="DQ407" s="615"/>
      <c r="DR407" s="635"/>
      <c r="DS407" s="636"/>
      <c r="DT407" s="615"/>
      <c r="DU407" s="615"/>
      <c r="DV407" s="615"/>
      <c r="DW407" s="615"/>
      <c r="DX407" s="615"/>
      <c r="DY407" s="615"/>
      <c r="DZ407" s="615"/>
      <c r="EA407" s="615"/>
      <c r="EB407" s="615"/>
      <c r="EC407" s="615"/>
      <c r="ED407" s="637"/>
      <c r="EE407" s="692"/>
    </row>
    <row r="408" spans="1:135" x14ac:dyDescent="0.25">
      <c r="A408" s="640" t="s">
        <v>11</v>
      </c>
      <c r="B408" s="367" t="s">
        <v>2420</v>
      </c>
      <c r="C408" s="367" t="s">
        <v>477</v>
      </c>
      <c r="D408" s="367" t="s">
        <v>2421</v>
      </c>
      <c r="E408" s="503" t="s">
        <v>2414</v>
      </c>
      <c r="F408" s="570">
        <v>44851</v>
      </c>
      <c r="G408" s="85" t="s">
        <v>58</v>
      </c>
      <c r="H408" s="85" t="s">
        <v>54</v>
      </c>
      <c r="I408" s="85" t="s">
        <v>358</v>
      </c>
      <c r="J408" s="675" t="s">
        <v>358</v>
      </c>
      <c r="K408" s="85" t="s">
        <v>358</v>
      </c>
      <c r="L408" s="85" t="s">
        <v>40</v>
      </c>
      <c r="M408" s="85" t="s">
        <v>3</v>
      </c>
      <c r="N408" s="668" t="s">
        <v>44</v>
      </c>
      <c r="O408" s="669"/>
      <c r="P408" s="615"/>
      <c r="Q408" s="615"/>
      <c r="R408" s="615"/>
      <c r="S408" s="615"/>
      <c r="T408" s="615"/>
      <c r="U408" s="615"/>
      <c r="V408" s="615"/>
      <c r="W408" s="615"/>
      <c r="X408" s="615"/>
      <c r="Y408" s="615"/>
      <c r="Z408" s="635"/>
      <c r="AA408" s="636"/>
      <c r="AB408" s="615"/>
      <c r="AC408" s="615"/>
      <c r="AD408" s="615"/>
      <c r="AE408" s="615"/>
      <c r="AF408" s="615"/>
      <c r="AG408" s="615">
        <v>-5</v>
      </c>
      <c r="AH408" s="615">
        <v>-5</v>
      </c>
      <c r="AI408" s="615">
        <v>-5</v>
      </c>
      <c r="AJ408" s="615"/>
      <c r="AK408" s="615"/>
      <c r="AL408" s="635"/>
      <c r="AM408" s="636"/>
      <c r="AN408" s="615"/>
      <c r="AO408" s="615"/>
      <c r="AP408" s="615"/>
      <c r="AQ408" s="615"/>
      <c r="AR408" s="615"/>
      <c r="AS408" s="615"/>
      <c r="AT408" s="615"/>
      <c r="AU408" s="615"/>
      <c r="AV408" s="615"/>
      <c r="AW408" s="615"/>
      <c r="AX408" s="635"/>
      <c r="AY408" s="636"/>
      <c r="AZ408" s="615"/>
      <c r="BA408" s="615"/>
      <c r="BB408" s="615"/>
      <c r="BC408" s="615"/>
      <c r="BD408" s="615"/>
      <c r="BE408" s="615"/>
      <c r="BF408" s="615"/>
      <c r="BG408" s="615"/>
      <c r="BH408" s="615"/>
      <c r="BI408" s="615"/>
      <c r="BJ408" s="635"/>
      <c r="BK408" s="636"/>
      <c r="BL408" s="615"/>
      <c r="BM408" s="615"/>
      <c r="BN408" s="615"/>
      <c r="BO408" s="615"/>
      <c r="BP408" s="615"/>
      <c r="BQ408" s="615"/>
      <c r="BR408" s="615"/>
      <c r="BS408" s="615"/>
      <c r="BT408" s="615"/>
      <c r="BU408" s="615"/>
      <c r="BV408" s="637"/>
      <c r="BW408" s="669"/>
      <c r="BX408" s="615"/>
      <c r="BY408" s="615"/>
      <c r="BZ408" s="615"/>
      <c r="CA408" s="615"/>
      <c r="CB408" s="615"/>
      <c r="CC408" s="615"/>
      <c r="CD408" s="615"/>
      <c r="CE408" s="615"/>
      <c r="CF408" s="615"/>
      <c r="CG408" s="615"/>
      <c r="CH408" s="635"/>
      <c r="CI408" s="636"/>
      <c r="CJ408" s="615"/>
      <c r="CK408" s="615"/>
      <c r="CL408" s="615"/>
      <c r="CM408" s="615"/>
      <c r="CN408" s="615"/>
      <c r="CO408" s="615">
        <v>115</v>
      </c>
      <c r="CP408" s="615">
        <v>115</v>
      </c>
      <c r="CQ408" s="615">
        <v>115</v>
      </c>
      <c r="CR408" s="615"/>
      <c r="CS408" s="615"/>
      <c r="CT408" s="635"/>
      <c r="CU408" s="636"/>
      <c r="CV408" s="615"/>
      <c r="CW408" s="615"/>
      <c r="CX408" s="615"/>
      <c r="CY408" s="615"/>
      <c r="CZ408" s="615"/>
      <c r="DA408" s="615"/>
      <c r="DB408" s="615"/>
      <c r="DC408" s="615"/>
      <c r="DD408" s="615"/>
      <c r="DE408" s="615"/>
      <c r="DF408" s="635"/>
      <c r="DG408" s="636"/>
      <c r="DH408" s="615"/>
      <c r="DI408" s="615"/>
      <c r="DJ408" s="615"/>
      <c r="DK408" s="615"/>
      <c r="DL408" s="615"/>
      <c r="DM408" s="615"/>
      <c r="DN408" s="615"/>
      <c r="DO408" s="615"/>
      <c r="DP408" s="615"/>
      <c r="DQ408" s="615"/>
      <c r="DR408" s="635"/>
      <c r="DS408" s="636"/>
      <c r="DT408" s="615"/>
      <c r="DU408" s="615"/>
      <c r="DV408" s="615"/>
      <c r="DW408" s="615"/>
      <c r="DX408" s="615"/>
      <c r="DY408" s="615"/>
      <c r="DZ408" s="615"/>
      <c r="EA408" s="615"/>
      <c r="EB408" s="615"/>
      <c r="EC408" s="615"/>
      <c r="ED408" s="637"/>
      <c r="EE408" s="692"/>
    </row>
    <row r="409" spans="1:135" x14ac:dyDescent="0.25">
      <c r="A409" s="640" t="s">
        <v>11</v>
      </c>
      <c r="B409" s="367" t="s">
        <v>2425</v>
      </c>
      <c r="C409" s="367" t="s">
        <v>590</v>
      </c>
      <c r="D409" s="367" t="s">
        <v>2426</v>
      </c>
      <c r="E409" s="503" t="s">
        <v>2422</v>
      </c>
      <c r="F409" s="570">
        <v>44852</v>
      </c>
      <c r="G409" s="85" t="s">
        <v>58</v>
      </c>
      <c r="H409" s="85" t="s">
        <v>54</v>
      </c>
      <c r="I409" s="85" t="s">
        <v>358</v>
      </c>
      <c r="J409" s="675" t="s">
        <v>358</v>
      </c>
      <c r="K409" s="85" t="s">
        <v>358</v>
      </c>
      <c r="L409" s="85" t="s">
        <v>40</v>
      </c>
      <c r="M409" s="85" t="s">
        <v>3</v>
      </c>
      <c r="N409" s="668" t="s">
        <v>44</v>
      </c>
      <c r="O409" s="669"/>
      <c r="P409" s="615"/>
      <c r="Q409" s="615"/>
      <c r="R409" s="615"/>
      <c r="S409" s="615"/>
      <c r="T409" s="615"/>
      <c r="U409" s="615"/>
      <c r="V409" s="615"/>
      <c r="W409" s="615"/>
      <c r="X409" s="615"/>
      <c r="Y409" s="615"/>
      <c r="Z409" s="635"/>
      <c r="AA409" s="636"/>
      <c r="AB409" s="615"/>
      <c r="AC409" s="615"/>
      <c r="AD409" s="615"/>
      <c r="AE409" s="615"/>
      <c r="AF409" s="615"/>
      <c r="AG409" s="615"/>
      <c r="AH409" s="615"/>
      <c r="AI409" s="615"/>
      <c r="AJ409" s="615"/>
      <c r="AK409" s="615"/>
      <c r="AL409" s="635">
        <v>-10</v>
      </c>
      <c r="AM409" s="636"/>
      <c r="AN409" s="615"/>
      <c r="AO409" s="615"/>
      <c r="AP409" s="615"/>
      <c r="AQ409" s="615"/>
      <c r="AR409" s="615"/>
      <c r="AS409" s="615"/>
      <c r="AT409" s="615"/>
      <c r="AU409" s="615"/>
      <c r="AV409" s="615"/>
      <c r="AW409" s="615"/>
      <c r="AX409" s="635"/>
      <c r="AY409" s="636"/>
      <c r="AZ409" s="615"/>
      <c r="BA409" s="615"/>
      <c r="BB409" s="615"/>
      <c r="BC409" s="615"/>
      <c r="BD409" s="615"/>
      <c r="BE409" s="615"/>
      <c r="BF409" s="615"/>
      <c r="BG409" s="615"/>
      <c r="BH409" s="615"/>
      <c r="BI409" s="615"/>
      <c r="BJ409" s="635"/>
      <c r="BK409" s="636"/>
      <c r="BL409" s="615"/>
      <c r="BM409" s="615"/>
      <c r="BN409" s="615"/>
      <c r="BO409" s="615"/>
      <c r="BP409" s="615"/>
      <c r="BQ409" s="615"/>
      <c r="BR409" s="615"/>
      <c r="BS409" s="615"/>
      <c r="BT409" s="615"/>
      <c r="BU409" s="615"/>
      <c r="BV409" s="637"/>
      <c r="BW409" s="669"/>
      <c r="BX409" s="615"/>
      <c r="BY409" s="615"/>
      <c r="BZ409" s="615"/>
      <c r="CA409" s="615"/>
      <c r="CB409" s="615"/>
      <c r="CC409" s="615"/>
      <c r="CD409" s="615"/>
      <c r="CE409" s="615"/>
      <c r="CF409" s="615"/>
      <c r="CG409" s="615"/>
      <c r="CH409" s="635"/>
      <c r="CI409" s="636"/>
      <c r="CJ409" s="615"/>
      <c r="CK409" s="615"/>
      <c r="CL409" s="615"/>
      <c r="CM409" s="615"/>
      <c r="CN409" s="615"/>
      <c r="CO409" s="615"/>
      <c r="CP409" s="615"/>
      <c r="CQ409" s="615"/>
      <c r="CR409" s="615"/>
      <c r="CS409" s="615"/>
      <c r="CT409" s="635">
        <v>106.1</v>
      </c>
      <c r="CU409" s="636"/>
      <c r="CV409" s="615"/>
      <c r="CW409" s="615"/>
      <c r="CX409" s="615"/>
      <c r="CY409" s="615"/>
      <c r="CZ409" s="615"/>
      <c r="DA409" s="615"/>
      <c r="DB409" s="615"/>
      <c r="DC409" s="615"/>
      <c r="DD409" s="615"/>
      <c r="DE409" s="615"/>
      <c r="DF409" s="635"/>
      <c r="DG409" s="636"/>
      <c r="DH409" s="615"/>
      <c r="DI409" s="615"/>
      <c r="DJ409" s="615"/>
      <c r="DK409" s="615"/>
      <c r="DL409" s="615"/>
      <c r="DM409" s="615"/>
      <c r="DN409" s="615"/>
      <c r="DO409" s="615"/>
      <c r="DP409" s="615"/>
      <c r="DQ409" s="615"/>
      <c r="DR409" s="635"/>
      <c r="DS409" s="636"/>
      <c r="DT409" s="615"/>
      <c r="DU409" s="615"/>
      <c r="DV409" s="615"/>
      <c r="DW409" s="615"/>
      <c r="DX409" s="615"/>
      <c r="DY409" s="615"/>
      <c r="DZ409" s="615"/>
      <c r="EA409" s="615"/>
      <c r="EB409" s="615"/>
      <c r="EC409" s="615"/>
      <c r="ED409" s="637"/>
      <c r="EE409" s="692"/>
    </row>
    <row r="410" spans="1:135" x14ac:dyDescent="0.25">
      <c r="A410" s="640" t="s">
        <v>11</v>
      </c>
      <c r="B410" s="367" t="s">
        <v>2427</v>
      </c>
      <c r="C410" s="367" t="s">
        <v>355</v>
      </c>
      <c r="D410" s="367" t="s">
        <v>2428</v>
      </c>
      <c r="E410" s="503" t="s">
        <v>2423</v>
      </c>
      <c r="F410" s="570">
        <v>44852</v>
      </c>
      <c r="G410" s="85" t="s">
        <v>59</v>
      </c>
      <c r="H410" s="85" t="s">
        <v>54</v>
      </c>
      <c r="I410" s="85" t="s">
        <v>358</v>
      </c>
      <c r="J410" s="675" t="s">
        <v>358</v>
      </c>
      <c r="K410" s="85" t="s">
        <v>358</v>
      </c>
      <c r="L410" s="85" t="s">
        <v>40</v>
      </c>
      <c r="M410" s="85" t="s">
        <v>3</v>
      </c>
      <c r="N410" s="668" t="s">
        <v>44</v>
      </c>
      <c r="O410" s="669"/>
      <c r="P410" s="615"/>
      <c r="Q410" s="615"/>
      <c r="R410" s="615"/>
      <c r="S410" s="615"/>
      <c r="T410" s="615"/>
      <c r="U410" s="615"/>
      <c r="V410" s="615"/>
      <c r="W410" s="615"/>
      <c r="X410" s="615"/>
      <c r="Y410" s="615"/>
      <c r="Z410" s="635"/>
      <c r="AA410" s="636"/>
      <c r="AB410" s="615">
        <v>1</v>
      </c>
      <c r="AC410" s="615"/>
      <c r="AD410" s="615"/>
      <c r="AE410" s="615"/>
      <c r="AF410" s="615"/>
      <c r="AG410" s="615"/>
      <c r="AH410" s="615"/>
      <c r="AI410" s="615"/>
      <c r="AJ410" s="615"/>
      <c r="AK410" s="615"/>
      <c r="AL410" s="635"/>
      <c r="AM410" s="636"/>
      <c r="AN410" s="615"/>
      <c r="AO410" s="615"/>
      <c r="AP410" s="615"/>
      <c r="AQ410" s="615"/>
      <c r="AR410" s="615"/>
      <c r="AS410" s="615"/>
      <c r="AT410" s="615"/>
      <c r="AU410" s="615"/>
      <c r="AV410" s="615"/>
      <c r="AW410" s="615"/>
      <c r="AX410" s="635"/>
      <c r="AY410" s="636"/>
      <c r="AZ410" s="615"/>
      <c r="BA410" s="615"/>
      <c r="BB410" s="615"/>
      <c r="BC410" s="615"/>
      <c r="BD410" s="615"/>
      <c r="BE410" s="615"/>
      <c r="BF410" s="615"/>
      <c r="BG410" s="615"/>
      <c r="BH410" s="615"/>
      <c r="BI410" s="615"/>
      <c r="BJ410" s="635"/>
      <c r="BK410" s="636"/>
      <c r="BL410" s="615"/>
      <c r="BM410" s="615"/>
      <c r="BN410" s="615"/>
      <c r="BO410" s="615"/>
      <c r="BP410" s="615"/>
      <c r="BQ410" s="615"/>
      <c r="BR410" s="615"/>
      <c r="BS410" s="615"/>
      <c r="BT410" s="615"/>
      <c r="BU410" s="615"/>
      <c r="BV410" s="637"/>
      <c r="BW410" s="669"/>
      <c r="BX410" s="615"/>
      <c r="BY410" s="615"/>
      <c r="BZ410" s="615"/>
      <c r="CA410" s="615"/>
      <c r="CB410" s="615"/>
      <c r="CC410" s="615"/>
      <c r="CD410" s="615"/>
      <c r="CE410" s="615"/>
      <c r="CF410" s="615"/>
      <c r="CG410" s="615"/>
      <c r="CH410" s="635"/>
      <c r="CI410" s="636"/>
      <c r="CJ410" s="615">
        <v>72.5</v>
      </c>
      <c r="CK410" s="615"/>
      <c r="CL410" s="615"/>
      <c r="CM410" s="615"/>
      <c r="CN410" s="615"/>
      <c r="CO410" s="615"/>
      <c r="CP410" s="615"/>
      <c r="CQ410" s="615"/>
      <c r="CR410" s="615"/>
      <c r="CS410" s="615"/>
      <c r="CT410" s="635"/>
      <c r="CU410" s="636"/>
      <c r="CV410" s="615"/>
      <c r="CW410" s="615"/>
      <c r="CX410" s="615"/>
      <c r="CY410" s="615"/>
      <c r="CZ410" s="615"/>
      <c r="DA410" s="615"/>
      <c r="DB410" s="615"/>
      <c r="DC410" s="615"/>
      <c r="DD410" s="615"/>
      <c r="DE410" s="615"/>
      <c r="DF410" s="635"/>
      <c r="DG410" s="636"/>
      <c r="DH410" s="615"/>
      <c r="DI410" s="615"/>
      <c r="DJ410" s="615"/>
      <c r="DK410" s="615"/>
      <c r="DL410" s="615"/>
      <c r="DM410" s="615"/>
      <c r="DN410" s="615"/>
      <c r="DO410" s="615"/>
      <c r="DP410" s="615"/>
      <c r="DQ410" s="615"/>
      <c r="DR410" s="635"/>
      <c r="DS410" s="636"/>
      <c r="DT410" s="615"/>
      <c r="DU410" s="615"/>
      <c r="DV410" s="615"/>
      <c r="DW410" s="615"/>
      <c r="DX410" s="615"/>
      <c r="DY410" s="615"/>
      <c r="DZ410" s="615"/>
      <c r="EA410" s="615"/>
      <c r="EB410" s="615"/>
      <c r="EC410" s="615"/>
      <c r="ED410" s="637"/>
      <c r="EE410" s="692"/>
    </row>
    <row r="411" spans="1:135" x14ac:dyDescent="0.25">
      <c r="A411" s="640" t="s">
        <v>11</v>
      </c>
      <c r="B411" s="367" t="s">
        <v>2443</v>
      </c>
      <c r="C411" s="367" t="s">
        <v>981</v>
      </c>
      <c r="D411" s="367" t="s">
        <v>2444</v>
      </c>
      <c r="E411" s="503" t="s">
        <v>2429</v>
      </c>
      <c r="F411" s="570">
        <v>44853</v>
      </c>
      <c r="G411" s="85" t="s">
        <v>58</v>
      </c>
      <c r="H411" s="85" t="s">
        <v>54</v>
      </c>
      <c r="I411" s="85" t="s">
        <v>358</v>
      </c>
      <c r="J411" s="675" t="s">
        <v>358</v>
      </c>
      <c r="K411" s="85" t="s">
        <v>358</v>
      </c>
      <c r="L411" s="85" t="s">
        <v>40</v>
      </c>
      <c r="M411" s="85" t="s">
        <v>3</v>
      </c>
      <c r="N411" s="668" t="s">
        <v>44</v>
      </c>
      <c r="O411" s="669"/>
      <c r="P411" s="615"/>
      <c r="Q411" s="615"/>
      <c r="R411" s="615"/>
      <c r="S411" s="615"/>
      <c r="T411" s="615"/>
      <c r="U411" s="615"/>
      <c r="V411" s="615"/>
      <c r="W411" s="615"/>
      <c r="X411" s="615"/>
      <c r="Y411" s="615"/>
      <c r="Z411" s="635"/>
      <c r="AA411" s="636"/>
      <c r="AB411" s="615"/>
      <c r="AC411" s="615"/>
      <c r="AD411" s="615"/>
      <c r="AE411" s="615"/>
      <c r="AF411" s="615"/>
      <c r="AG411" s="615"/>
      <c r="AH411" s="615"/>
      <c r="AI411" s="615"/>
      <c r="AJ411" s="615"/>
      <c r="AK411" s="615"/>
      <c r="AL411" s="635">
        <v>-4.8387099999999998</v>
      </c>
      <c r="AM411" s="636"/>
      <c r="AN411" s="615"/>
      <c r="AO411" s="615"/>
      <c r="AP411" s="615"/>
      <c r="AQ411" s="615"/>
      <c r="AR411" s="615"/>
      <c r="AS411" s="615"/>
      <c r="AT411" s="615"/>
      <c r="AU411" s="615"/>
      <c r="AV411" s="615"/>
      <c r="AW411" s="615"/>
      <c r="AX411" s="635"/>
      <c r="AY411" s="636"/>
      <c r="AZ411" s="615"/>
      <c r="BA411" s="615"/>
      <c r="BB411" s="615"/>
      <c r="BC411" s="615"/>
      <c r="BD411" s="615"/>
      <c r="BE411" s="615"/>
      <c r="BF411" s="615"/>
      <c r="BG411" s="615"/>
      <c r="BH411" s="615"/>
      <c r="BI411" s="615"/>
      <c r="BJ411" s="635"/>
      <c r="BK411" s="636"/>
      <c r="BL411" s="615"/>
      <c r="BM411" s="615"/>
      <c r="BN411" s="615"/>
      <c r="BO411" s="615"/>
      <c r="BP411" s="615"/>
      <c r="BQ411" s="615"/>
      <c r="BR411" s="615"/>
      <c r="BS411" s="615"/>
      <c r="BT411" s="615"/>
      <c r="BU411" s="615"/>
      <c r="BV411" s="637"/>
      <c r="BW411" s="669"/>
      <c r="BX411" s="615"/>
      <c r="BY411" s="615"/>
      <c r="BZ411" s="615"/>
      <c r="CA411" s="615"/>
      <c r="CB411" s="615"/>
      <c r="CC411" s="615"/>
      <c r="CD411" s="615"/>
      <c r="CE411" s="615"/>
      <c r="CF411" s="615"/>
      <c r="CG411" s="615"/>
      <c r="CH411" s="635"/>
      <c r="CI411" s="636"/>
      <c r="CJ411" s="615"/>
      <c r="CK411" s="615"/>
      <c r="CL411" s="615"/>
      <c r="CM411" s="615"/>
      <c r="CN411" s="615"/>
      <c r="CO411" s="615"/>
      <c r="CP411" s="615"/>
      <c r="CQ411" s="615"/>
      <c r="CR411" s="615"/>
      <c r="CS411" s="615"/>
      <c r="CT411" s="635">
        <v>109</v>
      </c>
      <c r="CU411" s="636"/>
      <c r="CV411" s="615"/>
      <c r="CW411" s="615"/>
      <c r="CX411" s="615"/>
      <c r="CY411" s="615"/>
      <c r="CZ411" s="615"/>
      <c r="DA411" s="615"/>
      <c r="DB411" s="615"/>
      <c r="DC411" s="615"/>
      <c r="DD411" s="615"/>
      <c r="DE411" s="615"/>
      <c r="DF411" s="635"/>
      <c r="DG411" s="636"/>
      <c r="DH411" s="615"/>
      <c r="DI411" s="615"/>
      <c r="DJ411" s="615"/>
      <c r="DK411" s="615"/>
      <c r="DL411" s="615"/>
      <c r="DM411" s="615"/>
      <c r="DN411" s="615"/>
      <c r="DO411" s="615"/>
      <c r="DP411" s="615"/>
      <c r="DQ411" s="615"/>
      <c r="DR411" s="635"/>
      <c r="DS411" s="636"/>
      <c r="DT411" s="615"/>
      <c r="DU411" s="615"/>
      <c r="DV411" s="615"/>
      <c r="DW411" s="615"/>
      <c r="DX411" s="615"/>
      <c r="DY411" s="615"/>
      <c r="DZ411" s="615"/>
      <c r="EA411" s="615"/>
      <c r="EB411" s="615"/>
      <c r="EC411" s="615"/>
      <c r="ED411" s="637"/>
      <c r="EE411" s="692"/>
    </row>
    <row r="412" spans="1:135" x14ac:dyDescent="0.25">
      <c r="A412" s="640" t="s">
        <v>11</v>
      </c>
      <c r="B412" s="367" t="s">
        <v>2445</v>
      </c>
      <c r="C412" s="367" t="s">
        <v>981</v>
      </c>
      <c r="D412" s="367" t="s">
        <v>2446</v>
      </c>
      <c r="E412" s="503" t="s">
        <v>2430</v>
      </c>
      <c r="F412" s="570">
        <v>44853</v>
      </c>
      <c r="G412" s="85" t="s">
        <v>59</v>
      </c>
      <c r="H412" s="85" t="s">
        <v>54</v>
      </c>
      <c r="I412" s="85" t="s">
        <v>358</v>
      </c>
      <c r="J412" s="675" t="s">
        <v>358</v>
      </c>
      <c r="K412" s="85" t="s">
        <v>358</v>
      </c>
      <c r="L412" s="85" t="s">
        <v>40</v>
      </c>
      <c r="M412" s="85" t="s">
        <v>3</v>
      </c>
      <c r="N412" s="668" t="s">
        <v>44</v>
      </c>
      <c r="O412" s="669"/>
      <c r="P412" s="615"/>
      <c r="Q412" s="615"/>
      <c r="R412" s="615"/>
      <c r="S412" s="615"/>
      <c r="T412" s="615"/>
      <c r="U412" s="615"/>
      <c r="V412" s="615"/>
      <c r="W412" s="615"/>
      <c r="X412" s="615"/>
      <c r="Y412" s="615"/>
      <c r="Z412" s="635"/>
      <c r="AA412" s="636"/>
      <c r="AB412" s="615"/>
      <c r="AC412" s="615"/>
      <c r="AD412" s="615"/>
      <c r="AE412" s="615"/>
      <c r="AF412" s="615"/>
      <c r="AG412" s="615"/>
      <c r="AH412" s="615"/>
      <c r="AI412" s="615"/>
      <c r="AJ412" s="615"/>
      <c r="AK412" s="615">
        <v>5</v>
      </c>
      <c r="AL412" s="635"/>
      <c r="AM412" s="636"/>
      <c r="AN412" s="615"/>
      <c r="AO412" s="615"/>
      <c r="AP412" s="615"/>
      <c r="AQ412" s="615"/>
      <c r="AR412" s="615"/>
      <c r="AS412" s="615"/>
      <c r="AT412" s="615"/>
      <c r="AU412" s="615"/>
      <c r="AV412" s="615"/>
      <c r="AW412" s="615"/>
      <c r="AX412" s="635"/>
      <c r="AY412" s="636"/>
      <c r="AZ412" s="615"/>
      <c r="BA412" s="615"/>
      <c r="BB412" s="615"/>
      <c r="BC412" s="615"/>
      <c r="BD412" s="615"/>
      <c r="BE412" s="615"/>
      <c r="BF412" s="615"/>
      <c r="BG412" s="615"/>
      <c r="BH412" s="615"/>
      <c r="BI412" s="615"/>
      <c r="BJ412" s="635"/>
      <c r="BK412" s="636"/>
      <c r="BL412" s="615"/>
      <c r="BM412" s="615"/>
      <c r="BN412" s="615"/>
      <c r="BO412" s="615"/>
      <c r="BP412" s="615"/>
      <c r="BQ412" s="615"/>
      <c r="BR412" s="615"/>
      <c r="BS412" s="615"/>
      <c r="BT412" s="615"/>
      <c r="BU412" s="615"/>
      <c r="BV412" s="637"/>
      <c r="BW412" s="669"/>
      <c r="BX412" s="615"/>
      <c r="BY412" s="615"/>
      <c r="BZ412" s="615"/>
      <c r="CA412" s="615"/>
      <c r="CB412" s="615"/>
      <c r="CC412" s="615"/>
      <c r="CD412" s="615"/>
      <c r="CE412" s="615"/>
      <c r="CF412" s="615"/>
      <c r="CG412" s="615"/>
      <c r="CH412" s="635"/>
      <c r="CI412" s="636"/>
      <c r="CJ412" s="615"/>
      <c r="CK412" s="615"/>
      <c r="CL412" s="615"/>
      <c r="CM412" s="615"/>
      <c r="CN412" s="615"/>
      <c r="CO412" s="615"/>
      <c r="CP412" s="615"/>
      <c r="CQ412" s="615"/>
      <c r="CR412" s="615"/>
      <c r="CS412" s="615">
        <v>115</v>
      </c>
      <c r="CT412" s="635"/>
      <c r="CU412" s="636"/>
      <c r="CV412" s="615"/>
      <c r="CW412" s="615"/>
      <c r="CX412" s="615"/>
      <c r="CY412" s="615"/>
      <c r="CZ412" s="615"/>
      <c r="DA412" s="615"/>
      <c r="DB412" s="615"/>
      <c r="DC412" s="615"/>
      <c r="DD412" s="615"/>
      <c r="DE412" s="615"/>
      <c r="DF412" s="635"/>
      <c r="DG412" s="636"/>
      <c r="DH412" s="615"/>
      <c r="DI412" s="615"/>
      <c r="DJ412" s="615"/>
      <c r="DK412" s="615"/>
      <c r="DL412" s="615"/>
      <c r="DM412" s="615"/>
      <c r="DN412" s="615"/>
      <c r="DO412" s="615"/>
      <c r="DP412" s="615"/>
      <c r="DQ412" s="615"/>
      <c r="DR412" s="635"/>
      <c r="DS412" s="636"/>
      <c r="DT412" s="615"/>
      <c r="DU412" s="615"/>
      <c r="DV412" s="615"/>
      <c r="DW412" s="615"/>
      <c r="DX412" s="615"/>
      <c r="DY412" s="615"/>
      <c r="DZ412" s="615"/>
      <c r="EA412" s="615"/>
      <c r="EB412" s="615"/>
      <c r="EC412" s="615"/>
      <c r="ED412" s="637"/>
      <c r="EE412" s="692"/>
    </row>
    <row r="413" spans="1:135" x14ac:dyDescent="0.25">
      <c r="A413" s="640" t="s">
        <v>11</v>
      </c>
      <c r="B413" s="367" t="s">
        <v>2447</v>
      </c>
      <c r="C413" s="367" t="s">
        <v>509</v>
      </c>
      <c r="D413" s="367" t="s">
        <v>2448</v>
      </c>
      <c r="E413" s="503" t="s">
        <v>2431</v>
      </c>
      <c r="F413" s="570">
        <v>44853</v>
      </c>
      <c r="G413" s="85" t="s">
        <v>58</v>
      </c>
      <c r="H413" s="85" t="s">
        <v>54</v>
      </c>
      <c r="I413" s="85" t="s">
        <v>358</v>
      </c>
      <c r="J413" s="675" t="s">
        <v>358</v>
      </c>
      <c r="K413" s="85" t="s">
        <v>358</v>
      </c>
      <c r="L413" s="85" t="s">
        <v>40</v>
      </c>
      <c r="M413" s="85" t="s">
        <v>3</v>
      </c>
      <c r="N413" s="668" t="s">
        <v>44</v>
      </c>
      <c r="O413" s="669"/>
      <c r="P413" s="615"/>
      <c r="Q413" s="615"/>
      <c r="R413" s="615"/>
      <c r="S413" s="615"/>
      <c r="T413" s="615"/>
      <c r="U413" s="615"/>
      <c r="V413" s="615"/>
      <c r="W413" s="615"/>
      <c r="X413" s="615"/>
      <c r="Y413" s="615"/>
      <c r="Z413" s="635"/>
      <c r="AA413" s="636"/>
      <c r="AB413" s="615"/>
      <c r="AC413" s="615"/>
      <c r="AD413" s="615"/>
      <c r="AE413" s="615"/>
      <c r="AF413" s="615">
        <v>-12</v>
      </c>
      <c r="AG413" s="615"/>
      <c r="AH413" s="615"/>
      <c r="AI413" s="615"/>
      <c r="AJ413" s="615"/>
      <c r="AK413" s="615"/>
      <c r="AL413" s="635"/>
      <c r="AM413" s="636"/>
      <c r="AN413" s="615"/>
      <c r="AO413" s="615"/>
      <c r="AP413" s="615"/>
      <c r="AQ413" s="615"/>
      <c r="AR413" s="615"/>
      <c r="AS413" s="615"/>
      <c r="AT413" s="615"/>
      <c r="AU413" s="615"/>
      <c r="AV413" s="615"/>
      <c r="AW413" s="615"/>
      <c r="AX413" s="635"/>
      <c r="AY413" s="636"/>
      <c r="AZ413" s="615"/>
      <c r="BA413" s="615"/>
      <c r="BB413" s="615"/>
      <c r="BC413" s="615"/>
      <c r="BD413" s="615"/>
      <c r="BE413" s="615"/>
      <c r="BF413" s="615"/>
      <c r="BG413" s="615"/>
      <c r="BH413" s="615"/>
      <c r="BI413" s="615"/>
      <c r="BJ413" s="635"/>
      <c r="BK413" s="636"/>
      <c r="BL413" s="615"/>
      <c r="BM413" s="615"/>
      <c r="BN413" s="615"/>
      <c r="BO413" s="615"/>
      <c r="BP413" s="615"/>
      <c r="BQ413" s="615"/>
      <c r="BR413" s="615"/>
      <c r="BS413" s="615"/>
      <c r="BT413" s="615"/>
      <c r="BU413" s="615"/>
      <c r="BV413" s="637"/>
      <c r="BW413" s="669"/>
      <c r="BX413" s="615"/>
      <c r="BY413" s="615"/>
      <c r="BZ413" s="615"/>
      <c r="CA413" s="615"/>
      <c r="CB413" s="615"/>
      <c r="CC413" s="615"/>
      <c r="CD413" s="615"/>
      <c r="CE413" s="615"/>
      <c r="CF413" s="615"/>
      <c r="CG413" s="615"/>
      <c r="CH413" s="635"/>
      <c r="CI413" s="636"/>
      <c r="CJ413" s="615"/>
      <c r="CK413" s="615"/>
      <c r="CL413" s="615"/>
      <c r="CM413" s="615"/>
      <c r="CN413" s="615">
        <v>85</v>
      </c>
      <c r="CO413" s="615"/>
      <c r="CP413" s="615"/>
      <c r="CQ413" s="615"/>
      <c r="CR413" s="615"/>
      <c r="CS413" s="615"/>
      <c r="CT413" s="635"/>
      <c r="CU413" s="636"/>
      <c r="CV413" s="615"/>
      <c r="CW413" s="615"/>
      <c r="CX413" s="615"/>
      <c r="CY413" s="615"/>
      <c r="CZ413" s="615"/>
      <c r="DA413" s="615"/>
      <c r="DB413" s="615"/>
      <c r="DC413" s="615"/>
      <c r="DD413" s="615"/>
      <c r="DE413" s="615"/>
      <c r="DF413" s="635"/>
      <c r="DG413" s="636"/>
      <c r="DH413" s="615"/>
      <c r="DI413" s="615"/>
      <c r="DJ413" s="615"/>
      <c r="DK413" s="615"/>
      <c r="DL413" s="615"/>
      <c r="DM413" s="615"/>
      <c r="DN413" s="615"/>
      <c r="DO413" s="615"/>
      <c r="DP413" s="615"/>
      <c r="DQ413" s="615"/>
      <c r="DR413" s="635"/>
      <c r="DS413" s="636"/>
      <c r="DT413" s="615"/>
      <c r="DU413" s="615"/>
      <c r="DV413" s="615"/>
      <c r="DW413" s="615"/>
      <c r="DX413" s="615"/>
      <c r="DY413" s="615"/>
      <c r="DZ413" s="615"/>
      <c r="EA413" s="615"/>
      <c r="EB413" s="615"/>
      <c r="EC413" s="615"/>
      <c r="ED413" s="637"/>
      <c r="EE413" s="692"/>
    </row>
    <row r="414" spans="1:135" x14ac:dyDescent="0.25">
      <c r="A414" s="640" t="s">
        <v>11</v>
      </c>
      <c r="B414" s="367" t="s">
        <v>2449</v>
      </c>
      <c r="C414" s="367" t="s">
        <v>509</v>
      </c>
      <c r="D414" s="367" t="s">
        <v>2450</v>
      </c>
      <c r="E414" s="503" t="s">
        <v>2432</v>
      </c>
      <c r="F414" s="570">
        <v>44853</v>
      </c>
      <c r="G414" s="85" t="s">
        <v>59</v>
      </c>
      <c r="H414" s="85" t="s">
        <v>54</v>
      </c>
      <c r="I414" s="85" t="s">
        <v>358</v>
      </c>
      <c r="J414" s="675" t="s">
        <v>358</v>
      </c>
      <c r="K414" s="85" t="s">
        <v>358</v>
      </c>
      <c r="L414" s="85" t="s">
        <v>40</v>
      </c>
      <c r="M414" s="85" t="s">
        <v>3</v>
      </c>
      <c r="N414" s="668" t="s">
        <v>44</v>
      </c>
      <c r="O414" s="669"/>
      <c r="P414" s="615"/>
      <c r="Q414" s="615"/>
      <c r="R414" s="615"/>
      <c r="S414" s="615"/>
      <c r="T414" s="615"/>
      <c r="U414" s="615"/>
      <c r="V414" s="615"/>
      <c r="W414" s="615"/>
      <c r="X414" s="615"/>
      <c r="Y414" s="615"/>
      <c r="Z414" s="635"/>
      <c r="AA414" s="636"/>
      <c r="AB414" s="615"/>
      <c r="AC414" s="615"/>
      <c r="AD414" s="615">
        <v>12</v>
      </c>
      <c r="AE414" s="615"/>
      <c r="AF414" s="615"/>
      <c r="AG414" s="615"/>
      <c r="AH414" s="615"/>
      <c r="AI414" s="615"/>
      <c r="AJ414" s="615"/>
      <c r="AK414" s="615"/>
      <c r="AL414" s="635"/>
      <c r="AM414" s="636"/>
      <c r="AN414" s="615"/>
      <c r="AO414" s="615"/>
      <c r="AP414" s="615"/>
      <c r="AQ414" s="615"/>
      <c r="AR414" s="615"/>
      <c r="AS414" s="615"/>
      <c r="AT414" s="615"/>
      <c r="AU414" s="615"/>
      <c r="AV414" s="615"/>
      <c r="AW414" s="615"/>
      <c r="AX414" s="635"/>
      <c r="AY414" s="636"/>
      <c r="AZ414" s="615"/>
      <c r="BA414" s="615"/>
      <c r="BB414" s="615"/>
      <c r="BC414" s="615"/>
      <c r="BD414" s="615"/>
      <c r="BE414" s="615"/>
      <c r="BF414" s="615"/>
      <c r="BG414" s="615"/>
      <c r="BH414" s="615"/>
      <c r="BI414" s="615"/>
      <c r="BJ414" s="635"/>
      <c r="BK414" s="636"/>
      <c r="BL414" s="615"/>
      <c r="BM414" s="615"/>
      <c r="BN414" s="615"/>
      <c r="BO414" s="615"/>
      <c r="BP414" s="615"/>
      <c r="BQ414" s="615"/>
      <c r="BR414" s="615"/>
      <c r="BS414" s="615"/>
      <c r="BT414" s="615"/>
      <c r="BU414" s="615"/>
      <c r="BV414" s="637"/>
      <c r="BW414" s="669"/>
      <c r="BX414" s="615"/>
      <c r="BY414" s="615"/>
      <c r="BZ414" s="615"/>
      <c r="CA414" s="615"/>
      <c r="CB414" s="615"/>
      <c r="CC414" s="615"/>
      <c r="CD414" s="615"/>
      <c r="CE414" s="615"/>
      <c r="CF414" s="615"/>
      <c r="CG414" s="615"/>
      <c r="CH414" s="635"/>
      <c r="CI414" s="636"/>
      <c r="CJ414" s="615"/>
      <c r="CK414" s="615"/>
      <c r="CL414" s="615">
        <v>70</v>
      </c>
      <c r="CM414" s="615"/>
      <c r="CN414" s="615"/>
      <c r="CO414" s="615"/>
      <c r="CP414" s="615"/>
      <c r="CQ414" s="615"/>
      <c r="CR414" s="615"/>
      <c r="CS414" s="615"/>
      <c r="CT414" s="635"/>
      <c r="CU414" s="636"/>
      <c r="CV414" s="615"/>
      <c r="CW414" s="615"/>
      <c r="CX414" s="615"/>
      <c r="CY414" s="615"/>
      <c r="CZ414" s="615"/>
      <c r="DA414" s="615"/>
      <c r="DB414" s="615"/>
      <c r="DC414" s="615"/>
      <c r="DD414" s="615"/>
      <c r="DE414" s="615"/>
      <c r="DF414" s="635"/>
      <c r="DG414" s="636"/>
      <c r="DH414" s="615"/>
      <c r="DI414" s="615"/>
      <c r="DJ414" s="615"/>
      <c r="DK414" s="615"/>
      <c r="DL414" s="615"/>
      <c r="DM414" s="615"/>
      <c r="DN414" s="615"/>
      <c r="DO414" s="615"/>
      <c r="DP414" s="615"/>
      <c r="DQ414" s="615"/>
      <c r="DR414" s="635"/>
      <c r="DS414" s="636"/>
      <c r="DT414" s="615"/>
      <c r="DU414" s="615"/>
      <c r="DV414" s="615"/>
      <c r="DW414" s="615"/>
      <c r="DX414" s="615"/>
      <c r="DY414" s="615"/>
      <c r="DZ414" s="615"/>
      <c r="EA414" s="615"/>
      <c r="EB414" s="615"/>
      <c r="EC414" s="615"/>
      <c r="ED414" s="637"/>
      <c r="EE414" s="692"/>
    </row>
    <row r="415" spans="1:135" x14ac:dyDescent="0.25">
      <c r="A415" s="640" t="s">
        <v>11</v>
      </c>
      <c r="B415" s="367" t="s">
        <v>2451</v>
      </c>
      <c r="C415" s="367" t="s">
        <v>465</v>
      </c>
      <c r="D415" s="367" t="s">
        <v>2452</v>
      </c>
      <c r="E415" s="503" t="s">
        <v>2433</v>
      </c>
      <c r="F415" s="570">
        <v>44853</v>
      </c>
      <c r="G415" s="85" t="s">
        <v>59</v>
      </c>
      <c r="H415" s="85" t="s">
        <v>54</v>
      </c>
      <c r="I415" s="85" t="s">
        <v>358</v>
      </c>
      <c r="J415" s="675" t="s">
        <v>358</v>
      </c>
      <c r="K415" s="85" t="s">
        <v>358</v>
      </c>
      <c r="L415" s="85" t="s">
        <v>40</v>
      </c>
      <c r="M415" s="85" t="s">
        <v>3</v>
      </c>
      <c r="N415" s="668" t="s">
        <v>44</v>
      </c>
      <c r="O415" s="669"/>
      <c r="P415" s="615"/>
      <c r="Q415" s="615"/>
      <c r="R415" s="615"/>
      <c r="S415" s="615"/>
      <c r="T415" s="615"/>
      <c r="U415" s="615"/>
      <c r="V415" s="615"/>
      <c r="W415" s="615"/>
      <c r="X415" s="615"/>
      <c r="Y415" s="615"/>
      <c r="Z415" s="635"/>
      <c r="AA415" s="636"/>
      <c r="AB415" s="615">
        <v>3.3</v>
      </c>
      <c r="AC415" s="615"/>
      <c r="AD415" s="615"/>
      <c r="AE415" s="615"/>
      <c r="AF415" s="615"/>
      <c r="AG415" s="615"/>
      <c r="AH415" s="615"/>
      <c r="AI415" s="615"/>
      <c r="AJ415" s="615"/>
      <c r="AK415" s="615"/>
      <c r="AL415" s="635"/>
      <c r="AM415" s="636"/>
      <c r="AN415" s="615"/>
      <c r="AO415" s="615"/>
      <c r="AP415" s="615"/>
      <c r="AQ415" s="615"/>
      <c r="AR415" s="615"/>
      <c r="AS415" s="615"/>
      <c r="AT415" s="615"/>
      <c r="AU415" s="615"/>
      <c r="AV415" s="615"/>
      <c r="AW415" s="615"/>
      <c r="AX415" s="635"/>
      <c r="AY415" s="636"/>
      <c r="AZ415" s="615"/>
      <c r="BA415" s="615"/>
      <c r="BB415" s="615"/>
      <c r="BC415" s="615"/>
      <c r="BD415" s="615"/>
      <c r="BE415" s="615"/>
      <c r="BF415" s="615"/>
      <c r="BG415" s="615"/>
      <c r="BH415" s="615"/>
      <c r="BI415" s="615"/>
      <c r="BJ415" s="635"/>
      <c r="BK415" s="636"/>
      <c r="BL415" s="615"/>
      <c r="BM415" s="615"/>
      <c r="BN415" s="615"/>
      <c r="BO415" s="615"/>
      <c r="BP415" s="615"/>
      <c r="BQ415" s="615"/>
      <c r="BR415" s="615"/>
      <c r="BS415" s="615"/>
      <c r="BT415" s="615"/>
      <c r="BU415" s="615"/>
      <c r="BV415" s="637"/>
      <c r="BW415" s="669"/>
      <c r="BX415" s="615"/>
      <c r="BY415" s="615"/>
      <c r="BZ415" s="615"/>
      <c r="CA415" s="615"/>
      <c r="CB415" s="615"/>
      <c r="CC415" s="615"/>
      <c r="CD415" s="615"/>
      <c r="CE415" s="615"/>
      <c r="CF415" s="615"/>
      <c r="CG415" s="615"/>
      <c r="CH415" s="635"/>
      <c r="CI415" s="636"/>
      <c r="CJ415" s="615">
        <v>72.5</v>
      </c>
      <c r="CK415" s="615"/>
      <c r="CL415" s="615"/>
      <c r="CM415" s="615"/>
      <c r="CN415" s="615"/>
      <c r="CO415" s="615"/>
      <c r="CP415" s="615"/>
      <c r="CQ415" s="615"/>
      <c r="CR415" s="615"/>
      <c r="CS415" s="615"/>
      <c r="CT415" s="635"/>
      <c r="CU415" s="636"/>
      <c r="CV415" s="615"/>
      <c r="CW415" s="615"/>
      <c r="CX415" s="615"/>
      <c r="CY415" s="615"/>
      <c r="CZ415" s="615"/>
      <c r="DA415" s="615"/>
      <c r="DB415" s="615"/>
      <c r="DC415" s="615"/>
      <c r="DD415" s="615"/>
      <c r="DE415" s="615"/>
      <c r="DF415" s="635"/>
      <c r="DG415" s="636"/>
      <c r="DH415" s="615"/>
      <c r="DI415" s="615"/>
      <c r="DJ415" s="615"/>
      <c r="DK415" s="615"/>
      <c r="DL415" s="615"/>
      <c r="DM415" s="615"/>
      <c r="DN415" s="615"/>
      <c r="DO415" s="615"/>
      <c r="DP415" s="615"/>
      <c r="DQ415" s="615"/>
      <c r="DR415" s="635"/>
      <c r="DS415" s="636"/>
      <c r="DT415" s="615"/>
      <c r="DU415" s="615"/>
      <c r="DV415" s="615"/>
      <c r="DW415" s="615"/>
      <c r="DX415" s="615"/>
      <c r="DY415" s="615"/>
      <c r="DZ415" s="615"/>
      <c r="EA415" s="615"/>
      <c r="EB415" s="615"/>
      <c r="EC415" s="615"/>
      <c r="ED415" s="637"/>
      <c r="EE415" s="692"/>
    </row>
    <row r="416" spans="1:135" x14ac:dyDescent="0.25">
      <c r="A416" s="640" t="s">
        <v>11</v>
      </c>
      <c r="B416" s="367" t="s">
        <v>2453</v>
      </c>
      <c r="C416" s="367" t="s">
        <v>465</v>
      </c>
      <c r="D416" s="367" t="s">
        <v>2454</v>
      </c>
      <c r="E416" s="503" t="s">
        <v>2434</v>
      </c>
      <c r="F416" s="570">
        <v>44853</v>
      </c>
      <c r="G416" s="85" t="s">
        <v>59</v>
      </c>
      <c r="H416" s="85" t="s">
        <v>54</v>
      </c>
      <c r="I416" s="85" t="s">
        <v>358</v>
      </c>
      <c r="J416" s="675" t="s">
        <v>358</v>
      </c>
      <c r="K416" s="85" t="s">
        <v>358</v>
      </c>
      <c r="L416" s="85" t="s">
        <v>40</v>
      </c>
      <c r="M416" s="85" t="s">
        <v>3</v>
      </c>
      <c r="N416" s="668" t="s">
        <v>44</v>
      </c>
      <c r="O416" s="669"/>
      <c r="P416" s="615"/>
      <c r="Q416" s="615"/>
      <c r="R416" s="615"/>
      <c r="S416" s="615"/>
      <c r="T416" s="615"/>
      <c r="U416" s="615"/>
      <c r="V416" s="615"/>
      <c r="W416" s="615"/>
      <c r="X416" s="615"/>
      <c r="Y416" s="615"/>
      <c r="Z416" s="635"/>
      <c r="AA416" s="636"/>
      <c r="AB416" s="615"/>
      <c r="AC416" s="615">
        <v>1.3</v>
      </c>
      <c r="AD416" s="615"/>
      <c r="AE416" s="615"/>
      <c r="AF416" s="615"/>
      <c r="AG416" s="615"/>
      <c r="AH416" s="615"/>
      <c r="AI416" s="615"/>
      <c r="AJ416" s="615"/>
      <c r="AK416" s="615"/>
      <c r="AL416" s="635"/>
      <c r="AM416" s="636"/>
      <c r="AN416" s="615"/>
      <c r="AO416" s="615"/>
      <c r="AP416" s="615"/>
      <c r="AQ416" s="615"/>
      <c r="AR416" s="615"/>
      <c r="AS416" s="615"/>
      <c r="AT416" s="615"/>
      <c r="AU416" s="615"/>
      <c r="AV416" s="615"/>
      <c r="AW416" s="615"/>
      <c r="AX416" s="635"/>
      <c r="AY416" s="636"/>
      <c r="AZ416" s="615"/>
      <c r="BA416" s="615"/>
      <c r="BB416" s="615"/>
      <c r="BC416" s="615"/>
      <c r="BD416" s="615"/>
      <c r="BE416" s="615"/>
      <c r="BF416" s="615"/>
      <c r="BG416" s="615"/>
      <c r="BH416" s="615"/>
      <c r="BI416" s="615"/>
      <c r="BJ416" s="635"/>
      <c r="BK416" s="636"/>
      <c r="BL416" s="615"/>
      <c r="BM416" s="615"/>
      <c r="BN416" s="615"/>
      <c r="BO416" s="615"/>
      <c r="BP416" s="615"/>
      <c r="BQ416" s="615"/>
      <c r="BR416" s="615"/>
      <c r="BS416" s="615"/>
      <c r="BT416" s="615"/>
      <c r="BU416" s="615"/>
      <c r="BV416" s="637"/>
      <c r="BW416" s="669"/>
      <c r="BX416" s="615"/>
      <c r="BY416" s="615"/>
      <c r="BZ416" s="615"/>
      <c r="CA416" s="615"/>
      <c r="CB416" s="615"/>
      <c r="CC416" s="615"/>
      <c r="CD416" s="615"/>
      <c r="CE416" s="615"/>
      <c r="CF416" s="615"/>
      <c r="CG416" s="615"/>
      <c r="CH416" s="635"/>
      <c r="CI416" s="636"/>
      <c r="CJ416" s="615"/>
      <c r="CK416" s="615">
        <v>74</v>
      </c>
      <c r="CL416" s="615"/>
      <c r="CM416" s="615"/>
      <c r="CN416" s="615"/>
      <c r="CO416" s="615"/>
      <c r="CP416" s="615"/>
      <c r="CQ416" s="615"/>
      <c r="CR416" s="615"/>
      <c r="CS416" s="615"/>
      <c r="CT416" s="635"/>
      <c r="CU416" s="636"/>
      <c r="CV416" s="615"/>
      <c r="CW416" s="615"/>
      <c r="CX416" s="615"/>
      <c r="CY416" s="615"/>
      <c r="CZ416" s="615"/>
      <c r="DA416" s="615"/>
      <c r="DB416" s="615"/>
      <c r="DC416" s="615"/>
      <c r="DD416" s="615"/>
      <c r="DE416" s="615"/>
      <c r="DF416" s="635"/>
      <c r="DG416" s="636"/>
      <c r="DH416" s="615"/>
      <c r="DI416" s="615"/>
      <c r="DJ416" s="615"/>
      <c r="DK416" s="615"/>
      <c r="DL416" s="615"/>
      <c r="DM416" s="615"/>
      <c r="DN416" s="615"/>
      <c r="DO416" s="615"/>
      <c r="DP416" s="615"/>
      <c r="DQ416" s="615"/>
      <c r="DR416" s="635"/>
      <c r="DS416" s="636"/>
      <c r="DT416" s="615"/>
      <c r="DU416" s="615"/>
      <c r="DV416" s="615"/>
      <c r="DW416" s="615"/>
      <c r="DX416" s="615"/>
      <c r="DY416" s="615"/>
      <c r="DZ416" s="615"/>
      <c r="EA416" s="615"/>
      <c r="EB416" s="615"/>
      <c r="EC416" s="615"/>
      <c r="ED416" s="637"/>
      <c r="EE416" s="692"/>
    </row>
    <row r="417" spans="1:135" x14ac:dyDescent="0.25">
      <c r="A417" s="640" t="s">
        <v>11</v>
      </c>
      <c r="B417" s="367" t="s">
        <v>2455</v>
      </c>
      <c r="C417" s="367" t="s">
        <v>465</v>
      </c>
      <c r="D417" s="367" t="s">
        <v>2456</v>
      </c>
      <c r="E417" s="503" t="s">
        <v>2435</v>
      </c>
      <c r="F417" s="570">
        <v>44853</v>
      </c>
      <c r="G417" s="85" t="s">
        <v>59</v>
      </c>
      <c r="H417" s="85" t="s">
        <v>54</v>
      </c>
      <c r="I417" s="85" t="s">
        <v>358</v>
      </c>
      <c r="J417" s="675" t="s">
        <v>358</v>
      </c>
      <c r="K417" s="85" t="s">
        <v>358</v>
      </c>
      <c r="L417" s="85" t="s">
        <v>40</v>
      </c>
      <c r="M417" s="85" t="s">
        <v>3</v>
      </c>
      <c r="N417" s="668" t="s">
        <v>44</v>
      </c>
      <c r="O417" s="669"/>
      <c r="P417" s="615"/>
      <c r="Q417" s="615"/>
      <c r="R417" s="615"/>
      <c r="S417" s="615"/>
      <c r="T417" s="615"/>
      <c r="U417" s="615"/>
      <c r="V417" s="615"/>
      <c r="W417" s="615"/>
      <c r="X417" s="615"/>
      <c r="Y417" s="615"/>
      <c r="Z417" s="635"/>
      <c r="AA417" s="636"/>
      <c r="AB417" s="615"/>
      <c r="AC417" s="615">
        <v>2</v>
      </c>
      <c r="AD417" s="615"/>
      <c r="AE417" s="615"/>
      <c r="AF417" s="615"/>
      <c r="AG417" s="615"/>
      <c r="AH417" s="615"/>
      <c r="AI417" s="615"/>
      <c r="AJ417" s="615"/>
      <c r="AK417" s="615"/>
      <c r="AL417" s="635"/>
      <c r="AM417" s="636"/>
      <c r="AN417" s="615"/>
      <c r="AO417" s="615"/>
      <c r="AP417" s="615"/>
      <c r="AQ417" s="615"/>
      <c r="AR417" s="615"/>
      <c r="AS417" s="615"/>
      <c r="AT417" s="615"/>
      <c r="AU417" s="615"/>
      <c r="AV417" s="615"/>
      <c r="AW417" s="615"/>
      <c r="AX417" s="635"/>
      <c r="AY417" s="636"/>
      <c r="AZ417" s="615"/>
      <c r="BA417" s="615"/>
      <c r="BB417" s="615"/>
      <c r="BC417" s="615"/>
      <c r="BD417" s="615"/>
      <c r="BE417" s="615"/>
      <c r="BF417" s="615"/>
      <c r="BG417" s="615"/>
      <c r="BH417" s="615"/>
      <c r="BI417" s="615"/>
      <c r="BJ417" s="635"/>
      <c r="BK417" s="636"/>
      <c r="BL417" s="615"/>
      <c r="BM417" s="615"/>
      <c r="BN417" s="615"/>
      <c r="BO417" s="615"/>
      <c r="BP417" s="615"/>
      <c r="BQ417" s="615"/>
      <c r="BR417" s="615"/>
      <c r="BS417" s="615"/>
      <c r="BT417" s="615"/>
      <c r="BU417" s="615"/>
      <c r="BV417" s="637"/>
      <c r="BW417" s="669"/>
      <c r="BX417" s="615"/>
      <c r="BY417" s="615"/>
      <c r="BZ417" s="615"/>
      <c r="CA417" s="615"/>
      <c r="CB417" s="615"/>
      <c r="CC417" s="615"/>
      <c r="CD417" s="615"/>
      <c r="CE417" s="615"/>
      <c r="CF417" s="615"/>
      <c r="CG417" s="615"/>
      <c r="CH417" s="635"/>
      <c r="CI417" s="636"/>
      <c r="CJ417" s="615"/>
      <c r="CK417" s="615">
        <v>74</v>
      </c>
      <c r="CL417" s="615"/>
      <c r="CM417" s="615"/>
      <c r="CN417" s="615"/>
      <c r="CO417" s="615"/>
      <c r="CP417" s="615"/>
      <c r="CQ417" s="615"/>
      <c r="CR417" s="615"/>
      <c r="CS417" s="615"/>
      <c r="CT417" s="635"/>
      <c r="CU417" s="636"/>
      <c r="CV417" s="615"/>
      <c r="CW417" s="615"/>
      <c r="CX417" s="615"/>
      <c r="CY417" s="615"/>
      <c r="CZ417" s="615"/>
      <c r="DA417" s="615"/>
      <c r="DB417" s="615"/>
      <c r="DC417" s="615"/>
      <c r="DD417" s="615"/>
      <c r="DE417" s="615"/>
      <c r="DF417" s="635"/>
      <c r="DG417" s="636"/>
      <c r="DH417" s="615"/>
      <c r="DI417" s="615"/>
      <c r="DJ417" s="615"/>
      <c r="DK417" s="615"/>
      <c r="DL417" s="615"/>
      <c r="DM417" s="615"/>
      <c r="DN417" s="615"/>
      <c r="DO417" s="615"/>
      <c r="DP417" s="615"/>
      <c r="DQ417" s="615"/>
      <c r="DR417" s="635"/>
      <c r="DS417" s="636"/>
      <c r="DT417" s="615"/>
      <c r="DU417" s="615"/>
      <c r="DV417" s="615"/>
      <c r="DW417" s="615"/>
      <c r="DX417" s="615"/>
      <c r="DY417" s="615"/>
      <c r="DZ417" s="615"/>
      <c r="EA417" s="615"/>
      <c r="EB417" s="615"/>
      <c r="EC417" s="615"/>
      <c r="ED417" s="637"/>
      <c r="EE417" s="692"/>
    </row>
    <row r="418" spans="1:135" x14ac:dyDescent="0.25">
      <c r="A418" s="640" t="s">
        <v>11</v>
      </c>
      <c r="B418" s="367" t="s">
        <v>2457</v>
      </c>
      <c r="C418" s="367" t="s">
        <v>465</v>
      </c>
      <c r="D418" s="367" t="s">
        <v>2458</v>
      </c>
      <c r="E418" s="503" t="s">
        <v>2436</v>
      </c>
      <c r="F418" s="570">
        <v>44853</v>
      </c>
      <c r="G418" s="85" t="s">
        <v>59</v>
      </c>
      <c r="H418" s="85" t="s">
        <v>54</v>
      </c>
      <c r="I418" s="85" t="s">
        <v>358</v>
      </c>
      <c r="J418" s="675" t="s">
        <v>358</v>
      </c>
      <c r="K418" s="85" t="s">
        <v>358</v>
      </c>
      <c r="L418" s="85" t="s">
        <v>40</v>
      </c>
      <c r="M418" s="85" t="s">
        <v>3</v>
      </c>
      <c r="N418" s="668" t="s">
        <v>44</v>
      </c>
      <c r="O418" s="669"/>
      <c r="P418" s="615"/>
      <c r="Q418" s="615"/>
      <c r="R418" s="615"/>
      <c r="S418" s="615"/>
      <c r="T418" s="615"/>
      <c r="U418" s="615"/>
      <c r="V418" s="615"/>
      <c r="W418" s="615"/>
      <c r="X418" s="615"/>
      <c r="Y418" s="615"/>
      <c r="Z418" s="635"/>
      <c r="AA418" s="636"/>
      <c r="AB418" s="615">
        <v>2</v>
      </c>
      <c r="AC418" s="615"/>
      <c r="AD418" s="615"/>
      <c r="AE418" s="615"/>
      <c r="AF418" s="615"/>
      <c r="AG418" s="615"/>
      <c r="AH418" s="615"/>
      <c r="AI418" s="615"/>
      <c r="AJ418" s="615"/>
      <c r="AK418" s="615"/>
      <c r="AL418" s="635"/>
      <c r="AM418" s="636"/>
      <c r="AN418" s="615"/>
      <c r="AO418" s="615"/>
      <c r="AP418" s="615"/>
      <c r="AQ418" s="615"/>
      <c r="AR418" s="615"/>
      <c r="AS418" s="615"/>
      <c r="AT418" s="615"/>
      <c r="AU418" s="615"/>
      <c r="AV418" s="615"/>
      <c r="AW418" s="615"/>
      <c r="AX418" s="635"/>
      <c r="AY418" s="636"/>
      <c r="AZ418" s="615"/>
      <c r="BA418" s="615"/>
      <c r="BB418" s="615"/>
      <c r="BC418" s="615"/>
      <c r="BD418" s="615"/>
      <c r="BE418" s="615"/>
      <c r="BF418" s="615"/>
      <c r="BG418" s="615"/>
      <c r="BH418" s="615"/>
      <c r="BI418" s="615"/>
      <c r="BJ418" s="635"/>
      <c r="BK418" s="636"/>
      <c r="BL418" s="615"/>
      <c r="BM418" s="615"/>
      <c r="BN418" s="615"/>
      <c r="BO418" s="615"/>
      <c r="BP418" s="615"/>
      <c r="BQ418" s="615"/>
      <c r="BR418" s="615"/>
      <c r="BS418" s="615"/>
      <c r="BT418" s="615"/>
      <c r="BU418" s="615"/>
      <c r="BV418" s="637"/>
      <c r="BW418" s="669"/>
      <c r="BX418" s="615"/>
      <c r="BY418" s="615"/>
      <c r="BZ418" s="615"/>
      <c r="CA418" s="615"/>
      <c r="CB418" s="615"/>
      <c r="CC418" s="615"/>
      <c r="CD418" s="615"/>
      <c r="CE418" s="615"/>
      <c r="CF418" s="615"/>
      <c r="CG418" s="615"/>
      <c r="CH418" s="635"/>
      <c r="CI418" s="636"/>
      <c r="CJ418" s="615">
        <v>72.5</v>
      </c>
      <c r="CK418" s="615"/>
      <c r="CL418" s="615"/>
      <c r="CM418" s="615"/>
      <c r="CN418" s="615"/>
      <c r="CO418" s="615"/>
      <c r="CP418" s="615"/>
      <c r="CQ418" s="615"/>
      <c r="CR418" s="615"/>
      <c r="CS418" s="615"/>
      <c r="CT418" s="635"/>
      <c r="CU418" s="636"/>
      <c r="CV418" s="615"/>
      <c r="CW418" s="615"/>
      <c r="CX418" s="615"/>
      <c r="CY418" s="615"/>
      <c r="CZ418" s="615"/>
      <c r="DA418" s="615"/>
      <c r="DB418" s="615"/>
      <c r="DC418" s="615"/>
      <c r="DD418" s="615"/>
      <c r="DE418" s="615"/>
      <c r="DF418" s="635"/>
      <c r="DG418" s="636"/>
      <c r="DH418" s="615"/>
      <c r="DI418" s="615"/>
      <c r="DJ418" s="615"/>
      <c r="DK418" s="615"/>
      <c r="DL418" s="615"/>
      <c r="DM418" s="615"/>
      <c r="DN418" s="615"/>
      <c r="DO418" s="615"/>
      <c r="DP418" s="615"/>
      <c r="DQ418" s="615"/>
      <c r="DR418" s="635"/>
      <c r="DS418" s="636"/>
      <c r="DT418" s="615"/>
      <c r="DU418" s="615"/>
      <c r="DV418" s="615"/>
      <c r="DW418" s="615"/>
      <c r="DX418" s="615"/>
      <c r="DY418" s="615"/>
      <c r="DZ418" s="615"/>
      <c r="EA418" s="615"/>
      <c r="EB418" s="615"/>
      <c r="EC418" s="615"/>
      <c r="ED418" s="637"/>
      <c r="EE418" s="692"/>
    </row>
    <row r="419" spans="1:135" x14ac:dyDescent="0.25">
      <c r="A419" s="640" t="s">
        <v>11</v>
      </c>
      <c r="B419" s="367" t="s">
        <v>2459</v>
      </c>
      <c r="C419" s="367" t="s">
        <v>2121</v>
      </c>
      <c r="D419" s="367" t="s">
        <v>2462</v>
      </c>
      <c r="E419" s="503" t="s">
        <v>2438</v>
      </c>
      <c r="F419" s="570">
        <v>44853</v>
      </c>
      <c r="G419" s="85" t="s">
        <v>59</v>
      </c>
      <c r="H419" s="85" t="s">
        <v>54</v>
      </c>
      <c r="I419" s="85" t="s">
        <v>358</v>
      </c>
      <c r="J419" s="675" t="s">
        <v>358</v>
      </c>
      <c r="K419" s="85" t="s">
        <v>358</v>
      </c>
      <c r="L419" s="85" t="s">
        <v>40</v>
      </c>
      <c r="M419" s="85" t="s">
        <v>3</v>
      </c>
      <c r="N419" s="668" t="s">
        <v>44</v>
      </c>
      <c r="O419" s="669"/>
      <c r="P419" s="615"/>
      <c r="Q419" s="615"/>
      <c r="R419" s="615"/>
      <c r="S419" s="615"/>
      <c r="T419" s="615"/>
      <c r="U419" s="615"/>
      <c r="V419" s="615"/>
      <c r="W419" s="615"/>
      <c r="X419" s="615"/>
      <c r="Y419" s="615"/>
      <c r="Z419" s="635"/>
      <c r="AA419" s="636">
        <v>8</v>
      </c>
      <c r="AB419" s="615">
        <v>8</v>
      </c>
      <c r="AC419" s="615">
        <v>8</v>
      </c>
      <c r="AD419" s="615"/>
      <c r="AE419" s="615"/>
      <c r="AF419" s="615"/>
      <c r="AG419" s="615"/>
      <c r="AH419" s="615"/>
      <c r="AI419" s="615"/>
      <c r="AJ419" s="615"/>
      <c r="AK419" s="615"/>
      <c r="AL419" s="635"/>
      <c r="AM419" s="636"/>
      <c r="AN419" s="615"/>
      <c r="AO419" s="615"/>
      <c r="AP419" s="615"/>
      <c r="AQ419" s="615"/>
      <c r="AR419" s="615"/>
      <c r="AS419" s="615"/>
      <c r="AT419" s="615"/>
      <c r="AU419" s="615"/>
      <c r="AV419" s="615"/>
      <c r="AW419" s="615"/>
      <c r="AX419" s="635"/>
      <c r="AY419" s="636"/>
      <c r="AZ419" s="615"/>
      <c r="BA419" s="615"/>
      <c r="BB419" s="615"/>
      <c r="BC419" s="615"/>
      <c r="BD419" s="615"/>
      <c r="BE419" s="615"/>
      <c r="BF419" s="615"/>
      <c r="BG419" s="615"/>
      <c r="BH419" s="615"/>
      <c r="BI419" s="615"/>
      <c r="BJ419" s="635"/>
      <c r="BK419" s="636"/>
      <c r="BL419" s="615"/>
      <c r="BM419" s="615"/>
      <c r="BN419" s="615"/>
      <c r="BO419" s="615"/>
      <c r="BP419" s="615"/>
      <c r="BQ419" s="615"/>
      <c r="BR419" s="615"/>
      <c r="BS419" s="615"/>
      <c r="BT419" s="615"/>
      <c r="BU419" s="615"/>
      <c r="BV419" s="637"/>
      <c r="BW419" s="669"/>
      <c r="BX419" s="615"/>
      <c r="BY419" s="615"/>
      <c r="BZ419" s="615"/>
      <c r="CA419" s="615"/>
      <c r="CB419" s="615"/>
      <c r="CC419" s="615"/>
      <c r="CD419" s="615"/>
      <c r="CE419" s="615"/>
      <c r="CF419" s="615"/>
      <c r="CG419" s="615"/>
      <c r="CH419" s="635"/>
      <c r="CI419" s="636">
        <v>71</v>
      </c>
      <c r="CJ419" s="615">
        <v>71</v>
      </c>
      <c r="CK419" s="615">
        <v>71</v>
      </c>
      <c r="CL419" s="615"/>
      <c r="CM419" s="615"/>
      <c r="CN419" s="615"/>
      <c r="CO419" s="615"/>
      <c r="CP419" s="615"/>
      <c r="CQ419" s="615"/>
      <c r="CR419" s="615"/>
      <c r="CS419" s="615"/>
      <c r="CT419" s="635"/>
      <c r="CU419" s="636"/>
      <c r="CV419" s="615"/>
      <c r="CW419" s="615"/>
      <c r="CX419" s="615"/>
      <c r="CY419" s="615"/>
      <c r="CZ419" s="615"/>
      <c r="DA419" s="615"/>
      <c r="DB419" s="615"/>
      <c r="DC419" s="615"/>
      <c r="DD419" s="615"/>
      <c r="DE419" s="615"/>
      <c r="DF419" s="635"/>
      <c r="DG419" s="636"/>
      <c r="DH419" s="615"/>
      <c r="DI419" s="615"/>
      <c r="DJ419" s="615"/>
      <c r="DK419" s="615"/>
      <c r="DL419" s="615"/>
      <c r="DM419" s="615"/>
      <c r="DN419" s="615"/>
      <c r="DO419" s="615"/>
      <c r="DP419" s="615"/>
      <c r="DQ419" s="615"/>
      <c r="DR419" s="635"/>
      <c r="DS419" s="636"/>
      <c r="DT419" s="615"/>
      <c r="DU419" s="615"/>
      <c r="DV419" s="615"/>
      <c r="DW419" s="615"/>
      <c r="DX419" s="615"/>
      <c r="DY419" s="615"/>
      <c r="DZ419" s="615"/>
      <c r="EA419" s="615"/>
      <c r="EB419" s="615"/>
      <c r="EC419" s="615"/>
      <c r="ED419" s="637"/>
      <c r="EE419" s="692"/>
    </row>
    <row r="420" spans="1:135" x14ac:dyDescent="0.25">
      <c r="A420" s="640" t="s">
        <v>11</v>
      </c>
      <c r="B420" s="367" t="s">
        <v>2461</v>
      </c>
      <c r="C420" s="367" t="s">
        <v>465</v>
      </c>
      <c r="D420" s="367" t="s">
        <v>2464</v>
      </c>
      <c r="E420" s="503" t="s">
        <v>2439</v>
      </c>
      <c r="F420" s="570">
        <v>44853</v>
      </c>
      <c r="G420" s="85" t="s">
        <v>59</v>
      </c>
      <c r="H420" s="85" t="s">
        <v>54</v>
      </c>
      <c r="I420" s="85" t="s">
        <v>358</v>
      </c>
      <c r="J420" s="675" t="s">
        <v>358</v>
      </c>
      <c r="K420" s="85" t="s">
        <v>358</v>
      </c>
      <c r="L420" s="85" t="s">
        <v>40</v>
      </c>
      <c r="M420" s="85" t="s">
        <v>3</v>
      </c>
      <c r="N420" s="668" t="s">
        <v>44</v>
      </c>
      <c r="O420" s="669"/>
      <c r="P420" s="615"/>
      <c r="Q420" s="615"/>
      <c r="R420" s="615"/>
      <c r="S420" s="615"/>
      <c r="T420" s="615"/>
      <c r="U420" s="615"/>
      <c r="V420" s="615"/>
      <c r="W420" s="615"/>
      <c r="X420" s="615"/>
      <c r="Y420" s="615"/>
      <c r="Z420" s="635"/>
      <c r="AA420" s="636"/>
      <c r="AB420" s="615"/>
      <c r="AC420" s="615"/>
      <c r="AD420" s="615"/>
      <c r="AE420" s="615"/>
      <c r="AF420" s="615"/>
      <c r="AG420" s="615"/>
      <c r="AH420" s="615"/>
      <c r="AI420" s="615"/>
      <c r="AJ420" s="615"/>
      <c r="AK420" s="615">
        <v>15</v>
      </c>
      <c r="AL420" s="635"/>
      <c r="AM420" s="636"/>
      <c r="AN420" s="615"/>
      <c r="AO420" s="615"/>
      <c r="AP420" s="615"/>
      <c r="AQ420" s="615"/>
      <c r="AR420" s="615"/>
      <c r="AS420" s="615"/>
      <c r="AT420" s="615"/>
      <c r="AU420" s="615"/>
      <c r="AV420" s="615"/>
      <c r="AW420" s="615"/>
      <c r="AX420" s="635"/>
      <c r="AY420" s="636"/>
      <c r="AZ420" s="615"/>
      <c r="BA420" s="615"/>
      <c r="BB420" s="615"/>
      <c r="BC420" s="615"/>
      <c r="BD420" s="615"/>
      <c r="BE420" s="615"/>
      <c r="BF420" s="615"/>
      <c r="BG420" s="615"/>
      <c r="BH420" s="615"/>
      <c r="BI420" s="615"/>
      <c r="BJ420" s="635"/>
      <c r="BK420" s="636"/>
      <c r="BL420" s="615"/>
      <c r="BM420" s="615"/>
      <c r="BN420" s="615"/>
      <c r="BO420" s="615"/>
      <c r="BP420" s="615"/>
      <c r="BQ420" s="615"/>
      <c r="BR420" s="615"/>
      <c r="BS420" s="615"/>
      <c r="BT420" s="615"/>
      <c r="BU420" s="615"/>
      <c r="BV420" s="637"/>
      <c r="BW420" s="669"/>
      <c r="BX420" s="615"/>
      <c r="BY420" s="615"/>
      <c r="BZ420" s="615"/>
      <c r="CA420" s="615"/>
      <c r="CB420" s="615"/>
      <c r="CC420" s="615"/>
      <c r="CD420" s="615"/>
      <c r="CE420" s="615"/>
      <c r="CF420" s="615"/>
      <c r="CG420" s="615"/>
      <c r="CH420" s="635"/>
      <c r="CI420" s="636"/>
      <c r="CJ420" s="615"/>
      <c r="CK420" s="615"/>
      <c r="CL420" s="615"/>
      <c r="CM420" s="615"/>
      <c r="CN420" s="615"/>
      <c r="CO420" s="615"/>
      <c r="CP420" s="615"/>
      <c r="CQ420" s="615"/>
      <c r="CR420" s="615"/>
      <c r="CS420" s="615">
        <v>115</v>
      </c>
      <c r="CT420" s="635"/>
      <c r="CU420" s="636"/>
      <c r="CV420" s="615"/>
      <c r="CW420" s="615"/>
      <c r="CX420" s="615"/>
      <c r="CY420" s="615"/>
      <c r="CZ420" s="615"/>
      <c r="DA420" s="615"/>
      <c r="DB420" s="615"/>
      <c r="DC420" s="615"/>
      <c r="DD420" s="615"/>
      <c r="DE420" s="615"/>
      <c r="DF420" s="635"/>
      <c r="DG420" s="636"/>
      <c r="DH420" s="615"/>
      <c r="DI420" s="615"/>
      <c r="DJ420" s="615"/>
      <c r="DK420" s="615"/>
      <c r="DL420" s="615"/>
      <c r="DM420" s="615"/>
      <c r="DN420" s="615"/>
      <c r="DO420" s="615"/>
      <c r="DP420" s="615"/>
      <c r="DQ420" s="615"/>
      <c r="DR420" s="635"/>
      <c r="DS420" s="636"/>
      <c r="DT420" s="615"/>
      <c r="DU420" s="615"/>
      <c r="DV420" s="615"/>
      <c r="DW420" s="615"/>
      <c r="DX420" s="615"/>
      <c r="DY420" s="615"/>
      <c r="DZ420" s="615"/>
      <c r="EA420" s="615"/>
      <c r="EB420" s="615"/>
      <c r="EC420" s="615"/>
      <c r="ED420" s="637"/>
      <c r="EE420" s="692"/>
    </row>
    <row r="421" spans="1:135" x14ac:dyDescent="0.25">
      <c r="A421" s="640" t="s">
        <v>11</v>
      </c>
      <c r="B421" s="367" t="s">
        <v>2463</v>
      </c>
      <c r="C421" s="367" t="s">
        <v>465</v>
      </c>
      <c r="D421" s="367" t="s">
        <v>2466</v>
      </c>
      <c r="E421" s="503" t="s">
        <v>2440</v>
      </c>
      <c r="F421" s="570">
        <v>44853</v>
      </c>
      <c r="G421" s="85" t="s">
        <v>58</v>
      </c>
      <c r="H421" s="85" t="s">
        <v>54</v>
      </c>
      <c r="I421" s="85" t="s">
        <v>358</v>
      </c>
      <c r="J421" s="675" t="s">
        <v>358</v>
      </c>
      <c r="K421" s="85" t="s">
        <v>358</v>
      </c>
      <c r="L421" s="85" t="s">
        <v>40</v>
      </c>
      <c r="M421" s="85" t="s">
        <v>3</v>
      </c>
      <c r="N421" s="668" t="s">
        <v>44</v>
      </c>
      <c r="O421" s="669"/>
      <c r="P421" s="615"/>
      <c r="Q421" s="615"/>
      <c r="R421" s="615"/>
      <c r="S421" s="615"/>
      <c r="T421" s="615"/>
      <c r="U421" s="615"/>
      <c r="V421" s="615"/>
      <c r="W421" s="615"/>
      <c r="X421" s="615"/>
      <c r="Y421" s="615"/>
      <c r="Z421" s="635"/>
      <c r="AA421" s="636"/>
      <c r="AB421" s="615"/>
      <c r="AC421" s="615"/>
      <c r="AD421" s="615"/>
      <c r="AE421" s="615"/>
      <c r="AF421" s="615"/>
      <c r="AG421" s="615"/>
      <c r="AH421" s="615"/>
      <c r="AI421" s="615"/>
      <c r="AJ421" s="615"/>
      <c r="AK421" s="615"/>
      <c r="AL421" s="635">
        <v>-15</v>
      </c>
      <c r="AM421" s="636"/>
      <c r="AN421" s="615"/>
      <c r="AO421" s="615"/>
      <c r="AP421" s="615"/>
      <c r="AQ421" s="615"/>
      <c r="AR421" s="615"/>
      <c r="AS421" s="615"/>
      <c r="AT421" s="615"/>
      <c r="AU421" s="615"/>
      <c r="AV421" s="615"/>
      <c r="AW421" s="615"/>
      <c r="AX421" s="635"/>
      <c r="AY421" s="636"/>
      <c r="AZ421" s="615"/>
      <c r="BA421" s="615"/>
      <c r="BB421" s="615"/>
      <c r="BC421" s="615"/>
      <c r="BD421" s="615"/>
      <c r="BE421" s="615"/>
      <c r="BF421" s="615"/>
      <c r="BG421" s="615"/>
      <c r="BH421" s="615"/>
      <c r="BI421" s="615"/>
      <c r="BJ421" s="635"/>
      <c r="BK421" s="636"/>
      <c r="BL421" s="615"/>
      <c r="BM421" s="615"/>
      <c r="BN421" s="615"/>
      <c r="BO421" s="615"/>
      <c r="BP421" s="615"/>
      <c r="BQ421" s="615"/>
      <c r="BR421" s="615"/>
      <c r="BS421" s="615"/>
      <c r="BT421" s="615"/>
      <c r="BU421" s="615"/>
      <c r="BV421" s="637"/>
      <c r="BW421" s="669"/>
      <c r="BX421" s="615"/>
      <c r="BY421" s="615"/>
      <c r="BZ421" s="615"/>
      <c r="CA421" s="615"/>
      <c r="CB421" s="615"/>
      <c r="CC421" s="615"/>
      <c r="CD421" s="615"/>
      <c r="CE421" s="615"/>
      <c r="CF421" s="615"/>
      <c r="CG421" s="615"/>
      <c r="CH421" s="635"/>
      <c r="CI421" s="636"/>
      <c r="CJ421" s="615"/>
      <c r="CK421" s="615"/>
      <c r="CL421" s="615"/>
      <c r="CM421" s="615"/>
      <c r="CN421" s="615"/>
      <c r="CO421" s="615"/>
      <c r="CP421" s="615"/>
      <c r="CQ421" s="615"/>
      <c r="CR421" s="615"/>
      <c r="CS421" s="615"/>
      <c r="CT421" s="635">
        <v>109</v>
      </c>
      <c r="CU421" s="636"/>
      <c r="CV421" s="615"/>
      <c r="CW421" s="615"/>
      <c r="CX421" s="615"/>
      <c r="CY421" s="615"/>
      <c r="CZ421" s="615"/>
      <c r="DA421" s="615"/>
      <c r="DB421" s="615"/>
      <c r="DC421" s="615"/>
      <c r="DD421" s="615"/>
      <c r="DE421" s="615"/>
      <c r="DF421" s="635"/>
      <c r="DG421" s="636"/>
      <c r="DH421" s="615"/>
      <c r="DI421" s="615"/>
      <c r="DJ421" s="615"/>
      <c r="DK421" s="615"/>
      <c r="DL421" s="615"/>
      <c r="DM421" s="615"/>
      <c r="DN421" s="615"/>
      <c r="DO421" s="615"/>
      <c r="DP421" s="615"/>
      <c r="DQ421" s="615"/>
      <c r="DR421" s="635"/>
      <c r="DS421" s="636"/>
      <c r="DT421" s="615"/>
      <c r="DU421" s="615"/>
      <c r="DV421" s="615"/>
      <c r="DW421" s="615"/>
      <c r="DX421" s="615"/>
      <c r="DY421" s="615"/>
      <c r="DZ421" s="615"/>
      <c r="EA421" s="615"/>
      <c r="EB421" s="615"/>
      <c r="EC421" s="615"/>
      <c r="ED421" s="637"/>
      <c r="EE421" s="692"/>
    </row>
    <row r="422" spans="1:135" x14ac:dyDescent="0.25">
      <c r="A422" s="640" t="s">
        <v>11</v>
      </c>
      <c r="B422" s="367" t="s">
        <v>2465</v>
      </c>
      <c r="C422" s="367" t="s">
        <v>410</v>
      </c>
      <c r="D422" s="367" t="s">
        <v>2470</v>
      </c>
      <c r="E422" s="503" t="s">
        <v>2467</v>
      </c>
      <c r="F422" s="570">
        <v>44854</v>
      </c>
      <c r="G422" s="85" t="s">
        <v>59</v>
      </c>
      <c r="H422" s="85" t="s">
        <v>54</v>
      </c>
      <c r="I422" s="85" t="s">
        <v>358</v>
      </c>
      <c r="J422" s="675" t="s">
        <v>358</v>
      </c>
      <c r="K422" s="85" t="s">
        <v>358</v>
      </c>
      <c r="L422" s="85" t="s">
        <v>40</v>
      </c>
      <c r="M422" s="85" t="s">
        <v>3</v>
      </c>
      <c r="N422" s="668" t="s">
        <v>44</v>
      </c>
      <c r="O422" s="669"/>
      <c r="P422" s="615"/>
      <c r="Q422" s="615"/>
      <c r="R422" s="615"/>
      <c r="S422" s="615"/>
      <c r="T422" s="615"/>
      <c r="U422" s="615"/>
      <c r="V422" s="615"/>
      <c r="W422" s="615"/>
      <c r="X422" s="615"/>
      <c r="Y422" s="615"/>
      <c r="Z422" s="635"/>
      <c r="AA422" s="636"/>
      <c r="AB422" s="615"/>
      <c r="AC422" s="615"/>
      <c r="AD422" s="615"/>
      <c r="AE422" s="615"/>
      <c r="AF422" s="615"/>
      <c r="AG422" s="615"/>
      <c r="AH422" s="615"/>
      <c r="AI422" s="615"/>
      <c r="AJ422" s="615">
        <v>12</v>
      </c>
      <c r="AK422" s="615"/>
      <c r="AL422" s="635"/>
      <c r="AM422" s="636"/>
      <c r="AN422" s="615"/>
      <c r="AO422" s="615"/>
      <c r="AP422" s="615"/>
      <c r="AQ422" s="615"/>
      <c r="AR422" s="615"/>
      <c r="AS422" s="615"/>
      <c r="AT422" s="615"/>
      <c r="AU422" s="615"/>
      <c r="AV422" s="615"/>
      <c r="AW422" s="615"/>
      <c r="AX422" s="635"/>
      <c r="AY422" s="636"/>
      <c r="AZ422" s="615"/>
      <c r="BA422" s="615"/>
      <c r="BB422" s="615"/>
      <c r="BC422" s="615"/>
      <c r="BD422" s="615"/>
      <c r="BE422" s="615"/>
      <c r="BF422" s="615"/>
      <c r="BG422" s="615"/>
      <c r="BH422" s="615"/>
      <c r="BI422" s="615"/>
      <c r="BJ422" s="635"/>
      <c r="BK422" s="636"/>
      <c r="BL422" s="615"/>
      <c r="BM422" s="615"/>
      <c r="BN422" s="615"/>
      <c r="BO422" s="615"/>
      <c r="BP422" s="615"/>
      <c r="BQ422" s="615"/>
      <c r="BR422" s="615"/>
      <c r="BS422" s="615"/>
      <c r="BT422" s="615"/>
      <c r="BU422" s="615"/>
      <c r="BV422" s="637"/>
      <c r="BW422" s="669"/>
      <c r="BX422" s="615"/>
      <c r="BY422" s="615"/>
      <c r="BZ422" s="615"/>
      <c r="CA422" s="615"/>
      <c r="CB422" s="615"/>
      <c r="CC422" s="615"/>
      <c r="CD422" s="615"/>
      <c r="CE422" s="615"/>
      <c r="CF422" s="615"/>
      <c r="CG422" s="615"/>
      <c r="CH422" s="635"/>
      <c r="CI422" s="636"/>
      <c r="CJ422" s="615"/>
      <c r="CK422" s="615"/>
      <c r="CL422" s="615"/>
      <c r="CM422" s="615"/>
      <c r="CN422" s="615"/>
      <c r="CO422" s="615"/>
      <c r="CP422" s="615"/>
      <c r="CQ422" s="615"/>
      <c r="CR422" s="615">
        <v>120</v>
      </c>
      <c r="CS422" s="615"/>
      <c r="CT422" s="635"/>
      <c r="CU422" s="636"/>
      <c r="CV422" s="615"/>
      <c r="CW422" s="615"/>
      <c r="CX422" s="615"/>
      <c r="CY422" s="615"/>
      <c r="CZ422" s="615"/>
      <c r="DA422" s="615"/>
      <c r="DB422" s="615"/>
      <c r="DC422" s="615"/>
      <c r="DD422" s="615"/>
      <c r="DE422" s="615"/>
      <c r="DF422" s="635"/>
      <c r="DG422" s="636"/>
      <c r="DH422" s="615"/>
      <c r="DI422" s="615"/>
      <c r="DJ422" s="615"/>
      <c r="DK422" s="615"/>
      <c r="DL422" s="615"/>
      <c r="DM422" s="615"/>
      <c r="DN422" s="615"/>
      <c r="DO422" s="615"/>
      <c r="DP422" s="615"/>
      <c r="DQ422" s="615"/>
      <c r="DR422" s="635"/>
      <c r="DS422" s="636"/>
      <c r="DT422" s="615"/>
      <c r="DU422" s="615"/>
      <c r="DV422" s="615"/>
      <c r="DW422" s="615"/>
      <c r="DX422" s="615"/>
      <c r="DY422" s="615"/>
      <c r="DZ422" s="615"/>
      <c r="EA422" s="615"/>
      <c r="EB422" s="615"/>
      <c r="EC422" s="615"/>
      <c r="ED422" s="637"/>
      <c r="EE422" s="692"/>
    </row>
    <row r="423" spans="1:135" x14ac:dyDescent="0.25">
      <c r="A423" s="640" t="s">
        <v>11</v>
      </c>
      <c r="B423" s="367" t="s">
        <v>2471</v>
      </c>
      <c r="C423" s="367" t="s">
        <v>410</v>
      </c>
      <c r="D423" s="367" t="s">
        <v>2472</v>
      </c>
      <c r="E423" s="503" t="s">
        <v>2468</v>
      </c>
      <c r="F423" s="570">
        <v>44854</v>
      </c>
      <c r="G423" s="85" t="s">
        <v>58</v>
      </c>
      <c r="H423" s="85" t="s">
        <v>54</v>
      </c>
      <c r="I423" s="85" t="s">
        <v>358</v>
      </c>
      <c r="J423" s="675" t="s">
        <v>358</v>
      </c>
      <c r="K423" s="85" t="s">
        <v>358</v>
      </c>
      <c r="L423" s="85" t="s">
        <v>40</v>
      </c>
      <c r="M423" s="85" t="s">
        <v>3</v>
      </c>
      <c r="N423" s="668" t="s">
        <v>44</v>
      </c>
      <c r="O423" s="669"/>
      <c r="P423" s="615"/>
      <c r="Q423" s="615"/>
      <c r="R423" s="615"/>
      <c r="S423" s="615"/>
      <c r="T423" s="615"/>
      <c r="U423" s="615"/>
      <c r="V423" s="615"/>
      <c r="W423" s="615"/>
      <c r="X423" s="615"/>
      <c r="Y423" s="615"/>
      <c r="Z423" s="635"/>
      <c r="AA423" s="636"/>
      <c r="AB423" s="615"/>
      <c r="AC423" s="615"/>
      <c r="AD423" s="615"/>
      <c r="AE423" s="615"/>
      <c r="AF423" s="615"/>
      <c r="AG423" s="615"/>
      <c r="AH423" s="615">
        <v>-12</v>
      </c>
      <c r="AI423" s="615"/>
      <c r="AJ423" s="615"/>
      <c r="AK423" s="615"/>
      <c r="AL423" s="635"/>
      <c r="AM423" s="636"/>
      <c r="AN423" s="615"/>
      <c r="AO423" s="615"/>
      <c r="AP423" s="615"/>
      <c r="AQ423" s="615"/>
      <c r="AR423" s="615"/>
      <c r="AS423" s="615"/>
      <c r="AT423" s="615"/>
      <c r="AU423" s="615"/>
      <c r="AV423" s="615"/>
      <c r="AW423" s="615"/>
      <c r="AX423" s="635"/>
      <c r="AY423" s="636"/>
      <c r="AZ423" s="615"/>
      <c r="BA423" s="615"/>
      <c r="BB423" s="615"/>
      <c r="BC423" s="615"/>
      <c r="BD423" s="615"/>
      <c r="BE423" s="615"/>
      <c r="BF423" s="615"/>
      <c r="BG423" s="615"/>
      <c r="BH423" s="615"/>
      <c r="BI423" s="615"/>
      <c r="BJ423" s="635"/>
      <c r="BK423" s="636"/>
      <c r="BL423" s="615"/>
      <c r="BM423" s="615"/>
      <c r="BN423" s="615"/>
      <c r="BO423" s="615"/>
      <c r="BP423" s="615"/>
      <c r="BQ423" s="615"/>
      <c r="BR423" s="615"/>
      <c r="BS423" s="615"/>
      <c r="BT423" s="615"/>
      <c r="BU423" s="615"/>
      <c r="BV423" s="637"/>
      <c r="BW423" s="669"/>
      <c r="BX423" s="615"/>
      <c r="BY423" s="615"/>
      <c r="BZ423" s="615"/>
      <c r="CA423" s="615"/>
      <c r="CB423" s="615"/>
      <c r="CC423" s="615"/>
      <c r="CD423" s="615"/>
      <c r="CE423" s="615"/>
      <c r="CF423" s="615"/>
      <c r="CG423" s="615"/>
      <c r="CH423" s="635"/>
      <c r="CI423" s="636"/>
      <c r="CJ423" s="615"/>
      <c r="CK423" s="615"/>
      <c r="CL423" s="615"/>
      <c r="CM423" s="615"/>
      <c r="CN423" s="615"/>
      <c r="CO423" s="615"/>
      <c r="CP423" s="615">
        <v>120</v>
      </c>
      <c r="CQ423" s="615"/>
      <c r="CR423" s="615"/>
      <c r="CS423" s="615"/>
      <c r="CT423" s="635"/>
      <c r="CU423" s="636"/>
      <c r="CV423" s="615"/>
      <c r="CW423" s="615"/>
      <c r="CX423" s="615"/>
      <c r="CY423" s="615"/>
      <c r="CZ423" s="615"/>
      <c r="DA423" s="615"/>
      <c r="DB423" s="615"/>
      <c r="DC423" s="615"/>
      <c r="DD423" s="615"/>
      <c r="DE423" s="615"/>
      <c r="DF423" s="635"/>
      <c r="DG423" s="636"/>
      <c r="DH423" s="615"/>
      <c r="DI423" s="615"/>
      <c r="DJ423" s="615"/>
      <c r="DK423" s="615"/>
      <c r="DL423" s="615"/>
      <c r="DM423" s="615"/>
      <c r="DN423" s="615"/>
      <c r="DO423" s="615"/>
      <c r="DP423" s="615"/>
      <c r="DQ423" s="615"/>
      <c r="DR423" s="635"/>
      <c r="DS423" s="636"/>
      <c r="DT423" s="615"/>
      <c r="DU423" s="615"/>
      <c r="DV423" s="615"/>
      <c r="DW423" s="615"/>
      <c r="DX423" s="615"/>
      <c r="DY423" s="615"/>
      <c r="DZ423" s="615"/>
      <c r="EA423" s="615"/>
      <c r="EB423" s="615"/>
      <c r="EC423" s="615"/>
      <c r="ED423" s="637"/>
      <c r="EE423" s="692"/>
    </row>
    <row r="424" spans="1:135" x14ac:dyDescent="0.25">
      <c r="A424" s="640" t="s">
        <v>11</v>
      </c>
      <c r="B424" s="367" t="s">
        <v>2515</v>
      </c>
      <c r="C424" s="367" t="s">
        <v>1406</v>
      </c>
      <c r="D424" s="367" t="s">
        <v>2516</v>
      </c>
      <c r="E424" s="503" t="s">
        <v>2513</v>
      </c>
      <c r="F424" s="570">
        <v>44881</v>
      </c>
      <c r="G424" s="85" t="s">
        <v>59</v>
      </c>
      <c r="H424" s="85" t="s">
        <v>54</v>
      </c>
      <c r="I424" s="85" t="s">
        <v>649</v>
      </c>
      <c r="J424" s="675">
        <v>44866</v>
      </c>
      <c r="K424" s="85">
        <v>1</v>
      </c>
      <c r="L424" s="85" t="s">
        <v>40</v>
      </c>
      <c r="M424" s="85" t="s">
        <v>3</v>
      </c>
      <c r="N424" s="668" t="s">
        <v>44</v>
      </c>
      <c r="O424" s="669"/>
      <c r="P424" s="615"/>
      <c r="Q424" s="615"/>
      <c r="R424" s="615"/>
      <c r="S424" s="615"/>
      <c r="T424" s="615"/>
      <c r="U424" s="615"/>
      <c r="V424" s="615"/>
      <c r="W424" s="615"/>
      <c r="X424" s="615"/>
      <c r="Y424" s="615"/>
      <c r="Z424" s="635"/>
      <c r="AA424" s="636"/>
      <c r="AB424" s="615"/>
      <c r="AC424" s="615"/>
      <c r="AD424" s="615"/>
      <c r="AE424" s="615"/>
      <c r="AF424" s="615"/>
      <c r="AG424" s="615"/>
      <c r="AH424" s="615"/>
      <c r="AI424" s="615"/>
      <c r="AJ424" s="615"/>
      <c r="AK424" s="615"/>
      <c r="AL424" s="635"/>
      <c r="AM424" s="636">
        <v>15</v>
      </c>
      <c r="AN424" s="615">
        <v>15</v>
      </c>
      <c r="AO424" s="615">
        <v>15</v>
      </c>
      <c r="AP424" s="615">
        <v>15</v>
      </c>
      <c r="AQ424" s="615">
        <v>15</v>
      </c>
      <c r="AR424" s="615">
        <v>15</v>
      </c>
      <c r="AS424" s="615">
        <v>15</v>
      </c>
      <c r="AT424" s="615">
        <v>15</v>
      </c>
      <c r="AU424" s="615">
        <v>15</v>
      </c>
      <c r="AV424" s="615">
        <v>15</v>
      </c>
      <c r="AW424" s="615">
        <v>15</v>
      </c>
      <c r="AX424" s="635">
        <v>15</v>
      </c>
      <c r="AY424" s="636"/>
      <c r="AZ424" s="615"/>
      <c r="BA424" s="615"/>
      <c r="BB424" s="615"/>
      <c r="BC424" s="615"/>
      <c r="BD424" s="615"/>
      <c r="BE424" s="615"/>
      <c r="BF424" s="615"/>
      <c r="BG424" s="615"/>
      <c r="BH424" s="615"/>
      <c r="BI424" s="615"/>
      <c r="BJ424" s="635"/>
      <c r="BK424" s="636"/>
      <c r="BL424" s="615"/>
      <c r="BM424" s="615"/>
      <c r="BN424" s="615"/>
      <c r="BO424" s="615"/>
      <c r="BP424" s="615"/>
      <c r="BQ424" s="615"/>
      <c r="BR424" s="615"/>
      <c r="BS424" s="615"/>
      <c r="BT424" s="615"/>
      <c r="BU424" s="615"/>
      <c r="BV424" s="637"/>
      <c r="BW424" s="669"/>
      <c r="BX424" s="615"/>
      <c r="BY424" s="615"/>
      <c r="BZ424" s="615"/>
      <c r="CA424" s="615"/>
      <c r="CB424" s="615"/>
      <c r="CC424" s="615"/>
      <c r="CD424" s="615"/>
      <c r="CE424" s="615"/>
      <c r="CF424" s="615"/>
      <c r="CG424" s="615"/>
      <c r="CH424" s="635"/>
      <c r="CI424" s="636"/>
      <c r="CJ424" s="615"/>
      <c r="CK424" s="615"/>
      <c r="CL424" s="615"/>
      <c r="CM424" s="615"/>
      <c r="CN424" s="615"/>
      <c r="CO424" s="615"/>
      <c r="CP424" s="615"/>
      <c r="CQ424" s="615"/>
      <c r="CR424" s="615"/>
      <c r="CS424" s="615"/>
      <c r="CT424" s="635"/>
      <c r="CU424" s="636">
        <v>131.15945797953472</v>
      </c>
      <c r="CV424" s="615">
        <v>131.15945797953472</v>
      </c>
      <c r="CW424" s="615">
        <v>131.15945797953472</v>
      </c>
      <c r="CX424" s="615">
        <v>131.15945797953472</v>
      </c>
      <c r="CY424" s="615">
        <v>131.15945797953472</v>
      </c>
      <c r="CZ424" s="615">
        <v>131.15945797953472</v>
      </c>
      <c r="DA424" s="615">
        <v>131.15945797953472</v>
      </c>
      <c r="DB424" s="615">
        <v>131.15945797953472</v>
      </c>
      <c r="DC424" s="615">
        <v>131.15945797953472</v>
      </c>
      <c r="DD424" s="615">
        <v>131.15945797953472</v>
      </c>
      <c r="DE424" s="615">
        <v>131.15945797953472</v>
      </c>
      <c r="DF424" s="635">
        <v>131.15945797953472</v>
      </c>
      <c r="DG424" s="636"/>
      <c r="DH424" s="615"/>
      <c r="DI424" s="615"/>
      <c r="DJ424" s="615"/>
      <c r="DK424" s="615"/>
      <c r="DL424" s="615"/>
      <c r="DM424" s="615"/>
      <c r="DN424" s="615"/>
      <c r="DO424" s="615"/>
      <c r="DP424" s="615"/>
      <c r="DQ424" s="615"/>
      <c r="DR424" s="635"/>
      <c r="DS424" s="636"/>
      <c r="DT424" s="615"/>
      <c r="DU424" s="615"/>
      <c r="DV424" s="615"/>
      <c r="DW424" s="615"/>
      <c r="DX424" s="615"/>
      <c r="DY424" s="615"/>
      <c r="DZ424" s="615"/>
      <c r="EA424" s="615"/>
      <c r="EB424" s="615"/>
      <c r="EC424" s="615"/>
      <c r="ED424" s="637"/>
      <c r="EE424" s="692"/>
    </row>
    <row r="425" spans="1:135" x14ac:dyDescent="0.25">
      <c r="A425" s="640" t="s">
        <v>11</v>
      </c>
      <c r="B425" s="367" t="s">
        <v>2532</v>
      </c>
      <c r="C425" s="367" t="s">
        <v>465</v>
      </c>
      <c r="D425" s="367" t="s">
        <v>2533</v>
      </c>
      <c r="E425" s="503" t="s">
        <v>2531</v>
      </c>
      <c r="F425" s="570">
        <v>44896</v>
      </c>
      <c r="G425" s="85" t="s">
        <v>59</v>
      </c>
      <c r="H425" s="85" t="s">
        <v>54</v>
      </c>
      <c r="I425" s="85" t="s">
        <v>358</v>
      </c>
      <c r="J425" s="675" t="s">
        <v>358</v>
      </c>
      <c r="K425" s="85" t="s">
        <v>358</v>
      </c>
      <c r="L425" s="85" t="s">
        <v>40</v>
      </c>
      <c r="M425" s="85" t="s">
        <v>3</v>
      </c>
      <c r="N425" s="668" t="s">
        <v>44</v>
      </c>
      <c r="O425" s="669"/>
      <c r="P425" s="615"/>
      <c r="Q425" s="615"/>
      <c r="R425" s="615"/>
      <c r="S425" s="615"/>
      <c r="T425" s="615"/>
      <c r="U425" s="615"/>
      <c r="V425" s="615"/>
      <c r="W425" s="615"/>
      <c r="X425" s="615"/>
      <c r="Y425" s="615"/>
      <c r="Z425" s="635"/>
      <c r="AA425" s="636"/>
      <c r="AB425" s="615"/>
      <c r="AC425" s="615"/>
      <c r="AD425" s="615">
        <v>2</v>
      </c>
      <c r="AE425" s="615"/>
      <c r="AF425" s="615"/>
      <c r="AG425" s="615"/>
      <c r="AH425" s="615"/>
      <c r="AI425" s="615"/>
      <c r="AJ425" s="615"/>
      <c r="AK425" s="615"/>
      <c r="AL425" s="635"/>
      <c r="AM425" s="636"/>
      <c r="AN425" s="615"/>
      <c r="AO425" s="615"/>
      <c r="AP425" s="615"/>
      <c r="AQ425" s="615"/>
      <c r="AR425" s="615"/>
      <c r="AS425" s="615"/>
      <c r="AT425" s="615"/>
      <c r="AU425" s="615"/>
      <c r="AV425" s="615"/>
      <c r="AW425" s="615"/>
      <c r="AX425" s="635"/>
      <c r="AY425" s="636"/>
      <c r="AZ425" s="615"/>
      <c r="BA425" s="615"/>
      <c r="BB425" s="615"/>
      <c r="BC425" s="615"/>
      <c r="BD425" s="615"/>
      <c r="BE425" s="615"/>
      <c r="BF425" s="615"/>
      <c r="BG425" s="615"/>
      <c r="BH425" s="615"/>
      <c r="BI425" s="615"/>
      <c r="BJ425" s="635"/>
      <c r="BK425" s="636"/>
      <c r="BL425" s="615"/>
      <c r="BM425" s="615"/>
      <c r="BN425" s="615"/>
      <c r="BO425" s="615"/>
      <c r="BP425" s="615"/>
      <c r="BQ425" s="615"/>
      <c r="BR425" s="615"/>
      <c r="BS425" s="615"/>
      <c r="BT425" s="615"/>
      <c r="BU425" s="615"/>
      <c r="BV425" s="637"/>
      <c r="BW425" s="669"/>
      <c r="BX425" s="615"/>
      <c r="BY425" s="615"/>
      <c r="BZ425" s="615"/>
      <c r="CA425" s="615"/>
      <c r="CB425" s="615"/>
      <c r="CC425" s="615"/>
      <c r="CD425" s="615"/>
      <c r="CE425" s="615"/>
      <c r="CF425" s="615"/>
      <c r="CG425" s="615"/>
      <c r="CH425" s="635"/>
      <c r="CI425" s="636"/>
      <c r="CJ425" s="615"/>
      <c r="CK425" s="615"/>
      <c r="CL425" s="615">
        <v>66</v>
      </c>
      <c r="CM425" s="615"/>
      <c r="CN425" s="615"/>
      <c r="CO425" s="615"/>
      <c r="CP425" s="615"/>
      <c r="CQ425" s="615"/>
      <c r="CR425" s="615"/>
      <c r="CS425" s="615"/>
      <c r="CT425" s="635"/>
      <c r="CU425" s="636"/>
      <c r="CV425" s="615"/>
      <c r="CW425" s="615"/>
      <c r="CX425" s="615"/>
      <c r="CY425" s="615"/>
      <c r="CZ425" s="615"/>
      <c r="DA425" s="615"/>
      <c r="DB425" s="615"/>
      <c r="DC425" s="615"/>
      <c r="DD425" s="615"/>
      <c r="DE425" s="615"/>
      <c r="DF425" s="635"/>
      <c r="DG425" s="636"/>
      <c r="DH425" s="615"/>
      <c r="DI425" s="615"/>
      <c r="DJ425" s="615"/>
      <c r="DK425" s="615"/>
      <c r="DL425" s="615"/>
      <c r="DM425" s="615"/>
      <c r="DN425" s="615"/>
      <c r="DO425" s="615"/>
      <c r="DP425" s="615"/>
      <c r="DQ425" s="615"/>
      <c r="DR425" s="635"/>
      <c r="DS425" s="636"/>
      <c r="DT425" s="615"/>
      <c r="DU425" s="615"/>
      <c r="DV425" s="615"/>
      <c r="DW425" s="615"/>
      <c r="DX425" s="615"/>
      <c r="DY425" s="615"/>
      <c r="DZ425" s="615"/>
      <c r="EA425" s="615"/>
      <c r="EB425" s="615"/>
      <c r="EC425" s="615"/>
      <c r="ED425" s="637"/>
      <c r="EE425" s="692"/>
    </row>
    <row r="426" spans="1:135" x14ac:dyDescent="0.25">
      <c r="A426" s="640" t="s">
        <v>11</v>
      </c>
      <c r="B426" s="367" t="s">
        <v>2554</v>
      </c>
      <c r="C426" s="367" t="s">
        <v>472</v>
      </c>
      <c r="D426" s="367" t="s">
        <v>2555</v>
      </c>
      <c r="E426" s="503" t="s">
        <v>2538</v>
      </c>
      <c r="F426" s="570">
        <v>44901</v>
      </c>
      <c r="G426" s="85" t="s">
        <v>59</v>
      </c>
      <c r="H426" s="85" t="s">
        <v>92</v>
      </c>
      <c r="I426" s="85" t="s">
        <v>358</v>
      </c>
      <c r="J426" s="675" t="s">
        <v>358</v>
      </c>
      <c r="K426" s="85" t="s">
        <v>358</v>
      </c>
      <c r="L426" s="85" t="s">
        <v>40</v>
      </c>
      <c r="M426" s="85" t="s">
        <v>6</v>
      </c>
      <c r="N426" s="668" t="s">
        <v>44</v>
      </c>
      <c r="O426" s="669"/>
      <c r="P426" s="615"/>
      <c r="Q426" s="615"/>
      <c r="R426" s="615"/>
      <c r="S426" s="615"/>
      <c r="T426" s="615"/>
      <c r="U426" s="615"/>
      <c r="V426" s="615"/>
      <c r="W426" s="615"/>
      <c r="X426" s="615"/>
      <c r="Y426" s="615">
        <v>0.3</v>
      </c>
      <c r="Z426" s="635"/>
      <c r="AA426" s="636"/>
      <c r="AB426" s="615"/>
      <c r="AC426" s="615"/>
      <c r="AD426" s="615"/>
      <c r="AE426" s="615"/>
      <c r="AF426" s="615"/>
      <c r="AG426" s="615"/>
      <c r="AH426" s="615"/>
      <c r="AI426" s="615"/>
      <c r="AJ426" s="615"/>
      <c r="AK426" s="615"/>
      <c r="AL426" s="635"/>
      <c r="AM426" s="636"/>
      <c r="AN426" s="615"/>
      <c r="AO426" s="615"/>
      <c r="AP426" s="615"/>
      <c r="AQ426" s="615"/>
      <c r="AR426" s="615"/>
      <c r="AS426" s="615"/>
      <c r="AT426" s="615"/>
      <c r="AU426" s="615"/>
      <c r="AV426" s="615"/>
      <c r="AW426" s="615"/>
      <c r="AX426" s="635"/>
      <c r="AY426" s="636"/>
      <c r="AZ426" s="615"/>
      <c r="BA426" s="615"/>
      <c r="BB426" s="615"/>
      <c r="BC426" s="615"/>
      <c r="BD426" s="615"/>
      <c r="BE426" s="615"/>
      <c r="BF426" s="615"/>
      <c r="BG426" s="615"/>
      <c r="BH426" s="615"/>
      <c r="BI426" s="615"/>
      <c r="BJ426" s="635"/>
      <c r="BK426" s="636"/>
      <c r="BL426" s="615"/>
      <c r="BM426" s="615"/>
      <c r="BN426" s="615"/>
      <c r="BO426" s="615"/>
      <c r="BP426" s="615"/>
      <c r="BQ426" s="615"/>
      <c r="BR426" s="615"/>
      <c r="BS426" s="615"/>
      <c r="BT426" s="615"/>
      <c r="BU426" s="615"/>
      <c r="BV426" s="637"/>
      <c r="BW426" s="669"/>
      <c r="BX426" s="615"/>
      <c r="BY426" s="615"/>
      <c r="BZ426" s="615"/>
      <c r="CA426" s="615"/>
      <c r="CB426" s="615"/>
      <c r="CC426" s="615"/>
      <c r="CD426" s="615"/>
      <c r="CE426" s="615"/>
      <c r="CF426" s="615"/>
      <c r="CG426" s="615">
        <v>204.7</v>
      </c>
      <c r="CH426" s="635"/>
      <c r="CI426" s="636"/>
      <c r="CJ426" s="615"/>
      <c r="CK426" s="615"/>
      <c r="CL426" s="615"/>
      <c r="CM426" s="615"/>
      <c r="CN426" s="615"/>
      <c r="CO426" s="615"/>
      <c r="CP426" s="615"/>
      <c r="CQ426" s="615"/>
      <c r="CR426" s="615"/>
      <c r="CS426" s="615"/>
      <c r="CT426" s="635"/>
      <c r="CU426" s="636"/>
      <c r="CV426" s="615"/>
      <c r="CW426" s="615"/>
      <c r="CX426" s="615"/>
      <c r="CY426" s="615"/>
      <c r="CZ426" s="615"/>
      <c r="DA426" s="615"/>
      <c r="DB426" s="615"/>
      <c r="DC426" s="615"/>
      <c r="DD426" s="615"/>
      <c r="DE426" s="615"/>
      <c r="DF426" s="635"/>
      <c r="DG426" s="636"/>
      <c r="DH426" s="615"/>
      <c r="DI426" s="615"/>
      <c r="DJ426" s="615"/>
      <c r="DK426" s="615"/>
      <c r="DL426" s="615"/>
      <c r="DM426" s="615"/>
      <c r="DN426" s="615"/>
      <c r="DO426" s="615"/>
      <c r="DP426" s="615"/>
      <c r="DQ426" s="615"/>
      <c r="DR426" s="635"/>
      <c r="DS426" s="636"/>
      <c r="DT426" s="615"/>
      <c r="DU426" s="615"/>
      <c r="DV426" s="615"/>
      <c r="DW426" s="615"/>
      <c r="DX426" s="615"/>
      <c r="DY426" s="615"/>
      <c r="DZ426" s="615"/>
      <c r="EA426" s="615"/>
      <c r="EB426" s="615"/>
      <c r="EC426" s="615"/>
      <c r="ED426" s="637"/>
      <c r="EE426" s="692"/>
    </row>
    <row r="427" spans="1:135" x14ac:dyDescent="0.25">
      <c r="A427" s="640" t="s">
        <v>11</v>
      </c>
      <c r="B427" s="367" t="s">
        <v>2557</v>
      </c>
      <c r="C427" s="367" t="s">
        <v>2121</v>
      </c>
      <c r="D427" s="367" t="s">
        <v>2558</v>
      </c>
      <c r="E427" s="503" t="s">
        <v>2540</v>
      </c>
      <c r="F427" s="570">
        <v>44901</v>
      </c>
      <c r="G427" s="85" t="s">
        <v>59</v>
      </c>
      <c r="H427" s="85" t="s">
        <v>92</v>
      </c>
      <c r="I427" s="85" t="s">
        <v>358</v>
      </c>
      <c r="J427" s="675" t="s">
        <v>358</v>
      </c>
      <c r="K427" s="85" t="s">
        <v>358</v>
      </c>
      <c r="L427" s="85" t="s">
        <v>40</v>
      </c>
      <c r="M427" s="85" t="s">
        <v>6</v>
      </c>
      <c r="N427" s="668" t="s">
        <v>44</v>
      </c>
      <c r="O427" s="669"/>
      <c r="P427" s="615"/>
      <c r="Q427" s="615"/>
      <c r="R427" s="615"/>
      <c r="S427" s="615"/>
      <c r="T427" s="615"/>
      <c r="U427" s="615"/>
      <c r="V427" s="615"/>
      <c r="W427" s="615"/>
      <c r="X427" s="615"/>
      <c r="Y427" s="615">
        <v>3.5</v>
      </c>
      <c r="Z427" s="635"/>
      <c r="AA427" s="636"/>
      <c r="AB427" s="615"/>
      <c r="AC427" s="615"/>
      <c r="AD427" s="615"/>
      <c r="AE427" s="615"/>
      <c r="AF427" s="615"/>
      <c r="AG427" s="615"/>
      <c r="AH427" s="615"/>
      <c r="AI427" s="615"/>
      <c r="AJ427" s="615"/>
      <c r="AK427" s="615"/>
      <c r="AL427" s="635"/>
      <c r="AM427" s="636"/>
      <c r="AN427" s="615"/>
      <c r="AO427" s="615"/>
      <c r="AP427" s="615"/>
      <c r="AQ427" s="615"/>
      <c r="AR427" s="615"/>
      <c r="AS427" s="615"/>
      <c r="AT427" s="615"/>
      <c r="AU427" s="615"/>
      <c r="AV427" s="615"/>
      <c r="AW427" s="615"/>
      <c r="AX427" s="635"/>
      <c r="AY427" s="636"/>
      <c r="AZ427" s="615"/>
      <c r="BA427" s="615"/>
      <c r="BB427" s="615"/>
      <c r="BC427" s="615"/>
      <c r="BD427" s="615"/>
      <c r="BE427" s="615"/>
      <c r="BF427" s="615"/>
      <c r="BG427" s="615"/>
      <c r="BH427" s="615"/>
      <c r="BI427" s="615"/>
      <c r="BJ427" s="635"/>
      <c r="BK427" s="636"/>
      <c r="BL427" s="615"/>
      <c r="BM427" s="615"/>
      <c r="BN427" s="615"/>
      <c r="BO427" s="615"/>
      <c r="BP427" s="615"/>
      <c r="BQ427" s="615"/>
      <c r="BR427" s="615"/>
      <c r="BS427" s="615"/>
      <c r="BT427" s="615"/>
      <c r="BU427" s="615"/>
      <c r="BV427" s="637"/>
      <c r="BW427" s="669"/>
      <c r="BX427" s="615"/>
      <c r="BY427" s="615"/>
      <c r="BZ427" s="615"/>
      <c r="CA427" s="615"/>
      <c r="CB427" s="615"/>
      <c r="CC427" s="615"/>
      <c r="CD427" s="615"/>
      <c r="CE427" s="615"/>
      <c r="CF427" s="615"/>
      <c r="CG427" s="615">
        <v>204.7</v>
      </c>
      <c r="CH427" s="635"/>
      <c r="CI427" s="636"/>
      <c r="CJ427" s="615"/>
      <c r="CK427" s="615"/>
      <c r="CL427" s="615"/>
      <c r="CM427" s="615"/>
      <c r="CN427" s="615"/>
      <c r="CO427" s="615"/>
      <c r="CP427" s="615"/>
      <c r="CQ427" s="615"/>
      <c r="CR427" s="615"/>
      <c r="CS427" s="615"/>
      <c r="CT427" s="635"/>
      <c r="CU427" s="636"/>
      <c r="CV427" s="615"/>
      <c r="CW427" s="615"/>
      <c r="CX427" s="615"/>
      <c r="CY427" s="615"/>
      <c r="CZ427" s="615"/>
      <c r="DA427" s="615"/>
      <c r="DB427" s="615"/>
      <c r="DC427" s="615"/>
      <c r="DD427" s="615"/>
      <c r="DE427" s="615"/>
      <c r="DF427" s="635"/>
      <c r="DG427" s="636"/>
      <c r="DH427" s="615"/>
      <c r="DI427" s="615"/>
      <c r="DJ427" s="615"/>
      <c r="DK427" s="615"/>
      <c r="DL427" s="615"/>
      <c r="DM427" s="615"/>
      <c r="DN427" s="615"/>
      <c r="DO427" s="615"/>
      <c r="DP427" s="615"/>
      <c r="DQ427" s="615"/>
      <c r="DR427" s="635"/>
      <c r="DS427" s="636"/>
      <c r="DT427" s="615"/>
      <c r="DU427" s="615"/>
      <c r="DV427" s="615"/>
      <c r="DW427" s="615"/>
      <c r="DX427" s="615"/>
      <c r="DY427" s="615"/>
      <c r="DZ427" s="615"/>
      <c r="EA427" s="615"/>
      <c r="EB427" s="615"/>
      <c r="EC427" s="615"/>
      <c r="ED427" s="637"/>
      <c r="EE427" s="692"/>
    </row>
    <row r="428" spans="1:135" x14ac:dyDescent="0.25">
      <c r="A428" s="640" t="s">
        <v>11</v>
      </c>
      <c r="B428" s="367" t="s">
        <v>2560</v>
      </c>
      <c r="C428" s="367" t="s">
        <v>348</v>
      </c>
      <c r="D428" s="367" t="s">
        <v>2561</v>
      </c>
      <c r="E428" s="503" t="s">
        <v>2542</v>
      </c>
      <c r="F428" s="570">
        <v>44901</v>
      </c>
      <c r="G428" s="85" t="s">
        <v>59</v>
      </c>
      <c r="H428" s="85" t="s">
        <v>92</v>
      </c>
      <c r="I428" s="85" t="s">
        <v>358</v>
      </c>
      <c r="J428" s="675" t="s">
        <v>358</v>
      </c>
      <c r="K428" s="85" t="s">
        <v>358</v>
      </c>
      <c r="L428" s="85" t="s">
        <v>40</v>
      </c>
      <c r="M428" s="85" t="s">
        <v>6</v>
      </c>
      <c r="N428" s="668" t="s">
        <v>44</v>
      </c>
      <c r="O428" s="669"/>
      <c r="P428" s="615"/>
      <c r="Q428" s="615"/>
      <c r="R428" s="615"/>
      <c r="S428" s="615"/>
      <c r="T428" s="615"/>
      <c r="U428" s="615"/>
      <c r="V428" s="615"/>
      <c r="W428" s="615"/>
      <c r="X428" s="615"/>
      <c r="Y428" s="615">
        <v>2.6388889999999998</v>
      </c>
      <c r="Z428" s="635"/>
      <c r="AA428" s="636"/>
      <c r="AB428" s="615"/>
      <c r="AC428" s="615"/>
      <c r="AD428" s="615"/>
      <c r="AE428" s="615"/>
      <c r="AF428" s="615"/>
      <c r="AG428" s="615"/>
      <c r="AH428" s="615"/>
      <c r="AI428" s="615"/>
      <c r="AJ428" s="615"/>
      <c r="AK428" s="615"/>
      <c r="AL428" s="635"/>
      <c r="AM428" s="636"/>
      <c r="AN428" s="615"/>
      <c r="AO428" s="615"/>
      <c r="AP428" s="615"/>
      <c r="AQ428" s="615"/>
      <c r="AR428" s="615"/>
      <c r="AS428" s="615"/>
      <c r="AT428" s="615"/>
      <c r="AU428" s="615"/>
      <c r="AV428" s="615"/>
      <c r="AW428" s="615"/>
      <c r="AX428" s="635"/>
      <c r="AY428" s="636"/>
      <c r="AZ428" s="615"/>
      <c r="BA428" s="615"/>
      <c r="BB428" s="615"/>
      <c r="BC428" s="615"/>
      <c r="BD428" s="615"/>
      <c r="BE428" s="615"/>
      <c r="BF428" s="615"/>
      <c r="BG428" s="615"/>
      <c r="BH428" s="615"/>
      <c r="BI428" s="615"/>
      <c r="BJ428" s="635"/>
      <c r="BK428" s="636"/>
      <c r="BL428" s="615"/>
      <c r="BM428" s="615"/>
      <c r="BN428" s="615"/>
      <c r="BO428" s="615"/>
      <c r="BP428" s="615"/>
      <c r="BQ428" s="615"/>
      <c r="BR428" s="615"/>
      <c r="BS428" s="615"/>
      <c r="BT428" s="615"/>
      <c r="BU428" s="615"/>
      <c r="BV428" s="637"/>
      <c r="BW428" s="669"/>
      <c r="BX428" s="615"/>
      <c r="BY428" s="615"/>
      <c r="BZ428" s="615"/>
      <c r="CA428" s="615"/>
      <c r="CB428" s="615"/>
      <c r="CC428" s="615"/>
      <c r="CD428" s="615"/>
      <c r="CE428" s="615"/>
      <c r="CF428" s="615"/>
      <c r="CG428" s="615">
        <v>204.7</v>
      </c>
      <c r="CH428" s="635"/>
      <c r="CI428" s="636"/>
      <c r="CJ428" s="615"/>
      <c r="CK428" s="615"/>
      <c r="CL428" s="615"/>
      <c r="CM428" s="615"/>
      <c r="CN428" s="615"/>
      <c r="CO428" s="615"/>
      <c r="CP428" s="615"/>
      <c r="CQ428" s="615"/>
      <c r="CR428" s="615"/>
      <c r="CS428" s="615"/>
      <c r="CT428" s="635"/>
      <c r="CU428" s="636"/>
      <c r="CV428" s="615"/>
      <c r="CW428" s="615"/>
      <c r="CX428" s="615"/>
      <c r="CY428" s="615"/>
      <c r="CZ428" s="615"/>
      <c r="DA428" s="615"/>
      <c r="DB428" s="615"/>
      <c r="DC428" s="615"/>
      <c r="DD428" s="615"/>
      <c r="DE428" s="615"/>
      <c r="DF428" s="635"/>
      <c r="DG428" s="636"/>
      <c r="DH428" s="615"/>
      <c r="DI428" s="615"/>
      <c r="DJ428" s="615"/>
      <c r="DK428" s="615"/>
      <c r="DL428" s="615"/>
      <c r="DM428" s="615"/>
      <c r="DN428" s="615"/>
      <c r="DO428" s="615"/>
      <c r="DP428" s="615"/>
      <c r="DQ428" s="615"/>
      <c r="DR428" s="635"/>
      <c r="DS428" s="636"/>
      <c r="DT428" s="615"/>
      <c r="DU428" s="615"/>
      <c r="DV428" s="615"/>
      <c r="DW428" s="615"/>
      <c r="DX428" s="615"/>
      <c r="DY428" s="615"/>
      <c r="DZ428" s="615"/>
      <c r="EA428" s="615"/>
      <c r="EB428" s="615"/>
      <c r="EC428" s="615"/>
      <c r="ED428" s="637"/>
      <c r="EE428" s="692"/>
    </row>
    <row r="429" spans="1:135" x14ac:dyDescent="0.25">
      <c r="A429" s="640" t="s">
        <v>11</v>
      </c>
      <c r="B429" s="367" t="s">
        <v>2562</v>
      </c>
      <c r="C429" s="367" t="s">
        <v>1133</v>
      </c>
      <c r="D429" s="367" t="s">
        <v>2563</v>
      </c>
      <c r="E429" s="503" t="s">
        <v>2543</v>
      </c>
      <c r="F429" s="570">
        <v>44901</v>
      </c>
      <c r="G429" s="85" t="s">
        <v>59</v>
      </c>
      <c r="H429" s="85" t="s">
        <v>92</v>
      </c>
      <c r="I429" s="85" t="s">
        <v>358</v>
      </c>
      <c r="J429" s="675" t="s">
        <v>358</v>
      </c>
      <c r="K429" s="85" t="s">
        <v>358</v>
      </c>
      <c r="L429" s="85" t="s">
        <v>40</v>
      </c>
      <c r="M429" s="85" t="s">
        <v>6</v>
      </c>
      <c r="N429" s="668" t="s">
        <v>44</v>
      </c>
      <c r="O429" s="669"/>
      <c r="P429" s="615"/>
      <c r="Q429" s="615"/>
      <c r="R429" s="615"/>
      <c r="S429" s="615"/>
      <c r="T429" s="615"/>
      <c r="U429" s="615"/>
      <c r="V429" s="615"/>
      <c r="W429" s="615"/>
      <c r="X429" s="615"/>
      <c r="Y429" s="615">
        <v>1.5</v>
      </c>
      <c r="Z429" s="635"/>
      <c r="AA429" s="636"/>
      <c r="AB429" s="615"/>
      <c r="AC429" s="615"/>
      <c r="AD429" s="615"/>
      <c r="AE429" s="615"/>
      <c r="AF429" s="615"/>
      <c r="AG429" s="615"/>
      <c r="AH429" s="615"/>
      <c r="AI429" s="615"/>
      <c r="AJ429" s="615"/>
      <c r="AK429" s="615"/>
      <c r="AL429" s="635"/>
      <c r="AM429" s="636"/>
      <c r="AN429" s="615"/>
      <c r="AO429" s="615"/>
      <c r="AP429" s="615"/>
      <c r="AQ429" s="615"/>
      <c r="AR429" s="615"/>
      <c r="AS429" s="615"/>
      <c r="AT429" s="615"/>
      <c r="AU429" s="615"/>
      <c r="AV429" s="615"/>
      <c r="AW429" s="615"/>
      <c r="AX429" s="635"/>
      <c r="AY429" s="636"/>
      <c r="AZ429" s="615"/>
      <c r="BA429" s="615"/>
      <c r="BB429" s="615"/>
      <c r="BC429" s="615"/>
      <c r="BD429" s="615"/>
      <c r="BE429" s="615"/>
      <c r="BF429" s="615"/>
      <c r="BG429" s="615"/>
      <c r="BH429" s="615"/>
      <c r="BI429" s="615"/>
      <c r="BJ429" s="635"/>
      <c r="BK429" s="636"/>
      <c r="BL429" s="615"/>
      <c r="BM429" s="615"/>
      <c r="BN429" s="615"/>
      <c r="BO429" s="615"/>
      <c r="BP429" s="615"/>
      <c r="BQ429" s="615"/>
      <c r="BR429" s="615"/>
      <c r="BS429" s="615"/>
      <c r="BT429" s="615"/>
      <c r="BU429" s="615"/>
      <c r="BV429" s="637"/>
      <c r="BW429" s="669"/>
      <c r="BX429" s="615"/>
      <c r="BY429" s="615"/>
      <c r="BZ429" s="615"/>
      <c r="CA429" s="615"/>
      <c r="CB429" s="615"/>
      <c r="CC429" s="615"/>
      <c r="CD429" s="615"/>
      <c r="CE429" s="615"/>
      <c r="CF429" s="615"/>
      <c r="CG429" s="615">
        <v>204.7</v>
      </c>
      <c r="CH429" s="635"/>
      <c r="CI429" s="636"/>
      <c r="CJ429" s="615"/>
      <c r="CK429" s="615"/>
      <c r="CL429" s="615"/>
      <c r="CM429" s="615"/>
      <c r="CN429" s="615"/>
      <c r="CO429" s="615"/>
      <c r="CP429" s="615"/>
      <c r="CQ429" s="615"/>
      <c r="CR429" s="615"/>
      <c r="CS429" s="615"/>
      <c r="CT429" s="635"/>
      <c r="CU429" s="636"/>
      <c r="CV429" s="615"/>
      <c r="CW429" s="615"/>
      <c r="CX429" s="615"/>
      <c r="CY429" s="615"/>
      <c r="CZ429" s="615"/>
      <c r="DA429" s="615"/>
      <c r="DB429" s="615"/>
      <c r="DC429" s="615"/>
      <c r="DD429" s="615"/>
      <c r="DE429" s="615"/>
      <c r="DF429" s="635"/>
      <c r="DG429" s="636"/>
      <c r="DH429" s="615"/>
      <c r="DI429" s="615"/>
      <c r="DJ429" s="615"/>
      <c r="DK429" s="615"/>
      <c r="DL429" s="615"/>
      <c r="DM429" s="615"/>
      <c r="DN429" s="615"/>
      <c r="DO429" s="615"/>
      <c r="DP429" s="615"/>
      <c r="DQ429" s="615"/>
      <c r="DR429" s="635"/>
      <c r="DS429" s="636"/>
      <c r="DT429" s="615"/>
      <c r="DU429" s="615"/>
      <c r="DV429" s="615"/>
      <c r="DW429" s="615"/>
      <c r="DX429" s="615"/>
      <c r="DY429" s="615"/>
      <c r="DZ429" s="615"/>
      <c r="EA429" s="615"/>
      <c r="EB429" s="615"/>
      <c r="EC429" s="615"/>
      <c r="ED429" s="637"/>
      <c r="EE429" s="692"/>
    </row>
    <row r="430" spans="1:135" x14ac:dyDescent="0.25">
      <c r="A430" s="640" t="s">
        <v>11</v>
      </c>
      <c r="B430" s="367" t="s">
        <v>2564</v>
      </c>
      <c r="C430" s="367" t="s">
        <v>1838</v>
      </c>
      <c r="D430" s="367" t="s">
        <v>2565</v>
      </c>
      <c r="E430" s="503" t="s">
        <v>2544</v>
      </c>
      <c r="F430" s="570">
        <v>44901</v>
      </c>
      <c r="G430" s="85" t="s">
        <v>59</v>
      </c>
      <c r="H430" s="85" t="s">
        <v>92</v>
      </c>
      <c r="I430" s="85" t="s">
        <v>358</v>
      </c>
      <c r="J430" s="675" t="s">
        <v>358</v>
      </c>
      <c r="K430" s="85" t="s">
        <v>358</v>
      </c>
      <c r="L430" s="85" t="s">
        <v>40</v>
      </c>
      <c r="M430" s="85" t="s">
        <v>6</v>
      </c>
      <c r="N430" s="668" t="s">
        <v>44</v>
      </c>
      <c r="O430" s="669"/>
      <c r="P430" s="615"/>
      <c r="Q430" s="615"/>
      <c r="R430" s="615"/>
      <c r="S430" s="615"/>
      <c r="T430" s="615"/>
      <c r="U430" s="615"/>
      <c r="V430" s="615"/>
      <c r="W430" s="615"/>
      <c r="X430" s="615"/>
      <c r="Y430" s="615">
        <v>0.62375000000000003</v>
      </c>
      <c r="Z430" s="635"/>
      <c r="AA430" s="636"/>
      <c r="AB430" s="615"/>
      <c r="AC430" s="615"/>
      <c r="AD430" s="615"/>
      <c r="AE430" s="615"/>
      <c r="AF430" s="615"/>
      <c r="AG430" s="615"/>
      <c r="AH430" s="615"/>
      <c r="AI430" s="615"/>
      <c r="AJ430" s="615"/>
      <c r="AK430" s="615"/>
      <c r="AL430" s="635"/>
      <c r="AM430" s="636"/>
      <c r="AN430" s="615"/>
      <c r="AO430" s="615"/>
      <c r="AP430" s="615"/>
      <c r="AQ430" s="615"/>
      <c r="AR430" s="615"/>
      <c r="AS430" s="615"/>
      <c r="AT430" s="615"/>
      <c r="AU430" s="615"/>
      <c r="AV430" s="615"/>
      <c r="AW430" s="615"/>
      <c r="AX430" s="635"/>
      <c r="AY430" s="636"/>
      <c r="AZ430" s="615"/>
      <c r="BA430" s="615"/>
      <c r="BB430" s="615"/>
      <c r="BC430" s="615"/>
      <c r="BD430" s="615"/>
      <c r="BE430" s="615"/>
      <c r="BF430" s="615"/>
      <c r="BG430" s="615"/>
      <c r="BH430" s="615"/>
      <c r="BI430" s="615"/>
      <c r="BJ430" s="635"/>
      <c r="BK430" s="636"/>
      <c r="BL430" s="615"/>
      <c r="BM430" s="615"/>
      <c r="BN430" s="615"/>
      <c r="BO430" s="615"/>
      <c r="BP430" s="615"/>
      <c r="BQ430" s="615"/>
      <c r="BR430" s="615"/>
      <c r="BS430" s="615"/>
      <c r="BT430" s="615"/>
      <c r="BU430" s="615"/>
      <c r="BV430" s="637"/>
      <c r="BW430" s="669"/>
      <c r="BX430" s="615"/>
      <c r="BY430" s="615"/>
      <c r="BZ430" s="615"/>
      <c r="CA430" s="615"/>
      <c r="CB430" s="615"/>
      <c r="CC430" s="615"/>
      <c r="CD430" s="615"/>
      <c r="CE430" s="615"/>
      <c r="CF430" s="615"/>
      <c r="CG430" s="615">
        <v>204.7</v>
      </c>
      <c r="CH430" s="635"/>
      <c r="CI430" s="636"/>
      <c r="CJ430" s="615"/>
      <c r="CK430" s="615"/>
      <c r="CL430" s="615"/>
      <c r="CM430" s="615"/>
      <c r="CN430" s="615"/>
      <c r="CO430" s="615"/>
      <c r="CP430" s="615"/>
      <c r="CQ430" s="615"/>
      <c r="CR430" s="615"/>
      <c r="CS430" s="615"/>
      <c r="CT430" s="635"/>
      <c r="CU430" s="636"/>
      <c r="CV430" s="615"/>
      <c r="CW430" s="615"/>
      <c r="CX430" s="615"/>
      <c r="CY430" s="615"/>
      <c r="CZ430" s="615"/>
      <c r="DA430" s="615"/>
      <c r="DB430" s="615"/>
      <c r="DC430" s="615"/>
      <c r="DD430" s="615"/>
      <c r="DE430" s="615"/>
      <c r="DF430" s="635"/>
      <c r="DG430" s="636"/>
      <c r="DH430" s="615"/>
      <c r="DI430" s="615"/>
      <c r="DJ430" s="615"/>
      <c r="DK430" s="615"/>
      <c r="DL430" s="615"/>
      <c r="DM430" s="615"/>
      <c r="DN430" s="615"/>
      <c r="DO430" s="615"/>
      <c r="DP430" s="615"/>
      <c r="DQ430" s="615"/>
      <c r="DR430" s="635"/>
      <c r="DS430" s="636"/>
      <c r="DT430" s="615"/>
      <c r="DU430" s="615"/>
      <c r="DV430" s="615"/>
      <c r="DW430" s="615"/>
      <c r="DX430" s="615"/>
      <c r="DY430" s="615"/>
      <c r="DZ430" s="615"/>
      <c r="EA430" s="615"/>
      <c r="EB430" s="615"/>
      <c r="EC430" s="615"/>
      <c r="ED430" s="637"/>
      <c r="EE430" s="692"/>
    </row>
    <row r="431" spans="1:135" x14ac:dyDescent="0.25">
      <c r="A431" s="640" t="s">
        <v>11</v>
      </c>
      <c r="B431" s="367" t="s">
        <v>2571</v>
      </c>
      <c r="C431" s="367" t="s">
        <v>876</v>
      </c>
      <c r="D431" s="367" t="s">
        <v>2572</v>
      </c>
      <c r="E431" s="503">
        <v>27909</v>
      </c>
      <c r="F431" s="570">
        <v>44903</v>
      </c>
      <c r="G431" s="85" t="s">
        <v>59</v>
      </c>
      <c r="H431" s="85" t="s">
        <v>54</v>
      </c>
      <c r="I431" s="85" t="s">
        <v>649</v>
      </c>
      <c r="J431" s="675">
        <v>44896</v>
      </c>
      <c r="K431" s="85">
        <v>1</v>
      </c>
      <c r="L431" s="85" t="s">
        <v>40</v>
      </c>
      <c r="M431" s="85" t="s">
        <v>3</v>
      </c>
      <c r="N431" s="668" t="s">
        <v>11</v>
      </c>
      <c r="O431" s="669"/>
      <c r="P431" s="615"/>
      <c r="Q431" s="615"/>
      <c r="R431" s="615"/>
      <c r="S431" s="615"/>
      <c r="T431" s="615"/>
      <c r="U431" s="615"/>
      <c r="V431" s="615"/>
      <c r="W431" s="615"/>
      <c r="X431" s="615"/>
      <c r="Y431" s="615"/>
      <c r="Z431" s="635"/>
      <c r="AA431" s="636"/>
      <c r="AB431" s="615"/>
      <c r="AC431" s="615"/>
      <c r="AD431" s="615"/>
      <c r="AE431" s="615"/>
      <c r="AF431" s="615"/>
      <c r="AG431" s="615"/>
      <c r="AH431" s="615"/>
      <c r="AI431" s="615"/>
      <c r="AJ431" s="615"/>
      <c r="AK431" s="615"/>
      <c r="AL431" s="635"/>
      <c r="AM431" s="636"/>
      <c r="AN431" s="615"/>
      <c r="AO431" s="615"/>
      <c r="AP431" s="615"/>
      <c r="AQ431" s="615"/>
      <c r="AR431" s="615"/>
      <c r="AS431" s="615"/>
      <c r="AT431" s="615"/>
      <c r="AU431" s="615"/>
      <c r="AV431" s="615"/>
      <c r="AW431" s="615"/>
      <c r="AX431" s="635"/>
      <c r="AY431" s="636">
        <v>35</v>
      </c>
      <c r="AZ431" s="615">
        <v>35</v>
      </c>
      <c r="BA431" s="615">
        <v>35</v>
      </c>
      <c r="BB431" s="615">
        <v>35</v>
      </c>
      <c r="BC431" s="615">
        <v>35</v>
      </c>
      <c r="BD431" s="615">
        <v>35</v>
      </c>
      <c r="BE431" s="615">
        <v>35</v>
      </c>
      <c r="BF431" s="615">
        <v>35</v>
      </c>
      <c r="BG431" s="615">
        <v>35</v>
      </c>
      <c r="BH431" s="615">
        <v>35</v>
      </c>
      <c r="BI431" s="615">
        <v>35</v>
      </c>
      <c r="BJ431" s="635">
        <v>35</v>
      </c>
      <c r="BK431" s="636"/>
      <c r="BL431" s="615"/>
      <c r="BM431" s="615"/>
      <c r="BN431" s="615"/>
      <c r="BO431" s="615"/>
      <c r="BP431" s="615"/>
      <c r="BQ431" s="615"/>
      <c r="BR431" s="615"/>
      <c r="BS431" s="615"/>
      <c r="BT431" s="615"/>
      <c r="BU431" s="615"/>
      <c r="BV431" s="637"/>
      <c r="BW431" s="669"/>
      <c r="BX431" s="615"/>
      <c r="BY431" s="615"/>
      <c r="BZ431" s="615"/>
      <c r="CA431" s="615"/>
      <c r="CB431" s="615"/>
      <c r="CC431" s="615"/>
      <c r="CD431" s="615"/>
      <c r="CE431" s="615"/>
      <c r="CF431" s="615"/>
      <c r="CG431" s="615"/>
      <c r="CH431" s="635"/>
      <c r="CI431" s="636"/>
      <c r="CJ431" s="615"/>
      <c r="CK431" s="615"/>
      <c r="CL431" s="615"/>
      <c r="CM431" s="615"/>
      <c r="CN431" s="615"/>
      <c r="CO431" s="615"/>
      <c r="CP431" s="615"/>
      <c r="CQ431" s="615"/>
      <c r="CR431" s="615"/>
      <c r="CS431" s="615"/>
      <c r="CT431" s="635"/>
      <c r="CU431" s="636"/>
      <c r="CV431" s="615"/>
      <c r="CW431" s="615"/>
      <c r="CX431" s="615"/>
      <c r="CY431" s="615"/>
      <c r="CZ431" s="615"/>
      <c r="DA431" s="615"/>
      <c r="DB431" s="615"/>
      <c r="DC431" s="615"/>
      <c r="DD431" s="615"/>
      <c r="DE431" s="615"/>
      <c r="DF431" s="635"/>
      <c r="DG431" s="636">
        <v>130.62395100724254</v>
      </c>
      <c r="DH431" s="615">
        <v>130.62395100724254</v>
      </c>
      <c r="DI431" s="615">
        <v>130.62395100724254</v>
      </c>
      <c r="DJ431" s="615">
        <v>130.62395100724254</v>
      </c>
      <c r="DK431" s="615">
        <v>130.62395100724254</v>
      </c>
      <c r="DL431" s="615">
        <v>130.62395100724254</v>
      </c>
      <c r="DM431" s="615">
        <v>130.62395100724254</v>
      </c>
      <c r="DN431" s="615">
        <v>130.62395100724254</v>
      </c>
      <c r="DO431" s="615">
        <v>130.62395100724254</v>
      </c>
      <c r="DP431" s="615">
        <v>130.62395100724254</v>
      </c>
      <c r="DQ431" s="615">
        <v>130.62395100724254</v>
      </c>
      <c r="DR431" s="635">
        <v>130.62395100724254</v>
      </c>
      <c r="DS431" s="636"/>
      <c r="DT431" s="615"/>
      <c r="DU431" s="615"/>
      <c r="DV431" s="615"/>
      <c r="DW431" s="615"/>
      <c r="DX431" s="615"/>
      <c r="DY431" s="615"/>
      <c r="DZ431" s="615"/>
      <c r="EA431" s="615"/>
      <c r="EB431" s="615"/>
      <c r="EC431" s="615"/>
      <c r="ED431" s="637"/>
      <c r="EE431" s="692"/>
    </row>
    <row r="432" spans="1:135" x14ac:dyDescent="0.25">
      <c r="A432" s="640" t="s">
        <v>11</v>
      </c>
      <c r="B432" s="367" t="s">
        <v>2594</v>
      </c>
      <c r="C432" s="367" t="s">
        <v>2351</v>
      </c>
      <c r="D432" s="367" t="s">
        <v>2595</v>
      </c>
      <c r="E432" s="503" t="s">
        <v>2586</v>
      </c>
      <c r="F432" s="570">
        <v>44916</v>
      </c>
      <c r="G432" s="85" t="s">
        <v>59</v>
      </c>
      <c r="H432" s="85" t="s">
        <v>54</v>
      </c>
      <c r="I432" s="85" t="s">
        <v>358</v>
      </c>
      <c r="J432" s="675" t="s">
        <v>358</v>
      </c>
      <c r="K432" s="85" t="s">
        <v>358</v>
      </c>
      <c r="L432" s="85" t="s">
        <v>40</v>
      </c>
      <c r="M432" s="85" t="s">
        <v>3</v>
      </c>
      <c r="N432" s="668" t="s">
        <v>44</v>
      </c>
      <c r="O432" s="669"/>
      <c r="P432" s="615"/>
      <c r="Q432" s="615"/>
      <c r="R432" s="615"/>
      <c r="S432" s="615"/>
      <c r="T432" s="615"/>
      <c r="U432" s="615"/>
      <c r="V432" s="615"/>
      <c r="W432" s="615"/>
      <c r="X432" s="615"/>
      <c r="Y432" s="615"/>
      <c r="Z432" s="635"/>
      <c r="AA432" s="636"/>
      <c r="AB432" s="615"/>
      <c r="AC432" s="615"/>
      <c r="AD432" s="615">
        <v>20</v>
      </c>
      <c r="AE432" s="615">
        <v>20</v>
      </c>
      <c r="AF432" s="615"/>
      <c r="AG432" s="615"/>
      <c r="AH432" s="615"/>
      <c r="AI432" s="615"/>
      <c r="AJ432" s="615"/>
      <c r="AK432" s="615"/>
      <c r="AL432" s="635"/>
      <c r="AM432" s="636"/>
      <c r="AN432" s="615"/>
      <c r="AO432" s="615"/>
      <c r="AP432" s="615"/>
      <c r="AQ432" s="615"/>
      <c r="AR432" s="615"/>
      <c r="AS432" s="615"/>
      <c r="AT432" s="615"/>
      <c r="AU432" s="615"/>
      <c r="AV432" s="615"/>
      <c r="AW432" s="615"/>
      <c r="AX432" s="635"/>
      <c r="AY432" s="636"/>
      <c r="AZ432" s="615"/>
      <c r="BA432" s="615"/>
      <c r="BB432" s="615"/>
      <c r="BC432" s="615"/>
      <c r="BD432" s="615"/>
      <c r="BE432" s="615"/>
      <c r="BF432" s="615"/>
      <c r="BG432" s="615"/>
      <c r="BH432" s="615"/>
      <c r="BI432" s="615"/>
      <c r="BJ432" s="635"/>
      <c r="BK432" s="636"/>
      <c r="BL432" s="615"/>
      <c r="BM432" s="615"/>
      <c r="BN432" s="615"/>
      <c r="BO432" s="615"/>
      <c r="BP432" s="615"/>
      <c r="BQ432" s="615"/>
      <c r="BR432" s="615"/>
      <c r="BS432" s="615"/>
      <c r="BT432" s="615"/>
      <c r="BU432" s="615"/>
      <c r="BV432" s="637"/>
      <c r="BW432" s="669"/>
      <c r="BX432" s="615"/>
      <c r="BY432" s="615"/>
      <c r="BZ432" s="615"/>
      <c r="CA432" s="615"/>
      <c r="CB432" s="615"/>
      <c r="CC432" s="615"/>
      <c r="CD432" s="615"/>
      <c r="CE432" s="615"/>
      <c r="CF432" s="615"/>
      <c r="CG432" s="615"/>
      <c r="CH432" s="635"/>
      <c r="CI432" s="636"/>
      <c r="CJ432" s="615"/>
      <c r="CK432" s="615"/>
      <c r="CL432" s="615">
        <v>73</v>
      </c>
      <c r="CM432" s="615">
        <v>73</v>
      </c>
      <c r="CN432" s="615"/>
      <c r="CO432" s="615"/>
      <c r="CP432" s="615"/>
      <c r="CQ432" s="615"/>
      <c r="CR432" s="615"/>
      <c r="CS432" s="615"/>
      <c r="CT432" s="635"/>
      <c r="CU432" s="636"/>
      <c r="CV432" s="615"/>
      <c r="CW432" s="615"/>
      <c r="CX432" s="615"/>
      <c r="CY432" s="615"/>
      <c r="CZ432" s="615"/>
      <c r="DA432" s="615"/>
      <c r="DB432" s="615"/>
      <c r="DC432" s="615"/>
      <c r="DD432" s="615"/>
      <c r="DE432" s="615"/>
      <c r="DF432" s="635"/>
      <c r="DG432" s="636"/>
      <c r="DH432" s="615"/>
      <c r="DI432" s="615"/>
      <c r="DJ432" s="615"/>
      <c r="DK432" s="615"/>
      <c r="DL432" s="615"/>
      <c r="DM432" s="615"/>
      <c r="DN432" s="615"/>
      <c r="DO432" s="615"/>
      <c r="DP432" s="615"/>
      <c r="DQ432" s="615"/>
      <c r="DR432" s="635"/>
      <c r="DS432" s="636"/>
      <c r="DT432" s="615"/>
      <c r="DU432" s="615"/>
      <c r="DV432" s="615"/>
      <c r="DW432" s="615"/>
      <c r="DX432" s="615"/>
      <c r="DY432" s="615"/>
      <c r="DZ432" s="615"/>
      <c r="EA432" s="615"/>
      <c r="EB432" s="615"/>
      <c r="EC432" s="615"/>
      <c r="ED432" s="637"/>
      <c r="EE432" s="692"/>
    </row>
    <row r="433" spans="1:135" x14ac:dyDescent="0.25">
      <c r="A433" s="640" t="s">
        <v>11</v>
      </c>
      <c r="B433" s="367" t="s">
        <v>2596</v>
      </c>
      <c r="C433" s="367" t="s">
        <v>902</v>
      </c>
      <c r="D433" s="367" t="s">
        <v>2597</v>
      </c>
      <c r="E433" s="503" t="s">
        <v>2587</v>
      </c>
      <c r="F433" s="570">
        <v>44916</v>
      </c>
      <c r="G433" s="85" t="s">
        <v>59</v>
      </c>
      <c r="H433" s="85" t="s">
        <v>54</v>
      </c>
      <c r="I433" s="85" t="s">
        <v>358</v>
      </c>
      <c r="J433" s="675" t="s">
        <v>358</v>
      </c>
      <c r="K433" s="85" t="s">
        <v>358</v>
      </c>
      <c r="L433" s="85" t="s">
        <v>40</v>
      </c>
      <c r="M433" s="85" t="s">
        <v>3</v>
      </c>
      <c r="N433" s="668" t="s">
        <v>44</v>
      </c>
      <c r="O433" s="669"/>
      <c r="P433" s="615"/>
      <c r="Q433" s="615"/>
      <c r="R433" s="615"/>
      <c r="S433" s="615"/>
      <c r="T433" s="615"/>
      <c r="U433" s="615"/>
      <c r="V433" s="615"/>
      <c r="W433" s="615"/>
      <c r="X433" s="615"/>
      <c r="Y433" s="615"/>
      <c r="Z433" s="635"/>
      <c r="AA433" s="636"/>
      <c r="AB433" s="615">
        <v>20</v>
      </c>
      <c r="AC433" s="615"/>
      <c r="AD433" s="615"/>
      <c r="AE433" s="615"/>
      <c r="AF433" s="615"/>
      <c r="AG433" s="615"/>
      <c r="AH433" s="615"/>
      <c r="AI433" s="615"/>
      <c r="AJ433" s="615"/>
      <c r="AK433" s="615"/>
      <c r="AL433" s="635"/>
      <c r="AM433" s="636"/>
      <c r="AN433" s="615"/>
      <c r="AO433" s="615"/>
      <c r="AP433" s="615"/>
      <c r="AQ433" s="615"/>
      <c r="AR433" s="615"/>
      <c r="AS433" s="615"/>
      <c r="AT433" s="615"/>
      <c r="AU433" s="615"/>
      <c r="AV433" s="615"/>
      <c r="AW433" s="615"/>
      <c r="AX433" s="635"/>
      <c r="AY433" s="636"/>
      <c r="AZ433" s="615"/>
      <c r="BA433" s="615"/>
      <c r="BB433" s="615"/>
      <c r="BC433" s="615"/>
      <c r="BD433" s="615"/>
      <c r="BE433" s="615"/>
      <c r="BF433" s="615"/>
      <c r="BG433" s="615"/>
      <c r="BH433" s="615"/>
      <c r="BI433" s="615"/>
      <c r="BJ433" s="635"/>
      <c r="BK433" s="636"/>
      <c r="BL433" s="615"/>
      <c r="BM433" s="615"/>
      <c r="BN433" s="615"/>
      <c r="BO433" s="615"/>
      <c r="BP433" s="615"/>
      <c r="BQ433" s="615"/>
      <c r="BR433" s="615"/>
      <c r="BS433" s="615"/>
      <c r="BT433" s="615"/>
      <c r="BU433" s="615"/>
      <c r="BV433" s="637"/>
      <c r="BW433" s="669"/>
      <c r="BX433" s="615"/>
      <c r="BY433" s="615"/>
      <c r="BZ433" s="615"/>
      <c r="CA433" s="615"/>
      <c r="CB433" s="615"/>
      <c r="CC433" s="615"/>
      <c r="CD433" s="615"/>
      <c r="CE433" s="615"/>
      <c r="CF433" s="615"/>
      <c r="CG433" s="615"/>
      <c r="CH433" s="635"/>
      <c r="CI433" s="636"/>
      <c r="CJ433" s="615">
        <v>71</v>
      </c>
      <c r="CK433" s="615"/>
      <c r="CL433" s="615"/>
      <c r="CM433" s="615"/>
      <c r="CN433" s="615"/>
      <c r="CO433" s="615"/>
      <c r="CP433" s="615"/>
      <c r="CQ433" s="615"/>
      <c r="CR433" s="615"/>
      <c r="CS433" s="615"/>
      <c r="CT433" s="635"/>
      <c r="CU433" s="636"/>
      <c r="CV433" s="615"/>
      <c r="CW433" s="615"/>
      <c r="CX433" s="615"/>
      <c r="CY433" s="615"/>
      <c r="CZ433" s="615"/>
      <c r="DA433" s="615"/>
      <c r="DB433" s="615"/>
      <c r="DC433" s="615"/>
      <c r="DD433" s="615"/>
      <c r="DE433" s="615"/>
      <c r="DF433" s="635"/>
      <c r="DG433" s="636"/>
      <c r="DH433" s="615"/>
      <c r="DI433" s="615"/>
      <c r="DJ433" s="615"/>
      <c r="DK433" s="615"/>
      <c r="DL433" s="615"/>
      <c r="DM433" s="615"/>
      <c r="DN433" s="615"/>
      <c r="DO433" s="615"/>
      <c r="DP433" s="615"/>
      <c r="DQ433" s="615"/>
      <c r="DR433" s="635"/>
      <c r="DS433" s="636"/>
      <c r="DT433" s="615"/>
      <c r="DU433" s="615"/>
      <c r="DV433" s="615"/>
      <c r="DW433" s="615"/>
      <c r="DX433" s="615"/>
      <c r="DY433" s="615"/>
      <c r="DZ433" s="615"/>
      <c r="EA433" s="615"/>
      <c r="EB433" s="615"/>
      <c r="EC433" s="615"/>
      <c r="ED433" s="637"/>
      <c r="EE433" s="692"/>
    </row>
    <row r="434" spans="1:135" x14ac:dyDescent="0.25">
      <c r="A434" s="640" t="s">
        <v>11</v>
      </c>
      <c r="B434" s="367" t="s">
        <v>2598</v>
      </c>
      <c r="C434" s="367" t="s">
        <v>902</v>
      </c>
      <c r="D434" s="367" t="s">
        <v>2599</v>
      </c>
      <c r="E434" s="503" t="s">
        <v>2588</v>
      </c>
      <c r="F434" s="570">
        <v>44916</v>
      </c>
      <c r="G434" s="85" t="s">
        <v>59</v>
      </c>
      <c r="H434" s="85" t="s">
        <v>54</v>
      </c>
      <c r="I434" s="85" t="s">
        <v>358</v>
      </c>
      <c r="J434" s="675" t="s">
        <v>358</v>
      </c>
      <c r="K434" s="85" t="s">
        <v>358</v>
      </c>
      <c r="L434" s="85" t="s">
        <v>40</v>
      </c>
      <c r="M434" s="85" t="s">
        <v>3</v>
      </c>
      <c r="N434" s="668" t="s">
        <v>44</v>
      </c>
      <c r="O434" s="669"/>
      <c r="P434" s="615"/>
      <c r="Q434" s="615"/>
      <c r="R434" s="615"/>
      <c r="S434" s="615"/>
      <c r="T434" s="615"/>
      <c r="U434" s="615"/>
      <c r="V434" s="615"/>
      <c r="W434" s="615"/>
      <c r="X434" s="615"/>
      <c r="Y434" s="615"/>
      <c r="Z434" s="635"/>
      <c r="AA434" s="636"/>
      <c r="AB434" s="615">
        <v>1</v>
      </c>
      <c r="AC434" s="615"/>
      <c r="AD434" s="615"/>
      <c r="AE434" s="615"/>
      <c r="AF434" s="615"/>
      <c r="AG434" s="615"/>
      <c r="AH434" s="615"/>
      <c r="AI434" s="615"/>
      <c r="AJ434" s="615"/>
      <c r="AK434" s="615"/>
      <c r="AL434" s="635"/>
      <c r="AM434" s="636"/>
      <c r="AN434" s="615"/>
      <c r="AO434" s="615"/>
      <c r="AP434" s="615"/>
      <c r="AQ434" s="615"/>
      <c r="AR434" s="615"/>
      <c r="AS434" s="615"/>
      <c r="AT434" s="615"/>
      <c r="AU434" s="615"/>
      <c r="AV434" s="615"/>
      <c r="AW434" s="615"/>
      <c r="AX434" s="635"/>
      <c r="AY434" s="636"/>
      <c r="AZ434" s="615"/>
      <c r="BA434" s="615"/>
      <c r="BB434" s="615"/>
      <c r="BC434" s="615"/>
      <c r="BD434" s="615"/>
      <c r="BE434" s="615"/>
      <c r="BF434" s="615"/>
      <c r="BG434" s="615"/>
      <c r="BH434" s="615"/>
      <c r="BI434" s="615"/>
      <c r="BJ434" s="635"/>
      <c r="BK434" s="636"/>
      <c r="BL434" s="615"/>
      <c r="BM434" s="615"/>
      <c r="BN434" s="615"/>
      <c r="BO434" s="615"/>
      <c r="BP434" s="615"/>
      <c r="BQ434" s="615"/>
      <c r="BR434" s="615"/>
      <c r="BS434" s="615"/>
      <c r="BT434" s="615"/>
      <c r="BU434" s="615"/>
      <c r="BV434" s="637"/>
      <c r="BW434" s="669"/>
      <c r="BX434" s="615"/>
      <c r="BY434" s="615"/>
      <c r="BZ434" s="615"/>
      <c r="CA434" s="615"/>
      <c r="CB434" s="615"/>
      <c r="CC434" s="615"/>
      <c r="CD434" s="615"/>
      <c r="CE434" s="615"/>
      <c r="CF434" s="615"/>
      <c r="CG434" s="615"/>
      <c r="CH434" s="635"/>
      <c r="CI434" s="636"/>
      <c r="CJ434" s="615">
        <v>71</v>
      </c>
      <c r="CK434" s="615"/>
      <c r="CL434" s="615"/>
      <c r="CM434" s="615"/>
      <c r="CN434" s="615"/>
      <c r="CO434" s="615"/>
      <c r="CP434" s="615"/>
      <c r="CQ434" s="615"/>
      <c r="CR434" s="615"/>
      <c r="CS434" s="615"/>
      <c r="CT434" s="635"/>
      <c r="CU434" s="636"/>
      <c r="CV434" s="615"/>
      <c r="CW434" s="615"/>
      <c r="CX434" s="615"/>
      <c r="CY434" s="615"/>
      <c r="CZ434" s="615"/>
      <c r="DA434" s="615"/>
      <c r="DB434" s="615"/>
      <c r="DC434" s="615"/>
      <c r="DD434" s="615"/>
      <c r="DE434" s="615"/>
      <c r="DF434" s="635"/>
      <c r="DG434" s="636"/>
      <c r="DH434" s="615"/>
      <c r="DI434" s="615"/>
      <c r="DJ434" s="615"/>
      <c r="DK434" s="615"/>
      <c r="DL434" s="615"/>
      <c r="DM434" s="615"/>
      <c r="DN434" s="615"/>
      <c r="DO434" s="615"/>
      <c r="DP434" s="615"/>
      <c r="DQ434" s="615"/>
      <c r="DR434" s="635"/>
      <c r="DS434" s="636"/>
      <c r="DT434" s="615"/>
      <c r="DU434" s="615"/>
      <c r="DV434" s="615"/>
      <c r="DW434" s="615"/>
      <c r="DX434" s="615"/>
      <c r="DY434" s="615"/>
      <c r="DZ434" s="615"/>
      <c r="EA434" s="615"/>
      <c r="EB434" s="615"/>
      <c r="EC434" s="615"/>
      <c r="ED434" s="637"/>
      <c r="EE434" s="692"/>
    </row>
    <row r="435" spans="1:135" x14ac:dyDescent="0.25">
      <c r="A435" s="640" t="s">
        <v>11</v>
      </c>
      <c r="B435" s="367" t="s">
        <v>2600</v>
      </c>
      <c r="C435" s="367" t="s">
        <v>2351</v>
      </c>
      <c r="D435" s="367" t="s">
        <v>2601</v>
      </c>
      <c r="E435" s="503" t="s">
        <v>2589</v>
      </c>
      <c r="F435" s="570">
        <v>44916</v>
      </c>
      <c r="G435" s="85" t="s">
        <v>59</v>
      </c>
      <c r="H435" s="85" t="s">
        <v>54</v>
      </c>
      <c r="I435" s="85" t="s">
        <v>358</v>
      </c>
      <c r="J435" s="675" t="s">
        <v>358</v>
      </c>
      <c r="K435" s="85" t="s">
        <v>358</v>
      </c>
      <c r="L435" s="85" t="s">
        <v>40</v>
      </c>
      <c r="M435" s="85" t="s">
        <v>3</v>
      </c>
      <c r="N435" s="668" t="s">
        <v>44</v>
      </c>
      <c r="O435" s="669"/>
      <c r="P435" s="615"/>
      <c r="Q435" s="615"/>
      <c r="R435" s="615"/>
      <c r="S435" s="615"/>
      <c r="T435" s="615"/>
      <c r="U435" s="615"/>
      <c r="V435" s="615"/>
      <c r="W435" s="615"/>
      <c r="X435" s="615"/>
      <c r="Y435" s="615"/>
      <c r="Z435" s="635"/>
      <c r="AA435" s="636"/>
      <c r="AB435" s="615"/>
      <c r="AC435" s="615"/>
      <c r="AD435" s="615">
        <v>2</v>
      </c>
      <c r="AE435" s="615"/>
      <c r="AF435" s="615"/>
      <c r="AG435" s="615"/>
      <c r="AH435" s="615"/>
      <c r="AI435" s="615"/>
      <c r="AJ435" s="615"/>
      <c r="AK435" s="615"/>
      <c r="AL435" s="635"/>
      <c r="AM435" s="636"/>
      <c r="AN435" s="615"/>
      <c r="AO435" s="615"/>
      <c r="AP435" s="615"/>
      <c r="AQ435" s="615"/>
      <c r="AR435" s="615"/>
      <c r="AS435" s="615"/>
      <c r="AT435" s="615"/>
      <c r="AU435" s="615"/>
      <c r="AV435" s="615"/>
      <c r="AW435" s="615"/>
      <c r="AX435" s="635"/>
      <c r="AY435" s="636"/>
      <c r="AZ435" s="615"/>
      <c r="BA435" s="615"/>
      <c r="BB435" s="615"/>
      <c r="BC435" s="615"/>
      <c r="BD435" s="615"/>
      <c r="BE435" s="615"/>
      <c r="BF435" s="615"/>
      <c r="BG435" s="615"/>
      <c r="BH435" s="615"/>
      <c r="BI435" s="615"/>
      <c r="BJ435" s="635"/>
      <c r="BK435" s="636"/>
      <c r="BL435" s="615"/>
      <c r="BM435" s="615"/>
      <c r="BN435" s="615"/>
      <c r="BO435" s="615"/>
      <c r="BP435" s="615"/>
      <c r="BQ435" s="615"/>
      <c r="BR435" s="615"/>
      <c r="BS435" s="615"/>
      <c r="BT435" s="615"/>
      <c r="BU435" s="615"/>
      <c r="BV435" s="637"/>
      <c r="BW435" s="669"/>
      <c r="BX435" s="615"/>
      <c r="BY435" s="615"/>
      <c r="BZ435" s="615"/>
      <c r="CA435" s="615"/>
      <c r="CB435" s="615"/>
      <c r="CC435" s="615"/>
      <c r="CD435" s="615"/>
      <c r="CE435" s="615"/>
      <c r="CF435" s="615"/>
      <c r="CG435" s="615"/>
      <c r="CH435" s="635"/>
      <c r="CI435" s="636"/>
      <c r="CJ435" s="615"/>
      <c r="CK435" s="615"/>
      <c r="CL435" s="615">
        <v>73</v>
      </c>
      <c r="CM435" s="615"/>
      <c r="CN435" s="615"/>
      <c r="CO435" s="615"/>
      <c r="CP435" s="615"/>
      <c r="CQ435" s="615"/>
      <c r="CR435" s="615"/>
      <c r="CS435" s="615"/>
      <c r="CT435" s="635"/>
      <c r="CU435" s="636"/>
      <c r="CV435" s="615"/>
      <c r="CW435" s="615"/>
      <c r="CX435" s="615"/>
      <c r="CY435" s="615"/>
      <c r="CZ435" s="615"/>
      <c r="DA435" s="615"/>
      <c r="DB435" s="615"/>
      <c r="DC435" s="615"/>
      <c r="DD435" s="615"/>
      <c r="DE435" s="615"/>
      <c r="DF435" s="635"/>
      <c r="DG435" s="636"/>
      <c r="DH435" s="615"/>
      <c r="DI435" s="615"/>
      <c r="DJ435" s="615"/>
      <c r="DK435" s="615"/>
      <c r="DL435" s="615"/>
      <c r="DM435" s="615"/>
      <c r="DN435" s="615"/>
      <c r="DO435" s="615"/>
      <c r="DP435" s="615"/>
      <c r="DQ435" s="615"/>
      <c r="DR435" s="635"/>
      <c r="DS435" s="636"/>
      <c r="DT435" s="615"/>
      <c r="DU435" s="615"/>
      <c r="DV435" s="615"/>
      <c r="DW435" s="615"/>
      <c r="DX435" s="615"/>
      <c r="DY435" s="615"/>
      <c r="DZ435" s="615"/>
      <c r="EA435" s="615"/>
      <c r="EB435" s="615"/>
      <c r="EC435" s="615"/>
      <c r="ED435" s="637"/>
      <c r="EE435" s="692"/>
    </row>
    <row r="436" spans="1:135" x14ac:dyDescent="0.25">
      <c r="A436" s="640" t="s">
        <v>11</v>
      </c>
      <c r="B436" s="367" t="s">
        <v>2602</v>
      </c>
      <c r="C436" s="367" t="s">
        <v>346</v>
      </c>
      <c r="D436" s="367" t="s">
        <v>2605</v>
      </c>
      <c r="E436" s="503" t="s">
        <v>2591</v>
      </c>
      <c r="F436" s="570">
        <v>44916</v>
      </c>
      <c r="G436" s="85" t="s">
        <v>59</v>
      </c>
      <c r="H436" s="85" t="s">
        <v>54</v>
      </c>
      <c r="I436" s="85" t="s">
        <v>358</v>
      </c>
      <c r="J436" s="675" t="s">
        <v>358</v>
      </c>
      <c r="K436" s="85" t="s">
        <v>358</v>
      </c>
      <c r="L436" s="85" t="s">
        <v>40</v>
      </c>
      <c r="M436" s="85" t="s">
        <v>3</v>
      </c>
      <c r="N436" s="668" t="s">
        <v>44</v>
      </c>
      <c r="O436" s="669"/>
      <c r="P436" s="615"/>
      <c r="Q436" s="615"/>
      <c r="R436" s="615"/>
      <c r="S436" s="615"/>
      <c r="T436" s="615"/>
      <c r="U436" s="615"/>
      <c r="V436" s="615"/>
      <c r="W436" s="615"/>
      <c r="X436" s="615"/>
      <c r="Y436" s="615"/>
      <c r="Z436" s="635"/>
      <c r="AA436" s="636"/>
      <c r="AB436" s="615"/>
      <c r="AC436" s="615"/>
      <c r="AD436" s="615"/>
      <c r="AE436" s="615"/>
      <c r="AF436" s="615"/>
      <c r="AG436" s="615">
        <v>10</v>
      </c>
      <c r="AH436" s="615">
        <v>10</v>
      </c>
      <c r="AI436" s="615">
        <v>10</v>
      </c>
      <c r="AJ436" s="615"/>
      <c r="AK436" s="615"/>
      <c r="AL436" s="635"/>
      <c r="AM436" s="636"/>
      <c r="AN436" s="615"/>
      <c r="AO436" s="615"/>
      <c r="AP436" s="615"/>
      <c r="AQ436" s="615"/>
      <c r="AR436" s="615"/>
      <c r="AS436" s="615"/>
      <c r="AT436" s="615"/>
      <c r="AU436" s="615"/>
      <c r="AV436" s="615"/>
      <c r="AW436" s="615"/>
      <c r="AX436" s="635"/>
      <c r="AY436" s="636"/>
      <c r="AZ436" s="615"/>
      <c r="BA436" s="615"/>
      <c r="BB436" s="615"/>
      <c r="BC436" s="615"/>
      <c r="BD436" s="615"/>
      <c r="BE436" s="615"/>
      <c r="BF436" s="615"/>
      <c r="BG436" s="615"/>
      <c r="BH436" s="615"/>
      <c r="BI436" s="615"/>
      <c r="BJ436" s="635"/>
      <c r="BK436" s="636"/>
      <c r="BL436" s="615"/>
      <c r="BM436" s="615"/>
      <c r="BN436" s="615"/>
      <c r="BO436" s="615"/>
      <c r="BP436" s="615"/>
      <c r="BQ436" s="615"/>
      <c r="BR436" s="615"/>
      <c r="BS436" s="615"/>
      <c r="BT436" s="615"/>
      <c r="BU436" s="615"/>
      <c r="BV436" s="637"/>
      <c r="BW436" s="669"/>
      <c r="BX436" s="615"/>
      <c r="BY436" s="615"/>
      <c r="BZ436" s="615"/>
      <c r="CA436" s="615"/>
      <c r="CB436" s="615"/>
      <c r="CC436" s="615"/>
      <c r="CD436" s="615"/>
      <c r="CE436" s="615"/>
      <c r="CF436" s="615"/>
      <c r="CG436" s="615"/>
      <c r="CH436" s="635"/>
      <c r="CI436" s="636"/>
      <c r="CJ436" s="615"/>
      <c r="CK436" s="615"/>
      <c r="CL436" s="615"/>
      <c r="CM436" s="615"/>
      <c r="CN436" s="615"/>
      <c r="CO436" s="615">
        <v>93</v>
      </c>
      <c r="CP436" s="615">
        <v>93</v>
      </c>
      <c r="CQ436" s="615">
        <v>93</v>
      </c>
      <c r="CR436" s="615"/>
      <c r="CS436" s="615"/>
      <c r="CT436" s="635"/>
      <c r="CU436" s="636"/>
      <c r="CV436" s="615"/>
      <c r="CW436" s="615"/>
      <c r="CX436" s="615"/>
      <c r="CY436" s="615"/>
      <c r="CZ436" s="615"/>
      <c r="DA436" s="615"/>
      <c r="DB436" s="615"/>
      <c r="DC436" s="615"/>
      <c r="DD436" s="615"/>
      <c r="DE436" s="615"/>
      <c r="DF436" s="635"/>
      <c r="DG436" s="636"/>
      <c r="DH436" s="615"/>
      <c r="DI436" s="615"/>
      <c r="DJ436" s="615"/>
      <c r="DK436" s="615"/>
      <c r="DL436" s="615"/>
      <c r="DM436" s="615"/>
      <c r="DN436" s="615"/>
      <c r="DO436" s="615"/>
      <c r="DP436" s="615"/>
      <c r="DQ436" s="615"/>
      <c r="DR436" s="635"/>
      <c r="DS436" s="636"/>
      <c r="DT436" s="615"/>
      <c r="DU436" s="615"/>
      <c r="DV436" s="615"/>
      <c r="DW436" s="615"/>
      <c r="DX436" s="615"/>
      <c r="DY436" s="615"/>
      <c r="DZ436" s="615"/>
      <c r="EA436" s="615"/>
      <c r="EB436" s="615"/>
      <c r="EC436" s="615"/>
      <c r="ED436" s="637"/>
      <c r="EE436" s="692"/>
    </row>
    <row r="437" spans="1:135" x14ac:dyDescent="0.25">
      <c r="A437" s="640" t="s">
        <v>11</v>
      </c>
      <c r="B437" s="367" t="s">
        <v>2604</v>
      </c>
      <c r="C437" s="367" t="s">
        <v>346</v>
      </c>
      <c r="D437" s="367" t="s">
        <v>2607</v>
      </c>
      <c r="E437" s="503" t="s">
        <v>2592</v>
      </c>
      <c r="F437" s="570">
        <v>44916</v>
      </c>
      <c r="G437" s="85" t="s">
        <v>59</v>
      </c>
      <c r="H437" s="85" t="s">
        <v>54</v>
      </c>
      <c r="I437" s="85" t="s">
        <v>358</v>
      </c>
      <c r="J437" s="675" t="s">
        <v>358</v>
      </c>
      <c r="K437" s="85" t="s">
        <v>358</v>
      </c>
      <c r="L437" s="85" t="s">
        <v>40</v>
      </c>
      <c r="M437" s="85" t="s">
        <v>3</v>
      </c>
      <c r="N437" s="668" t="s">
        <v>44</v>
      </c>
      <c r="O437" s="669"/>
      <c r="P437" s="615"/>
      <c r="Q437" s="615"/>
      <c r="R437" s="615"/>
      <c r="S437" s="615"/>
      <c r="T437" s="615"/>
      <c r="U437" s="615"/>
      <c r="V437" s="615"/>
      <c r="W437" s="615"/>
      <c r="X437" s="615"/>
      <c r="Y437" s="615"/>
      <c r="Z437" s="635"/>
      <c r="AA437" s="636"/>
      <c r="AB437" s="615"/>
      <c r="AC437" s="615"/>
      <c r="AD437" s="615"/>
      <c r="AE437" s="615"/>
      <c r="AF437" s="615"/>
      <c r="AG437" s="615">
        <v>20</v>
      </c>
      <c r="AH437" s="615">
        <v>20</v>
      </c>
      <c r="AI437" s="615">
        <v>20</v>
      </c>
      <c r="AJ437" s="615">
        <v>20</v>
      </c>
      <c r="AK437" s="615">
        <v>20</v>
      </c>
      <c r="AL437" s="635">
        <v>20</v>
      </c>
      <c r="AM437" s="636"/>
      <c r="AN437" s="615"/>
      <c r="AO437" s="615"/>
      <c r="AP437" s="615"/>
      <c r="AQ437" s="615"/>
      <c r="AR437" s="615"/>
      <c r="AS437" s="615"/>
      <c r="AT437" s="615"/>
      <c r="AU437" s="615"/>
      <c r="AV437" s="615"/>
      <c r="AW437" s="615"/>
      <c r="AX437" s="635"/>
      <c r="AY437" s="636"/>
      <c r="AZ437" s="615"/>
      <c r="BA437" s="615"/>
      <c r="BB437" s="615"/>
      <c r="BC437" s="615"/>
      <c r="BD437" s="615"/>
      <c r="BE437" s="615"/>
      <c r="BF437" s="615"/>
      <c r="BG437" s="615"/>
      <c r="BH437" s="615"/>
      <c r="BI437" s="615"/>
      <c r="BJ437" s="635"/>
      <c r="BK437" s="636"/>
      <c r="BL437" s="615"/>
      <c r="BM437" s="615"/>
      <c r="BN437" s="615"/>
      <c r="BO437" s="615"/>
      <c r="BP437" s="615"/>
      <c r="BQ437" s="615"/>
      <c r="BR437" s="615"/>
      <c r="BS437" s="615"/>
      <c r="BT437" s="615"/>
      <c r="BU437" s="615"/>
      <c r="BV437" s="637"/>
      <c r="BW437" s="669"/>
      <c r="BX437" s="615"/>
      <c r="BY437" s="615"/>
      <c r="BZ437" s="615"/>
      <c r="CA437" s="615"/>
      <c r="CB437" s="615"/>
      <c r="CC437" s="615"/>
      <c r="CD437" s="615"/>
      <c r="CE437" s="615"/>
      <c r="CF437" s="615"/>
      <c r="CG437" s="615"/>
      <c r="CH437" s="635"/>
      <c r="CI437" s="636"/>
      <c r="CJ437" s="615"/>
      <c r="CK437" s="615"/>
      <c r="CL437" s="615"/>
      <c r="CM437" s="615"/>
      <c r="CN437" s="615"/>
      <c r="CO437" s="615">
        <v>93</v>
      </c>
      <c r="CP437" s="615">
        <v>93</v>
      </c>
      <c r="CQ437" s="615">
        <v>93</v>
      </c>
      <c r="CR437" s="615">
        <v>93</v>
      </c>
      <c r="CS437" s="615">
        <v>93</v>
      </c>
      <c r="CT437" s="635">
        <v>93</v>
      </c>
      <c r="CU437" s="636"/>
      <c r="CV437" s="615"/>
      <c r="CW437" s="615"/>
      <c r="CX437" s="615"/>
      <c r="CY437" s="615"/>
      <c r="CZ437" s="615"/>
      <c r="DA437" s="615"/>
      <c r="DB437" s="615"/>
      <c r="DC437" s="615"/>
      <c r="DD437" s="615"/>
      <c r="DE437" s="615"/>
      <c r="DF437" s="635"/>
      <c r="DG437" s="636"/>
      <c r="DH437" s="615"/>
      <c r="DI437" s="615"/>
      <c r="DJ437" s="615"/>
      <c r="DK437" s="615"/>
      <c r="DL437" s="615"/>
      <c r="DM437" s="615"/>
      <c r="DN437" s="615"/>
      <c r="DO437" s="615"/>
      <c r="DP437" s="615"/>
      <c r="DQ437" s="615"/>
      <c r="DR437" s="635"/>
      <c r="DS437" s="636"/>
      <c r="DT437" s="615"/>
      <c r="DU437" s="615"/>
      <c r="DV437" s="615"/>
      <c r="DW437" s="615"/>
      <c r="DX437" s="615"/>
      <c r="DY437" s="615"/>
      <c r="DZ437" s="615"/>
      <c r="EA437" s="615"/>
      <c r="EB437" s="615"/>
      <c r="EC437" s="615"/>
      <c r="ED437" s="637"/>
      <c r="EE437" s="692"/>
    </row>
    <row r="438" spans="1:135" x14ac:dyDescent="0.25">
      <c r="A438" s="640" t="s">
        <v>11</v>
      </c>
      <c r="B438" s="367" t="s">
        <v>2606</v>
      </c>
      <c r="C438" s="367" t="s">
        <v>2351</v>
      </c>
      <c r="D438" s="367" t="s">
        <v>2614</v>
      </c>
      <c r="E438" s="503" t="s">
        <v>2608</v>
      </c>
      <c r="F438" s="570">
        <v>44917</v>
      </c>
      <c r="G438" s="85" t="s">
        <v>59</v>
      </c>
      <c r="H438" s="85" t="s">
        <v>54</v>
      </c>
      <c r="I438" s="85" t="s">
        <v>358</v>
      </c>
      <c r="J438" s="675" t="s">
        <v>358</v>
      </c>
      <c r="K438" s="85" t="s">
        <v>358</v>
      </c>
      <c r="L438" s="85" t="s">
        <v>40</v>
      </c>
      <c r="M438" s="85" t="s">
        <v>3</v>
      </c>
      <c r="N438" s="668" t="s">
        <v>44</v>
      </c>
      <c r="O438" s="669"/>
      <c r="P438" s="615"/>
      <c r="Q438" s="615"/>
      <c r="R438" s="615"/>
      <c r="S438" s="615"/>
      <c r="T438" s="615"/>
      <c r="U438" s="615"/>
      <c r="V438" s="615"/>
      <c r="W438" s="615"/>
      <c r="X438" s="615"/>
      <c r="Y438" s="615"/>
      <c r="Z438" s="635"/>
      <c r="AA438" s="636"/>
      <c r="AB438" s="615"/>
      <c r="AC438" s="615"/>
      <c r="AD438" s="615">
        <v>20</v>
      </c>
      <c r="AE438" s="615"/>
      <c r="AF438" s="615"/>
      <c r="AG438" s="615"/>
      <c r="AH438" s="615"/>
      <c r="AI438" s="615"/>
      <c r="AJ438" s="615"/>
      <c r="AK438" s="615"/>
      <c r="AL438" s="635"/>
      <c r="AM438" s="636"/>
      <c r="AN438" s="615"/>
      <c r="AO438" s="615"/>
      <c r="AP438" s="615"/>
      <c r="AQ438" s="615"/>
      <c r="AR438" s="615"/>
      <c r="AS438" s="615"/>
      <c r="AT438" s="615"/>
      <c r="AU438" s="615"/>
      <c r="AV438" s="615"/>
      <c r="AW438" s="615"/>
      <c r="AX438" s="635"/>
      <c r="AY438" s="636"/>
      <c r="AZ438" s="615"/>
      <c r="BA438" s="615"/>
      <c r="BB438" s="615"/>
      <c r="BC438" s="615"/>
      <c r="BD438" s="615"/>
      <c r="BE438" s="615"/>
      <c r="BF438" s="615"/>
      <c r="BG438" s="615"/>
      <c r="BH438" s="615"/>
      <c r="BI438" s="615"/>
      <c r="BJ438" s="635"/>
      <c r="BK438" s="636"/>
      <c r="BL438" s="615"/>
      <c r="BM438" s="615"/>
      <c r="BN438" s="615"/>
      <c r="BO438" s="615"/>
      <c r="BP438" s="615"/>
      <c r="BQ438" s="615"/>
      <c r="BR438" s="615"/>
      <c r="BS438" s="615"/>
      <c r="BT438" s="615"/>
      <c r="BU438" s="615"/>
      <c r="BV438" s="637"/>
      <c r="BW438" s="669"/>
      <c r="BX438" s="615"/>
      <c r="BY438" s="615"/>
      <c r="BZ438" s="615"/>
      <c r="CA438" s="615"/>
      <c r="CB438" s="615"/>
      <c r="CC438" s="615"/>
      <c r="CD438" s="615"/>
      <c r="CE438" s="615"/>
      <c r="CF438" s="615"/>
      <c r="CG438" s="615"/>
      <c r="CH438" s="635"/>
      <c r="CI438" s="636"/>
      <c r="CJ438" s="615"/>
      <c r="CK438" s="615"/>
      <c r="CL438" s="615">
        <v>73</v>
      </c>
      <c r="CM438" s="615"/>
      <c r="CN438" s="615"/>
      <c r="CO438" s="615"/>
      <c r="CP438" s="615"/>
      <c r="CQ438" s="615"/>
      <c r="CR438" s="615"/>
      <c r="CS438" s="615"/>
      <c r="CT438" s="635"/>
      <c r="CU438" s="636"/>
      <c r="CV438" s="615"/>
      <c r="CW438" s="615"/>
      <c r="CX438" s="615"/>
      <c r="CY438" s="615"/>
      <c r="CZ438" s="615"/>
      <c r="DA438" s="615"/>
      <c r="DB438" s="615"/>
      <c r="DC438" s="615"/>
      <c r="DD438" s="615"/>
      <c r="DE438" s="615"/>
      <c r="DF438" s="635"/>
      <c r="DG438" s="636"/>
      <c r="DH438" s="615"/>
      <c r="DI438" s="615"/>
      <c r="DJ438" s="615"/>
      <c r="DK438" s="615"/>
      <c r="DL438" s="615"/>
      <c r="DM438" s="615"/>
      <c r="DN438" s="615"/>
      <c r="DO438" s="615"/>
      <c r="DP438" s="615"/>
      <c r="DQ438" s="615"/>
      <c r="DR438" s="635"/>
      <c r="DS438" s="636"/>
      <c r="DT438" s="615"/>
      <c r="DU438" s="615"/>
      <c r="DV438" s="615"/>
      <c r="DW438" s="615"/>
      <c r="DX438" s="615"/>
      <c r="DY438" s="615"/>
      <c r="DZ438" s="615"/>
      <c r="EA438" s="615"/>
      <c r="EB438" s="615"/>
      <c r="EC438" s="615"/>
      <c r="ED438" s="637"/>
      <c r="EE438" s="692"/>
    </row>
    <row r="439" spans="1:135" x14ac:dyDescent="0.25">
      <c r="A439" s="640" t="s">
        <v>11</v>
      </c>
      <c r="B439" s="367" t="s">
        <v>2615</v>
      </c>
      <c r="C439" s="367" t="s">
        <v>502</v>
      </c>
      <c r="D439" s="367" t="s">
        <v>2616</v>
      </c>
      <c r="E439" s="503" t="s">
        <v>2609</v>
      </c>
      <c r="F439" s="570">
        <v>44917</v>
      </c>
      <c r="G439" s="85" t="s">
        <v>58</v>
      </c>
      <c r="H439" s="85" t="s">
        <v>54</v>
      </c>
      <c r="I439" s="85" t="s">
        <v>358</v>
      </c>
      <c r="J439" s="675" t="s">
        <v>358</v>
      </c>
      <c r="K439" s="85" t="s">
        <v>358</v>
      </c>
      <c r="L439" s="85" t="s">
        <v>40</v>
      </c>
      <c r="M439" s="85" t="s">
        <v>3</v>
      </c>
      <c r="N439" s="668" t="s">
        <v>44</v>
      </c>
      <c r="O439" s="669"/>
      <c r="P439" s="615"/>
      <c r="Q439" s="615"/>
      <c r="R439" s="615"/>
      <c r="S439" s="615"/>
      <c r="T439" s="615"/>
      <c r="U439" s="615"/>
      <c r="V439" s="615"/>
      <c r="W439" s="615"/>
      <c r="X439" s="615"/>
      <c r="Y439" s="615"/>
      <c r="Z439" s="635"/>
      <c r="AA439" s="636"/>
      <c r="AB439" s="615"/>
      <c r="AC439" s="615"/>
      <c r="AD439" s="615"/>
      <c r="AE439" s="615"/>
      <c r="AF439" s="615"/>
      <c r="AG439" s="615">
        <v>-10</v>
      </c>
      <c r="AH439" s="615">
        <v>-10</v>
      </c>
      <c r="AI439" s="615">
        <v>-10</v>
      </c>
      <c r="AJ439" s="615">
        <v>-10</v>
      </c>
      <c r="AK439" s="615">
        <v>-10</v>
      </c>
      <c r="AL439" s="635">
        <v>-10</v>
      </c>
      <c r="AM439" s="636"/>
      <c r="AN439" s="615"/>
      <c r="AO439" s="615"/>
      <c r="AP439" s="615"/>
      <c r="AQ439" s="615"/>
      <c r="AR439" s="615"/>
      <c r="AS439" s="615"/>
      <c r="AT439" s="615"/>
      <c r="AU439" s="615"/>
      <c r="AV439" s="615"/>
      <c r="AW439" s="615"/>
      <c r="AX439" s="635"/>
      <c r="AY439" s="636"/>
      <c r="AZ439" s="615"/>
      <c r="BA439" s="615"/>
      <c r="BB439" s="615"/>
      <c r="BC439" s="615"/>
      <c r="BD439" s="615"/>
      <c r="BE439" s="615"/>
      <c r="BF439" s="615"/>
      <c r="BG439" s="615"/>
      <c r="BH439" s="615"/>
      <c r="BI439" s="615"/>
      <c r="BJ439" s="635"/>
      <c r="BK439" s="636"/>
      <c r="BL439" s="615"/>
      <c r="BM439" s="615"/>
      <c r="BN439" s="615"/>
      <c r="BO439" s="615"/>
      <c r="BP439" s="615"/>
      <c r="BQ439" s="615"/>
      <c r="BR439" s="615"/>
      <c r="BS439" s="615"/>
      <c r="BT439" s="615"/>
      <c r="BU439" s="615"/>
      <c r="BV439" s="637"/>
      <c r="BW439" s="669"/>
      <c r="BX439" s="615"/>
      <c r="BY439" s="615"/>
      <c r="BZ439" s="615"/>
      <c r="CA439" s="615"/>
      <c r="CB439" s="615"/>
      <c r="CC439" s="615"/>
      <c r="CD439" s="615"/>
      <c r="CE439" s="615"/>
      <c r="CF439" s="615"/>
      <c r="CG439" s="615"/>
      <c r="CH439" s="635"/>
      <c r="CI439" s="636"/>
      <c r="CJ439" s="615"/>
      <c r="CK439" s="615"/>
      <c r="CL439" s="615"/>
      <c r="CM439" s="615"/>
      <c r="CN439" s="615"/>
      <c r="CO439" s="615">
        <v>92</v>
      </c>
      <c r="CP439" s="615">
        <v>92</v>
      </c>
      <c r="CQ439" s="615">
        <v>92</v>
      </c>
      <c r="CR439" s="615">
        <v>92</v>
      </c>
      <c r="CS439" s="615">
        <v>92</v>
      </c>
      <c r="CT439" s="635">
        <v>92</v>
      </c>
      <c r="CU439" s="636"/>
      <c r="CV439" s="615"/>
      <c r="CW439" s="615"/>
      <c r="CX439" s="615"/>
      <c r="CY439" s="615"/>
      <c r="CZ439" s="615"/>
      <c r="DA439" s="615"/>
      <c r="DB439" s="615"/>
      <c r="DC439" s="615"/>
      <c r="DD439" s="615"/>
      <c r="DE439" s="615"/>
      <c r="DF439" s="635"/>
      <c r="DG439" s="636"/>
      <c r="DH439" s="615"/>
      <c r="DI439" s="615"/>
      <c r="DJ439" s="615"/>
      <c r="DK439" s="615"/>
      <c r="DL439" s="615"/>
      <c r="DM439" s="615"/>
      <c r="DN439" s="615"/>
      <c r="DO439" s="615"/>
      <c r="DP439" s="615"/>
      <c r="DQ439" s="615"/>
      <c r="DR439" s="635"/>
      <c r="DS439" s="636"/>
      <c r="DT439" s="615"/>
      <c r="DU439" s="615"/>
      <c r="DV439" s="615"/>
      <c r="DW439" s="615"/>
      <c r="DX439" s="615"/>
      <c r="DY439" s="615"/>
      <c r="DZ439" s="615"/>
      <c r="EA439" s="615"/>
      <c r="EB439" s="615"/>
      <c r="EC439" s="615"/>
      <c r="ED439" s="637"/>
      <c r="EE439" s="692"/>
    </row>
    <row r="440" spans="1:135" x14ac:dyDescent="0.25">
      <c r="A440" s="640" t="s">
        <v>11</v>
      </c>
      <c r="B440" s="367" t="s">
        <v>2617</v>
      </c>
      <c r="C440" s="367" t="s">
        <v>2351</v>
      </c>
      <c r="D440" s="367" t="s">
        <v>2618</v>
      </c>
      <c r="E440" s="503" t="s">
        <v>2610</v>
      </c>
      <c r="F440" s="570">
        <v>44917</v>
      </c>
      <c r="G440" s="85" t="s">
        <v>59</v>
      </c>
      <c r="H440" s="85" t="s">
        <v>54</v>
      </c>
      <c r="I440" s="85" t="s">
        <v>358</v>
      </c>
      <c r="J440" s="675" t="s">
        <v>358</v>
      </c>
      <c r="K440" s="85" t="s">
        <v>358</v>
      </c>
      <c r="L440" s="85" t="s">
        <v>40</v>
      </c>
      <c r="M440" s="85" t="s">
        <v>3</v>
      </c>
      <c r="N440" s="668" t="s">
        <v>44</v>
      </c>
      <c r="O440" s="669"/>
      <c r="P440" s="615"/>
      <c r="Q440" s="615"/>
      <c r="R440" s="615"/>
      <c r="S440" s="615"/>
      <c r="T440" s="615"/>
      <c r="U440" s="615"/>
      <c r="V440" s="615"/>
      <c r="W440" s="615"/>
      <c r="X440" s="615"/>
      <c r="Y440" s="615"/>
      <c r="Z440" s="635"/>
      <c r="AA440" s="636"/>
      <c r="AB440" s="615"/>
      <c r="AC440" s="615">
        <v>20</v>
      </c>
      <c r="AD440" s="615"/>
      <c r="AE440" s="615"/>
      <c r="AF440" s="615"/>
      <c r="AG440" s="615"/>
      <c r="AH440" s="615"/>
      <c r="AI440" s="615"/>
      <c r="AJ440" s="615"/>
      <c r="AK440" s="615"/>
      <c r="AL440" s="635"/>
      <c r="AM440" s="636"/>
      <c r="AN440" s="615"/>
      <c r="AO440" s="615"/>
      <c r="AP440" s="615"/>
      <c r="AQ440" s="615"/>
      <c r="AR440" s="615"/>
      <c r="AS440" s="615"/>
      <c r="AT440" s="615"/>
      <c r="AU440" s="615"/>
      <c r="AV440" s="615"/>
      <c r="AW440" s="615"/>
      <c r="AX440" s="635"/>
      <c r="AY440" s="636"/>
      <c r="AZ440" s="615"/>
      <c r="BA440" s="615"/>
      <c r="BB440" s="615"/>
      <c r="BC440" s="615"/>
      <c r="BD440" s="615"/>
      <c r="BE440" s="615"/>
      <c r="BF440" s="615"/>
      <c r="BG440" s="615"/>
      <c r="BH440" s="615"/>
      <c r="BI440" s="615"/>
      <c r="BJ440" s="635"/>
      <c r="BK440" s="636"/>
      <c r="BL440" s="615"/>
      <c r="BM440" s="615"/>
      <c r="BN440" s="615"/>
      <c r="BO440" s="615"/>
      <c r="BP440" s="615"/>
      <c r="BQ440" s="615"/>
      <c r="BR440" s="615"/>
      <c r="BS440" s="615"/>
      <c r="BT440" s="615"/>
      <c r="BU440" s="615"/>
      <c r="BV440" s="637"/>
      <c r="BW440" s="669"/>
      <c r="BX440" s="615"/>
      <c r="BY440" s="615"/>
      <c r="BZ440" s="615"/>
      <c r="CA440" s="615"/>
      <c r="CB440" s="615"/>
      <c r="CC440" s="615"/>
      <c r="CD440" s="615"/>
      <c r="CE440" s="615"/>
      <c r="CF440" s="615"/>
      <c r="CG440" s="615"/>
      <c r="CH440" s="635"/>
      <c r="CI440" s="636"/>
      <c r="CJ440" s="615"/>
      <c r="CK440" s="615">
        <v>71</v>
      </c>
      <c r="CL440" s="615"/>
      <c r="CM440" s="615"/>
      <c r="CN440" s="615"/>
      <c r="CO440" s="615"/>
      <c r="CP440" s="615"/>
      <c r="CQ440" s="615"/>
      <c r="CR440" s="615"/>
      <c r="CS440" s="615"/>
      <c r="CT440" s="635"/>
      <c r="CU440" s="636"/>
      <c r="CV440" s="615"/>
      <c r="CW440" s="615"/>
      <c r="CX440" s="615"/>
      <c r="CY440" s="615"/>
      <c r="CZ440" s="615"/>
      <c r="DA440" s="615"/>
      <c r="DB440" s="615"/>
      <c r="DC440" s="615"/>
      <c r="DD440" s="615"/>
      <c r="DE440" s="615"/>
      <c r="DF440" s="635"/>
      <c r="DG440" s="636"/>
      <c r="DH440" s="615"/>
      <c r="DI440" s="615"/>
      <c r="DJ440" s="615"/>
      <c r="DK440" s="615"/>
      <c r="DL440" s="615"/>
      <c r="DM440" s="615"/>
      <c r="DN440" s="615"/>
      <c r="DO440" s="615"/>
      <c r="DP440" s="615"/>
      <c r="DQ440" s="615"/>
      <c r="DR440" s="635"/>
      <c r="DS440" s="636"/>
      <c r="DT440" s="615"/>
      <c r="DU440" s="615"/>
      <c r="DV440" s="615"/>
      <c r="DW440" s="615"/>
      <c r="DX440" s="615"/>
      <c r="DY440" s="615"/>
      <c r="DZ440" s="615"/>
      <c r="EA440" s="615"/>
      <c r="EB440" s="615"/>
      <c r="EC440" s="615"/>
      <c r="ED440" s="637"/>
      <c r="EE440" s="692"/>
    </row>
    <row r="441" spans="1:135" x14ac:dyDescent="0.25">
      <c r="A441" s="640" t="s">
        <v>11</v>
      </c>
      <c r="B441" s="367" t="s">
        <v>2619</v>
      </c>
      <c r="C441" s="367" t="s">
        <v>2351</v>
      </c>
      <c r="D441" s="367" t="s">
        <v>2620</v>
      </c>
      <c r="E441" s="503" t="s">
        <v>2611</v>
      </c>
      <c r="F441" s="570">
        <v>44917</v>
      </c>
      <c r="G441" s="85" t="s">
        <v>59</v>
      </c>
      <c r="H441" s="85" t="s">
        <v>54</v>
      </c>
      <c r="I441" s="85" t="s">
        <v>358</v>
      </c>
      <c r="J441" s="675" t="s">
        <v>358</v>
      </c>
      <c r="K441" s="85" t="s">
        <v>358</v>
      </c>
      <c r="L441" s="85" t="s">
        <v>40</v>
      </c>
      <c r="M441" s="85" t="s">
        <v>3</v>
      </c>
      <c r="N441" s="668" t="s">
        <v>44</v>
      </c>
      <c r="O441" s="669"/>
      <c r="P441" s="615"/>
      <c r="Q441" s="615"/>
      <c r="R441" s="615"/>
      <c r="S441" s="615"/>
      <c r="T441" s="615"/>
      <c r="U441" s="615"/>
      <c r="V441" s="615"/>
      <c r="W441" s="615"/>
      <c r="X441" s="615"/>
      <c r="Y441" s="615"/>
      <c r="Z441" s="635"/>
      <c r="AA441" s="636"/>
      <c r="AB441" s="615"/>
      <c r="AC441" s="615">
        <v>2</v>
      </c>
      <c r="AD441" s="615"/>
      <c r="AE441" s="615"/>
      <c r="AF441" s="615"/>
      <c r="AG441" s="615"/>
      <c r="AH441" s="615"/>
      <c r="AI441" s="615"/>
      <c r="AJ441" s="615"/>
      <c r="AK441" s="615"/>
      <c r="AL441" s="635"/>
      <c r="AM441" s="636"/>
      <c r="AN441" s="615"/>
      <c r="AO441" s="615"/>
      <c r="AP441" s="615"/>
      <c r="AQ441" s="615"/>
      <c r="AR441" s="615"/>
      <c r="AS441" s="615"/>
      <c r="AT441" s="615"/>
      <c r="AU441" s="615"/>
      <c r="AV441" s="615"/>
      <c r="AW441" s="615"/>
      <c r="AX441" s="635"/>
      <c r="AY441" s="636"/>
      <c r="AZ441" s="615"/>
      <c r="BA441" s="615"/>
      <c r="BB441" s="615"/>
      <c r="BC441" s="615"/>
      <c r="BD441" s="615"/>
      <c r="BE441" s="615"/>
      <c r="BF441" s="615"/>
      <c r="BG441" s="615"/>
      <c r="BH441" s="615"/>
      <c r="BI441" s="615"/>
      <c r="BJ441" s="635"/>
      <c r="BK441" s="636"/>
      <c r="BL441" s="615"/>
      <c r="BM441" s="615"/>
      <c r="BN441" s="615"/>
      <c r="BO441" s="615"/>
      <c r="BP441" s="615"/>
      <c r="BQ441" s="615"/>
      <c r="BR441" s="615"/>
      <c r="BS441" s="615"/>
      <c r="BT441" s="615"/>
      <c r="BU441" s="615"/>
      <c r="BV441" s="637"/>
      <c r="BW441" s="669"/>
      <c r="BX441" s="615"/>
      <c r="BY441" s="615"/>
      <c r="BZ441" s="615"/>
      <c r="CA441" s="615"/>
      <c r="CB441" s="615"/>
      <c r="CC441" s="615"/>
      <c r="CD441" s="615"/>
      <c r="CE441" s="615"/>
      <c r="CF441" s="615"/>
      <c r="CG441" s="615"/>
      <c r="CH441" s="635"/>
      <c r="CI441" s="636"/>
      <c r="CJ441" s="615"/>
      <c r="CK441" s="615">
        <v>71</v>
      </c>
      <c r="CL441" s="615"/>
      <c r="CM441" s="615"/>
      <c r="CN441" s="615"/>
      <c r="CO441" s="615"/>
      <c r="CP441" s="615"/>
      <c r="CQ441" s="615"/>
      <c r="CR441" s="615"/>
      <c r="CS441" s="615"/>
      <c r="CT441" s="635"/>
      <c r="CU441" s="636"/>
      <c r="CV441" s="615"/>
      <c r="CW441" s="615"/>
      <c r="CX441" s="615"/>
      <c r="CY441" s="615"/>
      <c r="CZ441" s="615"/>
      <c r="DA441" s="615"/>
      <c r="DB441" s="615"/>
      <c r="DC441" s="615"/>
      <c r="DD441" s="615"/>
      <c r="DE441" s="615"/>
      <c r="DF441" s="635"/>
      <c r="DG441" s="636"/>
      <c r="DH441" s="615"/>
      <c r="DI441" s="615"/>
      <c r="DJ441" s="615"/>
      <c r="DK441" s="615"/>
      <c r="DL441" s="615"/>
      <c r="DM441" s="615"/>
      <c r="DN441" s="615"/>
      <c r="DO441" s="615"/>
      <c r="DP441" s="615"/>
      <c r="DQ441" s="615"/>
      <c r="DR441" s="635"/>
      <c r="DS441" s="636"/>
      <c r="DT441" s="615"/>
      <c r="DU441" s="615"/>
      <c r="DV441" s="615"/>
      <c r="DW441" s="615"/>
      <c r="DX441" s="615"/>
      <c r="DY441" s="615"/>
      <c r="DZ441" s="615"/>
      <c r="EA441" s="615"/>
      <c r="EB441" s="615"/>
      <c r="EC441" s="615"/>
      <c r="ED441" s="637"/>
      <c r="EE441" s="692"/>
    </row>
    <row r="442" spans="1:135" x14ac:dyDescent="0.25">
      <c r="A442" s="640" t="s">
        <v>11</v>
      </c>
      <c r="B442" s="367" t="s">
        <v>2621</v>
      </c>
      <c r="C442" s="367" t="s">
        <v>2351</v>
      </c>
      <c r="D442" s="367" t="s">
        <v>2622</v>
      </c>
      <c r="E442" s="503" t="s">
        <v>2612</v>
      </c>
      <c r="F442" s="570">
        <v>44917</v>
      </c>
      <c r="G442" s="85" t="s">
        <v>59</v>
      </c>
      <c r="H442" s="85" t="s">
        <v>54</v>
      </c>
      <c r="I442" s="85" t="s">
        <v>358</v>
      </c>
      <c r="J442" s="675" t="s">
        <v>358</v>
      </c>
      <c r="K442" s="85" t="s">
        <v>358</v>
      </c>
      <c r="L442" s="85" t="s">
        <v>40</v>
      </c>
      <c r="M442" s="85" t="s">
        <v>3</v>
      </c>
      <c r="N442" s="668" t="s">
        <v>44</v>
      </c>
      <c r="O442" s="669"/>
      <c r="P442" s="615"/>
      <c r="Q442" s="615"/>
      <c r="R442" s="615"/>
      <c r="S442" s="615"/>
      <c r="T442" s="615"/>
      <c r="U442" s="615"/>
      <c r="V442" s="615"/>
      <c r="W442" s="615"/>
      <c r="X442" s="615"/>
      <c r="Y442" s="615"/>
      <c r="Z442" s="635"/>
      <c r="AA442" s="636"/>
      <c r="AB442" s="615"/>
      <c r="AC442" s="615"/>
      <c r="AD442" s="615">
        <v>10</v>
      </c>
      <c r="AE442" s="615">
        <v>10</v>
      </c>
      <c r="AF442" s="615"/>
      <c r="AG442" s="615"/>
      <c r="AH442" s="615"/>
      <c r="AI442" s="615"/>
      <c r="AJ442" s="615"/>
      <c r="AK442" s="615"/>
      <c r="AL442" s="635"/>
      <c r="AM442" s="636"/>
      <c r="AN442" s="615"/>
      <c r="AO442" s="615"/>
      <c r="AP442" s="615"/>
      <c r="AQ442" s="615"/>
      <c r="AR442" s="615"/>
      <c r="AS442" s="615"/>
      <c r="AT442" s="615"/>
      <c r="AU442" s="615"/>
      <c r="AV442" s="615"/>
      <c r="AW442" s="615"/>
      <c r="AX442" s="635"/>
      <c r="AY442" s="636"/>
      <c r="AZ442" s="615"/>
      <c r="BA442" s="615"/>
      <c r="BB442" s="615"/>
      <c r="BC442" s="615"/>
      <c r="BD442" s="615"/>
      <c r="BE442" s="615"/>
      <c r="BF442" s="615"/>
      <c r="BG442" s="615"/>
      <c r="BH442" s="615"/>
      <c r="BI442" s="615"/>
      <c r="BJ442" s="635"/>
      <c r="BK442" s="636"/>
      <c r="BL442" s="615"/>
      <c r="BM442" s="615"/>
      <c r="BN442" s="615"/>
      <c r="BO442" s="615"/>
      <c r="BP442" s="615"/>
      <c r="BQ442" s="615"/>
      <c r="BR442" s="615"/>
      <c r="BS442" s="615"/>
      <c r="BT442" s="615"/>
      <c r="BU442" s="615"/>
      <c r="BV442" s="637"/>
      <c r="BW442" s="669"/>
      <c r="BX442" s="615"/>
      <c r="BY442" s="615"/>
      <c r="BZ442" s="615"/>
      <c r="CA442" s="615"/>
      <c r="CB442" s="615"/>
      <c r="CC442" s="615"/>
      <c r="CD442" s="615"/>
      <c r="CE442" s="615"/>
      <c r="CF442" s="615"/>
      <c r="CG442" s="615"/>
      <c r="CH442" s="635"/>
      <c r="CI442" s="636"/>
      <c r="CJ442" s="615"/>
      <c r="CK442" s="615"/>
      <c r="CL442" s="615">
        <v>73.5</v>
      </c>
      <c r="CM442" s="615">
        <v>73.5</v>
      </c>
      <c r="CN442" s="615"/>
      <c r="CO442" s="615"/>
      <c r="CP442" s="615"/>
      <c r="CQ442" s="615"/>
      <c r="CR442" s="615"/>
      <c r="CS442" s="615"/>
      <c r="CT442" s="635"/>
      <c r="CU442" s="636"/>
      <c r="CV442" s="615"/>
      <c r="CW442" s="615"/>
      <c r="CX442" s="615"/>
      <c r="CY442" s="615"/>
      <c r="CZ442" s="615"/>
      <c r="DA442" s="615"/>
      <c r="DB442" s="615"/>
      <c r="DC442" s="615"/>
      <c r="DD442" s="615"/>
      <c r="DE442" s="615"/>
      <c r="DF442" s="635"/>
      <c r="DG442" s="636"/>
      <c r="DH442" s="615"/>
      <c r="DI442" s="615"/>
      <c r="DJ442" s="615"/>
      <c r="DK442" s="615"/>
      <c r="DL442" s="615"/>
      <c r="DM442" s="615"/>
      <c r="DN442" s="615"/>
      <c r="DO442" s="615"/>
      <c r="DP442" s="615"/>
      <c r="DQ442" s="615"/>
      <c r="DR442" s="635"/>
      <c r="DS442" s="636"/>
      <c r="DT442" s="615"/>
      <c r="DU442" s="615"/>
      <c r="DV442" s="615"/>
      <c r="DW442" s="615"/>
      <c r="DX442" s="615"/>
      <c r="DY442" s="615"/>
      <c r="DZ442" s="615"/>
      <c r="EA442" s="615"/>
      <c r="EB442" s="615"/>
      <c r="EC442" s="615"/>
      <c r="ED442" s="637"/>
      <c r="EE442" s="692"/>
    </row>
    <row r="443" spans="1:135" x14ac:dyDescent="0.25">
      <c r="A443" s="640" t="s">
        <v>11</v>
      </c>
      <c r="B443" s="367" t="s">
        <v>2623</v>
      </c>
      <c r="C443" s="367" t="s">
        <v>2351</v>
      </c>
      <c r="D443" s="367" t="s">
        <v>2624</v>
      </c>
      <c r="E443" s="503" t="s">
        <v>2613</v>
      </c>
      <c r="F443" s="570">
        <v>44917</v>
      </c>
      <c r="G443" s="85" t="s">
        <v>59</v>
      </c>
      <c r="H443" s="85" t="s">
        <v>54</v>
      </c>
      <c r="I443" s="85" t="s">
        <v>358</v>
      </c>
      <c r="J443" s="675" t="s">
        <v>358</v>
      </c>
      <c r="K443" s="85" t="s">
        <v>358</v>
      </c>
      <c r="L443" s="85" t="s">
        <v>40</v>
      </c>
      <c r="M443" s="85" t="s">
        <v>3</v>
      </c>
      <c r="N443" s="668" t="s">
        <v>44</v>
      </c>
      <c r="O443" s="669"/>
      <c r="P443" s="615"/>
      <c r="Q443" s="615"/>
      <c r="R443" s="615"/>
      <c r="S443" s="615"/>
      <c r="T443" s="615"/>
      <c r="U443" s="615"/>
      <c r="V443" s="615"/>
      <c r="W443" s="615"/>
      <c r="X443" s="615"/>
      <c r="Y443" s="615"/>
      <c r="Z443" s="635"/>
      <c r="AA443" s="636"/>
      <c r="AB443" s="615"/>
      <c r="AC443" s="615"/>
      <c r="AD443" s="615"/>
      <c r="AE443" s="615">
        <v>2</v>
      </c>
      <c r="AF443" s="615"/>
      <c r="AG443" s="615"/>
      <c r="AH443" s="615"/>
      <c r="AI443" s="615"/>
      <c r="AJ443" s="615"/>
      <c r="AK443" s="615"/>
      <c r="AL443" s="635"/>
      <c r="AM443" s="636"/>
      <c r="AN443" s="615"/>
      <c r="AO443" s="615"/>
      <c r="AP443" s="615"/>
      <c r="AQ443" s="615"/>
      <c r="AR443" s="615"/>
      <c r="AS443" s="615"/>
      <c r="AT443" s="615"/>
      <c r="AU443" s="615"/>
      <c r="AV443" s="615"/>
      <c r="AW443" s="615"/>
      <c r="AX443" s="635"/>
      <c r="AY443" s="636"/>
      <c r="AZ443" s="615"/>
      <c r="BA443" s="615"/>
      <c r="BB443" s="615"/>
      <c r="BC443" s="615"/>
      <c r="BD443" s="615"/>
      <c r="BE443" s="615"/>
      <c r="BF443" s="615"/>
      <c r="BG443" s="615"/>
      <c r="BH443" s="615"/>
      <c r="BI443" s="615"/>
      <c r="BJ443" s="635"/>
      <c r="BK443" s="636"/>
      <c r="BL443" s="615"/>
      <c r="BM443" s="615"/>
      <c r="BN443" s="615"/>
      <c r="BO443" s="615"/>
      <c r="BP443" s="615"/>
      <c r="BQ443" s="615"/>
      <c r="BR443" s="615"/>
      <c r="BS443" s="615"/>
      <c r="BT443" s="615"/>
      <c r="BU443" s="615"/>
      <c r="BV443" s="637"/>
      <c r="BW443" s="669"/>
      <c r="BX443" s="615"/>
      <c r="BY443" s="615"/>
      <c r="BZ443" s="615"/>
      <c r="CA443" s="615"/>
      <c r="CB443" s="615"/>
      <c r="CC443" s="615"/>
      <c r="CD443" s="615"/>
      <c r="CE443" s="615"/>
      <c r="CF443" s="615"/>
      <c r="CG443" s="615"/>
      <c r="CH443" s="635"/>
      <c r="CI443" s="636"/>
      <c r="CJ443" s="615"/>
      <c r="CK443" s="615"/>
      <c r="CL443" s="615"/>
      <c r="CM443" s="615">
        <v>74</v>
      </c>
      <c r="CN443" s="615"/>
      <c r="CO443" s="615"/>
      <c r="CP443" s="615"/>
      <c r="CQ443" s="615"/>
      <c r="CR443" s="615"/>
      <c r="CS443" s="615"/>
      <c r="CT443" s="635"/>
      <c r="CU443" s="636"/>
      <c r="CV443" s="615"/>
      <c r="CW443" s="615"/>
      <c r="CX443" s="615"/>
      <c r="CY443" s="615"/>
      <c r="CZ443" s="615"/>
      <c r="DA443" s="615"/>
      <c r="DB443" s="615"/>
      <c r="DC443" s="615"/>
      <c r="DD443" s="615"/>
      <c r="DE443" s="615"/>
      <c r="DF443" s="635"/>
      <c r="DG443" s="636"/>
      <c r="DH443" s="615"/>
      <c r="DI443" s="615"/>
      <c r="DJ443" s="615"/>
      <c r="DK443" s="615"/>
      <c r="DL443" s="615"/>
      <c r="DM443" s="615"/>
      <c r="DN443" s="615"/>
      <c r="DO443" s="615"/>
      <c r="DP443" s="615"/>
      <c r="DQ443" s="615"/>
      <c r="DR443" s="635"/>
      <c r="DS443" s="636"/>
      <c r="DT443" s="615"/>
      <c r="DU443" s="615"/>
      <c r="DV443" s="615"/>
      <c r="DW443" s="615"/>
      <c r="DX443" s="615"/>
      <c r="DY443" s="615"/>
      <c r="DZ443" s="615"/>
      <c r="EA443" s="615"/>
      <c r="EB443" s="615"/>
      <c r="EC443" s="615"/>
      <c r="ED443" s="637"/>
      <c r="EE443" s="692"/>
    </row>
    <row r="444" spans="1:135" x14ac:dyDescent="0.25">
      <c r="A444" s="640" t="s">
        <v>11</v>
      </c>
      <c r="B444" s="367" t="s">
        <v>2627</v>
      </c>
      <c r="C444" s="367" t="s">
        <v>502</v>
      </c>
      <c r="D444" s="367" t="s">
        <v>2628</v>
      </c>
      <c r="E444" s="503" t="s">
        <v>2625</v>
      </c>
      <c r="F444" s="570">
        <v>44918</v>
      </c>
      <c r="G444" s="85" t="s">
        <v>58</v>
      </c>
      <c r="H444" s="85" t="s">
        <v>54</v>
      </c>
      <c r="I444" s="85" t="s">
        <v>358</v>
      </c>
      <c r="J444" s="675" t="s">
        <v>358</v>
      </c>
      <c r="K444" s="85" t="s">
        <v>358</v>
      </c>
      <c r="L444" s="85" t="s">
        <v>40</v>
      </c>
      <c r="M444" s="85" t="s">
        <v>3</v>
      </c>
      <c r="N444" s="668" t="s">
        <v>44</v>
      </c>
      <c r="O444" s="669"/>
      <c r="P444" s="615"/>
      <c r="Q444" s="615"/>
      <c r="R444" s="615"/>
      <c r="S444" s="615"/>
      <c r="T444" s="615"/>
      <c r="U444" s="615"/>
      <c r="V444" s="615"/>
      <c r="W444" s="615"/>
      <c r="X444" s="615"/>
      <c r="Y444" s="615"/>
      <c r="Z444" s="635"/>
      <c r="AA444" s="636"/>
      <c r="AB444" s="615"/>
      <c r="AC444" s="615"/>
      <c r="AD444" s="615"/>
      <c r="AE444" s="615"/>
      <c r="AF444" s="615"/>
      <c r="AG444" s="615"/>
      <c r="AH444" s="615"/>
      <c r="AI444" s="615"/>
      <c r="AJ444" s="615">
        <v>-5</v>
      </c>
      <c r="AK444" s="615">
        <v>-5</v>
      </c>
      <c r="AL444" s="635">
        <v>-5</v>
      </c>
      <c r="AM444" s="636"/>
      <c r="AN444" s="615"/>
      <c r="AO444" s="615"/>
      <c r="AP444" s="615"/>
      <c r="AQ444" s="615"/>
      <c r="AR444" s="615"/>
      <c r="AS444" s="615"/>
      <c r="AT444" s="615"/>
      <c r="AU444" s="615"/>
      <c r="AV444" s="615"/>
      <c r="AW444" s="615"/>
      <c r="AX444" s="635"/>
      <c r="AY444" s="636"/>
      <c r="AZ444" s="615"/>
      <c r="BA444" s="615"/>
      <c r="BB444" s="615"/>
      <c r="BC444" s="615"/>
      <c r="BD444" s="615"/>
      <c r="BE444" s="615"/>
      <c r="BF444" s="615"/>
      <c r="BG444" s="615"/>
      <c r="BH444" s="615"/>
      <c r="BI444" s="615"/>
      <c r="BJ444" s="635"/>
      <c r="BK444" s="636"/>
      <c r="BL444" s="615"/>
      <c r="BM444" s="615"/>
      <c r="BN444" s="615"/>
      <c r="BO444" s="615"/>
      <c r="BP444" s="615"/>
      <c r="BQ444" s="615"/>
      <c r="BR444" s="615"/>
      <c r="BS444" s="615"/>
      <c r="BT444" s="615"/>
      <c r="BU444" s="615"/>
      <c r="BV444" s="637"/>
      <c r="BW444" s="669"/>
      <c r="BX444" s="615"/>
      <c r="BY444" s="615"/>
      <c r="BZ444" s="615"/>
      <c r="CA444" s="615"/>
      <c r="CB444" s="615"/>
      <c r="CC444" s="615"/>
      <c r="CD444" s="615"/>
      <c r="CE444" s="615"/>
      <c r="CF444" s="615"/>
      <c r="CG444" s="615"/>
      <c r="CH444" s="635"/>
      <c r="CI444" s="636"/>
      <c r="CJ444" s="615"/>
      <c r="CK444" s="615"/>
      <c r="CL444" s="615"/>
      <c r="CM444" s="615"/>
      <c r="CN444" s="615"/>
      <c r="CO444" s="615"/>
      <c r="CP444" s="615"/>
      <c r="CQ444" s="615"/>
      <c r="CR444" s="615">
        <v>93</v>
      </c>
      <c r="CS444" s="615">
        <v>93</v>
      </c>
      <c r="CT444" s="635">
        <v>93</v>
      </c>
      <c r="CU444" s="636"/>
      <c r="CV444" s="615"/>
      <c r="CW444" s="615"/>
      <c r="CX444" s="615"/>
      <c r="CY444" s="615"/>
      <c r="CZ444" s="615"/>
      <c r="DA444" s="615"/>
      <c r="DB444" s="615"/>
      <c r="DC444" s="615"/>
      <c r="DD444" s="615"/>
      <c r="DE444" s="615"/>
      <c r="DF444" s="635"/>
      <c r="DG444" s="636"/>
      <c r="DH444" s="615"/>
      <c r="DI444" s="615"/>
      <c r="DJ444" s="615"/>
      <c r="DK444" s="615"/>
      <c r="DL444" s="615"/>
      <c r="DM444" s="615"/>
      <c r="DN444" s="615"/>
      <c r="DO444" s="615"/>
      <c r="DP444" s="615"/>
      <c r="DQ444" s="615"/>
      <c r="DR444" s="635"/>
      <c r="DS444" s="636"/>
      <c r="DT444" s="615"/>
      <c r="DU444" s="615"/>
      <c r="DV444" s="615"/>
      <c r="DW444" s="615"/>
      <c r="DX444" s="615"/>
      <c r="DY444" s="615"/>
      <c r="DZ444" s="615"/>
      <c r="EA444" s="615"/>
      <c r="EB444" s="615"/>
      <c r="EC444" s="615"/>
      <c r="ED444" s="637"/>
      <c r="EE444" s="692"/>
    </row>
    <row r="445" spans="1:135" x14ac:dyDescent="0.25">
      <c r="A445" s="640" t="s">
        <v>11</v>
      </c>
      <c r="B445" s="367" t="s">
        <v>2629</v>
      </c>
      <c r="C445" s="367" t="s">
        <v>502</v>
      </c>
      <c r="D445" s="367" t="s">
        <v>2630</v>
      </c>
      <c r="E445" s="503" t="s">
        <v>2626</v>
      </c>
      <c r="F445" s="570">
        <v>44918</v>
      </c>
      <c r="G445" s="85" t="s">
        <v>58</v>
      </c>
      <c r="H445" s="85" t="s">
        <v>54</v>
      </c>
      <c r="I445" s="85" t="s">
        <v>358</v>
      </c>
      <c r="J445" s="675" t="s">
        <v>358</v>
      </c>
      <c r="K445" s="85" t="s">
        <v>358</v>
      </c>
      <c r="L445" s="85" t="s">
        <v>40</v>
      </c>
      <c r="M445" s="85" t="s">
        <v>3</v>
      </c>
      <c r="N445" s="668" t="s">
        <v>44</v>
      </c>
      <c r="O445" s="669"/>
      <c r="P445" s="615"/>
      <c r="Q445" s="615"/>
      <c r="R445" s="615"/>
      <c r="S445" s="615"/>
      <c r="T445" s="615"/>
      <c r="U445" s="615"/>
      <c r="V445" s="615"/>
      <c r="W445" s="615"/>
      <c r="X445" s="615"/>
      <c r="Y445" s="615"/>
      <c r="Z445" s="635"/>
      <c r="AA445" s="636"/>
      <c r="AB445" s="615"/>
      <c r="AC445" s="615"/>
      <c r="AD445" s="615"/>
      <c r="AE445" s="615"/>
      <c r="AF445" s="615"/>
      <c r="AG445" s="615">
        <v>-2</v>
      </c>
      <c r="AH445" s="615">
        <v>-2</v>
      </c>
      <c r="AI445" s="615">
        <v>-2</v>
      </c>
      <c r="AJ445" s="615">
        <v>-2</v>
      </c>
      <c r="AK445" s="615">
        <v>-2</v>
      </c>
      <c r="AL445" s="635">
        <v>-2</v>
      </c>
      <c r="AM445" s="636"/>
      <c r="AN445" s="615"/>
      <c r="AO445" s="615"/>
      <c r="AP445" s="615"/>
      <c r="AQ445" s="615"/>
      <c r="AR445" s="615"/>
      <c r="AS445" s="615"/>
      <c r="AT445" s="615"/>
      <c r="AU445" s="615"/>
      <c r="AV445" s="615"/>
      <c r="AW445" s="615"/>
      <c r="AX445" s="635"/>
      <c r="AY445" s="636"/>
      <c r="AZ445" s="615"/>
      <c r="BA445" s="615"/>
      <c r="BB445" s="615"/>
      <c r="BC445" s="615"/>
      <c r="BD445" s="615"/>
      <c r="BE445" s="615"/>
      <c r="BF445" s="615"/>
      <c r="BG445" s="615"/>
      <c r="BH445" s="615"/>
      <c r="BI445" s="615"/>
      <c r="BJ445" s="635"/>
      <c r="BK445" s="636"/>
      <c r="BL445" s="615"/>
      <c r="BM445" s="615"/>
      <c r="BN445" s="615"/>
      <c r="BO445" s="615"/>
      <c r="BP445" s="615"/>
      <c r="BQ445" s="615"/>
      <c r="BR445" s="615"/>
      <c r="BS445" s="615"/>
      <c r="BT445" s="615"/>
      <c r="BU445" s="615"/>
      <c r="BV445" s="637"/>
      <c r="BW445" s="669"/>
      <c r="BX445" s="615"/>
      <c r="BY445" s="615"/>
      <c r="BZ445" s="615"/>
      <c r="CA445" s="615"/>
      <c r="CB445" s="615"/>
      <c r="CC445" s="615"/>
      <c r="CD445" s="615"/>
      <c r="CE445" s="615"/>
      <c r="CF445" s="615"/>
      <c r="CG445" s="615"/>
      <c r="CH445" s="635"/>
      <c r="CI445" s="636"/>
      <c r="CJ445" s="615"/>
      <c r="CK445" s="615"/>
      <c r="CL445" s="615"/>
      <c r="CM445" s="615"/>
      <c r="CN445" s="615"/>
      <c r="CO445" s="615">
        <v>91</v>
      </c>
      <c r="CP445" s="615">
        <v>91</v>
      </c>
      <c r="CQ445" s="615">
        <v>91</v>
      </c>
      <c r="CR445" s="615">
        <v>91</v>
      </c>
      <c r="CS445" s="615">
        <v>91</v>
      </c>
      <c r="CT445" s="635">
        <v>91</v>
      </c>
      <c r="CU445" s="636"/>
      <c r="CV445" s="615"/>
      <c r="CW445" s="615"/>
      <c r="CX445" s="615"/>
      <c r="CY445" s="615"/>
      <c r="CZ445" s="615"/>
      <c r="DA445" s="615"/>
      <c r="DB445" s="615"/>
      <c r="DC445" s="615"/>
      <c r="DD445" s="615"/>
      <c r="DE445" s="615"/>
      <c r="DF445" s="635"/>
      <c r="DG445" s="636"/>
      <c r="DH445" s="615"/>
      <c r="DI445" s="615"/>
      <c r="DJ445" s="615"/>
      <c r="DK445" s="615"/>
      <c r="DL445" s="615"/>
      <c r="DM445" s="615"/>
      <c r="DN445" s="615"/>
      <c r="DO445" s="615"/>
      <c r="DP445" s="615"/>
      <c r="DQ445" s="615"/>
      <c r="DR445" s="635"/>
      <c r="DS445" s="636"/>
      <c r="DT445" s="615"/>
      <c r="DU445" s="615"/>
      <c r="DV445" s="615"/>
      <c r="DW445" s="615"/>
      <c r="DX445" s="615"/>
      <c r="DY445" s="615"/>
      <c r="DZ445" s="615"/>
      <c r="EA445" s="615"/>
      <c r="EB445" s="615"/>
      <c r="EC445" s="615"/>
      <c r="ED445" s="637"/>
      <c r="EE445" s="692"/>
    </row>
    <row r="446" spans="1:135" x14ac:dyDescent="0.25">
      <c r="A446" s="640" t="s">
        <v>11</v>
      </c>
      <c r="B446" s="367" t="s">
        <v>2636</v>
      </c>
      <c r="C446" s="367" t="s">
        <v>346</v>
      </c>
      <c r="D446" s="367" t="s">
        <v>2637</v>
      </c>
      <c r="E446" s="503" t="s">
        <v>2632</v>
      </c>
      <c r="F446" s="570">
        <v>44921</v>
      </c>
      <c r="G446" s="85" t="s">
        <v>59</v>
      </c>
      <c r="H446" s="85" t="s">
        <v>54</v>
      </c>
      <c r="I446" s="85" t="s">
        <v>358</v>
      </c>
      <c r="J446" s="675" t="s">
        <v>358</v>
      </c>
      <c r="K446" s="85" t="s">
        <v>358</v>
      </c>
      <c r="L446" s="85" t="s">
        <v>40</v>
      </c>
      <c r="M446" s="85" t="s">
        <v>3</v>
      </c>
      <c r="N446" s="668" t="s">
        <v>44</v>
      </c>
      <c r="O446" s="669"/>
      <c r="P446" s="615"/>
      <c r="Q446" s="615"/>
      <c r="R446" s="615"/>
      <c r="S446" s="615"/>
      <c r="T446" s="615"/>
      <c r="U446" s="615"/>
      <c r="V446" s="615"/>
      <c r="W446" s="615"/>
      <c r="X446" s="615"/>
      <c r="Y446" s="615"/>
      <c r="Z446" s="635"/>
      <c r="AA446" s="636"/>
      <c r="AB446" s="615"/>
      <c r="AC446" s="615"/>
      <c r="AD446" s="615"/>
      <c r="AE446" s="615"/>
      <c r="AF446" s="615"/>
      <c r="AG446" s="615"/>
      <c r="AH446" s="615"/>
      <c r="AI446" s="615"/>
      <c r="AJ446" s="615">
        <v>5</v>
      </c>
      <c r="AK446" s="615">
        <v>5</v>
      </c>
      <c r="AL446" s="635">
        <v>5</v>
      </c>
      <c r="AM446" s="636"/>
      <c r="AN446" s="615"/>
      <c r="AO446" s="615"/>
      <c r="AP446" s="615"/>
      <c r="AQ446" s="615"/>
      <c r="AR446" s="615"/>
      <c r="AS446" s="615"/>
      <c r="AT446" s="615"/>
      <c r="AU446" s="615"/>
      <c r="AV446" s="615"/>
      <c r="AW446" s="615"/>
      <c r="AX446" s="635"/>
      <c r="AY446" s="636"/>
      <c r="AZ446" s="615"/>
      <c r="BA446" s="615"/>
      <c r="BB446" s="615"/>
      <c r="BC446" s="615"/>
      <c r="BD446" s="615"/>
      <c r="BE446" s="615"/>
      <c r="BF446" s="615"/>
      <c r="BG446" s="615"/>
      <c r="BH446" s="615"/>
      <c r="BI446" s="615"/>
      <c r="BJ446" s="635"/>
      <c r="BK446" s="636"/>
      <c r="BL446" s="615"/>
      <c r="BM446" s="615"/>
      <c r="BN446" s="615"/>
      <c r="BO446" s="615"/>
      <c r="BP446" s="615"/>
      <c r="BQ446" s="615"/>
      <c r="BR446" s="615"/>
      <c r="BS446" s="615"/>
      <c r="BT446" s="615"/>
      <c r="BU446" s="615"/>
      <c r="BV446" s="637"/>
      <c r="BW446" s="669"/>
      <c r="BX446" s="615"/>
      <c r="BY446" s="615"/>
      <c r="BZ446" s="615"/>
      <c r="CA446" s="615"/>
      <c r="CB446" s="615"/>
      <c r="CC446" s="615"/>
      <c r="CD446" s="615"/>
      <c r="CE446" s="615"/>
      <c r="CF446" s="615"/>
      <c r="CG446" s="615"/>
      <c r="CH446" s="635"/>
      <c r="CI446" s="636"/>
      <c r="CJ446" s="615"/>
      <c r="CK446" s="615"/>
      <c r="CL446" s="615"/>
      <c r="CM446" s="615"/>
      <c r="CN446" s="615"/>
      <c r="CO446" s="615"/>
      <c r="CP446" s="615"/>
      <c r="CQ446" s="615"/>
      <c r="CR446" s="615">
        <v>93</v>
      </c>
      <c r="CS446" s="615">
        <v>93</v>
      </c>
      <c r="CT446" s="635">
        <v>93</v>
      </c>
      <c r="CU446" s="636"/>
      <c r="CV446" s="615"/>
      <c r="CW446" s="615"/>
      <c r="CX446" s="615"/>
      <c r="CY446" s="615"/>
      <c r="CZ446" s="615"/>
      <c r="DA446" s="615"/>
      <c r="DB446" s="615"/>
      <c r="DC446" s="615"/>
      <c r="DD446" s="615"/>
      <c r="DE446" s="615"/>
      <c r="DF446" s="635"/>
      <c r="DG446" s="636"/>
      <c r="DH446" s="615"/>
      <c r="DI446" s="615"/>
      <c r="DJ446" s="615"/>
      <c r="DK446" s="615"/>
      <c r="DL446" s="615"/>
      <c r="DM446" s="615"/>
      <c r="DN446" s="615"/>
      <c r="DO446" s="615"/>
      <c r="DP446" s="615"/>
      <c r="DQ446" s="615"/>
      <c r="DR446" s="635"/>
      <c r="DS446" s="636"/>
      <c r="DT446" s="615"/>
      <c r="DU446" s="615"/>
      <c r="DV446" s="615"/>
      <c r="DW446" s="615"/>
      <c r="DX446" s="615"/>
      <c r="DY446" s="615"/>
      <c r="DZ446" s="615"/>
      <c r="EA446" s="615"/>
      <c r="EB446" s="615"/>
      <c r="EC446" s="615"/>
      <c r="ED446" s="637"/>
      <c r="EE446" s="692"/>
    </row>
    <row r="447" spans="1:135" x14ac:dyDescent="0.25">
      <c r="A447" s="640" t="s">
        <v>11</v>
      </c>
      <c r="B447" s="367" t="s">
        <v>2638</v>
      </c>
      <c r="C447" s="367" t="s">
        <v>2634</v>
      </c>
      <c r="D447" s="367" t="s">
        <v>2639</v>
      </c>
      <c r="E447" s="503" t="s">
        <v>2633</v>
      </c>
      <c r="F447" s="570">
        <v>44922</v>
      </c>
      <c r="G447" s="85" t="s">
        <v>58</v>
      </c>
      <c r="H447" s="85" t="s">
        <v>54</v>
      </c>
      <c r="I447" s="85" t="s">
        <v>358</v>
      </c>
      <c r="J447" s="675" t="s">
        <v>358</v>
      </c>
      <c r="K447" s="85" t="s">
        <v>358</v>
      </c>
      <c r="L447" s="85" t="s">
        <v>40</v>
      </c>
      <c r="M447" s="85" t="s">
        <v>3</v>
      </c>
      <c r="N447" s="668" t="s">
        <v>44</v>
      </c>
      <c r="O447" s="669"/>
      <c r="P447" s="615"/>
      <c r="Q447" s="615"/>
      <c r="R447" s="615"/>
      <c r="S447" s="615"/>
      <c r="T447" s="615"/>
      <c r="U447" s="615"/>
      <c r="V447" s="615"/>
      <c r="W447" s="615"/>
      <c r="X447" s="615"/>
      <c r="Y447" s="615"/>
      <c r="Z447" s="635"/>
      <c r="AA447" s="636"/>
      <c r="AB447" s="615"/>
      <c r="AC447" s="615"/>
      <c r="AD447" s="615"/>
      <c r="AE447" s="615"/>
      <c r="AF447" s="615"/>
      <c r="AG447" s="615"/>
      <c r="AH447" s="615"/>
      <c r="AI447" s="615"/>
      <c r="AJ447" s="615">
        <v>-5</v>
      </c>
      <c r="AK447" s="615">
        <v>-5</v>
      </c>
      <c r="AL447" s="635">
        <v>-5</v>
      </c>
      <c r="AM447" s="636"/>
      <c r="AN447" s="615"/>
      <c r="AO447" s="615"/>
      <c r="AP447" s="615"/>
      <c r="AQ447" s="615"/>
      <c r="AR447" s="615"/>
      <c r="AS447" s="615"/>
      <c r="AT447" s="615"/>
      <c r="AU447" s="615"/>
      <c r="AV447" s="615"/>
      <c r="AW447" s="615"/>
      <c r="AX447" s="635"/>
      <c r="AY447" s="636"/>
      <c r="AZ447" s="615"/>
      <c r="BA447" s="615"/>
      <c r="BB447" s="615"/>
      <c r="BC447" s="615"/>
      <c r="BD447" s="615"/>
      <c r="BE447" s="615"/>
      <c r="BF447" s="615"/>
      <c r="BG447" s="615"/>
      <c r="BH447" s="615"/>
      <c r="BI447" s="615"/>
      <c r="BJ447" s="635"/>
      <c r="BK447" s="636"/>
      <c r="BL447" s="615"/>
      <c r="BM447" s="615"/>
      <c r="BN447" s="615"/>
      <c r="BO447" s="615"/>
      <c r="BP447" s="615"/>
      <c r="BQ447" s="615"/>
      <c r="BR447" s="615"/>
      <c r="BS447" s="615"/>
      <c r="BT447" s="615"/>
      <c r="BU447" s="615"/>
      <c r="BV447" s="637"/>
      <c r="BW447" s="669"/>
      <c r="BX447" s="615"/>
      <c r="BY447" s="615"/>
      <c r="BZ447" s="615"/>
      <c r="CA447" s="615"/>
      <c r="CB447" s="615"/>
      <c r="CC447" s="615"/>
      <c r="CD447" s="615"/>
      <c r="CE447" s="615"/>
      <c r="CF447" s="615"/>
      <c r="CG447" s="615"/>
      <c r="CH447" s="635"/>
      <c r="CI447" s="636"/>
      <c r="CJ447" s="615"/>
      <c r="CK447" s="615"/>
      <c r="CL447" s="615"/>
      <c r="CM447" s="615"/>
      <c r="CN447" s="615"/>
      <c r="CO447" s="615"/>
      <c r="CP447" s="615"/>
      <c r="CQ447" s="615"/>
      <c r="CR447" s="615">
        <v>91</v>
      </c>
      <c r="CS447" s="615">
        <v>91</v>
      </c>
      <c r="CT447" s="635">
        <v>91</v>
      </c>
      <c r="CU447" s="636"/>
      <c r="CV447" s="615"/>
      <c r="CW447" s="615"/>
      <c r="CX447" s="615"/>
      <c r="CY447" s="615"/>
      <c r="CZ447" s="615"/>
      <c r="DA447" s="615"/>
      <c r="DB447" s="615"/>
      <c r="DC447" s="615"/>
      <c r="DD447" s="615"/>
      <c r="DE447" s="615"/>
      <c r="DF447" s="635"/>
      <c r="DG447" s="636"/>
      <c r="DH447" s="615"/>
      <c r="DI447" s="615"/>
      <c r="DJ447" s="615"/>
      <c r="DK447" s="615"/>
      <c r="DL447" s="615"/>
      <c r="DM447" s="615"/>
      <c r="DN447" s="615"/>
      <c r="DO447" s="615"/>
      <c r="DP447" s="615"/>
      <c r="DQ447" s="615"/>
      <c r="DR447" s="635"/>
      <c r="DS447" s="636"/>
      <c r="DT447" s="615"/>
      <c r="DU447" s="615"/>
      <c r="DV447" s="615"/>
      <c r="DW447" s="615"/>
      <c r="DX447" s="615"/>
      <c r="DY447" s="615"/>
      <c r="DZ447" s="615"/>
      <c r="EA447" s="615"/>
      <c r="EB447" s="615"/>
      <c r="EC447" s="615"/>
      <c r="ED447" s="637"/>
      <c r="EE447" s="692"/>
    </row>
    <row r="448" spans="1:135" x14ac:dyDescent="0.25">
      <c r="A448" s="640" t="s">
        <v>11</v>
      </c>
      <c r="B448" s="367" t="s">
        <v>2641</v>
      </c>
      <c r="C448" s="367" t="s">
        <v>465</v>
      </c>
      <c r="D448" s="367" t="s">
        <v>2642</v>
      </c>
      <c r="E448" s="503" t="s">
        <v>2640</v>
      </c>
      <c r="F448" s="570">
        <v>44923</v>
      </c>
      <c r="G448" s="85" t="s">
        <v>59</v>
      </c>
      <c r="H448" s="85" t="s">
        <v>54</v>
      </c>
      <c r="I448" s="85" t="s">
        <v>358</v>
      </c>
      <c r="J448" s="675" t="s">
        <v>358</v>
      </c>
      <c r="K448" s="85" t="s">
        <v>358</v>
      </c>
      <c r="L448" s="85" t="s">
        <v>40</v>
      </c>
      <c r="M448" s="85" t="s">
        <v>3</v>
      </c>
      <c r="N448" s="668" t="s">
        <v>44</v>
      </c>
      <c r="O448" s="669"/>
      <c r="P448" s="615"/>
      <c r="Q448" s="615"/>
      <c r="R448" s="615"/>
      <c r="S448" s="615"/>
      <c r="T448" s="615"/>
      <c r="U448" s="615"/>
      <c r="V448" s="615"/>
      <c r="W448" s="615"/>
      <c r="X448" s="615"/>
      <c r="Y448" s="615"/>
      <c r="Z448" s="635"/>
      <c r="AA448" s="636">
        <v>5</v>
      </c>
      <c r="AB448" s="615">
        <v>5</v>
      </c>
      <c r="AC448" s="615">
        <v>5</v>
      </c>
      <c r="AD448" s="615">
        <v>5</v>
      </c>
      <c r="AE448" s="615">
        <v>5</v>
      </c>
      <c r="AF448" s="615"/>
      <c r="AG448" s="615"/>
      <c r="AH448" s="615"/>
      <c r="AI448" s="615"/>
      <c r="AJ448" s="615"/>
      <c r="AK448" s="615"/>
      <c r="AL448" s="635"/>
      <c r="AM448" s="636"/>
      <c r="AN448" s="615"/>
      <c r="AO448" s="615"/>
      <c r="AP448" s="615"/>
      <c r="AQ448" s="615"/>
      <c r="AR448" s="615"/>
      <c r="AS448" s="615"/>
      <c r="AT448" s="615"/>
      <c r="AU448" s="615"/>
      <c r="AV448" s="615"/>
      <c r="AW448" s="615"/>
      <c r="AX448" s="635"/>
      <c r="AY448" s="636"/>
      <c r="AZ448" s="615"/>
      <c r="BA448" s="615"/>
      <c r="BB448" s="615"/>
      <c r="BC448" s="615"/>
      <c r="BD448" s="615"/>
      <c r="BE448" s="615"/>
      <c r="BF448" s="615"/>
      <c r="BG448" s="615"/>
      <c r="BH448" s="615"/>
      <c r="BI448" s="615"/>
      <c r="BJ448" s="635"/>
      <c r="BK448" s="636"/>
      <c r="BL448" s="615"/>
      <c r="BM448" s="615"/>
      <c r="BN448" s="615"/>
      <c r="BO448" s="615"/>
      <c r="BP448" s="615"/>
      <c r="BQ448" s="615"/>
      <c r="BR448" s="615"/>
      <c r="BS448" s="615"/>
      <c r="BT448" s="615"/>
      <c r="BU448" s="615"/>
      <c r="BV448" s="637"/>
      <c r="BW448" s="669"/>
      <c r="BX448" s="615"/>
      <c r="BY448" s="615"/>
      <c r="BZ448" s="615"/>
      <c r="CA448" s="615"/>
      <c r="CB448" s="615"/>
      <c r="CC448" s="615"/>
      <c r="CD448" s="615"/>
      <c r="CE448" s="615"/>
      <c r="CF448" s="615"/>
      <c r="CG448" s="615"/>
      <c r="CH448" s="635"/>
      <c r="CI448" s="636">
        <v>71</v>
      </c>
      <c r="CJ448" s="615">
        <v>71</v>
      </c>
      <c r="CK448" s="615">
        <v>71</v>
      </c>
      <c r="CL448" s="615">
        <v>71</v>
      </c>
      <c r="CM448" s="615">
        <v>71</v>
      </c>
      <c r="CN448" s="615"/>
      <c r="CO448" s="615"/>
      <c r="CP448" s="615"/>
      <c r="CQ448" s="615"/>
      <c r="CR448" s="615"/>
      <c r="CS448" s="615"/>
      <c r="CT448" s="635"/>
      <c r="CU448" s="636"/>
      <c r="CV448" s="615"/>
      <c r="CW448" s="615"/>
      <c r="CX448" s="615"/>
      <c r="CY448" s="615"/>
      <c r="CZ448" s="615"/>
      <c r="DA448" s="615"/>
      <c r="DB448" s="615"/>
      <c r="DC448" s="615"/>
      <c r="DD448" s="615"/>
      <c r="DE448" s="615"/>
      <c r="DF448" s="635"/>
      <c r="DG448" s="636"/>
      <c r="DH448" s="615"/>
      <c r="DI448" s="615"/>
      <c r="DJ448" s="615"/>
      <c r="DK448" s="615"/>
      <c r="DL448" s="615"/>
      <c r="DM448" s="615"/>
      <c r="DN448" s="615"/>
      <c r="DO448" s="615"/>
      <c r="DP448" s="615"/>
      <c r="DQ448" s="615"/>
      <c r="DR448" s="635"/>
      <c r="DS448" s="636"/>
      <c r="DT448" s="615"/>
      <c r="DU448" s="615"/>
      <c r="DV448" s="615"/>
      <c r="DW448" s="615"/>
      <c r="DX448" s="615"/>
      <c r="DY448" s="615"/>
      <c r="DZ448" s="615"/>
      <c r="EA448" s="615"/>
      <c r="EB448" s="615"/>
      <c r="EC448" s="615"/>
      <c r="ED448" s="637"/>
      <c r="EE448" s="692"/>
    </row>
    <row r="449" spans="1:135" x14ac:dyDescent="0.25">
      <c r="A449" s="640" t="s">
        <v>11</v>
      </c>
      <c r="B449" s="367" t="s">
        <v>2645</v>
      </c>
      <c r="C449" s="367" t="s">
        <v>465</v>
      </c>
      <c r="D449" s="367" t="s">
        <v>2646</v>
      </c>
      <c r="E449" s="503" t="s">
        <v>2643</v>
      </c>
      <c r="F449" s="570">
        <v>44924</v>
      </c>
      <c r="G449" s="85" t="s">
        <v>59</v>
      </c>
      <c r="H449" s="85" t="s">
        <v>54</v>
      </c>
      <c r="I449" s="85" t="s">
        <v>358</v>
      </c>
      <c r="J449" s="675" t="s">
        <v>358</v>
      </c>
      <c r="K449" s="85" t="s">
        <v>358</v>
      </c>
      <c r="L449" s="85" t="s">
        <v>40</v>
      </c>
      <c r="M449" s="85" t="s">
        <v>3</v>
      </c>
      <c r="N449" s="668" t="s">
        <v>44</v>
      </c>
      <c r="O449" s="669"/>
      <c r="P449" s="615"/>
      <c r="Q449" s="615"/>
      <c r="R449" s="615"/>
      <c r="S449" s="615"/>
      <c r="T449" s="615"/>
      <c r="U449" s="615"/>
      <c r="V449" s="615"/>
      <c r="W449" s="615"/>
      <c r="X449" s="615"/>
      <c r="Y449" s="615"/>
      <c r="Z449" s="635"/>
      <c r="AA449" s="636">
        <v>20</v>
      </c>
      <c r="AB449" s="615">
        <v>20</v>
      </c>
      <c r="AC449" s="615">
        <v>20</v>
      </c>
      <c r="AD449" s="615"/>
      <c r="AE449" s="615"/>
      <c r="AF449" s="615"/>
      <c r="AG449" s="615"/>
      <c r="AH449" s="615"/>
      <c r="AI449" s="615"/>
      <c r="AJ449" s="615"/>
      <c r="AK449" s="615"/>
      <c r="AL449" s="635"/>
      <c r="AM449" s="636"/>
      <c r="AN449" s="615"/>
      <c r="AO449" s="615"/>
      <c r="AP449" s="615"/>
      <c r="AQ449" s="615"/>
      <c r="AR449" s="615"/>
      <c r="AS449" s="615"/>
      <c r="AT449" s="615"/>
      <c r="AU449" s="615"/>
      <c r="AV449" s="615"/>
      <c r="AW449" s="615"/>
      <c r="AX449" s="635"/>
      <c r="AY449" s="636"/>
      <c r="AZ449" s="615"/>
      <c r="BA449" s="615"/>
      <c r="BB449" s="615"/>
      <c r="BC449" s="615"/>
      <c r="BD449" s="615"/>
      <c r="BE449" s="615"/>
      <c r="BF449" s="615"/>
      <c r="BG449" s="615"/>
      <c r="BH449" s="615"/>
      <c r="BI449" s="615"/>
      <c r="BJ449" s="635"/>
      <c r="BK449" s="636"/>
      <c r="BL449" s="615"/>
      <c r="BM449" s="615"/>
      <c r="BN449" s="615"/>
      <c r="BO449" s="615"/>
      <c r="BP449" s="615"/>
      <c r="BQ449" s="615"/>
      <c r="BR449" s="615"/>
      <c r="BS449" s="615"/>
      <c r="BT449" s="615"/>
      <c r="BU449" s="615"/>
      <c r="BV449" s="637"/>
      <c r="BW449" s="669"/>
      <c r="BX449" s="615"/>
      <c r="BY449" s="615"/>
      <c r="BZ449" s="615"/>
      <c r="CA449" s="615"/>
      <c r="CB449" s="615"/>
      <c r="CC449" s="615"/>
      <c r="CD449" s="615"/>
      <c r="CE449" s="615"/>
      <c r="CF449" s="615"/>
      <c r="CG449" s="615"/>
      <c r="CH449" s="635"/>
      <c r="CI449" s="636">
        <v>70</v>
      </c>
      <c r="CJ449" s="615">
        <v>70</v>
      </c>
      <c r="CK449" s="615">
        <v>70</v>
      </c>
      <c r="CL449" s="615"/>
      <c r="CM449" s="615"/>
      <c r="CN449" s="615"/>
      <c r="CO449" s="615"/>
      <c r="CP449" s="615"/>
      <c r="CQ449" s="615"/>
      <c r="CR449" s="615"/>
      <c r="CS449" s="615"/>
      <c r="CT449" s="635"/>
      <c r="CU449" s="636"/>
      <c r="CV449" s="615"/>
      <c r="CW449" s="615"/>
      <c r="CX449" s="615"/>
      <c r="CY449" s="615"/>
      <c r="CZ449" s="615"/>
      <c r="DA449" s="615"/>
      <c r="DB449" s="615"/>
      <c r="DC449" s="615"/>
      <c r="DD449" s="615"/>
      <c r="DE449" s="615"/>
      <c r="DF449" s="635"/>
      <c r="DG449" s="636"/>
      <c r="DH449" s="615"/>
      <c r="DI449" s="615"/>
      <c r="DJ449" s="615"/>
      <c r="DK449" s="615"/>
      <c r="DL449" s="615"/>
      <c r="DM449" s="615"/>
      <c r="DN449" s="615"/>
      <c r="DO449" s="615"/>
      <c r="DP449" s="615"/>
      <c r="DQ449" s="615"/>
      <c r="DR449" s="635"/>
      <c r="DS449" s="636"/>
      <c r="DT449" s="615"/>
      <c r="DU449" s="615"/>
      <c r="DV449" s="615"/>
      <c r="DW449" s="615"/>
      <c r="DX449" s="615"/>
      <c r="DY449" s="615"/>
      <c r="DZ449" s="615"/>
      <c r="EA449" s="615"/>
      <c r="EB449" s="615"/>
      <c r="EC449" s="615"/>
      <c r="ED449" s="637"/>
      <c r="EE449" s="692"/>
    </row>
    <row r="450" spans="1:135" x14ac:dyDescent="0.25">
      <c r="A450" s="640" t="s">
        <v>11</v>
      </c>
      <c r="B450" s="367" t="s">
        <v>2647</v>
      </c>
      <c r="C450" s="367" t="s">
        <v>465</v>
      </c>
      <c r="D450" s="367" t="s">
        <v>2648</v>
      </c>
      <c r="E450" s="503" t="s">
        <v>2644</v>
      </c>
      <c r="F450" s="570">
        <v>44924</v>
      </c>
      <c r="G450" s="85" t="s">
        <v>59</v>
      </c>
      <c r="H450" s="85" t="s">
        <v>54</v>
      </c>
      <c r="I450" s="85" t="s">
        <v>358</v>
      </c>
      <c r="J450" s="675" t="s">
        <v>358</v>
      </c>
      <c r="K450" s="85" t="s">
        <v>358</v>
      </c>
      <c r="L450" s="85" t="s">
        <v>40</v>
      </c>
      <c r="M450" s="85" t="s">
        <v>3</v>
      </c>
      <c r="N450" s="668" t="s">
        <v>44</v>
      </c>
      <c r="O450" s="669"/>
      <c r="P450" s="615"/>
      <c r="Q450" s="615"/>
      <c r="R450" s="615"/>
      <c r="S450" s="615"/>
      <c r="T450" s="615"/>
      <c r="U450" s="615"/>
      <c r="V450" s="615"/>
      <c r="W450" s="615"/>
      <c r="X450" s="615"/>
      <c r="Y450" s="615"/>
      <c r="Z450" s="635"/>
      <c r="AA450" s="636">
        <v>2</v>
      </c>
      <c r="AB450" s="615">
        <v>2</v>
      </c>
      <c r="AC450" s="615">
        <v>2</v>
      </c>
      <c r="AD450" s="615"/>
      <c r="AE450" s="615"/>
      <c r="AF450" s="615"/>
      <c r="AG450" s="615"/>
      <c r="AH450" s="615"/>
      <c r="AI450" s="615"/>
      <c r="AJ450" s="615"/>
      <c r="AK450" s="615"/>
      <c r="AL450" s="635"/>
      <c r="AM450" s="636"/>
      <c r="AN450" s="615"/>
      <c r="AO450" s="615"/>
      <c r="AP450" s="615"/>
      <c r="AQ450" s="615"/>
      <c r="AR450" s="615"/>
      <c r="AS450" s="615"/>
      <c r="AT450" s="615"/>
      <c r="AU450" s="615"/>
      <c r="AV450" s="615"/>
      <c r="AW450" s="615"/>
      <c r="AX450" s="635"/>
      <c r="AY450" s="636"/>
      <c r="AZ450" s="615"/>
      <c r="BA450" s="615"/>
      <c r="BB450" s="615"/>
      <c r="BC450" s="615"/>
      <c r="BD450" s="615"/>
      <c r="BE450" s="615"/>
      <c r="BF450" s="615"/>
      <c r="BG450" s="615"/>
      <c r="BH450" s="615"/>
      <c r="BI450" s="615"/>
      <c r="BJ450" s="635"/>
      <c r="BK450" s="636"/>
      <c r="BL450" s="615"/>
      <c r="BM450" s="615"/>
      <c r="BN450" s="615"/>
      <c r="BO450" s="615"/>
      <c r="BP450" s="615"/>
      <c r="BQ450" s="615"/>
      <c r="BR450" s="615"/>
      <c r="BS450" s="615"/>
      <c r="BT450" s="615"/>
      <c r="BU450" s="615"/>
      <c r="BV450" s="637"/>
      <c r="BW450" s="669"/>
      <c r="BX450" s="615"/>
      <c r="BY450" s="615"/>
      <c r="BZ450" s="615"/>
      <c r="CA450" s="615"/>
      <c r="CB450" s="615"/>
      <c r="CC450" s="615"/>
      <c r="CD450" s="615"/>
      <c r="CE450" s="615"/>
      <c r="CF450" s="615"/>
      <c r="CG450" s="615"/>
      <c r="CH450" s="635"/>
      <c r="CI450" s="636">
        <v>70</v>
      </c>
      <c r="CJ450" s="615">
        <v>70</v>
      </c>
      <c r="CK450" s="615">
        <v>70</v>
      </c>
      <c r="CL450" s="615"/>
      <c r="CM450" s="615"/>
      <c r="CN450" s="615"/>
      <c r="CO450" s="615"/>
      <c r="CP450" s="615"/>
      <c r="CQ450" s="615"/>
      <c r="CR450" s="615"/>
      <c r="CS450" s="615"/>
      <c r="CT450" s="635"/>
      <c r="CU450" s="636"/>
      <c r="CV450" s="615"/>
      <c r="CW450" s="615"/>
      <c r="CX450" s="615"/>
      <c r="CY450" s="615"/>
      <c r="CZ450" s="615"/>
      <c r="DA450" s="615"/>
      <c r="DB450" s="615"/>
      <c r="DC450" s="615"/>
      <c r="DD450" s="615"/>
      <c r="DE450" s="615"/>
      <c r="DF450" s="635"/>
      <c r="DG450" s="636"/>
      <c r="DH450" s="615"/>
      <c r="DI450" s="615"/>
      <c r="DJ450" s="615"/>
      <c r="DK450" s="615"/>
      <c r="DL450" s="615"/>
      <c r="DM450" s="615"/>
      <c r="DN450" s="615"/>
      <c r="DO450" s="615"/>
      <c r="DP450" s="615"/>
      <c r="DQ450" s="615"/>
      <c r="DR450" s="635"/>
      <c r="DS450" s="636"/>
      <c r="DT450" s="615"/>
      <c r="DU450" s="615"/>
      <c r="DV450" s="615"/>
      <c r="DW450" s="615"/>
      <c r="DX450" s="615"/>
      <c r="DY450" s="615"/>
      <c r="DZ450" s="615"/>
      <c r="EA450" s="615"/>
      <c r="EB450" s="615"/>
      <c r="EC450" s="615"/>
      <c r="ED450" s="637"/>
      <c r="EE450" s="692"/>
    </row>
    <row r="451" spans="1:135" x14ac:dyDescent="0.25">
      <c r="A451" s="640" t="s">
        <v>12</v>
      </c>
      <c r="B451" s="367" t="s">
        <v>2651</v>
      </c>
      <c r="C451" s="367" t="s">
        <v>2649</v>
      </c>
      <c r="D451" s="367" t="s">
        <v>2652</v>
      </c>
      <c r="E451" s="503" t="s">
        <v>2513</v>
      </c>
      <c r="F451" s="570">
        <v>44563</v>
      </c>
      <c r="G451" s="85" t="s">
        <v>59</v>
      </c>
      <c r="H451" s="85" t="s">
        <v>92</v>
      </c>
      <c r="I451" s="85" t="s">
        <v>358</v>
      </c>
      <c r="J451" s="675" t="s">
        <v>358</v>
      </c>
      <c r="K451" s="85" t="s">
        <v>358</v>
      </c>
      <c r="L451" s="85" t="s">
        <v>40</v>
      </c>
      <c r="M451" s="85" t="s">
        <v>6</v>
      </c>
      <c r="N451" s="668" t="s">
        <v>44</v>
      </c>
      <c r="O451" s="669"/>
      <c r="P451" s="615"/>
      <c r="Q451" s="615"/>
      <c r="R451" s="615"/>
      <c r="S451" s="615"/>
      <c r="T451" s="615"/>
      <c r="U451" s="615"/>
      <c r="V451" s="615"/>
      <c r="W451" s="615"/>
      <c r="X451" s="615"/>
      <c r="Y451" s="615"/>
      <c r="Z451" s="635">
        <v>1.915</v>
      </c>
      <c r="AA451" s="636"/>
      <c r="AB451" s="615"/>
      <c r="AC451" s="615"/>
      <c r="AD451" s="615"/>
      <c r="AE451" s="615"/>
      <c r="AF451" s="615"/>
      <c r="AG451" s="615"/>
      <c r="AH451" s="615"/>
      <c r="AI451" s="615"/>
      <c r="AJ451" s="615"/>
      <c r="AK451" s="615"/>
      <c r="AL451" s="635"/>
      <c r="AM451" s="636"/>
      <c r="AN451" s="615"/>
      <c r="AO451" s="615"/>
      <c r="AP451" s="615"/>
      <c r="AQ451" s="615"/>
      <c r="AR451" s="615"/>
      <c r="AS451" s="615"/>
      <c r="AT451" s="615"/>
      <c r="AU451" s="615"/>
      <c r="AV451" s="615"/>
      <c r="AW451" s="615"/>
      <c r="AX451" s="635"/>
      <c r="AY451" s="636"/>
      <c r="AZ451" s="615"/>
      <c r="BA451" s="615"/>
      <c r="BB451" s="615"/>
      <c r="BC451" s="615"/>
      <c r="BD451" s="615"/>
      <c r="BE451" s="615"/>
      <c r="BF451" s="615"/>
      <c r="BG451" s="615"/>
      <c r="BH451" s="615"/>
      <c r="BI451" s="615"/>
      <c r="BJ451" s="635"/>
      <c r="BK451" s="636"/>
      <c r="BL451" s="615"/>
      <c r="BM451" s="615"/>
      <c r="BN451" s="615"/>
      <c r="BO451" s="615"/>
      <c r="BP451" s="615"/>
      <c r="BQ451" s="615"/>
      <c r="BR451" s="615"/>
      <c r="BS451" s="615"/>
      <c r="BT451" s="615"/>
      <c r="BU451" s="615"/>
      <c r="BV451" s="637"/>
      <c r="BW451" s="669"/>
      <c r="BX451" s="615"/>
      <c r="BY451" s="615"/>
      <c r="BZ451" s="615"/>
      <c r="CA451" s="615"/>
      <c r="CB451" s="615"/>
      <c r="CC451" s="615"/>
      <c r="CD451" s="615"/>
      <c r="CE451" s="615"/>
      <c r="CF451" s="615"/>
      <c r="CG451" s="615"/>
      <c r="CH451" s="635">
        <v>205.2</v>
      </c>
      <c r="CI451" s="636"/>
      <c r="CJ451" s="615"/>
      <c r="CK451" s="615"/>
      <c r="CL451" s="615"/>
      <c r="CM451" s="615"/>
      <c r="CN451" s="615"/>
      <c r="CO451" s="615"/>
      <c r="CP451" s="615"/>
      <c r="CQ451" s="615"/>
      <c r="CR451" s="615"/>
      <c r="CS451" s="615"/>
      <c r="CT451" s="635"/>
      <c r="CU451" s="636"/>
      <c r="CV451" s="615"/>
      <c r="CW451" s="615"/>
      <c r="CX451" s="615"/>
      <c r="CY451" s="615"/>
      <c r="CZ451" s="615"/>
      <c r="DA451" s="615"/>
      <c r="DB451" s="615"/>
      <c r="DC451" s="615"/>
      <c r="DD451" s="615"/>
      <c r="DE451" s="615"/>
      <c r="DF451" s="635"/>
      <c r="DG451" s="636"/>
      <c r="DH451" s="615"/>
      <c r="DI451" s="615"/>
      <c r="DJ451" s="615"/>
      <c r="DK451" s="615"/>
      <c r="DL451" s="615"/>
      <c r="DM451" s="615"/>
      <c r="DN451" s="615"/>
      <c r="DO451" s="615"/>
      <c r="DP451" s="615"/>
      <c r="DQ451" s="615"/>
      <c r="DR451" s="635"/>
      <c r="DS451" s="636"/>
      <c r="DT451" s="615"/>
      <c r="DU451" s="615"/>
      <c r="DV451" s="615"/>
      <c r="DW451" s="615"/>
      <c r="DX451" s="615"/>
      <c r="DY451" s="615"/>
      <c r="DZ451" s="615"/>
      <c r="EA451" s="615"/>
      <c r="EB451" s="615"/>
      <c r="EC451" s="615"/>
      <c r="ED451" s="637"/>
      <c r="EE451" s="692"/>
    </row>
    <row r="452" spans="1:135" x14ac:dyDescent="0.25">
      <c r="A452" s="640" t="s">
        <v>12</v>
      </c>
      <c r="B452" s="367" t="s">
        <v>2656</v>
      </c>
      <c r="C452" s="367" t="s">
        <v>465</v>
      </c>
      <c r="D452" s="367" t="s">
        <v>2657</v>
      </c>
      <c r="E452" s="503" t="s">
        <v>2653</v>
      </c>
      <c r="F452" s="570">
        <v>44929</v>
      </c>
      <c r="G452" s="85" t="s">
        <v>59</v>
      </c>
      <c r="H452" s="85" t="s">
        <v>92</v>
      </c>
      <c r="I452" s="85" t="s">
        <v>358</v>
      </c>
      <c r="J452" s="675" t="s">
        <v>358</v>
      </c>
      <c r="K452" s="85" t="s">
        <v>358</v>
      </c>
      <c r="L452" s="85" t="s">
        <v>40</v>
      </c>
      <c r="M452" s="85" t="s">
        <v>6</v>
      </c>
      <c r="N452" s="668" t="s">
        <v>44</v>
      </c>
      <c r="O452" s="669"/>
      <c r="P452" s="615"/>
      <c r="Q452" s="615"/>
      <c r="R452" s="615"/>
      <c r="S452" s="615"/>
      <c r="T452" s="615"/>
      <c r="U452" s="615"/>
      <c r="V452" s="615"/>
      <c r="W452" s="615"/>
      <c r="X452" s="615"/>
      <c r="Y452" s="615"/>
      <c r="Z452" s="635">
        <v>1.885</v>
      </c>
      <c r="AA452" s="636"/>
      <c r="AB452" s="615"/>
      <c r="AC452" s="615"/>
      <c r="AD452" s="615"/>
      <c r="AE452" s="615"/>
      <c r="AF452" s="615"/>
      <c r="AG452" s="615"/>
      <c r="AH452" s="615"/>
      <c r="AI452" s="615"/>
      <c r="AJ452" s="615"/>
      <c r="AK452" s="615"/>
      <c r="AL452" s="635"/>
      <c r="AM452" s="636"/>
      <c r="AN452" s="615"/>
      <c r="AO452" s="615"/>
      <c r="AP452" s="615"/>
      <c r="AQ452" s="615"/>
      <c r="AR452" s="615"/>
      <c r="AS452" s="615"/>
      <c r="AT452" s="615"/>
      <c r="AU452" s="615"/>
      <c r="AV452" s="615"/>
      <c r="AW452" s="615"/>
      <c r="AX452" s="635"/>
      <c r="AY452" s="636"/>
      <c r="AZ452" s="615"/>
      <c r="BA452" s="615"/>
      <c r="BB452" s="615"/>
      <c r="BC452" s="615"/>
      <c r="BD452" s="615"/>
      <c r="BE452" s="615"/>
      <c r="BF452" s="615"/>
      <c r="BG452" s="615"/>
      <c r="BH452" s="615"/>
      <c r="BI452" s="615"/>
      <c r="BJ452" s="635"/>
      <c r="BK452" s="636"/>
      <c r="BL452" s="615"/>
      <c r="BM452" s="615"/>
      <c r="BN452" s="615"/>
      <c r="BO452" s="615"/>
      <c r="BP452" s="615"/>
      <c r="BQ452" s="615"/>
      <c r="BR452" s="615"/>
      <c r="BS452" s="615"/>
      <c r="BT452" s="615"/>
      <c r="BU452" s="615"/>
      <c r="BV452" s="637"/>
      <c r="BW452" s="669"/>
      <c r="BX452" s="615"/>
      <c r="BY452" s="615"/>
      <c r="BZ452" s="615"/>
      <c r="CA452" s="615"/>
      <c r="CB452" s="615"/>
      <c r="CC452" s="615"/>
      <c r="CD452" s="615"/>
      <c r="CE452" s="615"/>
      <c r="CF452" s="615"/>
      <c r="CG452" s="615"/>
      <c r="CH452" s="635">
        <v>205.7</v>
      </c>
      <c r="CI452" s="636"/>
      <c r="CJ452" s="615"/>
      <c r="CK452" s="615"/>
      <c r="CL452" s="615"/>
      <c r="CM452" s="615"/>
      <c r="CN452" s="615"/>
      <c r="CO452" s="615"/>
      <c r="CP452" s="615"/>
      <c r="CQ452" s="615"/>
      <c r="CR452" s="615"/>
      <c r="CS452" s="615"/>
      <c r="CT452" s="635"/>
      <c r="CU452" s="636"/>
      <c r="CV452" s="615"/>
      <c r="CW452" s="615"/>
      <c r="CX452" s="615"/>
      <c r="CY452" s="615"/>
      <c r="CZ452" s="615"/>
      <c r="DA452" s="615"/>
      <c r="DB452" s="615"/>
      <c r="DC452" s="615"/>
      <c r="DD452" s="615"/>
      <c r="DE452" s="615"/>
      <c r="DF452" s="635"/>
      <c r="DG452" s="636"/>
      <c r="DH452" s="615"/>
      <c r="DI452" s="615"/>
      <c r="DJ452" s="615"/>
      <c r="DK452" s="615"/>
      <c r="DL452" s="615"/>
      <c r="DM452" s="615"/>
      <c r="DN452" s="615"/>
      <c r="DO452" s="615"/>
      <c r="DP452" s="615"/>
      <c r="DQ452" s="615"/>
      <c r="DR452" s="635"/>
      <c r="DS452" s="636"/>
      <c r="DT452" s="615"/>
      <c r="DU452" s="615"/>
      <c r="DV452" s="615"/>
      <c r="DW452" s="615"/>
      <c r="DX452" s="615"/>
      <c r="DY452" s="615"/>
      <c r="DZ452" s="615"/>
      <c r="EA452" s="615"/>
      <c r="EB452" s="615"/>
      <c r="EC452" s="615"/>
      <c r="ED452" s="637"/>
      <c r="EE452" s="692"/>
    </row>
    <row r="453" spans="1:135" x14ac:dyDescent="0.25">
      <c r="A453" s="640" t="s">
        <v>12</v>
      </c>
      <c r="B453" s="367" t="s">
        <v>2659</v>
      </c>
      <c r="C453" s="367" t="s">
        <v>348</v>
      </c>
      <c r="D453" s="367" t="s">
        <v>2660</v>
      </c>
      <c r="E453" s="503" t="s">
        <v>2655</v>
      </c>
      <c r="F453" s="570">
        <v>44929</v>
      </c>
      <c r="G453" s="85" t="s">
        <v>59</v>
      </c>
      <c r="H453" s="85" t="s">
        <v>92</v>
      </c>
      <c r="I453" s="85" t="s">
        <v>358</v>
      </c>
      <c r="J453" s="675" t="s">
        <v>358</v>
      </c>
      <c r="K453" s="85" t="s">
        <v>358</v>
      </c>
      <c r="L453" s="85" t="s">
        <v>40</v>
      </c>
      <c r="M453" s="85" t="s">
        <v>6</v>
      </c>
      <c r="N453" s="668" t="s">
        <v>44</v>
      </c>
      <c r="O453" s="669"/>
      <c r="P453" s="615"/>
      <c r="Q453" s="615"/>
      <c r="R453" s="615"/>
      <c r="S453" s="615"/>
      <c r="T453" s="615"/>
      <c r="U453" s="615"/>
      <c r="V453" s="615"/>
      <c r="W453" s="615"/>
      <c r="X453" s="615"/>
      <c r="Y453" s="615"/>
      <c r="Z453" s="635">
        <v>1.2</v>
      </c>
      <c r="AA453" s="636"/>
      <c r="AB453" s="615"/>
      <c r="AC453" s="615"/>
      <c r="AD453" s="615"/>
      <c r="AE453" s="615"/>
      <c r="AF453" s="615"/>
      <c r="AG453" s="615"/>
      <c r="AH453" s="615"/>
      <c r="AI453" s="615"/>
      <c r="AJ453" s="615"/>
      <c r="AK453" s="615"/>
      <c r="AL453" s="635"/>
      <c r="AM453" s="636"/>
      <c r="AN453" s="615"/>
      <c r="AO453" s="615"/>
      <c r="AP453" s="615"/>
      <c r="AQ453" s="615"/>
      <c r="AR453" s="615"/>
      <c r="AS453" s="615"/>
      <c r="AT453" s="615"/>
      <c r="AU453" s="615"/>
      <c r="AV453" s="615"/>
      <c r="AW453" s="615"/>
      <c r="AX453" s="635"/>
      <c r="AY453" s="636"/>
      <c r="AZ453" s="615"/>
      <c r="BA453" s="615"/>
      <c r="BB453" s="615"/>
      <c r="BC453" s="615"/>
      <c r="BD453" s="615"/>
      <c r="BE453" s="615"/>
      <c r="BF453" s="615"/>
      <c r="BG453" s="615"/>
      <c r="BH453" s="615"/>
      <c r="BI453" s="615"/>
      <c r="BJ453" s="635"/>
      <c r="BK453" s="636"/>
      <c r="BL453" s="615"/>
      <c r="BM453" s="615"/>
      <c r="BN453" s="615"/>
      <c r="BO453" s="615"/>
      <c r="BP453" s="615"/>
      <c r="BQ453" s="615"/>
      <c r="BR453" s="615"/>
      <c r="BS453" s="615"/>
      <c r="BT453" s="615"/>
      <c r="BU453" s="615"/>
      <c r="BV453" s="637"/>
      <c r="BW453" s="669"/>
      <c r="BX453" s="615"/>
      <c r="BY453" s="615"/>
      <c r="BZ453" s="615"/>
      <c r="CA453" s="615"/>
      <c r="CB453" s="615"/>
      <c r="CC453" s="615"/>
      <c r="CD453" s="615"/>
      <c r="CE453" s="615"/>
      <c r="CF453" s="615"/>
      <c r="CG453" s="615"/>
      <c r="CH453" s="635">
        <v>205.7</v>
      </c>
      <c r="CI453" s="636"/>
      <c r="CJ453" s="615"/>
      <c r="CK453" s="615"/>
      <c r="CL453" s="615"/>
      <c r="CM453" s="615"/>
      <c r="CN453" s="615"/>
      <c r="CO453" s="615"/>
      <c r="CP453" s="615"/>
      <c r="CQ453" s="615"/>
      <c r="CR453" s="615"/>
      <c r="CS453" s="615"/>
      <c r="CT453" s="635"/>
      <c r="CU453" s="636"/>
      <c r="CV453" s="615"/>
      <c r="CW453" s="615"/>
      <c r="CX453" s="615"/>
      <c r="CY453" s="615"/>
      <c r="CZ453" s="615"/>
      <c r="DA453" s="615"/>
      <c r="DB453" s="615"/>
      <c r="DC453" s="615"/>
      <c r="DD453" s="615"/>
      <c r="DE453" s="615"/>
      <c r="DF453" s="635"/>
      <c r="DG453" s="636"/>
      <c r="DH453" s="615"/>
      <c r="DI453" s="615"/>
      <c r="DJ453" s="615"/>
      <c r="DK453" s="615"/>
      <c r="DL453" s="615"/>
      <c r="DM453" s="615"/>
      <c r="DN453" s="615"/>
      <c r="DO453" s="615"/>
      <c r="DP453" s="615"/>
      <c r="DQ453" s="615"/>
      <c r="DR453" s="635"/>
      <c r="DS453" s="636"/>
      <c r="DT453" s="615"/>
      <c r="DU453" s="615"/>
      <c r="DV453" s="615"/>
      <c r="DW453" s="615"/>
      <c r="DX453" s="615"/>
      <c r="DY453" s="615"/>
      <c r="DZ453" s="615"/>
      <c r="EA453" s="615"/>
      <c r="EB453" s="615"/>
      <c r="EC453" s="615"/>
      <c r="ED453" s="637"/>
      <c r="EE453" s="692"/>
    </row>
    <row r="454" spans="1:135" x14ac:dyDescent="0.25">
      <c r="A454" s="640" t="s">
        <v>12</v>
      </c>
      <c r="B454" s="367" t="s">
        <v>2661</v>
      </c>
      <c r="C454" s="367" t="s">
        <v>590</v>
      </c>
      <c r="D454" s="367" t="s">
        <v>2662</v>
      </c>
      <c r="E454" s="503" t="s">
        <v>2513</v>
      </c>
      <c r="F454" s="570">
        <v>44929</v>
      </c>
      <c r="G454" s="85" t="s">
        <v>59</v>
      </c>
      <c r="H454" s="85" t="s">
        <v>92</v>
      </c>
      <c r="I454" s="85" t="s">
        <v>358</v>
      </c>
      <c r="J454" s="675" t="s">
        <v>358</v>
      </c>
      <c r="K454" s="85" t="s">
        <v>358</v>
      </c>
      <c r="L454" s="85" t="s">
        <v>40</v>
      </c>
      <c r="M454" s="85" t="s">
        <v>6</v>
      </c>
      <c r="N454" s="668" t="s">
        <v>44</v>
      </c>
      <c r="O454" s="669"/>
      <c r="P454" s="615"/>
      <c r="Q454" s="615"/>
      <c r="R454" s="615"/>
      <c r="S454" s="615"/>
      <c r="T454" s="615"/>
      <c r="U454" s="615"/>
      <c r="V454" s="615"/>
      <c r="W454" s="615"/>
      <c r="X454" s="615"/>
      <c r="Y454" s="615"/>
      <c r="Z454" s="635">
        <v>5</v>
      </c>
      <c r="AA454" s="636"/>
      <c r="AB454" s="615"/>
      <c r="AC454" s="615"/>
      <c r="AD454" s="615"/>
      <c r="AE454" s="615"/>
      <c r="AF454" s="615"/>
      <c r="AG454" s="615"/>
      <c r="AH454" s="615"/>
      <c r="AI454" s="615"/>
      <c r="AJ454" s="615"/>
      <c r="AK454" s="615"/>
      <c r="AL454" s="635"/>
      <c r="AM454" s="636"/>
      <c r="AN454" s="615"/>
      <c r="AO454" s="615"/>
      <c r="AP454" s="615"/>
      <c r="AQ454" s="615"/>
      <c r="AR454" s="615"/>
      <c r="AS454" s="615"/>
      <c r="AT454" s="615"/>
      <c r="AU454" s="615"/>
      <c r="AV454" s="615"/>
      <c r="AW454" s="615"/>
      <c r="AX454" s="635"/>
      <c r="AY454" s="636"/>
      <c r="AZ454" s="615"/>
      <c r="BA454" s="615"/>
      <c r="BB454" s="615"/>
      <c r="BC454" s="615"/>
      <c r="BD454" s="615"/>
      <c r="BE454" s="615"/>
      <c r="BF454" s="615"/>
      <c r="BG454" s="615"/>
      <c r="BH454" s="615"/>
      <c r="BI454" s="615"/>
      <c r="BJ454" s="635"/>
      <c r="BK454" s="636"/>
      <c r="BL454" s="615"/>
      <c r="BM454" s="615"/>
      <c r="BN454" s="615"/>
      <c r="BO454" s="615"/>
      <c r="BP454" s="615"/>
      <c r="BQ454" s="615"/>
      <c r="BR454" s="615"/>
      <c r="BS454" s="615"/>
      <c r="BT454" s="615"/>
      <c r="BU454" s="615"/>
      <c r="BV454" s="637"/>
      <c r="BW454" s="669"/>
      <c r="BX454" s="615"/>
      <c r="BY454" s="615"/>
      <c r="BZ454" s="615"/>
      <c r="CA454" s="615"/>
      <c r="CB454" s="615"/>
      <c r="CC454" s="615"/>
      <c r="CD454" s="615"/>
      <c r="CE454" s="615"/>
      <c r="CF454" s="615"/>
      <c r="CG454" s="615"/>
      <c r="CH454" s="635">
        <v>205.2</v>
      </c>
      <c r="CI454" s="636"/>
      <c r="CJ454" s="615"/>
      <c r="CK454" s="615"/>
      <c r="CL454" s="615"/>
      <c r="CM454" s="615"/>
      <c r="CN454" s="615"/>
      <c r="CO454" s="615"/>
      <c r="CP454" s="615"/>
      <c r="CQ454" s="615"/>
      <c r="CR454" s="615"/>
      <c r="CS454" s="615"/>
      <c r="CT454" s="635"/>
      <c r="CU454" s="636"/>
      <c r="CV454" s="615"/>
      <c r="CW454" s="615"/>
      <c r="CX454" s="615"/>
      <c r="CY454" s="615"/>
      <c r="CZ454" s="615"/>
      <c r="DA454" s="615"/>
      <c r="DB454" s="615"/>
      <c r="DC454" s="615"/>
      <c r="DD454" s="615"/>
      <c r="DE454" s="615"/>
      <c r="DF454" s="635"/>
      <c r="DG454" s="636"/>
      <c r="DH454" s="615"/>
      <c r="DI454" s="615"/>
      <c r="DJ454" s="615"/>
      <c r="DK454" s="615"/>
      <c r="DL454" s="615"/>
      <c r="DM454" s="615"/>
      <c r="DN454" s="615"/>
      <c r="DO454" s="615"/>
      <c r="DP454" s="615"/>
      <c r="DQ454" s="615"/>
      <c r="DR454" s="635"/>
      <c r="DS454" s="636"/>
      <c r="DT454" s="615"/>
      <c r="DU454" s="615"/>
      <c r="DV454" s="615"/>
      <c r="DW454" s="615"/>
      <c r="DX454" s="615"/>
      <c r="DY454" s="615"/>
      <c r="DZ454" s="615"/>
      <c r="EA454" s="615"/>
      <c r="EB454" s="615"/>
      <c r="EC454" s="615"/>
      <c r="ED454" s="637"/>
      <c r="EE454" s="692"/>
    </row>
    <row r="455" spans="1:135" x14ac:dyDescent="0.25">
      <c r="A455" s="640" t="s">
        <v>11</v>
      </c>
      <c r="B455" s="367" t="s">
        <v>2668</v>
      </c>
      <c r="C455" s="367" t="s">
        <v>1195</v>
      </c>
      <c r="D455" s="367" t="s">
        <v>2669</v>
      </c>
      <c r="E455" s="503" t="s">
        <v>2663</v>
      </c>
      <c r="F455" s="570">
        <v>44930</v>
      </c>
      <c r="G455" s="85" t="s">
        <v>59</v>
      </c>
      <c r="H455" s="85" t="s">
        <v>54</v>
      </c>
      <c r="I455" s="85" t="s">
        <v>358</v>
      </c>
      <c r="J455" s="675" t="s">
        <v>358</v>
      </c>
      <c r="K455" s="85" t="s">
        <v>358</v>
      </c>
      <c r="L455" s="85" t="s">
        <v>40</v>
      </c>
      <c r="M455" s="85" t="s">
        <v>3</v>
      </c>
      <c r="N455" s="668" t="s">
        <v>44</v>
      </c>
      <c r="O455" s="669"/>
      <c r="P455" s="615"/>
      <c r="Q455" s="615"/>
      <c r="R455" s="615"/>
      <c r="S455" s="615"/>
      <c r="T455" s="615"/>
      <c r="U455" s="615"/>
      <c r="V455" s="615"/>
      <c r="W455" s="615"/>
      <c r="X455" s="615"/>
      <c r="Y455" s="615"/>
      <c r="Z455" s="635"/>
      <c r="AA455" s="636">
        <v>10</v>
      </c>
      <c r="AB455" s="615">
        <v>10</v>
      </c>
      <c r="AC455" s="615">
        <v>10</v>
      </c>
      <c r="AD455" s="615"/>
      <c r="AE455" s="615"/>
      <c r="AF455" s="615"/>
      <c r="AG455" s="615"/>
      <c r="AH455" s="615"/>
      <c r="AI455" s="615"/>
      <c r="AJ455" s="615"/>
      <c r="AK455" s="615"/>
      <c r="AL455" s="635"/>
      <c r="AM455" s="636"/>
      <c r="AN455" s="615"/>
      <c r="AO455" s="615"/>
      <c r="AP455" s="615"/>
      <c r="AQ455" s="615"/>
      <c r="AR455" s="615"/>
      <c r="AS455" s="615"/>
      <c r="AT455" s="615"/>
      <c r="AU455" s="615"/>
      <c r="AV455" s="615"/>
      <c r="AW455" s="615"/>
      <c r="AX455" s="635"/>
      <c r="AY455" s="636"/>
      <c r="AZ455" s="615"/>
      <c r="BA455" s="615"/>
      <c r="BB455" s="615"/>
      <c r="BC455" s="615"/>
      <c r="BD455" s="615"/>
      <c r="BE455" s="615"/>
      <c r="BF455" s="615"/>
      <c r="BG455" s="615"/>
      <c r="BH455" s="615"/>
      <c r="BI455" s="615"/>
      <c r="BJ455" s="635"/>
      <c r="BK455" s="636"/>
      <c r="BL455" s="615"/>
      <c r="BM455" s="615"/>
      <c r="BN455" s="615"/>
      <c r="BO455" s="615"/>
      <c r="BP455" s="615"/>
      <c r="BQ455" s="615"/>
      <c r="BR455" s="615"/>
      <c r="BS455" s="615"/>
      <c r="BT455" s="615"/>
      <c r="BU455" s="615"/>
      <c r="BV455" s="637"/>
      <c r="BW455" s="669"/>
      <c r="BX455" s="615"/>
      <c r="BY455" s="615"/>
      <c r="BZ455" s="615"/>
      <c r="CA455" s="615"/>
      <c r="CB455" s="615"/>
      <c r="CC455" s="615"/>
      <c r="CD455" s="615"/>
      <c r="CE455" s="615"/>
      <c r="CF455" s="615"/>
      <c r="CG455" s="615"/>
      <c r="CH455" s="635"/>
      <c r="CI455" s="636">
        <v>69.5</v>
      </c>
      <c r="CJ455" s="615">
        <v>69.5</v>
      </c>
      <c r="CK455" s="615">
        <v>69.5</v>
      </c>
      <c r="CL455" s="615"/>
      <c r="CM455" s="615"/>
      <c r="CN455" s="615"/>
      <c r="CO455" s="615"/>
      <c r="CP455" s="615"/>
      <c r="CQ455" s="615"/>
      <c r="CR455" s="615"/>
      <c r="CS455" s="615"/>
      <c r="CT455" s="635"/>
      <c r="CU455" s="636"/>
      <c r="CV455" s="615"/>
      <c r="CW455" s="615"/>
      <c r="CX455" s="615"/>
      <c r="CY455" s="615"/>
      <c r="CZ455" s="615"/>
      <c r="DA455" s="615"/>
      <c r="DB455" s="615"/>
      <c r="DC455" s="615"/>
      <c r="DD455" s="615"/>
      <c r="DE455" s="615"/>
      <c r="DF455" s="635"/>
      <c r="DG455" s="636"/>
      <c r="DH455" s="615"/>
      <c r="DI455" s="615"/>
      <c r="DJ455" s="615"/>
      <c r="DK455" s="615"/>
      <c r="DL455" s="615"/>
      <c r="DM455" s="615"/>
      <c r="DN455" s="615"/>
      <c r="DO455" s="615"/>
      <c r="DP455" s="615"/>
      <c r="DQ455" s="615"/>
      <c r="DR455" s="635"/>
      <c r="DS455" s="636"/>
      <c r="DT455" s="615"/>
      <c r="DU455" s="615"/>
      <c r="DV455" s="615"/>
      <c r="DW455" s="615"/>
      <c r="DX455" s="615"/>
      <c r="DY455" s="615"/>
      <c r="DZ455" s="615"/>
      <c r="EA455" s="615"/>
      <c r="EB455" s="615"/>
      <c r="EC455" s="615"/>
      <c r="ED455" s="637"/>
      <c r="EE455" s="692"/>
    </row>
    <row r="456" spans="1:135" x14ac:dyDescent="0.25">
      <c r="A456" s="640" t="s">
        <v>11</v>
      </c>
      <c r="B456" s="367" t="s">
        <v>2670</v>
      </c>
      <c r="C456" s="367" t="s">
        <v>1854</v>
      </c>
      <c r="D456" s="367" t="s">
        <v>2671</v>
      </c>
      <c r="E456" s="503" t="s">
        <v>2664</v>
      </c>
      <c r="F456" s="570">
        <v>44930</v>
      </c>
      <c r="G456" s="85" t="s">
        <v>59</v>
      </c>
      <c r="H456" s="85" t="s">
        <v>54</v>
      </c>
      <c r="I456" s="85" t="s">
        <v>358</v>
      </c>
      <c r="J456" s="675" t="s">
        <v>358</v>
      </c>
      <c r="K456" s="85" t="s">
        <v>358</v>
      </c>
      <c r="L456" s="85" t="s">
        <v>40</v>
      </c>
      <c r="M456" s="85" t="s">
        <v>3</v>
      </c>
      <c r="N456" s="668" t="s">
        <v>44</v>
      </c>
      <c r="O456" s="669"/>
      <c r="P456" s="615"/>
      <c r="Q456" s="615"/>
      <c r="R456" s="615"/>
      <c r="S456" s="615"/>
      <c r="T456" s="615"/>
      <c r="U456" s="615"/>
      <c r="V456" s="615"/>
      <c r="W456" s="615"/>
      <c r="X456" s="615"/>
      <c r="Y456" s="615"/>
      <c r="Z456" s="635"/>
      <c r="AA456" s="636">
        <v>10</v>
      </c>
      <c r="AB456" s="615">
        <v>10</v>
      </c>
      <c r="AC456" s="615">
        <v>10</v>
      </c>
      <c r="AD456" s="615"/>
      <c r="AE456" s="615"/>
      <c r="AF456" s="615"/>
      <c r="AG456" s="615"/>
      <c r="AH456" s="615"/>
      <c r="AI456" s="615"/>
      <c r="AJ456" s="615"/>
      <c r="AK456" s="615"/>
      <c r="AL456" s="635"/>
      <c r="AM456" s="636"/>
      <c r="AN456" s="615"/>
      <c r="AO456" s="615"/>
      <c r="AP456" s="615"/>
      <c r="AQ456" s="615"/>
      <c r="AR456" s="615"/>
      <c r="AS456" s="615"/>
      <c r="AT456" s="615"/>
      <c r="AU456" s="615"/>
      <c r="AV456" s="615"/>
      <c r="AW456" s="615"/>
      <c r="AX456" s="635"/>
      <c r="AY456" s="636"/>
      <c r="AZ456" s="615"/>
      <c r="BA456" s="615"/>
      <c r="BB456" s="615"/>
      <c r="BC456" s="615"/>
      <c r="BD456" s="615"/>
      <c r="BE456" s="615"/>
      <c r="BF456" s="615"/>
      <c r="BG456" s="615"/>
      <c r="BH456" s="615"/>
      <c r="BI456" s="615"/>
      <c r="BJ456" s="635"/>
      <c r="BK456" s="636"/>
      <c r="BL456" s="615"/>
      <c r="BM456" s="615"/>
      <c r="BN456" s="615"/>
      <c r="BO456" s="615"/>
      <c r="BP456" s="615"/>
      <c r="BQ456" s="615"/>
      <c r="BR456" s="615"/>
      <c r="BS456" s="615"/>
      <c r="BT456" s="615"/>
      <c r="BU456" s="615"/>
      <c r="BV456" s="637"/>
      <c r="BW456" s="669"/>
      <c r="BX456" s="615"/>
      <c r="BY456" s="615"/>
      <c r="BZ456" s="615"/>
      <c r="CA456" s="615"/>
      <c r="CB456" s="615"/>
      <c r="CC456" s="615"/>
      <c r="CD456" s="615"/>
      <c r="CE456" s="615"/>
      <c r="CF456" s="615"/>
      <c r="CG456" s="615"/>
      <c r="CH456" s="635"/>
      <c r="CI456" s="636">
        <v>69.5</v>
      </c>
      <c r="CJ456" s="615">
        <v>69.5</v>
      </c>
      <c r="CK456" s="615">
        <v>69.5</v>
      </c>
      <c r="CL456" s="615"/>
      <c r="CM456" s="615"/>
      <c r="CN456" s="615"/>
      <c r="CO456" s="615"/>
      <c r="CP456" s="615"/>
      <c r="CQ456" s="615"/>
      <c r="CR456" s="615"/>
      <c r="CS456" s="615"/>
      <c r="CT456" s="635"/>
      <c r="CU456" s="636"/>
      <c r="CV456" s="615"/>
      <c r="CW456" s="615"/>
      <c r="CX456" s="615"/>
      <c r="CY456" s="615"/>
      <c r="CZ456" s="615"/>
      <c r="DA456" s="615"/>
      <c r="DB456" s="615"/>
      <c r="DC456" s="615"/>
      <c r="DD456" s="615"/>
      <c r="DE456" s="615"/>
      <c r="DF456" s="635"/>
      <c r="DG456" s="636"/>
      <c r="DH456" s="615"/>
      <c r="DI456" s="615"/>
      <c r="DJ456" s="615"/>
      <c r="DK456" s="615"/>
      <c r="DL456" s="615"/>
      <c r="DM456" s="615"/>
      <c r="DN456" s="615"/>
      <c r="DO456" s="615"/>
      <c r="DP456" s="615"/>
      <c r="DQ456" s="615"/>
      <c r="DR456" s="635"/>
      <c r="DS456" s="636"/>
      <c r="DT456" s="615"/>
      <c r="DU456" s="615"/>
      <c r="DV456" s="615"/>
      <c r="DW456" s="615"/>
      <c r="DX456" s="615"/>
      <c r="DY456" s="615"/>
      <c r="DZ456" s="615"/>
      <c r="EA456" s="615"/>
      <c r="EB456" s="615"/>
      <c r="EC456" s="615"/>
      <c r="ED456" s="637"/>
      <c r="EE456" s="692"/>
    </row>
    <row r="457" spans="1:135" x14ac:dyDescent="0.25">
      <c r="A457" s="640" t="s">
        <v>11</v>
      </c>
      <c r="B457" s="367" t="s">
        <v>2672</v>
      </c>
      <c r="C457" s="367" t="s">
        <v>1854</v>
      </c>
      <c r="D457" s="367" t="s">
        <v>2673</v>
      </c>
      <c r="E457" s="503" t="s">
        <v>2665</v>
      </c>
      <c r="F457" s="570">
        <v>44930</v>
      </c>
      <c r="G457" s="85" t="s">
        <v>59</v>
      </c>
      <c r="H457" s="85" t="s">
        <v>54</v>
      </c>
      <c r="I457" s="85" t="s">
        <v>358</v>
      </c>
      <c r="J457" s="675" t="s">
        <v>358</v>
      </c>
      <c r="K457" s="85" t="s">
        <v>358</v>
      </c>
      <c r="L457" s="85" t="s">
        <v>40</v>
      </c>
      <c r="M457" s="85" t="s">
        <v>3</v>
      </c>
      <c r="N457" s="668" t="s">
        <v>44</v>
      </c>
      <c r="O457" s="669"/>
      <c r="P457" s="615"/>
      <c r="Q457" s="615"/>
      <c r="R457" s="615"/>
      <c r="S457" s="615"/>
      <c r="T457" s="615"/>
      <c r="U457" s="615"/>
      <c r="V457" s="615"/>
      <c r="W457" s="615"/>
      <c r="X457" s="615"/>
      <c r="Y457" s="615"/>
      <c r="Z457" s="635"/>
      <c r="AA457" s="636">
        <v>0.5</v>
      </c>
      <c r="AB457" s="615">
        <v>0.5</v>
      </c>
      <c r="AC457" s="615">
        <v>0.5</v>
      </c>
      <c r="AD457" s="615"/>
      <c r="AE457" s="615"/>
      <c r="AF457" s="615"/>
      <c r="AG457" s="615"/>
      <c r="AH457" s="615"/>
      <c r="AI457" s="615"/>
      <c r="AJ457" s="615"/>
      <c r="AK457" s="615"/>
      <c r="AL457" s="635"/>
      <c r="AM457" s="636"/>
      <c r="AN457" s="615"/>
      <c r="AO457" s="615"/>
      <c r="AP457" s="615"/>
      <c r="AQ457" s="615"/>
      <c r="AR457" s="615"/>
      <c r="AS457" s="615"/>
      <c r="AT457" s="615"/>
      <c r="AU457" s="615"/>
      <c r="AV457" s="615"/>
      <c r="AW457" s="615"/>
      <c r="AX457" s="635"/>
      <c r="AY457" s="636"/>
      <c r="AZ457" s="615"/>
      <c r="BA457" s="615"/>
      <c r="BB457" s="615"/>
      <c r="BC457" s="615"/>
      <c r="BD457" s="615"/>
      <c r="BE457" s="615"/>
      <c r="BF457" s="615"/>
      <c r="BG457" s="615"/>
      <c r="BH457" s="615"/>
      <c r="BI457" s="615"/>
      <c r="BJ457" s="635"/>
      <c r="BK457" s="636"/>
      <c r="BL457" s="615"/>
      <c r="BM457" s="615"/>
      <c r="BN457" s="615"/>
      <c r="BO457" s="615"/>
      <c r="BP457" s="615"/>
      <c r="BQ457" s="615"/>
      <c r="BR457" s="615"/>
      <c r="BS457" s="615"/>
      <c r="BT457" s="615"/>
      <c r="BU457" s="615"/>
      <c r="BV457" s="637"/>
      <c r="BW457" s="669"/>
      <c r="BX457" s="615"/>
      <c r="BY457" s="615"/>
      <c r="BZ457" s="615"/>
      <c r="CA457" s="615"/>
      <c r="CB457" s="615"/>
      <c r="CC457" s="615"/>
      <c r="CD457" s="615"/>
      <c r="CE457" s="615"/>
      <c r="CF457" s="615"/>
      <c r="CG457" s="615"/>
      <c r="CH457" s="635"/>
      <c r="CI457" s="636">
        <v>70</v>
      </c>
      <c r="CJ457" s="615">
        <v>70</v>
      </c>
      <c r="CK457" s="615">
        <v>70</v>
      </c>
      <c r="CL457" s="615"/>
      <c r="CM457" s="615"/>
      <c r="CN457" s="615"/>
      <c r="CO457" s="615"/>
      <c r="CP457" s="615"/>
      <c r="CQ457" s="615"/>
      <c r="CR457" s="615"/>
      <c r="CS457" s="615"/>
      <c r="CT457" s="635"/>
      <c r="CU457" s="636"/>
      <c r="CV457" s="615"/>
      <c r="CW457" s="615"/>
      <c r="CX457" s="615"/>
      <c r="CY457" s="615"/>
      <c r="CZ457" s="615"/>
      <c r="DA457" s="615"/>
      <c r="DB457" s="615"/>
      <c r="DC457" s="615"/>
      <c r="DD457" s="615"/>
      <c r="DE457" s="615"/>
      <c r="DF457" s="635"/>
      <c r="DG457" s="636"/>
      <c r="DH457" s="615"/>
      <c r="DI457" s="615"/>
      <c r="DJ457" s="615"/>
      <c r="DK457" s="615"/>
      <c r="DL457" s="615"/>
      <c r="DM457" s="615"/>
      <c r="DN457" s="615"/>
      <c r="DO457" s="615"/>
      <c r="DP457" s="615"/>
      <c r="DQ457" s="615"/>
      <c r="DR457" s="635"/>
      <c r="DS457" s="636"/>
      <c r="DT457" s="615"/>
      <c r="DU457" s="615"/>
      <c r="DV457" s="615"/>
      <c r="DW457" s="615"/>
      <c r="DX457" s="615"/>
      <c r="DY457" s="615"/>
      <c r="DZ457" s="615"/>
      <c r="EA457" s="615"/>
      <c r="EB457" s="615"/>
      <c r="EC457" s="615"/>
      <c r="ED457" s="637"/>
      <c r="EE457" s="692"/>
    </row>
  </sheetData>
  <autoFilter ref="A5:ED5" xr:uid="{00000000-0001-0000-0C00-000000000000}"/>
  <mergeCells count="13">
    <mergeCell ref="A3:N3"/>
    <mergeCell ref="O3:BV3"/>
    <mergeCell ref="BW3:ED3"/>
    <mergeCell ref="O4:Z4"/>
    <mergeCell ref="AA4:AL4"/>
    <mergeCell ref="AM4:AX4"/>
    <mergeCell ref="AY4:BJ4"/>
    <mergeCell ref="BK4:BV4"/>
    <mergeCell ref="BW4:CH4"/>
    <mergeCell ref="CI4:CT4"/>
    <mergeCell ref="CU4:DF4"/>
    <mergeCell ref="DG4:DR4"/>
    <mergeCell ref="DS4:ED4"/>
  </mergeCells>
  <conditionalFormatting sqref="N2">
    <cfRule type="cellIs" dxfId="58" priority="1" operator="equal">
      <formula>TRUE</formula>
    </cfRule>
    <cfRule type="cellIs" dxfId="57" priority="2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"/>
  <dimension ref="A1:L16"/>
  <sheetViews>
    <sheetView showGridLines="0" workbookViewId="0">
      <selection activeCell="I3" sqref="I3"/>
    </sheetView>
  </sheetViews>
  <sheetFormatPr defaultRowHeight="15" x14ac:dyDescent="0.25"/>
  <cols>
    <col min="1" max="1" width="18.5703125" style="359" customWidth="1"/>
    <col min="2" max="2" width="73" customWidth="1"/>
    <col min="3" max="3" width="13" customWidth="1"/>
    <col min="4" max="4" width="5.85546875" customWidth="1"/>
    <col min="5" max="5" width="28.42578125" customWidth="1"/>
  </cols>
  <sheetData>
    <row r="1" spans="1:12" ht="15" customHeight="1" x14ac:dyDescent="0.25">
      <c r="A1" s="368" t="s">
        <v>359</v>
      </c>
      <c r="B1" s="362" t="s">
        <v>550</v>
      </c>
      <c r="F1" s="360">
        <v>784</v>
      </c>
      <c r="G1" s="810" t="s">
        <v>360</v>
      </c>
      <c r="H1" s="810"/>
      <c r="I1" s="810"/>
      <c r="J1" s="810"/>
      <c r="K1" s="810"/>
      <c r="L1" s="810"/>
    </row>
    <row r="2" spans="1:12" ht="30.75" thickBot="1" x14ac:dyDescent="0.3">
      <c r="A2" s="369" t="s">
        <v>361</v>
      </c>
      <c r="B2" s="363" t="s">
        <v>551</v>
      </c>
      <c r="F2" s="361">
        <v>787</v>
      </c>
      <c r="G2" s="811" t="s">
        <v>385</v>
      </c>
      <c r="H2" s="811"/>
      <c r="I2" s="811"/>
      <c r="J2" s="811"/>
      <c r="K2" s="811"/>
      <c r="L2" s="811"/>
    </row>
    <row r="3" spans="1:12" x14ac:dyDescent="0.25">
      <c r="A3" s="370" t="s">
        <v>362</v>
      </c>
      <c r="B3" s="364" t="s">
        <v>379</v>
      </c>
    </row>
    <row r="4" spans="1:12" x14ac:dyDescent="0.25">
      <c r="F4" s="376" t="s">
        <v>384</v>
      </c>
      <c r="G4" s="376"/>
    </row>
    <row r="5" spans="1:12" ht="30" x14ac:dyDescent="0.25">
      <c r="A5" s="368" t="s">
        <v>363</v>
      </c>
      <c r="B5" s="365" t="str">
        <f>"Bom dia,"</f>
        <v>Bom dia,</v>
      </c>
      <c r="C5" s="103" t="s">
        <v>866</v>
      </c>
      <c r="E5" s="374" t="s">
        <v>380</v>
      </c>
      <c r="F5" s="373" t="s">
        <v>2685</v>
      </c>
    </row>
    <row r="6" spans="1:12" ht="58.5" customHeight="1" x14ac:dyDescent="0.25">
      <c r="A6" s="371" t="s">
        <v>364</v>
      </c>
      <c r="B6" s="365" t="str">
        <f ca="1">"Segue em anexo relatório com resumo atualizado da performance do book, e o simulador a ser usado hoje, &lt;b&gt;&lt;u&gt;" &amp; PROPER(TEXT(TODAY(),"[$-0416]dd/mmmm/yyyy")) &amp; "&lt;/b&gt;&lt;/u&gt;, para avaliação do enquadramento de novas transações aos limites operacionais."</f>
        <v>Segue em anexo relatório com resumo atualizado da performance do book, e o simulador a ser usado hoje, &lt;b&gt;&lt;u&gt;11/Janeiro/2023&lt;/b&gt;&lt;/u&gt;, para avaliação do enquadramento de novas transações aos limites operacionais.</v>
      </c>
      <c r="C6" s="358"/>
      <c r="E6" s="374" t="s">
        <v>381</v>
      </c>
      <c r="F6" s="373" t="s">
        <v>2684</v>
      </c>
    </row>
    <row r="7" spans="1:12" ht="34.5" customHeight="1" x14ac:dyDescent="0.25">
      <c r="A7" s="371" t="s">
        <v>365</v>
      </c>
      <c r="B7" s="365" t="s">
        <v>366</v>
      </c>
      <c r="E7" s="374" t="s">
        <v>382</v>
      </c>
      <c r="F7" s="373" t="s">
        <v>2683</v>
      </c>
    </row>
    <row r="8" spans="1:12" ht="30" x14ac:dyDescent="0.25">
      <c r="A8" s="371" t="s">
        <v>367</v>
      </c>
      <c r="B8" s="366" t="str">
        <f xml:space="preserve"> IF(COUNTA(B9:AZ9)=1,"- Foi incluída "&amp;COUNTA(B9:AZ9)&amp;" nova operação","- Foram incluídas "&amp; COUNTA(B9:AZ9) &amp;" novas operações")&amp;" no Book de Asset:"</f>
        <v>- Foram incluídas 0 novas operações no Book de Asset:</v>
      </c>
      <c r="E8" s="374" t="s">
        <v>386</v>
      </c>
      <c r="F8" s="373" t="s">
        <v>2686</v>
      </c>
    </row>
    <row r="9" spans="1:12" ht="25.5" customHeight="1" x14ac:dyDescent="0.25">
      <c r="A9" s="369" t="s">
        <v>368</v>
      </c>
      <c r="B9" s="174"/>
    </row>
    <row r="10" spans="1:12" x14ac:dyDescent="0.25">
      <c r="A10" s="371" t="s">
        <v>369</v>
      </c>
      <c r="B10" s="367" t="str">
        <f xml:space="preserve"> IF(COUNTA(B11:AZ11)=1,"- Foi incluída "&amp;COUNTA(B11:AZ11)&amp;" nova operação","- Foram incluídas "&amp; COUNTA(B11:AZ11) &amp;" novas operações")&amp;" no Book de Trading:"</f>
        <v>- Foram incluídas 0 novas operações no Book de Trading:</v>
      </c>
      <c r="E10" s="375"/>
    </row>
    <row r="11" spans="1:12" ht="29.25" customHeight="1" x14ac:dyDescent="0.25">
      <c r="A11" s="371" t="s">
        <v>370</v>
      </c>
      <c r="B11" s="187"/>
    </row>
    <row r="12" spans="1:12" ht="41.25" customHeight="1" x14ac:dyDescent="0.25">
      <c r="A12" s="371" t="s">
        <v>371</v>
      </c>
      <c r="B12" s="365" t="s">
        <v>372</v>
      </c>
    </row>
    <row r="13" spans="1:12" ht="39.75" customHeight="1" x14ac:dyDescent="0.25">
      <c r="A13" s="371" t="s">
        <v>373</v>
      </c>
      <c r="B13" s="365" t="str">
        <f>"&lt;b&gt;O saldo de desconto acumulado pelo book está precificado em R$ "&amp;ROUND(RESULTADO!G158/1000000,2)&amp;" MM e não faz parte do P/L.&lt;/b&gt;"</f>
        <v>&lt;b&gt;O saldo de desconto acumulado pelo book está precificado em R$ 0,44 MM e não faz parte do P/L.&lt;/b&gt;</v>
      </c>
    </row>
    <row r="14" spans="1:12" ht="54" customHeight="1" x14ac:dyDescent="0.25">
      <c r="A14" s="371" t="s">
        <v>374</v>
      </c>
      <c r="B14" s="365" t="s">
        <v>375</v>
      </c>
    </row>
    <row r="15" spans="1:12" ht="26.25" customHeight="1" x14ac:dyDescent="0.25">
      <c r="A15" s="371" t="s">
        <v>376</v>
      </c>
      <c r="B15" s="365" t="s">
        <v>377</v>
      </c>
    </row>
    <row r="16" spans="1:12" ht="24.75" customHeight="1" x14ac:dyDescent="0.25">
      <c r="A16" s="372" t="s">
        <v>378</v>
      </c>
      <c r="B16" s="365" t="s">
        <v>564</v>
      </c>
    </row>
  </sheetData>
  <mergeCells count="2">
    <mergeCell ref="G1:L1"/>
    <mergeCell ref="G2:L2"/>
  </mergeCells>
  <hyperlinks>
    <hyperlink ref="B1" r:id="rId1" display="trading@brookfieldenergia.com" xr:uid="{00000000-0004-0000-0D00-000000000000}"/>
    <hyperlink ref="B2" r:id="rId2" display="portfolio@brookfieldenergia.com,estudos.mercado@brookfieldenergia.com,analise.risco@brookfieldenergia.com,natascha.padis@brookfieldenergia.com," xr:uid="{00000000-0004-0000-0D00-000001000000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3"/>
  <drawing r:id="rId4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2"/>
  <dimension ref="B1:BQ369"/>
  <sheetViews>
    <sheetView showGridLines="0" workbookViewId="0">
      <pane ySplit="7" topLeftCell="A257" activePane="bottomLeft" state="frozen"/>
      <selection pane="bottomLeft" activeCell="F259" sqref="F259"/>
    </sheetView>
  </sheetViews>
  <sheetFormatPr defaultRowHeight="15" x14ac:dyDescent="0.25"/>
  <cols>
    <col min="2" max="2" width="10.7109375" bestFit="1" customWidth="1"/>
    <col min="3" max="11" width="9.5703125" bestFit="1" customWidth="1"/>
    <col min="12" max="12" width="2.140625" customWidth="1"/>
    <col min="22" max="22" width="2.140625" customWidth="1"/>
    <col min="32" max="32" width="2.140625" customWidth="1"/>
    <col min="42" max="42" width="2.140625" customWidth="1"/>
    <col min="44" max="44" width="11.5703125" bestFit="1" customWidth="1"/>
    <col min="45" max="46" width="10.5703125" bestFit="1" customWidth="1"/>
    <col min="49" max="49" width="9.85546875" customWidth="1"/>
    <col min="52" max="52" width="9.85546875" customWidth="1"/>
    <col min="53" max="53" width="2.42578125" customWidth="1"/>
    <col min="54" max="54" width="12.42578125" bestFit="1" customWidth="1"/>
    <col min="58" max="63" width="11.5703125" bestFit="1" customWidth="1"/>
    <col min="64" max="65" width="10.5703125" bestFit="1" customWidth="1"/>
    <col min="66" max="66" width="11.5703125" bestFit="1" customWidth="1"/>
    <col min="67" max="67" width="15.28515625" bestFit="1" customWidth="1"/>
    <col min="68" max="68" width="12.42578125" bestFit="1" customWidth="1"/>
    <col min="69" max="69" width="11.5703125" bestFit="1" customWidth="1"/>
  </cols>
  <sheetData>
    <row r="1" spans="2:69" ht="15.75" thickBot="1" x14ac:dyDescent="0.3">
      <c r="H1" s="228"/>
      <c r="K1" s="487" t="s">
        <v>269</v>
      </c>
      <c r="L1" s="174"/>
      <c r="M1" s="486" t="s">
        <v>25</v>
      </c>
      <c r="N1" s="486" t="s">
        <v>26</v>
      </c>
      <c r="O1" s="486" t="s">
        <v>27</v>
      </c>
      <c r="P1" s="486" t="s">
        <v>28</v>
      </c>
      <c r="Q1" s="486" t="s">
        <v>29</v>
      </c>
      <c r="R1" s="486" t="s">
        <v>30</v>
      </c>
      <c r="S1" s="486" t="s">
        <v>31</v>
      </c>
      <c r="T1" s="486" t="s">
        <v>32</v>
      </c>
      <c r="U1" s="486" t="s">
        <v>33</v>
      </c>
      <c r="V1" s="174"/>
      <c r="W1" s="486" t="s">
        <v>25</v>
      </c>
      <c r="X1" s="486" t="s">
        <v>26</v>
      </c>
      <c r="Y1" s="486" t="s">
        <v>27</v>
      </c>
      <c r="Z1" s="486" t="s">
        <v>28</v>
      </c>
      <c r="AA1" s="486" t="s">
        <v>29</v>
      </c>
      <c r="AB1" s="486" t="s">
        <v>30</v>
      </c>
      <c r="AC1" s="486" t="s">
        <v>31</v>
      </c>
      <c r="AD1" s="486" t="s">
        <v>32</v>
      </c>
      <c r="AE1" s="486" t="s">
        <v>33</v>
      </c>
    </row>
    <row r="2" spans="2:69" ht="15.75" thickBot="1" x14ac:dyDescent="0.3">
      <c r="K2" s="490" t="s">
        <v>247</v>
      </c>
      <c r="L2" s="115"/>
      <c r="M2" s="488">
        <f t="shared" ref="M2:U2" si="0">AVERAGE(M9:M1048576)</f>
        <v>2.1472074677567957E-2</v>
      </c>
      <c r="N2" s="488">
        <f t="shared" si="0"/>
        <v>2.1110076917273252E-2</v>
      </c>
      <c r="O2" s="488">
        <f t="shared" si="0"/>
        <v>1.4265206289115274E-2</v>
      </c>
      <c r="P2" s="488">
        <f t="shared" si="0"/>
        <v>9.9485886228382649E-3</v>
      </c>
      <c r="Q2" s="488">
        <f t="shared" si="0"/>
        <v>6.4566732855667669E-3</v>
      </c>
      <c r="R2" s="488">
        <f t="shared" si="0"/>
        <v>4.4708067204976532E-4</v>
      </c>
      <c r="S2" s="488">
        <f t="shared" si="0"/>
        <v>1.7064673510089895E-4</v>
      </c>
      <c r="T2" s="488">
        <f t="shared" si="0"/>
        <v>-1.9070751392640699E-5</v>
      </c>
      <c r="U2" s="488">
        <f t="shared" si="0"/>
        <v>-5.4711961047645428E-5</v>
      </c>
      <c r="V2" s="115"/>
      <c r="W2" s="488">
        <f t="shared" ref="W2:AE2" si="1">AVERAGE(W9:W1048576)</f>
        <v>-8.092421684242696E-4</v>
      </c>
      <c r="X2" s="488">
        <f t="shared" si="1"/>
        <v>-7.3601984967591586E-4</v>
      </c>
      <c r="Y2" s="488">
        <f t="shared" si="1"/>
        <v>-8.4593254723319515E-4</v>
      </c>
      <c r="Z2" s="488">
        <f t="shared" si="1"/>
        <v>-9.4872661758110203E-4</v>
      </c>
      <c r="AA2" s="488">
        <f t="shared" si="1"/>
        <v>-1.0683171213628391E-3</v>
      </c>
      <c r="AB2" s="488">
        <f t="shared" si="1"/>
        <v>-3.3961862075438634E-4</v>
      </c>
      <c r="AC2" s="488">
        <f t="shared" si="1"/>
        <v>-1.0454384482783291E-4</v>
      </c>
      <c r="AD2" s="488">
        <f t="shared" si="1"/>
        <v>-1.6299307485577162E-4</v>
      </c>
      <c r="AE2" s="488">
        <f t="shared" si="1"/>
        <v>-1.6299307485576937E-4</v>
      </c>
      <c r="AG2" s="191"/>
      <c r="AH2" s="191"/>
      <c r="AI2" s="191"/>
      <c r="AJ2" s="191"/>
      <c r="AK2" s="191"/>
      <c r="AL2" s="191"/>
      <c r="AM2" s="191"/>
      <c r="AN2" s="191"/>
      <c r="AO2" s="191"/>
      <c r="AQ2" s="812" t="s">
        <v>276</v>
      </c>
      <c r="AR2" s="813"/>
      <c r="AS2" s="813"/>
      <c r="AT2" s="813"/>
      <c r="AU2" s="813"/>
      <c r="AV2" s="813"/>
      <c r="AW2" s="813"/>
      <c r="AX2" s="813"/>
      <c r="AY2" s="813"/>
      <c r="AZ2" s="814"/>
      <c r="BD2" s="812" t="s">
        <v>277</v>
      </c>
      <c r="BE2" s="813"/>
      <c r="BF2" s="813"/>
      <c r="BG2" s="813"/>
      <c r="BH2" s="813"/>
      <c r="BI2" s="813"/>
      <c r="BJ2" s="813"/>
      <c r="BK2" s="813"/>
      <c r="BL2" s="813"/>
      <c r="BM2" s="813"/>
      <c r="BN2" s="814"/>
    </row>
    <row r="3" spans="2:69" ht="15.75" thickBot="1" x14ac:dyDescent="0.3">
      <c r="G3" s="670" t="s">
        <v>2631</v>
      </c>
      <c r="H3" s="536"/>
      <c r="I3" s="536"/>
      <c r="K3" s="490" t="s">
        <v>248</v>
      </c>
      <c r="L3" s="115"/>
      <c r="M3" s="488">
        <f t="shared" ref="M3:U3" si="2">_xlfn.STDEV.P(M9:M1048576)</f>
        <v>0.23157446203950771</v>
      </c>
      <c r="N3" s="488">
        <f t="shared" si="2"/>
        <v>0.22589981413508745</v>
      </c>
      <c r="O3" s="488">
        <f t="shared" si="2"/>
        <v>0.17989878905237291</v>
      </c>
      <c r="P3" s="488">
        <f t="shared" si="2"/>
        <v>0.15249945401672471</v>
      </c>
      <c r="Q3" s="488">
        <f t="shared" si="2"/>
        <v>0.14072626471934505</v>
      </c>
      <c r="R3" s="488">
        <f t="shared" si="2"/>
        <v>3.8757098108887875E-2</v>
      </c>
      <c r="S3" s="488">
        <f t="shared" si="2"/>
        <v>2.26025712407819E-2</v>
      </c>
      <c r="T3" s="488">
        <f t="shared" si="2"/>
        <v>1.6838323778097752E-2</v>
      </c>
      <c r="U3" s="488">
        <f t="shared" si="2"/>
        <v>1.4625088574266878E-2</v>
      </c>
      <c r="V3" s="115"/>
      <c r="W3" s="488">
        <f t="shared" ref="W3:AE3" si="3">_xlfn.STDEV.P(W9:W1048576)</f>
        <v>0.20973459501264438</v>
      </c>
      <c r="X3" s="488">
        <f t="shared" si="3"/>
        <v>0.20583748790329531</v>
      </c>
      <c r="Y3" s="488">
        <f t="shared" si="3"/>
        <v>0.17226328152511075</v>
      </c>
      <c r="Z3" s="488">
        <f t="shared" si="3"/>
        <v>0.14668696965573916</v>
      </c>
      <c r="AA3" s="488">
        <f t="shared" si="3"/>
        <v>0.11746325145259785</v>
      </c>
      <c r="AB3" s="488">
        <f t="shared" si="3"/>
        <v>4.0209469540414274E-2</v>
      </c>
      <c r="AC3" s="488">
        <f t="shared" si="3"/>
        <v>2.3942991539888756E-2</v>
      </c>
      <c r="AD3" s="488">
        <f t="shared" si="3"/>
        <v>1.703380351902507E-2</v>
      </c>
      <c r="AE3" s="488">
        <f t="shared" si="3"/>
        <v>1.476445360910846E-2</v>
      </c>
      <c r="AG3" s="191"/>
      <c r="AH3" s="191"/>
      <c r="AI3" s="191"/>
      <c r="AJ3" s="191"/>
      <c r="AK3" s="191"/>
      <c r="AL3" s="191"/>
      <c r="AM3" s="191"/>
      <c r="AN3" s="191"/>
      <c r="AO3" s="191"/>
      <c r="AX3" t="s">
        <v>401</v>
      </c>
    </row>
    <row r="4" spans="2:69" x14ac:dyDescent="0.25">
      <c r="K4" s="491" t="s">
        <v>249</v>
      </c>
      <c r="L4" s="115"/>
      <c r="M4" s="489">
        <f t="shared" ref="M4:U4" si="4">_xlfn.VAR.P(M9:M1048576)</f>
        <v>5.3626731468887398E-2</v>
      </c>
      <c r="N4" s="489">
        <f t="shared" si="4"/>
        <v>5.103072602626705E-2</v>
      </c>
      <c r="O4" s="489">
        <f t="shared" si="4"/>
        <v>3.2363574302510169E-2</v>
      </c>
      <c r="P4" s="489">
        <f t="shared" si="4"/>
        <v>2.3256083475399134E-2</v>
      </c>
      <c r="Q4" s="489">
        <f t="shared" si="4"/>
        <v>1.9803881581859181E-2</v>
      </c>
      <c r="R4" s="489">
        <f t="shared" si="4"/>
        <v>1.50211265382196E-3</v>
      </c>
      <c r="S4" s="489">
        <f t="shared" si="4"/>
        <v>5.1087622669462103E-4</v>
      </c>
      <c r="T4" s="489">
        <f t="shared" si="4"/>
        <v>2.8352914765605213E-4</v>
      </c>
      <c r="U4" s="489">
        <f t="shared" si="4"/>
        <v>2.138932158051516E-4</v>
      </c>
      <c r="V4" s="115"/>
      <c r="W4" s="489">
        <f t="shared" ref="W4:AE4" si="5">_xlfn.VAR.P(W9:W1048576)</f>
        <v>4.3988600345117951E-2</v>
      </c>
      <c r="X4" s="489">
        <f t="shared" si="5"/>
        <v>4.236907142633925E-2</v>
      </c>
      <c r="Y4" s="489">
        <f t="shared" si="5"/>
        <v>2.967463816179956E-2</v>
      </c>
      <c r="Z4" s="489">
        <f t="shared" si="5"/>
        <v>2.1517067066783743E-2</v>
      </c>
      <c r="AA4" s="489">
        <f t="shared" si="5"/>
        <v>1.3797615441816232E-2</v>
      </c>
      <c r="AB4" s="489">
        <f t="shared" si="5"/>
        <v>1.6168014407215033E-3</v>
      </c>
      <c r="AC4" s="489">
        <f t="shared" si="5"/>
        <v>5.7326684387918453E-4</v>
      </c>
      <c r="AD4" s="489">
        <f t="shared" si="5"/>
        <v>2.9015046232475084E-4</v>
      </c>
      <c r="AE4" s="489">
        <f t="shared" si="5"/>
        <v>2.1798909037551583E-4</v>
      </c>
      <c r="AG4" s="190"/>
      <c r="AH4" s="190"/>
      <c r="AI4" s="190"/>
      <c r="AJ4" s="190"/>
      <c r="AK4" s="190"/>
      <c r="AL4" s="190"/>
      <c r="AM4" s="190"/>
      <c r="AN4" s="190"/>
      <c r="AO4" s="190"/>
      <c r="AQ4" s="197"/>
      <c r="AR4" s="200" t="s">
        <v>25</v>
      </c>
      <c r="AS4" s="200" t="s">
        <v>26</v>
      </c>
      <c r="AT4" s="200" t="s">
        <v>27</v>
      </c>
      <c r="AU4" s="200" t="s">
        <v>28</v>
      </c>
      <c r="AV4" s="200" t="s">
        <v>29</v>
      </c>
      <c r="AW4" s="200" t="s">
        <v>30</v>
      </c>
      <c r="AX4" s="200" t="s">
        <v>31</v>
      </c>
      <c r="AY4" s="200" t="s">
        <v>32</v>
      </c>
      <c r="AZ4" s="201" t="s">
        <v>33</v>
      </c>
      <c r="BD4" s="215"/>
      <c r="BE4" s="216"/>
      <c r="BF4" s="224" t="s">
        <v>25</v>
      </c>
      <c r="BG4" s="217" t="s">
        <v>26</v>
      </c>
      <c r="BH4" s="217" t="s">
        <v>27</v>
      </c>
      <c r="BI4" s="217" t="s">
        <v>28</v>
      </c>
      <c r="BJ4" s="217" t="s">
        <v>29</v>
      </c>
      <c r="BK4" s="217" t="s">
        <v>30</v>
      </c>
      <c r="BL4" s="217" t="s">
        <v>31</v>
      </c>
      <c r="BM4" s="217" t="s">
        <v>32</v>
      </c>
      <c r="BN4" s="218" t="s">
        <v>33</v>
      </c>
      <c r="BP4" s="99" t="s">
        <v>252</v>
      </c>
    </row>
    <row r="5" spans="2:69" ht="15.75" thickBot="1" x14ac:dyDescent="0.3">
      <c r="M5" s="190"/>
      <c r="N5" s="190"/>
      <c r="O5" s="190"/>
      <c r="P5" s="190"/>
      <c r="Q5" s="190"/>
      <c r="R5" s="190"/>
      <c r="S5" s="190"/>
      <c r="T5" s="190"/>
      <c r="U5" s="190"/>
      <c r="W5" s="190"/>
      <c r="X5" s="190"/>
      <c r="Y5" s="190"/>
      <c r="Z5" s="190"/>
      <c r="AA5" s="190"/>
      <c r="AB5" s="190"/>
      <c r="AC5" s="190"/>
      <c r="AD5" s="190"/>
      <c r="AE5" s="190"/>
      <c r="AQ5" s="198" t="s">
        <v>25</v>
      </c>
      <c r="AR5" s="202">
        <f t="shared" ref="AR5:AZ5" si="6">CORREL($M$9:$M$369,M9:M369)</f>
        <v>1</v>
      </c>
      <c r="AS5" s="202">
        <f t="shared" si="6"/>
        <v>0.25764555155871338</v>
      </c>
      <c r="AT5" s="202">
        <f t="shared" si="6"/>
        <v>0.17794498818172544</v>
      </c>
      <c r="AU5" s="202">
        <f t="shared" si="6"/>
        <v>0.10818608337395091</v>
      </c>
      <c r="AV5" s="202">
        <f t="shared" si="6"/>
        <v>0.23562814165611581</v>
      </c>
      <c r="AW5" s="202">
        <f t="shared" si="6"/>
        <v>0.15187551913648667</v>
      </c>
      <c r="AX5" s="202">
        <f t="shared" si="6"/>
        <v>0.10812970837780102</v>
      </c>
      <c r="AY5" s="202">
        <f t="shared" si="6"/>
        <v>0.12382342925539337</v>
      </c>
      <c r="AZ5" s="203">
        <f t="shared" si="6"/>
        <v>6.9730624446540379E-2</v>
      </c>
      <c r="BD5" s="219" t="s">
        <v>214</v>
      </c>
      <c r="BE5" s="220"/>
      <c r="BF5" s="225">
        <f>HLOOKUP(BF4,pREFs!$C$116:$K$117,2,0)</f>
        <v>44896</v>
      </c>
      <c r="BG5" s="221">
        <f>HLOOKUP(BG4,pREFs!$C$116:$K$117,2,0)</f>
        <v>44927</v>
      </c>
      <c r="BH5" s="221">
        <f>HLOOKUP(BH4,pREFs!$C$116:$K$117,2,0)</f>
        <v>44958</v>
      </c>
      <c r="BI5" s="221">
        <f>HLOOKUP(BI4,pREFs!$C$116:$K$117,2,0)</f>
        <v>44986</v>
      </c>
      <c r="BJ5" s="221" t="str">
        <f>HLOOKUP(BJ4,pREFs!$C$116:$K$117,2,0)</f>
        <v>Abr-Dez 23</v>
      </c>
      <c r="BK5" s="455">
        <f>HLOOKUP(BK4,pREFs!$C$116:$K$117,2,0)</f>
        <v>2024</v>
      </c>
      <c r="BL5" s="455">
        <f>HLOOKUP(BL4,pREFs!$C$116:$K$117,2,0)</f>
        <v>2025</v>
      </c>
      <c r="BM5" s="455">
        <f>HLOOKUP(BM4,pREFs!$C$116:$K$117,2,0)</f>
        <v>2026</v>
      </c>
      <c r="BN5" s="456">
        <f>HLOOKUP(BN4,pREFs!$C$116:$K$117,2,0)</f>
        <v>2027</v>
      </c>
    </row>
    <row r="6" spans="2:69" x14ac:dyDescent="0.25">
      <c r="B6" s="816" t="s">
        <v>271</v>
      </c>
      <c r="C6" s="817"/>
      <c r="D6" s="817"/>
      <c r="E6" s="817"/>
      <c r="F6" s="817"/>
      <c r="G6" s="817"/>
      <c r="H6" s="817"/>
      <c r="I6" s="817"/>
      <c r="J6" s="817"/>
      <c r="K6" s="818"/>
      <c r="M6" s="816" t="s">
        <v>246</v>
      </c>
      <c r="N6" s="817"/>
      <c r="O6" s="817"/>
      <c r="P6" s="817"/>
      <c r="Q6" s="817"/>
      <c r="R6" s="817"/>
      <c r="S6" s="817"/>
      <c r="T6" s="817"/>
      <c r="U6" s="818"/>
      <c r="W6" s="816" t="s">
        <v>246</v>
      </c>
      <c r="X6" s="817"/>
      <c r="Y6" s="817"/>
      <c r="Z6" s="817"/>
      <c r="AA6" s="817"/>
      <c r="AB6" s="817"/>
      <c r="AC6" s="817"/>
      <c r="AD6" s="817"/>
      <c r="AE6" s="818"/>
      <c r="AG6" s="816" t="s">
        <v>250</v>
      </c>
      <c r="AH6" s="817"/>
      <c r="AI6" s="817"/>
      <c r="AJ6" s="817"/>
      <c r="AK6" s="817"/>
      <c r="AL6" s="817"/>
      <c r="AM6" s="817"/>
      <c r="AN6" s="817"/>
      <c r="AO6" s="818"/>
      <c r="AQ6" s="198" t="s">
        <v>26</v>
      </c>
      <c r="AR6" s="202">
        <f t="shared" ref="AR6:AZ6" si="7">CORREL($N$9:$N$369,M9:M369)</f>
        <v>0.25764555155871338</v>
      </c>
      <c r="AS6" s="202">
        <f t="shared" si="7"/>
        <v>1</v>
      </c>
      <c r="AT6" s="202">
        <f t="shared" si="7"/>
        <v>0.74891619690368572</v>
      </c>
      <c r="AU6" s="202">
        <f t="shared" si="7"/>
        <v>0.56381834056074442</v>
      </c>
      <c r="AV6" s="202">
        <f t="shared" si="7"/>
        <v>0.43061338749453765</v>
      </c>
      <c r="AW6" s="202">
        <f t="shared" si="7"/>
        <v>0.33418133590596538</v>
      </c>
      <c r="AX6" s="202">
        <f t="shared" si="7"/>
        <v>6.7547874062004423E-2</v>
      </c>
      <c r="AY6" s="202">
        <f t="shared" si="7"/>
        <v>4.8714948705155213E-2</v>
      </c>
      <c r="AZ6" s="203">
        <f t="shared" si="7"/>
        <v>1.7533576157534543E-2</v>
      </c>
      <c r="BD6" s="815" t="s">
        <v>18</v>
      </c>
      <c r="BE6" s="222" t="s">
        <v>54</v>
      </c>
      <c r="BF6" s="226">
        <f>SUMIFS(MtM!$V:$V,MtM!$E:$E,BF$5,MtM!$L:$L,$BE6)</f>
        <v>20994247.811783113</v>
      </c>
      <c r="BG6" s="206">
        <f>SUMIFS(MtM!$V:$V,MtM!$E:$E,BG$5,MtM!$L:$L,$BE6)</f>
        <v>5317340.1597422641</v>
      </c>
      <c r="BH6" s="206">
        <f>SUMIFS(MtM!$V:$V,MtM!$E:$E,BH$5,MtM!$L:$L,$BE6)</f>
        <v>2547125.2448705076</v>
      </c>
      <c r="BI6" s="206">
        <f>SUMIFS(MtM!$V:$V,MtM!$E:$E,BI$5,MtM!$L:$L,$BE6)</f>
        <v>3789667.1118180421</v>
      </c>
      <c r="BJ6" s="495">
        <f>IF(LEN($BJ$5)=4,SUMIFS(MtM!$V:$V,MtM!$E:$E,"&gt;="&amp;DATE($BJ$5,1,1),MtM!$E:$E,"&lt;="&amp;DATE($BJ$5,12,1),MtM!$L:$L,$BE6),
IF(LEN($BJ$5)=6,SUMIFS(MtM!$V:$V,MtM!$E:$E,$BJ$5,MtM!$L:$L,$BE6),
SUMIFS(MtM!$V:$V,MtM!$E:$E,"&gt;="&amp;DATE(YEAR($BI$5),MONTH($BI5)+1,1),MtM!$E:$E,"&lt;="&amp;DATE(YEAR($BI$5),12,1),MtM!$L:$L,$BE6)))</f>
        <v>1718371.1081781571</v>
      </c>
      <c r="BK6" s="206">
        <f>SUMIFS(MtM!$V:$V,MtM!$E:$E,"&gt;="&amp;DATE(BK$5,1,1),MtM!$E:$E,"&lt;="&amp;DATE(BK$5,12,1),MtM!$L:$L,$BE6)</f>
        <v>12946346.581207357</v>
      </c>
      <c r="BL6" s="206">
        <f>SUMIFS(MtM!$V:$V,MtM!$E:$E,"&gt;="&amp;DATE(BL$5,1,1),MtM!$E:$E,"&lt;="&amp;DATE(BL$5,12,1),MtM!$L:$L,$BE6)</f>
        <v>5710103.3788205627</v>
      </c>
      <c r="BM6" s="206">
        <f>SUMIFS(MtM!$V:$V,MtM!$E:$E,"&gt;="&amp;DATE(BM$5,1,1),MtM!$E:$E,"&lt;="&amp;DATE(BM$5,12,1),MtM!$L:$L,$BE6)</f>
        <v>0</v>
      </c>
      <c r="BN6" s="207">
        <f>SUMIFS(MtM!$V:$V,MtM!$E:$E,"&gt;="&amp;DATE(BN$5,1,1),MtM!$E:$E,"&lt;="&amp;DATE(BN$5,12,1),MtM!$L:$L,$BE6)</f>
        <v>0</v>
      </c>
      <c r="BO6" s="494"/>
      <c r="BP6" s="85" t="b">
        <f>ROUND(ROUND(RESULTADO!G156,4)-ROUND(SUM($BF$6:$BN$8),4),3)=0</f>
        <v>1</v>
      </c>
    </row>
    <row r="7" spans="2:69" x14ac:dyDescent="0.25">
      <c r="B7" s="448"/>
      <c r="C7" s="2" t="s">
        <v>25</v>
      </c>
      <c r="D7" s="2" t="s">
        <v>26</v>
      </c>
      <c r="E7" s="2" t="s">
        <v>27</v>
      </c>
      <c r="F7" s="2" t="s">
        <v>28</v>
      </c>
      <c r="G7" s="2" t="s">
        <v>29</v>
      </c>
      <c r="H7" s="2" t="s">
        <v>30</v>
      </c>
      <c r="I7" s="2" t="s">
        <v>31</v>
      </c>
      <c r="J7" s="2" t="s">
        <v>32</v>
      </c>
      <c r="K7" s="447" t="s">
        <v>33</v>
      </c>
      <c r="M7" s="446" t="s">
        <v>25</v>
      </c>
      <c r="N7" s="2" t="s">
        <v>26</v>
      </c>
      <c r="O7" s="2" t="s">
        <v>27</v>
      </c>
      <c r="P7" s="2" t="s">
        <v>28</v>
      </c>
      <c r="Q7" s="2" t="s">
        <v>29</v>
      </c>
      <c r="R7" s="2" t="s">
        <v>30</v>
      </c>
      <c r="S7" s="2" t="s">
        <v>31</v>
      </c>
      <c r="T7" s="2" t="s">
        <v>32</v>
      </c>
      <c r="U7" s="447" t="s">
        <v>33</v>
      </c>
      <c r="W7" s="446" t="s">
        <v>25</v>
      </c>
      <c r="X7" s="2" t="s">
        <v>26</v>
      </c>
      <c r="Y7" s="2" t="s">
        <v>27</v>
      </c>
      <c r="Z7" s="2" t="s">
        <v>28</v>
      </c>
      <c r="AA7" s="2" t="s">
        <v>29</v>
      </c>
      <c r="AB7" s="2" t="s">
        <v>30</v>
      </c>
      <c r="AC7" s="2" t="s">
        <v>31</v>
      </c>
      <c r="AD7" s="2" t="s">
        <v>32</v>
      </c>
      <c r="AE7" s="447" t="s">
        <v>33</v>
      </c>
      <c r="AG7" s="446" t="s">
        <v>25</v>
      </c>
      <c r="AH7" s="2" t="s">
        <v>26</v>
      </c>
      <c r="AI7" s="2" t="s">
        <v>27</v>
      </c>
      <c r="AJ7" s="2" t="s">
        <v>28</v>
      </c>
      <c r="AK7" s="2" t="s">
        <v>29</v>
      </c>
      <c r="AL7" s="2" t="s">
        <v>30</v>
      </c>
      <c r="AM7" s="2" t="s">
        <v>31</v>
      </c>
      <c r="AN7" s="2" t="s">
        <v>32</v>
      </c>
      <c r="AO7" s="447" t="s">
        <v>33</v>
      </c>
      <c r="AQ7" s="198" t="s">
        <v>27</v>
      </c>
      <c r="AR7" s="202">
        <f t="shared" ref="AR7:AZ7" si="8">CORREL($O$9:$O$369,M9:M369)</f>
        <v>0.17794498818172544</v>
      </c>
      <c r="AS7" s="202">
        <f t="shared" si="8"/>
        <v>0.74891619690368572</v>
      </c>
      <c r="AT7" s="202">
        <f t="shared" si="8"/>
        <v>1</v>
      </c>
      <c r="AU7" s="202">
        <f t="shared" si="8"/>
        <v>0.70151041687964166</v>
      </c>
      <c r="AV7" s="202">
        <f t="shared" si="8"/>
        <v>0.42520692131373611</v>
      </c>
      <c r="AW7" s="202">
        <f t="shared" si="8"/>
        <v>0.35265246502048414</v>
      </c>
      <c r="AX7" s="202">
        <f t="shared" si="8"/>
        <v>8.2383213081088133E-2</v>
      </c>
      <c r="AY7" s="202">
        <f t="shared" si="8"/>
        <v>8.8495123329596651E-2</v>
      </c>
      <c r="AZ7" s="203">
        <f t="shared" si="8"/>
        <v>4.2760682719385136E-2</v>
      </c>
      <c r="BD7" s="815"/>
      <c r="BE7" s="222" t="s">
        <v>92</v>
      </c>
      <c r="BF7" s="226">
        <f>SUMIFS(MtM!$V:$V,MtM!$E:$E,BF$5,MtM!$L:$L,$BE7)</f>
        <v>-67411.98000000001</v>
      </c>
      <c r="BG7" s="206">
        <f>SUMIFS(MtM!$V:$V,MtM!$E:$E,BG$5,MtM!$L:$L,$BE7)</f>
        <v>0</v>
      </c>
      <c r="BH7" s="206">
        <f>SUMIFS(MtM!$V:$V,MtM!$E:$E,BH$5,MtM!$L:$L,$BE7)</f>
        <v>0</v>
      </c>
      <c r="BI7" s="206">
        <f>SUMIFS(MtM!$V:$V,MtM!$E:$E,BI$5,MtM!$L:$L,$BE7)</f>
        <v>0</v>
      </c>
      <c r="BJ7" s="206">
        <f>IF(LEN($BJ$5)=4,SUMIFS(MtM!$V:$V,MtM!$E:$E,"&gt;="&amp;DATE($BJ$5,1,1),MtM!$E:$E,"&lt;="&amp;DATE($BJ$5,12,1),MtM!$L:$L,$BE7),
IF(LEN($BJ$5)=6,SUMIFS(MtM!$V:$V,MtM!$E:$E,$BJ$5,MtM!$L:$L,$BE7),
SUMIFS(MtM!$V:$V,MtM!$E:$E,"&gt;="&amp;DATE(YEAR($BI$5),MONTH($BI5)+1,1),MtM!$E:$E,"&lt;="&amp;DATE(YEAR($BI$5),12,1),MtM!$L:$L,$BE7)))</f>
        <v>0</v>
      </c>
      <c r="BK7" s="206">
        <f>SUMIFS(MtM!$V:$V,MtM!$E:$E,"&gt;="&amp;DATE(BK$5,1,1),MtM!$E:$E,"&lt;="&amp;DATE(BK$5,12,1),MtM!$L:$L,$BE7)</f>
        <v>0</v>
      </c>
      <c r="BL7" s="206">
        <f>SUMIFS(MtM!$V:$V,MtM!$E:$E,"&gt;="&amp;DATE(BL$5,1,1),MtM!$E:$E,"&lt;="&amp;DATE(BL$5,12,1),MtM!$L:$L,$BE7)</f>
        <v>0</v>
      </c>
      <c r="BM7" s="206">
        <f>SUMIFS(MtM!$V:$V,MtM!$E:$E,"&gt;="&amp;DATE(BM$5,1,1),MtM!$E:$E,"&lt;="&amp;DATE(BM$5,12,1),MtM!$L:$L,$BE7)</f>
        <v>0</v>
      </c>
      <c r="BN7" s="207">
        <f>SUMIFS(MtM!$V:$V,MtM!$E:$E,"&gt;="&amp;DATE(BN$5,1,1),MtM!$E:$E,"&lt;="&amp;DATE(BN$5,12,1),MtM!$L:$L,$BE7)</f>
        <v>0</v>
      </c>
      <c r="BO7" s="1"/>
    </row>
    <row r="8" spans="2:69" x14ac:dyDescent="0.25">
      <c r="B8" s="449">
        <v>42373</v>
      </c>
      <c r="C8" s="237">
        <v>75</v>
      </c>
      <c r="D8" s="237">
        <v>90</v>
      </c>
      <c r="E8" s="237">
        <v>95</v>
      </c>
      <c r="F8" s="237">
        <v>100</v>
      </c>
      <c r="G8" s="237">
        <v>125</v>
      </c>
      <c r="H8" s="237">
        <v>130</v>
      </c>
      <c r="I8" s="237">
        <v>135</v>
      </c>
      <c r="J8" s="237">
        <v>140</v>
      </c>
      <c r="K8" s="450">
        <v>140</v>
      </c>
      <c r="M8" s="448"/>
      <c r="U8" s="445"/>
      <c r="W8" s="448"/>
      <c r="AE8" s="445"/>
      <c r="AG8" s="448"/>
      <c r="AO8" s="445"/>
      <c r="AQ8" s="198" t="s">
        <v>28</v>
      </c>
      <c r="AR8" s="202">
        <f t="shared" ref="AR8:AZ8" si="9">CORREL($P$9:$P$369,M9:M369)</f>
        <v>0.10818608337395091</v>
      </c>
      <c r="AS8" s="202">
        <f t="shared" si="9"/>
        <v>0.56381834056074442</v>
      </c>
      <c r="AT8" s="202">
        <f t="shared" si="9"/>
        <v>0.70151041687964166</v>
      </c>
      <c r="AU8" s="202">
        <f t="shared" si="9"/>
        <v>1.0000000000000002</v>
      </c>
      <c r="AV8" s="202">
        <f t="shared" si="9"/>
        <v>0.34972354485935941</v>
      </c>
      <c r="AW8" s="202">
        <f t="shared" si="9"/>
        <v>0.32952579275425387</v>
      </c>
      <c r="AX8" s="202">
        <f t="shared" si="9"/>
        <v>0.11014228007944035</v>
      </c>
      <c r="AY8" s="202">
        <f t="shared" si="9"/>
        <v>0.10627084475912825</v>
      </c>
      <c r="AZ8" s="203">
        <f t="shared" si="9"/>
        <v>2.053811302498355E-2</v>
      </c>
      <c r="BD8" s="815"/>
      <c r="BE8" s="222" t="s">
        <v>56</v>
      </c>
      <c r="BF8" s="226">
        <f>SUMIFS(MtM!$V:$V,MtM!$E:$E,BF$5,MtM!$L:$L,$BE8)</f>
        <v>0</v>
      </c>
      <c r="BG8" s="206">
        <f>SUMIFS(MtM!$V:$V,MtM!$E:$E,BG$5,MtM!$L:$L,$BE8)</f>
        <v>0</v>
      </c>
      <c r="BH8" s="206">
        <f>SUMIFS(MtM!$V:$V,MtM!$E:$E,BH$5,MtM!$L:$L,$BE8)</f>
        <v>0</v>
      </c>
      <c r="BI8" s="206">
        <f>SUMIFS(MtM!$V:$V,MtM!$E:$E,BI$5,MtM!$L:$L,$BE8)</f>
        <v>0</v>
      </c>
      <c r="BJ8" s="206">
        <f>IF(LEN($BJ$5)=4,SUMIFS(MtM!$V:$V,MtM!$E:$E,"&gt;="&amp;DATE($BJ$5,1,1),MtM!$E:$E,"&lt;="&amp;DATE($BJ$5,12,1),MtM!$L:$L,$BE8),
IF(LEN($BJ$5)=6,SUMIFS(MtM!$V:$V,MtM!$E:$E,$BJ$5,MtM!$L:$L,$BE8),
SUMIFS(MtM!$V:$V,MtM!$E:$E,"&gt;="&amp;DATE(YEAR($BI$5),MONTH($BI5)+1,1),MtM!$E:$E,"&lt;="&amp;DATE(YEAR($BI$5),12,1),MtM!$L:$L,$BE8)))</f>
        <v>0</v>
      </c>
      <c r="BK8" s="206">
        <f>SUMIFS(MtM!$V:$V,MtM!$E:$E,"&gt;="&amp;DATE(BK$5,1,1),MtM!$E:$E,"&lt;="&amp;DATE(BK$5,12,1),MtM!$L:$L,$BE8)</f>
        <v>0</v>
      </c>
      <c r="BL8" s="206">
        <f>SUMIFS(MtM!$V:$V,MtM!$E:$E,"&gt;="&amp;DATE(BL$5,1,1),MtM!$E:$E,"&lt;="&amp;DATE(BL$5,12,1),MtM!$L:$L,$BE8)</f>
        <v>0</v>
      </c>
      <c r="BM8" s="206">
        <f>SUMIFS(MtM!$V:$V,MtM!$E:$E,"&gt;="&amp;DATE(BM$5,1,1),MtM!$E:$E,"&lt;="&amp;DATE(BM$5,12,1),MtM!$L:$L,$BE8)</f>
        <v>0</v>
      </c>
      <c r="BN8" s="207">
        <f>SUMIFS(MtM!$V:$V,MtM!$E:$E,"&gt;="&amp;DATE(BN$5,1,1),MtM!$E:$E,"&lt;="&amp;DATE(BN$5,12,1),MtM!$L:$L,$BE8)</f>
        <v>0</v>
      </c>
      <c r="BO8" s="1"/>
    </row>
    <row r="9" spans="2:69" ht="15.75" thickBot="1" x14ac:dyDescent="0.3">
      <c r="B9" s="449">
        <v>42380</v>
      </c>
      <c r="C9" s="237">
        <v>58</v>
      </c>
      <c r="D9" s="237">
        <v>65</v>
      </c>
      <c r="E9" s="237">
        <v>75</v>
      </c>
      <c r="F9" s="237">
        <v>90</v>
      </c>
      <c r="G9" s="237">
        <v>90</v>
      </c>
      <c r="H9" s="237">
        <v>130</v>
      </c>
      <c r="I9" s="237">
        <v>130</v>
      </c>
      <c r="J9" s="237">
        <v>140</v>
      </c>
      <c r="K9" s="450">
        <v>140</v>
      </c>
      <c r="M9" s="451">
        <f t="shared" ref="M9" si="10">C9/C8-1</f>
        <v>-0.22666666666666668</v>
      </c>
      <c r="N9" s="357">
        <f t="shared" ref="N9" si="11">D9/D8-1</f>
        <v>-0.27777777777777779</v>
      </c>
      <c r="O9" s="357">
        <f t="shared" ref="O9" si="12">E9/E8-1</f>
        <v>-0.21052631578947367</v>
      </c>
      <c r="P9" s="357">
        <f t="shared" ref="P9" si="13">F9/F8-1</f>
        <v>-9.9999999999999978E-2</v>
      </c>
      <c r="Q9" s="357">
        <f t="shared" ref="Q9" si="14">G9/G8-1</f>
        <v>-0.28000000000000003</v>
      </c>
      <c r="R9" s="357">
        <f t="shared" ref="R9" si="15">H9/H8-1</f>
        <v>0</v>
      </c>
      <c r="S9" s="357">
        <f t="shared" ref="S9" si="16">I9/I8-1</f>
        <v>-3.703703703703709E-2</v>
      </c>
      <c r="T9" s="357">
        <f t="shared" ref="T9" si="17">J9/J8-1</f>
        <v>0</v>
      </c>
      <c r="U9" s="379">
        <f t="shared" ref="U9" si="18">K9/K8-1</f>
        <v>0</v>
      </c>
      <c r="W9" s="451">
        <f>LN(C9/C8)</f>
        <v>-0.25704510298989114</v>
      </c>
      <c r="X9" s="357">
        <f t="shared" ref="X9:X72" si="19">LN(D9/D8)</f>
        <v>-0.325422400434628</v>
      </c>
      <c r="Y9" s="357">
        <f t="shared" ref="Y9:Y72" si="20">LN(E9/E8)</f>
        <v>-0.23638877806423039</v>
      </c>
      <c r="Z9" s="357">
        <f t="shared" ref="Z9:Z72" si="21">LN(F9/F8)</f>
        <v>-0.10536051565782628</v>
      </c>
      <c r="AA9" s="357">
        <f t="shared" ref="AA9:AA72" si="22">LN(G9/G8)</f>
        <v>-0.3285040669720361</v>
      </c>
      <c r="AB9" s="357">
        <f t="shared" ref="AB9:AB72" si="23">LN(H9/H8)</f>
        <v>0</v>
      </c>
      <c r="AC9" s="357">
        <f t="shared" ref="AC9:AC72" si="24">LN(I9/I8)</f>
        <v>-3.7740327982847086E-2</v>
      </c>
      <c r="AD9" s="357">
        <f t="shared" ref="AD9:AD72" si="25">LN(J9/J8)</f>
        <v>0</v>
      </c>
      <c r="AE9" s="379">
        <f t="shared" ref="AE9:AE72" si="26">LN(K9/K8)</f>
        <v>0</v>
      </c>
      <c r="AG9" s="451">
        <f t="shared" ref="AG9:AG40" si="27">M9-M$2</f>
        <v>-0.24813874134423464</v>
      </c>
      <c r="AH9" s="357">
        <f t="shared" ref="AH9:AH40" si="28">N9-N$2</f>
        <v>-0.29888785469505103</v>
      </c>
      <c r="AI9" s="357">
        <f t="shared" ref="AI9:AI40" si="29">O9-O$2</f>
        <v>-0.22479152207858893</v>
      </c>
      <c r="AJ9" s="357">
        <f t="shared" ref="AJ9:AJ40" si="30">P9-P$2</f>
        <v>-0.10994858862283824</v>
      </c>
      <c r="AK9" s="357">
        <f t="shared" ref="AK9:AK40" si="31">Q9-Q$2</f>
        <v>-0.28645667328556679</v>
      </c>
      <c r="AL9" s="357">
        <f t="shared" ref="AL9:AL40" si="32">R9-R$2</f>
        <v>-4.4708067204976532E-4</v>
      </c>
      <c r="AM9" s="357">
        <f t="shared" ref="AM9:AM72" si="33">S9-S$2</f>
        <v>-3.7207683772137991E-2</v>
      </c>
      <c r="AN9" s="357">
        <f t="shared" ref="AN9:AN72" si="34">T9-T$2</f>
        <v>1.9070751392640699E-5</v>
      </c>
      <c r="AO9" s="379">
        <f t="shared" ref="AO9:AO72" si="35">U9-U$2</f>
        <v>5.4711961047645428E-5</v>
      </c>
      <c r="AQ9" s="198" t="s">
        <v>29</v>
      </c>
      <c r="AR9" s="202">
        <f t="shared" ref="AR9:AZ9" si="36">CORREL($Q$9:$Q$369,M9:M369)</f>
        <v>0.23562814165611581</v>
      </c>
      <c r="AS9" s="202">
        <f t="shared" si="36"/>
        <v>0.43061338749453765</v>
      </c>
      <c r="AT9" s="202">
        <f t="shared" si="36"/>
        <v>0.42520692131373611</v>
      </c>
      <c r="AU9" s="202">
        <f t="shared" si="36"/>
        <v>0.34972354485935941</v>
      </c>
      <c r="AV9" s="202">
        <f t="shared" si="36"/>
        <v>0.99999999999999978</v>
      </c>
      <c r="AW9" s="202">
        <f t="shared" si="36"/>
        <v>0.34215033464256256</v>
      </c>
      <c r="AX9" s="202">
        <f t="shared" si="36"/>
        <v>7.2447262883973421E-2</v>
      </c>
      <c r="AY9" s="202">
        <f t="shared" si="36"/>
        <v>-0.10278348210991871</v>
      </c>
      <c r="AZ9" s="203">
        <f t="shared" si="36"/>
        <v>-6.6053011520514071E-2</v>
      </c>
      <c r="BD9" s="219" t="s">
        <v>155</v>
      </c>
      <c r="BE9" s="220"/>
      <c r="BF9" s="225">
        <f>BF5</f>
        <v>44896</v>
      </c>
      <c r="BG9" s="221">
        <f t="shared" ref="BG9:BN9" si="37">BG5</f>
        <v>44927</v>
      </c>
      <c r="BH9" s="221">
        <f t="shared" si="37"/>
        <v>44958</v>
      </c>
      <c r="BI9" s="221">
        <f t="shared" si="37"/>
        <v>44986</v>
      </c>
      <c r="BJ9" s="221" t="str">
        <f t="shared" si="37"/>
        <v>Abr-Dez 23</v>
      </c>
      <c r="BK9" s="455">
        <f t="shared" si="37"/>
        <v>2024</v>
      </c>
      <c r="BL9" s="455">
        <f t="shared" si="37"/>
        <v>2025</v>
      </c>
      <c r="BM9" s="455">
        <f t="shared" si="37"/>
        <v>2026</v>
      </c>
      <c r="BN9" s="456">
        <f t="shared" si="37"/>
        <v>2027</v>
      </c>
      <c r="BO9" s="1"/>
    </row>
    <row r="10" spans="2:69" x14ac:dyDescent="0.25">
      <c r="B10" s="449">
        <v>42387</v>
      </c>
      <c r="C10" s="237">
        <v>45</v>
      </c>
      <c r="D10" s="237">
        <v>50</v>
      </c>
      <c r="E10" s="237">
        <v>55</v>
      </c>
      <c r="F10" s="237">
        <v>60</v>
      </c>
      <c r="G10" s="237">
        <v>88</v>
      </c>
      <c r="H10" s="237">
        <v>125</v>
      </c>
      <c r="I10" s="237">
        <v>130</v>
      </c>
      <c r="J10" s="237">
        <v>130</v>
      </c>
      <c r="K10" s="450">
        <v>140</v>
      </c>
      <c r="M10" s="451">
        <f t="shared" ref="M10:M73" si="38">C10/C9-1</f>
        <v>-0.22413793103448276</v>
      </c>
      <c r="N10" s="357">
        <f t="shared" ref="N10:N73" si="39">D10/D9-1</f>
        <v>-0.23076923076923073</v>
      </c>
      <c r="O10" s="357">
        <f t="shared" ref="O10:O73" si="40">E10/E9-1</f>
        <v>-0.26666666666666672</v>
      </c>
      <c r="P10" s="357">
        <f t="shared" ref="P10:P73" si="41">F10/F9-1</f>
        <v>-0.33333333333333337</v>
      </c>
      <c r="Q10" s="357">
        <f t="shared" ref="Q10:Q73" si="42">G10/G9-1</f>
        <v>-2.2222222222222254E-2</v>
      </c>
      <c r="R10" s="357">
        <f t="shared" ref="R10:R73" si="43">H10/H9-1</f>
        <v>-3.8461538461538436E-2</v>
      </c>
      <c r="S10" s="357">
        <f t="shared" ref="S10:S73" si="44">I10/I9-1</f>
        <v>0</v>
      </c>
      <c r="T10" s="357">
        <f t="shared" ref="T10:T73" si="45">J10/J9-1</f>
        <v>-7.1428571428571397E-2</v>
      </c>
      <c r="U10" s="379">
        <f t="shared" ref="U10:U73" si="46">K10/K9-1</f>
        <v>0</v>
      </c>
      <c r="W10" s="451">
        <f t="shared" ref="W10:W73" si="47">LN(C10/C9)</f>
        <v>-0.25378052077609958</v>
      </c>
      <c r="X10" s="357">
        <f t="shared" si="19"/>
        <v>-0.262364264467491</v>
      </c>
      <c r="Y10" s="357">
        <f t="shared" si="20"/>
        <v>-0.31015492830383962</v>
      </c>
      <c r="Z10" s="357">
        <f t="shared" si="21"/>
        <v>-0.40546510810816444</v>
      </c>
      <c r="AA10" s="357">
        <f t="shared" si="22"/>
        <v>-2.2472855852058628E-2</v>
      </c>
      <c r="AB10" s="357">
        <f t="shared" si="23"/>
        <v>-3.9220713153281267E-2</v>
      </c>
      <c r="AC10" s="357">
        <f t="shared" si="24"/>
        <v>0</v>
      </c>
      <c r="AD10" s="357">
        <f t="shared" si="25"/>
        <v>-7.4107972153721849E-2</v>
      </c>
      <c r="AE10" s="379">
        <f t="shared" si="26"/>
        <v>0</v>
      </c>
      <c r="AG10" s="451">
        <f t="shared" si="27"/>
        <v>-0.24561000571205072</v>
      </c>
      <c r="AH10" s="357">
        <f t="shared" si="28"/>
        <v>-0.25187930768650396</v>
      </c>
      <c r="AI10" s="357">
        <f t="shared" si="29"/>
        <v>-0.28093187295578198</v>
      </c>
      <c r="AJ10" s="357">
        <f t="shared" si="30"/>
        <v>-0.34328192195617163</v>
      </c>
      <c r="AK10" s="357">
        <f t="shared" si="31"/>
        <v>-2.8678895507789022E-2</v>
      </c>
      <c r="AL10" s="357">
        <f t="shared" si="32"/>
        <v>-3.8908619133588201E-2</v>
      </c>
      <c r="AM10" s="357">
        <f t="shared" si="33"/>
        <v>-1.7064673510089895E-4</v>
      </c>
      <c r="AN10" s="357">
        <f t="shared" si="34"/>
        <v>-7.1409500677178758E-2</v>
      </c>
      <c r="AO10" s="379">
        <f t="shared" si="35"/>
        <v>5.4711961047645428E-5</v>
      </c>
      <c r="AQ10" s="198" t="s">
        <v>30</v>
      </c>
      <c r="AR10" s="202">
        <f t="shared" ref="AR10:AZ10" si="48">CORREL($R$9:$R$369,M9:M369)</f>
        <v>0.15187551913648667</v>
      </c>
      <c r="AS10" s="202">
        <f t="shared" si="48"/>
        <v>0.33418133590596538</v>
      </c>
      <c r="AT10" s="202">
        <f t="shared" si="48"/>
        <v>0.35265246502048414</v>
      </c>
      <c r="AU10" s="202">
        <f t="shared" si="48"/>
        <v>0.32952579275425387</v>
      </c>
      <c r="AV10" s="202">
        <f t="shared" si="48"/>
        <v>0.34215033464256256</v>
      </c>
      <c r="AW10" s="202">
        <f t="shared" si="48"/>
        <v>0.99999999999999989</v>
      </c>
      <c r="AX10" s="202">
        <f t="shared" si="48"/>
        <v>0.55995149821802215</v>
      </c>
      <c r="AY10" s="202">
        <f t="shared" si="48"/>
        <v>0.3144676194176157</v>
      </c>
      <c r="AZ10" s="203">
        <f t="shared" si="48"/>
        <v>0.30472140424574196</v>
      </c>
      <c r="BD10" s="213" t="s">
        <v>18</v>
      </c>
      <c r="BE10" s="222" t="s">
        <v>54</v>
      </c>
      <c r="BF10" s="226">
        <f>SUMIFS('MtM Releases'!$M:$M,'MtM Releases'!$D:$D,BF$9)</f>
        <v>-21374955.238405712</v>
      </c>
      <c r="BG10" s="206">
        <f>SUMIFS('MtM Releases'!$M:$M,'MtM Releases'!$D:$D,BG$9)</f>
        <v>-4962035.5636679856</v>
      </c>
      <c r="BH10" s="206">
        <f>SUMIFS('MtM Releases'!$M:$M,'MtM Releases'!$D:$D,BH$9)</f>
        <v>-2692503.1968442029</v>
      </c>
      <c r="BI10" s="206">
        <f>SUMIFS('MtM Releases'!$M:$M,'MtM Releases'!$D:$D,BI$9)</f>
        <v>-3964856.4729441768</v>
      </c>
      <c r="BJ10" s="206">
        <f>IF(LEN($BJ$9)=4,SUMIFS('MtM Releases'!$M:$M,'MtM Releases'!$D:$D,"&gt;="&amp;DATE($BJ$9,1,1),'MtM Releases'!$D:$D,"&lt;="&amp;DATE($BJ$9,12,1)),
IF(LEN($BJ$9)=6,SUMIFS('MtM Releases'!$M:$M,'MtM Releases'!$D:$D,$BJ$9),
SUMIFS('MtM Releases'!$M:$M,'MtM Releases'!$D:$D,"&gt;="&amp;DATE(YEAR($BI$9),MONTH($BI9)+1,1),'MtM Releases'!$D:$D,"&lt;="&amp;DATE(YEAR($BI$9),12,1))))</f>
        <v>4691940.8213506527</v>
      </c>
      <c r="BK10" s="206">
        <f>SUMIFS('MtM Releases'!$M:$M,'MtM Releases'!$D:$D,"&gt;="&amp;DATE(BK$9,1,1),'MtM Releases'!$D:$D,"&lt;="&amp;DATE(BK$9,12,1))</f>
        <v>-4092394.1833834946</v>
      </c>
      <c r="BL10" s="206">
        <f>SUMIFS('MtM Releases'!$M:$M,'MtM Releases'!$D:$D,"&gt;="&amp;DATE(BL$9,1,1),'MtM Releases'!$D:$D,"&lt;="&amp;DATE(BL$9,12,1))</f>
        <v>-5710103.3788205627</v>
      </c>
      <c r="BM10" s="206">
        <f>SUMIFS('MtM Releases'!$M:$M,'MtM Releases'!$D:$D,"&gt;="&amp;DATE(BM$9,1,1),'MtM Releases'!$D:$D,"&lt;="&amp;DATE(BM$9,12,1))</f>
        <v>0</v>
      </c>
      <c r="BN10" s="207">
        <f>SUMIFS('MtM Releases'!$M:$M,'MtM Releases'!$D:$D,"&gt;="&amp;DATE(BN$9,1,1),'MtM Releases'!$D:$D,"&lt;="&amp;DATE(BN$9,12,1))</f>
        <v>0</v>
      </c>
      <c r="BO10" s="150"/>
      <c r="BP10" s="85" t="b">
        <f>ROUND(RESULTADO!G157-SUM($BF$10:$BN$10),4)=0</f>
        <v>1</v>
      </c>
    </row>
    <row r="11" spans="2:69" ht="15.75" thickBot="1" x14ac:dyDescent="0.3">
      <c r="B11" s="449">
        <v>42394</v>
      </c>
      <c r="C11" s="237">
        <v>42</v>
      </c>
      <c r="D11" s="237">
        <v>45</v>
      </c>
      <c r="E11" s="237">
        <v>55</v>
      </c>
      <c r="F11" s="237">
        <v>60</v>
      </c>
      <c r="G11" s="237">
        <v>80</v>
      </c>
      <c r="H11" s="237">
        <v>120</v>
      </c>
      <c r="I11" s="237">
        <v>125</v>
      </c>
      <c r="J11" s="237">
        <v>130</v>
      </c>
      <c r="K11" s="450">
        <v>140</v>
      </c>
      <c r="M11" s="451">
        <f t="shared" si="38"/>
        <v>-6.6666666666666652E-2</v>
      </c>
      <c r="N11" s="357">
        <f t="shared" si="39"/>
        <v>-9.9999999999999978E-2</v>
      </c>
      <c r="O11" s="357">
        <f t="shared" si="40"/>
        <v>0</v>
      </c>
      <c r="P11" s="357">
        <f t="shared" si="41"/>
        <v>0</v>
      </c>
      <c r="Q11" s="357">
        <f t="shared" si="42"/>
        <v>-9.0909090909090939E-2</v>
      </c>
      <c r="R11" s="357">
        <f t="shared" si="43"/>
        <v>-4.0000000000000036E-2</v>
      </c>
      <c r="S11" s="357">
        <f t="shared" si="44"/>
        <v>-3.8461538461538436E-2</v>
      </c>
      <c r="T11" s="357">
        <f t="shared" si="45"/>
        <v>0</v>
      </c>
      <c r="U11" s="379">
        <f t="shared" si="46"/>
        <v>0</v>
      </c>
      <c r="W11" s="451">
        <f t="shared" si="47"/>
        <v>-6.8992871486951435E-2</v>
      </c>
      <c r="X11" s="357">
        <f t="shared" si="19"/>
        <v>-0.10536051565782628</v>
      </c>
      <c r="Y11" s="357">
        <f t="shared" si="20"/>
        <v>0</v>
      </c>
      <c r="Z11" s="357">
        <f t="shared" si="21"/>
        <v>0</v>
      </c>
      <c r="AA11" s="357">
        <f t="shared" si="22"/>
        <v>-9.5310179804324893E-2</v>
      </c>
      <c r="AB11" s="357">
        <f t="shared" si="23"/>
        <v>-4.0821994520255166E-2</v>
      </c>
      <c r="AC11" s="357">
        <f t="shared" si="24"/>
        <v>-3.9220713153281267E-2</v>
      </c>
      <c r="AD11" s="357">
        <f t="shared" si="25"/>
        <v>0</v>
      </c>
      <c r="AE11" s="379">
        <f t="shared" si="26"/>
        <v>0</v>
      </c>
      <c r="AG11" s="451">
        <f t="shared" si="27"/>
        <v>-8.8138741344234606E-2</v>
      </c>
      <c r="AH11" s="357">
        <f t="shared" si="28"/>
        <v>-0.12111007691727323</v>
      </c>
      <c r="AI11" s="357">
        <f t="shared" si="29"/>
        <v>-1.4265206289115274E-2</v>
      </c>
      <c r="AJ11" s="357">
        <f t="shared" si="30"/>
        <v>-9.9485886228382649E-3</v>
      </c>
      <c r="AK11" s="357">
        <f t="shared" si="31"/>
        <v>-9.73657641946577E-2</v>
      </c>
      <c r="AL11" s="357">
        <f t="shared" si="32"/>
        <v>-4.0447080672049801E-2</v>
      </c>
      <c r="AM11" s="357">
        <f t="shared" si="33"/>
        <v>-3.8632185196639336E-2</v>
      </c>
      <c r="AN11" s="357">
        <f t="shared" si="34"/>
        <v>1.9070751392640699E-5</v>
      </c>
      <c r="AO11" s="379">
        <f t="shared" si="35"/>
        <v>5.4711961047645428E-5</v>
      </c>
      <c r="AQ11" s="198" t="s">
        <v>31</v>
      </c>
      <c r="AR11" s="202">
        <f t="shared" ref="AR11:AZ11" si="49">CORREL($S$9:$S$369,M9:M369)</f>
        <v>0.10812970837780102</v>
      </c>
      <c r="AS11" s="202">
        <f t="shared" si="49"/>
        <v>6.7547874062004423E-2</v>
      </c>
      <c r="AT11" s="202">
        <f t="shared" si="49"/>
        <v>8.2383213081088133E-2</v>
      </c>
      <c r="AU11" s="202">
        <f t="shared" si="49"/>
        <v>0.11014228007944035</v>
      </c>
      <c r="AV11" s="202">
        <f t="shared" si="49"/>
        <v>7.2447262883973421E-2</v>
      </c>
      <c r="AW11" s="202">
        <f t="shared" si="49"/>
        <v>0.55995149821802215</v>
      </c>
      <c r="AX11" s="202">
        <f t="shared" si="49"/>
        <v>1.0000000000000002</v>
      </c>
      <c r="AY11" s="202">
        <f t="shared" si="49"/>
        <v>0.68145594497842021</v>
      </c>
      <c r="AZ11" s="203">
        <f t="shared" si="49"/>
        <v>0.626326053995373</v>
      </c>
      <c r="BD11" s="219" t="s">
        <v>257</v>
      </c>
      <c r="BE11" s="220"/>
      <c r="BF11" s="225">
        <f>BF5</f>
        <v>44896</v>
      </c>
      <c r="BG11" s="221">
        <f t="shared" ref="BG11:BN11" si="50">BG5</f>
        <v>44927</v>
      </c>
      <c r="BH11" s="221">
        <f t="shared" si="50"/>
        <v>44958</v>
      </c>
      <c r="BI11" s="221">
        <f t="shared" si="50"/>
        <v>44986</v>
      </c>
      <c r="BJ11" s="221" t="str">
        <f t="shared" si="50"/>
        <v>Abr-Dez 23</v>
      </c>
      <c r="BK11" s="455">
        <f t="shared" si="50"/>
        <v>2024</v>
      </c>
      <c r="BL11" s="455">
        <f t="shared" si="50"/>
        <v>2025</v>
      </c>
      <c r="BM11" s="455">
        <f t="shared" si="50"/>
        <v>2026</v>
      </c>
      <c r="BN11" s="456">
        <f t="shared" si="50"/>
        <v>2027</v>
      </c>
      <c r="BO11" s="1"/>
    </row>
    <row r="12" spans="2:69" x14ac:dyDescent="0.25">
      <c r="B12" s="449">
        <v>42401</v>
      </c>
      <c r="C12" s="237">
        <v>40</v>
      </c>
      <c r="D12" s="237">
        <v>43</v>
      </c>
      <c r="E12" s="237">
        <v>50</v>
      </c>
      <c r="F12" s="237">
        <v>55</v>
      </c>
      <c r="G12" s="237">
        <v>65</v>
      </c>
      <c r="H12" s="237">
        <v>110</v>
      </c>
      <c r="I12" s="237">
        <v>120</v>
      </c>
      <c r="J12" s="237">
        <v>125</v>
      </c>
      <c r="K12" s="450">
        <v>130</v>
      </c>
      <c r="M12" s="451">
        <f t="shared" si="38"/>
        <v>-4.7619047619047672E-2</v>
      </c>
      <c r="N12" s="357">
        <f t="shared" si="39"/>
        <v>-4.4444444444444398E-2</v>
      </c>
      <c r="O12" s="357">
        <f t="shared" si="40"/>
        <v>-9.0909090909090939E-2</v>
      </c>
      <c r="P12" s="357">
        <f t="shared" si="41"/>
        <v>-8.333333333333337E-2</v>
      </c>
      <c r="Q12" s="357">
        <f t="shared" si="42"/>
        <v>-0.1875</v>
      </c>
      <c r="R12" s="357">
        <f t="shared" si="43"/>
        <v>-8.333333333333337E-2</v>
      </c>
      <c r="S12" s="357">
        <f t="shared" si="44"/>
        <v>-4.0000000000000036E-2</v>
      </c>
      <c r="T12" s="357">
        <f t="shared" si="45"/>
        <v>-3.8461538461538436E-2</v>
      </c>
      <c r="U12" s="379">
        <f t="shared" si="46"/>
        <v>-7.1428571428571397E-2</v>
      </c>
      <c r="W12" s="451">
        <f t="shared" si="47"/>
        <v>-4.8790164169432056E-2</v>
      </c>
      <c r="X12" s="357">
        <f t="shared" si="19"/>
        <v>-4.5462374076757288E-2</v>
      </c>
      <c r="Y12" s="357">
        <f t="shared" si="20"/>
        <v>-9.5310179804324893E-2</v>
      </c>
      <c r="Z12" s="357">
        <f t="shared" si="21"/>
        <v>-8.701137698962981E-2</v>
      </c>
      <c r="AA12" s="357">
        <f t="shared" si="22"/>
        <v>-0.20763936477824449</v>
      </c>
      <c r="AB12" s="357">
        <f t="shared" si="23"/>
        <v>-8.701137698962981E-2</v>
      </c>
      <c r="AC12" s="357">
        <f t="shared" si="24"/>
        <v>-4.0821994520255166E-2</v>
      </c>
      <c r="AD12" s="357">
        <f t="shared" si="25"/>
        <v>-3.9220713153281267E-2</v>
      </c>
      <c r="AE12" s="379">
        <f t="shared" si="26"/>
        <v>-7.4107972153721849E-2</v>
      </c>
      <c r="AG12" s="451">
        <f t="shared" si="27"/>
        <v>-6.9091122296615626E-2</v>
      </c>
      <c r="AH12" s="357">
        <f t="shared" si="28"/>
        <v>-6.5554521361717646E-2</v>
      </c>
      <c r="AI12" s="357">
        <f t="shared" si="29"/>
        <v>-0.10517429719820622</v>
      </c>
      <c r="AJ12" s="357">
        <f t="shared" si="30"/>
        <v>-9.3281921956171632E-2</v>
      </c>
      <c r="AK12" s="357">
        <f t="shared" si="31"/>
        <v>-0.19395667328556676</v>
      </c>
      <c r="AL12" s="357">
        <f t="shared" si="32"/>
        <v>-8.3780414005383136E-2</v>
      </c>
      <c r="AM12" s="357">
        <f t="shared" si="33"/>
        <v>-4.0170646735100936E-2</v>
      </c>
      <c r="AN12" s="357">
        <f t="shared" si="34"/>
        <v>-3.8442467710145797E-2</v>
      </c>
      <c r="AO12" s="379">
        <f t="shared" si="35"/>
        <v>-7.1373859467523754E-2</v>
      </c>
      <c r="AQ12" s="198" t="s">
        <v>32</v>
      </c>
      <c r="AR12" s="202">
        <f t="shared" ref="AR12:AZ12" si="51">CORREL($T$9:$T$369,M9:M369)</f>
        <v>0.12382342925539337</v>
      </c>
      <c r="AS12" s="202">
        <f t="shared" si="51"/>
        <v>4.8714948705155213E-2</v>
      </c>
      <c r="AT12" s="202">
        <f t="shared" si="51"/>
        <v>8.8495123329596651E-2</v>
      </c>
      <c r="AU12" s="202">
        <f t="shared" si="51"/>
        <v>0.10627084475912825</v>
      </c>
      <c r="AV12" s="202">
        <f t="shared" si="51"/>
        <v>-0.10278348210991871</v>
      </c>
      <c r="AW12" s="202">
        <f t="shared" si="51"/>
        <v>0.3144676194176157</v>
      </c>
      <c r="AX12" s="202">
        <f t="shared" si="51"/>
        <v>0.68145594497842021</v>
      </c>
      <c r="AY12" s="202">
        <f t="shared" si="51"/>
        <v>0.99999999999999978</v>
      </c>
      <c r="AZ12" s="203">
        <f t="shared" si="51"/>
        <v>0.7774761243962125</v>
      </c>
      <c r="BD12" s="214" t="s">
        <v>18</v>
      </c>
      <c r="BE12" s="223" t="s">
        <v>54</v>
      </c>
      <c r="BF12" s="227">
        <f>BF6+BF10</f>
        <v>-380707.42662259936</v>
      </c>
      <c r="BG12" s="208">
        <f t="shared" ref="BG12:BI12" si="52">BG6+BG10</f>
        <v>355304.59607427847</v>
      </c>
      <c r="BH12" s="208">
        <f t="shared" si="52"/>
        <v>-145377.95197369531</v>
      </c>
      <c r="BI12" s="208">
        <f t="shared" si="52"/>
        <v>-175189.36112613464</v>
      </c>
      <c r="BJ12" s="208">
        <f>BJ6+BJ10</f>
        <v>6410311.9295288101</v>
      </c>
      <c r="BK12" s="208">
        <f>BK6+BK10</f>
        <v>8853952.3978238627</v>
      </c>
      <c r="BL12" s="208">
        <f>BL6+BL10</f>
        <v>0</v>
      </c>
      <c r="BM12" s="208">
        <f>BM6+BM10</f>
        <v>0</v>
      </c>
      <c r="BN12" s="209">
        <f>BN6+BN10</f>
        <v>0</v>
      </c>
      <c r="BP12" s="1">
        <f>ABS(BF12)+ABS(BG12)+ABS(BH12)+ABS(BI12)+ABS(BJ12)+ABS(BK12)+ABS(BL12)+ABS(BM12)+ABS(BN12)</f>
        <v>16320843.663149381</v>
      </c>
    </row>
    <row r="13" spans="2:69" ht="15.75" thickBot="1" x14ac:dyDescent="0.3">
      <c r="B13" s="449">
        <v>42415</v>
      </c>
      <c r="C13" s="237">
        <v>40</v>
      </c>
      <c r="D13" s="237">
        <v>55</v>
      </c>
      <c r="E13" s="237">
        <v>60</v>
      </c>
      <c r="F13" s="237">
        <v>65</v>
      </c>
      <c r="G13" s="237">
        <v>70</v>
      </c>
      <c r="H13" s="237">
        <v>110</v>
      </c>
      <c r="I13" s="237">
        <v>120</v>
      </c>
      <c r="J13" s="237">
        <v>125</v>
      </c>
      <c r="K13" s="450">
        <v>130</v>
      </c>
      <c r="M13" s="451">
        <f t="shared" si="38"/>
        <v>0</v>
      </c>
      <c r="N13" s="357">
        <f t="shared" si="39"/>
        <v>0.27906976744186052</v>
      </c>
      <c r="O13" s="357">
        <f t="shared" si="40"/>
        <v>0.19999999999999996</v>
      </c>
      <c r="P13" s="357">
        <f t="shared" si="41"/>
        <v>0.18181818181818188</v>
      </c>
      <c r="Q13" s="357">
        <f t="shared" si="42"/>
        <v>7.6923076923076872E-2</v>
      </c>
      <c r="R13" s="357">
        <f t="shared" si="43"/>
        <v>0</v>
      </c>
      <c r="S13" s="357">
        <f t="shared" si="44"/>
        <v>0</v>
      </c>
      <c r="T13" s="357">
        <f t="shared" si="45"/>
        <v>0</v>
      </c>
      <c r="U13" s="379">
        <f t="shared" si="46"/>
        <v>0</v>
      </c>
      <c r="W13" s="451">
        <f t="shared" si="47"/>
        <v>0</v>
      </c>
      <c r="X13" s="357">
        <f t="shared" si="19"/>
        <v>0.24613306953890854</v>
      </c>
      <c r="Y13" s="357">
        <f t="shared" si="20"/>
        <v>0.18232155679395459</v>
      </c>
      <c r="Z13" s="357">
        <f t="shared" si="21"/>
        <v>0.16705408466316624</v>
      </c>
      <c r="AA13" s="357">
        <f t="shared" si="22"/>
        <v>7.4107972153721835E-2</v>
      </c>
      <c r="AB13" s="357">
        <f t="shared" si="23"/>
        <v>0</v>
      </c>
      <c r="AC13" s="357">
        <f t="shared" si="24"/>
        <v>0</v>
      </c>
      <c r="AD13" s="357">
        <f t="shared" si="25"/>
        <v>0</v>
      </c>
      <c r="AE13" s="379">
        <f t="shared" si="26"/>
        <v>0</v>
      </c>
      <c r="AG13" s="451">
        <f t="shared" si="27"/>
        <v>-2.1472074677567957E-2</v>
      </c>
      <c r="AH13" s="357">
        <f t="shared" si="28"/>
        <v>0.25795969052458728</v>
      </c>
      <c r="AI13" s="357">
        <f t="shared" si="29"/>
        <v>0.18573479371088469</v>
      </c>
      <c r="AJ13" s="357">
        <f t="shared" si="30"/>
        <v>0.17186959319534362</v>
      </c>
      <c r="AK13" s="357">
        <f t="shared" si="31"/>
        <v>7.0466403637510111E-2</v>
      </c>
      <c r="AL13" s="357">
        <f t="shared" si="32"/>
        <v>-4.4708067204976532E-4</v>
      </c>
      <c r="AM13" s="357">
        <f t="shared" si="33"/>
        <v>-1.7064673510089895E-4</v>
      </c>
      <c r="AN13" s="357">
        <f t="shared" si="34"/>
        <v>1.9070751392640699E-5</v>
      </c>
      <c r="AO13" s="379">
        <f t="shared" si="35"/>
        <v>5.4711961047645428E-5</v>
      </c>
      <c r="AQ13" s="199" t="s">
        <v>33</v>
      </c>
      <c r="AR13" s="204">
        <f t="shared" ref="AR13:AZ13" si="53">CORREL($U$9:$U$369,M9:M369)</f>
        <v>6.9730624446540379E-2</v>
      </c>
      <c r="AS13" s="204">
        <f t="shared" si="53"/>
        <v>1.7533576157534543E-2</v>
      </c>
      <c r="AT13" s="204">
        <f t="shared" si="53"/>
        <v>4.2760682719385136E-2</v>
      </c>
      <c r="AU13" s="204">
        <f t="shared" si="53"/>
        <v>2.053811302498355E-2</v>
      </c>
      <c r="AV13" s="204">
        <f t="shared" si="53"/>
        <v>-6.6053011520514071E-2</v>
      </c>
      <c r="AW13" s="204">
        <f t="shared" si="53"/>
        <v>0.30472140424574196</v>
      </c>
      <c r="AX13" s="204">
        <f t="shared" si="53"/>
        <v>0.626326053995373</v>
      </c>
      <c r="AY13" s="204">
        <f t="shared" si="53"/>
        <v>0.7774761243962125</v>
      </c>
      <c r="AZ13" s="205">
        <f t="shared" si="53"/>
        <v>0.99999999999999989</v>
      </c>
      <c r="BF13" s="2"/>
      <c r="BG13" s="2"/>
      <c r="BH13" s="2"/>
      <c r="BI13" s="2"/>
      <c r="BJ13" s="2"/>
      <c r="BK13" s="2"/>
      <c r="BL13" s="2"/>
      <c r="BM13" s="2"/>
      <c r="BN13" s="2"/>
      <c r="BP13" s="2"/>
      <c r="BQ13" s="1"/>
    </row>
    <row r="14" spans="2:69" ht="15.75" thickBot="1" x14ac:dyDescent="0.3">
      <c r="B14" s="449">
        <v>42422</v>
      </c>
      <c r="C14" s="237">
        <v>39</v>
      </c>
      <c r="D14" s="237">
        <v>54</v>
      </c>
      <c r="E14" s="237">
        <v>60</v>
      </c>
      <c r="F14" s="237">
        <v>65</v>
      </c>
      <c r="G14" s="237">
        <v>70</v>
      </c>
      <c r="H14" s="237">
        <v>115</v>
      </c>
      <c r="I14" s="237">
        <v>120</v>
      </c>
      <c r="J14" s="237">
        <v>125</v>
      </c>
      <c r="K14" s="450">
        <v>130</v>
      </c>
      <c r="M14" s="451">
        <f t="shared" si="38"/>
        <v>-2.5000000000000022E-2</v>
      </c>
      <c r="N14" s="357">
        <f t="shared" si="39"/>
        <v>-1.8181818181818188E-2</v>
      </c>
      <c r="O14" s="357">
        <f t="shared" si="40"/>
        <v>0</v>
      </c>
      <c r="P14" s="357">
        <f t="shared" si="41"/>
        <v>0</v>
      </c>
      <c r="Q14" s="357">
        <f t="shared" si="42"/>
        <v>0</v>
      </c>
      <c r="R14" s="357">
        <f t="shared" si="43"/>
        <v>4.5454545454545414E-2</v>
      </c>
      <c r="S14" s="357">
        <f t="shared" si="44"/>
        <v>0</v>
      </c>
      <c r="T14" s="357">
        <f t="shared" si="45"/>
        <v>0</v>
      </c>
      <c r="U14" s="379">
        <f t="shared" si="46"/>
        <v>0</v>
      </c>
      <c r="W14" s="451">
        <f t="shared" si="47"/>
        <v>-2.5317807984289897E-2</v>
      </c>
      <c r="X14" s="357">
        <f t="shared" si="19"/>
        <v>-1.8349138668196541E-2</v>
      </c>
      <c r="Y14" s="357">
        <f t="shared" si="20"/>
        <v>0</v>
      </c>
      <c r="Z14" s="357">
        <f t="shared" si="21"/>
        <v>0</v>
      </c>
      <c r="AA14" s="357">
        <f t="shared" si="22"/>
        <v>0</v>
      </c>
      <c r="AB14" s="357">
        <f t="shared" si="23"/>
        <v>4.4451762570833796E-2</v>
      </c>
      <c r="AC14" s="357">
        <f t="shared" si="24"/>
        <v>0</v>
      </c>
      <c r="AD14" s="357">
        <f t="shared" si="25"/>
        <v>0</v>
      </c>
      <c r="AE14" s="379">
        <f t="shared" si="26"/>
        <v>0</v>
      </c>
      <c r="AG14" s="451">
        <f t="shared" si="27"/>
        <v>-4.6472074677567976E-2</v>
      </c>
      <c r="AH14" s="357">
        <f t="shared" si="28"/>
        <v>-3.9291895099091437E-2</v>
      </c>
      <c r="AI14" s="357">
        <f t="shared" si="29"/>
        <v>-1.4265206289115274E-2</v>
      </c>
      <c r="AJ14" s="357">
        <f t="shared" si="30"/>
        <v>-9.9485886228382649E-3</v>
      </c>
      <c r="AK14" s="357">
        <f t="shared" si="31"/>
        <v>-6.4566732855667669E-3</v>
      </c>
      <c r="AL14" s="357">
        <f t="shared" si="32"/>
        <v>4.5007464782495649E-2</v>
      </c>
      <c r="AM14" s="357">
        <f t="shared" si="33"/>
        <v>-1.7064673510089895E-4</v>
      </c>
      <c r="AN14" s="357">
        <f t="shared" si="34"/>
        <v>1.9070751392640699E-5</v>
      </c>
      <c r="AO14" s="379">
        <f t="shared" si="35"/>
        <v>5.4711961047645428E-5</v>
      </c>
      <c r="BD14" s="812" t="s">
        <v>278</v>
      </c>
      <c r="BE14" s="813"/>
      <c r="BF14" s="813"/>
      <c r="BG14" s="813"/>
      <c r="BH14" s="813"/>
      <c r="BI14" s="813"/>
      <c r="BJ14" s="813"/>
      <c r="BK14" s="813"/>
      <c r="BL14" s="813"/>
      <c r="BM14" s="813"/>
      <c r="BN14" s="814"/>
      <c r="BP14" s="2"/>
    </row>
    <row r="15" spans="2:69" ht="15.75" thickBot="1" x14ac:dyDescent="0.3">
      <c r="B15" s="449">
        <v>42429</v>
      </c>
      <c r="C15" s="237">
        <v>43</v>
      </c>
      <c r="D15" s="237">
        <v>50</v>
      </c>
      <c r="E15" s="237">
        <v>64</v>
      </c>
      <c r="F15" s="237">
        <v>65</v>
      </c>
      <c r="G15" s="237">
        <v>70</v>
      </c>
      <c r="H15" s="237">
        <v>113</v>
      </c>
      <c r="I15" s="237">
        <v>120</v>
      </c>
      <c r="J15" s="237">
        <v>120</v>
      </c>
      <c r="K15" s="450">
        <v>125</v>
      </c>
      <c r="M15" s="451">
        <f t="shared" si="38"/>
        <v>0.10256410256410264</v>
      </c>
      <c r="N15" s="357">
        <f t="shared" si="39"/>
        <v>-7.407407407407407E-2</v>
      </c>
      <c r="O15" s="357">
        <f t="shared" si="40"/>
        <v>6.6666666666666652E-2</v>
      </c>
      <c r="P15" s="357">
        <f t="shared" si="41"/>
        <v>0</v>
      </c>
      <c r="Q15" s="357">
        <f t="shared" si="42"/>
        <v>0</v>
      </c>
      <c r="R15" s="357">
        <f t="shared" si="43"/>
        <v>-1.7391304347826098E-2</v>
      </c>
      <c r="S15" s="357">
        <f t="shared" si="44"/>
        <v>0</v>
      </c>
      <c r="T15" s="357">
        <f t="shared" si="45"/>
        <v>-4.0000000000000036E-2</v>
      </c>
      <c r="U15" s="379">
        <f t="shared" si="46"/>
        <v>-3.8461538461538436E-2</v>
      </c>
      <c r="W15" s="451">
        <f t="shared" si="47"/>
        <v>9.7638469563916072E-2</v>
      </c>
      <c r="X15" s="357">
        <f t="shared" si="19"/>
        <v>-7.6961041136128325E-2</v>
      </c>
      <c r="Y15" s="357">
        <f t="shared" si="20"/>
        <v>6.4538521137571164E-2</v>
      </c>
      <c r="Z15" s="357">
        <f t="shared" si="21"/>
        <v>0</v>
      </c>
      <c r="AA15" s="357">
        <f t="shared" si="22"/>
        <v>0</v>
      </c>
      <c r="AB15" s="357">
        <f t="shared" si="23"/>
        <v>-1.7544309650909508E-2</v>
      </c>
      <c r="AC15" s="357">
        <f t="shared" si="24"/>
        <v>0</v>
      </c>
      <c r="AD15" s="357">
        <f t="shared" si="25"/>
        <v>-4.0821994520255166E-2</v>
      </c>
      <c r="AE15" s="379">
        <f t="shared" si="26"/>
        <v>-3.9220713153281267E-2</v>
      </c>
      <c r="AG15" s="451">
        <f t="shared" si="27"/>
        <v>8.109202788653469E-2</v>
      </c>
      <c r="AH15" s="357">
        <f t="shared" si="28"/>
        <v>-9.5184150991347319E-2</v>
      </c>
      <c r="AI15" s="357">
        <f t="shared" si="29"/>
        <v>5.2401460377551376E-2</v>
      </c>
      <c r="AJ15" s="357">
        <f t="shared" si="30"/>
        <v>-9.9485886228382649E-3</v>
      </c>
      <c r="AK15" s="357">
        <f t="shared" si="31"/>
        <v>-6.4566732855667669E-3</v>
      </c>
      <c r="AL15" s="357">
        <f t="shared" si="32"/>
        <v>-1.7838385019875863E-2</v>
      </c>
      <c r="AM15" s="357">
        <f t="shared" si="33"/>
        <v>-1.7064673510089895E-4</v>
      </c>
      <c r="AN15" s="357">
        <f t="shared" si="34"/>
        <v>-3.9980929248607397E-2</v>
      </c>
      <c r="AO15" s="379">
        <f t="shared" si="35"/>
        <v>-3.8406826500490793E-2</v>
      </c>
      <c r="AQ15" s="444" t="s">
        <v>252</v>
      </c>
      <c r="AR15" s="196">
        <f>AR20-M4</f>
        <v>0</v>
      </c>
      <c r="AS15" s="196">
        <f>AS21-N4</f>
        <v>0</v>
      </c>
      <c r="AT15" s="196">
        <f>AT22-O4</f>
        <v>0</v>
      </c>
      <c r="AU15" s="196">
        <f>AU23-P4</f>
        <v>0</v>
      </c>
      <c r="AV15" s="196">
        <f>AV24-Q4</f>
        <v>0</v>
      </c>
      <c r="AW15" s="592">
        <f>AW25-R4</f>
        <v>0</v>
      </c>
      <c r="AX15" s="592">
        <f>AX26-S4</f>
        <v>-1.1926223897340549E-18</v>
      </c>
      <c r="AY15" s="592">
        <f>AY27-T4</f>
        <v>1.1384122811097797E-18</v>
      </c>
      <c r="AZ15" s="593">
        <f>AZ28-U4</f>
        <v>0</v>
      </c>
      <c r="BB15" s="2" t="b">
        <f>ROUND(SUM(AR15:AZ15),6)=0</f>
        <v>1</v>
      </c>
      <c r="BP15" s="2"/>
    </row>
    <row r="16" spans="2:69" ht="15.75" thickBot="1" x14ac:dyDescent="0.3">
      <c r="B16" s="449">
        <v>42436</v>
      </c>
      <c r="C16" s="237">
        <v>49</v>
      </c>
      <c r="D16" s="237">
        <v>50</v>
      </c>
      <c r="E16" s="237">
        <v>64</v>
      </c>
      <c r="F16" s="237">
        <v>65</v>
      </c>
      <c r="G16" s="237">
        <v>70</v>
      </c>
      <c r="H16" s="237">
        <v>113</v>
      </c>
      <c r="I16" s="237">
        <v>120</v>
      </c>
      <c r="J16" s="237">
        <v>120</v>
      </c>
      <c r="K16" s="450">
        <v>125</v>
      </c>
      <c r="M16" s="451">
        <f t="shared" si="38"/>
        <v>0.13953488372093026</v>
      </c>
      <c r="N16" s="357">
        <f t="shared" si="39"/>
        <v>0</v>
      </c>
      <c r="O16" s="357">
        <f t="shared" si="40"/>
        <v>0</v>
      </c>
      <c r="P16" s="357">
        <f t="shared" si="41"/>
        <v>0</v>
      </c>
      <c r="Q16" s="357">
        <f t="shared" si="42"/>
        <v>0</v>
      </c>
      <c r="R16" s="357">
        <f t="shared" si="43"/>
        <v>0</v>
      </c>
      <c r="S16" s="357">
        <f t="shared" si="44"/>
        <v>0</v>
      </c>
      <c r="T16" s="357">
        <f t="shared" si="45"/>
        <v>0</v>
      </c>
      <c r="U16" s="379">
        <f t="shared" si="46"/>
        <v>0</v>
      </c>
      <c r="W16" s="451">
        <f t="shared" si="47"/>
        <v>0.13062018241706422</v>
      </c>
      <c r="X16" s="357">
        <f t="shared" si="19"/>
        <v>0</v>
      </c>
      <c r="Y16" s="357">
        <f t="shared" si="20"/>
        <v>0</v>
      </c>
      <c r="Z16" s="357">
        <f t="shared" si="21"/>
        <v>0</v>
      </c>
      <c r="AA16" s="357">
        <f t="shared" si="22"/>
        <v>0</v>
      </c>
      <c r="AB16" s="357">
        <f t="shared" si="23"/>
        <v>0</v>
      </c>
      <c r="AC16" s="357">
        <f t="shared" si="24"/>
        <v>0</v>
      </c>
      <c r="AD16" s="357">
        <f t="shared" si="25"/>
        <v>0</v>
      </c>
      <c r="AE16" s="379">
        <f t="shared" si="26"/>
        <v>0</v>
      </c>
      <c r="AG16" s="451">
        <f t="shared" si="27"/>
        <v>0.1180628090433623</v>
      </c>
      <c r="AH16" s="357">
        <f t="shared" si="28"/>
        <v>-2.1110076917273252E-2</v>
      </c>
      <c r="AI16" s="357">
        <f t="shared" si="29"/>
        <v>-1.4265206289115274E-2</v>
      </c>
      <c r="AJ16" s="357">
        <f t="shared" si="30"/>
        <v>-9.9485886228382649E-3</v>
      </c>
      <c r="AK16" s="357">
        <f t="shared" si="31"/>
        <v>-6.4566732855667669E-3</v>
      </c>
      <c r="AL16" s="357">
        <f t="shared" si="32"/>
        <v>-4.4708067204976532E-4</v>
      </c>
      <c r="AM16" s="357">
        <f t="shared" si="33"/>
        <v>-1.7064673510089895E-4</v>
      </c>
      <c r="AN16" s="357">
        <f t="shared" si="34"/>
        <v>1.9070751392640699E-5</v>
      </c>
      <c r="AO16" s="379">
        <f t="shared" si="35"/>
        <v>5.4711961047645428E-5</v>
      </c>
      <c r="BD16" s="215"/>
      <c r="BE16" s="216"/>
      <c r="BF16" s="224" t="s">
        <v>25</v>
      </c>
      <c r="BG16" s="217" t="s">
        <v>26</v>
      </c>
      <c r="BH16" s="217" t="s">
        <v>27</v>
      </c>
      <c r="BI16" s="217" t="s">
        <v>28</v>
      </c>
      <c r="BJ16" s="217" t="s">
        <v>29</v>
      </c>
      <c r="BK16" s="217" t="s">
        <v>30</v>
      </c>
      <c r="BL16" s="217" t="s">
        <v>31</v>
      </c>
      <c r="BM16" s="217" t="s">
        <v>32</v>
      </c>
      <c r="BN16" s="218" t="s">
        <v>33</v>
      </c>
      <c r="BP16" s="2"/>
    </row>
    <row r="17" spans="2:68" ht="15.75" thickBot="1" x14ac:dyDescent="0.3">
      <c r="B17" s="449">
        <v>42443</v>
      </c>
      <c r="C17" s="237">
        <v>47</v>
      </c>
      <c r="D17" s="237">
        <v>50</v>
      </c>
      <c r="E17" s="237">
        <v>63</v>
      </c>
      <c r="F17" s="237">
        <v>64</v>
      </c>
      <c r="G17" s="237">
        <v>70</v>
      </c>
      <c r="H17" s="237">
        <v>110</v>
      </c>
      <c r="I17" s="237">
        <v>120</v>
      </c>
      <c r="J17" s="237">
        <v>120</v>
      </c>
      <c r="K17" s="450">
        <v>125</v>
      </c>
      <c r="M17" s="451">
        <f t="shared" si="38"/>
        <v>-4.081632653061229E-2</v>
      </c>
      <c r="N17" s="357">
        <f t="shared" si="39"/>
        <v>0</v>
      </c>
      <c r="O17" s="357">
        <f t="shared" si="40"/>
        <v>-1.5625E-2</v>
      </c>
      <c r="P17" s="357">
        <f t="shared" si="41"/>
        <v>-1.538461538461533E-2</v>
      </c>
      <c r="Q17" s="357">
        <f t="shared" si="42"/>
        <v>0</v>
      </c>
      <c r="R17" s="357">
        <f t="shared" si="43"/>
        <v>-2.6548672566371723E-2</v>
      </c>
      <c r="S17" s="357">
        <f t="shared" si="44"/>
        <v>0</v>
      </c>
      <c r="T17" s="357">
        <f t="shared" si="45"/>
        <v>0</v>
      </c>
      <c r="U17" s="379">
        <f t="shared" si="46"/>
        <v>0</v>
      </c>
      <c r="W17" s="451">
        <f t="shared" si="47"/>
        <v>-4.1672696400568074E-2</v>
      </c>
      <c r="X17" s="357">
        <f t="shared" si="19"/>
        <v>0</v>
      </c>
      <c r="Y17" s="357">
        <f>LN(E17/E16)</f>
        <v>-1.5748356968139168E-2</v>
      </c>
      <c r="Z17" s="357">
        <f t="shared" si="21"/>
        <v>-1.5504186535965199E-2</v>
      </c>
      <c r="AA17" s="357">
        <f t="shared" si="22"/>
        <v>0</v>
      </c>
      <c r="AB17" s="357">
        <f t="shared" si="23"/>
        <v>-2.6907452919924382E-2</v>
      </c>
      <c r="AC17" s="357">
        <f t="shared" si="24"/>
        <v>0</v>
      </c>
      <c r="AD17" s="357">
        <f t="shared" si="25"/>
        <v>0</v>
      </c>
      <c r="AE17" s="379">
        <f t="shared" si="26"/>
        <v>0</v>
      </c>
      <c r="AG17" s="451">
        <f t="shared" si="27"/>
        <v>-6.2288401208180244E-2</v>
      </c>
      <c r="AH17" s="357">
        <f t="shared" si="28"/>
        <v>-2.1110076917273252E-2</v>
      </c>
      <c r="AI17" s="357">
        <f t="shared" si="29"/>
        <v>-2.9890206289115276E-2</v>
      </c>
      <c r="AJ17" s="357">
        <f t="shared" si="30"/>
        <v>-2.5333204007453595E-2</v>
      </c>
      <c r="AK17" s="357">
        <f t="shared" si="31"/>
        <v>-6.4566732855667669E-3</v>
      </c>
      <c r="AL17" s="357">
        <f t="shared" si="32"/>
        <v>-2.6995753238421488E-2</v>
      </c>
      <c r="AM17" s="357">
        <f t="shared" si="33"/>
        <v>-1.7064673510089895E-4</v>
      </c>
      <c r="AN17" s="357">
        <f t="shared" si="34"/>
        <v>1.9070751392640699E-5</v>
      </c>
      <c r="AO17" s="379">
        <f t="shared" si="35"/>
        <v>5.4711961047645428E-5</v>
      </c>
      <c r="AQ17" s="812" t="s">
        <v>251</v>
      </c>
      <c r="AR17" s="813"/>
      <c r="AS17" s="813"/>
      <c r="AT17" s="813"/>
      <c r="AU17" s="813"/>
      <c r="AV17" s="813"/>
      <c r="AW17" s="813"/>
      <c r="AX17" s="813"/>
      <c r="AY17" s="813"/>
      <c r="AZ17" s="814"/>
      <c r="BD17" s="219" t="s">
        <v>257</v>
      </c>
      <c r="BE17" s="220"/>
      <c r="BF17" s="225">
        <f>BF5</f>
        <v>44896</v>
      </c>
      <c r="BG17" s="221">
        <f t="shared" ref="BG17:BN17" si="54">BG5</f>
        <v>44927</v>
      </c>
      <c r="BH17" s="221">
        <f t="shared" si="54"/>
        <v>44958</v>
      </c>
      <c r="BI17" s="221">
        <f t="shared" si="54"/>
        <v>44986</v>
      </c>
      <c r="BJ17" s="221" t="str">
        <f t="shared" si="54"/>
        <v>Abr-Dez 23</v>
      </c>
      <c r="BK17" s="455">
        <f t="shared" si="54"/>
        <v>2024</v>
      </c>
      <c r="BL17" s="455">
        <f t="shared" si="54"/>
        <v>2025</v>
      </c>
      <c r="BM17" s="455">
        <f t="shared" si="54"/>
        <v>2026</v>
      </c>
      <c r="BN17" s="456">
        <f t="shared" si="54"/>
        <v>2027</v>
      </c>
      <c r="BP17" s="85" t="b">
        <f>ROUND(SUM(BF18:BN20),4)=ROUND((RESULTADO!$D$151+RESULTADO!$D$152),4)</f>
        <v>1</v>
      </c>
    </row>
    <row r="18" spans="2:68" ht="15.75" thickBot="1" x14ac:dyDescent="0.3">
      <c r="B18" s="449">
        <v>42450</v>
      </c>
      <c r="C18" s="237">
        <v>43</v>
      </c>
      <c r="D18" s="237">
        <v>49</v>
      </c>
      <c r="E18" s="237">
        <v>60</v>
      </c>
      <c r="F18" s="237">
        <v>62</v>
      </c>
      <c r="G18" s="237">
        <v>62</v>
      </c>
      <c r="H18" s="237">
        <v>105</v>
      </c>
      <c r="I18" s="237">
        <v>120</v>
      </c>
      <c r="J18" s="237">
        <v>120</v>
      </c>
      <c r="K18" s="450">
        <v>125</v>
      </c>
      <c r="M18" s="451">
        <f t="shared" si="38"/>
        <v>-8.5106382978723416E-2</v>
      </c>
      <c r="N18" s="357">
        <f t="shared" si="39"/>
        <v>-2.0000000000000018E-2</v>
      </c>
      <c r="O18" s="357">
        <f t="shared" si="40"/>
        <v>-4.7619047619047672E-2</v>
      </c>
      <c r="P18" s="357">
        <f t="shared" si="41"/>
        <v>-3.125E-2</v>
      </c>
      <c r="Q18" s="357">
        <f t="shared" si="42"/>
        <v>-0.11428571428571432</v>
      </c>
      <c r="R18" s="357">
        <f t="shared" si="43"/>
        <v>-4.5454545454545414E-2</v>
      </c>
      <c r="S18" s="357">
        <f t="shared" si="44"/>
        <v>0</v>
      </c>
      <c r="T18" s="357">
        <f t="shared" si="45"/>
        <v>0</v>
      </c>
      <c r="U18" s="379">
        <f t="shared" si="46"/>
        <v>0</v>
      </c>
      <c r="W18" s="451">
        <f t="shared" si="47"/>
        <v>-8.8947486016496172E-2</v>
      </c>
      <c r="X18" s="357">
        <f t="shared" si="19"/>
        <v>-2.0202707317519466E-2</v>
      </c>
      <c r="Y18" s="357">
        <f t="shared" si="20"/>
        <v>-4.8790164169432056E-2</v>
      </c>
      <c r="Z18" s="357">
        <f t="shared" si="21"/>
        <v>-3.1748698314580298E-2</v>
      </c>
      <c r="AA18" s="357">
        <f t="shared" si="22"/>
        <v>-0.12136085700426748</v>
      </c>
      <c r="AB18" s="357">
        <f t="shared" si="23"/>
        <v>-4.6520015634892817E-2</v>
      </c>
      <c r="AC18" s="357">
        <f t="shared" si="24"/>
        <v>0</v>
      </c>
      <c r="AD18" s="357">
        <f t="shared" si="25"/>
        <v>0</v>
      </c>
      <c r="AE18" s="379">
        <f t="shared" si="26"/>
        <v>0</v>
      </c>
      <c r="AG18" s="451">
        <f t="shared" si="27"/>
        <v>-0.10657845765629137</v>
      </c>
      <c r="AH18" s="357">
        <f t="shared" si="28"/>
        <v>-4.1110076917273267E-2</v>
      </c>
      <c r="AI18" s="357">
        <f t="shared" si="29"/>
        <v>-6.1884253908162948E-2</v>
      </c>
      <c r="AJ18" s="357">
        <f t="shared" si="30"/>
        <v>-4.1198588622838261E-2</v>
      </c>
      <c r="AK18" s="357">
        <f t="shared" si="31"/>
        <v>-0.12074238757128108</v>
      </c>
      <c r="AL18" s="357">
        <f t="shared" si="32"/>
        <v>-4.590162612659518E-2</v>
      </c>
      <c r="AM18" s="357">
        <f t="shared" si="33"/>
        <v>-1.7064673510089895E-4</v>
      </c>
      <c r="AN18" s="357">
        <f t="shared" si="34"/>
        <v>1.9070751392640699E-5</v>
      </c>
      <c r="AO18" s="379">
        <f t="shared" si="35"/>
        <v>5.4711961047645428E-5</v>
      </c>
      <c r="AQ18" t="s">
        <v>256</v>
      </c>
      <c r="AR18">
        <f t="shared" ref="AR18:AZ18" si="55">COUNTA(AG9:AG1048576)</f>
        <v>361</v>
      </c>
      <c r="AS18">
        <f t="shared" si="55"/>
        <v>361</v>
      </c>
      <c r="AT18">
        <f t="shared" si="55"/>
        <v>361</v>
      </c>
      <c r="AU18">
        <f t="shared" si="55"/>
        <v>361</v>
      </c>
      <c r="AV18">
        <f t="shared" si="55"/>
        <v>361</v>
      </c>
      <c r="AW18">
        <f t="shared" si="55"/>
        <v>361</v>
      </c>
      <c r="AX18">
        <f t="shared" si="55"/>
        <v>361</v>
      </c>
      <c r="AY18">
        <f t="shared" si="55"/>
        <v>361</v>
      </c>
      <c r="AZ18">
        <f t="shared" si="55"/>
        <v>361</v>
      </c>
      <c r="BD18" s="244"/>
      <c r="BE18" s="245" t="s">
        <v>54</v>
      </c>
      <c r="BF18" s="226">
        <f>SUMIFS(RESULTADO!91:91,RESULTADO!$81:$81,BF$17)</f>
        <v>-9277.6799999999985</v>
      </c>
      <c r="BG18" s="206">
        <f>SUMIFS(RESULTADO!91:91,RESULTADO!$81:$81,BG$17)</f>
        <v>-10168.000248000002</v>
      </c>
      <c r="BH18" s="206">
        <f>SUMIFS(RESULTADO!91:91,RESULTADO!$81:$81,BH$17)</f>
        <v>-1926.4002240000141</v>
      </c>
      <c r="BI18" s="206">
        <f>SUMIFS(RESULTADO!91:91,RESULTADO!$81:$81,BI$17)</f>
        <v>-124.00024800001347</v>
      </c>
      <c r="BJ18" s="206">
        <f>IF(LEN($BJ$17)=4,SUMIFS(RESULTADO!91:91,RESULTADO!$81:$81,"&gt;="&amp;DATE($BJ$17,1,1),RESULTADO!$81:$81,"&lt;="&amp;DATE($BJ$17,12,1)),
IF(LEN($BJ$17)=6,SUMIFS(RESULTADO!91:91,RESULTADO!$81:$81,DATE(YEAR($BI$17),12,1)),
SUMIFS(RESULTADO!91:91,RESULTADO!$81:$81,"&gt;="&amp;DATE(YEAR($BI$17),MONTH($BI17)+1,1),RESULTADO!$81:$81,"&lt;="&amp;DATE(YEAR(BI$17),12,1))))</f>
        <v>-126562.56</v>
      </c>
      <c r="BK18" s="206">
        <f>SUMIFS(RESULTADO!91:91,RESULTADO!$81:$81,"&gt;="&amp;DATE(BK$17,1,1),RESULTADO!$81:$81,"&lt;="&amp;DATE(BK$17,12,1))</f>
        <v>-122976</v>
      </c>
      <c r="BL18" s="206">
        <f>SUMIFS(RESULTADO!91:91,RESULTADO!$81:$81,"&gt;="&amp;DATE(BL$17,1,1),RESULTADO!$81:$81,"&lt;="&amp;DATE(BL$17,12,1))</f>
        <v>0</v>
      </c>
      <c r="BM18" s="206">
        <f>SUMIFS(RESULTADO!91:91,RESULTADO!$81:$81,"&gt;="&amp;DATE(BM$17,1,1),RESULTADO!$81:$81,"&lt;="&amp;DATE(BM$17,12,1))</f>
        <v>0</v>
      </c>
      <c r="BN18" s="207">
        <f>SUMIFS(RESULTADO!91:91,RESULTADO!$81:$81,"&gt;="&amp;DATE(BN$17,1,1),RESULTADO!$81:$81,"&lt;="&amp;DATE(BN$17,12,1))</f>
        <v>0</v>
      </c>
      <c r="BP18" s="1">
        <f>ABS(BF18)+ABS(BG18)+ABS(BH18)+ABS(BI18)+ABS(BJ18)+ABS(BK18)+ABS(BL18)+ABS(BM18)+ABS(BN18)</f>
        <v>271034.64072000002</v>
      </c>
    </row>
    <row r="19" spans="2:68" x14ac:dyDescent="0.25">
      <c r="B19" s="449">
        <v>42457</v>
      </c>
      <c r="C19" s="237">
        <v>44</v>
      </c>
      <c r="D19" s="237">
        <v>50</v>
      </c>
      <c r="E19" s="237">
        <v>60</v>
      </c>
      <c r="F19" s="237">
        <v>62</v>
      </c>
      <c r="G19" s="237">
        <v>68</v>
      </c>
      <c r="H19" s="237">
        <v>105</v>
      </c>
      <c r="I19" s="237">
        <v>120</v>
      </c>
      <c r="J19" s="237">
        <v>120</v>
      </c>
      <c r="K19" s="450">
        <v>125</v>
      </c>
      <c r="M19" s="451">
        <f t="shared" si="38"/>
        <v>2.3255813953488413E-2</v>
      </c>
      <c r="N19" s="357">
        <f t="shared" si="39"/>
        <v>2.0408163265306145E-2</v>
      </c>
      <c r="O19" s="357">
        <f t="shared" si="40"/>
        <v>0</v>
      </c>
      <c r="P19" s="357">
        <f t="shared" si="41"/>
        <v>0</v>
      </c>
      <c r="Q19" s="357">
        <f t="shared" si="42"/>
        <v>9.6774193548387011E-2</v>
      </c>
      <c r="R19" s="357">
        <f t="shared" si="43"/>
        <v>0</v>
      </c>
      <c r="S19" s="357">
        <f t="shared" si="44"/>
        <v>0</v>
      </c>
      <c r="T19" s="357">
        <f t="shared" si="45"/>
        <v>0</v>
      </c>
      <c r="U19" s="379">
        <f t="shared" si="46"/>
        <v>0</v>
      </c>
      <c r="W19" s="451">
        <f t="shared" si="47"/>
        <v>2.2989518224698781E-2</v>
      </c>
      <c r="X19" s="357">
        <f t="shared" si="19"/>
        <v>2.0202707317519469E-2</v>
      </c>
      <c r="Y19" s="357">
        <f t="shared" si="20"/>
        <v>0</v>
      </c>
      <c r="Z19" s="357">
        <f t="shared" si="21"/>
        <v>0</v>
      </c>
      <c r="AA19" s="357">
        <f t="shared" si="22"/>
        <v>9.2373320131015069E-2</v>
      </c>
      <c r="AB19" s="357">
        <f t="shared" si="23"/>
        <v>0</v>
      </c>
      <c r="AC19" s="357">
        <f t="shared" si="24"/>
        <v>0</v>
      </c>
      <c r="AD19" s="357">
        <f t="shared" si="25"/>
        <v>0</v>
      </c>
      <c r="AE19" s="379">
        <f t="shared" si="26"/>
        <v>0</v>
      </c>
      <c r="AG19" s="451">
        <f t="shared" si="27"/>
        <v>1.7837392759204561E-3</v>
      </c>
      <c r="AH19" s="357">
        <f t="shared" si="28"/>
        <v>-7.0191365196710723E-4</v>
      </c>
      <c r="AI19" s="357">
        <f t="shared" si="29"/>
        <v>-1.4265206289115274E-2</v>
      </c>
      <c r="AJ19" s="357">
        <f t="shared" si="30"/>
        <v>-9.9485886228382649E-3</v>
      </c>
      <c r="AK19" s="357">
        <f t="shared" si="31"/>
        <v>9.031752026282025E-2</v>
      </c>
      <c r="AL19" s="357">
        <f t="shared" si="32"/>
        <v>-4.4708067204976532E-4</v>
      </c>
      <c r="AM19" s="357">
        <f t="shared" si="33"/>
        <v>-1.7064673510089895E-4</v>
      </c>
      <c r="AN19" s="357">
        <f t="shared" si="34"/>
        <v>1.9070751392640699E-5</v>
      </c>
      <c r="AO19" s="379">
        <f t="shared" si="35"/>
        <v>5.4711961047645428E-5</v>
      </c>
      <c r="AQ19" s="197"/>
      <c r="AR19" s="200" t="s">
        <v>25</v>
      </c>
      <c r="AS19" s="200" t="s">
        <v>26</v>
      </c>
      <c r="AT19" s="200" t="s">
        <v>27</v>
      </c>
      <c r="AU19" s="200" t="s">
        <v>28</v>
      </c>
      <c r="AV19" s="200" t="s">
        <v>29</v>
      </c>
      <c r="AW19" s="200" t="s">
        <v>30</v>
      </c>
      <c r="AX19" s="200" t="s">
        <v>31</v>
      </c>
      <c r="AY19" s="200" t="s">
        <v>32</v>
      </c>
      <c r="AZ19" s="201" t="s">
        <v>33</v>
      </c>
      <c r="BB19" s="212" t="s">
        <v>260</v>
      </c>
      <c r="BD19" s="247"/>
      <c r="BE19" s="222" t="s">
        <v>92</v>
      </c>
      <c r="BF19" s="226">
        <f>SUMIFS(RESULTADO!90:90,RESULTADO!$81:$81,BF$17)</f>
        <v>12648</v>
      </c>
      <c r="BG19" s="206">
        <f>SUMIFS(RESULTADO!90:90,RESULTADO!$81:$81,BG$17)</f>
        <v>0</v>
      </c>
      <c r="BH19" s="206">
        <f>SUMIFS(RESULTADO!90:90,RESULTADO!$81:$81,BH$17)</f>
        <v>0</v>
      </c>
      <c r="BI19" s="206">
        <f>SUMIFS(RESULTADO!90:90,RESULTADO!$81:$81,BI$17)</f>
        <v>0</v>
      </c>
      <c r="BJ19" s="206">
        <f>IF(LEN($BJ$17)=4,SUMIFS(RESULTADO!90:90,RESULTADO!$81:$81,"&gt;="&amp;DATE($BJ$17,1,1),RESULTADO!$81:$81,"&lt;="&amp;DATE($BJ$17,12,1)),
IF(LEN($BJ$17)=6,SUMIFS(RESULTADO!90:90,RESULTADO!$81:$81,DATE(YEAR($BI$17),12,1)),
SUMIFS(RESULTADO!90:90,RESULTADO!$81:$81,"&gt;="&amp;DATE(YEAR($BI$17),MONTH($BI17)+1,1),RESULTADO!$81:$81,"&lt;="&amp;DATE(YEAR(BI$17),12,1))))</f>
        <v>0</v>
      </c>
      <c r="BK19" s="206">
        <f>SUMIFS(RESULTADO!90:90,RESULTADO!$81:$81,"&gt;="&amp;DATE(BK$17,1,1),RESULTADO!$81:$81,"&lt;="&amp;DATE(BK$17,12,1))</f>
        <v>0</v>
      </c>
      <c r="BL19" s="206">
        <f>SUMIFS(RESULTADO!90:90,RESULTADO!$81:$81,"&gt;="&amp;DATE(BL$17,1,1),RESULTADO!$81:$81,"&lt;="&amp;DATE(BL$17,12,1))</f>
        <v>0</v>
      </c>
      <c r="BM19" s="206">
        <f>SUMIFS(RESULTADO!90:90,RESULTADO!$81:$81,"&gt;="&amp;DATE(BM$17,1,1),RESULTADO!$81:$81,"&lt;="&amp;DATE(BM$17,12,1))</f>
        <v>0</v>
      </c>
      <c r="BN19" s="207">
        <f>SUMIFS(RESULTADO!90:90,RESULTADO!$81:$81,"&gt;="&amp;DATE(BN$17,1,1),RESULTADO!$81:$81,"&lt;="&amp;DATE(BN$17,12,1))</f>
        <v>0</v>
      </c>
      <c r="BP19" s="2"/>
    </row>
    <row r="20" spans="2:68" x14ac:dyDescent="0.25">
      <c r="B20" s="449">
        <v>42464</v>
      </c>
      <c r="C20" s="237">
        <v>53</v>
      </c>
      <c r="D20" s="237">
        <v>60</v>
      </c>
      <c r="E20" s="237">
        <v>62</v>
      </c>
      <c r="F20" s="237">
        <v>70</v>
      </c>
      <c r="G20" s="237">
        <v>70</v>
      </c>
      <c r="H20" s="237">
        <v>110</v>
      </c>
      <c r="I20" s="237">
        <v>120</v>
      </c>
      <c r="J20" s="237">
        <v>120</v>
      </c>
      <c r="K20" s="450">
        <v>125</v>
      </c>
      <c r="M20" s="451">
        <f t="shared" si="38"/>
        <v>0.20454545454545459</v>
      </c>
      <c r="N20" s="357">
        <f t="shared" si="39"/>
        <v>0.19999999999999996</v>
      </c>
      <c r="O20" s="357">
        <f t="shared" si="40"/>
        <v>3.3333333333333437E-2</v>
      </c>
      <c r="P20" s="357">
        <f t="shared" si="41"/>
        <v>0.12903225806451624</v>
      </c>
      <c r="Q20" s="357">
        <f t="shared" si="42"/>
        <v>2.9411764705882248E-2</v>
      </c>
      <c r="R20" s="357">
        <f t="shared" si="43"/>
        <v>4.7619047619047672E-2</v>
      </c>
      <c r="S20" s="357">
        <f t="shared" si="44"/>
        <v>0</v>
      </c>
      <c r="T20" s="357">
        <f t="shared" si="45"/>
        <v>0</v>
      </c>
      <c r="U20" s="379">
        <f t="shared" si="46"/>
        <v>0</v>
      </c>
      <c r="W20" s="451">
        <f t="shared" si="47"/>
        <v>0.1861022796338607</v>
      </c>
      <c r="X20" s="357">
        <f t="shared" si="19"/>
        <v>0.18232155679395459</v>
      </c>
      <c r="Y20" s="357">
        <f t="shared" si="20"/>
        <v>3.278982282299097E-2</v>
      </c>
      <c r="Z20" s="357">
        <f t="shared" si="21"/>
        <v>0.12136085700426753</v>
      </c>
      <c r="AA20" s="357">
        <f t="shared" si="22"/>
        <v>2.8987536873252187E-2</v>
      </c>
      <c r="AB20" s="357">
        <f t="shared" si="23"/>
        <v>4.6520015634892907E-2</v>
      </c>
      <c r="AC20" s="357">
        <f t="shared" si="24"/>
        <v>0</v>
      </c>
      <c r="AD20" s="357">
        <f t="shared" si="25"/>
        <v>0</v>
      </c>
      <c r="AE20" s="379">
        <f t="shared" si="26"/>
        <v>0</v>
      </c>
      <c r="AG20" s="451">
        <f t="shared" si="27"/>
        <v>0.18307337986788663</v>
      </c>
      <c r="AH20" s="357">
        <f t="shared" si="28"/>
        <v>0.17888992308272669</v>
      </c>
      <c r="AI20" s="357">
        <f t="shared" si="29"/>
        <v>1.9068127044218161E-2</v>
      </c>
      <c r="AJ20" s="357">
        <f t="shared" si="30"/>
        <v>0.11908366944167798</v>
      </c>
      <c r="AK20" s="357">
        <f t="shared" si="31"/>
        <v>2.2955091420315481E-2</v>
      </c>
      <c r="AL20" s="357">
        <f t="shared" si="32"/>
        <v>4.7171966946997906E-2</v>
      </c>
      <c r="AM20" s="357">
        <f t="shared" si="33"/>
        <v>-1.7064673510089895E-4</v>
      </c>
      <c r="AN20" s="357">
        <f t="shared" si="34"/>
        <v>1.9070751392640699E-5</v>
      </c>
      <c r="AO20" s="379">
        <f t="shared" si="35"/>
        <v>5.4711961047645428E-5</v>
      </c>
      <c r="AQ20" s="198" t="s">
        <v>25</v>
      </c>
      <c r="AR20" s="202" cm="1">
        <f t="array" ref="AR20">MMULT(TRANSPOSE($AG$9:$AG$369),AG$9:AG$369)/AR$18</f>
        <v>5.362673146888744E-2</v>
      </c>
      <c r="AS20" s="202" cm="1">
        <f t="array" ref="AS20">MMULT(TRANSPOSE($AG$9:$AG$369),AH$9:AH$369)/AS$18</f>
        <v>1.3478115877324167E-2</v>
      </c>
      <c r="AT20" s="202" cm="1">
        <f t="array" ref="AT20">MMULT(TRANSPOSE($AG$9:$AG$369),AI$9:AI$369)/AT$18</f>
        <v>7.4131820323122544E-3</v>
      </c>
      <c r="AU20" s="202" cm="1">
        <f t="array" ref="AU20">MMULT(TRANSPOSE($AG$9:$AG$369),AJ$9:AJ$369)/AU$18</f>
        <v>3.8205892651741232E-3</v>
      </c>
      <c r="AV20" s="202" cm="1">
        <f t="array" ref="AV20">MMULT(TRANSPOSE($AG$9:$AG$369),AK$9:AK$369)/AV$18</f>
        <v>7.678793388952174E-3</v>
      </c>
      <c r="AW20" s="202" cm="1">
        <f t="array" ref="AW20">MMULT(TRANSPOSE($AG$9:$AG$369),AL$9:AL$369)/AW$18</f>
        <v>1.3631061950681691E-3</v>
      </c>
      <c r="AX20" s="202" cm="1">
        <f t="array" ref="AX20">MMULT(TRANSPOSE($AG$9:$AG$369),AM$9:AM$369)/AX$18</f>
        <v>5.6597017055899548E-4</v>
      </c>
      <c r="AY20" s="202" cm="1">
        <f t="array" ref="AY20">MMULT(TRANSPOSE($AG$9:$AG$369),AN$9:AN$369)/AY$18</f>
        <v>4.8282788869467424E-4</v>
      </c>
      <c r="AZ20" s="203" cm="1">
        <f t="array" ref="AZ20">MMULT(TRANSPOSE($AG$9:$AG$369),AO$9:AO$369)/AZ$18</f>
        <v>2.3616347099920793E-4</v>
      </c>
      <c r="BB20" s="210">
        <f>+BF27</f>
        <v>3.423060600428772E-2</v>
      </c>
      <c r="BD20" s="246"/>
      <c r="BE20" s="223" t="s">
        <v>56</v>
      </c>
      <c r="BF20" s="227">
        <f>SUMIFS(RESULTADO!92:92,RESULTADO!$81:$81,BF$17)</f>
        <v>0</v>
      </c>
      <c r="BG20" s="208">
        <f>SUMIFS(RESULTADO!92:92,RESULTADO!$81:$81,BG$17)</f>
        <v>0</v>
      </c>
      <c r="BH20" s="208">
        <f>SUMIFS(RESULTADO!92:92,RESULTADO!$81:$81,BH$17)</f>
        <v>0</v>
      </c>
      <c r="BI20" s="208">
        <f>SUMIFS(RESULTADO!92:92,RESULTADO!$81:$81,BI$17)</f>
        <v>0</v>
      </c>
      <c r="BJ20" s="208">
        <f>IF(LEN($BJ$17)=4,SUMIFS(RESULTADO!92:92,RESULTADO!$81:$81,"&gt;="&amp;DATE($BJ$17,1,1),RESULTADO!$81:$81,"&lt;="&amp;DATE($BJ$17,12,1)),
IF(LEN($BJ$17)=6,SUMIFS(RESULTADO!92:92,RESULTADO!$81:$81,DATE(YEAR($BI$17),12,1)),
SUMIFS(RESULTADO!92:92,RESULTADO!$81:$81,"&gt;="&amp;DATE(YEAR($BI$17),MONTH($BI17)+1,1),RESULTADO!$81:$81,"&lt;="&amp;DATE(YEAR(BI$17),12,1))))</f>
        <v>0</v>
      </c>
      <c r="BK20" s="208">
        <f>SUMIFS(RESULTADO!92:92,RESULTADO!$81:$81,"&gt;="&amp;DATE(BK$17,1,1),RESULTADO!$81:$81,"&lt;="&amp;DATE(BK$17,12,1))</f>
        <v>0</v>
      </c>
      <c r="BL20" s="208">
        <f>SUMIFS(RESULTADO!92:92,RESULTADO!$81:$81,"&gt;="&amp;DATE(BL$17,1,1),RESULTADO!$81:$81,"&lt;="&amp;DATE(BL$17,12,1))</f>
        <v>0</v>
      </c>
      <c r="BM20" s="208">
        <f>SUMIFS(RESULTADO!92:92,RESULTADO!$81:$81,"&gt;="&amp;DATE(BM$17,1,1),RESULTADO!$81:$81,"&lt;="&amp;DATE(BM$17,12,1))</f>
        <v>0</v>
      </c>
      <c r="BN20" s="209">
        <f>SUMIFS(RESULTADO!92:92,RESULTADO!$81:$81,"&gt;="&amp;DATE(BN$17,1,1),RESULTADO!$81:$81,"&lt;="&amp;DATE(BN$17,12,1))</f>
        <v>0</v>
      </c>
    </row>
    <row r="21" spans="2:68" x14ac:dyDescent="0.25">
      <c r="B21" s="449">
        <v>42471</v>
      </c>
      <c r="C21" s="237">
        <v>55</v>
      </c>
      <c r="D21" s="237">
        <v>80</v>
      </c>
      <c r="E21" s="237">
        <v>85</v>
      </c>
      <c r="F21" s="237">
        <v>85</v>
      </c>
      <c r="G21" s="237">
        <v>80</v>
      </c>
      <c r="H21" s="237">
        <v>110</v>
      </c>
      <c r="I21" s="237">
        <v>120</v>
      </c>
      <c r="J21" s="237">
        <v>125</v>
      </c>
      <c r="K21" s="450">
        <v>125</v>
      </c>
      <c r="M21" s="451">
        <f t="shared" si="38"/>
        <v>3.7735849056603765E-2</v>
      </c>
      <c r="N21" s="357">
        <f t="shared" si="39"/>
        <v>0.33333333333333326</v>
      </c>
      <c r="O21" s="357">
        <f t="shared" si="40"/>
        <v>0.37096774193548376</v>
      </c>
      <c r="P21" s="357">
        <f t="shared" si="41"/>
        <v>0.21428571428571419</v>
      </c>
      <c r="Q21" s="357">
        <f t="shared" si="42"/>
        <v>0.14285714285714279</v>
      </c>
      <c r="R21" s="357">
        <f t="shared" si="43"/>
        <v>0</v>
      </c>
      <c r="S21" s="357">
        <f t="shared" si="44"/>
        <v>0</v>
      </c>
      <c r="T21" s="357">
        <f t="shared" si="45"/>
        <v>4.1666666666666741E-2</v>
      </c>
      <c r="U21" s="379">
        <f t="shared" si="46"/>
        <v>0</v>
      </c>
      <c r="W21" s="451">
        <f t="shared" si="47"/>
        <v>3.7041271680349076E-2</v>
      </c>
      <c r="X21" s="357">
        <f t="shared" si="19"/>
        <v>0.28768207245178085</v>
      </c>
      <c r="Y21" s="357">
        <f t="shared" si="20"/>
        <v>0.31551687144522483</v>
      </c>
      <c r="Z21" s="357">
        <f t="shared" si="21"/>
        <v>0.1941560144409574</v>
      </c>
      <c r="AA21" s="357">
        <f t="shared" si="22"/>
        <v>0.13353139262452257</v>
      </c>
      <c r="AB21" s="357">
        <f t="shared" si="23"/>
        <v>0</v>
      </c>
      <c r="AC21" s="357">
        <f t="shared" si="24"/>
        <v>0</v>
      </c>
      <c r="AD21" s="357">
        <f t="shared" si="25"/>
        <v>4.08219945202552E-2</v>
      </c>
      <c r="AE21" s="379">
        <f t="shared" si="26"/>
        <v>0</v>
      </c>
      <c r="AG21" s="451">
        <f t="shared" si="27"/>
        <v>1.6263774379035808E-2</v>
      </c>
      <c r="AH21" s="357">
        <f t="shared" si="28"/>
        <v>0.31222325641606002</v>
      </c>
      <c r="AI21" s="357">
        <f t="shared" si="29"/>
        <v>0.3567025356463685</v>
      </c>
      <c r="AJ21" s="357">
        <f t="shared" si="30"/>
        <v>0.20433712566287593</v>
      </c>
      <c r="AK21" s="357">
        <f t="shared" si="31"/>
        <v>0.13640046957157603</v>
      </c>
      <c r="AL21" s="357">
        <f t="shared" si="32"/>
        <v>-4.4708067204976532E-4</v>
      </c>
      <c r="AM21" s="357">
        <f t="shared" si="33"/>
        <v>-1.7064673510089895E-4</v>
      </c>
      <c r="AN21" s="357">
        <f t="shared" si="34"/>
        <v>4.1685737418059379E-2</v>
      </c>
      <c r="AO21" s="379">
        <f t="shared" si="35"/>
        <v>5.4711961047645428E-5</v>
      </c>
      <c r="AQ21" s="198" t="s">
        <v>26</v>
      </c>
      <c r="AR21" s="202">
        <f t="array" ref="AR21">MMULT(TRANSPOSE($AH$9:$AH$369),AG$9:AG$369)/AR$18</f>
        <v>1.3478115877324167E-2</v>
      </c>
      <c r="AS21" s="202">
        <f t="array" ref="AS21">MMULT(TRANSPOSE($AH$9:$AH$369),AH$9:AH$369)/AS$18</f>
        <v>5.1030726026267077E-2</v>
      </c>
      <c r="AT21" s="202">
        <f t="array" ref="AT21">MMULT(TRANSPOSE($AH$9:$AH$369),AI$9:AI$369)/AT$18</f>
        <v>3.043528247187003E-2</v>
      </c>
      <c r="AU21" s="202">
        <f t="array" ref="AU21">MMULT(TRANSPOSE($AH$9:$AH$369),AJ$9:AJ$369)/AU$18</f>
        <v>1.9423315356684318E-2</v>
      </c>
      <c r="AV21" s="202">
        <f t="array" ref="AV21">MMULT(TRANSPOSE($AH$9:$AH$369),AK$9:AK$369)/AV$18</f>
        <v>1.3689215540104513E-2</v>
      </c>
      <c r="AW21" s="202">
        <f t="array" ref="AW21">MMULT(TRANSPOSE($AH$9:$AH$369),AL$9:AL$369)/AW$18</f>
        <v>2.9258315365561492E-3</v>
      </c>
      <c r="AX21" s="202">
        <f t="array" ref="AX21">MMULT(TRANSPOSE($AH$9:$AH$369),AM$9:AM$369)/AX$18</f>
        <v>3.4489381432299102E-4</v>
      </c>
      <c r="AY21" s="202">
        <f t="array" ref="AY21">MMULT(TRANSPOSE($AH$9:$AH$369),AN$9:AN$369)/AY$18</f>
        <v>1.8530066561474087E-4</v>
      </c>
      <c r="AZ21" s="203">
        <f t="array" ref="AZ21">MMULT(TRANSPOSE($AH$9:$AH$369),AO$9:AO$369)/AZ$18</f>
        <v>5.7927512906245182E-5</v>
      </c>
      <c r="BB21" s="210">
        <f>BG27</f>
        <v>3.7515500679134006E-2</v>
      </c>
    </row>
    <row r="22" spans="2:68" x14ac:dyDescent="0.25">
      <c r="B22" s="449">
        <v>42478</v>
      </c>
      <c r="C22" s="237">
        <v>58</v>
      </c>
      <c r="D22" s="237">
        <v>90</v>
      </c>
      <c r="E22" s="237">
        <v>85</v>
      </c>
      <c r="F22" s="237">
        <v>85</v>
      </c>
      <c r="G22" s="237">
        <v>85</v>
      </c>
      <c r="H22" s="237">
        <v>115</v>
      </c>
      <c r="I22" s="237">
        <v>120</v>
      </c>
      <c r="J22" s="237">
        <v>125</v>
      </c>
      <c r="K22" s="450">
        <v>125</v>
      </c>
      <c r="M22" s="451">
        <f t="shared" si="38"/>
        <v>5.4545454545454453E-2</v>
      </c>
      <c r="N22" s="357">
        <f t="shared" si="39"/>
        <v>0.125</v>
      </c>
      <c r="O22" s="357">
        <f t="shared" si="40"/>
        <v>0</v>
      </c>
      <c r="P22" s="357">
        <f t="shared" si="41"/>
        <v>0</v>
      </c>
      <c r="Q22" s="357">
        <f t="shared" si="42"/>
        <v>6.25E-2</v>
      </c>
      <c r="R22" s="357">
        <f t="shared" si="43"/>
        <v>4.5454545454545414E-2</v>
      </c>
      <c r="S22" s="357">
        <f t="shared" si="44"/>
        <v>0</v>
      </c>
      <c r="T22" s="357">
        <f t="shared" si="45"/>
        <v>0</v>
      </c>
      <c r="U22" s="379">
        <f t="shared" si="46"/>
        <v>0</v>
      </c>
      <c r="W22" s="451">
        <f t="shared" si="47"/>
        <v>5.3109825313948332E-2</v>
      </c>
      <c r="X22" s="357">
        <f t="shared" si="19"/>
        <v>0.11778303565638346</v>
      </c>
      <c r="Y22" s="357">
        <f t="shared" si="20"/>
        <v>0</v>
      </c>
      <c r="Z22" s="357">
        <f t="shared" si="21"/>
        <v>0</v>
      </c>
      <c r="AA22" s="357">
        <f t="shared" si="22"/>
        <v>6.062462181643484E-2</v>
      </c>
      <c r="AB22" s="357">
        <f t="shared" si="23"/>
        <v>4.4451762570833796E-2</v>
      </c>
      <c r="AC22" s="357">
        <f t="shared" si="24"/>
        <v>0</v>
      </c>
      <c r="AD22" s="357">
        <f t="shared" si="25"/>
        <v>0</v>
      </c>
      <c r="AE22" s="379">
        <f t="shared" si="26"/>
        <v>0</v>
      </c>
      <c r="AG22" s="451">
        <f t="shared" si="27"/>
        <v>3.3073379867886499E-2</v>
      </c>
      <c r="AH22" s="357">
        <f t="shared" si="28"/>
        <v>0.10388992308272675</v>
      </c>
      <c r="AI22" s="357">
        <f t="shared" si="29"/>
        <v>-1.4265206289115274E-2</v>
      </c>
      <c r="AJ22" s="357">
        <f t="shared" si="30"/>
        <v>-9.9485886228382649E-3</v>
      </c>
      <c r="AK22" s="357">
        <f t="shared" si="31"/>
        <v>5.6043326714433232E-2</v>
      </c>
      <c r="AL22" s="357">
        <f t="shared" si="32"/>
        <v>4.5007464782495649E-2</v>
      </c>
      <c r="AM22" s="357">
        <f t="shared" si="33"/>
        <v>-1.7064673510089895E-4</v>
      </c>
      <c r="AN22" s="357">
        <f t="shared" si="34"/>
        <v>1.9070751392640699E-5</v>
      </c>
      <c r="AO22" s="379">
        <f t="shared" si="35"/>
        <v>5.4711961047645428E-5</v>
      </c>
      <c r="AQ22" s="198" t="s">
        <v>27</v>
      </c>
      <c r="AR22" s="202">
        <f t="array" ref="AR22">MMULT(TRANSPOSE($AI$9:$AI$369),AG$9:AG$369)/AR$18</f>
        <v>7.4131820323122544E-3</v>
      </c>
      <c r="AS22" s="202">
        <f t="array" ref="AS22">MMULT(TRANSPOSE($AI$9:$AI$369),AH$9:AH$369)/AS$18</f>
        <v>3.043528247187003E-2</v>
      </c>
      <c r="AT22" s="202">
        <f t="array" ref="AT22">MMULT(TRANSPOSE($AI$9:$AI$369),AI$9:AI$369)/AT$18</f>
        <v>3.2363574302510169E-2</v>
      </c>
      <c r="AU22" s="202">
        <f t="array" ref="AU22">MMULT(TRANSPOSE($AI$9:$AI$369),AJ$9:AJ$369)/AU$18</f>
        <v>1.9245564458334797E-2</v>
      </c>
      <c r="AV22" s="202">
        <f t="array" ref="AV22">MMULT(TRANSPOSE($AI$9:$AI$369),AK$9:AK$369)/AV$18</f>
        <v>1.0764744479876243E-2</v>
      </c>
      <c r="AW22" s="202">
        <f t="array" ref="AW22">MMULT(TRANSPOSE($AI$9:$AI$369),AL$9:AL$369)/AW$18</f>
        <v>2.4588181837334466E-3</v>
      </c>
      <c r="AX22" s="202">
        <f t="array" ref="AX22">MMULT(TRANSPOSE($AI$9:$AI$369),AM$9:AM$369)/AX$18</f>
        <v>3.3498457757128841E-4</v>
      </c>
      <c r="AY22" s="202">
        <f t="array" ref="AY22">MMULT(TRANSPOSE($AI$9:$AI$369),AN$9:AN$369)/AY$18</f>
        <v>2.6806890169460835E-4</v>
      </c>
      <c r="AZ22" s="203">
        <f t="array" ref="AZ22">MMULT(TRANSPOSE($AI$9:$AI$369),AO$9:AO$369)/AZ$18</f>
        <v>1.1250488382991653E-4</v>
      </c>
      <c r="BB22" s="210">
        <f>BH27</f>
        <v>7.1075793813018028E-3</v>
      </c>
      <c r="BF22" s="249" t="s">
        <v>258</v>
      </c>
    </row>
    <row r="23" spans="2:68" x14ac:dyDescent="0.25">
      <c r="B23" s="449">
        <v>42485</v>
      </c>
      <c r="C23" s="237">
        <v>58</v>
      </c>
      <c r="D23" s="237">
        <v>93</v>
      </c>
      <c r="E23" s="237">
        <v>88</v>
      </c>
      <c r="F23" s="237">
        <v>100</v>
      </c>
      <c r="G23" s="237">
        <v>90</v>
      </c>
      <c r="H23" s="237">
        <v>122</v>
      </c>
      <c r="I23" s="237">
        <v>125</v>
      </c>
      <c r="J23" s="237">
        <v>125</v>
      </c>
      <c r="K23" s="450">
        <v>125</v>
      </c>
      <c r="M23" s="451">
        <f t="shared" si="38"/>
        <v>0</v>
      </c>
      <c r="N23" s="357">
        <f t="shared" si="39"/>
        <v>3.3333333333333437E-2</v>
      </c>
      <c r="O23" s="357">
        <f t="shared" si="40"/>
        <v>3.529411764705892E-2</v>
      </c>
      <c r="P23" s="357">
        <f t="shared" si="41"/>
        <v>0.17647058823529416</v>
      </c>
      <c r="Q23" s="357">
        <f t="shared" si="42"/>
        <v>5.8823529411764719E-2</v>
      </c>
      <c r="R23" s="357">
        <f t="shared" si="43"/>
        <v>6.0869565217391397E-2</v>
      </c>
      <c r="S23" s="357">
        <f t="shared" si="44"/>
        <v>4.1666666666666741E-2</v>
      </c>
      <c r="T23" s="357">
        <f t="shared" si="45"/>
        <v>0</v>
      </c>
      <c r="U23" s="379">
        <f t="shared" si="46"/>
        <v>0</v>
      </c>
      <c r="W23" s="451">
        <f t="shared" si="47"/>
        <v>0</v>
      </c>
      <c r="X23" s="357">
        <f t="shared" si="19"/>
        <v>3.278982282299097E-2</v>
      </c>
      <c r="Y23" s="357">
        <f t="shared" si="20"/>
        <v>3.4685557987890109E-2</v>
      </c>
      <c r="Z23" s="357">
        <f t="shared" si="21"/>
        <v>0.16251892949777494</v>
      </c>
      <c r="AA23" s="357">
        <f t="shared" si="22"/>
        <v>5.7158413839948623E-2</v>
      </c>
      <c r="AB23" s="357">
        <f t="shared" si="23"/>
        <v>5.9088916370006579E-2</v>
      </c>
      <c r="AC23" s="357">
        <f t="shared" si="24"/>
        <v>4.08219945202552E-2</v>
      </c>
      <c r="AD23" s="357">
        <f t="shared" si="25"/>
        <v>0</v>
      </c>
      <c r="AE23" s="379">
        <f t="shared" si="26"/>
        <v>0</v>
      </c>
      <c r="AG23" s="451">
        <f t="shared" si="27"/>
        <v>-2.1472074677567957E-2</v>
      </c>
      <c r="AH23" s="357">
        <f t="shared" si="28"/>
        <v>1.2223256416060185E-2</v>
      </c>
      <c r="AI23" s="357">
        <f t="shared" si="29"/>
        <v>2.1028911357943644E-2</v>
      </c>
      <c r="AJ23" s="357">
        <f t="shared" si="30"/>
        <v>0.1665219996124559</v>
      </c>
      <c r="AK23" s="357">
        <f t="shared" si="31"/>
        <v>5.2366856126197951E-2</v>
      </c>
      <c r="AL23" s="357">
        <f t="shared" si="32"/>
        <v>6.0422484545341631E-2</v>
      </c>
      <c r="AM23" s="357">
        <f t="shared" si="33"/>
        <v>4.149601993156584E-2</v>
      </c>
      <c r="AN23" s="357">
        <f t="shared" si="34"/>
        <v>1.9070751392640699E-5</v>
      </c>
      <c r="AO23" s="379">
        <f t="shared" si="35"/>
        <v>5.4711961047645428E-5</v>
      </c>
      <c r="AQ23" s="198" t="s">
        <v>28</v>
      </c>
      <c r="AR23" s="202">
        <f t="array" ref="AR23">MMULT(TRANSPOSE($AJ$9:$AJ$369),AG$9:AG$369)/AR$18</f>
        <v>3.8205892651741232E-3</v>
      </c>
      <c r="AS23" s="202">
        <f t="array" ref="AS23">MMULT(TRANSPOSE($AJ$9:$AJ$369),AH$9:AH$369)/AS$18</f>
        <v>1.9423315356684318E-2</v>
      </c>
      <c r="AT23" s="202">
        <f t="array" ref="AT23">MMULT(TRANSPOSE($AJ$9:$AJ$369),AI$9:AI$369)/AT$18</f>
        <v>1.9245564458334797E-2</v>
      </c>
      <c r="AU23" s="202">
        <f t="array" ref="AU23">MMULT(TRANSPOSE($AJ$9:$AJ$369),AJ$9:AJ$369)/AU$18</f>
        <v>2.325608347539913E-2</v>
      </c>
      <c r="AV23" s="202">
        <f t="array" ref="AV23">MMULT(TRANSPOSE($AJ$9:$AJ$369),AK$9:AK$369)/AV$18</f>
        <v>7.5053045725268349E-3</v>
      </c>
      <c r="AW23" s="202">
        <f t="array" ref="AW23">MMULT(TRANSPOSE($AJ$9:$AJ$369),AL$9:AL$369)/AW$18</f>
        <v>1.9476412075703532E-3</v>
      </c>
      <c r="AX23" s="202">
        <f t="array" ref="AX23">MMULT(TRANSPOSE($AJ$9:$AJ$369),AM$9:AM$369)/AX$18</f>
        <v>3.796471974232777E-4</v>
      </c>
      <c r="AY23" s="202">
        <f t="array" ref="AY23">MMULT(TRANSPOSE($AJ$9:$AJ$369),AN$9:AN$369)/AY$18</f>
        <v>2.7288601406951895E-4</v>
      </c>
      <c r="AZ23" s="203">
        <f t="array" ref="AZ23">MMULT(TRANSPOSE($AJ$9:$AJ$369),AO$9:AO$369)/AZ$18</f>
        <v>4.5806523628213375E-5</v>
      </c>
      <c r="BB23" s="210">
        <f>BI27</f>
        <v>4.5750700969665137E-4</v>
      </c>
      <c r="BE23" s="248" t="s">
        <v>18</v>
      </c>
      <c r="BF23" s="129">
        <f>SUM(BF12:BN12)</f>
        <v>14918294.183704522</v>
      </c>
    </row>
    <row r="24" spans="2:68" x14ac:dyDescent="0.25">
      <c r="B24" s="449">
        <v>42492</v>
      </c>
      <c r="C24" s="237">
        <v>80</v>
      </c>
      <c r="D24" s="237">
        <v>80</v>
      </c>
      <c r="E24" s="237">
        <v>100</v>
      </c>
      <c r="F24" s="237">
        <v>87</v>
      </c>
      <c r="G24" s="237">
        <v>87</v>
      </c>
      <c r="H24" s="237">
        <v>120</v>
      </c>
      <c r="I24" s="237">
        <v>123</v>
      </c>
      <c r="J24" s="237">
        <v>125</v>
      </c>
      <c r="K24" s="450">
        <v>125</v>
      </c>
      <c r="M24" s="451">
        <f t="shared" si="38"/>
        <v>0.3793103448275863</v>
      </c>
      <c r="N24" s="357">
        <f t="shared" si="39"/>
        <v>-0.13978494623655913</v>
      </c>
      <c r="O24" s="357">
        <f t="shared" si="40"/>
        <v>0.13636363636363646</v>
      </c>
      <c r="P24" s="357">
        <f t="shared" si="41"/>
        <v>-0.13</v>
      </c>
      <c r="Q24" s="357">
        <f t="shared" si="42"/>
        <v>-3.3333333333333326E-2</v>
      </c>
      <c r="R24" s="357">
        <f t="shared" si="43"/>
        <v>-1.6393442622950838E-2</v>
      </c>
      <c r="S24" s="357">
        <f t="shared" si="44"/>
        <v>-1.6000000000000014E-2</v>
      </c>
      <c r="T24" s="357">
        <f t="shared" si="45"/>
        <v>0</v>
      </c>
      <c r="U24" s="379">
        <f t="shared" si="46"/>
        <v>0</v>
      </c>
      <c r="W24" s="451">
        <f t="shared" si="47"/>
        <v>0.32158362412746233</v>
      </c>
      <c r="X24" s="357">
        <f t="shared" si="19"/>
        <v>-0.15057285847937432</v>
      </c>
      <c r="Y24" s="357">
        <f t="shared" si="20"/>
        <v>0.127833371509885</v>
      </c>
      <c r="Z24" s="357">
        <f t="shared" si="21"/>
        <v>-0.13926206733350766</v>
      </c>
      <c r="AA24" s="357">
        <f t="shared" si="22"/>
        <v>-3.3901551675681339E-2</v>
      </c>
      <c r="AB24" s="357">
        <f t="shared" si="23"/>
        <v>-1.6529301951210582E-2</v>
      </c>
      <c r="AC24" s="357">
        <f t="shared" si="24"/>
        <v>-1.6129381929883644E-2</v>
      </c>
      <c r="AD24" s="357">
        <f t="shared" si="25"/>
        <v>0</v>
      </c>
      <c r="AE24" s="379">
        <f t="shared" si="26"/>
        <v>0</v>
      </c>
      <c r="AG24" s="451">
        <f t="shared" si="27"/>
        <v>0.35783827015001834</v>
      </c>
      <c r="AH24" s="357">
        <f t="shared" si="28"/>
        <v>-0.16089502315383239</v>
      </c>
      <c r="AI24" s="357">
        <f t="shared" si="29"/>
        <v>0.12209843007452119</v>
      </c>
      <c r="AJ24" s="357">
        <f t="shared" si="30"/>
        <v>-0.13994858862283827</v>
      </c>
      <c r="AK24" s="357">
        <f t="shared" si="31"/>
        <v>-3.9790006618900094E-2</v>
      </c>
      <c r="AL24" s="357">
        <f t="shared" si="32"/>
        <v>-1.6840523295000603E-2</v>
      </c>
      <c r="AM24" s="357">
        <f t="shared" si="33"/>
        <v>-1.6170646735100914E-2</v>
      </c>
      <c r="AN24" s="357">
        <f t="shared" si="34"/>
        <v>1.9070751392640699E-5</v>
      </c>
      <c r="AO24" s="379">
        <f t="shared" si="35"/>
        <v>5.4711961047645428E-5</v>
      </c>
      <c r="AQ24" s="198" t="s">
        <v>29</v>
      </c>
      <c r="AR24" s="202">
        <f t="array" ref="AR24">MMULT(TRANSPOSE($AK$9:$AK$369),AG$9:AG$369)/AR$18</f>
        <v>7.678793388952174E-3</v>
      </c>
      <c r="AS24" s="202">
        <f t="array" ref="AS24">MMULT(TRANSPOSE($AK$9:$AK$369),AH$9:AH$369)/AS$18</f>
        <v>1.3689215540104513E-2</v>
      </c>
      <c r="AT24" s="202">
        <f t="array" ref="AT24">MMULT(TRANSPOSE($AK$9:$AK$369),AI$9:AI$369)/AT$18</f>
        <v>1.0764744479876243E-2</v>
      </c>
      <c r="AU24" s="202">
        <f t="array" ref="AU24">MMULT(TRANSPOSE($AK$9:$AK$369),AJ$9:AJ$369)/AU$18</f>
        <v>7.5053045725268349E-3</v>
      </c>
      <c r="AV24" s="202">
        <f t="array" ref="AV24">MMULT(TRANSPOSE($AK$9:$AK$369),AK$9:AK$369)/AV$18</f>
        <v>1.9803881581859167E-2</v>
      </c>
      <c r="AW24" s="202">
        <f t="array" ref="AW24">MMULT(TRANSPOSE($AK$9:$AK$369),AL$9:AL$369)/AW$18</f>
        <v>1.8661363901281147E-3</v>
      </c>
      <c r="AX24" s="202">
        <f t="array" ref="AX24">MMULT(TRANSPOSE($AK$9:$AK$369),AM$9:AM$369)/AX$18</f>
        <v>2.3043847330061123E-4</v>
      </c>
      <c r="AY24" s="202">
        <f t="array" ref="AY24">MMULT(TRANSPOSE($AK$9:$AK$369),AN$9:AN$369)/AY$18</f>
        <v>-2.4355516458906548E-4</v>
      </c>
      <c r="AZ24" s="203">
        <f t="array" ref="AZ24">MMULT(TRANSPOSE($AK$9:$AK$369),AO$9:AO$369)/AZ$18</f>
        <v>-1.3594595450957961E-4</v>
      </c>
      <c r="BB24" s="210">
        <f>BJ27</f>
        <v>0.46696082708759362</v>
      </c>
      <c r="BE24" s="248" t="s">
        <v>151</v>
      </c>
      <c r="BF24" s="129">
        <f>SUM(BF18:BN18)</f>
        <v>-271034.64072000002</v>
      </c>
    </row>
    <row r="25" spans="2:68" x14ac:dyDescent="0.25">
      <c r="B25" s="449">
        <v>42499</v>
      </c>
      <c r="C25" s="237">
        <v>76</v>
      </c>
      <c r="D25" s="237">
        <v>65</v>
      </c>
      <c r="E25" s="237">
        <v>79</v>
      </c>
      <c r="F25" s="237">
        <v>86</v>
      </c>
      <c r="G25" s="237">
        <v>80</v>
      </c>
      <c r="H25" s="237">
        <v>120</v>
      </c>
      <c r="I25" s="237">
        <v>123</v>
      </c>
      <c r="J25" s="237">
        <v>125</v>
      </c>
      <c r="K25" s="450">
        <v>125</v>
      </c>
      <c r="M25" s="451">
        <f t="shared" si="38"/>
        <v>-5.0000000000000044E-2</v>
      </c>
      <c r="N25" s="357">
        <f t="shared" si="39"/>
        <v>-0.1875</v>
      </c>
      <c r="O25" s="357">
        <f t="shared" si="40"/>
        <v>-0.20999999999999996</v>
      </c>
      <c r="P25" s="357">
        <f t="shared" si="41"/>
        <v>-1.1494252873563204E-2</v>
      </c>
      <c r="Q25" s="357">
        <f t="shared" si="42"/>
        <v>-8.0459770114942541E-2</v>
      </c>
      <c r="R25" s="357">
        <f t="shared" si="43"/>
        <v>0</v>
      </c>
      <c r="S25" s="357">
        <f t="shared" si="44"/>
        <v>0</v>
      </c>
      <c r="T25" s="357">
        <f t="shared" si="45"/>
        <v>0</v>
      </c>
      <c r="U25" s="379">
        <f t="shared" si="46"/>
        <v>0</v>
      </c>
      <c r="W25" s="451">
        <f t="shared" si="47"/>
        <v>-5.1293294387550578E-2</v>
      </c>
      <c r="X25" s="357">
        <f t="shared" si="19"/>
        <v>-0.20763936477824449</v>
      </c>
      <c r="Y25" s="357">
        <f t="shared" si="20"/>
        <v>-0.23572233352106983</v>
      </c>
      <c r="Z25" s="357">
        <f t="shared" si="21"/>
        <v>-1.1560822401075971E-2</v>
      </c>
      <c r="AA25" s="357">
        <f t="shared" si="22"/>
        <v>-8.3881483980702123E-2</v>
      </c>
      <c r="AB25" s="357">
        <f t="shared" si="23"/>
        <v>0</v>
      </c>
      <c r="AC25" s="357">
        <f t="shared" si="24"/>
        <v>0</v>
      </c>
      <c r="AD25" s="357">
        <f t="shared" si="25"/>
        <v>0</v>
      </c>
      <c r="AE25" s="379">
        <f t="shared" si="26"/>
        <v>0</v>
      </c>
      <c r="AG25" s="451">
        <f t="shared" si="27"/>
        <v>-7.1472074677567998E-2</v>
      </c>
      <c r="AH25" s="357">
        <f t="shared" si="28"/>
        <v>-0.20861007691727326</v>
      </c>
      <c r="AI25" s="357">
        <f t="shared" si="29"/>
        <v>-0.22426520628911523</v>
      </c>
      <c r="AJ25" s="357">
        <f t="shared" si="30"/>
        <v>-2.1442841496401469E-2</v>
      </c>
      <c r="AK25" s="357">
        <f t="shared" si="31"/>
        <v>-8.6916443400509302E-2</v>
      </c>
      <c r="AL25" s="357">
        <f t="shared" si="32"/>
        <v>-4.4708067204976532E-4</v>
      </c>
      <c r="AM25" s="357">
        <f t="shared" si="33"/>
        <v>-1.7064673510089895E-4</v>
      </c>
      <c r="AN25" s="357">
        <f t="shared" si="34"/>
        <v>1.9070751392640699E-5</v>
      </c>
      <c r="AO25" s="379">
        <f t="shared" si="35"/>
        <v>5.4711961047645428E-5</v>
      </c>
      <c r="AQ25" s="198" t="s">
        <v>30</v>
      </c>
      <c r="AR25" s="202">
        <f t="array" ref="AR25">MMULT(TRANSPOSE($AL$9:$AL$369),AG$9:AG$369)/AR$18</f>
        <v>1.3631061950681691E-3</v>
      </c>
      <c r="AS25" s="202">
        <f t="array" ref="AS25">MMULT(TRANSPOSE($AL$9:$AL$369),AH$9:AH$369)/AS$18</f>
        <v>2.9258315365561492E-3</v>
      </c>
      <c r="AT25" s="202">
        <f t="array" ref="AT25">MMULT(TRANSPOSE($AL$9:$AL$369),AI$9:AI$369)/AT$18</f>
        <v>2.4588181837334466E-3</v>
      </c>
      <c r="AU25" s="202">
        <f t="array" ref="AU25">MMULT(TRANSPOSE($AL$9:$AL$369),AJ$9:AJ$369)/AU$18</f>
        <v>1.9476412075703532E-3</v>
      </c>
      <c r="AV25" s="202">
        <f t="array" ref="AV25">MMULT(TRANSPOSE($AL$9:$AL$369),AK$9:AK$369)/AV$18</f>
        <v>1.8661363901281147E-3</v>
      </c>
      <c r="AW25" s="202">
        <f t="array" ref="AW25">MMULT(TRANSPOSE($AL$9:$AL$369),AL$9:AL$369)/AW$18</f>
        <v>1.5021126538219594E-3</v>
      </c>
      <c r="AX25" s="202">
        <f t="array" ref="AX25">MMULT(TRANSPOSE($AL$9:$AL$369),AM$9:AM$369)/AX$18</f>
        <v>4.905231517621033E-4</v>
      </c>
      <c r="AY25" s="202">
        <f t="array" ref="AY25">MMULT(TRANSPOSE($AL$9:$AL$369),AN$9:AN$369)/AY$18</f>
        <v>2.0522300449767741E-4</v>
      </c>
      <c r="AZ25" s="203">
        <f t="array" ref="AZ25">MMULT(TRANSPOSE($AL$9:$AL$369),AO$9:AO$369)/AZ$18</f>
        <v>1.7272401246585511E-4</v>
      </c>
      <c r="BB25" s="210">
        <f>BK27</f>
        <v>0.45372797983798618</v>
      </c>
    </row>
    <row r="26" spans="2:68" x14ac:dyDescent="0.25">
      <c r="B26" s="449">
        <v>42506</v>
      </c>
      <c r="C26" s="237">
        <v>81</v>
      </c>
      <c r="D26" s="237">
        <v>66</v>
      </c>
      <c r="E26" s="237">
        <v>84.05</v>
      </c>
      <c r="F26" s="237">
        <v>87</v>
      </c>
      <c r="G26" s="237">
        <v>82.155737704917996</v>
      </c>
      <c r="H26" s="237">
        <v>122</v>
      </c>
      <c r="I26" s="237">
        <v>125</v>
      </c>
      <c r="J26" s="237">
        <v>127</v>
      </c>
      <c r="K26" s="450">
        <v>127</v>
      </c>
      <c r="M26" s="451">
        <f t="shared" si="38"/>
        <v>6.578947368421062E-2</v>
      </c>
      <c r="N26" s="357">
        <f t="shared" si="39"/>
        <v>1.538461538461533E-2</v>
      </c>
      <c r="O26" s="357">
        <f t="shared" si="40"/>
        <v>6.3924050632911289E-2</v>
      </c>
      <c r="P26" s="357">
        <f t="shared" si="41"/>
        <v>1.1627906976744207E-2</v>
      </c>
      <c r="Q26" s="357">
        <f t="shared" si="42"/>
        <v>2.6946721311474908E-2</v>
      </c>
      <c r="R26" s="357">
        <f t="shared" si="43"/>
        <v>1.6666666666666607E-2</v>
      </c>
      <c r="S26" s="357">
        <f t="shared" si="44"/>
        <v>1.6260162601626105E-2</v>
      </c>
      <c r="T26" s="357">
        <f t="shared" si="45"/>
        <v>1.6000000000000014E-2</v>
      </c>
      <c r="U26" s="379">
        <f t="shared" si="46"/>
        <v>1.6000000000000014E-2</v>
      </c>
      <c r="W26" s="451">
        <f t="shared" si="47"/>
        <v>6.371581438610778E-2</v>
      </c>
      <c r="X26" s="357">
        <f t="shared" si="19"/>
        <v>1.5267472130788381E-2</v>
      </c>
      <c r="Y26" s="357">
        <f t="shared" si="20"/>
        <v>6.1964007387603021E-2</v>
      </c>
      <c r="Z26" s="357">
        <f t="shared" si="21"/>
        <v>1.1560822401076006E-2</v>
      </c>
      <c r="AA26" s="357">
        <f t="shared" si="22"/>
        <v>2.6590051617727567E-2</v>
      </c>
      <c r="AB26" s="357">
        <f t="shared" si="23"/>
        <v>1.6529301951210506E-2</v>
      </c>
      <c r="AC26" s="357">
        <f t="shared" si="24"/>
        <v>1.6129381929883717E-2</v>
      </c>
      <c r="AD26" s="357">
        <f t="shared" si="25"/>
        <v>1.5873349156290163E-2</v>
      </c>
      <c r="AE26" s="379">
        <f t="shared" si="26"/>
        <v>1.5873349156290163E-2</v>
      </c>
      <c r="AG26" s="451">
        <f t="shared" si="27"/>
        <v>4.4317399006642666E-2</v>
      </c>
      <c r="AH26" s="357">
        <f t="shared" si="28"/>
        <v>-5.7254615326579224E-3</v>
      </c>
      <c r="AI26" s="357">
        <f t="shared" si="29"/>
        <v>4.9658844343796013E-2</v>
      </c>
      <c r="AJ26" s="357">
        <f t="shared" si="30"/>
        <v>1.6793183539059418E-3</v>
      </c>
      <c r="AK26" s="357">
        <f t="shared" si="31"/>
        <v>2.0490048025908141E-2</v>
      </c>
      <c r="AL26" s="357">
        <f t="shared" si="32"/>
        <v>1.6219585994616842E-2</v>
      </c>
      <c r="AM26" s="357">
        <f t="shared" si="33"/>
        <v>1.6089515866525204E-2</v>
      </c>
      <c r="AN26" s="357">
        <f t="shared" si="34"/>
        <v>1.6019070751392656E-2</v>
      </c>
      <c r="AO26" s="379">
        <f t="shared" si="35"/>
        <v>1.6054711961047661E-2</v>
      </c>
      <c r="AQ26" s="198" t="s">
        <v>31</v>
      </c>
      <c r="AR26" s="202">
        <f t="array" ref="AR26">MMULT(TRANSPOSE($AM$9:$AM$369),AG$9:AG$369)/AR$18</f>
        <v>5.6597017055899548E-4</v>
      </c>
      <c r="AS26" s="202">
        <f t="array" ref="AS26">MMULT(TRANSPOSE($AM$9:$AM$369),AH$9:AH$369)/AS$18</f>
        <v>3.4489381432299102E-4</v>
      </c>
      <c r="AT26" s="202">
        <f t="array" ref="AT26">MMULT(TRANSPOSE($AM$9:$AM$369),AI$9:AI$369)/AT$18</f>
        <v>3.3498457757128841E-4</v>
      </c>
      <c r="AU26" s="202">
        <f t="array" ref="AU26">MMULT(TRANSPOSE($AM$9:$AM$369),AJ$9:AJ$369)/AU$18</f>
        <v>3.796471974232777E-4</v>
      </c>
      <c r="AV26" s="202">
        <f t="array" ref="AV26">MMULT(TRANSPOSE($AM$9:$AM$369),AK$9:AK$369)/AV$18</f>
        <v>2.3043847330061123E-4</v>
      </c>
      <c r="AW26" s="202">
        <f t="array" ref="AW26">MMULT(TRANSPOSE($AM$9:$AM$369),AL$9:AL$369)/AW$18</f>
        <v>4.905231517621033E-4</v>
      </c>
      <c r="AX26" s="202">
        <f t="array" ref="AX26">MMULT(TRANSPOSE($AM$9:$AM$369),AM$9:AM$369)/AX$18</f>
        <v>5.1087622669461984E-4</v>
      </c>
      <c r="AY26" s="202">
        <f t="array" ref="AY26">MMULT(TRANSPOSE($AM$9:$AM$369),AN$9:AN$369)/AY$18</f>
        <v>2.5935491792783059E-4</v>
      </c>
      <c r="AZ26" s="203">
        <f t="array" ref="AZ26">MMULT(TRANSPOSE($AM$9:$AM$369),AO$9:AO$369)/AZ$18</f>
        <v>2.070412255186817E-4</v>
      </c>
      <c r="BB26" s="210">
        <f>BL27</f>
        <v>0</v>
      </c>
      <c r="BF26" s="99" t="s">
        <v>25</v>
      </c>
      <c r="BG26" s="99" t="s">
        <v>26</v>
      </c>
      <c r="BH26" s="99" t="s">
        <v>27</v>
      </c>
      <c r="BI26" s="99" t="s">
        <v>28</v>
      </c>
      <c r="BJ26" s="99" t="s">
        <v>29</v>
      </c>
      <c r="BK26" s="99" t="s">
        <v>30</v>
      </c>
      <c r="BL26" s="99" t="s">
        <v>31</v>
      </c>
      <c r="BM26" s="99" t="s">
        <v>32</v>
      </c>
      <c r="BN26" s="99" t="s">
        <v>33</v>
      </c>
      <c r="BO26" s="99" t="s">
        <v>23</v>
      </c>
    </row>
    <row r="27" spans="2:68" x14ac:dyDescent="0.25">
      <c r="B27" s="449">
        <v>42513</v>
      </c>
      <c r="C27" s="237">
        <v>81</v>
      </c>
      <c r="D27" s="237">
        <v>62</v>
      </c>
      <c r="E27" s="237">
        <v>83</v>
      </c>
      <c r="F27" s="237">
        <v>85.17</v>
      </c>
      <c r="G27" s="237">
        <v>84</v>
      </c>
      <c r="H27" s="237">
        <v>127</v>
      </c>
      <c r="I27" s="237">
        <v>127</v>
      </c>
      <c r="J27" s="237">
        <v>130</v>
      </c>
      <c r="K27" s="450">
        <v>130</v>
      </c>
      <c r="M27" s="451">
        <f t="shared" si="38"/>
        <v>0</v>
      </c>
      <c r="N27" s="357">
        <f t="shared" si="39"/>
        <v>-6.0606060606060552E-2</v>
      </c>
      <c r="O27" s="357">
        <f t="shared" si="40"/>
        <v>-1.2492563950029734E-2</v>
      </c>
      <c r="P27" s="357">
        <f t="shared" si="41"/>
        <v>-2.1034482758620632E-2</v>
      </c>
      <c r="Q27" s="357">
        <f t="shared" si="42"/>
        <v>2.2448368751871062E-2</v>
      </c>
      <c r="R27" s="357">
        <f t="shared" si="43"/>
        <v>4.0983606557376984E-2</v>
      </c>
      <c r="S27" s="357">
        <f t="shared" si="44"/>
        <v>1.6000000000000014E-2</v>
      </c>
      <c r="T27" s="357">
        <f t="shared" si="45"/>
        <v>2.3622047244094446E-2</v>
      </c>
      <c r="U27" s="379">
        <f t="shared" si="46"/>
        <v>2.3622047244094446E-2</v>
      </c>
      <c r="W27" s="451">
        <f t="shared" si="47"/>
        <v>0</v>
      </c>
      <c r="X27" s="357">
        <f t="shared" si="19"/>
        <v>-6.252035698133393E-2</v>
      </c>
      <c r="Y27" s="357">
        <f t="shared" si="20"/>
        <v>-1.257125205802668E-2</v>
      </c>
      <c r="Z27" s="357">
        <f t="shared" si="21"/>
        <v>-2.125885950159415E-2</v>
      </c>
      <c r="AA27" s="357">
        <f t="shared" si="22"/>
        <v>2.2200112551704305E-2</v>
      </c>
      <c r="AB27" s="357">
        <f t="shared" si="23"/>
        <v>4.0166041725334653E-2</v>
      </c>
      <c r="AC27" s="357">
        <f t="shared" si="24"/>
        <v>1.5873349156290163E-2</v>
      </c>
      <c r="AD27" s="357">
        <f t="shared" si="25"/>
        <v>2.3347363996991107E-2</v>
      </c>
      <c r="AE27" s="379">
        <f t="shared" si="26"/>
        <v>2.3347363996991107E-2</v>
      </c>
      <c r="AG27" s="451">
        <f t="shared" si="27"/>
        <v>-2.1472074677567957E-2</v>
      </c>
      <c r="AH27" s="357">
        <f t="shared" si="28"/>
        <v>-8.1716137523333801E-2</v>
      </c>
      <c r="AI27" s="357">
        <f t="shared" si="29"/>
        <v>-2.675777023914501E-2</v>
      </c>
      <c r="AJ27" s="357">
        <f t="shared" si="30"/>
        <v>-3.0983071381458897E-2</v>
      </c>
      <c r="AK27" s="357">
        <f t="shared" si="31"/>
        <v>1.5991695466304294E-2</v>
      </c>
      <c r="AL27" s="357">
        <f t="shared" si="32"/>
        <v>4.0536525885327218E-2</v>
      </c>
      <c r="AM27" s="357">
        <f t="shared" si="33"/>
        <v>1.5829353264899114E-2</v>
      </c>
      <c r="AN27" s="357">
        <f t="shared" si="34"/>
        <v>2.3641117995487088E-2</v>
      </c>
      <c r="AO27" s="379">
        <f t="shared" si="35"/>
        <v>2.3676759205142093E-2</v>
      </c>
      <c r="AQ27" s="198" t="s">
        <v>32</v>
      </c>
      <c r="AR27" s="202">
        <f t="array" ref="AR27">MMULT(TRANSPOSE($AN$9:$AN$369),AG$9:AG$369)/AR$18</f>
        <v>4.8282788869467424E-4</v>
      </c>
      <c r="AS27" s="202">
        <f t="array" ref="AS27">MMULT(TRANSPOSE($AN$9:$AN$369),AH$9:AH$369)/AS$18</f>
        <v>1.8530066561474087E-4</v>
      </c>
      <c r="AT27" s="202">
        <f t="array" ref="AT27">MMULT(TRANSPOSE($AN$9:$AN$369),AI$9:AI$369)/AT$18</f>
        <v>2.6806890169460835E-4</v>
      </c>
      <c r="AU27" s="202">
        <f t="array" ref="AU27">MMULT(TRANSPOSE($AN$9:$AN$369),AJ$9:AJ$369)/AU$18</f>
        <v>2.7288601406951895E-4</v>
      </c>
      <c r="AV27" s="202">
        <f t="array" ref="AV27">MMULT(TRANSPOSE($AN$9:$AN$369),AK$9:AK$369)/AV$18</f>
        <v>-2.4355516458906548E-4</v>
      </c>
      <c r="AW27" s="202">
        <f t="array" ref="AW27">MMULT(TRANSPOSE($AN$9:$AN$369),AL$9:AL$369)/AW$18</f>
        <v>2.0522300449767741E-4</v>
      </c>
      <c r="AX27" s="202">
        <f t="array" ref="AX27">MMULT(TRANSPOSE($AN$9:$AN$369),AM$9:AM$369)/AX$18</f>
        <v>2.5935491792783059E-4</v>
      </c>
      <c r="AY27" s="202">
        <f t="array" ref="AY27">MMULT(TRANSPOSE($AN$9:$AN$369),AN$9:AN$369)/AY$18</f>
        <v>2.8352914765605327E-4</v>
      </c>
      <c r="AZ27" s="203">
        <f t="array" ref="AZ27">MMULT(TRANSPOSE($AN$9:$AN$369),AO$9:AO$369)/AZ$18</f>
        <v>1.9146280722842843E-4</v>
      </c>
      <c r="BB27" s="210">
        <f>BM27</f>
        <v>0</v>
      </c>
      <c r="BE27" s="2" t="s">
        <v>259</v>
      </c>
      <c r="BF27" s="190">
        <f>IF(ISERROR(ABS(BF18)/$BP$18),0,ABS(BF18)/$BP$18)</f>
        <v>3.423060600428772E-2</v>
      </c>
      <c r="BG27" s="190">
        <f t="shared" ref="BG27:BN27" si="56">IF(ISERROR(ABS(BG18)/$BP$18),0,ABS(BG18)/$BP$18)</f>
        <v>3.7515500679134006E-2</v>
      </c>
      <c r="BH27" s="190">
        <f t="shared" si="56"/>
        <v>7.1075793813018028E-3</v>
      </c>
      <c r="BI27" s="190">
        <f t="shared" si="56"/>
        <v>4.5750700969665137E-4</v>
      </c>
      <c r="BJ27" s="190">
        <f t="shared" si="56"/>
        <v>0.46696082708759362</v>
      </c>
      <c r="BK27" s="190">
        <f t="shared" si="56"/>
        <v>0.45372797983798618</v>
      </c>
      <c r="BL27" s="191">
        <f t="shared" si="56"/>
        <v>0</v>
      </c>
      <c r="BM27" s="190">
        <f t="shared" si="56"/>
        <v>0</v>
      </c>
      <c r="BN27" s="190">
        <f t="shared" si="56"/>
        <v>0</v>
      </c>
      <c r="BO27" s="191">
        <f>IF(SUM(BF27:BN27)=0,1,SUM(BF27:BN27))</f>
        <v>1</v>
      </c>
      <c r="BP27" s="85" t="b">
        <f>ROUND(BO27,4)=1</f>
        <v>1</v>
      </c>
    </row>
    <row r="28" spans="2:68" ht="15.75" thickBot="1" x14ac:dyDescent="0.3">
      <c r="B28" s="449">
        <v>42520</v>
      </c>
      <c r="C28" s="237">
        <v>62</v>
      </c>
      <c r="D28" s="237">
        <v>88</v>
      </c>
      <c r="E28" s="237">
        <v>88</v>
      </c>
      <c r="F28" s="237">
        <v>88</v>
      </c>
      <c r="G28" s="237">
        <v>84</v>
      </c>
      <c r="H28" s="237">
        <v>128</v>
      </c>
      <c r="I28" s="237">
        <v>128</v>
      </c>
      <c r="J28" s="237">
        <v>130</v>
      </c>
      <c r="K28" s="450">
        <v>130</v>
      </c>
      <c r="M28" s="451">
        <f t="shared" si="38"/>
        <v>-0.23456790123456794</v>
      </c>
      <c r="N28" s="357">
        <f t="shared" si="39"/>
        <v>0.41935483870967749</v>
      </c>
      <c r="O28" s="357">
        <f t="shared" si="40"/>
        <v>6.024096385542177E-2</v>
      </c>
      <c r="P28" s="357">
        <f t="shared" si="41"/>
        <v>3.322766232241392E-2</v>
      </c>
      <c r="Q28" s="357">
        <f t="shared" si="42"/>
        <v>0</v>
      </c>
      <c r="R28" s="357">
        <f t="shared" si="43"/>
        <v>7.8740157480314821E-3</v>
      </c>
      <c r="S28" s="357">
        <f t="shared" si="44"/>
        <v>7.8740157480314821E-3</v>
      </c>
      <c r="T28" s="357">
        <f t="shared" si="45"/>
        <v>0</v>
      </c>
      <c r="U28" s="379">
        <f t="shared" si="46"/>
        <v>0</v>
      </c>
      <c r="W28" s="451">
        <f t="shared" si="47"/>
        <v>-0.26731476962734729</v>
      </c>
      <c r="X28" s="357">
        <f t="shared" si="19"/>
        <v>0.35020242943311497</v>
      </c>
      <c r="Y28" s="357">
        <f t="shared" si="20"/>
        <v>5.8496206681608626E-2</v>
      </c>
      <c r="Z28" s="357">
        <f t="shared" si="21"/>
        <v>3.2687555325216888E-2</v>
      </c>
      <c r="AA28" s="357">
        <f t="shared" si="22"/>
        <v>0</v>
      </c>
      <c r="AB28" s="357">
        <f t="shared" si="23"/>
        <v>7.8431774610258787E-3</v>
      </c>
      <c r="AC28" s="357">
        <f t="shared" si="24"/>
        <v>7.8431774610258787E-3</v>
      </c>
      <c r="AD28" s="357">
        <f t="shared" si="25"/>
        <v>0</v>
      </c>
      <c r="AE28" s="379">
        <f t="shared" si="26"/>
        <v>0</v>
      </c>
      <c r="AG28" s="451">
        <f t="shared" si="27"/>
        <v>-0.2560399759121359</v>
      </c>
      <c r="AH28" s="357">
        <f t="shared" si="28"/>
        <v>0.39824476179240426</v>
      </c>
      <c r="AI28" s="357">
        <f t="shared" si="29"/>
        <v>4.5975757566306494E-2</v>
      </c>
      <c r="AJ28" s="357">
        <f t="shared" si="30"/>
        <v>2.3279073699575655E-2</v>
      </c>
      <c r="AK28" s="357">
        <f t="shared" si="31"/>
        <v>-6.4566732855667669E-3</v>
      </c>
      <c r="AL28" s="357">
        <f t="shared" si="32"/>
        <v>7.4269350759817165E-3</v>
      </c>
      <c r="AM28" s="357">
        <f t="shared" si="33"/>
        <v>7.7033690129305835E-3</v>
      </c>
      <c r="AN28" s="357">
        <f t="shared" si="34"/>
        <v>1.9070751392640699E-5</v>
      </c>
      <c r="AO28" s="379">
        <f t="shared" si="35"/>
        <v>5.4711961047645428E-5</v>
      </c>
      <c r="AQ28" s="199" t="s">
        <v>33</v>
      </c>
      <c r="AR28" s="204">
        <f t="array" ref="AR28">MMULT(TRANSPOSE($AO$9:$AO$369),AG$9:AG$369)/AR$18</f>
        <v>2.3616347099920793E-4</v>
      </c>
      <c r="AS28" s="204">
        <f t="array" ref="AS28">MMULT(TRANSPOSE($AO$9:$AO$369),AH$9:AH$369)/AS$18</f>
        <v>5.7927512906245182E-5</v>
      </c>
      <c r="AT28" s="204">
        <f t="array" ref="AT28">MMULT(TRANSPOSE($AO$9:$AO$369),AI$9:AI$369)/AT$18</f>
        <v>1.1250488382991653E-4</v>
      </c>
      <c r="AU28" s="204">
        <f t="array" ref="AU28">MMULT(TRANSPOSE($AO$9:$AO$369),AJ$9:AJ$369)/AU$18</f>
        <v>4.5806523628213375E-5</v>
      </c>
      <c r="AV28" s="204">
        <f t="array" ref="AV28">MMULT(TRANSPOSE($AO$9:$AO$369),AK$9:AK$369)/AV$18</f>
        <v>-1.3594595450957961E-4</v>
      </c>
      <c r="AW28" s="204">
        <f t="array" ref="AW28">MMULT(TRANSPOSE($AO$9:$AO$369),AL$9:AL$369)/AW$18</f>
        <v>1.7272401246585511E-4</v>
      </c>
      <c r="AX28" s="204">
        <f t="array" ref="AX28">MMULT(TRANSPOSE($AO$9:$AO$369),AM$9:AM$369)/AX$18</f>
        <v>2.070412255186817E-4</v>
      </c>
      <c r="AY28" s="204">
        <f t="array" ref="AY28">MMULT(TRANSPOSE($AO$9:$AO$369),AN$9:AN$369)/AY$18</f>
        <v>1.9146280722842843E-4</v>
      </c>
      <c r="AZ28" s="205">
        <f t="array" ref="AZ28">MMULT(TRANSPOSE($AO$9:$AO$369),AO$9:AO$369)/AZ$18</f>
        <v>2.1389321580515168E-4</v>
      </c>
      <c r="BB28" s="211">
        <f>BN27</f>
        <v>0</v>
      </c>
    </row>
    <row r="29" spans="2:68" x14ac:dyDescent="0.25">
      <c r="B29" s="449">
        <v>42527</v>
      </c>
      <c r="C29" s="237">
        <v>60</v>
      </c>
      <c r="D29" s="237">
        <v>59</v>
      </c>
      <c r="E29" s="237">
        <v>77</v>
      </c>
      <c r="F29" s="237">
        <v>86</v>
      </c>
      <c r="G29" s="237">
        <v>84</v>
      </c>
      <c r="H29" s="237">
        <v>128</v>
      </c>
      <c r="I29" s="237">
        <v>128</v>
      </c>
      <c r="J29" s="237">
        <v>130</v>
      </c>
      <c r="K29" s="450">
        <v>130</v>
      </c>
      <c r="M29" s="451">
        <f t="shared" si="38"/>
        <v>-3.2258064516129004E-2</v>
      </c>
      <c r="N29" s="357">
        <f t="shared" si="39"/>
        <v>-0.32954545454545459</v>
      </c>
      <c r="O29" s="357">
        <f t="shared" si="40"/>
        <v>-0.125</v>
      </c>
      <c r="P29" s="357">
        <f t="shared" si="41"/>
        <v>-2.2727272727272707E-2</v>
      </c>
      <c r="Q29" s="357">
        <f t="shared" si="42"/>
        <v>0</v>
      </c>
      <c r="R29" s="357">
        <f t="shared" si="43"/>
        <v>0</v>
      </c>
      <c r="S29" s="357">
        <f t="shared" si="44"/>
        <v>0</v>
      </c>
      <c r="T29" s="357">
        <f t="shared" si="45"/>
        <v>0</v>
      </c>
      <c r="U29" s="379">
        <f t="shared" si="46"/>
        <v>0</v>
      </c>
      <c r="W29" s="451">
        <f t="shared" si="47"/>
        <v>-3.2789822822990838E-2</v>
      </c>
      <c r="X29" s="357">
        <f t="shared" si="19"/>
        <v>-0.3997993705724871</v>
      </c>
      <c r="Y29" s="357">
        <f t="shared" si="20"/>
        <v>-0.13353139262452263</v>
      </c>
      <c r="Z29" s="357">
        <f t="shared" si="21"/>
        <v>-2.2989518224698718E-2</v>
      </c>
      <c r="AA29" s="357">
        <f t="shared" si="22"/>
        <v>0</v>
      </c>
      <c r="AB29" s="357">
        <f t="shared" si="23"/>
        <v>0</v>
      </c>
      <c r="AC29" s="357">
        <f t="shared" si="24"/>
        <v>0</v>
      </c>
      <c r="AD29" s="357">
        <f t="shared" si="25"/>
        <v>0</v>
      </c>
      <c r="AE29" s="379">
        <f t="shared" si="26"/>
        <v>0</v>
      </c>
      <c r="AG29" s="451">
        <f t="shared" si="27"/>
        <v>-5.3730139193696957E-2</v>
      </c>
      <c r="AH29" s="357">
        <f t="shared" si="28"/>
        <v>-0.35065553146272782</v>
      </c>
      <c r="AI29" s="357">
        <f t="shared" si="29"/>
        <v>-0.13926520628911526</v>
      </c>
      <c r="AJ29" s="357">
        <f t="shared" si="30"/>
        <v>-3.2675861350110968E-2</v>
      </c>
      <c r="AK29" s="357">
        <f t="shared" si="31"/>
        <v>-6.4566732855667669E-3</v>
      </c>
      <c r="AL29" s="357">
        <f t="shared" si="32"/>
        <v>-4.4708067204976532E-4</v>
      </c>
      <c r="AM29" s="357">
        <f t="shared" si="33"/>
        <v>-1.7064673510089895E-4</v>
      </c>
      <c r="AN29" s="357">
        <f t="shared" si="34"/>
        <v>1.9070751392640699E-5</v>
      </c>
      <c r="AO29" s="379">
        <f t="shared" si="35"/>
        <v>5.4711961047645428E-5</v>
      </c>
    </row>
    <row r="30" spans="2:68" x14ac:dyDescent="0.25">
      <c r="B30" s="449">
        <v>42534</v>
      </c>
      <c r="C30" s="237">
        <v>60</v>
      </c>
      <c r="D30" s="237">
        <v>51</v>
      </c>
      <c r="E30" s="237">
        <v>72</v>
      </c>
      <c r="F30" s="237">
        <v>88</v>
      </c>
      <c r="G30" s="237">
        <v>79</v>
      </c>
      <c r="H30" s="237">
        <v>128</v>
      </c>
      <c r="I30" s="237">
        <v>130</v>
      </c>
      <c r="J30" s="237">
        <v>130</v>
      </c>
      <c r="K30" s="450">
        <v>130</v>
      </c>
      <c r="M30" s="451">
        <f t="shared" si="38"/>
        <v>0</v>
      </c>
      <c r="N30" s="357">
        <f t="shared" si="39"/>
        <v>-0.13559322033898302</v>
      </c>
      <c r="O30" s="357">
        <f t="shared" si="40"/>
        <v>-6.4935064935064957E-2</v>
      </c>
      <c r="P30" s="357">
        <f t="shared" si="41"/>
        <v>2.3255813953488413E-2</v>
      </c>
      <c r="Q30" s="357">
        <f t="shared" si="42"/>
        <v>-5.9523809523809534E-2</v>
      </c>
      <c r="R30" s="357">
        <f t="shared" si="43"/>
        <v>0</v>
      </c>
      <c r="S30" s="357">
        <f t="shared" si="44"/>
        <v>1.5625E-2</v>
      </c>
      <c r="T30" s="357">
        <f t="shared" si="45"/>
        <v>0</v>
      </c>
      <c r="U30" s="379">
        <f t="shared" si="46"/>
        <v>0</v>
      </c>
      <c r="W30" s="451">
        <f t="shared" si="47"/>
        <v>0</v>
      </c>
      <c r="X30" s="357">
        <f t="shared" si="19"/>
        <v>-0.14571181118139365</v>
      </c>
      <c r="Y30" s="357">
        <f t="shared" si="20"/>
        <v>-6.7139302837628562E-2</v>
      </c>
      <c r="Z30" s="357">
        <f t="shared" si="21"/>
        <v>2.2989518224698781E-2</v>
      </c>
      <c r="AA30" s="357">
        <f t="shared" si="22"/>
        <v>-6.136894637629213E-2</v>
      </c>
      <c r="AB30" s="357">
        <f t="shared" si="23"/>
        <v>0</v>
      </c>
      <c r="AC30" s="357">
        <f t="shared" si="24"/>
        <v>1.5504186535965254E-2</v>
      </c>
      <c r="AD30" s="357">
        <f t="shared" si="25"/>
        <v>0</v>
      </c>
      <c r="AE30" s="379">
        <f t="shared" si="26"/>
        <v>0</v>
      </c>
      <c r="AG30" s="451">
        <f t="shared" si="27"/>
        <v>-2.1472074677567957E-2</v>
      </c>
      <c r="AH30" s="357">
        <f t="shared" si="28"/>
        <v>-0.15670329725625629</v>
      </c>
      <c r="AI30" s="357">
        <f t="shared" si="29"/>
        <v>-7.9200271224180233E-2</v>
      </c>
      <c r="AJ30" s="357">
        <f t="shared" si="30"/>
        <v>1.3307225330650149E-2</v>
      </c>
      <c r="AK30" s="357">
        <f t="shared" si="31"/>
        <v>-6.5980482809376295E-2</v>
      </c>
      <c r="AL30" s="357">
        <f t="shared" si="32"/>
        <v>-4.4708067204976532E-4</v>
      </c>
      <c r="AM30" s="357">
        <f t="shared" si="33"/>
        <v>1.5454353264899101E-2</v>
      </c>
      <c r="AN30" s="357">
        <f t="shared" si="34"/>
        <v>1.9070751392640699E-5</v>
      </c>
      <c r="AO30" s="379">
        <f t="shared" si="35"/>
        <v>5.4711961047645428E-5</v>
      </c>
      <c r="AQ30" s="87" t="s">
        <v>253</v>
      </c>
    </row>
    <row r="31" spans="2:68" x14ac:dyDescent="0.25">
      <c r="B31" s="449">
        <v>42541</v>
      </c>
      <c r="C31" s="237">
        <v>63</v>
      </c>
      <c r="D31" s="237">
        <v>69</v>
      </c>
      <c r="E31" s="237">
        <v>72</v>
      </c>
      <c r="F31" s="237">
        <v>86</v>
      </c>
      <c r="G31" s="237">
        <v>80</v>
      </c>
      <c r="H31" s="237">
        <v>128</v>
      </c>
      <c r="I31" s="237">
        <v>130</v>
      </c>
      <c r="J31" s="237">
        <v>130</v>
      </c>
      <c r="K31" s="450">
        <v>130</v>
      </c>
      <c r="M31" s="451">
        <f t="shared" si="38"/>
        <v>5.0000000000000044E-2</v>
      </c>
      <c r="N31" s="357">
        <f t="shared" si="39"/>
        <v>0.35294117647058831</v>
      </c>
      <c r="O31" s="357">
        <f t="shared" si="40"/>
        <v>0</v>
      </c>
      <c r="P31" s="357">
        <f t="shared" si="41"/>
        <v>-2.2727272727272707E-2</v>
      </c>
      <c r="Q31" s="357">
        <f t="shared" si="42"/>
        <v>1.2658227848101333E-2</v>
      </c>
      <c r="R31" s="357">
        <f t="shared" si="43"/>
        <v>0</v>
      </c>
      <c r="S31" s="357">
        <f t="shared" si="44"/>
        <v>0</v>
      </c>
      <c r="T31" s="357">
        <f t="shared" si="45"/>
        <v>0</v>
      </c>
      <c r="U31" s="379">
        <f t="shared" si="46"/>
        <v>0</v>
      </c>
      <c r="W31" s="451">
        <f t="shared" si="47"/>
        <v>4.8790164169432049E-2</v>
      </c>
      <c r="X31" s="357">
        <f t="shared" si="19"/>
        <v>0.30228087187293368</v>
      </c>
      <c r="Y31" s="357">
        <f t="shared" si="20"/>
        <v>0</v>
      </c>
      <c r="Z31" s="357">
        <f t="shared" si="21"/>
        <v>-2.2989518224698718E-2</v>
      </c>
      <c r="AA31" s="357">
        <f t="shared" si="22"/>
        <v>1.2578782206860185E-2</v>
      </c>
      <c r="AB31" s="357">
        <f t="shared" si="23"/>
        <v>0</v>
      </c>
      <c r="AC31" s="357">
        <f t="shared" si="24"/>
        <v>0</v>
      </c>
      <c r="AD31" s="357">
        <f t="shared" si="25"/>
        <v>0</v>
      </c>
      <c r="AE31" s="379">
        <f t="shared" si="26"/>
        <v>0</v>
      </c>
      <c r="AG31" s="451">
        <f t="shared" si="27"/>
        <v>2.8527925322432087E-2</v>
      </c>
      <c r="AH31" s="357">
        <f t="shared" si="28"/>
        <v>0.33183109955331508</v>
      </c>
      <c r="AI31" s="357">
        <f t="shared" si="29"/>
        <v>-1.4265206289115274E-2</v>
      </c>
      <c r="AJ31" s="357">
        <f t="shared" si="30"/>
        <v>-3.2675861350110968E-2</v>
      </c>
      <c r="AK31" s="357">
        <f t="shared" si="31"/>
        <v>6.2015545625345664E-3</v>
      </c>
      <c r="AL31" s="357">
        <f t="shared" si="32"/>
        <v>-4.4708067204976532E-4</v>
      </c>
      <c r="AM31" s="357">
        <f t="shared" si="33"/>
        <v>-1.7064673510089895E-4</v>
      </c>
      <c r="AN31" s="357">
        <f t="shared" si="34"/>
        <v>1.9070751392640699E-5</v>
      </c>
      <c r="AO31" s="379">
        <f t="shared" si="35"/>
        <v>5.4711961047645428E-5</v>
      </c>
      <c r="AQ31" s="2" t="s">
        <v>254</v>
      </c>
      <c r="AR31" s="195">
        <f>CORREL(M9:M119,N9:N119*M3*N3)</f>
        <v>0.41747117574358783</v>
      </c>
      <c r="AS31" s="194">
        <f>AR31-AR21</f>
        <v>0.40399305986626366</v>
      </c>
      <c r="AT31" s="2"/>
    </row>
    <row r="32" spans="2:68" x14ac:dyDescent="0.25">
      <c r="B32" s="449">
        <v>42548</v>
      </c>
      <c r="C32" s="237">
        <v>76</v>
      </c>
      <c r="D32" s="237">
        <v>88</v>
      </c>
      <c r="E32" s="237">
        <v>100</v>
      </c>
      <c r="F32" s="237">
        <v>110</v>
      </c>
      <c r="G32" s="237">
        <v>101</v>
      </c>
      <c r="H32" s="237">
        <v>128</v>
      </c>
      <c r="I32" s="237">
        <v>130</v>
      </c>
      <c r="J32" s="237">
        <v>130</v>
      </c>
      <c r="K32" s="450">
        <v>130</v>
      </c>
      <c r="M32" s="451">
        <f t="shared" si="38"/>
        <v>0.20634920634920628</v>
      </c>
      <c r="N32" s="357">
        <f t="shared" si="39"/>
        <v>0.2753623188405796</v>
      </c>
      <c r="O32" s="357">
        <f t="shared" si="40"/>
        <v>0.38888888888888884</v>
      </c>
      <c r="P32" s="357">
        <f t="shared" si="41"/>
        <v>0.27906976744186052</v>
      </c>
      <c r="Q32" s="357">
        <f t="shared" si="42"/>
        <v>0.26249999999999996</v>
      </c>
      <c r="R32" s="357">
        <f t="shared" si="43"/>
        <v>0</v>
      </c>
      <c r="S32" s="357">
        <f t="shared" si="44"/>
        <v>0</v>
      </c>
      <c r="T32" s="357">
        <f t="shared" si="45"/>
        <v>0</v>
      </c>
      <c r="U32" s="379">
        <f t="shared" si="46"/>
        <v>0</v>
      </c>
      <c r="W32" s="451">
        <f t="shared" si="47"/>
        <v>0.18759861389479834</v>
      </c>
      <c r="X32" s="357">
        <f t="shared" si="19"/>
        <v>0.24323030988094702</v>
      </c>
      <c r="Y32" s="357">
        <f t="shared" si="20"/>
        <v>0.32850406697203605</v>
      </c>
      <c r="Z32" s="357">
        <f t="shared" si="21"/>
        <v>0.24613306953890854</v>
      </c>
      <c r="AA32" s="357">
        <f t="shared" si="22"/>
        <v>0.23309388216737781</v>
      </c>
      <c r="AB32" s="357">
        <f t="shared" si="23"/>
        <v>0</v>
      </c>
      <c r="AC32" s="357">
        <f t="shared" si="24"/>
        <v>0</v>
      </c>
      <c r="AD32" s="357">
        <f t="shared" si="25"/>
        <v>0</v>
      </c>
      <c r="AE32" s="379">
        <f t="shared" si="26"/>
        <v>0</v>
      </c>
      <c r="AG32" s="451">
        <f t="shared" si="27"/>
        <v>0.18487713167163833</v>
      </c>
      <c r="AH32" s="357">
        <f t="shared" si="28"/>
        <v>0.25425224192330637</v>
      </c>
      <c r="AI32" s="357">
        <f t="shared" si="29"/>
        <v>0.37462368259977358</v>
      </c>
      <c r="AJ32" s="357">
        <f t="shared" si="30"/>
        <v>0.26912117881902226</v>
      </c>
      <c r="AK32" s="357">
        <f t="shared" si="31"/>
        <v>0.25604332671443319</v>
      </c>
      <c r="AL32" s="357">
        <f t="shared" si="32"/>
        <v>-4.4708067204976532E-4</v>
      </c>
      <c r="AM32" s="357">
        <f t="shared" si="33"/>
        <v>-1.7064673510089895E-4</v>
      </c>
      <c r="AN32" s="357">
        <f t="shared" si="34"/>
        <v>1.9070751392640699E-5</v>
      </c>
      <c r="AO32" s="379">
        <f t="shared" si="35"/>
        <v>5.4711961047645428E-5</v>
      </c>
      <c r="AQ32" s="2" t="s">
        <v>255</v>
      </c>
      <c r="AR32" s="195">
        <f>CORREL(O9:O119,P9:P119)*O3*P3</f>
        <v>2.1143892638813635E-2</v>
      </c>
      <c r="AS32" s="194">
        <f>AR32-AU22</f>
        <v>1.8983281804788379E-3</v>
      </c>
      <c r="AT32" s="2"/>
    </row>
    <row r="33" spans="2:52" x14ac:dyDescent="0.25">
      <c r="B33" s="449">
        <v>42555</v>
      </c>
      <c r="C33" s="237">
        <v>80</v>
      </c>
      <c r="D33" s="237">
        <v>95</v>
      </c>
      <c r="E33" s="237">
        <v>101</v>
      </c>
      <c r="F33" s="237">
        <v>110</v>
      </c>
      <c r="G33" s="237">
        <v>103</v>
      </c>
      <c r="H33" s="237">
        <v>130</v>
      </c>
      <c r="I33" s="237">
        <v>132</v>
      </c>
      <c r="J33" s="237">
        <v>132</v>
      </c>
      <c r="K33" s="450">
        <v>132</v>
      </c>
      <c r="M33" s="451">
        <f t="shared" si="38"/>
        <v>5.2631578947368363E-2</v>
      </c>
      <c r="N33" s="357">
        <f t="shared" si="39"/>
        <v>7.9545454545454586E-2</v>
      </c>
      <c r="O33" s="357">
        <f t="shared" si="40"/>
        <v>1.0000000000000009E-2</v>
      </c>
      <c r="P33" s="357">
        <f t="shared" si="41"/>
        <v>0</v>
      </c>
      <c r="Q33" s="357">
        <f t="shared" si="42"/>
        <v>1.980198019801982E-2</v>
      </c>
      <c r="R33" s="357">
        <f t="shared" si="43"/>
        <v>1.5625E-2</v>
      </c>
      <c r="S33" s="357">
        <f t="shared" si="44"/>
        <v>1.538461538461533E-2</v>
      </c>
      <c r="T33" s="357">
        <f t="shared" si="45"/>
        <v>1.538461538461533E-2</v>
      </c>
      <c r="U33" s="379">
        <f t="shared" si="46"/>
        <v>1.538461538461533E-2</v>
      </c>
      <c r="W33" s="451">
        <f t="shared" si="47"/>
        <v>5.1293294387550481E-2</v>
      </c>
      <c r="X33" s="357">
        <f t="shared" si="19"/>
        <v>7.6540077122334405E-2</v>
      </c>
      <c r="Y33" s="357">
        <f t="shared" si="20"/>
        <v>9.950330853168092E-3</v>
      </c>
      <c r="Z33" s="357">
        <f t="shared" si="21"/>
        <v>0</v>
      </c>
      <c r="AA33" s="357">
        <f t="shared" si="22"/>
        <v>1.9608471388376337E-2</v>
      </c>
      <c r="AB33" s="357">
        <f t="shared" si="23"/>
        <v>1.5504186535965254E-2</v>
      </c>
      <c r="AC33" s="357">
        <f t="shared" si="24"/>
        <v>1.5267472130788381E-2</v>
      </c>
      <c r="AD33" s="357">
        <f t="shared" si="25"/>
        <v>1.5267472130788381E-2</v>
      </c>
      <c r="AE33" s="379">
        <f t="shared" si="26"/>
        <v>1.5267472130788381E-2</v>
      </c>
      <c r="AG33" s="451">
        <f t="shared" si="27"/>
        <v>3.1159504269800405E-2</v>
      </c>
      <c r="AH33" s="357">
        <f t="shared" si="28"/>
        <v>5.8435377628181337E-2</v>
      </c>
      <c r="AI33" s="357">
        <f t="shared" si="29"/>
        <v>-4.2652062891152653E-3</v>
      </c>
      <c r="AJ33" s="357">
        <f t="shared" si="30"/>
        <v>-9.9485886228382649E-3</v>
      </c>
      <c r="AK33" s="357">
        <f t="shared" si="31"/>
        <v>1.3345306912453052E-2</v>
      </c>
      <c r="AL33" s="357">
        <f t="shared" si="32"/>
        <v>1.5177919327950234E-2</v>
      </c>
      <c r="AM33" s="357">
        <f t="shared" si="33"/>
        <v>1.5213968649514431E-2</v>
      </c>
      <c r="AN33" s="357">
        <f t="shared" si="34"/>
        <v>1.540368613600797E-2</v>
      </c>
      <c r="AO33" s="379">
        <f t="shared" si="35"/>
        <v>1.5439327345662975E-2</v>
      </c>
    </row>
    <row r="34" spans="2:52" x14ac:dyDescent="0.25">
      <c r="B34" s="449">
        <v>42562</v>
      </c>
      <c r="C34" s="237">
        <v>85</v>
      </c>
      <c r="D34" s="237">
        <v>119</v>
      </c>
      <c r="E34" s="237">
        <v>116</v>
      </c>
      <c r="F34" s="237">
        <v>128</v>
      </c>
      <c r="G34" s="237">
        <v>126</v>
      </c>
      <c r="H34" s="237">
        <v>132</v>
      </c>
      <c r="I34" s="237">
        <v>135</v>
      </c>
      <c r="J34" s="237">
        <v>135</v>
      </c>
      <c r="K34" s="450">
        <v>135</v>
      </c>
      <c r="M34" s="451">
        <f t="shared" si="38"/>
        <v>6.25E-2</v>
      </c>
      <c r="N34" s="357">
        <f t="shared" si="39"/>
        <v>0.25263157894736832</v>
      </c>
      <c r="O34" s="357">
        <f t="shared" si="40"/>
        <v>0.14851485148514842</v>
      </c>
      <c r="P34" s="357">
        <f t="shared" si="41"/>
        <v>0.16363636363636358</v>
      </c>
      <c r="Q34" s="357">
        <f t="shared" si="42"/>
        <v>0.22330097087378631</v>
      </c>
      <c r="R34" s="357">
        <f t="shared" si="43"/>
        <v>1.538461538461533E-2</v>
      </c>
      <c r="S34" s="357">
        <f t="shared" si="44"/>
        <v>2.2727272727272707E-2</v>
      </c>
      <c r="T34" s="357">
        <f t="shared" si="45"/>
        <v>2.2727272727272707E-2</v>
      </c>
      <c r="U34" s="379">
        <f t="shared" si="46"/>
        <v>2.2727272727272707E-2</v>
      </c>
      <c r="W34" s="451">
        <f t="shared" si="47"/>
        <v>6.062462181643484E-2</v>
      </c>
      <c r="X34" s="357">
        <f t="shared" si="19"/>
        <v>0.22524660151098846</v>
      </c>
      <c r="Y34" s="357">
        <f t="shared" si="20"/>
        <v>0.13846967426510512</v>
      </c>
      <c r="Z34" s="357">
        <f t="shared" si="21"/>
        <v>0.15154989812720088</v>
      </c>
      <c r="AA34" s="357">
        <f t="shared" si="22"/>
        <v>0.20155291872184214</v>
      </c>
      <c r="AB34" s="357">
        <f t="shared" si="23"/>
        <v>1.5267472130788381E-2</v>
      </c>
      <c r="AC34" s="357">
        <f t="shared" si="24"/>
        <v>2.2472855852058576E-2</v>
      </c>
      <c r="AD34" s="357">
        <f t="shared" si="25"/>
        <v>2.2472855852058576E-2</v>
      </c>
      <c r="AE34" s="379">
        <f t="shared" si="26"/>
        <v>2.2472855852058576E-2</v>
      </c>
      <c r="AG34" s="451">
        <f t="shared" si="27"/>
        <v>4.1027925322432046E-2</v>
      </c>
      <c r="AH34" s="357">
        <f t="shared" si="28"/>
        <v>0.23152150203009506</v>
      </c>
      <c r="AI34" s="357">
        <f t="shared" si="29"/>
        <v>0.13424964519603316</v>
      </c>
      <c r="AJ34" s="357">
        <f t="shared" si="30"/>
        <v>0.15368777501352532</v>
      </c>
      <c r="AK34" s="357">
        <f t="shared" si="31"/>
        <v>0.21684429758821955</v>
      </c>
      <c r="AL34" s="357">
        <f t="shared" si="32"/>
        <v>1.4937534712565564E-2</v>
      </c>
      <c r="AM34" s="357">
        <f t="shared" si="33"/>
        <v>2.2556625992171807E-2</v>
      </c>
      <c r="AN34" s="357">
        <f t="shared" si="34"/>
        <v>2.2746343478665349E-2</v>
      </c>
      <c r="AO34" s="379">
        <f t="shared" si="35"/>
        <v>2.2781984688320354E-2</v>
      </c>
      <c r="AQ34" s="2" t="s">
        <v>270</v>
      </c>
      <c r="AR34" s="99" t="s">
        <v>25</v>
      </c>
      <c r="AS34" s="99" t="s">
        <v>26</v>
      </c>
      <c r="AT34" s="99" t="s">
        <v>27</v>
      </c>
      <c r="AU34" s="99" t="s">
        <v>28</v>
      </c>
      <c r="AV34" s="99" t="s">
        <v>29</v>
      </c>
      <c r="AW34" s="99" t="s">
        <v>30</v>
      </c>
      <c r="AX34" s="99" t="s">
        <v>31</v>
      </c>
      <c r="AY34" s="99" t="s">
        <v>32</v>
      </c>
      <c r="AZ34" s="99" t="s">
        <v>33</v>
      </c>
    </row>
    <row r="35" spans="2:52" x14ac:dyDescent="0.25">
      <c r="B35" s="449">
        <v>42569</v>
      </c>
      <c r="C35" s="237">
        <v>83</v>
      </c>
      <c r="D35" s="237">
        <v>120</v>
      </c>
      <c r="E35" s="237">
        <v>125</v>
      </c>
      <c r="F35" s="237">
        <v>137</v>
      </c>
      <c r="G35" s="237">
        <v>133</v>
      </c>
      <c r="H35" s="237">
        <v>142</v>
      </c>
      <c r="I35" s="237">
        <v>140</v>
      </c>
      <c r="J35" s="237">
        <v>140</v>
      </c>
      <c r="K35" s="450">
        <v>140</v>
      </c>
      <c r="M35" s="451">
        <f t="shared" si="38"/>
        <v>-2.352941176470591E-2</v>
      </c>
      <c r="N35" s="357">
        <f t="shared" si="39"/>
        <v>8.4033613445377853E-3</v>
      </c>
      <c r="O35" s="357">
        <f t="shared" si="40"/>
        <v>7.7586206896551824E-2</v>
      </c>
      <c r="P35" s="357">
        <f t="shared" si="41"/>
        <v>7.03125E-2</v>
      </c>
      <c r="Q35" s="357">
        <f t="shared" si="42"/>
        <v>5.555555555555558E-2</v>
      </c>
      <c r="R35" s="357">
        <f t="shared" si="43"/>
        <v>7.575757575757569E-2</v>
      </c>
      <c r="S35" s="357">
        <f t="shared" si="44"/>
        <v>3.7037037037036979E-2</v>
      </c>
      <c r="T35" s="357">
        <f t="shared" si="45"/>
        <v>3.7037037037036979E-2</v>
      </c>
      <c r="U35" s="379">
        <f t="shared" si="46"/>
        <v>3.7037037037036979E-2</v>
      </c>
      <c r="W35" s="451">
        <f t="shared" si="47"/>
        <v>-2.3810648693718559E-2</v>
      </c>
      <c r="X35" s="357">
        <f t="shared" si="19"/>
        <v>8.3682496705165792E-3</v>
      </c>
      <c r="Y35" s="357">
        <f t="shared" si="20"/>
        <v>7.4723546195936574E-2</v>
      </c>
      <c r="Z35" s="357">
        <f t="shared" si="21"/>
        <v>6.7950661908507751E-2</v>
      </c>
      <c r="AA35" s="357">
        <f t="shared" si="22"/>
        <v>5.4067221270275793E-2</v>
      </c>
      <c r="AB35" s="357">
        <f t="shared" si="23"/>
        <v>7.3025135014889817E-2</v>
      </c>
      <c r="AC35" s="357">
        <f t="shared" si="24"/>
        <v>3.6367644170874791E-2</v>
      </c>
      <c r="AD35" s="357">
        <f t="shared" si="25"/>
        <v>3.6367644170874791E-2</v>
      </c>
      <c r="AE35" s="379">
        <f t="shared" si="26"/>
        <v>3.6367644170874791E-2</v>
      </c>
      <c r="AG35" s="451">
        <f t="shared" si="27"/>
        <v>-4.5001486442273864E-2</v>
      </c>
      <c r="AH35" s="357">
        <f t="shared" si="28"/>
        <v>-1.2706715572735467E-2</v>
      </c>
      <c r="AI35" s="357">
        <f t="shared" si="29"/>
        <v>6.3321000607436548E-2</v>
      </c>
      <c r="AJ35" s="357">
        <f t="shared" si="30"/>
        <v>6.0363911377161739E-2</v>
      </c>
      <c r="AK35" s="357">
        <f t="shared" si="31"/>
        <v>4.9098882269988812E-2</v>
      </c>
      <c r="AL35" s="357">
        <f t="shared" si="32"/>
        <v>7.5310495085525925E-2</v>
      </c>
      <c r="AM35" s="357">
        <f t="shared" si="33"/>
        <v>3.6866390301936079E-2</v>
      </c>
      <c r="AN35" s="357">
        <f t="shared" si="34"/>
        <v>3.7056107788429618E-2</v>
      </c>
      <c r="AO35" s="379">
        <f t="shared" si="35"/>
        <v>3.7091748998084623E-2</v>
      </c>
      <c r="AQ35" s="2" t="s">
        <v>261</v>
      </c>
      <c r="AR35" s="192">
        <v>0.11940000000000001</v>
      </c>
      <c r="AS35" s="192">
        <v>0.14169999999999999</v>
      </c>
      <c r="AT35" s="192">
        <v>0.13089999999999999</v>
      </c>
      <c r="AU35" s="192">
        <v>0.11849999999999999</v>
      </c>
      <c r="AV35" s="192">
        <v>7.2800000000000004E-2</v>
      </c>
      <c r="AW35" s="192">
        <v>3.1199999999999999E-2</v>
      </c>
      <c r="AX35" s="192">
        <v>0.11849999999999999</v>
      </c>
      <c r="AY35" s="192">
        <v>7.2800000000000004E-2</v>
      </c>
      <c r="AZ35" s="192">
        <v>3.1199999999999999E-2</v>
      </c>
    </row>
    <row r="36" spans="2:52" x14ac:dyDescent="0.25">
      <c r="B36" s="449">
        <v>42576</v>
      </c>
      <c r="C36" s="237">
        <v>81</v>
      </c>
      <c r="D36" s="237">
        <v>105</v>
      </c>
      <c r="E36" s="237">
        <v>155</v>
      </c>
      <c r="F36" s="237">
        <v>155</v>
      </c>
      <c r="G36" s="237">
        <v>140</v>
      </c>
      <c r="H36" s="237">
        <v>145</v>
      </c>
      <c r="I36" s="237">
        <v>145</v>
      </c>
      <c r="J36" s="237">
        <v>142</v>
      </c>
      <c r="K36" s="450">
        <v>142</v>
      </c>
      <c r="M36" s="451">
        <f t="shared" si="38"/>
        <v>-2.4096385542168641E-2</v>
      </c>
      <c r="N36" s="357">
        <f t="shared" si="39"/>
        <v>-0.125</v>
      </c>
      <c r="O36" s="357">
        <f t="shared" si="40"/>
        <v>0.24</v>
      </c>
      <c r="P36" s="357">
        <f t="shared" si="41"/>
        <v>0.13138686131386867</v>
      </c>
      <c r="Q36" s="357">
        <f t="shared" si="42"/>
        <v>5.2631578947368363E-2</v>
      </c>
      <c r="R36" s="357">
        <f t="shared" si="43"/>
        <v>2.1126760563380254E-2</v>
      </c>
      <c r="S36" s="357">
        <f t="shared" si="44"/>
        <v>3.5714285714285809E-2</v>
      </c>
      <c r="T36" s="357">
        <f t="shared" si="45"/>
        <v>1.4285714285714235E-2</v>
      </c>
      <c r="U36" s="379">
        <f t="shared" si="46"/>
        <v>1.4285714285714235E-2</v>
      </c>
      <c r="W36" s="451">
        <f t="shared" si="47"/>
        <v>-2.4391453124159124E-2</v>
      </c>
      <c r="X36" s="357">
        <f t="shared" si="19"/>
        <v>-0.13353139262452263</v>
      </c>
      <c r="Y36" s="357">
        <f t="shared" si="20"/>
        <v>0.21511137961694549</v>
      </c>
      <c r="Z36" s="357">
        <f t="shared" si="21"/>
        <v>0.12344419109112176</v>
      </c>
      <c r="AA36" s="357">
        <f t="shared" si="22"/>
        <v>5.1293294387550481E-2</v>
      </c>
      <c r="AB36" s="357">
        <f t="shared" si="23"/>
        <v>2.0906684819313643E-2</v>
      </c>
      <c r="AC36" s="357">
        <f t="shared" si="24"/>
        <v>3.5091319811270193E-2</v>
      </c>
      <c r="AD36" s="357">
        <f t="shared" si="25"/>
        <v>1.4184634991956381E-2</v>
      </c>
      <c r="AE36" s="379">
        <f t="shared" si="26"/>
        <v>1.4184634991956381E-2</v>
      </c>
      <c r="AG36" s="451">
        <f t="shared" si="27"/>
        <v>-4.5568460219736595E-2</v>
      </c>
      <c r="AH36" s="357">
        <f t="shared" si="28"/>
        <v>-0.14611007691727326</v>
      </c>
      <c r="AI36" s="357">
        <f t="shared" si="29"/>
        <v>0.22573479371088473</v>
      </c>
      <c r="AJ36" s="357">
        <f t="shared" si="30"/>
        <v>0.12143827269103041</v>
      </c>
      <c r="AK36" s="357">
        <f t="shared" si="31"/>
        <v>4.6174905661801595E-2</v>
      </c>
      <c r="AL36" s="357">
        <f t="shared" si="32"/>
        <v>2.0679679891330488E-2</v>
      </c>
      <c r="AM36" s="357">
        <f t="shared" si="33"/>
        <v>3.5543638979184909E-2</v>
      </c>
      <c r="AN36" s="357">
        <f t="shared" si="34"/>
        <v>1.4304785037106875E-2</v>
      </c>
      <c r="AO36" s="379">
        <f t="shared" si="35"/>
        <v>1.434042624676188E-2</v>
      </c>
      <c r="AQ36" s="2" t="s">
        <v>262</v>
      </c>
      <c r="AR36" s="507">
        <f>AR35*SQRT(21/5)</f>
        <v>0.24469718429111526</v>
      </c>
      <c r="AS36" s="507">
        <f t="shared" ref="AS36:AW36" si="57">AS35*SQRT(21/5)</f>
        <v>0.29039858470729502</v>
      </c>
      <c r="AT36" s="507">
        <f t="shared" si="57"/>
        <v>0.26826517105282227</v>
      </c>
      <c r="AU36" s="507">
        <f t="shared" si="57"/>
        <v>0.24285273315324249</v>
      </c>
      <c r="AV36" s="507">
        <f t="shared" si="57"/>
        <v>0.14919560315237176</v>
      </c>
      <c r="AW36" s="507">
        <f t="shared" si="57"/>
        <v>6.3940972779587893E-2</v>
      </c>
      <c r="AX36" s="507">
        <f t="shared" ref="AX36:AZ36" si="58">AX35*SQRT(21/5)</f>
        <v>0.24285273315324249</v>
      </c>
      <c r="AY36" s="507">
        <f t="shared" si="58"/>
        <v>0.14919560315237176</v>
      </c>
      <c r="AZ36" s="507">
        <f t="shared" si="58"/>
        <v>6.3940972779587893E-2</v>
      </c>
    </row>
    <row r="37" spans="2:52" x14ac:dyDescent="0.25">
      <c r="B37" s="449">
        <v>42583</v>
      </c>
      <c r="C37" s="237">
        <v>117</v>
      </c>
      <c r="D37" s="237">
        <v>167</v>
      </c>
      <c r="E37" s="237">
        <v>165</v>
      </c>
      <c r="F37" s="237">
        <v>165</v>
      </c>
      <c r="G37" s="237">
        <v>155</v>
      </c>
      <c r="H37" s="237">
        <v>150</v>
      </c>
      <c r="I37" s="237">
        <v>150</v>
      </c>
      <c r="J37" s="237">
        <v>145</v>
      </c>
      <c r="K37" s="450">
        <v>145</v>
      </c>
      <c r="M37" s="451">
        <f t="shared" si="38"/>
        <v>0.44444444444444442</v>
      </c>
      <c r="N37" s="357">
        <f t="shared" si="39"/>
        <v>0.59047619047619038</v>
      </c>
      <c r="O37" s="357">
        <f t="shared" si="40"/>
        <v>6.4516129032258007E-2</v>
      </c>
      <c r="P37" s="357">
        <f t="shared" si="41"/>
        <v>6.4516129032258007E-2</v>
      </c>
      <c r="Q37" s="357">
        <f t="shared" si="42"/>
        <v>0.10714285714285721</v>
      </c>
      <c r="R37" s="357">
        <f t="shared" si="43"/>
        <v>3.4482758620689724E-2</v>
      </c>
      <c r="S37" s="357">
        <f t="shared" si="44"/>
        <v>3.4482758620689724E-2</v>
      </c>
      <c r="T37" s="357">
        <f t="shared" si="45"/>
        <v>2.1126760563380254E-2</v>
      </c>
      <c r="U37" s="379">
        <f t="shared" si="46"/>
        <v>2.1126760563380254E-2</v>
      </c>
      <c r="W37" s="451">
        <f t="shared" si="47"/>
        <v>0.36772478012531734</v>
      </c>
      <c r="X37" s="357">
        <f t="shared" si="19"/>
        <v>0.4640334622592317</v>
      </c>
      <c r="Y37" s="357">
        <f t="shared" si="20"/>
        <v>6.252035698133393E-2</v>
      </c>
      <c r="Z37" s="357">
        <f t="shared" si="21"/>
        <v>6.252035698133393E-2</v>
      </c>
      <c r="AA37" s="357">
        <f t="shared" si="22"/>
        <v>0.10178269430994238</v>
      </c>
      <c r="AB37" s="357">
        <f t="shared" si="23"/>
        <v>3.3901551675681416E-2</v>
      </c>
      <c r="AC37" s="357">
        <f t="shared" si="24"/>
        <v>3.3901551675681416E-2</v>
      </c>
      <c r="AD37" s="357">
        <f t="shared" si="25"/>
        <v>2.0906684819313643E-2</v>
      </c>
      <c r="AE37" s="379">
        <f t="shared" si="26"/>
        <v>2.0906684819313643E-2</v>
      </c>
      <c r="AG37" s="451">
        <f t="shared" si="27"/>
        <v>0.42297236976687647</v>
      </c>
      <c r="AH37" s="357">
        <f t="shared" si="28"/>
        <v>0.56936611355891709</v>
      </c>
      <c r="AI37" s="357">
        <f t="shared" si="29"/>
        <v>5.0250922743142731E-2</v>
      </c>
      <c r="AJ37" s="357">
        <f t="shared" si="30"/>
        <v>5.4567540409419746E-2</v>
      </c>
      <c r="AK37" s="357">
        <f t="shared" si="31"/>
        <v>0.10068618385729045</v>
      </c>
      <c r="AL37" s="357">
        <f t="shared" si="32"/>
        <v>3.4035677948639959E-2</v>
      </c>
      <c r="AM37" s="357">
        <f t="shared" si="33"/>
        <v>3.4312111885588824E-2</v>
      </c>
      <c r="AN37" s="357">
        <f t="shared" si="34"/>
        <v>2.1145831314772896E-2</v>
      </c>
      <c r="AO37" s="379">
        <f t="shared" si="35"/>
        <v>2.11814725244279E-2</v>
      </c>
      <c r="AQ37" s="2" t="s">
        <v>280</v>
      </c>
      <c r="AR37" s="99" t="s">
        <v>25</v>
      </c>
      <c r="AS37" s="99" t="s">
        <v>26</v>
      </c>
      <c r="AT37" s="99" t="s">
        <v>27</v>
      </c>
      <c r="AU37" s="99" t="s">
        <v>28</v>
      </c>
      <c r="AV37" s="99" t="s">
        <v>29</v>
      </c>
      <c r="AW37" s="99" t="s">
        <v>30</v>
      </c>
      <c r="AX37" s="99" t="s">
        <v>31</v>
      </c>
      <c r="AY37" s="99" t="s">
        <v>32</v>
      </c>
      <c r="AZ37" s="99" t="s">
        <v>33</v>
      </c>
    </row>
    <row r="38" spans="2:52" x14ac:dyDescent="0.25">
      <c r="B38" s="449">
        <v>42590</v>
      </c>
      <c r="C38" s="237">
        <v>126</v>
      </c>
      <c r="D38" s="237">
        <v>205</v>
      </c>
      <c r="E38" s="237">
        <v>200</v>
      </c>
      <c r="F38" s="237">
        <v>200</v>
      </c>
      <c r="G38" s="237">
        <v>186</v>
      </c>
      <c r="H38" s="237">
        <v>160</v>
      </c>
      <c r="I38" s="237">
        <v>160</v>
      </c>
      <c r="J38" s="237">
        <v>150</v>
      </c>
      <c r="K38" s="450">
        <v>150</v>
      </c>
      <c r="M38" s="451">
        <f t="shared" si="38"/>
        <v>7.6923076923076872E-2</v>
      </c>
      <c r="N38" s="357">
        <f t="shared" si="39"/>
        <v>0.22754491017964074</v>
      </c>
      <c r="O38" s="357">
        <f t="shared" si="40"/>
        <v>0.21212121212121215</v>
      </c>
      <c r="P38" s="357">
        <f t="shared" si="41"/>
        <v>0.21212121212121215</v>
      </c>
      <c r="Q38" s="357">
        <f t="shared" si="42"/>
        <v>0.19999999999999996</v>
      </c>
      <c r="R38" s="357">
        <f t="shared" si="43"/>
        <v>6.6666666666666652E-2</v>
      </c>
      <c r="S38" s="357">
        <f t="shared" si="44"/>
        <v>6.6666666666666652E-2</v>
      </c>
      <c r="T38" s="357">
        <f t="shared" si="45"/>
        <v>3.4482758620689724E-2</v>
      </c>
      <c r="U38" s="379">
        <f t="shared" si="46"/>
        <v>3.4482758620689724E-2</v>
      </c>
      <c r="W38" s="451">
        <f t="shared" si="47"/>
        <v>7.4107972153721835E-2</v>
      </c>
      <c r="X38" s="357">
        <f t="shared" si="19"/>
        <v>0.2050161667216531</v>
      </c>
      <c r="Y38" s="357">
        <f t="shared" si="20"/>
        <v>0.19237189264745611</v>
      </c>
      <c r="Z38" s="357">
        <f t="shared" si="21"/>
        <v>0.19237189264745611</v>
      </c>
      <c r="AA38" s="357">
        <f t="shared" si="22"/>
        <v>0.18232155679395459</v>
      </c>
      <c r="AB38" s="357">
        <f t="shared" si="23"/>
        <v>6.4538521137571164E-2</v>
      </c>
      <c r="AC38" s="357">
        <f t="shared" si="24"/>
        <v>6.4538521137571164E-2</v>
      </c>
      <c r="AD38" s="357">
        <f t="shared" si="25"/>
        <v>3.3901551675681416E-2</v>
      </c>
      <c r="AE38" s="379">
        <f t="shared" si="26"/>
        <v>3.3901551675681416E-2</v>
      </c>
      <c r="AG38" s="451">
        <f t="shared" si="27"/>
        <v>5.5451002245508918E-2</v>
      </c>
      <c r="AH38" s="357">
        <f t="shared" si="28"/>
        <v>0.20643483326236747</v>
      </c>
      <c r="AI38" s="357">
        <f t="shared" si="29"/>
        <v>0.19785600583209689</v>
      </c>
      <c r="AJ38" s="357">
        <f t="shared" si="30"/>
        <v>0.20217262349837389</v>
      </c>
      <c r="AK38" s="357">
        <f t="shared" si="31"/>
        <v>0.19354332671443319</v>
      </c>
      <c r="AL38" s="357">
        <f t="shared" si="32"/>
        <v>6.6219585994616886E-2</v>
      </c>
      <c r="AM38" s="357">
        <f t="shared" si="33"/>
        <v>6.6496019931565759E-2</v>
      </c>
      <c r="AN38" s="357">
        <f t="shared" si="34"/>
        <v>3.4501829372082363E-2</v>
      </c>
      <c r="AO38" s="379">
        <f t="shared" si="35"/>
        <v>3.4537470581737367E-2</v>
      </c>
      <c r="AQ38" s="2" t="s">
        <v>261</v>
      </c>
      <c r="AR38" s="192">
        <f>W3</f>
        <v>0.20973459501264438</v>
      </c>
      <c r="AS38" s="192">
        <f t="shared" ref="AS38:AZ38" si="59">X3</f>
        <v>0.20583748790329531</v>
      </c>
      <c r="AT38" s="192">
        <f t="shared" si="59"/>
        <v>0.17226328152511075</v>
      </c>
      <c r="AU38" s="192">
        <f t="shared" si="59"/>
        <v>0.14668696965573916</v>
      </c>
      <c r="AV38" s="192">
        <f t="shared" si="59"/>
        <v>0.11746325145259785</v>
      </c>
      <c r="AW38" s="192">
        <f t="shared" si="59"/>
        <v>4.0209469540414274E-2</v>
      </c>
      <c r="AX38" s="192">
        <f t="shared" si="59"/>
        <v>2.3942991539888756E-2</v>
      </c>
      <c r="AY38" s="192">
        <f t="shared" si="59"/>
        <v>1.703380351902507E-2</v>
      </c>
      <c r="AZ38" s="192">
        <f t="shared" si="59"/>
        <v>1.476445360910846E-2</v>
      </c>
    </row>
    <row r="39" spans="2:52" x14ac:dyDescent="0.25">
      <c r="B39" s="449">
        <v>42597</v>
      </c>
      <c r="C39" s="237">
        <v>122</v>
      </c>
      <c r="D39" s="237">
        <v>185</v>
      </c>
      <c r="E39" s="237">
        <v>180</v>
      </c>
      <c r="F39" s="237">
        <v>180</v>
      </c>
      <c r="G39" s="237">
        <v>169</v>
      </c>
      <c r="H39" s="237">
        <v>160</v>
      </c>
      <c r="I39" s="237">
        <v>160</v>
      </c>
      <c r="J39" s="237">
        <v>150</v>
      </c>
      <c r="K39" s="450">
        <v>150</v>
      </c>
      <c r="M39" s="451">
        <f t="shared" si="38"/>
        <v>-3.1746031746031744E-2</v>
      </c>
      <c r="N39" s="357">
        <f t="shared" si="39"/>
        <v>-9.7560975609756073E-2</v>
      </c>
      <c r="O39" s="357">
        <f t="shared" si="40"/>
        <v>-9.9999999999999978E-2</v>
      </c>
      <c r="P39" s="357">
        <f t="shared" si="41"/>
        <v>-9.9999999999999978E-2</v>
      </c>
      <c r="Q39" s="357">
        <f t="shared" si="42"/>
        <v>-9.1397849462365621E-2</v>
      </c>
      <c r="R39" s="357">
        <f t="shared" si="43"/>
        <v>0</v>
      </c>
      <c r="S39" s="357">
        <f t="shared" si="44"/>
        <v>0</v>
      </c>
      <c r="T39" s="357">
        <f t="shared" si="45"/>
        <v>0</v>
      </c>
      <c r="U39" s="379">
        <f t="shared" si="46"/>
        <v>0</v>
      </c>
      <c r="W39" s="451">
        <f t="shared" si="47"/>
        <v>-3.2260862218221435E-2</v>
      </c>
      <c r="X39" s="357">
        <f t="shared" si="19"/>
        <v>-0.10265415406008334</v>
      </c>
      <c r="Y39" s="357">
        <f t="shared" si="20"/>
        <v>-0.10536051565782628</v>
      </c>
      <c r="Z39" s="357">
        <f t="shared" si="21"/>
        <v>-0.10536051565782628</v>
      </c>
      <c r="AA39" s="357">
        <f t="shared" si="22"/>
        <v>-9.5847958790127807E-2</v>
      </c>
      <c r="AB39" s="357">
        <f t="shared" si="23"/>
        <v>0</v>
      </c>
      <c r="AC39" s="357">
        <f t="shared" si="24"/>
        <v>0</v>
      </c>
      <c r="AD39" s="357">
        <f t="shared" si="25"/>
        <v>0</v>
      </c>
      <c r="AE39" s="379">
        <f t="shared" si="26"/>
        <v>0</v>
      </c>
      <c r="AG39" s="451">
        <f t="shared" si="27"/>
        <v>-5.3218106423599698E-2</v>
      </c>
      <c r="AH39" s="357">
        <f t="shared" si="28"/>
        <v>-0.11867105252702932</v>
      </c>
      <c r="AI39" s="357">
        <f t="shared" si="29"/>
        <v>-0.11426520628911525</v>
      </c>
      <c r="AJ39" s="357">
        <f t="shared" si="30"/>
        <v>-0.10994858862283824</v>
      </c>
      <c r="AK39" s="357">
        <f t="shared" si="31"/>
        <v>-9.7854522747932382E-2</v>
      </c>
      <c r="AL39" s="357">
        <f t="shared" si="32"/>
        <v>-4.4708067204976532E-4</v>
      </c>
      <c r="AM39" s="357">
        <f t="shared" si="33"/>
        <v>-1.7064673510089895E-4</v>
      </c>
      <c r="AN39" s="357">
        <f t="shared" si="34"/>
        <v>1.9070751392640699E-5</v>
      </c>
      <c r="AO39" s="379">
        <f t="shared" si="35"/>
        <v>5.4711961047645428E-5</v>
      </c>
      <c r="AQ39" s="2" t="s">
        <v>262</v>
      </c>
      <c r="AR39" s="193">
        <f>AR38*SQRT(21/5)</f>
        <v>0.42982801380260854</v>
      </c>
      <c r="AS39" s="193">
        <f t="shared" ref="AS39:AW39" si="60">AS38*SQRT(21/5)</f>
        <v>0.42184132086677434</v>
      </c>
      <c r="AT39" s="193">
        <f t="shared" si="60"/>
        <v>0.35303467291408952</v>
      </c>
      <c r="AU39" s="193">
        <f t="shared" si="60"/>
        <v>0.30061883121403377</v>
      </c>
      <c r="AV39" s="193">
        <f t="shared" si="60"/>
        <v>0.24072803088886052</v>
      </c>
      <c r="AW39" s="193">
        <f t="shared" si="60"/>
        <v>8.2404890941195449E-2</v>
      </c>
      <c r="AX39" s="193">
        <f t="shared" ref="AX39:AZ39" si="61">AX38*SQRT(21/5)</f>
        <v>4.9068531099805461E-2</v>
      </c>
      <c r="AY39" s="193">
        <f t="shared" si="61"/>
        <v>3.4908909203295854E-2</v>
      </c>
      <c r="AZ39" s="193">
        <f t="shared" si="61"/>
        <v>3.025812584376578E-2</v>
      </c>
    </row>
    <row r="40" spans="2:52" x14ac:dyDescent="0.25">
      <c r="B40" s="449">
        <v>42604</v>
      </c>
      <c r="C40" s="237">
        <v>115</v>
      </c>
      <c r="D40" s="237">
        <v>145</v>
      </c>
      <c r="E40" s="237">
        <v>145</v>
      </c>
      <c r="F40" s="237">
        <v>145</v>
      </c>
      <c r="G40" s="237">
        <v>139</v>
      </c>
      <c r="H40" s="237">
        <v>160</v>
      </c>
      <c r="I40" s="237">
        <v>160</v>
      </c>
      <c r="J40" s="237">
        <v>150</v>
      </c>
      <c r="K40" s="450">
        <v>150</v>
      </c>
      <c r="M40" s="451">
        <f t="shared" si="38"/>
        <v>-5.7377049180327822E-2</v>
      </c>
      <c r="N40" s="357">
        <f t="shared" si="39"/>
        <v>-0.21621621621621623</v>
      </c>
      <c r="O40" s="357">
        <f t="shared" si="40"/>
        <v>-0.19444444444444442</v>
      </c>
      <c r="P40" s="357">
        <f t="shared" si="41"/>
        <v>-0.19444444444444442</v>
      </c>
      <c r="Q40" s="357">
        <f t="shared" si="42"/>
        <v>-0.1775147928994083</v>
      </c>
      <c r="R40" s="357">
        <f t="shared" si="43"/>
        <v>0</v>
      </c>
      <c r="S40" s="357">
        <f t="shared" si="44"/>
        <v>0</v>
      </c>
      <c r="T40" s="357">
        <f t="shared" si="45"/>
        <v>0</v>
      </c>
      <c r="U40" s="379">
        <f t="shared" si="46"/>
        <v>0</v>
      </c>
      <c r="W40" s="451">
        <f t="shared" si="47"/>
        <v>-5.908891637000644E-2</v>
      </c>
      <c r="X40" s="357">
        <f t="shared" si="19"/>
        <v>-0.24362208265775043</v>
      </c>
      <c r="Y40" s="357">
        <f t="shared" si="20"/>
        <v>-0.21622310846963594</v>
      </c>
      <c r="Z40" s="357">
        <f t="shared" si="21"/>
        <v>-0.21622310846963594</v>
      </c>
      <c r="AA40" s="357">
        <f t="shared" si="22"/>
        <v>-0.19542478179238174</v>
      </c>
      <c r="AB40" s="357">
        <f t="shared" si="23"/>
        <v>0</v>
      </c>
      <c r="AC40" s="357">
        <f t="shared" si="24"/>
        <v>0</v>
      </c>
      <c r="AD40" s="357">
        <f t="shared" si="25"/>
        <v>0</v>
      </c>
      <c r="AE40" s="379">
        <f t="shared" si="26"/>
        <v>0</v>
      </c>
      <c r="AG40" s="451">
        <f t="shared" si="27"/>
        <v>-7.8849123857895775E-2</v>
      </c>
      <c r="AH40" s="357">
        <f t="shared" si="28"/>
        <v>-0.23732629313348949</v>
      </c>
      <c r="AI40" s="357">
        <f t="shared" si="29"/>
        <v>-0.20870965073355968</v>
      </c>
      <c r="AJ40" s="357">
        <f t="shared" si="30"/>
        <v>-0.20439303306728268</v>
      </c>
      <c r="AK40" s="357">
        <f t="shared" si="31"/>
        <v>-0.18397146618497506</v>
      </c>
      <c r="AL40" s="357">
        <f t="shared" si="32"/>
        <v>-4.4708067204976532E-4</v>
      </c>
      <c r="AM40" s="357">
        <f t="shared" si="33"/>
        <v>-1.7064673510089895E-4</v>
      </c>
      <c r="AN40" s="357">
        <f t="shared" si="34"/>
        <v>1.9070751392640699E-5</v>
      </c>
      <c r="AO40" s="379">
        <f t="shared" si="35"/>
        <v>5.4711961047645428E-5</v>
      </c>
    </row>
    <row r="41" spans="2:52" x14ac:dyDescent="0.25">
      <c r="B41" s="449">
        <v>42611</v>
      </c>
      <c r="C41" s="237">
        <v>145</v>
      </c>
      <c r="D41" s="237">
        <v>145</v>
      </c>
      <c r="E41" s="237">
        <v>145</v>
      </c>
      <c r="F41" s="237">
        <v>145</v>
      </c>
      <c r="G41" s="237">
        <v>141</v>
      </c>
      <c r="H41" s="237">
        <v>160</v>
      </c>
      <c r="I41" s="237">
        <v>160</v>
      </c>
      <c r="J41" s="237">
        <v>155</v>
      </c>
      <c r="K41" s="450">
        <v>155</v>
      </c>
      <c r="M41" s="451">
        <f t="shared" si="38"/>
        <v>0.26086956521739135</v>
      </c>
      <c r="N41" s="357">
        <f t="shared" si="39"/>
        <v>0</v>
      </c>
      <c r="O41" s="357">
        <f t="shared" si="40"/>
        <v>0</v>
      </c>
      <c r="P41" s="357">
        <f t="shared" si="41"/>
        <v>0</v>
      </c>
      <c r="Q41" s="357">
        <f t="shared" si="42"/>
        <v>1.4388489208633004E-2</v>
      </c>
      <c r="R41" s="357">
        <f t="shared" si="43"/>
        <v>0</v>
      </c>
      <c r="S41" s="357">
        <f t="shared" si="44"/>
        <v>0</v>
      </c>
      <c r="T41" s="357">
        <f t="shared" si="45"/>
        <v>3.3333333333333437E-2</v>
      </c>
      <c r="U41" s="379">
        <f t="shared" si="46"/>
        <v>3.3333333333333437E-2</v>
      </c>
      <c r="W41" s="451">
        <f t="shared" si="47"/>
        <v>0.23180161405732438</v>
      </c>
      <c r="X41" s="357">
        <f t="shared" si="19"/>
        <v>0</v>
      </c>
      <c r="Y41" s="357">
        <f t="shared" si="20"/>
        <v>0</v>
      </c>
      <c r="Z41" s="357">
        <f t="shared" si="21"/>
        <v>0</v>
      </c>
      <c r="AA41" s="357">
        <f t="shared" si="22"/>
        <v>1.4285957247476434E-2</v>
      </c>
      <c r="AB41" s="357">
        <f t="shared" si="23"/>
        <v>0</v>
      </c>
      <c r="AC41" s="357">
        <f t="shared" si="24"/>
        <v>0</v>
      </c>
      <c r="AD41" s="357">
        <f t="shared" si="25"/>
        <v>3.278982282299097E-2</v>
      </c>
      <c r="AE41" s="379">
        <f t="shared" si="26"/>
        <v>3.278982282299097E-2</v>
      </c>
      <c r="AG41" s="451">
        <f t="shared" ref="AG41:AG72" si="62">M41-M$2</f>
        <v>0.2393974905398234</v>
      </c>
      <c r="AH41" s="357">
        <f t="shared" ref="AH41:AH72" si="63">N41-N$2</f>
        <v>-2.1110076917273252E-2</v>
      </c>
      <c r="AI41" s="357">
        <f t="shared" ref="AI41:AI72" si="64">O41-O$2</f>
        <v>-1.4265206289115274E-2</v>
      </c>
      <c r="AJ41" s="357">
        <f t="shared" ref="AJ41:AJ72" si="65">P41-P$2</f>
        <v>-9.9485886228382649E-3</v>
      </c>
      <c r="AK41" s="357">
        <f t="shared" ref="AK41:AK72" si="66">Q41-Q$2</f>
        <v>7.9318159230662363E-3</v>
      </c>
      <c r="AL41" s="357">
        <f t="shared" ref="AL41:AL72" si="67">R41-R$2</f>
        <v>-4.4708067204976532E-4</v>
      </c>
      <c r="AM41" s="357">
        <f t="shared" si="33"/>
        <v>-1.7064673510089895E-4</v>
      </c>
      <c r="AN41" s="357">
        <f t="shared" si="34"/>
        <v>3.3352404084726076E-2</v>
      </c>
      <c r="AO41" s="379">
        <f t="shared" si="35"/>
        <v>3.338804529438108E-2</v>
      </c>
    </row>
    <row r="42" spans="2:52" x14ac:dyDescent="0.25">
      <c r="B42" s="449">
        <v>42618</v>
      </c>
      <c r="C42" s="237">
        <v>145</v>
      </c>
      <c r="D42" s="237">
        <v>145</v>
      </c>
      <c r="E42" s="237">
        <v>145</v>
      </c>
      <c r="F42" s="237">
        <v>140</v>
      </c>
      <c r="G42" s="237">
        <v>140</v>
      </c>
      <c r="H42" s="237">
        <v>160</v>
      </c>
      <c r="I42" s="237">
        <v>160</v>
      </c>
      <c r="J42" s="237">
        <v>155</v>
      </c>
      <c r="K42" s="450">
        <v>155</v>
      </c>
      <c r="M42" s="451">
        <f t="shared" si="38"/>
        <v>0</v>
      </c>
      <c r="N42" s="357">
        <f t="shared" si="39"/>
        <v>0</v>
      </c>
      <c r="O42" s="357">
        <f t="shared" si="40"/>
        <v>0</v>
      </c>
      <c r="P42" s="357">
        <f t="shared" si="41"/>
        <v>-3.4482758620689613E-2</v>
      </c>
      <c r="Q42" s="357">
        <f t="shared" si="42"/>
        <v>-7.0921985815602939E-3</v>
      </c>
      <c r="R42" s="357">
        <f t="shared" si="43"/>
        <v>0</v>
      </c>
      <c r="S42" s="357">
        <f t="shared" si="44"/>
        <v>0</v>
      </c>
      <c r="T42" s="357">
        <f t="shared" si="45"/>
        <v>0</v>
      </c>
      <c r="U42" s="379">
        <f t="shared" si="46"/>
        <v>0</v>
      </c>
      <c r="W42" s="451">
        <f t="shared" si="47"/>
        <v>0</v>
      </c>
      <c r="X42" s="357">
        <f t="shared" si="19"/>
        <v>0</v>
      </c>
      <c r="Y42" s="357">
        <f t="shared" si="20"/>
        <v>0</v>
      </c>
      <c r="Z42" s="357">
        <f t="shared" si="21"/>
        <v>-3.5091319811270061E-2</v>
      </c>
      <c r="AA42" s="357">
        <f t="shared" si="22"/>
        <v>-7.1174677688639896E-3</v>
      </c>
      <c r="AB42" s="357">
        <f t="shared" si="23"/>
        <v>0</v>
      </c>
      <c r="AC42" s="357">
        <f t="shared" si="24"/>
        <v>0</v>
      </c>
      <c r="AD42" s="357">
        <f t="shared" si="25"/>
        <v>0</v>
      </c>
      <c r="AE42" s="379">
        <f t="shared" si="26"/>
        <v>0</v>
      </c>
      <c r="AG42" s="451">
        <f t="shared" si="62"/>
        <v>-2.1472074677567957E-2</v>
      </c>
      <c r="AH42" s="357">
        <f t="shared" si="63"/>
        <v>-2.1110076917273252E-2</v>
      </c>
      <c r="AI42" s="357">
        <f t="shared" si="64"/>
        <v>-1.4265206289115274E-2</v>
      </c>
      <c r="AJ42" s="357">
        <f t="shared" si="65"/>
        <v>-4.4431347243527874E-2</v>
      </c>
      <c r="AK42" s="357">
        <f t="shared" si="66"/>
        <v>-1.3548871867127062E-2</v>
      </c>
      <c r="AL42" s="357">
        <f t="shared" si="67"/>
        <v>-4.4708067204976532E-4</v>
      </c>
      <c r="AM42" s="357">
        <f t="shared" si="33"/>
        <v>-1.7064673510089895E-4</v>
      </c>
      <c r="AN42" s="357">
        <f t="shared" si="34"/>
        <v>1.9070751392640699E-5</v>
      </c>
      <c r="AO42" s="379">
        <f t="shared" si="35"/>
        <v>5.4711961047645428E-5</v>
      </c>
    </row>
    <row r="43" spans="2:52" x14ac:dyDescent="0.25">
      <c r="B43" s="449">
        <v>42625</v>
      </c>
      <c r="C43" s="237">
        <v>145</v>
      </c>
      <c r="D43" s="237">
        <v>145</v>
      </c>
      <c r="E43" s="237">
        <v>145</v>
      </c>
      <c r="F43" s="237">
        <v>145</v>
      </c>
      <c r="G43" s="237">
        <v>145</v>
      </c>
      <c r="H43" s="237">
        <v>160</v>
      </c>
      <c r="I43" s="237">
        <v>160</v>
      </c>
      <c r="J43" s="237">
        <v>155</v>
      </c>
      <c r="K43" s="450">
        <v>155</v>
      </c>
      <c r="M43" s="451">
        <f t="shared" si="38"/>
        <v>0</v>
      </c>
      <c r="N43" s="357">
        <f t="shared" si="39"/>
        <v>0</v>
      </c>
      <c r="O43" s="357">
        <f t="shared" si="40"/>
        <v>0</v>
      </c>
      <c r="P43" s="357">
        <f t="shared" si="41"/>
        <v>3.5714285714285809E-2</v>
      </c>
      <c r="Q43" s="357">
        <f t="shared" si="42"/>
        <v>3.5714285714285809E-2</v>
      </c>
      <c r="R43" s="357">
        <f t="shared" si="43"/>
        <v>0</v>
      </c>
      <c r="S43" s="357">
        <f t="shared" si="44"/>
        <v>0</v>
      </c>
      <c r="T43" s="357">
        <f t="shared" si="45"/>
        <v>0</v>
      </c>
      <c r="U43" s="379">
        <f t="shared" si="46"/>
        <v>0</v>
      </c>
      <c r="W43" s="451">
        <f t="shared" si="47"/>
        <v>0</v>
      </c>
      <c r="X43" s="357">
        <f t="shared" si="19"/>
        <v>0</v>
      </c>
      <c r="Y43" s="357">
        <f t="shared" si="20"/>
        <v>0</v>
      </c>
      <c r="Z43" s="357">
        <f t="shared" si="21"/>
        <v>3.5091319811270193E-2</v>
      </c>
      <c r="AA43" s="357">
        <f t="shared" si="22"/>
        <v>3.5091319811270193E-2</v>
      </c>
      <c r="AB43" s="357">
        <f t="shared" si="23"/>
        <v>0</v>
      </c>
      <c r="AC43" s="357">
        <f t="shared" si="24"/>
        <v>0</v>
      </c>
      <c r="AD43" s="357">
        <f t="shared" si="25"/>
        <v>0</v>
      </c>
      <c r="AE43" s="379">
        <f t="shared" si="26"/>
        <v>0</v>
      </c>
      <c r="AG43" s="451">
        <f t="shared" si="62"/>
        <v>-2.1472074677567957E-2</v>
      </c>
      <c r="AH43" s="357">
        <f t="shared" si="63"/>
        <v>-2.1110076917273252E-2</v>
      </c>
      <c r="AI43" s="357">
        <f t="shared" si="64"/>
        <v>-1.4265206289115274E-2</v>
      </c>
      <c r="AJ43" s="357">
        <f t="shared" si="65"/>
        <v>2.5765697091447545E-2</v>
      </c>
      <c r="AK43" s="357">
        <f t="shared" si="66"/>
        <v>2.9257612428719042E-2</v>
      </c>
      <c r="AL43" s="357">
        <f t="shared" si="67"/>
        <v>-4.4708067204976532E-4</v>
      </c>
      <c r="AM43" s="357">
        <f t="shared" si="33"/>
        <v>-1.7064673510089895E-4</v>
      </c>
      <c r="AN43" s="357">
        <f t="shared" si="34"/>
        <v>1.9070751392640699E-5</v>
      </c>
      <c r="AO43" s="379">
        <f t="shared" si="35"/>
        <v>5.4711961047645428E-5</v>
      </c>
      <c r="AQ43" t="s">
        <v>263</v>
      </c>
      <c r="AR43" s="3">
        <f>RESULTADO!K150</f>
        <v>0.05</v>
      </c>
      <c r="AW43" s="5"/>
      <c r="AZ43" s="5"/>
    </row>
    <row r="44" spans="2:52" x14ac:dyDescent="0.25">
      <c r="B44" s="449">
        <v>42632</v>
      </c>
      <c r="C44" s="237">
        <v>140</v>
      </c>
      <c r="D44" s="237">
        <v>145</v>
      </c>
      <c r="E44" s="237">
        <v>140</v>
      </c>
      <c r="F44" s="237">
        <v>140</v>
      </c>
      <c r="G44" s="237">
        <v>140</v>
      </c>
      <c r="H44" s="237">
        <v>160</v>
      </c>
      <c r="I44" s="237">
        <v>155</v>
      </c>
      <c r="J44" s="237">
        <v>150</v>
      </c>
      <c r="K44" s="450">
        <v>150</v>
      </c>
      <c r="M44" s="451">
        <f t="shared" si="38"/>
        <v>-3.4482758620689613E-2</v>
      </c>
      <c r="N44" s="357">
        <f t="shared" si="39"/>
        <v>0</v>
      </c>
      <c r="O44" s="357">
        <f t="shared" si="40"/>
        <v>-3.4482758620689613E-2</v>
      </c>
      <c r="P44" s="357">
        <f t="shared" si="41"/>
        <v>-3.4482758620689613E-2</v>
      </c>
      <c r="Q44" s="357">
        <f t="shared" si="42"/>
        <v>-3.4482758620689613E-2</v>
      </c>
      <c r="R44" s="357">
        <f t="shared" si="43"/>
        <v>0</v>
      </c>
      <c r="S44" s="357">
        <f t="shared" si="44"/>
        <v>-3.125E-2</v>
      </c>
      <c r="T44" s="357">
        <f t="shared" si="45"/>
        <v>-3.2258064516129004E-2</v>
      </c>
      <c r="U44" s="379">
        <f t="shared" si="46"/>
        <v>-3.2258064516129004E-2</v>
      </c>
      <c r="W44" s="451">
        <f t="shared" si="47"/>
        <v>-3.5091319811270061E-2</v>
      </c>
      <c r="X44" s="357">
        <f t="shared" si="19"/>
        <v>0</v>
      </c>
      <c r="Y44" s="357">
        <f t="shared" si="20"/>
        <v>-3.5091319811270061E-2</v>
      </c>
      <c r="Z44" s="357">
        <f t="shared" si="21"/>
        <v>-3.5091319811270061E-2</v>
      </c>
      <c r="AA44" s="357">
        <f t="shared" si="22"/>
        <v>-3.5091319811270061E-2</v>
      </c>
      <c r="AB44" s="357">
        <f t="shared" si="23"/>
        <v>0</v>
      </c>
      <c r="AC44" s="357">
        <f t="shared" si="24"/>
        <v>-3.1748698314580298E-2</v>
      </c>
      <c r="AD44" s="357">
        <f t="shared" si="25"/>
        <v>-3.2789822822990838E-2</v>
      </c>
      <c r="AE44" s="379">
        <f t="shared" si="26"/>
        <v>-3.2789822822990838E-2</v>
      </c>
      <c r="AG44" s="451">
        <f t="shared" si="62"/>
        <v>-5.5954833298257567E-2</v>
      </c>
      <c r="AH44" s="357">
        <f t="shared" si="63"/>
        <v>-2.1110076917273252E-2</v>
      </c>
      <c r="AI44" s="357">
        <f t="shared" si="64"/>
        <v>-4.8747964909804889E-2</v>
      </c>
      <c r="AJ44" s="357">
        <f t="shared" si="65"/>
        <v>-4.4431347243527874E-2</v>
      </c>
      <c r="AK44" s="357">
        <f t="shared" si="66"/>
        <v>-4.0939431906256381E-2</v>
      </c>
      <c r="AL44" s="357">
        <f t="shared" si="67"/>
        <v>-4.4708067204976532E-4</v>
      </c>
      <c r="AM44" s="357">
        <f t="shared" si="33"/>
        <v>-3.14206467351009E-2</v>
      </c>
      <c r="AN44" s="357">
        <f t="shared" si="34"/>
        <v>-3.2238993764736365E-2</v>
      </c>
      <c r="AO44" s="379">
        <f t="shared" si="35"/>
        <v>-3.220335255508136E-2</v>
      </c>
      <c r="AQ44" t="s">
        <v>279</v>
      </c>
      <c r="AR44" s="250">
        <v>6</v>
      </c>
      <c r="AW44" s="5"/>
      <c r="AZ44" s="5"/>
    </row>
    <row r="45" spans="2:52" x14ac:dyDescent="0.25">
      <c r="B45" s="449">
        <v>42639</v>
      </c>
      <c r="C45" s="237">
        <v>140</v>
      </c>
      <c r="D45" s="237">
        <v>165</v>
      </c>
      <c r="E45" s="237">
        <v>150</v>
      </c>
      <c r="F45" s="237">
        <v>145</v>
      </c>
      <c r="G45" s="237">
        <v>153.333333333333</v>
      </c>
      <c r="H45" s="237">
        <v>158</v>
      </c>
      <c r="I45" s="237">
        <v>155</v>
      </c>
      <c r="J45" s="237">
        <v>150</v>
      </c>
      <c r="K45" s="450">
        <v>150</v>
      </c>
      <c r="M45" s="451">
        <f t="shared" si="38"/>
        <v>0</v>
      </c>
      <c r="N45" s="357">
        <f t="shared" si="39"/>
        <v>0.13793103448275867</v>
      </c>
      <c r="O45" s="357">
        <f t="shared" si="40"/>
        <v>7.1428571428571397E-2</v>
      </c>
      <c r="P45" s="357">
        <f t="shared" si="41"/>
        <v>3.5714285714285809E-2</v>
      </c>
      <c r="Q45" s="357">
        <f t="shared" si="42"/>
        <v>9.5238095238092901E-2</v>
      </c>
      <c r="R45" s="357">
        <f t="shared" si="43"/>
        <v>-1.2499999999999956E-2</v>
      </c>
      <c r="S45" s="357">
        <f t="shared" si="44"/>
        <v>0</v>
      </c>
      <c r="T45" s="357">
        <f t="shared" si="45"/>
        <v>0</v>
      </c>
      <c r="U45" s="379">
        <f t="shared" si="46"/>
        <v>0</v>
      </c>
      <c r="W45" s="451">
        <f t="shared" si="47"/>
        <v>0</v>
      </c>
      <c r="X45" s="357">
        <f t="shared" si="19"/>
        <v>0.12921173148000625</v>
      </c>
      <c r="Y45" s="357">
        <f t="shared" si="20"/>
        <v>6.8992871486951421E-2</v>
      </c>
      <c r="Z45" s="357">
        <f t="shared" si="21"/>
        <v>3.5091319811270193E-2</v>
      </c>
      <c r="AA45" s="357">
        <f t="shared" si="22"/>
        <v>9.0971778205724566E-2</v>
      </c>
      <c r="AB45" s="357">
        <f t="shared" si="23"/>
        <v>-1.2578782206860073E-2</v>
      </c>
      <c r="AC45" s="357">
        <f t="shared" si="24"/>
        <v>0</v>
      </c>
      <c r="AD45" s="357">
        <f t="shared" si="25"/>
        <v>0</v>
      </c>
      <c r="AE45" s="379">
        <f t="shared" si="26"/>
        <v>0</v>
      </c>
      <c r="AG45" s="451">
        <f t="shared" si="62"/>
        <v>-2.1472074677567957E-2</v>
      </c>
      <c r="AH45" s="357">
        <f t="shared" si="63"/>
        <v>0.11682095756548543</v>
      </c>
      <c r="AI45" s="357">
        <f t="shared" si="64"/>
        <v>5.7163365139456121E-2</v>
      </c>
      <c r="AJ45" s="357">
        <f t="shared" si="65"/>
        <v>2.5765697091447545E-2</v>
      </c>
      <c r="AK45" s="357">
        <f t="shared" si="66"/>
        <v>8.8781421952526141E-2</v>
      </c>
      <c r="AL45" s="357">
        <f t="shared" si="67"/>
        <v>-1.2947080672049721E-2</v>
      </c>
      <c r="AM45" s="357">
        <f t="shared" si="33"/>
        <v>-1.7064673510089895E-4</v>
      </c>
      <c r="AN45" s="357">
        <f t="shared" si="34"/>
        <v>1.9070751392640699E-5</v>
      </c>
      <c r="AO45" s="379">
        <f t="shared" si="35"/>
        <v>5.4711961047645428E-5</v>
      </c>
      <c r="AQ45" t="s">
        <v>268</v>
      </c>
      <c r="AR45" s="1">
        <f>$BF$23</f>
        <v>14918294.183704522</v>
      </c>
    </row>
    <row r="46" spans="2:52" x14ac:dyDescent="0.25">
      <c r="B46" s="449">
        <v>42646</v>
      </c>
      <c r="C46" s="237">
        <v>176</v>
      </c>
      <c r="D46" s="237">
        <v>160</v>
      </c>
      <c r="E46" s="237">
        <v>155</v>
      </c>
      <c r="F46" s="237">
        <v>155</v>
      </c>
      <c r="G46" s="237">
        <v>164</v>
      </c>
      <c r="H46" s="237">
        <v>158</v>
      </c>
      <c r="I46" s="237">
        <v>155</v>
      </c>
      <c r="J46" s="237">
        <v>150</v>
      </c>
      <c r="K46" s="450">
        <v>150</v>
      </c>
      <c r="M46" s="451">
        <f t="shared" si="38"/>
        <v>0.25714285714285712</v>
      </c>
      <c r="N46" s="357">
        <f t="shared" si="39"/>
        <v>-3.0303030303030276E-2</v>
      </c>
      <c r="O46" s="357">
        <f t="shared" si="40"/>
        <v>3.3333333333333437E-2</v>
      </c>
      <c r="P46" s="357">
        <f t="shared" si="41"/>
        <v>6.8965517241379226E-2</v>
      </c>
      <c r="Q46" s="357">
        <f t="shared" si="42"/>
        <v>6.9565217391306611E-2</v>
      </c>
      <c r="R46" s="357">
        <f t="shared" si="43"/>
        <v>0</v>
      </c>
      <c r="S46" s="357">
        <f t="shared" si="44"/>
        <v>0</v>
      </c>
      <c r="T46" s="357">
        <f t="shared" si="45"/>
        <v>0</v>
      </c>
      <c r="U46" s="379">
        <f t="shared" si="46"/>
        <v>0</v>
      </c>
      <c r="W46" s="451">
        <f t="shared" si="47"/>
        <v>0.22884157242884745</v>
      </c>
      <c r="X46" s="357">
        <f t="shared" si="19"/>
        <v>-3.077165866675366E-2</v>
      </c>
      <c r="Y46" s="357">
        <f t="shared" si="20"/>
        <v>3.278982282299097E-2</v>
      </c>
      <c r="Z46" s="357">
        <f t="shared" si="21"/>
        <v>6.6691374498672143E-2</v>
      </c>
      <c r="AA46" s="357">
        <f t="shared" si="22"/>
        <v>6.7252227009169552E-2</v>
      </c>
      <c r="AB46" s="357">
        <f t="shared" si="23"/>
        <v>0</v>
      </c>
      <c r="AC46" s="357">
        <f t="shared" si="24"/>
        <v>0</v>
      </c>
      <c r="AD46" s="357">
        <f t="shared" si="25"/>
        <v>0</v>
      </c>
      <c r="AE46" s="379">
        <f t="shared" si="26"/>
        <v>0</v>
      </c>
      <c r="AG46" s="451">
        <f t="shared" si="62"/>
        <v>0.23567078246528916</v>
      </c>
      <c r="AH46" s="357">
        <f t="shared" si="63"/>
        <v>-5.1413107220303525E-2</v>
      </c>
      <c r="AI46" s="357">
        <f t="shared" si="64"/>
        <v>1.9068127044218161E-2</v>
      </c>
      <c r="AJ46" s="357">
        <f t="shared" si="65"/>
        <v>5.9016928618540965E-2</v>
      </c>
      <c r="AK46" s="357">
        <f t="shared" si="66"/>
        <v>6.310854410573985E-2</v>
      </c>
      <c r="AL46" s="357">
        <f t="shared" si="67"/>
        <v>-4.4708067204976532E-4</v>
      </c>
      <c r="AM46" s="357">
        <f t="shared" si="33"/>
        <v>-1.7064673510089895E-4</v>
      </c>
      <c r="AN46" s="357">
        <f t="shared" si="34"/>
        <v>1.9070751392640699E-5</v>
      </c>
      <c r="AO46" s="379">
        <f t="shared" si="35"/>
        <v>5.4711961047645428E-5</v>
      </c>
    </row>
    <row r="47" spans="2:52" x14ac:dyDescent="0.25">
      <c r="B47" s="449">
        <v>42653</v>
      </c>
      <c r="C47" s="237">
        <v>190</v>
      </c>
      <c r="D47" s="237">
        <v>191</v>
      </c>
      <c r="E47" s="237">
        <v>168</v>
      </c>
      <c r="F47" s="237">
        <v>165</v>
      </c>
      <c r="G47" s="237">
        <v>183</v>
      </c>
      <c r="H47" s="237">
        <v>163</v>
      </c>
      <c r="I47" s="237">
        <v>155</v>
      </c>
      <c r="J47" s="237">
        <v>150</v>
      </c>
      <c r="K47" s="450">
        <v>150</v>
      </c>
      <c r="M47" s="451">
        <f t="shared" si="38"/>
        <v>7.9545454545454586E-2</v>
      </c>
      <c r="N47" s="357">
        <f t="shared" si="39"/>
        <v>0.19375000000000009</v>
      </c>
      <c r="O47" s="357">
        <f t="shared" si="40"/>
        <v>8.3870967741935587E-2</v>
      </c>
      <c r="P47" s="357">
        <f t="shared" si="41"/>
        <v>6.4516129032258007E-2</v>
      </c>
      <c r="Q47" s="357">
        <f t="shared" si="42"/>
        <v>0.11585365853658547</v>
      </c>
      <c r="R47" s="357">
        <f t="shared" si="43"/>
        <v>3.1645569620253111E-2</v>
      </c>
      <c r="S47" s="357">
        <f t="shared" si="44"/>
        <v>0</v>
      </c>
      <c r="T47" s="357">
        <f t="shared" si="45"/>
        <v>0</v>
      </c>
      <c r="U47" s="379">
        <f t="shared" si="46"/>
        <v>0</v>
      </c>
      <c r="W47" s="451">
        <f t="shared" si="47"/>
        <v>7.6540077122334405E-2</v>
      </c>
      <c r="X47" s="357">
        <f t="shared" si="19"/>
        <v>0.17709961281280304</v>
      </c>
      <c r="Y47" s="357">
        <f t="shared" si="20"/>
        <v>8.0538862484012402E-2</v>
      </c>
      <c r="Z47" s="357">
        <f t="shared" si="21"/>
        <v>6.252035698133393E-2</v>
      </c>
      <c r="AA47" s="357">
        <f t="shared" si="22"/>
        <v>0.10961972501722261</v>
      </c>
      <c r="AB47" s="357">
        <f t="shared" si="23"/>
        <v>3.1155167779795479E-2</v>
      </c>
      <c r="AC47" s="357">
        <f t="shared" si="24"/>
        <v>0</v>
      </c>
      <c r="AD47" s="357">
        <f t="shared" si="25"/>
        <v>0</v>
      </c>
      <c r="AE47" s="379">
        <f t="shared" si="26"/>
        <v>0</v>
      </c>
      <c r="AG47" s="451">
        <f t="shared" si="62"/>
        <v>5.8073379867886632E-2</v>
      </c>
      <c r="AH47" s="357">
        <f t="shared" si="63"/>
        <v>0.17263992308272683</v>
      </c>
      <c r="AI47" s="357">
        <f t="shared" si="64"/>
        <v>6.9605761452820311E-2</v>
      </c>
      <c r="AJ47" s="357">
        <f t="shared" si="65"/>
        <v>5.4567540409419746E-2</v>
      </c>
      <c r="AK47" s="357">
        <f t="shared" si="66"/>
        <v>0.10939698525101871</v>
      </c>
      <c r="AL47" s="357">
        <f t="shared" si="67"/>
        <v>3.1198488948203346E-2</v>
      </c>
      <c r="AM47" s="357">
        <f t="shared" si="33"/>
        <v>-1.7064673510089895E-4</v>
      </c>
      <c r="AN47" s="357">
        <f t="shared" si="34"/>
        <v>1.9070751392640699E-5</v>
      </c>
      <c r="AO47" s="379">
        <f t="shared" si="35"/>
        <v>5.4711961047645428E-5</v>
      </c>
      <c r="AQ47" s="229" t="s">
        <v>264</v>
      </c>
      <c r="AR47" s="229"/>
      <c r="AS47" s="229" t="s">
        <v>265</v>
      </c>
      <c r="AT47" s="229" t="s">
        <v>266</v>
      </c>
    </row>
    <row r="48" spans="2:52" x14ac:dyDescent="0.25">
      <c r="B48" s="449">
        <v>42660</v>
      </c>
      <c r="C48" s="237">
        <v>181</v>
      </c>
      <c r="D48" s="237">
        <v>177</v>
      </c>
      <c r="E48" s="237">
        <v>150</v>
      </c>
      <c r="F48" s="237">
        <v>155</v>
      </c>
      <c r="G48" s="237">
        <v>169</v>
      </c>
      <c r="H48" s="237">
        <v>155</v>
      </c>
      <c r="I48" s="237">
        <v>155</v>
      </c>
      <c r="J48" s="237">
        <v>150</v>
      </c>
      <c r="K48" s="450">
        <v>150</v>
      </c>
      <c r="M48" s="451">
        <f t="shared" si="38"/>
        <v>-4.7368421052631615E-2</v>
      </c>
      <c r="N48" s="357">
        <f t="shared" si="39"/>
        <v>-7.3298429319371694E-2</v>
      </c>
      <c r="O48" s="357">
        <f t="shared" si="40"/>
        <v>-0.1071428571428571</v>
      </c>
      <c r="P48" s="357">
        <f t="shared" si="41"/>
        <v>-6.0606060606060552E-2</v>
      </c>
      <c r="Q48" s="357">
        <f t="shared" si="42"/>
        <v>-7.6502732240437132E-2</v>
      </c>
      <c r="R48" s="357">
        <f t="shared" si="43"/>
        <v>-4.9079754601227044E-2</v>
      </c>
      <c r="S48" s="357">
        <f t="shared" si="44"/>
        <v>0</v>
      </c>
      <c r="T48" s="357">
        <f t="shared" si="45"/>
        <v>0</v>
      </c>
      <c r="U48" s="379">
        <f t="shared" si="46"/>
        <v>0</v>
      </c>
      <c r="W48" s="451">
        <f t="shared" si="47"/>
        <v>-4.8527040894660436E-2</v>
      </c>
      <c r="X48" s="357">
        <f t="shared" si="19"/>
        <v>-7.6123695472800693E-2</v>
      </c>
      <c r="Y48" s="357">
        <f t="shared" si="20"/>
        <v>-0.11332868530700312</v>
      </c>
      <c r="Z48" s="357">
        <f t="shared" si="21"/>
        <v>-6.252035698133393E-2</v>
      </c>
      <c r="AA48" s="357">
        <f t="shared" si="22"/>
        <v>-7.9587437918347437E-2</v>
      </c>
      <c r="AB48" s="357">
        <f t="shared" si="23"/>
        <v>-5.0325083887515769E-2</v>
      </c>
      <c r="AC48" s="357">
        <f t="shared" si="24"/>
        <v>0</v>
      </c>
      <c r="AD48" s="357">
        <f t="shared" si="25"/>
        <v>0</v>
      </c>
      <c r="AE48" s="379">
        <f t="shared" si="26"/>
        <v>0</v>
      </c>
      <c r="AG48" s="451">
        <f t="shared" si="62"/>
        <v>-6.8840495730199569E-2</v>
      </c>
      <c r="AH48" s="357">
        <f t="shared" si="63"/>
        <v>-9.4408506236644943E-2</v>
      </c>
      <c r="AI48" s="357">
        <f t="shared" si="64"/>
        <v>-0.12140806343197237</v>
      </c>
      <c r="AJ48" s="357">
        <f t="shared" si="65"/>
        <v>-7.0554649228898814E-2</v>
      </c>
      <c r="AK48" s="357">
        <f t="shared" si="66"/>
        <v>-8.2959405526003893E-2</v>
      </c>
      <c r="AL48" s="357">
        <f t="shared" si="67"/>
        <v>-4.9526835273276809E-2</v>
      </c>
      <c r="AM48" s="357">
        <f t="shared" si="33"/>
        <v>-1.7064673510089895E-4</v>
      </c>
      <c r="AN48" s="357">
        <f t="shared" si="34"/>
        <v>1.9070751392640699E-5</v>
      </c>
      <c r="AO48" s="379">
        <f t="shared" si="35"/>
        <v>5.4711961047645428E-5</v>
      </c>
      <c r="AQ48" s="230" t="s">
        <v>261</v>
      </c>
      <c r="AR48" s="231">
        <f t="array" ref="AR48">SQRT(MMULT(MMULT(TRANSPOSE(BB20:BB28),AR20:AZ28),BB20:BB28))</f>
        <v>8.104527394391281E-2</v>
      </c>
      <c r="AS48" s="232">
        <f>(_xlfn.NORM.INV($AR$43,0,1)*$AR48*$AR$45)</f>
        <v>-1988722.1845870812</v>
      </c>
      <c r="AT48" s="232">
        <f>(_xlfn.NORM.INV((1-$AR$43),0,1)*$AR48*$AR$45)</f>
        <v>1988722.18458708</v>
      </c>
    </row>
    <row r="49" spans="2:52" x14ac:dyDescent="0.25">
      <c r="B49" s="449">
        <v>42667</v>
      </c>
      <c r="C49" s="237">
        <v>182</v>
      </c>
      <c r="D49" s="237">
        <v>180</v>
      </c>
      <c r="E49" s="237">
        <v>155</v>
      </c>
      <c r="F49" s="237">
        <v>150</v>
      </c>
      <c r="G49" s="237">
        <v>172</v>
      </c>
      <c r="H49" s="237">
        <v>160</v>
      </c>
      <c r="I49" s="237">
        <v>155</v>
      </c>
      <c r="J49" s="237">
        <v>150</v>
      </c>
      <c r="K49" s="450">
        <v>150</v>
      </c>
      <c r="M49" s="451">
        <f t="shared" si="38"/>
        <v>5.5248618784531356E-3</v>
      </c>
      <c r="N49" s="357">
        <f t="shared" si="39"/>
        <v>1.6949152542372836E-2</v>
      </c>
      <c r="O49" s="357">
        <f t="shared" si="40"/>
        <v>3.3333333333333437E-2</v>
      </c>
      <c r="P49" s="357">
        <f t="shared" si="41"/>
        <v>-3.2258064516129004E-2</v>
      </c>
      <c r="Q49" s="357">
        <f t="shared" si="42"/>
        <v>1.7751479289940919E-2</v>
      </c>
      <c r="R49" s="357">
        <f t="shared" si="43"/>
        <v>3.2258064516129004E-2</v>
      </c>
      <c r="S49" s="357">
        <f t="shared" si="44"/>
        <v>0</v>
      </c>
      <c r="T49" s="357">
        <f t="shared" si="45"/>
        <v>0</v>
      </c>
      <c r="U49" s="379">
        <f t="shared" si="46"/>
        <v>0</v>
      </c>
      <c r="W49" s="451">
        <f t="shared" si="47"/>
        <v>5.5096558109696998E-3</v>
      </c>
      <c r="X49" s="357">
        <f t="shared" si="19"/>
        <v>1.6807118316381191E-2</v>
      </c>
      <c r="Y49" s="357">
        <f t="shared" si="20"/>
        <v>3.278982282299097E-2</v>
      </c>
      <c r="Z49" s="357">
        <f t="shared" si="21"/>
        <v>-3.2789822822990838E-2</v>
      </c>
      <c r="AA49" s="357">
        <f t="shared" si="22"/>
        <v>1.759576189037966E-2</v>
      </c>
      <c r="AB49" s="357">
        <f t="shared" si="23"/>
        <v>3.174869831458027E-2</v>
      </c>
      <c r="AC49" s="357">
        <f t="shared" si="24"/>
        <v>0</v>
      </c>
      <c r="AD49" s="357">
        <f t="shared" si="25"/>
        <v>0</v>
      </c>
      <c r="AE49" s="379">
        <f t="shared" si="26"/>
        <v>0</v>
      </c>
      <c r="AG49" s="451">
        <f t="shared" si="62"/>
        <v>-1.5947212799114822E-2</v>
      </c>
      <c r="AH49" s="357">
        <f t="shared" si="63"/>
        <v>-4.1609243749004161E-3</v>
      </c>
      <c r="AI49" s="357">
        <f t="shared" si="64"/>
        <v>1.9068127044218161E-2</v>
      </c>
      <c r="AJ49" s="357">
        <f t="shared" si="65"/>
        <v>-4.2206653138967265E-2</v>
      </c>
      <c r="AK49" s="357">
        <f t="shared" si="66"/>
        <v>1.1294806004374151E-2</v>
      </c>
      <c r="AL49" s="357">
        <f t="shared" si="67"/>
        <v>3.1810983844079238E-2</v>
      </c>
      <c r="AM49" s="357">
        <f t="shared" si="33"/>
        <v>-1.7064673510089895E-4</v>
      </c>
      <c r="AN49" s="357">
        <f t="shared" si="34"/>
        <v>1.9070751392640699E-5</v>
      </c>
      <c r="AO49" s="379">
        <f t="shared" si="35"/>
        <v>5.4711961047645428E-5</v>
      </c>
      <c r="AQ49" s="230" t="s">
        <v>262</v>
      </c>
      <c r="AR49" s="231">
        <f>AR48*SQRT((21/5))</f>
        <v>0.16609338638339657</v>
      </c>
      <c r="AS49" s="232">
        <f>(_xlfn.NORM.INV($AR$43,0,1)*$AR49*$AR$45)</f>
        <v>-4075667.6625270876</v>
      </c>
      <c r="AT49" s="232">
        <f>(_xlfn.NORM.INV((1-$AR$43),0,1)*$AR49*$AR$45)</f>
        <v>4075667.6625270848</v>
      </c>
    </row>
    <row r="50" spans="2:52" x14ac:dyDescent="0.25">
      <c r="B50" s="449">
        <v>42674</v>
      </c>
      <c r="C50" s="237">
        <v>190</v>
      </c>
      <c r="D50" s="237">
        <v>160</v>
      </c>
      <c r="E50" s="237">
        <v>150</v>
      </c>
      <c r="F50" s="237">
        <v>150</v>
      </c>
      <c r="G50" s="237">
        <v>175</v>
      </c>
      <c r="H50" s="237">
        <v>164</v>
      </c>
      <c r="I50" s="237">
        <v>155</v>
      </c>
      <c r="J50" s="237">
        <v>150</v>
      </c>
      <c r="K50" s="450">
        <v>150</v>
      </c>
      <c r="M50" s="451">
        <f t="shared" si="38"/>
        <v>4.3956043956044022E-2</v>
      </c>
      <c r="N50" s="357">
        <f t="shared" si="39"/>
        <v>-0.11111111111111116</v>
      </c>
      <c r="O50" s="357">
        <f t="shared" si="40"/>
        <v>-3.2258064516129004E-2</v>
      </c>
      <c r="P50" s="357">
        <f t="shared" si="41"/>
        <v>0</v>
      </c>
      <c r="Q50" s="357">
        <f t="shared" si="42"/>
        <v>1.744186046511631E-2</v>
      </c>
      <c r="R50" s="357">
        <f t="shared" si="43"/>
        <v>2.4999999999999911E-2</v>
      </c>
      <c r="S50" s="357">
        <f t="shared" si="44"/>
        <v>0</v>
      </c>
      <c r="T50" s="357">
        <f t="shared" si="45"/>
        <v>0</v>
      </c>
      <c r="U50" s="379">
        <f t="shared" si="46"/>
        <v>0</v>
      </c>
      <c r="W50" s="451">
        <f t="shared" si="47"/>
        <v>4.3017385083690858E-2</v>
      </c>
      <c r="X50" s="357">
        <f t="shared" si="19"/>
        <v>-0.11778303565638351</v>
      </c>
      <c r="Y50" s="357">
        <f t="shared" si="20"/>
        <v>-3.2789822822990838E-2</v>
      </c>
      <c r="Z50" s="357">
        <f t="shared" si="21"/>
        <v>0</v>
      </c>
      <c r="AA50" s="357">
        <f t="shared" si="22"/>
        <v>1.7291497110061043E-2</v>
      </c>
      <c r="AB50" s="357">
        <f t="shared" si="23"/>
        <v>2.4692612590371414E-2</v>
      </c>
      <c r="AC50" s="357">
        <f t="shared" si="24"/>
        <v>0</v>
      </c>
      <c r="AD50" s="357">
        <f t="shared" si="25"/>
        <v>0</v>
      </c>
      <c r="AE50" s="379">
        <f t="shared" si="26"/>
        <v>0</v>
      </c>
      <c r="AG50" s="451">
        <f t="shared" si="62"/>
        <v>2.2483969278476065E-2</v>
      </c>
      <c r="AH50" s="357">
        <f t="shared" si="63"/>
        <v>-0.13222118802838442</v>
      </c>
      <c r="AI50" s="357">
        <f t="shared" si="64"/>
        <v>-4.6523270805244279E-2</v>
      </c>
      <c r="AJ50" s="357">
        <f t="shared" si="65"/>
        <v>-9.9485886228382649E-3</v>
      </c>
      <c r="AK50" s="357">
        <f t="shared" si="66"/>
        <v>1.0985187179549542E-2</v>
      </c>
      <c r="AL50" s="357">
        <f t="shared" si="67"/>
        <v>2.4552919327950146E-2</v>
      </c>
      <c r="AM50" s="357">
        <f t="shared" si="33"/>
        <v>-1.7064673510089895E-4</v>
      </c>
      <c r="AN50" s="357">
        <f t="shared" si="34"/>
        <v>1.9070751392640699E-5</v>
      </c>
      <c r="AO50" s="379">
        <f t="shared" si="35"/>
        <v>5.4711961047645428E-5</v>
      </c>
    </row>
    <row r="51" spans="2:52" x14ac:dyDescent="0.25">
      <c r="B51" s="449">
        <v>42681</v>
      </c>
      <c r="C51" s="237">
        <v>200</v>
      </c>
      <c r="D51" s="237">
        <v>164</v>
      </c>
      <c r="E51" s="237">
        <v>158</v>
      </c>
      <c r="F51" s="237">
        <v>156</v>
      </c>
      <c r="G51" s="237">
        <v>182</v>
      </c>
      <c r="H51" s="237">
        <v>170</v>
      </c>
      <c r="I51" s="237">
        <v>155</v>
      </c>
      <c r="J51" s="237">
        <v>150</v>
      </c>
      <c r="K51" s="450">
        <v>150</v>
      </c>
      <c r="M51" s="451">
        <f t="shared" si="38"/>
        <v>5.2631578947368363E-2</v>
      </c>
      <c r="N51" s="357">
        <f t="shared" si="39"/>
        <v>2.4999999999999911E-2</v>
      </c>
      <c r="O51" s="357">
        <f t="shared" si="40"/>
        <v>5.3333333333333233E-2</v>
      </c>
      <c r="P51" s="357">
        <f t="shared" si="41"/>
        <v>4.0000000000000036E-2</v>
      </c>
      <c r="Q51" s="357">
        <f t="shared" si="42"/>
        <v>4.0000000000000036E-2</v>
      </c>
      <c r="R51" s="357">
        <f t="shared" si="43"/>
        <v>3.6585365853658569E-2</v>
      </c>
      <c r="S51" s="357">
        <f t="shared" si="44"/>
        <v>0</v>
      </c>
      <c r="T51" s="357">
        <f t="shared" si="45"/>
        <v>0</v>
      </c>
      <c r="U51" s="379">
        <f t="shared" si="46"/>
        <v>0</v>
      </c>
      <c r="W51" s="451">
        <f t="shared" si="47"/>
        <v>5.1293294387550481E-2</v>
      </c>
      <c r="X51" s="357">
        <f t="shared" si="19"/>
        <v>2.4692612590371414E-2</v>
      </c>
      <c r="Y51" s="357">
        <f t="shared" si="20"/>
        <v>5.1959738930710958E-2</v>
      </c>
      <c r="Z51" s="357">
        <f t="shared" si="21"/>
        <v>3.9220713153281329E-2</v>
      </c>
      <c r="AA51" s="357">
        <f t="shared" si="22"/>
        <v>3.9220713153281329E-2</v>
      </c>
      <c r="AB51" s="357">
        <f t="shared" si="23"/>
        <v>3.593200922606337E-2</v>
      </c>
      <c r="AC51" s="357">
        <f t="shared" si="24"/>
        <v>0</v>
      </c>
      <c r="AD51" s="357">
        <f t="shared" si="25"/>
        <v>0</v>
      </c>
      <c r="AE51" s="379">
        <f t="shared" si="26"/>
        <v>0</v>
      </c>
      <c r="AG51" s="451">
        <f t="shared" si="62"/>
        <v>3.1159504269800405E-2</v>
      </c>
      <c r="AH51" s="357">
        <f t="shared" si="63"/>
        <v>3.8899230827266588E-3</v>
      </c>
      <c r="AI51" s="357">
        <f t="shared" si="64"/>
        <v>3.9068127044217957E-2</v>
      </c>
      <c r="AJ51" s="357">
        <f t="shared" si="65"/>
        <v>3.0051411377161771E-2</v>
      </c>
      <c r="AK51" s="357">
        <f t="shared" si="66"/>
        <v>3.3543326714433268E-2</v>
      </c>
      <c r="AL51" s="357">
        <f t="shared" si="67"/>
        <v>3.6138285181608804E-2</v>
      </c>
      <c r="AM51" s="357">
        <f t="shared" si="33"/>
        <v>-1.7064673510089895E-4</v>
      </c>
      <c r="AN51" s="357">
        <f t="shared" si="34"/>
        <v>1.9070751392640699E-5</v>
      </c>
      <c r="AO51" s="379">
        <f t="shared" si="35"/>
        <v>5.4711961047645428E-5</v>
      </c>
      <c r="AQ51" s="233" t="s">
        <v>267</v>
      </c>
      <c r="AR51" s="233"/>
      <c r="AS51" s="233" t="s">
        <v>265</v>
      </c>
      <c r="AT51" s="233" t="s">
        <v>266</v>
      </c>
    </row>
    <row r="52" spans="2:52" x14ac:dyDescent="0.25">
      <c r="B52" s="449">
        <v>42688</v>
      </c>
      <c r="C52" s="237">
        <v>200</v>
      </c>
      <c r="D52" s="237">
        <v>150</v>
      </c>
      <c r="E52" s="237">
        <v>148</v>
      </c>
      <c r="F52" s="237">
        <v>148</v>
      </c>
      <c r="G52" s="237">
        <v>174</v>
      </c>
      <c r="H52" s="237">
        <v>160</v>
      </c>
      <c r="I52" s="237">
        <v>155</v>
      </c>
      <c r="J52" s="237">
        <v>150</v>
      </c>
      <c r="K52" s="450">
        <v>150</v>
      </c>
      <c r="M52" s="451">
        <f t="shared" si="38"/>
        <v>0</v>
      </c>
      <c r="N52" s="357">
        <f t="shared" si="39"/>
        <v>-8.536585365853655E-2</v>
      </c>
      <c r="O52" s="357">
        <f t="shared" si="40"/>
        <v>-6.3291139240506333E-2</v>
      </c>
      <c r="P52" s="357">
        <f t="shared" si="41"/>
        <v>-5.1282051282051322E-2</v>
      </c>
      <c r="Q52" s="357">
        <f t="shared" si="42"/>
        <v>-4.3956043956043911E-2</v>
      </c>
      <c r="R52" s="357">
        <f t="shared" si="43"/>
        <v>-5.8823529411764719E-2</v>
      </c>
      <c r="S52" s="357">
        <f t="shared" si="44"/>
        <v>0</v>
      </c>
      <c r="T52" s="357">
        <f t="shared" si="45"/>
        <v>0</v>
      </c>
      <c r="U52" s="379">
        <f t="shared" si="46"/>
        <v>0</v>
      </c>
      <c r="W52" s="451">
        <f t="shared" si="47"/>
        <v>0</v>
      </c>
      <c r="X52" s="357">
        <f t="shared" si="19"/>
        <v>-8.9231133727942641E-2</v>
      </c>
      <c r="Y52" s="357">
        <f t="shared" si="20"/>
        <v>-6.5382759262851739E-2</v>
      </c>
      <c r="Z52" s="357">
        <f t="shared" si="21"/>
        <v>-5.2643733485422027E-2</v>
      </c>
      <c r="AA52" s="357">
        <f t="shared" si="22"/>
        <v>-4.4951387862266275E-2</v>
      </c>
      <c r="AB52" s="357">
        <f t="shared" si="23"/>
        <v>-6.0624621816434854E-2</v>
      </c>
      <c r="AC52" s="357">
        <f t="shared" si="24"/>
        <v>0</v>
      </c>
      <c r="AD52" s="357">
        <f t="shared" si="25"/>
        <v>0</v>
      </c>
      <c r="AE52" s="379">
        <f t="shared" si="26"/>
        <v>0</v>
      </c>
      <c r="AG52" s="451">
        <f t="shared" si="62"/>
        <v>-2.1472074677567957E-2</v>
      </c>
      <c r="AH52" s="357">
        <f t="shared" si="63"/>
        <v>-0.1064759305758098</v>
      </c>
      <c r="AI52" s="357">
        <f t="shared" si="64"/>
        <v>-7.7556345529621609E-2</v>
      </c>
      <c r="AJ52" s="357">
        <f t="shared" si="65"/>
        <v>-6.1230639904889583E-2</v>
      </c>
      <c r="AK52" s="357">
        <f t="shared" si="66"/>
        <v>-5.0412717241610679E-2</v>
      </c>
      <c r="AL52" s="357">
        <f t="shared" si="67"/>
        <v>-5.9270610083814484E-2</v>
      </c>
      <c r="AM52" s="357">
        <f t="shared" si="33"/>
        <v>-1.7064673510089895E-4</v>
      </c>
      <c r="AN52" s="357">
        <f t="shared" si="34"/>
        <v>1.9070751392640699E-5</v>
      </c>
      <c r="AO52" s="379">
        <f t="shared" si="35"/>
        <v>5.4711961047645428E-5</v>
      </c>
      <c r="AQ52" s="234" t="s">
        <v>261</v>
      </c>
      <c r="AR52" s="235">
        <f>AR48</f>
        <v>8.104527394391281E-2</v>
      </c>
      <c r="AS52" s="236">
        <f>(_xlfn.T.INV($AR$43,$AR$44)*$AR52*$AR$45)</f>
        <v>-2349416.1846335167</v>
      </c>
      <c r="AT52" s="236">
        <f>(_xlfn.T.INV((1-$AR$43),$AR$44)*$AR52*$AR$45)</f>
        <v>2349416.1846335158</v>
      </c>
    </row>
    <row r="53" spans="2:52" x14ac:dyDescent="0.25">
      <c r="B53" s="449">
        <v>42695</v>
      </c>
      <c r="C53" s="237">
        <v>200</v>
      </c>
      <c r="D53" s="237">
        <v>148</v>
      </c>
      <c r="E53" s="237">
        <v>138</v>
      </c>
      <c r="F53" s="237">
        <v>138</v>
      </c>
      <c r="G53" s="237">
        <v>174</v>
      </c>
      <c r="H53" s="237">
        <v>160</v>
      </c>
      <c r="I53" s="237">
        <v>155</v>
      </c>
      <c r="J53" s="237">
        <v>150</v>
      </c>
      <c r="K53" s="450">
        <v>150</v>
      </c>
      <c r="M53" s="451">
        <f t="shared" si="38"/>
        <v>0</v>
      </c>
      <c r="N53" s="357">
        <f t="shared" si="39"/>
        <v>-1.3333333333333308E-2</v>
      </c>
      <c r="O53" s="357">
        <f t="shared" si="40"/>
        <v>-6.7567567567567544E-2</v>
      </c>
      <c r="P53" s="357">
        <f t="shared" si="41"/>
        <v>-6.7567567567567544E-2</v>
      </c>
      <c r="Q53" s="357">
        <f t="shared" si="42"/>
        <v>0</v>
      </c>
      <c r="R53" s="357">
        <f t="shared" si="43"/>
        <v>0</v>
      </c>
      <c r="S53" s="357">
        <f t="shared" si="44"/>
        <v>0</v>
      </c>
      <c r="T53" s="357">
        <f t="shared" si="45"/>
        <v>0</v>
      </c>
      <c r="U53" s="379">
        <f t="shared" si="46"/>
        <v>0</v>
      </c>
      <c r="W53" s="451">
        <f t="shared" si="47"/>
        <v>0</v>
      </c>
      <c r="X53" s="357">
        <f t="shared" si="19"/>
        <v>-1.3423020332140661E-2</v>
      </c>
      <c r="Y53" s="357">
        <f t="shared" si="20"/>
        <v>-6.9958588606910344E-2</v>
      </c>
      <c r="Z53" s="357">
        <f t="shared" si="21"/>
        <v>-6.9958588606910344E-2</v>
      </c>
      <c r="AA53" s="357">
        <f t="shared" si="22"/>
        <v>0</v>
      </c>
      <c r="AB53" s="357">
        <f t="shared" si="23"/>
        <v>0</v>
      </c>
      <c r="AC53" s="357">
        <f t="shared" si="24"/>
        <v>0</v>
      </c>
      <c r="AD53" s="357">
        <f t="shared" si="25"/>
        <v>0</v>
      </c>
      <c r="AE53" s="379">
        <f t="shared" si="26"/>
        <v>0</v>
      </c>
      <c r="AG53" s="451">
        <f t="shared" si="62"/>
        <v>-2.1472074677567957E-2</v>
      </c>
      <c r="AH53" s="357">
        <f t="shared" si="63"/>
        <v>-3.4443410250606557E-2</v>
      </c>
      <c r="AI53" s="357">
        <f t="shared" si="64"/>
        <v>-8.1832773856682819E-2</v>
      </c>
      <c r="AJ53" s="357">
        <f t="shared" si="65"/>
        <v>-7.7516156190405805E-2</v>
      </c>
      <c r="AK53" s="357">
        <f t="shared" si="66"/>
        <v>-6.4566732855667669E-3</v>
      </c>
      <c r="AL53" s="357">
        <f t="shared" si="67"/>
        <v>-4.4708067204976532E-4</v>
      </c>
      <c r="AM53" s="357">
        <f t="shared" si="33"/>
        <v>-1.7064673510089895E-4</v>
      </c>
      <c r="AN53" s="357">
        <f t="shared" si="34"/>
        <v>1.9070751392640699E-5</v>
      </c>
      <c r="AO53" s="379">
        <f t="shared" si="35"/>
        <v>5.4711961047645428E-5</v>
      </c>
      <c r="AQ53" s="234" t="s">
        <v>262</v>
      </c>
      <c r="AR53" s="235">
        <f>AR49</f>
        <v>0.16609338638339657</v>
      </c>
      <c r="AS53" s="236">
        <f>(_xlfn.T.INV($AR$43,$AR$44)*$AR53*$AR$45)</f>
        <v>-4814870.3945376584</v>
      </c>
      <c r="AT53" s="236">
        <f>(_xlfn.T.INV((1-$AR$43),$AR$44)*$AR53*$AR$45)</f>
        <v>4814870.3945376556</v>
      </c>
    </row>
    <row r="54" spans="2:52" x14ac:dyDescent="0.25">
      <c r="B54" s="449">
        <v>42702</v>
      </c>
      <c r="C54" s="237">
        <v>202</v>
      </c>
      <c r="D54" s="237">
        <v>155</v>
      </c>
      <c r="E54" s="237">
        <v>118</v>
      </c>
      <c r="F54" s="237">
        <v>118</v>
      </c>
      <c r="G54" s="237">
        <v>178.5</v>
      </c>
      <c r="H54" s="237">
        <v>145</v>
      </c>
      <c r="I54" s="237">
        <v>155</v>
      </c>
      <c r="J54" s="237">
        <v>150</v>
      </c>
      <c r="K54" s="450">
        <v>150</v>
      </c>
      <c r="M54" s="451">
        <f t="shared" si="38"/>
        <v>1.0000000000000009E-2</v>
      </c>
      <c r="N54" s="357">
        <f t="shared" si="39"/>
        <v>4.7297297297297369E-2</v>
      </c>
      <c r="O54" s="357">
        <f t="shared" si="40"/>
        <v>-0.14492753623188404</v>
      </c>
      <c r="P54" s="357">
        <f t="shared" si="41"/>
        <v>-0.14492753623188404</v>
      </c>
      <c r="Q54" s="357">
        <f t="shared" si="42"/>
        <v>2.5862068965517349E-2</v>
      </c>
      <c r="R54" s="357">
        <f t="shared" si="43"/>
        <v>-9.375E-2</v>
      </c>
      <c r="S54" s="357">
        <f t="shared" si="44"/>
        <v>0</v>
      </c>
      <c r="T54" s="357">
        <f t="shared" si="45"/>
        <v>0</v>
      </c>
      <c r="U54" s="379">
        <f t="shared" si="46"/>
        <v>0</v>
      </c>
      <c r="W54" s="451">
        <f t="shared" si="47"/>
        <v>9.950330853168092E-3</v>
      </c>
      <c r="X54" s="357">
        <f t="shared" si="19"/>
        <v>4.6212843155131626E-2</v>
      </c>
      <c r="Y54" s="357">
        <f t="shared" si="20"/>
        <v>-0.15656906069153992</v>
      </c>
      <c r="Z54" s="357">
        <f t="shared" si="21"/>
        <v>-0.15656906069153992</v>
      </c>
      <c r="AA54" s="357">
        <f t="shared" si="22"/>
        <v>2.5533302005164845E-2</v>
      </c>
      <c r="AB54" s="357">
        <f t="shared" si="23"/>
        <v>-9.8440072813252524E-2</v>
      </c>
      <c r="AC54" s="357">
        <f t="shared" si="24"/>
        <v>0</v>
      </c>
      <c r="AD54" s="357">
        <f t="shared" si="25"/>
        <v>0</v>
      </c>
      <c r="AE54" s="379">
        <f t="shared" si="26"/>
        <v>0</v>
      </c>
      <c r="AG54" s="451">
        <f t="shared" si="62"/>
        <v>-1.1472074677567948E-2</v>
      </c>
      <c r="AH54" s="357">
        <f t="shared" si="63"/>
        <v>2.6187220380024117E-2</v>
      </c>
      <c r="AI54" s="357">
        <f t="shared" si="64"/>
        <v>-0.1591927425209993</v>
      </c>
      <c r="AJ54" s="357">
        <f t="shared" si="65"/>
        <v>-0.1548761248547223</v>
      </c>
      <c r="AK54" s="357">
        <f t="shared" si="66"/>
        <v>1.9405395679950581E-2</v>
      </c>
      <c r="AL54" s="357">
        <f t="shared" si="67"/>
        <v>-9.4197080672049766E-2</v>
      </c>
      <c r="AM54" s="357">
        <f t="shared" si="33"/>
        <v>-1.7064673510089895E-4</v>
      </c>
      <c r="AN54" s="357">
        <f t="shared" si="34"/>
        <v>1.9070751392640699E-5</v>
      </c>
      <c r="AO54" s="379">
        <f t="shared" si="35"/>
        <v>5.4711961047645428E-5</v>
      </c>
    </row>
    <row r="55" spans="2:52" ht="15.75" thickBot="1" x14ac:dyDescent="0.3">
      <c r="B55" s="449">
        <v>42709</v>
      </c>
      <c r="C55" s="237">
        <v>146</v>
      </c>
      <c r="D55" s="237">
        <v>117</v>
      </c>
      <c r="E55" s="237">
        <v>107</v>
      </c>
      <c r="F55" s="237">
        <v>107</v>
      </c>
      <c r="G55" s="237">
        <v>146</v>
      </c>
      <c r="H55" s="237">
        <v>140</v>
      </c>
      <c r="I55" s="237">
        <v>150</v>
      </c>
      <c r="J55" s="237">
        <v>150</v>
      </c>
      <c r="K55" s="450">
        <v>150</v>
      </c>
      <c r="M55" s="451">
        <f t="shared" si="38"/>
        <v>-0.27722772277227725</v>
      </c>
      <c r="N55" s="357">
        <f t="shared" si="39"/>
        <v>-0.24516129032258061</v>
      </c>
      <c r="O55" s="357">
        <f t="shared" si="40"/>
        <v>-9.3220338983050821E-2</v>
      </c>
      <c r="P55" s="357">
        <f t="shared" si="41"/>
        <v>-9.3220338983050821E-2</v>
      </c>
      <c r="Q55" s="357">
        <f t="shared" si="42"/>
        <v>-0.18207282913165268</v>
      </c>
      <c r="R55" s="357">
        <f t="shared" si="43"/>
        <v>-3.4482758620689613E-2</v>
      </c>
      <c r="S55" s="357">
        <f t="shared" si="44"/>
        <v>-3.2258064516129004E-2</v>
      </c>
      <c r="T55" s="357">
        <f t="shared" si="45"/>
        <v>0</v>
      </c>
      <c r="U55" s="379">
        <f t="shared" si="46"/>
        <v>0</v>
      </c>
      <c r="W55" s="451">
        <f t="shared" si="47"/>
        <v>-0.32466107569286834</v>
      </c>
      <c r="X55" s="357">
        <f t="shared" si="19"/>
        <v>-0.28125118212149047</v>
      </c>
      <c r="Y55" s="357">
        <f t="shared" si="20"/>
        <v>-9.7855790003758561E-2</v>
      </c>
      <c r="Z55" s="357">
        <f t="shared" si="21"/>
        <v>-9.7855790003758561E-2</v>
      </c>
      <c r="AA55" s="357">
        <f t="shared" si="22"/>
        <v>-0.20098197951135735</v>
      </c>
      <c r="AB55" s="357">
        <f t="shared" si="23"/>
        <v>-3.5091319811270061E-2</v>
      </c>
      <c r="AC55" s="357">
        <f t="shared" si="24"/>
        <v>-3.2789822822990838E-2</v>
      </c>
      <c r="AD55" s="357">
        <f t="shared" si="25"/>
        <v>0</v>
      </c>
      <c r="AE55" s="379">
        <f t="shared" si="26"/>
        <v>0</v>
      </c>
      <c r="AG55" s="451">
        <f t="shared" si="62"/>
        <v>-0.29869979744984521</v>
      </c>
      <c r="AH55" s="357">
        <f t="shared" si="63"/>
        <v>-0.26627136723985384</v>
      </c>
      <c r="AI55" s="357">
        <f t="shared" si="64"/>
        <v>-0.1074855452721661</v>
      </c>
      <c r="AJ55" s="357">
        <f t="shared" si="65"/>
        <v>-0.10316892760588908</v>
      </c>
      <c r="AK55" s="357">
        <f t="shared" si="66"/>
        <v>-0.18852950241721944</v>
      </c>
      <c r="AL55" s="357">
        <f t="shared" si="67"/>
        <v>-3.4929839292739379E-2</v>
      </c>
      <c r="AM55" s="357">
        <f t="shared" si="33"/>
        <v>-3.2428711251229904E-2</v>
      </c>
      <c r="AN55" s="357">
        <f t="shared" si="34"/>
        <v>1.9070751392640699E-5</v>
      </c>
      <c r="AO55" s="379">
        <f t="shared" si="35"/>
        <v>5.4711961047645428E-5</v>
      </c>
    </row>
    <row r="56" spans="2:52" ht="15.75" thickBot="1" x14ac:dyDescent="0.3">
      <c r="B56" s="449">
        <v>42716</v>
      </c>
      <c r="C56" s="237">
        <v>145</v>
      </c>
      <c r="D56" s="237">
        <v>88</v>
      </c>
      <c r="E56" s="237">
        <v>88</v>
      </c>
      <c r="F56" s="237">
        <v>88</v>
      </c>
      <c r="G56" s="237">
        <v>145</v>
      </c>
      <c r="H56" s="237">
        <v>120</v>
      </c>
      <c r="I56" s="237">
        <v>145</v>
      </c>
      <c r="J56" s="237">
        <v>150</v>
      </c>
      <c r="K56" s="450">
        <v>150</v>
      </c>
      <c r="M56" s="451">
        <f t="shared" si="38"/>
        <v>-6.8493150684931781E-3</v>
      </c>
      <c r="N56" s="357">
        <f t="shared" si="39"/>
        <v>-0.24786324786324787</v>
      </c>
      <c r="O56" s="357">
        <f t="shared" si="40"/>
        <v>-0.17757009345794394</v>
      </c>
      <c r="P56" s="357">
        <f t="shared" si="41"/>
        <v>-0.17757009345794394</v>
      </c>
      <c r="Q56" s="357">
        <f t="shared" si="42"/>
        <v>-6.8493150684931781E-3</v>
      </c>
      <c r="R56" s="357">
        <f t="shared" si="43"/>
        <v>-0.1428571428571429</v>
      </c>
      <c r="S56" s="357">
        <f t="shared" si="44"/>
        <v>-3.3333333333333326E-2</v>
      </c>
      <c r="T56" s="357">
        <f t="shared" si="45"/>
        <v>0</v>
      </c>
      <c r="U56" s="379">
        <f t="shared" si="46"/>
        <v>0</v>
      </c>
      <c r="W56" s="451">
        <f t="shared" si="47"/>
        <v>-6.8728792877620643E-3</v>
      </c>
      <c r="X56" s="357">
        <f t="shared" si="19"/>
        <v>-0.28483712031954966</v>
      </c>
      <c r="Y56" s="357">
        <f t="shared" si="20"/>
        <v>-0.19549201998369972</v>
      </c>
      <c r="Z56" s="357">
        <f t="shared" si="21"/>
        <v>-0.19549201998369972</v>
      </c>
      <c r="AA56" s="357">
        <f t="shared" si="22"/>
        <v>-6.8728792877620643E-3</v>
      </c>
      <c r="AB56" s="357">
        <f t="shared" si="23"/>
        <v>-0.15415067982725836</v>
      </c>
      <c r="AC56" s="357">
        <f t="shared" si="24"/>
        <v>-3.3901551675681339E-2</v>
      </c>
      <c r="AD56" s="357">
        <f t="shared" si="25"/>
        <v>0</v>
      </c>
      <c r="AE56" s="379">
        <f t="shared" si="26"/>
        <v>0</v>
      </c>
      <c r="AG56" s="451">
        <f t="shared" si="62"/>
        <v>-2.8321389746061135E-2</v>
      </c>
      <c r="AH56" s="357">
        <f t="shared" si="63"/>
        <v>-0.26897332478052111</v>
      </c>
      <c r="AI56" s="357">
        <f t="shared" si="64"/>
        <v>-0.19183529974705921</v>
      </c>
      <c r="AJ56" s="357">
        <f t="shared" si="65"/>
        <v>-0.18751868208078221</v>
      </c>
      <c r="AK56" s="357">
        <f t="shared" si="66"/>
        <v>-1.3305988354059946E-2</v>
      </c>
      <c r="AL56" s="357">
        <f t="shared" si="67"/>
        <v>-0.14330422352919267</v>
      </c>
      <c r="AM56" s="357">
        <f t="shared" si="33"/>
        <v>-3.3503980068434226E-2</v>
      </c>
      <c r="AN56" s="357">
        <f t="shared" si="34"/>
        <v>1.9070751392640699E-5</v>
      </c>
      <c r="AO56" s="379">
        <f t="shared" si="35"/>
        <v>5.4711961047645428E-5</v>
      </c>
      <c r="AQ56" s="452" t="s">
        <v>293</v>
      </c>
      <c r="AR56" s="453"/>
      <c r="AS56" s="453"/>
      <c r="AT56" s="453"/>
      <c r="AU56" s="453"/>
      <c r="AV56" s="453"/>
      <c r="AW56" s="453"/>
      <c r="AX56" s="453"/>
      <c r="AY56" s="453"/>
      <c r="AZ56" s="454"/>
    </row>
    <row r="57" spans="2:52" x14ac:dyDescent="0.25">
      <c r="B57" s="449">
        <v>42723</v>
      </c>
      <c r="C57" s="237">
        <v>125</v>
      </c>
      <c r="D57" s="237">
        <v>110</v>
      </c>
      <c r="E57" s="237">
        <v>105</v>
      </c>
      <c r="F57" s="237">
        <v>100</v>
      </c>
      <c r="G57" s="237">
        <v>125</v>
      </c>
      <c r="H57" s="237">
        <v>128</v>
      </c>
      <c r="I57" s="237">
        <v>145</v>
      </c>
      <c r="J57" s="237">
        <v>145</v>
      </c>
      <c r="K57" s="450">
        <v>145</v>
      </c>
      <c r="M57" s="451">
        <f t="shared" si="38"/>
        <v>-0.13793103448275867</v>
      </c>
      <c r="N57" s="357">
        <f t="shared" si="39"/>
        <v>0.25</v>
      </c>
      <c r="O57" s="357">
        <f t="shared" si="40"/>
        <v>0.19318181818181812</v>
      </c>
      <c r="P57" s="357">
        <f t="shared" si="41"/>
        <v>0.13636363636363646</v>
      </c>
      <c r="Q57" s="357">
        <f t="shared" si="42"/>
        <v>-0.13793103448275867</v>
      </c>
      <c r="R57" s="357">
        <f t="shared" si="43"/>
        <v>6.6666666666666652E-2</v>
      </c>
      <c r="S57" s="357">
        <f t="shared" si="44"/>
        <v>0</v>
      </c>
      <c r="T57" s="357">
        <f t="shared" si="45"/>
        <v>-3.3333333333333326E-2</v>
      </c>
      <c r="U57" s="379">
        <f t="shared" si="46"/>
        <v>-3.3333333333333326E-2</v>
      </c>
      <c r="W57" s="451">
        <f t="shared" si="47"/>
        <v>-0.14842000511827333</v>
      </c>
      <c r="X57" s="357">
        <f t="shared" si="19"/>
        <v>0.22314355131420976</v>
      </c>
      <c r="Y57" s="357">
        <f t="shared" si="20"/>
        <v>0.17662353567931685</v>
      </c>
      <c r="Z57" s="357">
        <f t="shared" si="21"/>
        <v>0.127833371509885</v>
      </c>
      <c r="AA57" s="357">
        <f t="shared" si="22"/>
        <v>-0.14842000511827333</v>
      </c>
      <c r="AB57" s="357">
        <f t="shared" si="23"/>
        <v>6.4538521137571164E-2</v>
      </c>
      <c r="AC57" s="357">
        <f t="shared" si="24"/>
        <v>0</v>
      </c>
      <c r="AD57" s="357">
        <f t="shared" si="25"/>
        <v>-3.3901551675681339E-2</v>
      </c>
      <c r="AE57" s="379">
        <f t="shared" si="26"/>
        <v>-3.3901551675681339E-2</v>
      </c>
      <c r="AG57" s="451">
        <f t="shared" si="62"/>
        <v>-0.15940310916032663</v>
      </c>
      <c r="AH57" s="357">
        <f t="shared" si="63"/>
        <v>0.22888992308272674</v>
      </c>
      <c r="AI57" s="357">
        <f t="shared" si="64"/>
        <v>0.17891661189270286</v>
      </c>
      <c r="AJ57" s="357">
        <f t="shared" si="65"/>
        <v>0.1264150477407982</v>
      </c>
      <c r="AK57" s="357">
        <f t="shared" si="66"/>
        <v>-0.14438770776832544</v>
      </c>
      <c r="AL57" s="357">
        <f t="shared" si="67"/>
        <v>6.6219585994616886E-2</v>
      </c>
      <c r="AM57" s="357">
        <f t="shared" si="33"/>
        <v>-1.7064673510089895E-4</v>
      </c>
      <c r="AN57" s="357">
        <f t="shared" si="34"/>
        <v>-3.3314262581940687E-2</v>
      </c>
      <c r="AO57" s="379">
        <f t="shared" si="35"/>
        <v>-3.3278621372285683E-2</v>
      </c>
      <c r="AQ57" s="197"/>
      <c r="AR57" s="200" t="s">
        <v>25</v>
      </c>
      <c r="AS57" s="200" t="s">
        <v>26</v>
      </c>
      <c r="AT57" s="200" t="s">
        <v>27</v>
      </c>
      <c r="AU57" s="200" t="s">
        <v>28</v>
      </c>
      <c r="AV57" s="200" t="s">
        <v>29</v>
      </c>
      <c r="AW57" s="200" t="s">
        <v>30</v>
      </c>
      <c r="AX57" s="200" t="s">
        <v>31</v>
      </c>
      <c r="AY57" s="200" t="s">
        <v>32</v>
      </c>
      <c r="AZ57" s="201" t="s">
        <v>33</v>
      </c>
    </row>
    <row r="58" spans="2:52" x14ac:dyDescent="0.25">
      <c r="B58" s="449">
        <v>42730</v>
      </c>
      <c r="C58" s="237">
        <v>125</v>
      </c>
      <c r="D58" s="237">
        <v>120</v>
      </c>
      <c r="E58" s="237">
        <v>110</v>
      </c>
      <c r="F58" s="237">
        <v>100</v>
      </c>
      <c r="G58" s="237">
        <v>125</v>
      </c>
      <c r="H58" s="237">
        <v>130</v>
      </c>
      <c r="I58" s="237">
        <v>142</v>
      </c>
      <c r="J58" s="237">
        <v>145</v>
      </c>
      <c r="K58" s="450">
        <v>150</v>
      </c>
      <c r="M58" s="451">
        <f t="shared" si="38"/>
        <v>0</v>
      </c>
      <c r="N58" s="357">
        <f t="shared" si="39"/>
        <v>9.0909090909090828E-2</v>
      </c>
      <c r="O58" s="357">
        <f t="shared" si="40"/>
        <v>4.7619047619047672E-2</v>
      </c>
      <c r="P58" s="357">
        <f t="shared" si="41"/>
        <v>0</v>
      </c>
      <c r="Q58" s="357">
        <f t="shared" si="42"/>
        <v>0</v>
      </c>
      <c r="R58" s="357">
        <f t="shared" si="43"/>
        <v>1.5625E-2</v>
      </c>
      <c r="S58" s="357">
        <f t="shared" si="44"/>
        <v>-2.0689655172413834E-2</v>
      </c>
      <c r="T58" s="357">
        <f t="shared" si="45"/>
        <v>0</v>
      </c>
      <c r="U58" s="379">
        <f t="shared" si="46"/>
        <v>3.4482758620689724E-2</v>
      </c>
      <c r="W58" s="451">
        <f t="shared" si="47"/>
        <v>0</v>
      </c>
      <c r="X58" s="357">
        <f t="shared" si="19"/>
        <v>8.7011376989629699E-2</v>
      </c>
      <c r="Y58" s="357">
        <f t="shared" si="20"/>
        <v>4.6520015634892907E-2</v>
      </c>
      <c r="Z58" s="357">
        <f t="shared" si="21"/>
        <v>0</v>
      </c>
      <c r="AA58" s="357">
        <f t="shared" si="22"/>
        <v>0</v>
      </c>
      <c r="AB58" s="357">
        <f t="shared" si="23"/>
        <v>1.5504186535965254E-2</v>
      </c>
      <c r="AC58" s="357">
        <f t="shared" si="24"/>
        <v>-2.0906684819313712E-2</v>
      </c>
      <c r="AD58" s="357">
        <f t="shared" si="25"/>
        <v>0</v>
      </c>
      <c r="AE58" s="379">
        <f t="shared" si="26"/>
        <v>3.3901551675681416E-2</v>
      </c>
      <c r="AG58" s="451">
        <f t="shared" si="62"/>
        <v>-2.1472074677567957E-2</v>
      </c>
      <c r="AH58" s="357">
        <f t="shared" si="63"/>
        <v>6.9799013991817579E-2</v>
      </c>
      <c r="AI58" s="357">
        <f t="shared" si="64"/>
        <v>3.3353841329932396E-2</v>
      </c>
      <c r="AJ58" s="357">
        <f t="shared" si="65"/>
        <v>-9.9485886228382649E-3</v>
      </c>
      <c r="AK58" s="357">
        <f t="shared" si="66"/>
        <v>-6.4566732855667669E-3</v>
      </c>
      <c r="AL58" s="357">
        <f t="shared" si="67"/>
        <v>1.5177919327950234E-2</v>
      </c>
      <c r="AM58" s="357">
        <f t="shared" si="33"/>
        <v>-2.0860301907514735E-2</v>
      </c>
      <c r="AN58" s="357">
        <f t="shared" si="34"/>
        <v>1.9070751392640699E-5</v>
      </c>
      <c r="AO58" s="379">
        <f t="shared" si="35"/>
        <v>3.4537470581737367E-2</v>
      </c>
      <c r="AQ58" s="238" t="s">
        <v>273</v>
      </c>
      <c r="AR58" s="239">
        <f t="shared" ref="AR58:AZ58" ca="1" si="68">_xlfn.STDEV.P(OFFSET(M7,AR18+1,0,-12,1))</f>
        <v>7.2264351720176872E-3</v>
      </c>
      <c r="AS58" s="239">
        <f t="shared" ca="1" si="68"/>
        <v>4.4459367177395417E-2</v>
      </c>
      <c r="AT58" s="239">
        <f t="shared" ca="1" si="68"/>
        <v>3.5249717246417747E-2</v>
      </c>
      <c r="AU58" s="239">
        <f t="shared" ca="1" si="68"/>
        <v>4.2869618487096486E-2</v>
      </c>
      <c r="AV58" s="239">
        <f t="shared" ca="1" si="68"/>
        <v>3.792660250785547E-2</v>
      </c>
      <c r="AW58" s="239">
        <f t="shared" ca="1" si="68"/>
        <v>2.2700156906298268E-2</v>
      </c>
      <c r="AX58" s="239">
        <f t="shared" ca="1" si="68"/>
        <v>2.2002090761691191E-2</v>
      </c>
      <c r="AY58" s="239">
        <f t="shared" ca="1" si="68"/>
        <v>1.8952657575632196E-2</v>
      </c>
      <c r="AZ58" s="240">
        <f t="shared" ca="1" si="68"/>
        <v>1.8439815238009295E-2</v>
      </c>
    </row>
    <row r="59" spans="2:52" x14ac:dyDescent="0.25">
      <c r="B59" s="449">
        <v>42737</v>
      </c>
      <c r="C59" s="237">
        <v>130</v>
      </c>
      <c r="D59" s="237">
        <v>120</v>
      </c>
      <c r="E59" s="237">
        <v>120</v>
      </c>
      <c r="F59" s="237">
        <v>120</v>
      </c>
      <c r="G59" s="237">
        <v>140</v>
      </c>
      <c r="H59" s="237">
        <v>142</v>
      </c>
      <c r="I59" s="237">
        <v>145</v>
      </c>
      <c r="J59" s="237">
        <v>150</v>
      </c>
      <c r="K59" s="450">
        <v>150</v>
      </c>
      <c r="M59" s="451">
        <f t="shared" si="38"/>
        <v>4.0000000000000036E-2</v>
      </c>
      <c r="N59" s="357">
        <f t="shared" si="39"/>
        <v>0</v>
      </c>
      <c r="O59" s="357">
        <f t="shared" si="40"/>
        <v>9.0909090909090828E-2</v>
      </c>
      <c r="P59" s="357">
        <f t="shared" si="41"/>
        <v>0.19999999999999996</v>
      </c>
      <c r="Q59" s="357">
        <f t="shared" si="42"/>
        <v>0.12000000000000011</v>
      </c>
      <c r="R59" s="357">
        <f t="shared" si="43"/>
        <v>9.2307692307692202E-2</v>
      </c>
      <c r="S59" s="357">
        <f t="shared" si="44"/>
        <v>2.1126760563380254E-2</v>
      </c>
      <c r="T59" s="357">
        <f t="shared" si="45"/>
        <v>3.4482758620689724E-2</v>
      </c>
      <c r="U59" s="379">
        <f t="shared" si="46"/>
        <v>0</v>
      </c>
      <c r="W59" s="451">
        <f t="shared" si="47"/>
        <v>3.9220713153281329E-2</v>
      </c>
      <c r="X59" s="357">
        <f t="shared" si="19"/>
        <v>0</v>
      </c>
      <c r="Y59" s="357">
        <f t="shared" si="20"/>
        <v>8.7011376989629699E-2</v>
      </c>
      <c r="Z59" s="357">
        <f t="shared" si="21"/>
        <v>0.18232155679395459</v>
      </c>
      <c r="AA59" s="357">
        <f t="shared" si="22"/>
        <v>0.11332868530700327</v>
      </c>
      <c r="AB59" s="357">
        <f t="shared" si="23"/>
        <v>8.8292607145678215E-2</v>
      </c>
      <c r="AC59" s="357">
        <f t="shared" si="24"/>
        <v>2.0906684819313643E-2</v>
      </c>
      <c r="AD59" s="357">
        <f t="shared" si="25"/>
        <v>3.3901551675681416E-2</v>
      </c>
      <c r="AE59" s="379">
        <f t="shared" si="26"/>
        <v>0</v>
      </c>
      <c r="AG59" s="451">
        <f t="shared" si="62"/>
        <v>1.8527925322432078E-2</v>
      </c>
      <c r="AH59" s="357">
        <f t="shared" si="63"/>
        <v>-2.1110076917273252E-2</v>
      </c>
      <c r="AI59" s="357">
        <f t="shared" si="64"/>
        <v>7.6643884619975552E-2</v>
      </c>
      <c r="AJ59" s="357">
        <f t="shared" si="65"/>
        <v>0.19005141137716169</v>
      </c>
      <c r="AK59" s="357">
        <f t="shared" si="66"/>
        <v>0.11354332671443335</v>
      </c>
      <c r="AL59" s="357">
        <f t="shared" si="67"/>
        <v>9.1860611635642436E-2</v>
      </c>
      <c r="AM59" s="357">
        <f t="shared" si="33"/>
        <v>2.0956113828279353E-2</v>
      </c>
      <c r="AN59" s="357">
        <f t="shared" si="34"/>
        <v>3.4501829372082363E-2</v>
      </c>
      <c r="AO59" s="379">
        <f t="shared" si="35"/>
        <v>5.4711961047645428E-5</v>
      </c>
      <c r="AQ59" s="238" t="s">
        <v>274</v>
      </c>
      <c r="AR59" s="239">
        <f t="shared" ref="AR59:AZ59" ca="1" si="69">_xlfn.STDEV.P(OFFSET(M7,AR18+1,0,-24,1))</f>
        <v>0.12175304005345976</v>
      </c>
      <c r="AS59" s="239">
        <f t="shared" ca="1" si="69"/>
        <v>8.4640987948336285E-2</v>
      </c>
      <c r="AT59" s="239">
        <f t="shared" ca="1" si="69"/>
        <v>7.0777482329871605E-2</v>
      </c>
      <c r="AU59" s="239">
        <f t="shared" ca="1" si="69"/>
        <v>7.0081376396742306E-2</v>
      </c>
      <c r="AV59" s="239">
        <f t="shared" ca="1" si="69"/>
        <v>0.16038086267882215</v>
      </c>
      <c r="AW59" s="239">
        <f t="shared" ca="1" si="69"/>
        <v>2.6157491522398407E-2</v>
      </c>
      <c r="AX59" s="239">
        <f ca="1">_xlfn.STDEV.P(OFFSET(S7,AX18+1,0,-24,1))</f>
        <v>1.866948891304759E-2</v>
      </c>
      <c r="AY59" s="239">
        <f t="shared" ca="1" si="69"/>
        <v>1.8698947516848276E-2</v>
      </c>
      <c r="AZ59" s="240">
        <f t="shared" ca="1" si="69"/>
        <v>1.4457996247808743E-2</v>
      </c>
    </row>
    <row r="60" spans="2:52" x14ac:dyDescent="0.25">
      <c r="B60" s="449">
        <v>42744</v>
      </c>
      <c r="C60" s="237">
        <v>125</v>
      </c>
      <c r="D60" s="237">
        <v>140</v>
      </c>
      <c r="E60" s="237">
        <v>130</v>
      </c>
      <c r="F60" s="237">
        <v>130</v>
      </c>
      <c r="G60" s="237">
        <v>142</v>
      </c>
      <c r="H60" s="237">
        <v>142</v>
      </c>
      <c r="I60" s="237">
        <v>145</v>
      </c>
      <c r="J60" s="237">
        <v>150</v>
      </c>
      <c r="K60" s="450">
        <v>150</v>
      </c>
      <c r="M60" s="451">
        <f t="shared" si="38"/>
        <v>-3.8461538461538436E-2</v>
      </c>
      <c r="N60" s="357">
        <f t="shared" si="39"/>
        <v>0.16666666666666674</v>
      </c>
      <c r="O60" s="357">
        <f t="shared" si="40"/>
        <v>8.3333333333333259E-2</v>
      </c>
      <c r="P60" s="357">
        <f t="shared" si="41"/>
        <v>8.3333333333333259E-2</v>
      </c>
      <c r="Q60" s="357">
        <f t="shared" si="42"/>
        <v>1.4285714285714235E-2</v>
      </c>
      <c r="R60" s="357">
        <f t="shared" si="43"/>
        <v>0</v>
      </c>
      <c r="S60" s="357">
        <f t="shared" si="44"/>
        <v>0</v>
      </c>
      <c r="T60" s="357">
        <f t="shared" si="45"/>
        <v>0</v>
      </c>
      <c r="U60" s="379">
        <f t="shared" si="46"/>
        <v>0</v>
      </c>
      <c r="W60" s="451">
        <f t="shared" si="47"/>
        <v>-3.9220713153281267E-2</v>
      </c>
      <c r="X60" s="357">
        <f t="shared" si="19"/>
        <v>0.15415067982725836</v>
      </c>
      <c r="Y60" s="357">
        <f t="shared" si="20"/>
        <v>8.0042707673536356E-2</v>
      </c>
      <c r="Z60" s="357">
        <f t="shared" si="21"/>
        <v>8.0042707673536356E-2</v>
      </c>
      <c r="AA60" s="357">
        <f t="shared" si="22"/>
        <v>1.4184634991956381E-2</v>
      </c>
      <c r="AB60" s="357">
        <f t="shared" si="23"/>
        <v>0</v>
      </c>
      <c r="AC60" s="357">
        <f t="shared" si="24"/>
        <v>0</v>
      </c>
      <c r="AD60" s="357">
        <f t="shared" si="25"/>
        <v>0</v>
      </c>
      <c r="AE60" s="379">
        <f t="shared" si="26"/>
        <v>0</v>
      </c>
      <c r="AG60" s="451">
        <f t="shared" si="62"/>
        <v>-5.993361313910639E-2</v>
      </c>
      <c r="AH60" s="357">
        <f t="shared" si="63"/>
        <v>0.14555658974939348</v>
      </c>
      <c r="AI60" s="357">
        <f t="shared" si="64"/>
        <v>6.9068127044217983E-2</v>
      </c>
      <c r="AJ60" s="357">
        <f t="shared" si="65"/>
        <v>7.3384744710494998E-2</v>
      </c>
      <c r="AK60" s="357">
        <f t="shared" si="66"/>
        <v>7.8290410001474672E-3</v>
      </c>
      <c r="AL60" s="357">
        <f t="shared" si="67"/>
        <v>-4.4708067204976532E-4</v>
      </c>
      <c r="AM60" s="357">
        <f t="shared" si="33"/>
        <v>-1.7064673510089895E-4</v>
      </c>
      <c r="AN60" s="357">
        <f t="shared" si="34"/>
        <v>1.9070751392640699E-5</v>
      </c>
      <c r="AO60" s="379">
        <f t="shared" si="35"/>
        <v>5.4711961047645428E-5</v>
      </c>
      <c r="AQ60" s="238" t="s">
        <v>275</v>
      </c>
      <c r="AR60" s="239">
        <f t="shared" ref="AR60:AZ60" ca="1" si="70">_xlfn.STDEV.P(OFFSET(M7,AR18+1,0,-52,1))</f>
        <v>9.1217258152783337E-2</v>
      </c>
      <c r="AS60" s="239">
        <f t="shared" ca="1" si="70"/>
        <v>0.12867077639407115</v>
      </c>
      <c r="AT60" s="239">
        <f t="shared" ca="1" si="70"/>
        <v>0.13307190651229109</v>
      </c>
      <c r="AU60" s="239">
        <f t="shared" ca="1" si="70"/>
        <v>0.13080244508681149</v>
      </c>
      <c r="AV60" s="239">
        <f t="shared" ca="1" si="70"/>
        <v>0.12399456915504059</v>
      </c>
      <c r="AW60" s="239">
        <f t="shared" ca="1" si="70"/>
        <v>3.4175012422467371E-2</v>
      </c>
      <c r="AX60" s="239">
        <f t="shared" ca="1" si="70"/>
        <v>1.7192453810632547E-2</v>
      </c>
      <c r="AY60" s="239">
        <f t="shared" ca="1" si="70"/>
        <v>1.3705966482979731E-2</v>
      </c>
      <c r="AZ60" s="240">
        <f t="shared" ca="1" si="70"/>
        <v>1.0983943476592369E-2</v>
      </c>
    </row>
    <row r="61" spans="2:52" ht="15.75" thickBot="1" x14ac:dyDescent="0.3">
      <c r="B61" s="449">
        <v>42751</v>
      </c>
      <c r="C61" s="237">
        <v>125</v>
      </c>
      <c r="D61" s="237">
        <v>130</v>
      </c>
      <c r="E61" s="237">
        <v>127</v>
      </c>
      <c r="F61" s="237">
        <v>127</v>
      </c>
      <c r="G61" s="237">
        <v>145</v>
      </c>
      <c r="H61" s="237">
        <v>145</v>
      </c>
      <c r="I61" s="237">
        <v>145</v>
      </c>
      <c r="J61" s="237">
        <v>150</v>
      </c>
      <c r="K61" s="450">
        <v>150</v>
      </c>
      <c r="M61" s="451">
        <f t="shared" si="38"/>
        <v>0</v>
      </c>
      <c r="N61" s="357">
        <f t="shared" si="39"/>
        <v>-7.1428571428571397E-2</v>
      </c>
      <c r="O61" s="357">
        <f t="shared" si="40"/>
        <v>-2.3076923076923106E-2</v>
      </c>
      <c r="P61" s="357">
        <f t="shared" si="41"/>
        <v>-2.3076923076923106E-2</v>
      </c>
      <c r="Q61" s="357">
        <f t="shared" si="42"/>
        <v>2.1126760563380254E-2</v>
      </c>
      <c r="R61" s="357">
        <f t="shared" si="43"/>
        <v>2.1126760563380254E-2</v>
      </c>
      <c r="S61" s="357">
        <f t="shared" si="44"/>
        <v>0</v>
      </c>
      <c r="T61" s="357">
        <f t="shared" si="45"/>
        <v>0</v>
      </c>
      <c r="U61" s="379">
        <f t="shared" si="46"/>
        <v>0</v>
      </c>
      <c r="W61" s="451">
        <f t="shared" si="47"/>
        <v>0</v>
      </c>
      <c r="X61" s="357">
        <f t="shared" si="19"/>
        <v>-7.4107972153721849E-2</v>
      </c>
      <c r="Y61" s="357">
        <f t="shared" si="20"/>
        <v>-2.3347363996991177E-2</v>
      </c>
      <c r="Z61" s="357">
        <f t="shared" si="21"/>
        <v>-2.3347363996991177E-2</v>
      </c>
      <c r="AA61" s="357">
        <f t="shared" si="22"/>
        <v>2.0906684819313643E-2</v>
      </c>
      <c r="AB61" s="357">
        <f t="shared" si="23"/>
        <v>2.0906684819313643E-2</v>
      </c>
      <c r="AC61" s="357">
        <f t="shared" si="24"/>
        <v>0</v>
      </c>
      <c r="AD61" s="357">
        <f t="shared" si="25"/>
        <v>0</v>
      </c>
      <c r="AE61" s="379">
        <f t="shared" si="26"/>
        <v>0</v>
      </c>
      <c r="AG61" s="451">
        <f t="shared" si="62"/>
        <v>-2.1472074677567957E-2</v>
      </c>
      <c r="AH61" s="357">
        <f t="shared" si="63"/>
        <v>-9.2538648345844646E-2</v>
      </c>
      <c r="AI61" s="357">
        <f t="shared" si="64"/>
        <v>-3.7342129366038382E-2</v>
      </c>
      <c r="AJ61" s="357">
        <f t="shared" si="65"/>
        <v>-3.3025511699761367E-2</v>
      </c>
      <c r="AK61" s="357">
        <f t="shared" si="66"/>
        <v>1.4670087277813486E-2</v>
      </c>
      <c r="AL61" s="357">
        <f t="shared" si="67"/>
        <v>2.0679679891330488E-2</v>
      </c>
      <c r="AM61" s="357">
        <f t="shared" si="33"/>
        <v>-1.7064673510089895E-4</v>
      </c>
      <c r="AN61" s="357">
        <f t="shared" si="34"/>
        <v>1.9070751392640699E-5</v>
      </c>
      <c r="AO61" s="379">
        <f t="shared" si="35"/>
        <v>5.4711961047645428E-5</v>
      </c>
      <c r="AQ61" s="241" t="s">
        <v>272</v>
      </c>
      <c r="AR61" s="242">
        <f t="shared" ref="AR61:AZ61" ca="1" si="71">_xlfn.STDEV.P(OFFSET(M7,AR18+1,0,(AR18+1)*-1,1))</f>
        <v>0.23157446203950771</v>
      </c>
      <c r="AS61" s="242">
        <f t="shared" ca="1" si="71"/>
        <v>0.22589981413508745</v>
      </c>
      <c r="AT61" s="242">
        <f t="shared" ca="1" si="71"/>
        <v>0.17989878905237291</v>
      </c>
      <c r="AU61" s="242">
        <f t="shared" ca="1" si="71"/>
        <v>0.15249945401672471</v>
      </c>
      <c r="AV61" s="242">
        <f t="shared" ca="1" si="71"/>
        <v>0.14072626471934505</v>
      </c>
      <c r="AW61" s="242">
        <f t="shared" ca="1" si="71"/>
        <v>3.8757098108887875E-2</v>
      </c>
      <c r="AX61" s="242">
        <f t="shared" ca="1" si="71"/>
        <v>2.26025712407819E-2</v>
      </c>
      <c r="AY61" s="242">
        <f t="shared" ca="1" si="71"/>
        <v>1.6838323778097752E-2</v>
      </c>
      <c r="AZ61" s="243">
        <f t="shared" ca="1" si="71"/>
        <v>1.4625088574266878E-2</v>
      </c>
    </row>
    <row r="62" spans="2:52" x14ac:dyDescent="0.25">
      <c r="B62" s="449">
        <v>42758</v>
      </c>
      <c r="C62" s="237">
        <v>125</v>
      </c>
      <c r="D62" s="237">
        <v>113</v>
      </c>
      <c r="E62" s="237">
        <v>120</v>
      </c>
      <c r="F62" s="237">
        <v>120</v>
      </c>
      <c r="G62" s="237">
        <v>143</v>
      </c>
      <c r="H62" s="237">
        <v>150</v>
      </c>
      <c r="I62" s="237">
        <v>150</v>
      </c>
      <c r="J62" s="237">
        <v>150</v>
      </c>
      <c r="K62" s="450">
        <v>150</v>
      </c>
      <c r="M62" s="451">
        <f t="shared" si="38"/>
        <v>0</v>
      </c>
      <c r="N62" s="357">
        <f t="shared" si="39"/>
        <v>-0.13076923076923075</v>
      </c>
      <c r="O62" s="357">
        <f t="shared" si="40"/>
        <v>-5.5118110236220486E-2</v>
      </c>
      <c r="P62" s="357">
        <f t="shared" si="41"/>
        <v>-5.5118110236220486E-2</v>
      </c>
      <c r="Q62" s="357">
        <f t="shared" si="42"/>
        <v>-1.379310344827589E-2</v>
      </c>
      <c r="R62" s="357">
        <f t="shared" si="43"/>
        <v>3.4482758620689724E-2</v>
      </c>
      <c r="S62" s="357">
        <f t="shared" si="44"/>
        <v>3.4482758620689724E-2</v>
      </c>
      <c r="T62" s="357">
        <f t="shared" si="45"/>
        <v>0</v>
      </c>
      <c r="U62" s="379">
        <f t="shared" si="46"/>
        <v>0</v>
      </c>
      <c r="W62" s="451">
        <f t="shared" si="47"/>
        <v>0</v>
      </c>
      <c r="X62" s="357">
        <f t="shared" si="19"/>
        <v>-0.14014663174324182</v>
      </c>
      <c r="Y62" s="357">
        <f t="shared" si="20"/>
        <v>-5.6695343676545294E-2</v>
      </c>
      <c r="Z62" s="357">
        <f t="shared" si="21"/>
        <v>-5.6695343676545294E-2</v>
      </c>
      <c r="AA62" s="357">
        <f t="shared" si="22"/>
        <v>-1.388911216066715E-2</v>
      </c>
      <c r="AB62" s="357">
        <f t="shared" si="23"/>
        <v>3.3901551675681416E-2</v>
      </c>
      <c r="AC62" s="357">
        <f t="shared" si="24"/>
        <v>3.3901551675681416E-2</v>
      </c>
      <c r="AD62" s="357">
        <f t="shared" si="25"/>
        <v>0</v>
      </c>
      <c r="AE62" s="379">
        <f t="shared" si="26"/>
        <v>0</v>
      </c>
      <c r="AG62" s="451">
        <f t="shared" si="62"/>
        <v>-2.1472074677567957E-2</v>
      </c>
      <c r="AH62" s="357">
        <f t="shared" si="63"/>
        <v>-0.15187930768650401</v>
      </c>
      <c r="AI62" s="357">
        <f t="shared" si="64"/>
        <v>-6.9383316525335761E-2</v>
      </c>
      <c r="AJ62" s="357">
        <f t="shared" si="65"/>
        <v>-6.5066698859058747E-2</v>
      </c>
      <c r="AK62" s="357">
        <f t="shared" si="66"/>
        <v>-2.0249776733842657E-2</v>
      </c>
      <c r="AL62" s="357">
        <f t="shared" si="67"/>
        <v>3.4035677948639959E-2</v>
      </c>
      <c r="AM62" s="357">
        <f t="shared" si="33"/>
        <v>3.4312111885588824E-2</v>
      </c>
      <c r="AN62" s="357">
        <f t="shared" si="34"/>
        <v>1.9070751392640699E-5</v>
      </c>
      <c r="AO62" s="379">
        <f t="shared" si="35"/>
        <v>5.4711961047645428E-5</v>
      </c>
      <c r="AR62" t="b">
        <f t="shared" ref="AR62:AZ62" ca="1" si="72">AR61=M3</f>
        <v>1</v>
      </c>
      <c r="AS62" t="b">
        <f t="shared" ca="1" si="72"/>
        <v>1</v>
      </c>
      <c r="AT62" t="b">
        <f t="shared" ca="1" si="72"/>
        <v>1</v>
      </c>
      <c r="AU62" t="b">
        <f t="shared" ca="1" si="72"/>
        <v>1</v>
      </c>
      <c r="AV62" t="b">
        <f t="shared" ca="1" si="72"/>
        <v>1</v>
      </c>
      <c r="AW62" t="b">
        <f t="shared" ca="1" si="72"/>
        <v>1</v>
      </c>
      <c r="AX62" t="b">
        <f t="shared" ca="1" si="72"/>
        <v>1</v>
      </c>
      <c r="AY62" t="b">
        <f t="shared" ca="1" si="72"/>
        <v>1</v>
      </c>
      <c r="AZ62" t="b">
        <f t="shared" ca="1" si="72"/>
        <v>1</v>
      </c>
    </row>
    <row r="63" spans="2:52" ht="15.75" thickBot="1" x14ac:dyDescent="0.3">
      <c r="B63" s="449">
        <v>42765</v>
      </c>
      <c r="C63" s="237">
        <v>115</v>
      </c>
      <c r="D63" s="237">
        <v>119</v>
      </c>
      <c r="E63" s="237">
        <v>121</v>
      </c>
      <c r="F63" s="237">
        <v>170</v>
      </c>
      <c r="G63" s="237">
        <v>143</v>
      </c>
      <c r="H63" s="237">
        <v>150</v>
      </c>
      <c r="I63" s="237">
        <v>150</v>
      </c>
      <c r="J63" s="237">
        <v>150</v>
      </c>
      <c r="K63" s="450">
        <v>150</v>
      </c>
      <c r="M63" s="451">
        <f t="shared" si="38"/>
        <v>-7.999999999999996E-2</v>
      </c>
      <c r="N63" s="357">
        <f t="shared" si="39"/>
        <v>5.3097345132743445E-2</v>
      </c>
      <c r="O63" s="357">
        <f t="shared" si="40"/>
        <v>8.3333333333333037E-3</v>
      </c>
      <c r="P63" s="357">
        <f t="shared" si="41"/>
        <v>0.41666666666666674</v>
      </c>
      <c r="Q63" s="357">
        <f t="shared" si="42"/>
        <v>0</v>
      </c>
      <c r="R63" s="357">
        <f t="shared" si="43"/>
        <v>0</v>
      </c>
      <c r="S63" s="357">
        <f t="shared" si="44"/>
        <v>0</v>
      </c>
      <c r="T63" s="357">
        <f t="shared" si="45"/>
        <v>0</v>
      </c>
      <c r="U63" s="379">
        <f t="shared" si="46"/>
        <v>0</v>
      </c>
      <c r="W63" s="451">
        <f t="shared" si="47"/>
        <v>-8.3381608939051013E-2</v>
      </c>
      <c r="X63" s="357">
        <f t="shared" si="19"/>
        <v>5.1735674399188893E-2</v>
      </c>
      <c r="Y63" s="357">
        <f t="shared" si="20"/>
        <v>8.2988028146950641E-3</v>
      </c>
      <c r="Z63" s="357">
        <f t="shared" si="21"/>
        <v>0.34830669426821581</v>
      </c>
      <c r="AA63" s="357">
        <f t="shared" si="22"/>
        <v>0</v>
      </c>
      <c r="AB63" s="357">
        <f t="shared" si="23"/>
        <v>0</v>
      </c>
      <c r="AC63" s="357">
        <f t="shared" si="24"/>
        <v>0</v>
      </c>
      <c r="AD63" s="357">
        <f t="shared" si="25"/>
        <v>0</v>
      </c>
      <c r="AE63" s="379">
        <f t="shared" si="26"/>
        <v>0</v>
      </c>
      <c r="AG63" s="451">
        <f t="shared" si="62"/>
        <v>-0.10147207467756791</v>
      </c>
      <c r="AH63" s="357">
        <f t="shared" si="63"/>
        <v>3.1987268215470196E-2</v>
      </c>
      <c r="AI63" s="357">
        <f t="shared" si="64"/>
        <v>-5.9318729557819704E-3</v>
      </c>
      <c r="AJ63" s="357">
        <f t="shared" si="65"/>
        <v>0.40671807804382848</v>
      </c>
      <c r="AK63" s="357">
        <f t="shared" si="66"/>
        <v>-6.4566732855667669E-3</v>
      </c>
      <c r="AL63" s="357">
        <f t="shared" si="67"/>
        <v>-4.4708067204976532E-4</v>
      </c>
      <c r="AM63" s="357">
        <f t="shared" si="33"/>
        <v>-1.7064673510089895E-4</v>
      </c>
      <c r="AN63" s="357">
        <f t="shared" si="34"/>
        <v>1.9070751392640699E-5</v>
      </c>
      <c r="AO63" s="379">
        <f t="shared" si="35"/>
        <v>5.4711961047645428E-5</v>
      </c>
    </row>
    <row r="64" spans="2:52" ht="15.75" thickBot="1" x14ac:dyDescent="0.3">
      <c r="B64" s="449">
        <v>42772</v>
      </c>
      <c r="C64" s="237">
        <v>115</v>
      </c>
      <c r="D64" s="237">
        <v>125</v>
      </c>
      <c r="E64" s="237">
        <v>125</v>
      </c>
      <c r="F64" s="237">
        <v>170</v>
      </c>
      <c r="G64" s="237">
        <v>150</v>
      </c>
      <c r="H64" s="237">
        <v>150</v>
      </c>
      <c r="I64" s="237">
        <v>150</v>
      </c>
      <c r="J64" s="237">
        <v>150</v>
      </c>
      <c r="K64" s="450">
        <v>150</v>
      </c>
      <c r="M64" s="451">
        <f t="shared" si="38"/>
        <v>0</v>
      </c>
      <c r="N64" s="357">
        <f t="shared" si="39"/>
        <v>5.0420168067226934E-2</v>
      </c>
      <c r="O64" s="357">
        <f t="shared" si="40"/>
        <v>3.3057851239669311E-2</v>
      </c>
      <c r="P64" s="357">
        <f t="shared" si="41"/>
        <v>0</v>
      </c>
      <c r="Q64" s="357">
        <f t="shared" si="42"/>
        <v>4.8951048951048959E-2</v>
      </c>
      <c r="R64" s="357">
        <f t="shared" si="43"/>
        <v>0</v>
      </c>
      <c r="S64" s="357">
        <f t="shared" si="44"/>
        <v>0</v>
      </c>
      <c r="T64" s="357">
        <f t="shared" si="45"/>
        <v>0</v>
      </c>
      <c r="U64" s="379">
        <f t="shared" si="46"/>
        <v>0</v>
      </c>
      <c r="W64" s="451">
        <f t="shared" si="47"/>
        <v>0</v>
      </c>
      <c r="X64" s="357">
        <f t="shared" si="19"/>
        <v>4.9190244190771781E-2</v>
      </c>
      <c r="Y64" s="357">
        <f t="shared" si="20"/>
        <v>3.252319170555993E-2</v>
      </c>
      <c r="Z64" s="357">
        <f t="shared" si="21"/>
        <v>0</v>
      </c>
      <c r="AA64" s="357">
        <f t="shared" si="22"/>
        <v>4.7790663836348481E-2</v>
      </c>
      <c r="AB64" s="357">
        <f t="shared" si="23"/>
        <v>0</v>
      </c>
      <c r="AC64" s="357">
        <f t="shared" si="24"/>
        <v>0</v>
      </c>
      <c r="AD64" s="357">
        <f t="shared" si="25"/>
        <v>0</v>
      </c>
      <c r="AE64" s="379">
        <f t="shared" si="26"/>
        <v>0</v>
      </c>
      <c r="AG64" s="451">
        <f t="shared" si="62"/>
        <v>-2.1472074677567957E-2</v>
      </c>
      <c r="AH64" s="357">
        <f t="shared" si="63"/>
        <v>2.9310091149953681E-2</v>
      </c>
      <c r="AI64" s="357">
        <f t="shared" si="64"/>
        <v>1.8792644950554035E-2</v>
      </c>
      <c r="AJ64" s="357">
        <f t="shared" si="65"/>
        <v>-9.9485886228382649E-3</v>
      </c>
      <c r="AK64" s="357">
        <f t="shared" si="66"/>
        <v>4.2494375665482191E-2</v>
      </c>
      <c r="AL64" s="357">
        <f t="shared" si="67"/>
        <v>-4.4708067204976532E-4</v>
      </c>
      <c r="AM64" s="357">
        <f t="shared" si="33"/>
        <v>-1.7064673510089895E-4</v>
      </c>
      <c r="AN64" s="357">
        <f t="shared" si="34"/>
        <v>1.9070751392640699E-5</v>
      </c>
      <c r="AO64" s="379">
        <f t="shared" si="35"/>
        <v>5.4711961047645428E-5</v>
      </c>
      <c r="AQ64" s="452" t="s">
        <v>294</v>
      </c>
      <c r="AR64" s="453"/>
      <c r="AS64" s="453"/>
      <c r="AT64" s="453"/>
      <c r="AU64" s="453"/>
      <c r="AV64" s="453"/>
      <c r="AW64" s="453"/>
      <c r="AX64" s="453"/>
      <c r="AY64" s="453"/>
      <c r="AZ64" s="454"/>
    </row>
    <row r="65" spans="2:52" x14ac:dyDescent="0.25">
      <c r="B65" s="449">
        <v>42779</v>
      </c>
      <c r="C65" s="237">
        <v>122</v>
      </c>
      <c r="D65" s="237">
        <v>150</v>
      </c>
      <c r="E65" s="237">
        <v>145</v>
      </c>
      <c r="F65" s="237">
        <v>190</v>
      </c>
      <c r="G65" s="237">
        <v>167</v>
      </c>
      <c r="H65" s="237">
        <v>155</v>
      </c>
      <c r="I65" s="237">
        <v>150</v>
      </c>
      <c r="J65" s="237">
        <v>150</v>
      </c>
      <c r="K65" s="450">
        <v>150</v>
      </c>
      <c r="M65" s="451">
        <f t="shared" si="38"/>
        <v>6.0869565217391397E-2</v>
      </c>
      <c r="N65" s="357">
        <f t="shared" si="39"/>
        <v>0.19999999999999996</v>
      </c>
      <c r="O65" s="357">
        <f t="shared" si="40"/>
        <v>0.15999999999999992</v>
      </c>
      <c r="P65" s="357">
        <f t="shared" si="41"/>
        <v>0.11764705882352944</v>
      </c>
      <c r="Q65" s="357">
        <f t="shared" si="42"/>
        <v>0.11333333333333329</v>
      </c>
      <c r="R65" s="357">
        <f t="shared" si="43"/>
        <v>3.3333333333333437E-2</v>
      </c>
      <c r="S65" s="357">
        <f t="shared" si="44"/>
        <v>0</v>
      </c>
      <c r="T65" s="357">
        <f t="shared" si="45"/>
        <v>0</v>
      </c>
      <c r="U65" s="379">
        <f t="shared" si="46"/>
        <v>0</v>
      </c>
      <c r="W65" s="451">
        <f t="shared" si="47"/>
        <v>5.9088916370006579E-2</v>
      </c>
      <c r="X65" s="357">
        <f t="shared" si="19"/>
        <v>0.18232155679395459</v>
      </c>
      <c r="Y65" s="357">
        <f t="shared" si="20"/>
        <v>0.14842000511827322</v>
      </c>
      <c r="Z65" s="357">
        <f t="shared" si="21"/>
        <v>0.1112256351102244</v>
      </c>
      <c r="AA65" s="357">
        <f t="shared" si="22"/>
        <v>0.10735851832049932</v>
      </c>
      <c r="AB65" s="357">
        <f t="shared" si="23"/>
        <v>3.278982282299097E-2</v>
      </c>
      <c r="AC65" s="357">
        <f t="shared" si="24"/>
        <v>0</v>
      </c>
      <c r="AD65" s="357">
        <f t="shared" si="25"/>
        <v>0</v>
      </c>
      <c r="AE65" s="379">
        <f t="shared" si="26"/>
        <v>0</v>
      </c>
      <c r="AG65" s="451">
        <f t="shared" si="62"/>
        <v>3.9397490539823443E-2</v>
      </c>
      <c r="AH65" s="357">
        <f t="shared" si="63"/>
        <v>0.17888992308272669</v>
      </c>
      <c r="AI65" s="357">
        <f t="shared" si="64"/>
        <v>0.14573479371088466</v>
      </c>
      <c r="AJ65" s="357">
        <f t="shared" si="65"/>
        <v>0.10769847020069118</v>
      </c>
      <c r="AK65" s="357">
        <f t="shared" si="66"/>
        <v>0.10687666004776653</v>
      </c>
      <c r="AL65" s="357">
        <f t="shared" si="67"/>
        <v>3.2886252661283671E-2</v>
      </c>
      <c r="AM65" s="357">
        <f t="shared" si="33"/>
        <v>-1.7064673510089895E-4</v>
      </c>
      <c r="AN65" s="357">
        <f t="shared" si="34"/>
        <v>1.9070751392640699E-5</v>
      </c>
      <c r="AO65" s="379">
        <f t="shared" si="35"/>
        <v>5.4711961047645428E-5</v>
      </c>
      <c r="AQ65" s="197"/>
      <c r="AR65" s="200" t="s">
        <v>25</v>
      </c>
      <c r="AS65" s="200" t="s">
        <v>26</v>
      </c>
      <c r="AT65" s="200" t="s">
        <v>27</v>
      </c>
      <c r="AU65" s="200" t="s">
        <v>28</v>
      </c>
      <c r="AV65" s="200" t="s">
        <v>29</v>
      </c>
      <c r="AW65" s="200" t="s">
        <v>30</v>
      </c>
      <c r="AX65" s="200" t="s">
        <v>31</v>
      </c>
      <c r="AY65" s="200" t="s">
        <v>32</v>
      </c>
      <c r="AZ65" s="201" t="s">
        <v>33</v>
      </c>
    </row>
    <row r="66" spans="2:52" x14ac:dyDescent="0.25">
      <c r="B66" s="449">
        <v>42786</v>
      </c>
      <c r="C66" s="237">
        <v>123</v>
      </c>
      <c r="D66" s="237">
        <v>163</v>
      </c>
      <c r="E66" s="237">
        <v>160</v>
      </c>
      <c r="F66" s="237">
        <v>205</v>
      </c>
      <c r="G66" s="237">
        <v>190</v>
      </c>
      <c r="H66" s="237">
        <v>160</v>
      </c>
      <c r="I66" s="237">
        <v>150</v>
      </c>
      <c r="J66" s="237">
        <v>150</v>
      </c>
      <c r="K66" s="450">
        <v>150</v>
      </c>
      <c r="M66" s="451">
        <f t="shared" si="38"/>
        <v>8.1967213114753079E-3</v>
      </c>
      <c r="N66" s="357">
        <f t="shared" si="39"/>
        <v>8.666666666666667E-2</v>
      </c>
      <c r="O66" s="357">
        <f t="shared" si="40"/>
        <v>0.10344827586206895</v>
      </c>
      <c r="P66" s="357">
        <f t="shared" si="41"/>
        <v>7.8947368421052655E-2</v>
      </c>
      <c r="Q66" s="357">
        <f t="shared" si="42"/>
        <v>0.13772455089820368</v>
      </c>
      <c r="R66" s="357">
        <f t="shared" si="43"/>
        <v>3.2258064516129004E-2</v>
      </c>
      <c r="S66" s="357">
        <f t="shared" si="44"/>
        <v>0</v>
      </c>
      <c r="T66" s="357">
        <f t="shared" si="45"/>
        <v>0</v>
      </c>
      <c r="U66" s="379">
        <f t="shared" si="46"/>
        <v>0</v>
      </c>
      <c r="W66" s="451">
        <f t="shared" si="47"/>
        <v>8.1633106391608354E-3</v>
      </c>
      <c r="X66" s="357">
        <f t="shared" si="19"/>
        <v>8.3114906710506586E-2</v>
      </c>
      <c r="Y66" s="357">
        <f t="shared" si="20"/>
        <v>9.844007281325251E-2</v>
      </c>
      <c r="Z66" s="357">
        <f t="shared" si="21"/>
        <v>7.5985906977922055E-2</v>
      </c>
      <c r="AA66" s="357">
        <f t="shared" si="22"/>
        <v>0.12903025974373111</v>
      </c>
      <c r="AB66" s="357">
        <f t="shared" si="23"/>
        <v>3.174869831458027E-2</v>
      </c>
      <c r="AC66" s="357">
        <f t="shared" si="24"/>
        <v>0</v>
      </c>
      <c r="AD66" s="357">
        <f t="shared" si="25"/>
        <v>0</v>
      </c>
      <c r="AE66" s="379">
        <f t="shared" si="26"/>
        <v>0</v>
      </c>
      <c r="AG66" s="451">
        <f t="shared" si="62"/>
        <v>-1.3275353366092649E-2</v>
      </c>
      <c r="AH66" s="357">
        <f t="shared" si="63"/>
        <v>6.5556589749393421E-2</v>
      </c>
      <c r="AI66" s="357">
        <f t="shared" si="64"/>
        <v>8.9183069572953674E-2</v>
      </c>
      <c r="AJ66" s="357">
        <f t="shared" si="65"/>
        <v>6.8998779798214394E-2</v>
      </c>
      <c r="AK66" s="357">
        <f t="shared" si="66"/>
        <v>0.13126787761263692</v>
      </c>
      <c r="AL66" s="357">
        <f t="shared" si="67"/>
        <v>3.1810983844079238E-2</v>
      </c>
      <c r="AM66" s="357">
        <f t="shared" si="33"/>
        <v>-1.7064673510089895E-4</v>
      </c>
      <c r="AN66" s="357">
        <f t="shared" si="34"/>
        <v>1.9070751392640699E-5</v>
      </c>
      <c r="AO66" s="379">
        <f t="shared" si="35"/>
        <v>5.4711961047645428E-5</v>
      </c>
      <c r="AQ66" s="238" t="s">
        <v>273</v>
      </c>
      <c r="AR66" s="239">
        <f ca="1">AR58*SQRT(21/5)</f>
        <v>1.4809785084212806E-2</v>
      </c>
      <c r="AS66" s="239">
        <f t="shared" ref="AS66:AW66" ca="1" si="73">AS58*SQRT(21/5)</f>
        <v>9.1114589310498206E-2</v>
      </c>
      <c r="AT66" s="239">
        <f t="shared" ca="1" si="73"/>
        <v>7.2240423427607933E-2</v>
      </c>
      <c r="AU66" s="239">
        <f t="shared" ca="1" si="73"/>
        <v>8.7856573998549833E-2</v>
      </c>
      <c r="AV66" s="239">
        <f t="shared" ca="1" si="73"/>
        <v>7.7726405723622979E-2</v>
      </c>
      <c r="AW66" s="239">
        <f t="shared" ca="1" si="73"/>
        <v>4.6521478039679223E-2</v>
      </c>
      <c r="AX66" s="239">
        <f t="shared" ref="AX66:AZ66" ca="1" si="74">AX58*SQRT(21/5)</f>
        <v>4.5090868156644835E-2</v>
      </c>
      <c r="AY66" s="239">
        <f t="shared" ca="1" si="74"/>
        <v>3.8841389812318869E-2</v>
      </c>
      <c r="AZ66" s="240">
        <f t="shared" ca="1" si="74"/>
        <v>3.779037577545457E-2</v>
      </c>
    </row>
    <row r="67" spans="2:52" x14ac:dyDescent="0.25">
      <c r="B67" s="449">
        <v>42793</v>
      </c>
      <c r="C67" s="237">
        <v>183</v>
      </c>
      <c r="D67" s="237">
        <v>183</v>
      </c>
      <c r="E67" s="237">
        <v>195</v>
      </c>
      <c r="F67" s="237">
        <v>195</v>
      </c>
      <c r="G67" s="237">
        <v>193</v>
      </c>
      <c r="H67" s="237">
        <v>160</v>
      </c>
      <c r="I67" s="237">
        <v>150</v>
      </c>
      <c r="J67" s="237">
        <v>150</v>
      </c>
      <c r="K67" s="450">
        <v>150</v>
      </c>
      <c r="M67" s="451">
        <f t="shared" si="38"/>
        <v>0.48780487804878048</v>
      </c>
      <c r="N67" s="357">
        <f t="shared" si="39"/>
        <v>0.12269938650306744</v>
      </c>
      <c r="O67" s="357">
        <f t="shared" si="40"/>
        <v>0.21875</v>
      </c>
      <c r="P67" s="357">
        <f t="shared" si="41"/>
        <v>-4.8780487804878092E-2</v>
      </c>
      <c r="Q67" s="357">
        <f t="shared" si="42"/>
        <v>1.5789473684210575E-2</v>
      </c>
      <c r="R67" s="357">
        <f t="shared" si="43"/>
        <v>0</v>
      </c>
      <c r="S67" s="357">
        <f t="shared" si="44"/>
        <v>0</v>
      </c>
      <c r="T67" s="357">
        <f t="shared" si="45"/>
        <v>0</v>
      </c>
      <c r="U67" s="379">
        <f t="shared" si="46"/>
        <v>0</v>
      </c>
      <c r="W67" s="451">
        <f t="shared" si="47"/>
        <v>0.39730179746900346</v>
      </c>
      <c r="X67" s="357">
        <f t="shared" si="19"/>
        <v>0.11573595203465857</v>
      </c>
      <c r="Y67" s="357">
        <f t="shared" si="20"/>
        <v>0.19782574332991987</v>
      </c>
      <c r="Z67" s="357">
        <f t="shared" si="21"/>
        <v>-5.0010420574661422E-2</v>
      </c>
      <c r="AA67" s="357">
        <f t="shared" si="22"/>
        <v>1.5666116744399456E-2</v>
      </c>
      <c r="AB67" s="357">
        <f t="shared" si="23"/>
        <v>0</v>
      </c>
      <c r="AC67" s="357">
        <f t="shared" si="24"/>
        <v>0</v>
      </c>
      <c r="AD67" s="357">
        <f t="shared" si="25"/>
        <v>0</v>
      </c>
      <c r="AE67" s="379">
        <f t="shared" si="26"/>
        <v>0</v>
      </c>
      <c r="AG67" s="451">
        <f t="shared" si="62"/>
        <v>0.46633280337121252</v>
      </c>
      <c r="AH67" s="357">
        <f t="shared" si="63"/>
        <v>0.10158930958579419</v>
      </c>
      <c r="AI67" s="357">
        <f t="shared" si="64"/>
        <v>0.20448479371088474</v>
      </c>
      <c r="AJ67" s="357">
        <f t="shared" si="65"/>
        <v>-5.8729076427716354E-2</v>
      </c>
      <c r="AK67" s="357">
        <f t="shared" si="66"/>
        <v>9.3328003986438077E-3</v>
      </c>
      <c r="AL67" s="357">
        <f t="shared" si="67"/>
        <v>-4.4708067204976532E-4</v>
      </c>
      <c r="AM67" s="357">
        <f t="shared" si="33"/>
        <v>-1.7064673510089895E-4</v>
      </c>
      <c r="AN67" s="357">
        <f t="shared" si="34"/>
        <v>1.9070751392640699E-5</v>
      </c>
      <c r="AO67" s="379">
        <f t="shared" si="35"/>
        <v>5.4711961047645428E-5</v>
      </c>
      <c r="AQ67" s="238" t="s">
        <v>274</v>
      </c>
      <c r="AR67" s="239">
        <f t="shared" ref="AR67:AW67" ca="1" si="75">AR59*SQRT(21/5)</f>
        <v>0.24951948140674185</v>
      </c>
      <c r="AS67" s="239">
        <f t="shared" ca="1" si="75"/>
        <v>0.17346240725775633</v>
      </c>
      <c r="AT67" s="239">
        <f t="shared" ca="1" si="75"/>
        <v>0.14505067535455396</v>
      </c>
      <c r="AU67" s="239">
        <f t="shared" ca="1" si="75"/>
        <v>0.14362408270962032</v>
      </c>
      <c r="AV67" s="239">
        <f t="shared" ca="1" si="75"/>
        <v>0.32868296073440356</v>
      </c>
      <c r="AW67" s="239">
        <f t="shared" ca="1" si="75"/>
        <v>5.3606905558204417E-2</v>
      </c>
      <c r="AX67" s="239">
        <f t="shared" ref="AX67:AZ67" ca="1" si="76">AX59*SQRT(21/5)</f>
        <v>3.8261066743525453E-2</v>
      </c>
      <c r="AY67" s="239">
        <f t="shared" ca="1" si="76"/>
        <v>3.8321438916081356E-2</v>
      </c>
      <c r="AZ67" s="240">
        <f t="shared" ca="1" si="76"/>
        <v>2.9630075145144961E-2</v>
      </c>
    </row>
    <row r="68" spans="2:52" x14ac:dyDescent="0.25">
      <c r="B68" s="449">
        <v>42800</v>
      </c>
      <c r="C68" s="237">
        <v>185</v>
      </c>
      <c r="D68" s="237">
        <v>185</v>
      </c>
      <c r="E68" s="237">
        <v>215</v>
      </c>
      <c r="F68" s="237">
        <v>215</v>
      </c>
      <c r="G68" s="237">
        <v>200</v>
      </c>
      <c r="H68" s="237">
        <v>165</v>
      </c>
      <c r="I68" s="237">
        <v>150</v>
      </c>
      <c r="J68" s="237">
        <v>150</v>
      </c>
      <c r="K68" s="450">
        <v>150</v>
      </c>
      <c r="M68" s="451">
        <f t="shared" si="38"/>
        <v>1.0928961748633892E-2</v>
      </c>
      <c r="N68" s="357">
        <f t="shared" si="39"/>
        <v>1.0928961748633892E-2</v>
      </c>
      <c r="O68" s="357">
        <f t="shared" si="40"/>
        <v>0.10256410256410264</v>
      </c>
      <c r="P68" s="357">
        <f t="shared" si="41"/>
        <v>0.10256410256410264</v>
      </c>
      <c r="Q68" s="357">
        <f t="shared" si="42"/>
        <v>3.6269430051813378E-2</v>
      </c>
      <c r="R68" s="357">
        <f t="shared" si="43"/>
        <v>3.125E-2</v>
      </c>
      <c r="S68" s="357">
        <f t="shared" si="44"/>
        <v>0</v>
      </c>
      <c r="T68" s="357">
        <f t="shared" si="45"/>
        <v>0</v>
      </c>
      <c r="U68" s="379">
        <f t="shared" si="46"/>
        <v>0</v>
      </c>
      <c r="W68" s="451">
        <f t="shared" si="47"/>
        <v>1.0869672236903891E-2</v>
      </c>
      <c r="X68" s="357">
        <f t="shared" si="19"/>
        <v>1.0869672236903891E-2</v>
      </c>
      <c r="Y68" s="357">
        <f t="shared" si="20"/>
        <v>9.7638469563916072E-2</v>
      </c>
      <c r="Z68" s="357">
        <f t="shared" si="21"/>
        <v>9.7638469563916072E-2</v>
      </c>
      <c r="AA68" s="357">
        <f t="shared" si="22"/>
        <v>3.5627177643151035E-2</v>
      </c>
      <c r="AB68" s="357">
        <f t="shared" si="23"/>
        <v>3.0771658666753687E-2</v>
      </c>
      <c r="AC68" s="357">
        <f t="shared" si="24"/>
        <v>0</v>
      </c>
      <c r="AD68" s="357">
        <f t="shared" si="25"/>
        <v>0</v>
      </c>
      <c r="AE68" s="379">
        <f t="shared" si="26"/>
        <v>0</v>
      </c>
      <c r="AG68" s="451">
        <f t="shared" si="62"/>
        <v>-1.0543112928934065E-2</v>
      </c>
      <c r="AH68" s="357">
        <f t="shared" si="63"/>
        <v>-1.018111516863936E-2</v>
      </c>
      <c r="AI68" s="357">
        <f t="shared" si="64"/>
        <v>8.8298896274987368E-2</v>
      </c>
      <c r="AJ68" s="357">
        <f t="shared" si="65"/>
        <v>9.2615513941264382E-2</v>
      </c>
      <c r="AK68" s="357">
        <f t="shared" si="66"/>
        <v>2.9812756766246611E-2</v>
      </c>
      <c r="AL68" s="357">
        <f t="shared" si="67"/>
        <v>3.0802919327950234E-2</v>
      </c>
      <c r="AM68" s="357">
        <f t="shared" si="33"/>
        <v>-1.7064673510089895E-4</v>
      </c>
      <c r="AN68" s="357">
        <f t="shared" si="34"/>
        <v>1.9070751392640699E-5</v>
      </c>
      <c r="AO68" s="379">
        <f t="shared" si="35"/>
        <v>5.4711961047645428E-5</v>
      </c>
      <c r="AQ68" s="238" t="s">
        <v>275</v>
      </c>
      <c r="AR68" s="239">
        <f t="shared" ref="AR68:AW68" ca="1" si="77">AR60*SQRT(21/5)</f>
        <v>0.18693975065947954</v>
      </c>
      <c r="AS68" s="239">
        <f t="shared" ca="1" si="77"/>
        <v>0.26369662214556872</v>
      </c>
      <c r="AT68" s="239">
        <f t="shared" ca="1" si="77"/>
        <v>0.27271625487276507</v>
      </c>
      <c r="AU68" s="239">
        <f t="shared" ca="1" si="77"/>
        <v>0.26806524297433831</v>
      </c>
      <c r="AV68" s="239">
        <f t="shared" ca="1" si="77"/>
        <v>0.25411324907561472</v>
      </c>
      <c r="AW68" s="239">
        <f t="shared" ca="1" si="77"/>
        <v>7.0037933943816175E-2</v>
      </c>
      <c r="AX68" s="239">
        <f t="shared" ref="AX68:AZ68" ca="1" si="78">AX60*SQRT(21/5)</f>
        <v>3.5234045548717244E-2</v>
      </c>
      <c r="AY68" s="239">
        <f t="shared" ca="1" si="78"/>
        <v>2.8088872750197148E-2</v>
      </c>
      <c r="AZ68" s="240">
        <f t="shared" ca="1" si="78"/>
        <v>2.2510385604145023E-2</v>
      </c>
    </row>
    <row r="69" spans="2:52" ht="15.75" thickBot="1" x14ac:dyDescent="0.3">
      <c r="B69" s="449">
        <v>42807</v>
      </c>
      <c r="C69" s="237">
        <v>210</v>
      </c>
      <c r="D69" s="237">
        <v>205</v>
      </c>
      <c r="E69" s="237">
        <v>240</v>
      </c>
      <c r="F69" s="237">
        <v>240</v>
      </c>
      <c r="G69" s="237">
        <v>212</v>
      </c>
      <c r="H69" s="237">
        <v>175</v>
      </c>
      <c r="I69" s="237">
        <v>155</v>
      </c>
      <c r="J69" s="237">
        <v>150</v>
      </c>
      <c r="K69" s="450">
        <v>150</v>
      </c>
      <c r="M69" s="451">
        <f t="shared" si="38"/>
        <v>0.13513513513513509</v>
      </c>
      <c r="N69" s="357">
        <f t="shared" si="39"/>
        <v>0.10810810810810811</v>
      </c>
      <c r="O69" s="357">
        <f t="shared" si="40"/>
        <v>0.11627906976744184</v>
      </c>
      <c r="P69" s="357">
        <f t="shared" si="41"/>
        <v>0.11627906976744184</v>
      </c>
      <c r="Q69" s="357">
        <f t="shared" si="42"/>
        <v>6.0000000000000053E-2</v>
      </c>
      <c r="R69" s="357">
        <f t="shared" si="43"/>
        <v>6.0606060606060552E-2</v>
      </c>
      <c r="S69" s="357">
        <f t="shared" si="44"/>
        <v>3.3333333333333437E-2</v>
      </c>
      <c r="T69" s="357">
        <f t="shared" si="45"/>
        <v>0</v>
      </c>
      <c r="U69" s="379">
        <f t="shared" si="46"/>
        <v>0</v>
      </c>
      <c r="W69" s="451">
        <f t="shared" si="47"/>
        <v>0.12675170563914381</v>
      </c>
      <c r="X69" s="357">
        <f t="shared" si="19"/>
        <v>0.10265415406008337</v>
      </c>
      <c r="Y69" s="357">
        <f t="shared" si="20"/>
        <v>0.11000089521432849</v>
      </c>
      <c r="Z69" s="357">
        <f t="shared" si="21"/>
        <v>0.11000089521432849</v>
      </c>
      <c r="AA69" s="357">
        <f t="shared" si="22"/>
        <v>5.8268908123975824E-2</v>
      </c>
      <c r="AB69" s="357">
        <f t="shared" si="23"/>
        <v>5.8840500022933395E-2</v>
      </c>
      <c r="AC69" s="357">
        <f t="shared" si="24"/>
        <v>3.278982282299097E-2</v>
      </c>
      <c r="AD69" s="357">
        <f t="shared" si="25"/>
        <v>0</v>
      </c>
      <c r="AE69" s="379">
        <f t="shared" si="26"/>
        <v>0</v>
      </c>
      <c r="AG69" s="451">
        <f t="shared" si="62"/>
        <v>0.11366306045756713</v>
      </c>
      <c r="AH69" s="357">
        <f t="shared" si="63"/>
        <v>8.6998031190834865E-2</v>
      </c>
      <c r="AI69" s="357">
        <f t="shared" si="64"/>
        <v>0.10201386347832657</v>
      </c>
      <c r="AJ69" s="357">
        <f t="shared" si="65"/>
        <v>0.10633048114460358</v>
      </c>
      <c r="AK69" s="357">
        <f t="shared" si="66"/>
        <v>5.3543326714433286E-2</v>
      </c>
      <c r="AL69" s="357">
        <f t="shared" si="67"/>
        <v>6.0158979934010787E-2</v>
      </c>
      <c r="AM69" s="357">
        <f t="shared" si="33"/>
        <v>3.3162686598232537E-2</v>
      </c>
      <c r="AN69" s="357">
        <f t="shared" si="34"/>
        <v>1.9070751392640699E-5</v>
      </c>
      <c r="AO69" s="379">
        <f t="shared" si="35"/>
        <v>5.4711961047645428E-5</v>
      </c>
      <c r="AQ69" s="241" t="s">
        <v>272</v>
      </c>
      <c r="AR69" s="242">
        <f t="shared" ref="AR69:AW69" ca="1" si="79">AR61*SQRT(21/5)</f>
        <v>0.47458642223448316</v>
      </c>
      <c r="AS69" s="242">
        <f t="shared" ca="1" si="79"/>
        <v>0.46295685469633308</v>
      </c>
      <c r="AT69" s="242">
        <f t="shared" ca="1" si="79"/>
        <v>0.36868280685508342</v>
      </c>
      <c r="AU69" s="242">
        <f t="shared" ca="1" si="79"/>
        <v>0.31253087942901958</v>
      </c>
      <c r="AV69" s="242">
        <f t="shared" ca="1" si="79"/>
        <v>0.28840302121130523</v>
      </c>
      <c r="AW69" s="242">
        <f t="shared" ca="1" si="79"/>
        <v>7.9428415230647989E-2</v>
      </c>
      <c r="AX69" s="242">
        <f t="shared" ref="AX69:AZ69" ca="1" si="80">AX61*SQRT(21/5)</f>
        <v>4.6321486937677299E-2</v>
      </c>
      <c r="AY69" s="242">
        <f t="shared" ca="1" si="80"/>
        <v>3.4508294947090901E-2</v>
      </c>
      <c r="AZ69" s="243">
        <f t="shared" ca="1" si="80"/>
        <v>2.9972512513662196E-2</v>
      </c>
    </row>
    <row r="70" spans="2:52" x14ac:dyDescent="0.25">
      <c r="B70" s="449">
        <v>42814</v>
      </c>
      <c r="C70" s="237">
        <v>210</v>
      </c>
      <c r="D70" s="237">
        <v>240</v>
      </c>
      <c r="E70" s="237">
        <v>275</v>
      </c>
      <c r="F70" s="237">
        <v>270</v>
      </c>
      <c r="G70" s="237">
        <v>230</v>
      </c>
      <c r="H70" s="237">
        <v>180</v>
      </c>
      <c r="I70" s="237">
        <v>160</v>
      </c>
      <c r="J70" s="237">
        <v>155</v>
      </c>
      <c r="K70" s="450">
        <v>150</v>
      </c>
      <c r="M70" s="451">
        <f t="shared" si="38"/>
        <v>0</v>
      </c>
      <c r="N70" s="357">
        <f t="shared" si="39"/>
        <v>0.1707317073170731</v>
      </c>
      <c r="O70" s="357">
        <f t="shared" si="40"/>
        <v>0.14583333333333326</v>
      </c>
      <c r="P70" s="357">
        <f t="shared" si="41"/>
        <v>0.125</v>
      </c>
      <c r="Q70" s="357">
        <f t="shared" si="42"/>
        <v>8.4905660377358583E-2</v>
      </c>
      <c r="R70" s="357">
        <f t="shared" si="43"/>
        <v>2.857142857142847E-2</v>
      </c>
      <c r="S70" s="357">
        <f t="shared" si="44"/>
        <v>3.2258064516129004E-2</v>
      </c>
      <c r="T70" s="357">
        <f t="shared" si="45"/>
        <v>3.3333333333333437E-2</v>
      </c>
      <c r="U70" s="379">
        <f t="shared" si="46"/>
        <v>0</v>
      </c>
      <c r="W70" s="451">
        <f t="shared" si="47"/>
        <v>0</v>
      </c>
      <c r="X70" s="357">
        <f t="shared" si="19"/>
        <v>0.15762894420358306</v>
      </c>
      <c r="Y70" s="357">
        <f t="shared" si="20"/>
        <v>0.13613217432457991</v>
      </c>
      <c r="Z70" s="357">
        <f t="shared" si="21"/>
        <v>0.11778303565638346</v>
      </c>
      <c r="AA70" s="357">
        <f t="shared" si="22"/>
        <v>8.1493034251183011E-2</v>
      </c>
      <c r="AB70" s="357">
        <f t="shared" si="23"/>
        <v>2.8170876966696224E-2</v>
      </c>
      <c r="AC70" s="357">
        <f t="shared" si="24"/>
        <v>3.174869831458027E-2</v>
      </c>
      <c r="AD70" s="357">
        <f t="shared" si="25"/>
        <v>3.278982282299097E-2</v>
      </c>
      <c r="AE70" s="379">
        <f t="shared" si="26"/>
        <v>0</v>
      </c>
      <c r="AG70" s="451">
        <f t="shared" si="62"/>
        <v>-2.1472074677567957E-2</v>
      </c>
      <c r="AH70" s="357">
        <f t="shared" si="63"/>
        <v>0.14962163039979984</v>
      </c>
      <c r="AI70" s="357">
        <f t="shared" si="64"/>
        <v>0.131568127044218</v>
      </c>
      <c r="AJ70" s="357">
        <f t="shared" si="65"/>
        <v>0.11505141137716174</v>
      </c>
      <c r="AK70" s="357">
        <f t="shared" si="66"/>
        <v>7.8448987091791822E-2</v>
      </c>
      <c r="AL70" s="357">
        <f t="shared" si="67"/>
        <v>2.8124347899378704E-2</v>
      </c>
      <c r="AM70" s="357">
        <f t="shared" si="33"/>
        <v>3.2087417781028103E-2</v>
      </c>
      <c r="AN70" s="357">
        <f t="shared" si="34"/>
        <v>3.3352404084726076E-2</v>
      </c>
      <c r="AO70" s="379">
        <f t="shared" si="35"/>
        <v>5.4711961047645428E-5</v>
      </c>
    </row>
    <row r="71" spans="2:52" x14ac:dyDescent="0.25">
      <c r="B71" s="449">
        <v>42822</v>
      </c>
      <c r="C71" s="237">
        <v>210</v>
      </c>
      <c r="D71" s="237">
        <v>282</v>
      </c>
      <c r="E71" s="237">
        <v>305</v>
      </c>
      <c r="F71" s="237">
        <v>310</v>
      </c>
      <c r="G71" s="237">
        <v>256.33333333333331</v>
      </c>
      <c r="H71" s="237">
        <v>185</v>
      </c>
      <c r="I71" s="237">
        <v>160</v>
      </c>
      <c r="J71" s="237">
        <v>155</v>
      </c>
      <c r="K71" s="450">
        <v>150</v>
      </c>
      <c r="M71" s="451">
        <f t="shared" si="38"/>
        <v>0</v>
      </c>
      <c r="N71" s="357">
        <f t="shared" si="39"/>
        <v>0.17500000000000004</v>
      </c>
      <c r="O71" s="357">
        <f t="shared" si="40"/>
        <v>0.10909090909090913</v>
      </c>
      <c r="P71" s="357">
        <f t="shared" si="41"/>
        <v>0.14814814814814814</v>
      </c>
      <c r="Q71" s="357">
        <f t="shared" si="42"/>
        <v>0.11449275362318834</v>
      </c>
      <c r="R71" s="357">
        <f t="shared" si="43"/>
        <v>2.7777777777777679E-2</v>
      </c>
      <c r="S71" s="357">
        <f t="shared" si="44"/>
        <v>0</v>
      </c>
      <c r="T71" s="357">
        <f t="shared" si="45"/>
        <v>0</v>
      </c>
      <c r="U71" s="379">
        <f t="shared" si="46"/>
        <v>0</v>
      </c>
      <c r="W71" s="451">
        <f t="shared" si="47"/>
        <v>0</v>
      </c>
      <c r="X71" s="357">
        <f t="shared" si="19"/>
        <v>0.16126814759612232</v>
      </c>
      <c r="Y71" s="357">
        <f t="shared" si="20"/>
        <v>0.10354067894084036</v>
      </c>
      <c r="Z71" s="357">
        <f t="shared" si="21"/>
        <v>0.13815033848081718</v>
      </c>
      <c r="AA71" s="357">
        <f t="shared" si="22"/>
        <v>0.10839937191433885</v>
      </c>
      <c r="AB71" s="357">
        <f t="shared" si="23"/>
        <v>2.7398974188114347E-2</v>
      </c>
      <c r="AC71" s="357">
        <f t="shared" si="24"/>
        <v>0</v>
      </c>
      <c r="AD71" s="357">
        <f t="shared" si="25"/>
        <v>0</v>
      </c>
      <c r="AE71" s="379">
        <f t="shared" si="26"/>
        <v>0</v>
      </c>
      <c r="AG71" s="451">
        <f t="shared" si="62"/>
        <v>-2.1472074677567957E-2</v>
      </c>
      <c r="AH71" s="357">
        <f t="shared" si="63"/>
        <v>0.15388992308272678</v>
      </c>
      <c r="AI71" s="357">
        <f t="shared" si="64"/>
        <v>9.4825702801793851E-2</v>
      </c>
      <c r="AJ71" s="357">
        <f t="shared" si="65"/>
        <v>0.13819955952530988</v>
      </c>
      <c r="AK71" s="357">
        <f t="shared" si="66"/>
        <v>0.10803608033762158</v>
      </c>
      <c r="AL71" s="357">
        <f t="shared" si="67"/>
        <v>2.7330697105727914E-2</v>
      </c>
      <c r="AM71" s="357">
        <f t="shared" si="33"/>
        <v>-1.7064673510089895E-4</v>
      </c>
      <c r="AN71" s="357">
        <f t="shared" si="34"/>
        <v>1.9070751392640699E-5</v>
      </c>
      <c r="AO71" s="379">
        <f t="shared" si="35"/>
        <v>5.4711961047645428E-5</v>
      </c>
    </row>
    <row r="72" spans="2:52" x14ac:dyDescent="0.25">
      <c r="B72" s="449">
        <v>42829</v>
      </c>
      <c r="C72" s="237">
        <v>380</v>
      </c>
      <c r="D72" s="237">
        <v>410</v>
      </c>
      <c r="E72" s="237">
        <v>400</v>
      </c>
      <c r="F72" s="237">
        <v>345</v>
      </c>
      <c r="G72" s="237">
        <v>300</v>
      </c>
      <c r="H72" s="237">
        <v>200</v>
      </c>
      <c r="I72" s="237">
        <v>160</v>
      </c>
      <c r="J72" s="237">
        <v>155</v>
      </c>
      <c r="K72" s="450">
        <v>150</v>
      </c>
      <c r="M72" s="451">
        <f t="shared" si="38"/>
        <v>0.80952380952380953</v>
      </c>
      <c r="N72" s="357">
        <f t="shared" si="39"/>
        <v>0.45390070921985815</v>
      </c>
      <c r="O72" s="357">
        <f t="shared" si="40"/>
        <v>0.31147540983606548</v>
      </c>
      <c r="P72" s="357">
        <f t="shared" si="41"/>
        <v>0.11290322580645151</v>
      </c>
      <c r="Q72" s="357">
        <f t="shared" si="42"/>
        <v>0.17035110533159958</v>
      </c>
      <c r="R72" s="357">
        <f t="shared" si="43"/>
        <v>8.1081081081081141E-2</v>
      </c>
      <c r="S72" s="357">
        <f t="shared" si="44"/>
        <v>0</v>
      </c>
      <c r="T72" s="357">
        <f t="shared" si="45"/>
        <v>0</v>
      </c>
      <c r="U72" s="379">
        <f t="shared" si="46"/>
        <v>0</v>
      </c>
      <c r="W72" s="451">
        <f t="shared" si="47"/>
        <v>0.59306372200296276</v>
      </c>
      <c r="X72" s="357">
        <f t="shared" si="19"/>
        <v>0.37425008876023991</v>
      </c>
      <c r="Y72" s="357">
        <f t="shared" si="20"/>
        <v>0.27115277050057029</v>
      </c>
      <c r="Z72" s="357">
        <f t="shared" si="21"/>
        <v>0.10697211955216773</v>
      </c>
      <c r="AA72" s="357">
        <f t="shared" si="22"/>
        <v>0.15730379381866685</v>
      </c>
      <c r="AB72" s="357">
        <f t="shared" si="23"/>
        <v>7.7961541469711917E-2</v>
      </c>
      <c r="AC72" s="357">
        <f t="shared" si="24"/>
        <v>0</v>
      </c>
      <c r="AD72" s="357">
        <f t="shared" si="25"/>
        <v>0</v>
      </c>
      <c r="AE72" s="379">
        <f t="shared" si="26"/>
        <v>0</v>
      </c>
      <c r="AG72" s="451">
        <f t="shared" si="62"/>
        <v>0.78805173484624158</v>
      </c>
      <c r="AH72" s="357">
        <f t="shared" si="63"/>
        <v>0.43279063230258491</v>
      </c>
      <c r="AI72" s="357">
        <f t="shared" si="64"/>
        <v>0.29721020354695021</v>
      </c>
      <c r="AJ72" s="357">
        <f t="shared" si="65"/>
        <v>0.10295463718361325</v>
      </c>
      <c r="AK72" s="357">
        <f t="shared" si="66"/>
        <v>0.16389443204603282</v>
      </c>
      <c r="AL72" s="357">
        <f t="shared" si="67"/>
        <v>8.0634000409031376E-2</v>
      </c>
      <c r="AM72" s="357">
        <f t="shared" si="33"/>
        <v>-1.7064673510089895E-4</v>
      </c>
      <c r="AN72" s="357">
        <f t="shared" si="34"/>
        <v>1.9070751392640699E-5</v>
      </c>
      <c r="AO72" s="379">
        <f t="shared" si="35"/>
        <v>5.4711961047645428E-5</v>
      </c>
    </row>
    <row r="73" spans="2:52" x14ac:dyDescent="0.25">
      <c r="B73" s="449">
        <v>42836</v>
      </c>
      <c r="C73" s="237">
        <v>350</v>
      </c>
      <c r="D73" s="237">
        <v>390</v>
      </c>
      <c r="E73" s="237">
        <v>370</v>
      </c>
      <c r="F73" s="237">
        <v>300</v>
      </c>
      <c r="G73" s="237">
        <v>290</v>
      </c>
      <c r="H73" s="237">
        <v>205</v>
      </c>
      <c r="I73" s="237">
        <v>165</v>
      </c>
      <c r="J73" s="237">
        <v>160</v>
      </c>
      <c r="K73" s="450">
        <v>155</v>
      </c>
      <c r="M73" s="451">
        <f t="shared" si="38"/>
        <v>-7.8947368421052655E-2</v>
      </c>
      <c r="N73" s="357">
        <f t="shared" si="39"/>
        <v>-4.8780487804878092E-2</v>
      </c>
      <c r="O73" s="357">
        <f t="shared" si="40"/>
        <v>-7.4999999999999956E-2</v>
      </c>
      <c r="P73" s="357">
        <f t="shared" si="41"/>
        <v>-0.13043478260869568</v>
      </c>
      <c r="Q73" s="357">
        <f t="shared" si="42"/>
        <v>-3.3333333333333326E-2</v>
      </c>
      <c r="R73" s="357">
        <f t="shared" si="43"/>
        <v>2.4999999999999911E-2</v>
      </c>
      <c r="S73" s="357">
        <f t="shared" si="44"/>
        <v>3.125E-2</v>
      </c>
      <c r="T73" s="357">
        <f t="shared" si="45"/>
        <v>3.2258064516129004E-2</v>
      </c>
      <c r="U73" s="379">
        <f t="shared" si="46"/>
        <v>3.3333333333333437E-2</v>
      </c>
      <c r="W73" s="451">
        <f t="shared" si="47"/>
        <v>-8.2238098236972118E-2</v>
      </c>
      <c r="X73" s="357">
        <f t="shared" ref="X73:X104" si="81">LN(D73/D72)</f>
        <v>-5.0010420574661422E-2</v>
      </c>
      <c r="Y73" s="357">
        <f t="shared" ref="Y73:Y104" si="82">LN(E73/E72)</f>
        <v>-7.7961541469711806E-2</v>
      </c>
      <c r="Z73" s="357">
        <f t="shared" ref="Z73:Z104" si="83">LN(F73/F72)</f>
        <v>-0.13976194237515874</v>
      </c>
      <c r="AA73" s="357">
        <f t="shared" ref="AA73:AA104" si="84">LN(G73/G72)</f>
        <v>-3.3901551675681339E-2</v>
      </c>
      <c r="AB73" s="357">
        <f t="shared" ref="AB73:AB104" si="85">LN(H73/H72)</f>
        <v>2.4692612590371414E-2</v>
      </c>
      <c r="AC73" s="357">
        <f t="shared" ref="AC73:AC136" si="86">LN(I73/I72)</f>
        <v>3.0771658666753687E-2</v>
      </c>
      <c r="AD73" s="357">
        <f t="shared" ref="AD73:AD136" si="87">LN(J73/J72)</f>
        <v>3.174869831458027E-2</v>
      </c>
      <c r="AE73" s="379">
        <f t="shared" ref="AE73:AE136" si="88">LN(K73/K72)</f>
        <v>3.278982282299097E-2</v>
      </c>
      <c r="AG73" s="451">
        <f t="shared" ref="AG73:AG104" si="89">M73-M$2</f>
        <v>-0.10041944309862061</v>
      </c>
      <c r="AH73" s="357">
        <f t="shared" ref="AH73:AH104" si="90">N73-N$2</f>
        <v>-6.9890564722151341E-2</v>
      </c>
      <c r="AI73" s="357">
        <f t="shared" ref="AI73:AI104" si="91">O73-O$2</f>
        <v>-8.9265206289115231E-2</v>
      </c>
      <c r="AJ73" s="357">
        <f t="shared" ref="AJ73:AJ104" si="92">P73-P$2</f>
        <v>-0.14038337123153394</v>
      </c>
      <c r="AK73" s="357">
        <f t="shared" ref="AK73:AK104" si="93">Q73-Q$2</f>
        <v>-3.9790006618900094E-2</v>
      </c>
      <c r="AL73" s="357">
        <f t="shared" ref="AL73:AL104" si="94">R73-R$2</f>
        <v>2.4552919327950146E-2</v>
      </c>
      <c r="AM73" s="357">
        <f t="shared" ref="AM73:AM136" si="95">S73-S$2</f>
        <v>3.10793532648991E-2</v>
      </c>
      <c r="AN73" s="357">
        <f t="shared" ref="AN73:AN136" si="96">T73-T$2</f>
        <v>3.2277135267521642E-2</v>
      </c>
      <c r="AO73" s="379">
        <f t="shared" ref="AO73:AO136" si="97">U73-U$2</f>
        <v>3.338804529438108E-2</v>
      </c>
    </row>
    <row r="74" spans="2:52" x14ac:dyDescent="0.25">
      <c r="B74" s="449">
        <v>42843</v>
      </c>
      <c r="C74" s="237">
        <v>350</v>
      </c>
      <c r="D74" s="237">
        <v>365</v>
      </c>
      <c r="E74" s="237">
        <v>340</v>
      </c>
      <c r="F74" s="237">
        <v>280</v>
      </c>
      <c r="G74" s="237">
        <v>277</v>
      </c>
      <c r="H74" s="237">
        <v>205</v>
      </c>
      <c r="I74" s="237">
        <v>170</v>
      </c>
      <c r="J74" s="237">
        <v>160</v>
      </c>
      <c r="K74" s="450">
        <v>155</v>
      </c>
      <c r="M74" s="451">
        <f t="shared" ref="M74:M137" si="98">C74/C73-1</f>
        <v>0</v>
      </c>
      <c r="N74" s="357">
        <f t="shared" ref="N74:N137" si="99">D74/D73-1</f>
        <v>-6.4102564102564097E-2</v>
      </c>
      <c r="O74" s="357">
        <f t="shared" ref="O74:O137" si="100">E74/E73-1</f>
        <v>-8.108108108108103E-2</v>
      </c>
      <c r="P74" s="357">
        <f t="shared" ref="P74:P137" si="101">F74/F73-1</f>
        <v>-6.6666666666666652E-2</v>
      </c>
      <c r="Q74" s="357">
        <f t="shared" ref="Q74:Q137" si="102">G74/G73-1</f>
        <v>-4.482758620689653E-2</v>
      </c>
      <c r="R74" s="357">
        <f t="shared" ref="R74:R137" si="103">H74/H73-1</f>
        <v>0</v>
      </c>
      <c r="S74" s="357">
        <f t="shared" ref="S74:S137" si="104">I74/I73-1</f>
        <v>3.0303030303030276E-2</v>
      </c>
      <c r="T74" s="357">
        <f t="shared" ref="T74:T137" si="105">J74/J73-1</f>
        <v>0</v>
      </c>
      <c r="U74" s="379">
        <f t="shared" ref="U74:U137" si="106">K74/K73-1</f>
        <v>0</v>
      </c>
      <c r="W74" s="451">
        <f t="shared" ref="W74:W104" si="107">LN(C74/C73)</f>
        <v>0</v>
      </c>
      <c r="X74" s="357">
        <f t="shared" si="81"/>
        <v>-6.6249385541200606E-2</v>
      </c>
      <c r="Y74" s="357">
        <f t="shared" si="82"/>
        <v>-8.4557388028062994E-2</v>
      </c>
      <c r="Z74" s="357">
        <f t="shared" si="83"/>
        <v>-6.8992871486951435E-2</v>
      </c>
      <c r="AA74" s="357">
        <f t="shared" si="84"/>
        <v>-4.5863416793181191E-2</v>
      </c>
      <c r="AB74" s="357">
        <f t="shared" si="85"/>
        <v>0</v>
      </c>
      <c r="AC74" s="357">
        <f t="shared" si="86"/>
        <v>2.9852963149681128E-2</v>
      </c>
      <c r="AD74" s="357">
        <f t="shared" si="87"/>
        <v>0</v>
      </c>
      <c r="AE74" s="379">
        <f t="shared" si="88"/>
        <v>0</v>
      </c>
      <c r="AG74" s="451">
        <f t="shared" si="89"/>
        <v>-2.1472074677567957E-2</v>
      </c>
      <c r="AH74" s="357">
        <f t="shared" si="90"/>
        <v>-8.5212641019837346E-2</v>
      </c>
      <c r="AI74" s="357">
        <f t="shared" si="91"/>
        <v>-9.5346287370196306E-2</v>
      </c>
      <c r="AJ74" s="357">
        <f t="shared" si="92"/>
        <v>-7.6615255289504913E-2</v>
      </c>
      <c r="AK74" s="357">
        <f t="shared" si="93"/>
        <v>-5.1284259492463298E-2</v>
      </c>
      <c r="AL74" s="357">
        <f t="shared" si="94"/>
        <v>-4.4708067204976532E-4</v>
      </c>
      <c r="AM74" s="357">
        <f t="shared" si="95"/>
        <v>3.0132383567929376E-2</v>
      </c>
      <c r="AN74" s="357">
        <f t="shared" si="96"/>
        <v>1.9070751392640699E-5</v>
      </c>
      <c r="AO74" s="379">
        <f t="shared" si="97"/>
        <v>5.4711961047645428E-5</v>
      </c>
    </row>
    <row r="75" spans="2:52" x14ac:dyDescent="0.25">
      <c r="B75" s="449">
        <v>42850</v>
      </c>
      <c r="C75" s="237">
        <v>360</v>
      </c>
      <c r="D75" s="237">
        <v>400</v>
      </c>
      <c r="E75" s="237">
        <v>360</v>
      </c>
      <c r="F75" s="237">
        <v>288</v>
      </c>
      <c r="G75" s="237">
        <v>298</v>
      </c>
      <c r="H75" s="237">
        <v>210</v>
      </c>
      <c r="I75" s="237">
        <v>170</v>
      </c>
      <c r="J75" s="237">
        <v>160</v>
      </c>
      <c r="K75" s="450">
        <v>155</v>
      </c>
      <c r="M75" s="451">
        <f t="shared" si="98"/>
        <v>2.857142857142847E-2</v>
      </c>
      <c r="N75" s="357">
        <f t="shared" si="99"/>
        <v>9.5890410958904049E-2</v>
      </c>
      <c r="O75" s="357">
        <f t="shared" si="100"/>
        <v>5.8823529411764719E-2</v>
      </c>
      <c r="P75" s="357">
        <f t="shared" si="101"/>
        <v>2.857142857142847E-2</v>
      </c>
      <c r="Q75" s="357">
        <f t="shared" si="102"/>
        <v>7.5812274368231014E-2</v>
      </c>
      <c r="R75" s="357">
        <f t="shared" si="103"/>
        <v>2.4390243902439046E-2</v>
      </c>
      <c r="S75" s="357">
        <f t="shared" si="104"/>
        <v>0</v>
      </c>
      <c r="T75" s="357">
        <f t="shared" si="105"/>
        <v>0</v>
      </c>
      <c r="U75" s="379">
        <f t="shared" si="106"/>
        <v>0</v>
      </c>
      <c r="W75" s="451">
        <f t="shared" si="107"/>
        <v>2.8170876966696224E-2</v>
      </c>
      <c r="X75" s="357">
        <f t="shared" si="81"/>
        <v>9.1567193525490434E-2</v>
      </c>
      <c r="Y75" s="357">
        <f t="shared" si="82"/>
        <v>5.7158413839948623E-2</v>
      </c>
      <c r="Z75" s="357">
        <f t="shared" si="83"/>
        <v>2.8170876966696224E-2</v>
      </c>
      <c r="AA75" s="357">
        <f t="shared" si="84"/>
        <v>7.307598031806592E-2</v>
      </c>
      <c r="AB75" s="357">
        <f t="shared" si="85"/>
        <v>2.4097551579060524E-2</v>
      </c>
      <c r="AC75" s="357">
        <f t="shared" si="86"/>
        <v>0</v>
      </c>
      <c r="AD75" s="357">
        <f t="shared" si="87"/>
        <v>0</v>
      </c>
      <c r="AE75" s="379">
        <f t="shared" si="88"/>
        <v>0</v>
      </c>
      <c r="AG75" s="451">
        <f t="shared" si="89"/>
        <v>7.0993538938605126E-3</v>
      </c>
      <c r="AH75" s="357">
        <f t="shared" si="90"/>
        <v>7.47803340416308E-2</v>
      </c>
      <c r="AI75" s="357">
        <f t="shared" si="91"/>
        <v>4.4558323122649443E-2</v>
      </c>
      <c r="AJ75" s="357">
        <f t="shared" si="92"/>
        <v>1.8622839948590205E-2</v>
      </c>
      <c r="AK75" s="357">
        <f t="shared" si="93"/>
        <v>6.9355601082664253E-2</v>
      </c>
      <c r="AL75" s="357">
        <f t="shared" si="94"/>
        <v>2.3943163230389281E-2</v>
      </c>
      <c r="AM75" s="357">
        <f t="shared" si="95"/>
        <v>-1.7064673510089895E-4</v>
      </c>
      <c r="AN75" s="357">
        <f t="shared" si="96"/>
        <v>1.9070751392640699E-5</v>
      </c>
      <c r="AO75" s="379">
        <f t="shared" si="97"/>
        <v>5.4711961047645428E-5</v>
      </c>
    </row>
    <row r="76" spans="2:52" x14ac:dyDescent="0.25">
      <c r="B76" s="449">
        <v>42858</v>
      </c>
      <c r="C76" s="237">
        <v>395</v>
      </c>
      <c r="D76" s="237">
        <v>370</v>
      </c>
      <c r="E76" s="237">
        <v>290</v>
      </c>
      <c r="F76" s="237">
        <v>265</v>
      </c>
      <c r="G76" s="237">
        <v>294.375</v>
      </c>
      <c r="H76" s="237">
        <v>210</v>
      </c>
      <c r="I76" s="237">
        <v>170</v>
      </c>
      <c r="J76" s="237">
        <v>160</v>
      </c>
      <c r="K76" s="450">
        <v>155</v>
      </c>
      <c r="M76" s="451">
        <f t="shared" si="98"/>
        <v>9.7222222222222321E-2</v>
      </c>
      <c r="N76" s="357">
        <f t="shared" si="99"/>
        <v>-7.4999999999999956E-2</v>
      </c>
      <c r="O76" s="357">
        <f t="shared" si="100"/>
        <v>-0.19444444444444442</v>
      </c>
      <c r="P76" s="357">
        <f t="shared" si="101"/>
        <v>-7.986111111111116E-2</v>
      </c>
      <c r="Q76" s="357">
        <f t="shared" si="102"/>
        <v>-1.2164429530201359E-2</v>
      </c>
      <c r="R76" s="357">
        <f t="shared" si="103"/>
        <v>0</v>
      </c>
      <c r="S76" s="357">
        <f t="shared" si="104"/>
        <v>0</v>
      </c>
      <c r="T76" s="357">
        <f t="shared" si="105"/>
        <v>0</v>
      </c>
      <c r="U76" s="379">
        <f t="shared" si="106"/>
        <v>0</v>
      </c>
      <c r="W76" s="451">
        <f t="shared" si="107"/>
        <v>9.2781733450966269E-2</v>
      </c>
      <c r="X76" s="357">
        <f t="shared" si="81"/>
        <v>-7.7961541469711806E-2</v>
      </c>
      <c r="Y76" s="357">
        <f t="shared" si="82"/>
        <v>-0.21622310846963594</v>
      </c>
      <c r="Z76" s="357">
        <f t="shared" si="83"/>
        <v>-8.3230654149723776E-2</v>
      </c>
      <c r="AA76" s="357">
        <f t="shared" si="84"/>
        <v>-1.2239021734722272E-2</v>
      </c>
      <c r="AB76" s="357">
        <f t="shared" si="85"/>
        <v>0</v>
      </c>
      <c r="AC76" s="357">
        <f t="shared" si="86"/>
        <v>0</v>
      </c>
      <c r="AD76" s="357">
        <f t="shared" si="87"/>
        <v>0</v>
      </c>
      <c r="AE76" s="379">
        <f t="shared" si="88"/>
        <v>0</v>
      </c>
      <c r="AG76" s="451">
        <f t="shared" si="89"/>
        <v>7.5750147544654367E-2</v>
      </c>
      <c r="AH76" s="357">
        <f t="shared" si="90"/>
        <v>-9.6110076917273204E-2</v>
      </c>
      <c r="AI76" s="357">
        <f t="shared" si="91"/>
        <v>-0.20870965073355968</v>
      </c>
      <c r="AJ76" s="357">
        <f t="shared" si="92"/>
        <v>-8.9809699733949422E-2</v>
      </c>
      <c r="AK76" s="357">
        <f t="shared" si="93"/>
        <v>-1.8621102815768127E-2</v>
      </c>
      <c r="AL76" s="357">
        <f t="shared" si="94"/>
        <v>-4.4708067204976532E-4</v>
      </c>
      <c r="AM76" s="357">
        <f t="shared" si="95"/>
        <v>-1.7064673510089895E-4</v>
      </c>
      <c r="AN76" s="357">
        <f t="shared" si="96"/>
        <v>1.9070751392640699E-5</v>
      </c>
      <c r="AO76" s="379">
        <f t="shared" si="97"/>
        <v>5.4711961047645428E-5</v>
      </c>
    </row>
    <row r="77" spans="2:52" x14ac:dyDescent="0.25">
      <c r="B77" s="449">
        <v>42864</v>
      </c>
      <c r="C77" s="237">
        <v>390</v>
      </c>
      <c r="D77" s="237">
        <v>360</v>
      </c>
      <c r="E77" s="237">
        <v>285</v>
      </c>
      <c r="F77" s="237">
        <v>270</v>
      </c>
      <c r="G77" s="237">
        <v>288.75</v>
      </c>
      <c r="H77" s="237">
        <v>210</v>
      </c>
      <c r="I77" s="237">
        <v>170</v>
      </c>
      <c r="J77" s="237">
        <v>160</v>
      </c>
      <c r="K77" s="450">
        <v>155</v>
      </c>
      <c r="M77" s="451">
        <f t="shared" si="98"/>
        <v>-1.2658227848101222E-2</v>
      </c>
      <c r="N77" s="357">
        <f t="shared" si="99"/>
        <v>-2.7027027027026973E-2</v>
      </c>
      <c r="O77" s="357">
        <f t="shared" si="100"/>
        <v>-1.7241379310344862E-2</v>
      </c>
      <c r="P77" s="357">
        <f t="shared" si="101"/>
        <v>1.8867924528301883E-2</v>
      </c>
      <c r="Q77" s="357">
        <f t="shared" si="102"/>
        <v>-1.9108280254777066E-2</v>
      </c>
      <c r="R77" s="357">
        <f t="shared" si="103"/>
        <v>0</v>
      </c>
      <c r="S77" s="357">
        <f t="shared" si="104"/>
        <v>0</v>
      </c>
      <c r="T77" s="357">
        <f t="shared" si="105"/>
        <v>0</v>
      </c>
      <c r="U77" s="379">
        <f t="shared" si="106"/>
        <v>0</v>
      </c>
      <c r="W77" s="451">
        <f t="shared" si="107"/>
        <v>-1.2739025777429714E-2</v>
      </c>
      <c r="X77" s="357">
        <f t="shared" si="81"/>
        <v>-2.7398974188114388E-2</v>
      </c>
      <c r="Y77" s="357">
        <f t="shared" si="82"/>
        <v>-1.7391742711869222E-2</v>
      </c>
      <c r="Z77" s="357">
        <f t="shared" si="83"/>
        <v>1.8692133012152546E-2</v>
      </c>
      <c r="AA77" s="357">
        <f t="shared" si="84"/>
        <v>-1.9293202934678896E-2</v>
      </c>
      <c r="AB77" s="357">
        <f t="shared" si="85"/>
        <v>0</v>
      </c>
      <c r="AC77" s="357">
        <f t="shared" si="86"/>
        <v>0</v>
      </c>
      <c r="AD77" s="357">
        <f t="shared" si="87"/>
        <v>0</v>
      </c>
      <c r="AE77" s="379">
        <f t="shared" si="88"/>
        <v>0</v>
      </c>
      <c r="AG77" s="451">
        <f t="shared" si="89"/>
        <v>-3.4130302525669176E-2</v>
      </c>
      <c r="AH77" s="357">
        <f t="shared" si="90"/>
        <v>-4.8137103944300222E-2</v>
      </c>
      <c r="AI77" s="357">
        <f t="shared" si="91"/>
        <v>-3.1506585599460138E-2</v>
      </c>
      <c r="AJ77" s="357">
        <f t="shared" si="92"/>
        <v>8.9193359054636177E-3</v>
      </c>
      <c r="AK77" s="357">
        <f t="shared" si="93"/>
        <v>-2.5564953540343834E-2</v>
      </c>
      <c r="AL77" s="357">
        <f t="shared" si="94"/>
        <v>-4.4708067204976532E-4</v>
      </c>
      <c r="AM77" s="357">
        <f t="shared" si="95"/>
        <v>-1.7064673510089895E-4</v>
      </c>
      <c r="AN77" s="357">
        <f t="shared" si="96"/>
        <v>1.9070751392640699E-5</v>
      </c>
      <c r="AO77" s="379">
        <f t="shared" si="97"/>
        <v>5.4711961047645428E-5</v>
      </c>
    </row>
    <row r="78" spans="2:52" x14ac:dyDescent="0.25">
      <c r="B78" s="449">
        <v>42871</v>
      </c>
      <c r="C78" s="237">
        <v>410</v>
      </c>
      <c r="D78" s="237">
        <v>365</v>
      </c>
      <c r="E78" s="237">
        <v>310</v>
      </c>
      <c r="F78" s="237">
        <v>295</v>
      </c>
      <c r="G78" s="237">
        <v>299.375</v>
      </c>
      <c r="H78" s="237">
        <v>210</v>
      </c>
      <c r="I78" s="237">
        <v>170</v>
      </c>
      <c r="J78" s="237">
        <v>160</v>
      </c>
      <c r="K78" s="450">
        <v>155</v>
      </c>
      <c r="M78" s="451">
        <f t="shared" si="98"/>
        <v>5.1282051282051322E-2</v>
      </c>
      <c r="N78" s="357">
        <f t="shared" si="99"/>
        <v>1.388888888888884E-2</v>
      </c>
      <c r="O78" s="357">
        <f t="shared" si="100"/>
        <v>8.7719298245614086E-2</v>
      </c>
      <c r="P78" s="357">
        <f t="shared" si="101"/>
        <v>9.259259259259256E-2</v>
      </c>
      <c r="Q78" s="357">
        <f t="shared" si="102"/>
        <v>3.6796536796536827E-2</v>
      </c>
      <c r="R78" s="357">
        <f t="shared" si="103"/>
        <v>0</v>
      </c>
      <c r="S78" s="357">
        <f t="shared" si="104"/>
        <v>0</v>
      </c>
      <c r="T78" s="357">
        <f t="shared" si="105"/>
        <v>0</v>
      </c>
      <c r="U78" s="379">
        <f t="shared" si="106"/>
        <v>0</v>
      </c>
      <c r="W78" s="451">
        <f t="shared" si="107"/>
        <v>5.0010420574661416E-2</v>
      </c>
      <c r="X78" s="357">
        <f t="shared" si="81"/>
        <v>1.3793322132335769E-2</v>
      </c>
      <c r="Y78" s="357">
        <f t="shared" si="82"/>
        <v>8.4083117210541444E-2</v>
      </c>
      <c r="Z78" s="357">
        <f t="shared" si="83"/>
        <v>8.8553397341445031E-2</v>
      </c>
      <c r="AA78" s="357">
        <f t="shared" si="84"/>
        <v>3.6135706329176412E-2</v>
      </c>
      <c r="AB78" s="357">
        <f t="shared" si="85"/>
        <v>0</v>
      </c>
      <c r="AC78" s="357">
        <f t="shared" si="86"/>
        <v>0</v>
      </c>
      <c r="AD78" s="357">
        <f t="shared" si="87"/>
        <v>0</v>
      </c>
      <c r="AE78" s="379">
        <f t="shared" si="88"/>
        <v>0</v>
      </c>
      <c r="AG78" s="451">
        <f t="shared" si="89"/>
        <v>2.9809976604483365E-2</v>
      </c>
      <c r="AH78" s="357">
        <f t="shared" si="90"/>
        <v>-7.2211880283844128E-3</v>
      </c>
      <c r="AI78" s="357">
        <f t="shared" si="91"/>
        <v>7.345409195649881E-2</v>
      </c>
      <c r="AJ78" s="357">
        <f t="shared" si="92"/>
        <v>8.2644003969754298E-2</v>
      </c>
      <c r="AK78" s="357">
        <f t="shared" si="93"/>
        <v>3.033986351097006E-2</v>
      </c>
      <c r="AL78" s="357">
        <f t="shared" si="94"/>
        <v>-4.4708067204976532E-4</v>
      </c>
      <c r="AM78" s="357">
        <f t="shared" si="95"/>
        <v>-1.7064673510089895E-4</v>
      </c>
      <c r="AN78" s="357">
        <f t="shared" si="96"/>
        <v>1.9070751392640699E-5</v>
      </c>
      <c r="AO78" s="379">
        <f t="shared" si="97"/>
        <v>5.4711961047645428E-5</v>
      </c>
    </row>
    <row r="79" spans="2:52" x14ac:dyDescent="0.25">
      <c r="B79" s="449">
        <v>42878</v>
      </c>
      <c r="C79" s="237">
        <v>380</v>
      </c>
      <c r="D79" s="237">
        <v>207</v>
      </c>
      <c r="E79" s="237">
        <v>230</v>
      </c>
      <c r="F79" s="237">
        <v>230</v>
      </c>
      <c r="G79" s="237">
        <v>243.625</v>
      </c>
      <c r="H79" s="237">
        <v>205</v>
      </c>
      <c r="I79" s="237">
        <v>170</v>
      </c>
      <c r="J79" s="237">
        <v>160</v>
      </c>
      <c r="K79" s="450">
        <v>155</v>
      </c>
      <c r="M79" s="451">
        <f t="shared" si="98"/>
        <v>-7.3170731707317027E-2</v>
      </c>
      <c r="N79" s="357">
        <f t="shared" si="99"/>
        <v>-0.43287671232876712</v>
      </c>
      <c r="O79" s="357">
        <f t="shared" si="100"/>
        <v>-0.25806451612903225</v>
      </c>
      <c r="P79" s="357">
        <f t="shared" si="101"/>
        <v>-0.22033898305084743</v>
      </c>
      <c r="Q79" s="357">
        <f t="shared" si="102"/>
        <v>-0.18622129436325674</v>
      </c>
      <c r="R79" s="357">
        <f t="shared" si="103"/>
        <v>-2.3809523809523836E-2</v>
      </c>
      <c r="S79" s="357">
        <f t="shared" si="104"/>
        <v>0</v>
      </c>
      <c r="T79" s="357">
        <f t="shared" si="105"/>
        <v>0</v>
      </c>
      <c r="U79" s="379">
        <f t="shared" si="106"/>
        <v>0</v>
      </c>
      <c r="W79" s="451">
        <f t="shared" si="107"/>
        <v>-7.5985906977921985E-2</v>
      </c>
      <c r="X79" s="357">
        <f t="shared" si="81"/>
        <v>-0.56717856031712244</v>
      </c>
      <c r="Y79" s="357">
        <f t="shared" si="82"/>
        <v>-0.29849298855599654</v>
      </c>
      <c r="Z79" s="357">
        <f t="shared" si="83"/>
        <v>-0.24889604741662441</v>
      </c>
      <c r="AA79" s="357">
        <f t="shared" si="84"/>
        <v>-0.20606681033745475</v>
      </c>
      <c r="AB79" s="357">
        <f t="shared" si="85"/>
        <v>-2.409755157906053E-2</v>
      </c>
      <c r="AC79" s="357">
        <f t="shared" si="86"/>
        <v>0</v>
      </c>
      <c r="AD79" s="357">
        <f t="shared" si="87"/>
        <v>0</v>
      </c>
      <c r="AE79" s="379">
        <f t="shared" si="88"/>
        <v>0</v>
      </c>
      <c r="AG79" s="451">
        <f t="shared" si="89"/>
        <v>-9.4642806384884981E-2</v>
      </c>
      <c r="AH79" s="357">
        <f t="shared" si="90"/>
        <v>-0.45398678924604036</v>
      </c>
      <c r="AI79" s="357">
        <f t="shared" si="91"/>
        <v>-0.27232972241814751</v>
      </c>
      <c r="AJ79" s="357">
        <f t="shared" si="92"/>
        <v>-0.23028757167368569</v>
      </c>
      <c r="AK79" s="357">
        <f t="shared" si="93"/>
        <v>-0.1926779676488235</v>
      </c>
      <c r="AL79" s="357">
        <f t="shared" si="94"/>
        <v>-2.4256604481573601E-2</v>
      </c>
      <c r="AM79" s="357">
        <f t="shared" si="95"/>
        <v>-1.7064673510089895E-4</v>
      </c>
      <c r="AN79" s="357">
        <f t="shared" si="96"/>
        <v>1.9070751392640699E-5</v>
      </c>
      <c r="AO79" s="379">
        <f t="shared" si="97"/>
        <v>5.4711961047645428E-5</v>
      </c>
    </row>
    <row r="80" spans="2:52" x14ac:dyDescent="0.25">
      <c r="B80" s="449">
        <v>42885</v>
      </c>
      <c r="C80" s="237">
        <v>95</v>
      </c>
      <c r="D80" s="237">
        <v>110</v>
      </c>
      <c r="E80" s="237">
        <v>170</v>
      </c>
      <c r="F80" s="237">
        <v>170</v>
      </c>
      <c r="G80" s="237">
        <v>142.14285714285714</v>
      </c>
      <c r="H80" s="237">
        <v>195</v>
      </c>
      <c r="I80" s="237">
        <v>170</v>
      </c>
      <c r="J80" s="237">
        <v>160</v>
      </c>
      <c r="K80" s="450">
        <v>155</v>
      </c>
      <c r="M80" s="451">
        <f t="shared" si="98"/>
        <v>-0.75</v>
      </c>
      <c r="N80" s="357">
        <f t="shared" si="99"/>
        <v>-0.46859903381642509</v>
      </c>
      <c r="O80" s="357">
        <f t="shared" si="100"/>
        <v>-0.26086956521739135</v>
      </c>
      <c r="P80" s="357">
        <f t="shared" si="101"/>
        <v>-0.26086956521739135</v>
      </c>
      <c r="Q80" s="357">
        <f t="shared" si="102"/>
        <v>-0.41655061203547605</v>
      </c>
      <c r="R80" s="357">
        <f t="shared" si="103"/>
        <v>-4.8780487804878092E-2</v>
      </c>
      <c r="S80" s="357">
        <f t="shared" si="104"/>
        <v>0</v>
      </c>
      <c r="T80" s="357">
        <f t="shared" si="105"/>
        <v>0</v>
      </c>
      <c r="U80" s="379">
        <f t="shared" si="106"/>
        <v>0</v>
      </c>
      <c r="W80" s="451">
        <f t="shared" si="107"/>
        <v>-1.3862943611198906</v>
      </c>
      <c r="X80" s="357">
        <f t="shared" si="81"/>
        <v>-0.63223842747295278</v>
      </c>
      <c r="Y80" s="357">
        <f t="shared" si="82"/>
        <v>-0.30228087187293368</v>
      </c>
      <c r="Z80" s="357">
        <f t="shared" si="83"/>
        <v>-0.30228087187293368</v>
      </c>
      <c r="AA80" s="357">
        <f t="shared" si="84"/>
        <v>-0.53879756972444537</v>
      </c>
      <c r="AB80" s="357">
        <f t="shared" si="85"/>
        <v>-5.0010420574661422E-2</v>
      </c>
      <c r="AC80" s="357">
        <f t="shared" si="86"/>
        <v>0</v>
      </c>
      <c r="AD80" s="357">
        <f t="shared" si="87"/>
        <v>0</v>
      </c>
      <c r="AE80" s="379">
        <f t="shared" si="88"/>
        <v>0</v>
      </c>
      <c r="AG80" s="451">
        <f t="shared" si="89"/>
        <v>-0.77147207467756795</v>
      </c>
      <c r="AH80" s="357">
        <f t="shared" si="90"/>
        <v>-0.48970911073369833</v>
      </c>
      <c r="AI80" s="357">
        <f t="shared" si="91"/>
        <v>-0.27513477150650661</v>
      </c>
      <c r="AJ80" s="357">
        <f t="shared" si="92"/>
        <v>-0.27081815384022961</v>
      </c>
      <c r="AK80" s="357">
        <f t="shared" si="93"/>
        <v>-0.42300728532104281</v>
      </c>
      <c r="AL80" s="357">
        <f t="shared" si="94"/>
        <v>-4.9227568476927858E-2</v>
      </c>
      <c r="AM80" s="357">
        <f t="shared" si="95"/>
        <v>-1.7064673510089895E-4</v>
      </c>
      <c r="AN80" s="357">
        <f t="shared" si="96"/>
        <v>1.9070751392640699E-5</v>
      </c>
      <c r="AO80" s="379">
        <f t="shared" si="97"/>
        <v>5.4711961047645428E-5</v>
      </c>
    </row>
    <row r="81" spans="2:41" x14ac:dyDescent="0.25">
      <c r="B81" s="449">
        <v>42892</v>
      </c>
      <c r="C81" s="237">
        <v>95</v>
      </c>
      <c r="D81" s="237">
        <v>135</v>
      </c>
      <c r="E81" s="237">
        <v>160</v>
      </c>
      <c r="F81" s="237">
        <v>180</v>
      </c>
      <c r="G81" s="237">
        <v>160</v>
      </c>
      <c r="H81" s="237">
        <v>200</v>
      </c>
      <c r="I81" s="237">
        <v>170</v>
      </c>
      <c r="J81" s="237">
        <v>160</v>
      </c>
      <c r="K81" s="450">
        <v>155</v>
      </c>
      <c r="M81" s="451">
        <f t="shared" si="98"/>
        <v>0</v>
      </c>
      <c r="N81" s="357">
        <f t="shared" si="99"/>
        <v>0.22727272727272729</v>
      </c>
      <c r="O81" s="357">
        <f t="shared" si="100"/>
        <v>-5.8823529411764719E-2</v>
      </c>
      <c r="P81" s="357">
        <f t="shared" si="101"/>
        <v>5.8823529411764719E-2</v>
      </c>
      <c r="Q81" s="357">
        <f t="shared" si="102"/>
        <v>0.12562814070351758</v>
      </c>
      <c r="R81" s="357">
        <f t="shared" si="103"/>
        <v>2.564102564102555E-2</v>
      </c>
      <c r="S81" s="357">
        <f t="shared" si="104"/>
        <v>0</v>
      </c>
      <c r="T81" s="357">
        <f t="shared" si="105"/>
        <v>0</v>
      </c>
      <c r="U81" s="379">
        <f t="shared" si="106"/>
        <v>0</v>
      </c>
      <c r="W81" s="451">
        <f t="shared" si="107"/>
        <v>0</v>
      </c>
      <c r="X81" s="357">
        <f t="shared" si="81"/>
        <v>0.20479441264601322</v>
      </c>
      <c r="Y81" s="357">
        <f t="shared" si="82"/>
        <v>-6.0624621816434854E-2</v>
      </c>
      <c r="Z81" s="357">
        <f t="shared" si="83"/>
        <v>5.7158413839948623E-2</v>
      </c>
      <c r="AA81" s="357">
        <f t="shared" si="84"/>
        <v>0.11834122713054744</v>
      </c>
      <c r="AB81" s="357">
        <f t="shared" si="85"/>
        <v>2.5317807984289786E-2</v>
      </c>
      <c r="AC81" s="357">
        <f t="shared" si="86"/>
        <v>0</v>
      </c>
      <c r="AD81" s="357">
        <f t="shared" si="87"/>
        <v>0</v>
      </c>
      <c r="AE81" s="379">
        <f t="shared" si="88"/>
        <v>0</v>
      </c>
      <c r="AG81" s="451">
        <f t="shared" si="89"/>
        <v>-2.1472074677567957E-2</v>
      </c>
      <c r="AH81" s="357">
        <f t="shared" si="90"/>
        <v>0.20616265035545403</v>
      </c>
      <c r="AI81" s="357">
        <f t="shared" si="91"/>
        <v>-7.3088735700879995E-2</v>
      </c>
      <c r="AJ81" s="357">
        <f t="shared" si="92"/>
        <v>4.8874940788926458E-2</v>
      </c>
      <c r="AK81" s="357">
        <f t="shared" si="93"/>
        <v>0.11917146741795082</v>
      </c>
      <c r="AL81" s="357">
        <f t="shared" si="94"/>
        <v>2.5193944968975784E-2</v>
      </c>
      <c r="AM81" s="357">
        <f t="shared" si="95"/>
        <v>-1.7064673510089895E-4</v>
      </c>
      <c r="AN81" s="357">
        <f t="shared" si="96"/>
        <v>1.9070751392640699E-5</v>
      </c>
      <c r="AO81" s="379">
        <f t="shared" si="97"/>
        <v>5.4711961047645428E-5</v>
      </c>
    </row>
    <row r="82" spans="2:41" x14ac:dyDescent="0.25">
      <c r="B82" s="449">
        <v>42899</v>
      </c>
      <c r="C82" s="237">
        <v>105</v>
      </c>
      <c r="D82" s="237">
        <v>175</v>
      </c>
      <c r="E82" s="237">
        <v>200</v>
      </c>
      <c r="F82" s="237">
        <v>220</v>
      </c>
      <c r="G82" s="237">
        <v>186.42857142857142</v>
      </c>
      <c r="H82" s="237">
        <v>200</v>
      </c>
      <c r="I82" s="237">
        <v>170</v>
      </c>
      <c r="J82" s="237">
        <v>160</v>
      </c>
      <c r="K82" s="450">
        <v>155</v>
      </c>
      <c r="M82" s="451">
        <f t="shared" si="98"/>
        <v>0.10526315789473695</v>
      </c>
      <c r="N82" s="357">
        <f t="shared" si="99"/>
        <v>0.29629629629629628</v>
      </c>
      <c r="O82" s="357">
        <f t="shared" si="100"/>
        <v>0.25</v>
      </c>
      <c r="P82" s="357">
        <f t="shared" si="101"/>
        <v>0.22222222222222232</v>
      </c>
      <c r="Q82" s="357">
        <f t="shared" si="102"/>
        <v>0.1651785714285714</v>
      </c>
      <c r="R82" s="357">
        <f t="shared" si="103"/>
        <v>0</v>
      </c>
      <c r="S82" s="357">
        <f t="shared" si="104"/>
        <v>0</v>
      </c>
      <c r="T82" s="357">
        <f t="shared" si="105"/>
        <v>0</v>
      </c>
      <c r="U82" s="379">
        <f t="shared" si="106"/>
        <v>0</v>
      </c>
      <c r="W82" s="451">
        <f t="shared" si="107"/>
        <v>0.10008345855698263</v>
      </c>
      <c r="X82" s="357">
        <f t="shared" si="81"/>
        <v>0.25951119548508461</v>
      </c>
      <c r="Y82" s="357">
        <f t="shared" si="82"/>
        <v>0.22314355131420976</v>
      </c>
      <c r="Z82" s="357">
        <f t="shared" si="83"/>
        <v>0.20067069546215124</v>
      </c>
      <c r="AA82" s="357">
        <f t="shared" si="84"/>
        <v>0.15287435546765354</v>
      </c>
      <c r="AB82" s="357">
        <f t="shared" si="85"/>
        <v>0</v>
      </c>
      <c r="AC82" s="357">
        <f t="shared" si="86"/>
        <v>0</v>
      </c>
      <c r="AD82" s="357">
        <f t="shared" si="87"/>
        <v>0</v>
      </c>
      <c r="AE82" s="379">
        <f t="shared" si="88"/>
        <v>0</v>
      </c>
      <c r="AG82" s="451">
        <f t="shared" si="89"/>
        <v>8.3791083217168993E-2</v>
      </c>
      <c r="AH82" s="357">
        <f t="shared" si="90"/>
        <v>0.27518621937902304</v>
      </c>
      <c r="AI82" s="357">
        <f t="shared" si="91"/>
        <v>0.23573479371088474</v>
      </c>
      <c r="AJ82" s="357">
        <f t="shared" si="92"/>
        <v>0.21227363359938406</v>
      </c>
      <c r="AK82" s="357">
        <f t="shared" si="93"/>
        <v>0.15872189814300464</v>
      </c>
      <c r="AL82" s="357">
        <f t="shared" si="94"/>
        <v>-4.4708067204976532E-4</v>
      </c>
      <c r="AM82" s="357">
        <f t="shared" si="95"/>
        <v>-1.7064673510089895E-4</v>
      </c>
      <c r="AN82" s="357">
        <f t="shared" si="96"/>
        <v>1.9070751392640699E-5</v>
      </c>
      <c r="AO82" s="379">
        <f t="shared" si="97"/>
        <v>5.4711961047645428E-5</v>
      </c>
    </row>
    <row r="83" spans="2:41" x14ac:dyDescent="0.25">
      <c r="B83" s="449">
        <v>42906</v>
      </c>
      <c r="C83" s="237">
        <v>118</v>
      </c>
      <c r="D83" s="237">
        <v>210</v>
      </c>
      <c r="E83" s="237">
        <v>235</v>
      </c>
      <c r="F83" s="237">
        <v>220</v>
      </c>
      <c r="G83" s="237">
        <v>205.42857142857142</v>
      </c>
      <c r="H83" s="237">
        <v>200</v>
      </c>
      <c r="I83" s="237">
        <v>170</v>
      </c>
      <c r="J83" s="237">
        <v>160</v>
      </c>
      <c r="K83" s="450">
        <v>155</v>
      </c>
      <c r="M83" s="451">
        <f t="shared" si="98"/>
        <v>0.12380952380952381</v>
      </c>
      <c r="N83" s="357">
        <f t="shared" si="99"/>
        <v>0.19999999999999996</v>
      </c>
      <c r="O83" s="357">
        <f t="shared" si="100"/>
        <v>0.17500000000000004</v>
      </c>
      <c r="P83" s="357">
        <f t="shared" si="101"/>
        <v>0</v>
      </c>
      <c r="Q83" s="357">
        <f t="shared" si="102"/>
        <v>0.10191570881226064</v>
      </c>
      <c r="R83" s="357">
        <f t="shared" si="103"/>
        <v>0</v>
      </c>
      <c r="S83" s="357">
        <f t="shared" si="104"/>
        <v>0</v>
      </c>
      <c r="T83" s="357">
        <f t="shared" si="105"/>
        <v>0</v>
      </c>
      <c r="U83" s="379">
        <f t="shared" si="106"/>
        <v>0</v>
      </c>
      <c r="W83" s="451">
        <f t="shared" si="107"/>
        <v>0.11672427430814139</v>
      </c>
      <c r="X83" s="357">
        <f t="shared" si="81"/>
        <v>0.18232155679395459</v>
      </c>
      <c r="Y83" s="357">
        <f t="shared" si="82"/>
        <v>0.16126814759612232</v>
      </c>
      <c r="Z83" s="357">
        <f t="shared" si="83"/>
        <v>0</v>
      </c>
      <c r="AA83" s="357">
        <f t="shared" si="84"/>
        <v>9.7050218524198303E-2</v>
      </c>
      <c r="AB83" s="357">
        <f t="shared" si="85"/>
        <v>0</v>
      </c>
      <c r="AC83" s="357">
        <f t="shared" si="86"/>
        <v>0</v>
      </c>
      <c r="AD83" s="357">
        <f t="shared" si="87"/>
        <v>0</v>
      </c>
      <c r="AE83" s="379">
        <f t="shared" si="88"/>
        <v>0</v>
      </c>
      <c r="AG83" s="451">
        <f t="shared" si="89"/>
        <v>0.10233744913195586</v>
      </c>
      <c r="AH83" s="357">
        <f t="shared" si="90"/>
        <v>0.17888992308272669</v>
      </c>
      <c r="AI83" s="357">
        <f t="shared" si="91"/>
        <v>0.16073479371088478</v>
      </c>
      <c r="AJ83" s="357">
        <f t="shared" si="92"/>
        <v>-9.9485886228382649E-3</v>
      </c>
      <c r="AK83" s="357">
        <f t="shared" si="93"/>
        <v>9.5459035526693881E-2</v>
      </c>
      <c r="AL83" s="357">
        <f t="shared" si="94"/>
        <v>-4.4708067204976532E-4</v>
      </c>
      <c r="AM83" s="357">
        <f t="shared" si="95"/>
        <v>-1.7064673510089895E-4</v>
      </c>
      <c r="AN83" s="357">
        <f t="shared" si="96"/>
        <v>1.9070751392640699E-5</v>
      </c>
      <c r="AO83" s="379">
        <f t="shared" si="97"/>
        <v>5.4711961047645428E-5</v>
      </c>
    </row>
    <row r="84" spans="2:41" x14ac:dyDescent="0.25">
      <c r="B84" s="449">
        <v>42913</v>
      </c>
      <c r="C84" s="237">
        <v>115.2</v>
      </c>
      <c r="D84" s="237">
        <v>208</v>
      </c>
      <c r="E84" s="237">
        <v>230</v>
      </c>
      <c r="F84" s="237">
        <v>215</v>
      </c>
      <c r="G84" s="237">
        <v>196.45714285714286</v>
      </c>
      <c r="H84" s="237">
        <v>200</v>
      </c>
      <c r="I84" s="237">
        <v>165</v>
      </c>
      <c r="J84" s="237">
        <v>160</v>
      </c>
      <c r="K84" s="450">
        <v>155</v>
      </c>
      <c r="M84" s="451">
        <f t="shared" si="98"/>
        <v>-2.3728813559321993E-2</v>
      </c>
      <c r="N84" s="357">
        <f t="shared" si="99"/>
        <v>-9.52380952380949E-3</v>
      </c>
      <c r="O84" s="357">
        <f t="shared" si="100"/>
        <v>-2.1276595744680882E-2</v>
      </c>
      <c r="P84" s="357">
        <f t="shared" si="101"/>
        <v>-2.2727272727272707E-2</v>
      </c>
      <c r="Q84" s="357">
        <f t="shared" si="102"/>
        <v>-4.367176634214176E-2</v>
      </c>
      <c r="R84" s="357">
        <f t="shared" si="103"/>
        <v>0</v>
      </c>
      <c r="S84" s="357">
        <f t="shared" si="104"/>
        <v>-2.9411764705882359E-2</v>
      </c>
      <c r="T84" s="357">
        <f t="shared" si="105"/>
        <v>0</v>
      </c>
      <c r="U84" s="379">
        <f t="shared" si="106"/>
        <v>0</v>
      </c>
      <c r="W84" s="451">
        <f t="shared" si="107"/>
        <v>-2.4014876203873853E-2</v>
      </c>
      <c r="X84" s="357">
        <f t="shared" si="81"/>
        <v>-9.5694510161506725E-3</v>
      </c>
      <c r="Y84" s="357">
        <f t="shared" si="82"/>
        <v>-2.1506205220963619E-2</v>
      </c>
      <c r="Z84" s="357">
        <f t="shared" si="83"/>
        <v>-2.2989518224698718E-2</v>
      </c>
      <c r="AA84" s="357">
        <f t="shared" si="84"/>
        <v>-4.4654084212352389E-2</v>
      </c>
      <c r="AB84" s="357">
        <f t="shared" si="85"/>
        <v>0</v>
      </c>
      <c r="AC84" s="357">
        <f t="shared" si="86"/>
        <v>-2.985296314968116E-2</v>
      </c>
      <c r="AD84" s="357">
        <f t="shared" si="87"/>
        <v>0</v>
      </c>
      <c r="AE84" s="379">
        <f t="shared" si="88"/>
        <v>0</v>
      </c>
      <c r="AG84" s="451">
        <f t="shared" si="89"/>
        <v>-4.5200888236889947E-2</v>
      </c>
      <c r="AH84" s="357">
        <f t="shared" si="90"/>
        <v>-3.0633886441082742E-2</v>
      </c>
      <c r="AI84" s="357">
        <f t="shared" si="91"/>
        <v>-3.5541802033796158E-2</v>
      </c>
      <c r="AJ84" s="357">
        <f t="shared" si="92"/>
        <v>-3.2675861350110968E-2</v>
      </c>
      <c r="AK84" s="357">
        <f t="shared" si="93"/>
        <v>-5.0128439627708528E-2</v>
      </c>
      <c r="AL84" s="357">
        <f t="shared" si="94"/>
        <v>-4.4708067204976532E-4</v>
      </c>
      <c r="AM84" s="357">
        <f t="shared" si="95"/>
        <v>-2.958241144098326E-2</v>
      </c>
      <c r="AN84" s="357">
        <f t="shared" si="96"/>
        <v>1.9070751392640699E-5</v>
      </c>
      <c r="AO84" s="379">
        <f t="shared" si="97"/>
        <v>5.4711961047645428E-5</v>
      </c>
    </row>
    <row r="85" spans="2:41" x14ac:dyDescent="0.25">
      <c r="B85" s="449">
        <v>42920</v>
      </c>
      <c r="C85" s="237">
        <v>220</v>
      </c>
      <c r="D85" s="237">
        <v>246</v>
      </c>
      <c r="E85" s="237">
        <v>210</v>
      </c>
      <c r="F85" s="237">
        <v>185</v>
      </c>
      <c r="G85" s="237">
        <v>205.16666666666666</v>
      </c>
      <c r="H85" s="237">
        <v>200</v>
      </c>
      <c r="I85" s="237">
        <v>165</v>
      </c>
      <c r="J85" s="237">
        <v>160</v>
      </c>
      <c r="K85" s="450">
        <v>155</v>
      </c>
      <c r="M85" s="451">
        <f t="shared" si="98"/>
        <v>0.9097222222222221</v>
      </c>
      <c r="N85" s="357">
        <f t="shared" si="99"/>
        <v>0.18269230769230771</v>
      </c>
      <c r="O85" s="357">
        <f t="shared" si="100"/>
        <v>-8.6956521739130488E-2</v>
      </c>
      <c r="P85" s="357">
        <f t="shared" si="101"/>
        <v>-0.13953488372093026</v>
      </c>
      <c r="Q85" s="357">
        <f t="shared" si="102"/>
        <v>4.4332945510956012E-2</v>
      </c>
      <c r="R85" s="357">
        <f t="shared" si="103"/>
        <v>0</v>
      </c>
      <c r="S85" s="357">
        <f t="shared" si="104"/>
        <v>0</v>
      </c>
      <c r="T85" s="357">
        <f t="shared" si="105"/>
        <v>0</v>
      </c>
      <c r="U85" s="379">
        <f t="shared" si="106"/>
        <v>0</v>
      </c>
      <c r="W85" s="451">
        <f t="shared" si="107"/>
        <v>0.64695779809057063</v>
      </c>
      <c r="X85" s="357">
        <f t="shared" si="81"/>
        <v>0.16779345623104486</v>
      </c>
      <c r="Y85" s="357">
        <f t="shared" si="82"/>
        <v>-9.0971778205726758E-2</v>
      </c>
      <c r="Z85" s="357">
        <f t="shared" si="83"/>
        <v>-0.15028220304933801</v>
      </c>
      <c r="AA85" s="357">
        <f t="shared" si="84"/>
        <v>4.3378351943072345E-2</v>
      </c>
      <c r="AB85" s="357">
        <f t="shared" si="85"/>
        <v>0</v>
      </c>
      <c r="AC85" s="357">
        <f t="shared" si="86"/>
        <v>0</v>
      </c>
      <c r="AD85" s="357">
        <f t="shared" si="87"/>
        <v>0</v>
      </c>
      <c r="AE85" s="379">
        <f t="shared" si="88"/>
        <v>0</v>
      </c>
      <c r="AG85" s="451">
        <f t="shared" si="89"/>
        <v>0.88825014754465415</v>
      </c>
      <c r="AH85" s="357">
        <f t="shared" si="90"/>
        <v>0.16158223077503445</v>
      </c>
      <c r="AI85" s="357">
        <f t="shared" si="91"/>
        <v>-0.10122172802824576</v>
      </c>
      <c r="AJ85" s="357">
        <f t="shared" si="92"/>
        <v>-0.14948347234376852</v>
      </c>
      <c r="AK85" s="357">
        <f t="shared" si="93"/>
        <v>3.7876272225389244E-2</v>
      </c>
      <c r="AL85" s="357">
        <f t="shared" si="94"/>
        <v>-4.4708067204976532E-4</v>
      </c>
      <c r="AM85" s="357">
        <f t="shared" si="95"/>
        <v>-1.7064673510089895E-4</v>
      </c>
      <c r="AN85" s="357">
        <f t="shared" si="96"/>
        <v>1.9070751392640699E-5</v>
      </c>
      <c r="AO85" s="379">
        <f t="shared" si="97"/>
        <v>5.4711961047645428E-5</v>
      </c>
    </row>
    <row r="86" spans="2:41" x14ac:dyDescent="0.25">
      <c r="B86" s="449">
        <v>42927</v>
      </c>
      <c r="C86" s="237">
        <v>223</v>
      </c>
      <c r="D86" s="237">
        <v>260</v>
      </c>
      <c r="E86" s="237">
        <v>200</v>
      </c>
      <c r="F86" s="237">
        <v>185</v>
      </c>
      <c r="G86" s="237">
        <v>206.33333333333334</v>
      </c>
      <c r="H86" s="237">
        <v>195</v>
      </c>
      <c r="I86" s="237">
        <v>165</v>
      </c>
      <c r="J86" s="237">
        <v>155</v>
      </c>
      <c r="K86" s="450">
        <v>155</v>
      </c>
      <c r="M86" s="451">
        <f t="shared" si="98"/>
        <v>1.3636363636363669E-2</v>
      </c>
      <c r="N86" s="357">
        <f t="shared" si="99"/>
        <v>5.6910569105691033E-2</v>
      </c>
      <c r="O86" s="357">
        <f t="shared" si="100"/>
        <v>-4.7619047619047672E-2</v>
      </c>
      <c r="P86" s="357">
        <f t="shared" si="101"/>
        <v>0</v>
      </c>
      <c r="Q86" s="357">
        <f t="shared" si="102"/>
        <v>5.6864337936637366E-3</v>
      </c>
      <c r="R86" s="357">
        <f t="shared" si="103"/>
        <v>-2.5000000000000022E-2</v>
      </c>
      <c r="S86" s="357">
        <f t="shared" si="104"/>
        <v>0</v>
      </c>
      <c r="T86" s="357">
        <f t="shared" si="105"/>
        <v>-3.125E-2</v>
      </c>
      <c r="U86" s="379">
        <f t="shared" si="106"/>
        <v>0</v>
      </c>
      <c r="W86" s="451">
        <f t="shared" si="107"/>
        <v>1.3544225107757253E-2</v>
      </c>
      <c r="X86" s="357">
        <f t="shared" si="81"/>
        <v>5.5350095083164901E-2</v>
      </c>
      <c r="Y86" s="357">
        <f t="shared" si="82"/>
        <v>-4.8790164169432056E-2</v>
      </c>
      <c r="Z86" s="357">
        <f t="shared" si="83"/>
        <v>0</v>
      </c>
      <c r="AA86" s="357">
        <f t="shared" si="84"/>
        <v>5.6703270600879496E-3</v>
      </c>
      <c r="AB86" s="357">
        <f t="shared" si="85"/>
        <v>-2.5317807984289897E-2</v>
      </c>
      <c r="AC86" s="357">
        <f t="shared" si="86"/>
        <v>0</v>
      </c>
      <c r="AD86" s="357">
        <f t="shared" si="87"/>
        <v>-3.1748698314580298E-2</v>
      </c>
      <c r="AE86" s="379">
        <f t="shared" si="88"/>
        <v>0</v>
      </c>
      <c r="AG86" s="451">
        <f t="shared" si="89"/>
        <v>-7.8357110412042887E-3</v>
      </c>
      <c r="AH86" s="357">
        <f t="shared" si="90"/>
        <v>3.5800492188417785E-2</v>
      </c>
      <c r="AI86" s="357">
        <f t="shared" si="91"/>
        <v>-6.1884253908162948E-2</v>
      </c>
      <c r="AJ86" s="357">
        <f t="shared" si="92"/>
        <v>-9.9485886228382649E-3</v>
      </c>
      <c r="AK86" s="357">
        <f t="shared" si="93"/>
        <v>-7.7023949190303028E-4</v>
      </c>
      <c r="AL86" s="357">
        <f t="shared" si="94"/>
        <v>-2.5447080672049788E-2</v>
      </c>
      <c r="AM86" s="357">
        <f t="shared" si="95"/>
        <v>-1.7064673510089895E-4</v>
      </c>
      <c r="AN86" s="357">
        <f t="shared" si="96"/>
        <v>-3.1230929248607358E-2</v>
      </c>
      <c r="AO86" s="379">
        <f t="shared" si="97"/>
        <v>5.4711961047645428E-5</v>
      </c>
    </row>
    <row r="87" spans="2:41" x14ac:dyDescent="0.25">
      <c r="B87" s="449">
        <v>42934</v>
      </c>
      <c r="C87" s="237">
        <v>235</v>
      </c>
      <c r="D87" s="237">
        <v>302</v>
      </c>
      <c r="E87" s="237">
        <v>210</v>
      </c>
      <c r="F87" s="237">
        <v>190</v>
      </c>
      <c r="G87" s="237">
        <v>208</v>
      </c>
      <c r="H87" s="237">
        <v>195</v>
      </c>
      <c r="I87" s="237">
        <v>165</v>
      </c>
      <c r="J87" s="237">
        <v>155</v>
      </c>
      <c r="K87" s="450">
        <v>155</v>
      </c>
      <c r="M87" s="451">
        <f t="shared" si="98"/>
        <v>5.3811659192825045E-2</v>
      </c>
      <c r="N87" s="357">
        <f t="shared" si="99"/>
        <v>0.16153846153846163</v>
      </c>
      <c r="O87" s="357">
        <f t="shared" si="100"/>
        <v>5.0000000000000044E-2</v>
      </c>
      <c r="P87" s="357">
        <f t="shared" si="101"/>
        <v>2.7027027027026973E-2</v>
      </c>
      <c r="Q87" s="357">
        <f t="shared" si="102"/>
        <v>8.0775444264942209E-3</v>
      </c>
      <c r="R87" s="357">
        <f t="shared" si="103"/>
        <v>0</v>
      </c>
      <c r="S87" s="357">
        <f t="shared" si="104"/>
        <v>0</v>
      </c>
      <c r="T87" s="357">
        <f t="shared" si="105"/>
        <v>0</v>
      </c>
      <c r="U87" s="379">
        <f t="shared" si="106"/>
        <v>0</v>
      </c>
      <c r="W87" s="451">
        <f t="shared" si="107"/>
        <v>5.2413742684040136E-2</v>
      </c>
      <c r="X87" s="357">
        <f t="shared" si="81"/>
        <v>0.14974538635934198</v>
      </c>
      <c r="Y87" s="357">
        <f t="shared" si="82"/>
        <v>4.8790164169432049E-2</v>
      </c>
      <c r="Z87" s="357">
        <f t="shared" si="83"/>
        <v>2.6668247082161273E-2</v>
      </c>
      <c r="AA87" s="357">
        <f t="shared" si="84"/>
        <v>8.0450956848314385E-3</v>
      </c>
      <c r="AB87" s="357">
        <f t="shared" si="85"/>
        <v>0</v>
      </c>
      <c r="AC87" s="357">
        <f t="shared" si="86"/>
        <v>0</v>
      </c>
      <c r="AD87" s="357">
        <f t="shared" si="87"/>
        <v>0</v>
      </c>
      <c r="AE87" s="379">
        <f t="shared" si="88"/>
        <v>0</v>
      </c>
      <c r="AG87" s="451">
        <f t="shared" si="89"/>
        <v>3.2339584515257092E-2</v>
      </c>
      <c r="AH87" s="357">
        <f t="shared" si="90"/>
        <v>0.14042838462118837</v>
      </c>
      <c r="AI87" s="357">
        <f t="shared" si="91"/>
        <v>3.5734793710884769E-2</v>
      </c>
      <c r="AJ87" s="357">
        <f t="shared" si="92"/>
        <v>1.7078438404188708E-2</v>
      </c>
      <c r="AK87" s="357">
        <f t="shared" si="93"/>
        <v>1.620871140927454E-3</v>
      </c>
      <c r="AL87" s="357">
        <f t="shared" si="94"/>
        <v>-4.4708067204976532E-4</v>
      </c>
      <c r="AM87" s="357">
        <f t="shared" si="95"/>
        <v>-1.7064673510089895E-4</v>
      </c>
      <c r="AN87" s="357">
        <f t="shared" si="96"/>
        <v>1.9070751392640699E-5</v>
      </c>
      <c r="AO87" s="379">
        <f t="shared" si="97"/>
        <v>5.4711961047645428E-5</v>
      </c>
    </row>
    <row r="88" spans="2:41" x14ac:dyDescent="0.25">
      <c r="B88" s="449">
        <v>42941</v>
      </c>
      <c r="C88" s="237">
        <v>243</v>
      </c>
      <c r="D88" s="237">
        <v>355</v>
      </c>
      <c r="E88" s="237">
        <v>235</v>
      </c>
      <c r="F88" s="237">
        <v>180</v>
      </c>
      <c r="G88" s="237">
        <v>220</v>
      </c>
      <c r="H88" s="237">
        <v>190</v>
      </c>
      <c r="I88" s="237">
        <v>165</v>
      </c>
      <c r="J88" s="237">
        <v>155</v>
      </c>
      <c r="K88" s="450">
        <v>155</v>
      </c>
      <c r="M88" s="451">
        <f t="shared" si="98"/>
        <v>3.4042553191489411E-2</v>
      </c>
      <c r="N88" s="357">
        <f t="shared" si="99"/>
        <v>0.17549668874172175</v>
      </c>
      <c r="O88" s="357">
        <f t="shared" si="100"/>
        <v>0.11904761904761907</v>
      </c>
      <c r="P88" s="357">
        <f t="shared" si="101"/>
        <v>-5.2631578947368474E-2</v>
      </c>
      <c r="Q88" s="357">
        <f t="shared" si="102"/>
        <v>5.7692307692307709E-2</v>
      </c>
      <c r="R88" s="357">
        <f t="shared" si="103"/>
        <v>-2.5641025641025661E-2</v>
      </c>
      <c r="S88" s="357">
        <f t="shared" si="104"/>
        <v>0</v>
      </c>
      <c r="T88" s="357">
        <f t="shared" si="105"/>
        <v>0</v>
      </c>
      <c r="U88" s="379">
        <f t="shared" si="106"/>
        <v>0</v>
      </c>
      <c r="W88" s="451">
        <f t="shared" si="107"/>
        <v>3.3475929196389545E-2</v>
      </c>
      <c r="X88" s="357">
        <f t="shared" si="81"/>
        <v>0.16169077210054608</v>
      </c>
      <c r="Y88" s="357">
        <f t="shared" si="82"/>
        <v>0.1124779834266903</v>
      </c>
      <c r="Z88" s="357">
        <f t="shared" si="83"/>
        <v>-5.4067221270275821E-2</v>
      </c>
      <c r="AA88" s="357">
        <f t="shared" si="84"/>
        <v>5.6089466651043578E-2</v>
      </c>
      <c r="AB88" s="357">
        <f t="shared" si="85"/>
        <v>-2.5975486403260677E-2</v>
      </c>
      <c r="AC88" s="357">
        <f t="shared" si="86"/>
        <v>0</v>
      </c>
      <c r="AD88" s="357">
        <f t="shared" si="87"/>
        <v>0</v>
      </c>
      <c r="AE88" s="379">
        <f t="shared" si="88"/>
        <v>0</v>
      </c>
      <c r="AG88" s="451">
        <f t="shared" si="89"/>
        <v>1.2570478513921454E-2</v>
      </c>
      <c r="AH88" s="357">
        <f t="shared" si="90"/>
        <v>0.15438661182444849</v>
      </c>
      <c r="AI88" s="357">
        <f t="shared" si="91"/>
        <v>0.10478241275850379</v>
      </c>
      <c r="AJ88" s="357">
        <f t="shared" si="92"/>
        <v>-6.2580167570206735E-2</v>
      </c>
      <c r="AK88" s="357">
        <f t="shared" si="93"/>
        <v>5.1235634406740942E-2</v>
      </c>
      <c r="AL88" s="357">
        <f t="shared" si="94"/>
        <v>-2.6088106313075426E-2</v>
      </c>
      <c r="AM88" s="357">
        <f t="shared" si="95"/>
        <v>-1.7064673510089895E-4</v>
      </c>
      <c r="AN88" s="357">
        <f t="shared" si="96"/>
        <v>1.9070751392640699E-5</v>
      </c>
      <c r="AO88" s="379">
        <f t="shared" si="97"/>
        <v>5.4711961047645428E-5</v>
      </c>
    </row>
    <row r="89" spans="2:41" x14ac:dyDescent="0.25">
      <c r="B89" s="449">
        <v>42948</v>
      </c>
      <c r="C89" s="237">
        <v>400</v>
      </c>
      <c r="D89" s="237">
        <v>297</v>
      </c>
      <c r="E89" s="237">
        <v>215</v>
      </c>
      <c r="F89" s="237">
        <v>185</v>
      </c>
      <c r="G89" s="237">
        <v>250.4</v>
      </c>
      <c r="H89" s="237">
        <v>190</v>
      </c>
      <c r="I89" s="237">
        <v>165</v>
      </c>
      <c r="J89" s="237">
        <v>155</v>
      </c>
      <c r="K89" s="450">
        <v>155</v>
      </c>
      <c r="M89" s="451">
        <f t="shared" si="98"/>
        <v>0.64609053497942392</v>
      </c>
      <c r="N89" s="357">
        <f t="shared" si="99"/>
        <v>-0.16338028169014085</v>
      </c>
      <c r="O89" s="357">
        <f t="shared" si="100"/>
        <v>-8.5106382978723416E-2</v>
      </c>
      <c r="P89" s="357">
        <f t="shared" si="101"/>
        <v>2.7777777777777679E-2</v>
      </c>
      <c r="Q89" s="357">
        <f t="shared" si="102"/>
        <v>0.13818181818181818</v>
      </c>
      <c r="R89" s="357">
        <f t="shared" si="103"/>
        <v>0</v>
      </c>
      <c r="S89" s="357">
        <f t="shared" si="104"/>
        <v>0</v>
      </c>
      <c r="T89" s="357">
        <f t="shared" si="105"/>
        <v>0</v>
      </c>
      <c r="U89" s="379">
        <f t="shared" si="106"/>
        <v>0</v>
      </c>
      <c r="W89" s="451">
        <f t="shared" si="107"/>
        <v>0.49840310376743358</v>
      </c>
      <c r="X89" s="357">
        <f t="shared" si="81"/>
        <v>-0.1783856506727162</v>
      </c>
      <c r="Y89" s="357">
        <f t="shared" si="82"/>
        <v>-8.8947486016496172E-2</v>
      </c>
      <c r="Z89" s="357">
        <f t="shared" si="83"/>
        <v>2.7398974188114347E-2</v>
      </c>
      <c r="AA89" s="357">
        <f t="shared" si="84"/>
        <v>0.12943209287358193</v>
      </c>
      <c r="AB89" s="357">
        <f t="shared" si="85"/>
        <v>0</v>
      </c>
      <c r="AC89" s="357">
        <f t="shared" si="86"/>
        <v>0</v>
      </c>
      <c r="AD89" s="357">
        <f t="shared" si="87"/>
        <v>0</v>
      </c>
      <c r="AE89" s="379">
        <f t="shared" si="88"/>
        <v>0</v>
      </c>
      <c r="AG89" s="451">
        <f t="shared" si="89"/>
        <v>0.62461846030185597</v>
      </c>
      <c r="AH89" s="357">
        <f t="shared" si="90"/>
        <v>-0.18449035860741411</v>
      </c>
      <c r="AI89" s="357">
        <f t="shared" si="91"/>
        <v>-9.9371589267838692E-2</v>
      </c>
      <c r="AJ89" s="357">
        <f t="shared" si="92"/>
        <v>1.7829189154939414E-2</v>
      </c>
      <c r="AK89" s="357">
        <f t="shared" si="93"/>
        <v>0.13172514489625142</v>
      </c>
      <c r="AL89" s="357">
        <f t="shared" si="94"/>
        <v>-4.4708067204976532E-4</v>
      </c>
      <c r="AM89" s="357">
        <f t="shared" si="95"/>
        <v>-1.7064673510089895E-4</v>
      </c>
      <c r="AN89" s="357">
        <f t="shared" si="96"/>
        <v>1.9070751392640699E-5</v>
      </c>
      <c r="AO89" s="379">
        <f t="shared" si="97"/>
        <v>5.4711961047645428E-5</v>
      </c>
    </row>
    <row r="90" spans="2:41" x14ac:dyDescent="0.25">
      <c r="B90" s="449">
        <v>42955</v>
      </c>
      <c r="C90" s="237">
        <v>392</v>
      </c>
      <c r="D90" s="237">
        <v>230</v>
      </c>
      <c r="E90" s="237">
        <v>190</v>
      </c>
      <c r="F90" s="237">
        <v>165</v>
      </c>
      <c r="G90" s="237">
        <v>222.8</v>
      </c>
      <c r="H90" s="237">
        <v>190</v>
      </c>
      <c r="I90" s="237">
        <v>165</v>
      </c>
      <c r="J90" s="237">
        <v>155</v>
      </c>
      <c r="K90" s="450">
        <v>155</v>
      </c>
      <c r="M90" s="451">
        <f t="shared" si="98"/>
        <v>-2.0000000000000018E-2</v>
      </c>
      <c r="N90" s="357">
        <f t="shared" si="99"/>
        <v>-0.22558922558922556</v>
      </c>
      <c r="O90" s="357">
        <f t="shared" si="100"/>
        <v>-0.11627906976744184</v>
      </c>
      <c r="P90" s="357">
        <f t="shared" si="101"/>
        <v>-0.10810810810810811</v>
      </c>
      <c r="Q90" s="357">
        <f t="shared" si="102"/>
        <v>-0.11022364217252389</v>
      </c>
      <c r="R90" s="357">
        <f t="shared" si="103"/>
        <v>0</v>
      </c>
      <c r="S90" s="357">
        <f t="shared" si="104"/>
        <v>0</v>
      </c>
      <c r="T90" s="357">
        <f t="shared" si="105"/>
        <v>0</v>
      </c>
      <c r="U90" s="379">
        <f t="shared" si="106"/>
        <v>0</v>
      </c>
      <c r="W90" s="451">
        <f t="shared" si="107"/>
        <v>-2.0202707317519466E-2</v>
      </c>
      <c r="X90" s="357">
        <f t="shared" si="81"/>
        <v>-0.25565282987950422</v>
      </c>
      <c r="Y90" s="357">
        <f t="shared" si="82"/>
        <v>-0.12361395596717664</v>
      </c>
      <c r="Z90" s="357">
        <f t="shared" si="83"/>
        <v>-0.11441035117774422</v>
      </c>
      <c r="AA90" s="357">
        <f t="shared" si="84"/>
        <v>-0.11678513117281443</v>
      </c>
      <c r="AB90" s="357">
        <f t="shared" si="85"/>
        <v>0</v>
      </c>
      <c r="AC90" s="357">
        <f t="shared" si="86"/>
        <v>0</v>
      </c>
      <c r="AD90" s="357">
        <f t="shared" si="87"/>
        <v>0</v>
      </c>
      <c r="AE90" s="379">
        <f t="shared" si="88"/>
        <v>0</v>
      </c>
      <c r="AG90" s="451">
        <f t="shared" si="89"/>
        <v>-4.1472074677567972E-2</v>
      </c>
      <c r="AH90" s="357">
        <f t="shared" si="90"/>
        <v>-0.24669930250649882</v>
      </c>
      <c r="AI90" s="357">
        <f t="shared" si="91"/>
        <v>-0.13054427605655711</v>
      </c>
      <c r="AJ90" s="357">
        <f t="shared" si="92"/>
        <v>-0.11805669673094638</v>
      </c>
      <c r="AK90" s="357">
        <f t="shared" si="93"/>
        <v>-0.11668031545809066</v>
      </c>
      <c r="AL90" s="357">
        <f t="shared" si="94"/>
        <v>-4.4708067204976532E-4</v>
      </c>
      <c r="AM90" s="357">
        <f t="shared" si="95"/>
        <v>-1.7064673510089895E-4</v>
      </c>
      <c r="AN90" s="357">
        <f t="shared" si="96"/>
        <v>1.9070751392640699E-5</v>
      </c>
      <c r="AO90" s="379">
        <f t="shared" si="97"/>
        <v>5.4711961047645428E-5</v>
      </c>
    </row>
    <row r="91" spans="2:41" x14ac:dyDescent="0.25">
      <c r="B91" s="449">
        <v>42962</v>
      </c>
      <c r="C91" s="237">
        <v>420</v>
      </c>
      <c r="D91" s="237">
        <v>265</v>
      </c>
      <c r="E91" s="237">
        <v>210</v>
      </c>
      <c r="F91" s="237">
        <v>170</v>
      </c>
      <c r="G91" s="237">
        <v>245</v>
      </c>
      <c r="H91" s="237">
        <v>190</v>
      </c>
      <c r="I91" s="237">
        <v>169</v>
      </c>
      <c r="J91" s="237">
        <v>155</v>
      </c>
      <c r="K91" s="450">
        <v>155</v>
      </c>
      <c r="M91" s="451">
        <f t="shared" si="98"/>
        <v>7.1428571428571397E-2</v>
      </c>
      <c r="N91" s="357">
        <f t="shared" si="99"/>
        <v>0.15217391304347827</v>
      </c>
      <c r="O91" s="357">
        <f t="shared" si="100"/>
        <v>0.10526315789473695</v>
      </c>
      <c r="P91" s="357">
        <f t="shared" si="101"/>
        <v>3.0303030303030276E-2</v>
      </c>
      <c r="Q91" s="357">
        <f t="shared" si="102"/>
        <v>9.9640933572710866E-2</v>
      </c>
      <c r="R91" s="357">
        <f t="shared" si="103"/>
        <v>0</v>
      </c>
      <c r="S91" s="357">
        <f t="shared" si="104"/>
        <v>2.4242424242424176E-2</v>
      </c>
      <c r="T91" s="357">
        <f t="shared" si="105"/>
        <v>0</v>
      </c>
      <c r="U91" s="379">
        <f t="shared" si="106"/>
        <v>0</v>
      </c>
      <c r="W91" s="451">
        <f t="shared" si="107"/>
        <v>6.8992871486951421E-2</v>
      </c>
      <c r="X91" s="357">
        <f t="shared" si="81"/>
        <v>0.14165051706302684</v>
      </c>
      <c r="Y91" s="357">
        <f t="shared" si="82"/>
        <v>0.10008345855698263</v>
      </c>
      <c r="Z91" s="357">
        <f t="shared" si="83"/>
        <v>2.9852963149681128E-2</v>
      </c>
      <c r="AA91" s="357">
        <f t="shared" si="84"/>
        <v>9.4983702491597946E-2</v>
      </c>
      <c r="AB91" s="357">
        <f t="shared" si="85"/>
        <v>0</v>
      </c>
      <c r="AC91" s="357">
        <f t="shared" si="86"/>
        <v>2.3953241022492796E-2</v>
      </c>
      <c r="AD91" s="357">
        <f t="shared" si="87"/>
        <v>0</v>
      </c>
      <c r="AE91" s="379">
        <f t="shared" si="88"/>
        <v>0</v>
      </c>
      <c r="AG91" s="451">
        <f t="shared" si="89"/>
        <v>4.9956496751003443E-2</v>
      </c>
      <c r="AH91" s="357">
        <f t="shared" si="90"/>
        <v>0.13106383612620501</v>
      </c>
      <c r="AI91" s="357">
        <f t="shared" si="91"/>
        <v>9.0997951605621671E-2</v>
      </c>
      <c r="AJ91" s="357">
        <f t="shared" si="92"/>
        <v>2.0354441680192011E-2</v>
      </c>
      <c r="AK91" s="357">
        <f t="shared" si="93"/>
        <v>9.3184260287144105E-2</v>
      </c>
      <c r="AL91" s="357">
        <f t="shared" si="94"/>
        <v>-4.4708067204976532E-4</v>
      </c>
      <c r="AM91" s="357">
        <f t="shared" si="95"/>
        <v>2.4071777507323276E-2</v>
      </c>
      <c r="AN91" s="357">
        <f t="shared" si="96"/>
        <v>1.9070751392640699E-5</v>
      </c>
      <c r="AO91" s="379">
        <f t="shared" si="97"/>
        <v>5.4711961047645428E-5</v>
      </c>
    </row>
    <row r="92" spans="2:41" x14ac:dyDescent="0.25">
      <c r="B92" s="449">
        <v>42969</v>
      </c>
      <c r="C92" s="237">
        <v>450</v>
      </c>
      <c r="D92" s="237">
        <v>380</v>
      </c>
      <c r="E92" s="237">
        <v>278</v>
      </c>
      <c r="F92" s="237">
        <v>185</v>
      </c>
      <c r="G92" s="237">
        <v>292</v>
      </c>
      <c r="H92" s="237">
        <v>190</v>
      </c>
      <c r="I92" s="237">
        <v>170</v>
      </c>
      <c r="J92" s="237">
        <v>155</v>
      </c>
      <c r="K92" s="450">
        <v>155</v>
      </c>
      <c r="M92" s="451">
        <f t="shared" si="98"/>
        <v>7.1428571428571397E-2</v>
      </c>
      <c r="N92" s="357">
        <f t="shared" si="99"/>
        <v>0.4339622641509433</v>
      </c>
      <c r="O92" s="357">
        <f t="shared" si="100"/>
        <v>0.32380952380952377</v>
      </c>
      <c r="P92" s="357">
        <f t="shared" si="101"/>
        <v>8.8235294117646967E-2</v>
      </c>
      <c r="Q92" s="357">
        <f t="shared" si="102"/>
        <v>0.19183673469387763</v>
      </c>
      <c r="R92" s="357">
        <f t="shared" si="103"/>
        <v>0</v>
      </c>
      <c r="S92" s="357">
        <f t="shared" si="104"/>
        <v>5.9171597633136397E-3</v>
      </c>
      <c r="T92" s="357">
        <f t="shared" si="105"/>
        <v>0</v>
      </c>
      <c r="U92" s="379">
        <f t="shared" si="106"/>
        <v>0</v>
      </c>
      <c r="W92" s="451">
        <f t="shared" si="107"/>
        <v>6.8992871486951421E-2</v>
      </c>
      <c r="X92" s="357">
        <f t="shared" si="81"/>
        <v>0.3604414267342092</v>
      </c>
      <c r="Y92" s="357">
        <f t="shared" si="82"/>
        <v>0.28051358297316836</v>
      </c>
      <c r="Z92" s="357">
        <f t="shared" si="83"/>
        <v>8.4557388028062966E-2</v>
      </c>
      <c r="AA92" s="357">
        <f t="shared" si="84"/>
        <v>0.17549559172355483</v>
      </c>
      <c r="AB92" s="357">
        <f t="shared" si="85"/>
        <v>0</v>
      </c>
      <c r="AC92" s="357">
        <f t="shared" si="86"/>
        <v>5.899722127188322E-3</v>
      </c>
      <c r="AD92" s="357">
        <f t="shared" si="87"/>
        <v>0</v>
      </c>
      <c r="AE92" s="379">
        <f t="shared" si="88"/>
        <v>0</v>
      </c>
      <c r="AG92" s="451">
        <f t="shared" si="89"/>
        <v>4.9956496751003443E-2</v>
      </c>
      <c r="AH92" s="357">
        <f t="shared" si="90"/>
        <v>0.41285218723367006</v>
      </c>
      <c r="AI92" s="357">
        <f t="shared" si="91"/>
        <v>0.30954431752040851</v>
      </c>
      <c r="AJ92" s="357">
        <f t="shared" si="92"/>
        <v>7.8286705494808706E-2</v>
      </c>
      <c r="AK92" s="357">
        <f t="shared" si="93"/>
        <v>0.18538006140831087</v>
      </c>
      <c r="AL92" s="357">
        <f t="shared" si="94"/>
        <v>-4.4708067204976532E-4</v>
      </c>
      <c r="AM92" s="357">
        <f t="shared" si="95"/>
        <v>5.7465130282127411E-3</v>
      </c>
      <c r="AN92" s="357">
        <f t="shared" si="96"/>
        <v>1.9070751392640699E-5</v>
      </c>
      <c r="AO92" s="379">
        <f t="shared" si="97"/>
        <v>5.4711961047645428E-5</v>
      </c>
    </row>
    <row r="93" spans="2:41" x14ac:dyDescent="0.25">
      <c r="B93" s="449">
        <v>42976</v>
      </c>
      <c r="C93" s="237">
        <v>408</v>
      </c>
      <c r="D93" s="237">
        <v>302</v>
      </c>
      <c r="E93" s="237">
        <v>210</v>
      </c>
      <c r="F93" s="237">
        <v>175</v>
      </c>
      <c r="G93" s="237">
        <v>273.75</v>
      </c>
      <c r="H93" s="237">
        <v>195</v>
      </c>
      <c r="I93" s="237">
        <v>170</v>
      </c>
      <c r="J93" s="237">
        <v>160</v>
      </c>
      <c r="K93" s="450">
        <v>155</v>
      </c>
      <c r="M93" s="451">
        <f t="shared" si="98"/>
        <v>-9.3333333333333379E-2</v>
      </c>
      <c r="N93" s="357">
        <f t="shared" si="99"/>
        <v>-0.20526315789473681</v>
      </c>
      <c r="O93" s="357">
        <f t="shared" si="100"/>
        <v>-0.24460431654676262</v>
      </c>
      <c r="P93" s="357">
        <f t="shared" si="101"/>
        <v>-5.4054054054054057E-2</v>
      </c>
      <c r="Q93" s="357">
        <f t="shared" si="102"/>
        <v>-6.25E-2</v>
      </c>
      <c r="R93" s="357">
        <f t="shared" si="103"/>
        <v>2.6315789473684292E-2</v>
      </c>
      <c r="S93" s="357">
        <f t="shared" si="104"/>
        <v>0</v>
      </c>
      <c r="T93" s="357">
        <f t="shared" si="105"/>
        <v>3.2258064516129004E-2</v>
      </c>
      <c r="U93" s="379">
        <f t="shared" si="106"/>
        <v>0</v>
      </c>
      <c r="W93" s="451">
        <f t="shared" si="107"/>
        <v>-9.7980408360203788E-2</v>
      </c>
      <c r="X93" s="357">
        <f t="shared" si="81"/>
        <v>-0.22974423534556179</v>
      </c>
      <c r="Y93" s="357">
        <f t="shared" si="82"/>
        <v>-0.28051358297316842</v>
      </c>
      <c r="Z93" s="357">
        <f t="shared" si="83"/>
        <v>-5.5569851154810765E-2</v>
      </c>
      <c r="AA93" s="357">
        <f t="shared" si="84"/>
        <v>-6.4538521137571178E-2</v>
      </c>
      <c r="AB93" s="357">
        <f t="shared" si="85"/>
        <v>2.5975486403260736E-2</v>
      </c>
      <c r="AC93" s="357">
        <f t="shared" si="86"/>
        <v>0</v>
      </c>
      <c r="AD93" s="357">
        <f t="shared" si="87"/>
        <v>3.174869831458027E-2</v>
      </c>
      <c r="AE93" s="379">
        <f t="shared" si="88"/>
        <v>0</v>
      </c>
      <c r="AG93" s="451">
        <f t="shared" si="89"/>
        <v>-0.11480540801090133</v>
      </c>
      <c r="AH93" s="357">
        <f t="shared" si="90"/>
        <v>-0.22637323481201008</v>
      </c>
      <c r="AI93" s="357">
        <f t="shared" si="91"/>
        <v>-0.25886952283587789</v>
      </c>
      <c r="AJ93" s="357">
        <f t="shared" si="92"/>
        <v>-6.4002642676892318E-2</v>
      </c>
      <c r="AK93" s="357">
        <f t="shared" si="93"/>
        <v>-6.8956673285566761E-2</v>
      </c>
      <c r="AL93" s="357">
        <f t="shared" si="94"/>
        <v>2.5868708801634527E-2</v>
      </c>
      <c r="AM93" s="357">
        <f t="shared" si="95"/>
        <v>-1.7064673510089895E-4</v>
      </c>
      <c r="AN93" s="357">
        <f t="shared" si="96"/>
        <v>3.2277135267521642E-2</v>
      </c>
      <c r="AO93" s="379">
        <f t="shared" si="97"/>
        <v>5.4711961047645428E-5</v>
      </c>
    </row>
    <row r="94" spans="2:41" x14ac:dyDescent="0.25">
      <c r="B94" s="449">
        <v>42983</v>
      </c>
      <c r="C94" s="237">
        <v>415</v>
      </c>
      <c r="D94" s="237">
        <v>315</v>
      </c>
      <c r="E94" s="237">
        <v>205</v>
      </c>
      <c r="F94" s="237">
        <v>165</v>
      </c>
      <c r="G94" s="237">
        <v>275</v>
      </c>
      <c r="H94" s="237">
        <v>195</v>
      </c>
      <c r="I94" s="237">
        <v>170</v>
      </c>
      <c r="J94" s="237">
        <v>160</v>
      </c>
      <c r="K94" s="450">
        <v>155</v>
      </c>
      <c r="M94" s="451">
        <f t="shared" si="98"/>
        <v>1.7156862745097978E-2</v>
      </c>
      <c r="N94" s="357">
        <f t="shared" si="99"/>
        <v>4.3046357615894149E-2</v>
      </c>
      <c r="O94" s="357">
        <f t="shared" si="100"/>
        <v>-2.3809523809523836E-2</v>
      </c>
      <c r="P94" s="357">
        <f t="shared" si="101"/>
        <v>-5.7142857142857162E-2</v>
      </c>
      <c r="Q94" s="357">
        <f t="shared" si="102"/>
        <v>4.5662100456620447E-3</v>
      </c>
      <c r="R94" s="357">
        <f t="shared" si="103"/>
        <v>0</v>
      </c>
      <c r="S94" s="357">
        <f t="shared" si="104"/>
        <v>0</v>
      </c>
      <c r="T94" s="357">
        <f t="shared" si="105"/>
        <v>0</v>
      </c>
      <c r="U94" s="379">
        <f t="shared" si="106"/>
        <v>0</v>
      </c>
      <c r="W94" s="451">
        <f t="shared" si="107"/>
        <v>1.7011345826536538E-2</v>
      </c>
      <c r="X94" s="357">
        <f t="shared" si="81"/>
        <v>4.2145621450763532E-2</v>
      </c>
      <c r="Y94" s="357">
        <f t="shared" si="82"/>
        <v>-2.409755157906053E-2</v>
      </c>
      <c r="Z94" s="357">
        <f t="shared" si="83"/>
        <v>-5.8840500022933465E-2</v>
      </c>
      <c r="AA94" s="357">
        <f t="shared" si="84"/>
        <v>4.5558165358606613E-3</v>
      </c>
      <c r="AB94" s="357">
        <f t="shared" si="85"/>
        <v>0</v>
      </c>
      <c r="AC94" s="357">
        <f t="shared" si="86"/>
        <v>0</v>
      </c>
      <c r="AD94" s="357">
        <f t="shared" si="87"/>
        <v>0</v>
      </c>
      <c r="AE94" s="379">
        <f t="shared" si="88"/>
        <v>0</v>
      </c>
      <c r="AG94" s="451">
        <f t="shared" si="89"/>
        <v>-4.3152119324699791E-3</v>
      </c>
      <c r="AH94" s="357">
        <f t="shared" si="90"/>
        <v>2.1936280698620896E-2</v>
      </c>
      <c r="AI94" s="357">
        <f t="shared" si="91"/>
        <v>-3.8074730098639112E-2</v>
      </c>
      <c r="AJ94" s="357">
        <f t="shared" si="92"/>
        <v>-6.7091445765695423E-2</v>
      </c>
      <c r="AK94" s="357">
        <f t="shared" si="93"/>
        <v>-1.8904632399047222E-3</v>
      </c>
      <c r="AL94" s="357">
        <f t="shared" si="94"/>
        <v>-4.4708067204976532E-4</v>
      </c>
      <c r="AM94" s="357">
        <f t="shared" si="95"/>
        <v>-1.7064673510089895E-4</v>
      </c>
      <c r="AN94" s="357">
        <f t="shared" si="96"/>
        <v>1.9070751392640699E-5</v>
      </c>
      <c r="AO94" s="379">
        <f t="shared" si="97"/>
        <v>5.4711961047645428E-5</v>
      </c>
    </row>
    <row r="95" spans="2:41" x14ac:dyDescent="0.25">
      <c r="B95" s="449">
        <v>42990</v>
      </c>
      <c r="C95" s="237">
        <v>440</v>
      </c>
      <c r="D95" s="237">
        <v>395</v>
      </c>
      <c r="E95" s="237">
        <v>297</v>
      </c>
      <c r="F95" s="237">
        <v>197</v>
      </c>
      <c r="G95" s="237">
        <v>332.25</v>
      </c>
      <c r="H95" s="237">
        <v>200</v>
      </c>
      <c r="I95" s="237">
        <v>170</v>
      </c>
      <c r="J95" s="237">
        <v>160</v>
      </c>
      <c r="K95" s="450">
        <v>155</v>
      </c>
      <c r="M95" s="451">
        <f t="shared" si="98"/>
        <v>6.024096385542177E-2</v>
      </c>
      <c r="N95" s="357">
        <f t="shared" si="99"/>
        <v>0.25396825396825395</v>
      </c>
      <c r="O95" s="357">
        <f t="shared" si="100"/>
        <v>0.448780487804878</v>
      </c>
      <c r="P95" s="357">
        <f t="shared" si="101"/>
        <v>0.19393939393939386</v>
      </c>
      <c r="Q95" s="357">
        <f t="shared" si="102"/>
        <v>0.20818181818181825</v>
      </c>
      <c r="R95" s="357">
        <f t="shared" si="103"/>
        <v>2.564102564102555E-2</v>
      </c>
      <c r="S95" s="357">
        <f t="shared" si="104"/>
        <v>0</v>
      </c>
      <c r="T95" s="357">
        <f t="shared" si="105"/>
        <v>0</v>
      </c>
      <c r="U95" s="379">
        <f t="shared" si="106"/>
        <v>0</v>
      </c>
      <c r="W95" s="451">
        <f t="shared" si="107"/>
        <v>5.8496206681608626E-2</v>
      </c>
      <c r="X95" s="357">
        <f t="shared" si="81"/>
        <v>0.22631312607548879</v>
      </c>
      <c r="Y95" s="357">
        <f t="shared" si="82"/>
        <v>0.3707221596642914</v>
      </c>
      <c r="Z95" s="357">
        <f t="shared" si="83"/>
        <v>0.17725825483740781</v>
      </c>
      <c r="AA95" s="357">
        <f t="shared" si="84"/>
        <v>0.18911659992678348</v>
      </c>
      <c r="AB95" s="357">
        <f t="shared" si="85"/>
        <v>2.5317807984289786E-2</v>
      </c>
      <c r="AC95" s="357">
        <f t="shared" si="86"/>
        <v>0</v>
      </c>
      <c r="AD95" s="357">
        <f t="shared" si="87"/>
        <v>0</v>
      </c>
      <c r="AE95" s="379">
        <f t="shared" si="88"/>
        <v>0</v>
      </c>
      <c r="AG95" s="451">
        <f t="shared" si="89"/>
        <v>3.8768889177853816E-2</v>
      </c>
      <c r="AH95" s="357">
        <f t="shared" si="90"/>
        <v>0.23285817705098069</v>
      </c>
      <c r="AI95" s="357">
        <f t="shared" si="91"/>
        <v>0.43451528151576274</v>
      </c>
      <c r="AJ95" s="357">
        <f t="shared" si="92"/>
        <v>0.18399080531655559</v>
      </c>
      <c r="AK95" s="357">
        <f t="shared" si="93"/>
        <v>0.20172514489625148</v>
      </c>
      <c r="AL95" s="357">
        <f t="shared" si="94"/>
        <v>2.5193944968975784E-2</v>
      </c>
      <c r="AM95" s="357">
        <f t="shared" si="95"/>
        <v>-1.7064673510089895E-4</v>
      </c>
      <c r="AN95" s="357">
        <f t="shared" si="96"/>
        <v>1.9070751392640699E-5</v>
      </c>
      <c r="AO95" s="379">
        <f t="shared" si="97"/>
        <v>5.4711961047645428E-5</v>
      </c>
    </row>
    <row r="96" spans="2:41" x14ac:dyDescent="0.25">
      <c r="B96" s="449">
        <v>42997</v>
      </c>
      <c r="C96" s="237">
        <v>460</v>
      </c>
      <c r="D96" s="237">
        <v>425</v>
      </c>
      <c r="E96" s="237">
        <v>325</v>
      </c>
      <c r="F96" s="237">
        <v>240</v>
      </c>
      <c r="G96" s="237">
        <v>362.5</v>
      </c>
      <c r="H96" s="237">
        <v>215</v>
      </c>
      <c r="I96" s="237">
        <v>170</v>
      </c>
      <c r="J96" s="237">
        <v>160</v>
      </c>
      <c r="K96" s="450">
        <v>155</v>
      </c>
      <c r="M96" s="451">
        <f t="shared" si="98"/>
        <v>4.5454545454545414E-2</v>
      </c>
      <c r="N96" s="357">
        <f t="shared" si="99"/>
        <v>7.5949367088607556E-2</v>
      </c>
      <c r="O96" s="357">
        <f t="shared" si="100"/>
        <v>9.4276094276094291E-2</v>
      </c>
      <c r="P96" s="357">
        <f t="shared" si="101"/>
        <v>0.218274111675127</v>
      </c>
      <c r="Q96" s="357">
        <f t="shared" si="102"/>
        <v>9.1045899172309985E-2</v>
      </c>
      <c r="R96" s="357">
        <f t="shared" si="103"/>
        <v>7.4999999999999956E-2</v>
      </c>
      <c r="S96" s="357">
        <f t="shared" si="104"/>
        <v>0</v>
      </c>
      <c r="T96" s="357">
        <f t="shared" si="105"/>
        <v>0</v>
      </c>
      <c r="U96" s="379">
        <f t="shared" si="106"/>
        <v>0</v>
      </c>
      <c r="W96" s="451">
        <f t="shared" si="107"/>
        <v>4.4451762570833796E-2</v>
      </c>
      <c r="X96" s="357">
        <f t="shared" si="81"/>
        <v>7.3203404023294921E-2</v>
      </c>
      <c r="Y96" s="357">
        <f t="shared" si="82"/>
        <v>9.0093043527037883E-2</v>
      </c>
      <c r="Z96" s="357">
        <f t="shared" si="83"/>
        <v>0.19743519460400288</v>
      </c>
      <c r="AA96" s="357">
        <f t="shared" si="84"/>
        <v>8.7136776701374735E-2</v>
      </c>
      <c r="AB96" s="357">
        <f t="shared" si="85"/>
        <v>7.2320661579626078E-2</v>
      </c>
      <c r="AC96" s="357">
        <f t="shared" si="86"/>
        <v>0</v>
      </c>
      <c r="AD96" s="357">
        <f t="shared" si="87"/>
        <v>0</v>
      </c>
      <c r="AE96" s="379">
        <f t="shared" si="88"/>
        <v>0</v>
      </c>
      <c r="AG96" s="451">
        <f t="shared" si="89"/>
        <v>2.3982470776977457E-2</v>
      </c>
      <c r="AH96" s="357">
        <f t="shared" si="90"/>
        <v>5.4839290171334307E-2</v>
      </c>
      <c r="AI96" s="357">
        <f t="shared" si="91"/>
        <v>8.0010887986979015E-2</v>
      </c>
      <c r="AJ96" s="357">
        <f t="shared" si="92"/>
        <v>0.20832552305228874</v>
      </c>
      <c r="AK96" s="357">
        <f t="shared" si="93"/>
        <v>8.4589225886743225E-2</v>
      </c>
      <c r="AL96" s="357">
        <f t="shared" si="94"/>
        <v>7.455291932795019E-2</v>
      </c>
      <c r="AM96" s="357">
        <f t="shared" si="95"/>
        <v>-1.7064673510089895E-4</v>
      </c>
      <c r="AN96" s="357">
        <f t="shared" si="96"/>
        <v>1.9070751392640699E-5</v>
      </c>
      <c r="AO96" s="379">
        <f t="shared" si="97"/>
        <v>5.4711961047645428E-5</v>
      </c>
    </row>
    <row r="97" spans="2:41" x14ac:dyDescent="0.25">
      <c r="B97" s="449">
        <v>43004</v>
      </c>
      <c r="C97" s="237">
        <v>465</v>
      </c>
      <c r="D97" s="237">
        <v>420</v>
      </c>
      <c r="E97" s="237">
        <v>270</v>
      </c>
      <c r="F97" s="237">
        <v>220</v>
      </c>
      <c r="G97" s="237">
        <v>343.75</v>
      </c>
      <c r="H97" s="237">
        <v>215</v>
      </c>
      <c r="I97" s="237">
        <v>170</v>
      </c>
      <c r="J97" s="237">
        <v>160</v>
      </c>
      <c r="K97" s="450">
        <v>155</v>
      </c>
      <c r="M97" s="451">
        <f t="shared" si="98"/>
        <v>1.0869565217391353E-2</v>
      </c>
      <c r="N97" s="357">
        <f t="shared" si="99"/>
        <v>-1.1764705882352899E-2</v>
      </c>
      <c r="O97" s="357">
        <f t="shared" si="100"/>
        <v>-0.16923076923076918</v>
      </c>
      <c r="P97" s="357">
        <f t="shared" si="101"/>
        <v>-8.333333333333337E-2</v>
      </c>
      <c r="Q97" s="357">
        <f t="shared" si="102"/>
        <v>-5.1724137931034475E-2</v>
      </c>
      <c r="R97" s="357">
        <f t="shared" si="103"/>
        <v>0</v>
      </c>
      <c r="S97" s="357">
        <f t="shared" si="104"/>
        <v>0</v>
      </c>
      <c r="T97" s="357">
        <f t="shared" si="105"/>
        <v>0</v>
      </c>
      <c r="U97" s="379">
        <f t="shared" si="106"/>
        <v>0</v>
      </c>
      <c r="W97" s="451">
        <f t="shared" si="107"/>
        <v>1.0810916104215676E-2</v>
      </c>
      <c r="X97" s="357">
        <f t="shared" si="81"/>
        <v>-1.1834457647002796E-2</v>
      </c>
      <c r="Y97" s="357">
        <f t="shared" si="82"/>
        <v>-0.18540322333136267</v>
      </c>
      <c r="Z97" s="357">
        <f t="shared" si="83"/>
        <v>-8.701137698962981E-2</v>
      </c>
      <c r="AA97" s="357">
        <f t="shared" si="84"/>
        <v>-5.3109825313948408E-2</v>
      </c>
      <c r="AB97" s="357">
        <f t="shared" si="85"/>
        <v>0</v>
      </c>
      <c r="AC97" s="357">
        <f t="shared" si="86"/>
        <v>0</v>
      </c>
      <c r="AD97" s="357">
        <f t="shared" si="87"/>
        <v>0</v>
      </c>
      <c r="AE97" s="379">
        <f t="shared" si="88"/>
        <v>0</v>
      </c>
      <c r="AG97" s="451">
        <f t="shared" si="89"/>
        <v>-1.0602509460176605E-2</v>
      </c>
      <c r="AH97" s="357">
        <f t="shared" si="90"/>
        <v>-3.2874782799626148E-2</v>
      </c>
      <c r="AI97" s="357">
        <f t="shared" si="91"/>
        <v>-0.18349597551988445</v>
      </c>
      <c r="AJ97" s="357">
        <f t="shared" si="92"/>
        <v>-9.3281921956171632E-2</v>
      </c>
      <c r="AK97" s="357">
        <f t="shared" si="93"/>
        <v>-5.8180811216601243E-2</v>
      </c>
      <c r="AL97" s="357">
        <f t="shared" si="94"/>
        <v>-4.4708067204976532E-4</v>
      </c>
      <c r="AM97" s="357">
        <f t="shared" si="95"/>
        <v>-1.7064673510089895E-4</v>
      </c>
      <c r="AN97" s="357">
        <f t="shared" si="96"/>
        <v>1.9070751392640699E-5</v>
      </c>
      <c r="AO97" s="379">
        <f t="shared" si="97"/>
        <v>5.4711961047645428E-5</v>
      </c>
    </row>
    <row r="98" spans="2:41" x14ac:dyDescent="0.25">
      <c r="B98" s="449">
        <v>43012</v>
      </c>
      <c r="C98" s="237">
        <v>450</v>
      </c>
      <c r="D98" s="237">
        <v>360</v>
      </c>
      <c r="E98" s="237">
        <v>255</v>
      </c>
      <c r="F98" s="237">
        <v>220</v>
      </c>
      <c r="G98" s="237">
        <v>355</v>
      </c>
      <c r="H98" s="237">
        <v>230</v>
      </c>
      <c r="I98" s="237">
        <v>175</v>
      </c>
      <c r="J98" s="237">
        <v>160</v>
      </c>
      <c r="K98" s="450">
        <v>155</v>
      </c>
      <c r="M98" s="451">
        <f t="shared" si="98"/>
        <v>-3.2258064516129004E-2</v>
      </c>
      <c r="N98" s="357">
        <f t="shared" si="99"/>
        <v>-0.1428571428571429</v>
      </c>
      <c r="O98" s="357">
        <f t="shared" si="100"/>
        <v>-5.555555555555558E-2</v>
      </c>
      <c r="P98" s="357">
        <f t="shared" si="101"/>
        <v>0</v>
      </c>
      <c r="Q98" s="357">
        <f t="shared" si="102"/>
        <v>3.2727272727272716E-2</v>
      </c>
      <c r="R98" s="357">
        <f t="shared" si="103"/>
        <v>6.9767441860465018E-2</v>
      </c>
      <c r="S98" s="357">
        <f t="shared" si="104"/>
        <v>2.9411764705882248E-2</v>
      </c>
      <c r="T98" s="357">
        <f t="shared" si="105"/>
        <v>0</v>
      </c>
      <c r="U98" s="379">
        <f t="shared" si="106"/>
        <v>0</v>
      </c>
      <c r="W98" s="451">
        <f t="shared" si="107"/>
        <v>-3.2789822822990838E-2</v>
      </c>
      <c r="X98" s="357">
        <f t="shared" si="81"/>
        <v>-0.15415067982725836</v>
      </c>
      <c r="Y98" s="357">
        <f t="shared" si="82"/>
        <v>-5.7158413839948637E-2</v>
      </c>
      <c r="Z98" s="357">
        <f t="shared" si="83"/>
        <v>0</v>
      </c>
      <c r="AA98" s="357">
        <f t="shared" si="84"/>
        <v>3.2203140494634734E-2</v>
      </c>
      <c r="AB98" s="357">
        <f t="shared" si="85"/>
        <v>6.7441280795532479E-2</v>
      </c>
      <c r="AC98" s="357">
        <f t="shared" si="86"/>
        <v>2.8987536873252187E-2</v>
      </c>
      <c r="AD98" s="357">
        <f t="shared" si="87"/>
        <v>0</v>
      </c>
      <c r="AE98" s="379">
        <f t="shared" si="88"/>
        <v>0</v>
      </c>
      <c r="AG98" s="451">
        <f t="shared" si="89"/>
        <v>-5.3730139193696957E-2</v>
      </c>
      <c r="AH98" s="357">
        <f t="shared" si="90"/>
        <v>-0.16396721977441617</v>
      </c>
      <c r="AI98" s="357">
        <f t="shared" si="91"/>
        <v>-6.9820761844670856E-2</v>
      </c>
      <c r="AJ98" s="357">
        <f t="shared" si="92"/>
        <v>-9.9485886228382649E-3</v>
      </c>
      <c r="AK98" s="357">
        <f t="shared" si="93"/>
        <v>2.6270599441705948E-2</v>
      </c>
      <c r="AL98" s="357">
        <f t="shared" si="94"/>
        <v>6.9320361188415253E-2</v>
      </c>
      <c r="AM98" s="357">
        <f t="shared" si="95"/>
        <v>2.9241117970781348E-2</v>
      </c>
      <c r="AN98" s="357">
        <f t="shared" si="96"/>
        <v>1.9070751392640699E-5</v>
      </c>
      <c r="AO98" s="379">
        <f t="shared" si="97"/>
        <v>5.4711961047645428E-5</v>
      </c>
    </row>
    <row r="99" spans="2:41" x14ac:dyDescent="0.25">
      <c r="B99" s="449">
        <v>43018</v>
      </c>
      <c r="C99" s="237">
        <v>450</v>
      </c>
      <c r="D99" s="237">
        <v>400</v>
      </c>
      <c r="E99" s="237">
        <v>310</v>
      </c>
      <c r="F99" s="237">
        <v>220</v>
      </c>
      <c r="G99" s="237">
        <v>386.66666666666669</v>
      </c>
      <c r="H99" s="237">
        <v>245</v>
      </c>
      <c r="I99" s="237">
        <v>175</v>
      </c>
      <c r="J99" s="237">
        <v>160</v>
      </c>
      <c r="K99" s="450">
        <v>155</v>
      </c>
      <c r="M99" s="451">
        <f t="shared" si="98"/>
        <v>0</v>
      </c>
      <c r="N99" s="357">
        <f t="shared" si="99"/>
        <v>0.11111111111111116</v>
      </c>
      <c r="O99" s="357">
        <f t="shared" si="100"/>
        <v>0.21568627450980382</v>
      </c>
      <c r="P99" s="357">
        <f t="shared" si="101"/>
        <v>0</v>
      </c>
      <c r="Q99" s="357">
        <f t="shared" si="102"/>
        <v>8.9201877934272256E-2</v>
      </c>
      <c r="R99" s="357">
        <f t="shared" si="103"/>
        <v>6.5217391304347894E-2</v>
      </c>
      <c r="S99" s="357">
        <f t="shared" si="104"/>
        <v>0</v>
      </c>
      <c r="T99" s="357">
        <f t="shared" si="105"/>
        <v>0</v>
      </c>
      <c r="U99" s="379">
        <f t="shared" si="106"/>
        <v>0</v>
      </c>
      <c r="W99" s="451">
        <f t="shared" si="107"/>
        <v>0</v>
      </c>
      <c r="X99" s="357">
        <f t="shared" si="81"/>
        <v>0.10536051565782635</v>
      </c>
      <c r="Y99" s="357">
        <f t="shared" si="82"/>
        <v>0.19530875232076569</v>
      </c>
      <c r="Z99" s="357">
        <f t="shared" si="83"/>
        <v>0</v>
      </c>
      <c r="AA99" s="357">
        <f t="shared" si="84"/>
        <v>8.5445205956884804E-2</v>
      </c>
      <c r="AB99" s="357">
        <f t="shared" si="85"/>
        <v>6.3178901621531669E-2</v>
      </c>
      <c r="AC99" s="357">
        <f t="shared" si="86"/>
        <v>0</v>
      </c>
      <c r="AD99" s="357">
        <f t="shared" si="87"/>
        <v>0</v>
      </c>
      <c r="AE99" s="379">
        <f t="shared" si="88"/>
        <v>0</v>
      </c>
      <c r="AG99" s="451">
        <f t="shared" si="89"/>
        <v>-2.1472074677567957E-2</v>
      </c>
      <c r="AH99" s="357">
        <f t="shared" si="90"/>
        <v>9.0001034193837912E-2</v>
      </c>
      <c r="AI99" s="357">
        <f t="shared" si="91"/>
        <v>0.20142106822068856</v>
      </c>
      <c r="AJ99" s="357">
        <f t="shared" si="92"/>
        <v>-9.9485886228382649E-3</v>
      </c>
      <c r="AK99" s="357">
        <f t="shared" si="93"/>
        <v>8.2745204648705495E-2</v>
      </c>
      <c r="AL99" s="357">
        <f t="shared" si="94"/>
        <v>6.4770310632298128E-2</v>
      </c>
      <c r="AM99" s="357">
        <f t="shared" si="95"/>
        <v>-1.7064673510089895E-4</v>
      </c>
      <c r="AN99" s="357">
        <f t="shared" si="96"/>
        <v>1.9070751392640699E-5</v>
      </c>
      <c r="AO99" s="379">
        <f t="shared" si="97"/>
        <v>5.4711961047645428E-5</v>
      </c>
    </row>
    <row r="100" spans="2:41" x14ac:dyDescent="0.25">
      <c r="B100" s="449">
        <v>43025</v>
      </c>
      <c r="C100" s="237">
        <v>458</v>
      </c>
      <c r="D100" s="237">
        <v>396</v>
      </c>
      <c r="E100" s="237">
        <v>285</v>
      </c>
      <c r="F100" s="237">
        <v>220</v>
      </c>
      <c r="G100" s="237">
        <v>379.66666666666669</v>
      </c>
      <c r="H100" s="237">
        <v>245</v>
      </c>
      <c r="I100" s="237">
        <v>175</v>
      </c>
      <c r="J100" s="237">
        <v>160</v>
      </c>
      <c r="K100" s="450">
        <v>155</v>
      </c>
      <c r="M100" s="451">
        <f t="shared" si="98"/>
        <v>1.777777777777767E-2</v>
      </c>
      <c r="N100" s="357">
        <f t="shared" si="99"/>
        <v>-1.0000000000000009E-2</v>
      </c>
      <c r="O100" s="357">
        <f t="shared" si="100"/>
        <v>-8.064516129032262E-2</v>
      </c>
      <c r="P100" s="357">
        <f t="shared" si="101"/>
        <v>0</v>
      </c>
      <c r="Q100" s="357">
        <f t="shared" si="102"/>
        <v>-1.8103448275862077E-2</v>
      </c>
      <c r="R100" s="357">
        <f t="shared" si="103"/>
        <v>0</v>
      </c>
      <c r="S100" s="357">
        <f t="shared" si="104"/>
        <v>0</v>
      </c>
      <c r="T100" s="357">
        <f t="shared" si="105"/>
        <v>0</v>
      </c>
      <c r="U100" s="379">
        <f t="shared" si="106"/>
        <v>0</v>
      </c>
      <c r="W100" s="451">
        <f t="shared" si="107"/>
        <v>1.762160134981941E-2</v>
      </c>
      <c r="X100" s="357">
        <f t="shared" si="81"/>
        <v>-1.0050335853501451E-2</v>
      </c>
      <c r="Y100" s="357">
        <f t="shared" si="82"/>
        <v>-8.4083117210541444E-2</v>
      </c>
      <c r="Z100" s="357">
        <f t="shared" si="83"/>
        <v>0</v>
      </c>
      <c r="AA100" s="357">
        <f t="shared" si="84"/>
        <v>-1.8269320653228199E-2</v>
      </c>
      <c r="AB100" s="357">
        <f t="shared" si="85"/>
        <v>0</v>
      </c>
      <c r="AC100" s="357">
        <f t="shared" si="86"/>
        <v>0</v>
      </c>
      <c r="AD100" s="357">
        <f t="shared" si="87"/>
        <v>0</v>
      </c>
      <c r="AE100" s="379">
        <f t="shared" si="88"/>
        <v>0</v>
      </c>
      <c r="AG100" s="451">
        <f t="shared" si="89"/>
        <v>-3.6942968997902871E-3</v>
      </c>
      <c r="AH100" s="357">
        <f t="shared" si="90"/>
        <v>-3.1110076917273261E-2</v>
      </c>
      <c r="AI100" s="357">
        <f t="shared" si="91"/>
        <v>-9.4910367579437896E-2</v>
      </c>
      <c r="AJ100" s="357">
        <f t="shared" si="92"/>
        <v>-9.9485886228382649E-3</v>
      </c>
      <c r="AK100" s="357">
        <f t="shared" si="93"/>
        <v>-2.4560121561428845E-2</v>
      </c>
      <c r="AL100" s="357">
        <f t="shared" si="94"/>
        <v>-4.4708067204976532E-4</v>
      </c>
      <c r="AM100" s="357">
        <f t="shared" si="95"/>
        <v>-1.7064673510089895E-4</v>
      </c>
      <c r="AN100" s="357">
        <f t="shared" si="96"/>
        <v>1.9070751392640699E-5</v>
      </c>
      <c r="AO100" s="379">
        <f t="shared" si="97"/>
        <v>5.4711961047645428E-5</v>
      </c>
    </row>
    <row r="101" spans="2:41" x14ac:dyDescent="0.25">
      <c r="B101" s="449">
        <v>43032</v>
      </c>
      <c r="C101" s="237">
        <v>458</v>
      </c>
      <c r="D101" s="237">
        <v>371</v>
      </c>
      <c r="E101" s="237">
        <v>260</v>
      </c>
      <c r="F101" s="237">
        <v>220</v>
      </c>
      <c r="G101" s="237">
        <v>363</v>
      </c>
      <c r="H101" s="237">
        <v>235</v>
      </c>
      <c r="I101" s="237">
        <v>175</v>
      </c>
      <c r="J101" s="237">
        <v>160</v>
      </c>
      <c r="K101" s="450">
        <v>155</v>
      </c>
      <c r="M101" s="451">
        <f t="shared" si="98"/>
        <v>0</v>
      </c>
      <c r="N101" s="357">
        <f t="shared" si="99"/>
        <v>-6.3131313131313149E-2</v>
      </c>
      <c r="O101" s="357">
        <f t="shared" si="100"/>
        <v>-8.7719298245614086E-2</v>
      </c>
      <c r="P101" s="357">
        <f t="shared" si="101"/>
        <v>0</v>
      </c>
      <c r="Q101" s="357">
        <f t="shared" si="102"/>
        <v>-4.3898156277436429E-2</v>
      </c>
      <c r="R101" s="357">
        <f t="shared" si="103"/>
        <v>-4.081632653061229E-2</v>
      </c>
      <c r="S101" s="357">
        <f t="shared" si="104"/>
        <v>0</v>
      </c>
      <c r="T101" s="357">
        <f t="shared" si="105"/>
        <v>0</v>
      </c>
      <c r="U101" s="379">
        <f t="shared" si="106"/>
        <v>0</v>
      </c>
      <c r="W101" s="451">
        <f t="shared" si="107"/>
        <v>0</v>
      </c>
      <c r="X101" s="357">
        <f t="shared" si="81"/>
        <v>-6.5212148647045429E-2</v>
      </c>
      <c r="Y101" s="357">
        <f t="shared" si="82"/>
        <v>-9.1807549253122858E-2</v>
      </c>
      <c r="Z101" s="357">
        <f t="shared" si="83"/>
        <v>0</v>
      </c>
      <c r="AA101" s="357">
        <f t="shared" si="84"/>
        <v>-4.4890840514221757E-2</v>
      </c>
      <c r="AB101" s="357">
        <f t="shared" si="85"/>
        <v>-4.1672696400568074E-2</v>
      </c>
      <c r="AC101" s="357">
        <f t="shared" si="86"/>
        <v>0</v>
      </c>
      <c r="AD101" s="357">
        <f t="shared" si="87"/>
        <v>0</v>
      </c>
      <c r="AE101" s="379">
        <f t="shared" si="88"/>
        <v>0</v>
      </c>
      <c r="AG101" s="451">
        <f t="shared" si="89"/>
        <v>-2.1472074677567957E-2</v>
      </c>
      <c r="AH101" s="357">
        <f t="shared" si="90"/>
        <v>-8.4241390048586398E-2</v>
      </c>
      <c r="AI101" s="357">
        <f t="shared" si="91"/>
        <v>-0.10198450453472936</v>
      </c>
      <c r="AJ101" s="357">
        <f t="shared" si="92"/>
        <v>-9.9485886228382649E-3</v>
      </c>
      <c r="AK101" s="357">
        <f t="shared" si="93"/>
        <v>-5.0354829563003196E-2</v>
      </c>
      <c r="AL101" s="357">
        <f t="shared" si="94"/>
        <v>-4.1263407202662056E-2</v>
      </c>
      <c r="AM101" s="357">
        <f t="shared" si="95"/>
        <v>-1.7064673510089895E-4</v>
      </c>
      <c r="AN101" s="357">
        <f t="shared" si="96"/>
        <v>1.9070751392640699E-5</v>
      </c>
      <c r="AO101" s="379">
        <f t="shared" si="97"/>
        <v>5.4711961047645428E-5</v>
      </c>
    </row>
    <row r="102" spans="2:41" x14ac:dyDescent="0.25">
      <c r="B102" s="449">
        <v>43039</v>
      </c>
      <c r="C102" s="237">
        <v>460</v>
      </c>
      <c r="D102" s="237">
        <v>395</v>
      </c>
      <c r="E102" s="237">
        <v>285</v>
      </c>
      <c r="F102" s="237">
        <v>220</v>
      </c>
      <c r="G102" s="237">
        <v>380</v>
      </c>
      <c r="H102" s="237">
        <v>235</v>
      </c>
      <c r="I102" s="237">
        <v>175</v>
      </c>
      <c r="J102" s="237">
        <v>160</v>
      </c>
      <c r="K102" s="450">
        <v>155</v>
      </c>
      <c r="M102" s="451">
        <f t="shared" si="98"/>
        <v>4.366812227074135E-3</v>
      </c>
      <c r="N102" s="357">
        <f t="shared" si="99"/>
        <v>6.4690026954177915E-2</v>
      </c>
      <c r="O102" s="357">
        <f t="shared" si="100"/>
        <v>9.6153846153846256E-2</v>
      </c>
      <c r="P102" s="357">
        <f t="shared" si="101"/>
        <v>0</v>
      </c>
      <c r="Q102" s="357">
        <f t="shared" si="102"/>
        <v>4.6831955922864932E-2</v>
      </c>
      <c r="R102" s="357">
        <f t="shared" si="103"/>
        <v>0</v>
      </c>
      <c r="S102" s="357">
        <f t="shared" si="104"/>
        <v>0</v>
      </c>
      <c r="T102" s="357">
        <f t="shared" si="105"/>
        <v>0</v>
      </c>
      <c r="U102" s="379">
        <f t="shared" si="106"/>
        <v>0</v>
      </c>
      <c r="W102" s="451">
        <f t="shared" si="107"/>
        <v>4.3573053689556262E-3</v>
      </c>
      <c r="X102" s="357">
        <f t="shared" si="81"/>
        <v>6.2683702293686749E-2</v>
      </c>
      <c r="Y102" s="357">
        <f t="shared" si="82"/>
        <v>9.1807549253122886E-2</v>
      </c>
      <c r="Z102" s="357">
        <f t="shared" si="83"/>
        <v>0</v>
      </c>
      <c r="AA102" s="357">
        <f t="shared" si="84"/>
        <v>4.5768418455580592E-2</v>
      </c>
      <c r="AB102" s="357">
        <f t="shared" si="85"/>
        <v>0</v>
      </c>
      <c r="AC102" s="357">
        <f t="shared" si="86"/>
        <v>0</v>
      </c>
      <c r="AD102" s="357">
        <f t="shared" si="87"/>
        <v>0</v>
      </c>
      <c r="AE102" s="379">
        <f t="shared" si="88"/>
        <v>0</v>
      </c>
      <c r="AG102" s="451">
        <f t="shared" si="89"/>
        <v>-1.7105262450493822E-2</v>
      </c>
      <c r="AH102" s="357">
        <f t="shared" si="90"/>
        <v>4.3579950036904666E-2</v>
      </c>
      <c r="AI102" s="357">
        <f t="shared" si="91"/>
        <v>8.188863986473098E-2</v>
      </c>
      <c r="AJ102" s="357">
        <f t="shared" si="92"/>
        <v>-9.9485886228382649E-3</v>
      </c>
      <c r="AK102" s="357">
        <f t="shared" si="93"/>
        <v>4.0375282637298164E-2</v>
      </c>
      <c r="AL102" s="357">
        <f t="shared" si="94"/>
        <v>-4.4708067204976532E-4</v>
      </c>
      <c r="AM102" s="357">
        <f t="shared" si="95"/>
        <v>-1.7064673510089895E-4</v>
      </c>
      <c r="AN102" s="357">
        <f t="shared" si="96"/>
        <v>1.9070751392640699E-5</v>
      </c>
      <c r="AO102" s="379">
        <f t="shared" si="97"/>
        <v>5.4711961047645428E-5</v>
      </c>
    </row>
    <row r="103" spans="2:41" x14ac:dyDescent="0.25">
      <c r="B103" s="449">
        <v>43046</v>
      </c>
      <c r="C103" s="237">
        <v>375</v>
      </c>
      <c r="D103" s="237">
        <v>260</v>
      </c>
      <c r="E103" s="237">
        <v>220</v>
      </c>
      <c r="F103" s="237">
        <v>220</v>
      </c>
      <c r="G103" s="237">
        <v>317.5</v>
      </c>
      <c r="H103" s="237">
        <v>235</v>
      </c>
      <c r="I103" s="237">
        <v>175</v>
      </c>
      <c r="J103" s="237">
        <v>160</v>
      </c>
      <c r="K103" s="450">
        <v>155</v>
      </c>
      <c r="M103" s="451">
        <f t="shared" si="98"/>
        <v>-0.18478260869565222</v>
      </c>
      <c r="N103" s="357">
        <f t="shared" si="99"/>
        <v>-0.34177215189873422</v>
      </c>
      <c r="O103" s="357">
        <f t="shared" si="100"/>
        <v>-0.22807017543859653</v>
      </c>
      <c r="P103" s="357">
        <f t="shared" si="101"/>
        <v>0</v>
      </c>
      <c r="Q103" s="357">
        <f t="shared" si="102"/>
        <v>-0.16447368421052633</v>
      </c>
      <c r="R103" s="357">
        <f t="shared" si="103"/>
        <v>0</v>
      </c>
      <c r="S103" s="357">
        <f t="shared" si="104"/>
        <v>0</v>
      </c>
      <c r="T103" s="357">
        <f t="shared" si="105"/>
        <v>0</v>
      </c>
      <c r="U103" s="379">
        <f t="shared" si="106"/>
        <v>0</v>
      </c>
      <c r="W103" s="451">
        <f t="shared" si="107"/>
        <v>-0.20430046351272993</v>
      </c>
      <c r="X103" s="357">
        <f t="shared" si="81"/>
        <v>-0.41820413388559419</v>
      </c>
      <c r="Y103" s="357">
        <f t="shared" si="82"/>
        <v>-0.25886163391628902</v>
      </c>
      <c r="Z103" s="357">
        <f t="shared" si="83"/>
        <v>0</v>
      </c>
      <c r="AA103" s="357">
        <f t="shared" si="84"/>
        <v>-0.17969343438768512</v>
      </c>
      <c r="AB103" s="357">
        <f t="shared" si="85"/>
        <v>0</v>
      </c>
      <c r="AC103" s="357">
        <f t="shared" si="86"/>
        <v>0</v>
      </c>
      <c r="AD103" s="357">
        <f t="shared" si="87"/>
        <v>0</v>
      </c>
      <c r="AE103" s="379">
        <f t="shared" si="88"/>
        <v>0</v>
      </c>
      <c r="AG103" s="451">
        <f t="shared" si="89"/>
        <v>-0.20625468337322017</v>
      </c>
      <c r="AH103" s="357">
        <f t="shared" si="90"/>
        <v>-0.36288222881600746</v>
      </c>
      <c r="AI103" s="357">
        <f t="shared" si="91"/>
        <v>-0.2423353817277118</v>
      </c>
      <c r="AJ103" s="357">
        <f t="shared" si="92"/>
        <v>-9.9485886228382649E-3</v>
      </c>
      <c r="AK103" s="357">
        <f t="shared" si="93"/>
        <v>-0.17093035749609309</v>
      </c>
      <c r="AL103" s="357">
        <f t="shared" si="94"/>
        <v>-4.4708067204976532E-4</v>
      </c>
      <c r="AM103" s="357">
        <f t="shared" si="95"/>
        <v>-1.7064673510089895E-4</v>
      </c>
      <c r="AN103" s="357">
        <f t="shared" si="96"/>
        <v>1.9070751392640699E-5</v>
      </c>
      <c r="AO103" s="379">
        <f t="shared" si="97"/>
        <v>5.4711961047645428E-5</v>
      </c>
    </row>
    <row r="104" spans="2:41" x14ac:dyDescent="0.25">
      <c r="B104" s="449">
        <v>43053</v>
      </c>
      <c r="C104" s="237">
        <v>390</v>
      </c>
      <c r="D104" s="237">
        <v>230</v>
      </c>
      <c r="E104" s="237">
        <v>185</v>
      </c>
      <c r="F104" s="237">
        <v>185</v>
      </c>
      <c r="G104" s="237">
        <v>310</v>
      </c>
      <c r="H104" s="237">
        <v>210</v>
      </c>
      <c r="I104" s="237">
        <v>170</v>
      </c>
      <c r="J104" s="237">
        <v>160</v>
      </c>
      <c r="K104" s="450">
        <v>155</v>
      </c>
      <c r="M104" s="451">
        <f t="shared" si="98"/>
        <v>4.0000000000000036E-2</v>
      </c>
      <c r="N104" s="357">
        <f t="shared" si="99"/>
        <v>-0.11538461538461542</v>
      </c>
      <c r="O104" s="357">
        <f t="shared" si="100"/>
        <v>-0.15909090909090906</v>
      </c>
      <c r="P104" s="357">
        <f t="shared" si="101"/>
        <v>-0.15909090909090906</v>
      </c>
      <c r="Q104" s="357">
        <f t="shared" si="102"/>
        <v>-2.3622047244094446E-2</v>
      </c>
      <c r="R104" s="357">
        <f t="shared" si="103"/>
        <v>-0.1063829787234043</v>
      </c>
      <c r="S104" s="357">
        <f t="shared" si="104"/>
        <v>-2.8571428571428581E-2</v>
      </c>
      <c r="T104" s="357">
        <f t="shared" si="105"/>
        <v>0</v>
      </c>
      <c r="U104" s="379">
        <f t="shared" si="106"/>
        <v>0</v>
      </c>
      <c r="W104" s="451">
        <f t="shared" si="107"/>
        <v>3.9220713153281329E-2</v>
      </c>
      <c r="X104" s="357">
        <f t="shared" si="81"/>
        <v>-0.12260232209233239</v>
      </c>
      <c r="Y104" s="357">
        <f t="shared" si="82"/>
        <v>-0.17327172127403667</v>
      </c>
      <c r="Z104" s="357">
        <f t="shared" si="83"/>
        <v>-0.17327172127403667</v>
      </c>
      <c r="AA104" s="357">
        <f t="shared" si="84"/>
        <v>-2.3905520853554366E-2</v>
      </c>
      <c r="AB104" s="357">
        <f t="shared" si="85"/>
        <v>-0.11247798342669033</v>
      </c>
      <c r="AC104" s="357">
        <f t="shared" si="86"/>
        <v>-2.8987536873252298E-2</v>
      </c>
      <c r="AD104" s="357">
        <f t="shared" si="87"/>
        <v>0</v>
      </c>
      <c r="AE104" s="379">
        <f t="shared" si="88"/>
        <v>0</v>
      </c>
      <c r="AG104" s="451">
        <f t="shared" si="89"/>
        <v>1.8527925322432078E-2</v>
      </c>
      <c r="AH104" s="357">
        <f t="shared" si="90"/>
        <v>-0.13649469230188868</v>
      </c>
      <c r="AI104" s="357">
        <f t="shared" si="91"/>
        <v>-0.17335611538002432</v>
      </c>
      <c r="AJ104" s="357">
        <f t="shared" si="92"/>
        <v>-0.16903949771374732</v>
      </c>
      <c r="AK104" s="357">
        <f t="shared" si="93"/>
        <v>-3.0078720529661214E-2</v>
      </c>
      <c r="AL104" s="357">
        <f t="shared" si="94"/>
        <v>-0.10683005939545406</v>
      </c>
      <c r="AM104" s="357">
        <f t="shared" si="95"/>
        <v>-2.8742075306529481E-2</v>
      </c>
      <c r="AN104" s="357">
        <f t="shared" si="96"/>
        <v>1.9070751392640699E-5</v>
      </c>
      <c r="AO104" s="379">
        <f t="shared" si="97"/>
        <v>5.4711961047645428E-5</v>
      </c>
    </row>
    <row r="105" spans="2:41" x14ac:dyDescent="0.25">
      <c r="B105" s="449">
        <v>43060</v>
      </c>
      <c r="C105" s="237">
        <v>391</v>
      </c>
      <c r="D105" s="237">
        <v>222</v>
      </c>
      <c r="E105" s="237">
        <v>173</v>
      </c>
      <c r="F105" s="237">
        <v>173</v>
      </c>
      <c r="G105" s="237">
        <v>306.5</v>
      </c>
      <c r="H105" s="237">
        <v>205</v>
      </c>
      <c r="I105" s="237">
        <v>170</v>
      </c>
      <c r="J105" s="237">
        <v>160</v>
      </c>
      <c r="K105" s="450">
        <v>155</v>
      </c>
      <c r="M105" s="451">
        <f t="shared" si="98"/>
        <v>2.564102564102555E-3</v>
      </c>
      <c r="N105" s="357">
        <f t="shared" si="99"/>
        <v>-3.4782608695652195E-2</v>
      </c>
      <c r="O105" s="357">
        <f t="shared" si="100"/>
        <v>-6.4864864864864868E-2</v>
      </c>
      <c r="P105" s="357">
        <f t="shared" si="101"/>
        <v>-6.4864864864864868E-2</v>
      </c>
      <c r="Q105" s="357">
        <f t="shared" si="102"/>
        <v>-1.1290322580645107E-2</v>
      </c>
      <c r="R105" s="357">
        <f t="shared" si="103"/>
        <v>-2.3809523809523836E-2</v>
      </c>
      <c r="S105" s="357">
        <f t="shared" si="104"/>
        <v>0</v>
      </c>
      <c r="T105" s="357">
        <f t="shared" si="105"/>
        <v>0</v>
      </c>
      <c r="U105" s="379">
        <f t="shared" si="106"/>
        <v>0</v>
      </c>
      <c r="W105" s="451">
        <f t="shared" ref="W105" si="108">LN(C105/C104)</f>
        <v>2.5608208616736505E-3</v>
      </c>
      <c r="X105" s="357">
        <f t="shared" ref="X105" si="109">LN(D105/D104)</f>
        <v>-3.5401927050915952E-2</v>
      </c>
      <c r="Y105" s="357">
        <f t="shared" ref="Y105" si="110">LN(E105/E104)</f>
        <v>-6.7064230580545878E-2</v>
      </c>
      <c r="Z105" s="357">
        <f t="shared" ref="Z105" si="111">LN(F105/F104)</f>
        <v>-6.7064230580545878E-2</v>
      </c>
      <c r="AA105" s="357">
        <f t="shared" ref="AA105" si="112">LN(G105/G104)</f>
        <v>-1.1354542102925785E-2</v>
      </c>
      <c r="AB105" s="357">
        <f t="shared" ref="AB105" si="113">LN(H105/H104)</f>
        <v>-2.409755157906053E-2</v>
      </c>
      <c r="AC105" s="357">
        <f t="shared" si="86"/>
        <v>0</v>
      </c>
      <c r="AD105" s="357">
        <f t="shared" si="87"/>
        <v>0</v>
      </c>
      <c r="AE105" s="379">
        <f t="shared" si="88"/>
        <v>0</v>
      </c>
      <c r="AG105" s="451">
        <f t="shared" ref="AG105" si="114">M105-M$2</f>
        <v>-1.8907972113465402E-2</v>
      </c>
      <c r="AH105" s="357">
        <f t="shared" ref="AH105" si="115">N105-N$2</f>
        <v>-5.5892685612925444E-2</v>
      </c>
      <c r="AI105" s="357">
        <f t="shared" ref="AI105" si="116">O105-O$2</f>
        <v>-7.9130071153980144E-2</v>
      </c>
      <c r="AJ105" s="357">
        <f t="shared" ref="AJ105" si="117">P105-P$2</f>
        <v>-7.481345348770313E-2</v>
      </c>
      <c r="AK105" s="357">
        <f t="shared" ref="AK105" si="118">Q105-Q$2</f>
        <v>-1.7746995866211875E-2</v>
      </c>
      <c r="AL105" s="357">
        <f t="shared" ref="AL105" si="119">R105-R$2</f>
        <v>-2.4256604481573601E-2</v>
      </c>
      <c r="AM105" s="357">
        <f t="shared" si="95"/>
        <v>-1.7064673510089895E-4</v>
      </c>
      <c r="AN105" s="357">
        <f t="shared" si="96"/>
        <v>1.9070751392640699E-5</v>
      </c>
      <c r="AO105" s="379">
        <f t="shared" si="97"/>
        <v>5.4711961047645428E-5</v>
      </c>
    </row>
    <row r="106" spans="2:41" x14ac:dyDescent="0.25">
      <c r="B106" s="449">
        <v>43067</v>
      </c>
      <c r="C106" s="237">
        <v>383</v>
      </c>
      <c r="D106" s="237">
        <v>155</v>
      </c>
      <c r="E106" s="237">
        <v>125</v>
      </c>
      <c r="F106" s="237">
        <v>130</v>
      </c>
      <c r="G106" s="237">
        <v>269</v>
      </c>
      <c r="H106" s="237">
        <v>175</v>
      </c>
      <c r="I106" s="237">
        <v>170</v>
      </c>
      <c r="J106" s="237">
        <v>160</v>
      </c>
      <c r="K106" s="450">
        <v>155</v>
      </c>
      <c r="M106" s="451">
        <f t="shared" si="98"/>
        <v>-2.0460358056266004E-2</v>
      </c>
      <c r="N106" s="357">
        <f t="shared" si="99"/>
        <v>-0.30180180180180183</v>
      </c>
      <c r="O106" s="357">
        <f t="shared" si="100"/>
        <v>-0.2774566473988439</v>
      </c>
      <c r="P106" s="357">
        <f t="shared" si="101"/>
        <v>-0.24855491329479773</v>
      </c>
      <c r="Q106" s="357">
        <f t="shared" si="102"/>
        <v>-0.12234910277324629</v>
      </c>
      <c r="R106" s="357">
        <f t="shared" si="103"/>
        <v>-0.14634146341463417</v>
      </c>
      <c r="S106" s="357">
        <f t="shared" si="104"/>
        <v>0</v>
      </c>
      <c r="T106" s="357">
        <f t="shared" si="105"/>
        <v>0</v>
      </c>
      <c r="U106" s="379">
        <f t="shared" si="106"/>
        <v>0</v>
      </c>
      <c r="W106" s="451">
        <f t="shared" ref="W106" si="120">LN(C106/C105)</f>
        <v>-2.0672570804719799E-2</v>
      </c>
      <c r="X106" s="357">
        <f t="shared" ref="X106" si="121">LN(D106/D105)</f>
        <v>-0.35925226495303286</v>
      </c>
      <c r="Y106" s="357">
        <f t="shared" ref="Y106" si="122">LN(E106/E105)</f>
        <v>-0.32497785719547778</v>
      </c>
      <c r="Z106" s="357">
        <f t="shared" ref="Z106" si="123">LN(F106/F105)</f>
        <v>-0.2857571440421966</v>
      </c>
      <c r="AA106" s="357">
        <f t="shared" ref="AA106" si="124">LN(G106/G105)</f>
        <v>-0.13050637577442695</v>
      </c>
      <c r="AB106" s="357">
        <f t="shared" ref="AB106" si="125">LN(H106/H105)</f>
        <v>-0.15822400521489416</v>
      </c>
      <c r="AC106" s="357">
        <f t="shared" si="86"/>
        <v>0</v>
      </c>
      <c r="AD106" s="357">
        <f t="shared" si="87"/>
        <v>0</v>
      </c>
      <c r="AE106" s="379">
        <f t="shared" si="88"/>
        <v>0</v>
      </c>
      <c r="AG106" s="451">
        <f t="shared" ref="AG106" si="126">M106-M$2</f>
        <v>-4.1932432733833958E-2</v>
      </c>
      <c r="AH106" s="357">
        <f t="shared" ref="AH106" si="127">N106-N$2</f>
        <v>-0.32291187871907506</v>
      </c>
      <c r="AI106" s="357">
        <f t="shared" ref="AI106" si="128">O106-O$2</f>
        <v>-0.29172185368795917</v>
      </c>
      <c r="AJ106" s="357">
        <f t="shared" ref="AJ106" si="129">P106-P$2</f>
        <v>-0.25850350191763599</v>
      </c>
      <c r="AK106" s="357">
        <f t="shared" ref="AK106" si="130">Q106-Q$2</f>
        <v>-0.12880577605881305</v>
      </c>
      <c r="AL106" s="357">
        <f t="shared" ref="AL106" si="131">R106-R$2</f>
        <v>-0.14678854408668393</v>
      </c>
      <c r="AM106" s="357">
        <f t="shared" si="95"/>
        <v>-1.7064673510089895E-4</v>
      </c>
      <c r="AN106" s="357">
        <f t="shared" si="96"/>
        <v>1.9070751392640699E-5</v>
      </c>
      <c r="AO106" s="379">
        <f t="shared" si="97"/>
        <v>5.4711961047645428E-5</v>
      </c>
    </row>
    <row r="107" spans="2:41" x14ac:dyDescent="0.25">
      <c r="B107" s="449">
        <v>43074</v>
      </c>
      <c r="C107" s="237">
        <v>180</v>
      </c>
      <c r="D107" s="237">
        <v>155</v>
      </c>
      <c r="E107" s="237">
        <v>177</v>
      </c>
      <c r="F107" s="237">
        <v>177</v>
      </c>
      <c r="G107" s="237">
        <v>190</v>
      </c>
      <c r="H107" s="237">
        <v>170</v>
      </c>
      <c r="I107" s="237">
        <v>160</v>
      </c>
      <c r="J107" s="237">
        <v>155</v>
      </c>
      <c r="K107" s="450">
        <v>150</v>
      </c>
      <c r="M107" s="451">
        <f t="shared" si="98"/>
        <v>-0.5300261096605744</v>
      </c>
      <c r="N107" s="357">
        <f t="shared" si="99"/>
        <v>0</v>
      </c>
      <c r="O107" s="357">
        <f t="shared" si="100"/>
        <v>0.41599999999999993</v>
      </c>
      <c r="P107" s="357">
        <f t="shared" si="101"/>
        <v>0.36153846153846159</v>
      </c>
      <c r="Q107" s="357">
        <f t="shared" si="102"/>
        <v>-0.29368029739776946</v>
      </c>
      <c r="R107" s="357">
        <f t="shared" si="103"/>
        <v>-2.8571428571428581E-2</v>
      </c>
      <c r="S107" s="357">
        <f t="shared" si="104"/>
        <v>-5.8823529411764719E-2</v>
      </c>
      <c r="T107" s="357">
        <f t="shared" si="105"/>
        <v>-3.125E-2</v>
      </c>
      <c r="U107" s="379">
        <f t="shared" si="106"/>
        <v>-3.2258064516129004E-2</v>
      </c>
      <c r="W107" s="451">
        <f t="shared" ref="W107:W111" si="132">LN(C107/C106)</f>
        <v>-0.75507813829043557</v>
      </c>
      <c r="X107" s="357">
        <f t="shared" ref="X107:X111" si="133">LN(D107/D106)</f>
        <v>0</v>
      </c>
      <c r="Y107" s="357">
        <f t="shared" ref="Y107:Y111" si="134">LN(E107/E106)</f>
        <v>0.34783599527152798</v>
      </c>
      <c r="Z107" s="357">
        <f t="shared" ref="Z107:Z111" si="135">LN(F107/F106)</f>
        <v>0.30861528211824674</v>
      </c>
      <c r="AA107" s="357">
        <f t="shared" ref="AA107:AA111" si="136">LN(G107/G106)</f>
        <v>-0.3476873074413529</v>
      </c>
      <c r="AB107" s="357">
        <f t="shared" ref="AB107:AB111" si="137">LN(H107/H106)</f>
        <v>-2.8987536873252298E-2</v>
      </c>
      <c r="AC107" s="357">
        <f t="shared" si="86"/>
        <v>-6.0624621816434854E-2</v>
      </c>
      <c r="AD107" s="357">
        <f t="shared" si="87"/>
        <v>-3.1748698314580298E-2</v>
      </c>
      <c r="AE107" s="379">
        <f t="shared" si="88"/>
        <v>-3.2789822822990838E-2</v>
      </c>
      <c r="AG107" s="451">
        <f t="shared" ref="AG107:AG111" si="138">M107-M$2</f>
        <v>-0.55149818433814235</v>
      </c>
      <c r="AH107" s="357">
        <f t="shared" ref="AH107:AH111" si="139">N107-N$2</f>
        <v>-2.1110076917273252E-2</v>
      </c>
      <c r="AI107" s="357">
        <f t="shared" ref="AI107:AI111" si="140">O107-O$2</f>
        <v>0.40173479371088466</v>
      </c>
      <c r="AJ107" s="357">
        <f t="shared" ref="AJ107:AJ111" si="141">P107-P$2</f>
        <v>0.35158987291562332</v>
      </c>
      <c r="AK107" s="357">
        <f t="shared" ref="AK107:AK111" si="142">Q107-Q$2</f>
        <v>-0.30013697068333622</v>
      </c>
      <c r="AL107" s="357">
        <f t="shared" ref="AL107:AL111" si="143">R107-R$2</f>
        <v>-2.9018509243478346E-2</v>
      </c>
      <c r="AM107" s="357">
        <f t="shared" si="95"/>
        <v>-5.8994176146865619E-2</v>
      </c>
      <c r="AN107" s="357">
        <f t="shared" si="96"/>
        <v>-3.1230929248607358E-2</v>
      </c>
      <c r="AO107" s="379">
        <f t="shared" si="97"/>
        <v>-3.220335255508136E-2</v>
      </c>
    </row>
    <row r="108" spans="2:41" x14ac:dyDescent="0.25">
      <c r="B108" s="449">
        <v>43081</v>
      </c>
      <c r="C108" s="237">
        <v>197</v>
      </c>
      <c r="D108" s="237">
        <v>177</v>
      </c>
      <c r="E108" s="237">
        <v>177</v>
      </c>
      <c r="F108" s="237">
        <v>177</v>
      </c>
      <c r="G108" s="237">
        <v>205</v>
      </c>
      <c r="H108" s="237">
        <v>175</v>
      </c>
      <c r="I108" s="237">
        <v>160</v>
      </c>
      <c r="J108" s="237">
        <v>155</v>
      </c>
      <c r="K108" s="450">
        <v>150</v>
      </c>
      <c r="M108" s="451">
        <f t="shared" si="98"/>
        <v>9.4444444444444553E-2</v>
      </c>
      <c r="N108" s="357">
        <f t="shared" si="99"/>
        <v>0.14193548387096766</v>
      </c>
      <c r="O108" s="357">
        <f t="shared" si="100"/>
        <v>0</v>
      </c>
      <c r="P108" s="357">
        <f t="shared" si="101"/>
        <v>0</v>
      </c>
      <c r="Q108" s="357">
        <f t="shared" si="102"/>
        <v>7.8947368421052655E-2</v>
      </c>
      <c r="R108" s="357">
        <f t="shared" si="103"/>
        <v>2.9411764705882248E-2</v>
      </c>
      <c r="S108" s="357">
        <f t="shared" si="104"/>
        <v>0</v>
      </c>
      <c r="T108" s="357">
        <f t="shared" si="105"/>
        <v>0</v>
      </c>
      <c r="U108" s="379">
        <f t="shared" si="106"/>
        <v>0</v>
      </c>
      <c r="W108" s="451">
        <f t="shared" si="132"/>
        <v>9.0246877847778226E-2</v>
      </c>
      <c r="X108" s="357">
        <f t="shared" si="133"/>
        <v>0.13272461565458246</v>
      </c>
      <c r="Y108" s="357">
        <f t="shared" si="134"/>
        <v>0</v>
      </c>
      <c r="Z108" s="357">
        <f t="shared" si="135"/>
        <v>0</v>
      </c>
      <c r="AA108" s="357">
        <f t="shared" si="136"/>
        <v>7.5985906977922055E-2</v>
      </c>
      <c r="AB108" s="357">
        <f t="shared" si="137"/>
        <v>2.8987536873252187E-2</v>
      </c>
      <c r="AC108" s="357">
        <f t="shared" si="86"/>
        <v>0</v>
      </c>
      <c r="AD108" s="357">
        <f t="shared" si="87"/>
        <v>0</v>
      </c>
      <c r="AE108" s="379">
        <f t="shared" si="88"/>
        <v>0</v>
      </c>
      <c r="AG108" s="451">
        <f t="shared" si="138"/>
        <v>7.2972369766876599E-2</v>
      </c>
      <c r="AH108" s="357">
        <f t="shared" si="139"/>
        <v>0.12082540695369441</v>
      </c>
      <c r="AI108" s="357">
        <f t="shared" si="140"/>
        <v>-1.4265206289115274E-2</v>
      </c>
      <c r="AJ108" s="357">
        <f t="shared" si="141"/>
        <v>-9.9485886228382649E-3</v>
      </c>
      <c r="AK108" s="357">
        <f t="shared" si="142"/>
        <v>7.2490695135485894E-2</v>
      </c>
      <c r="AL108" s="357">
        <f t="shared" si="143"/>
        <v>2.8964684033832483E-2</v>
      </c>
      <c r="AM108" s="357">
        <f t="shared" si="95"/>
        <v>-1.7064673510089895E-4</v>
      </c>
      <c r="AN108" s="357">
        <f t="shared" si="96"/>
        <v>1.9070751392640699E-5</v>
      </c>
      <c r="AO108" s="379">
        <f t="shared" si="97"/>
        <v>5.4711961047645428E-5</v>
      </c>
    </row>
    <row r="109" spans="2:41" x14ac:dyDescent="0.25">
      <c r="B109" s="449">
        <v>43088</v>
      </c>
      <c r="C109" s="237">
        <v>210</v>
      </c>
      <c r="D109" s="237">
        <v>170</v>
      </c>
      <c r="E109" s="237">
        <v>170</v>
      </c>
      <c r="F109" s="237">
        <v>170</v>
      </c>
      <c r="G109" s="237">
        <v>200</v>
      </c>
      <c r="H109" s="237">
        <v>175</v>
      </c>
      <c r="I109" s="237">
        <v>160</v>
      </c>
      <c r="J109" s="237">
        <v>155</v>
      </c>
      <c r="K109" s="450">
        <v>150</v>
      </c>
      <c r="M109" s="451">
        <f t="shared" si="98"/>
        <v>6.5989847715736127E-2</v>
      </c>
      <c r="N109" s="357">
        <f t="shared" si="99"/>
        <v>-3.9548022598870025E-2</v>
      </c>
      <c r="O109" s="357">
        <f t="shared" si="100"/>
        <v>-3.9548022598870025E-2</v>
      </c>
      <c r="P109" s="357">
        <f t="shared" si="101"/>
        <v>-3.9548022598870025E-2</v>
      </c>
      <c r="Q109" s="357">
        <f t="shared" si="102"/>
        <v>-2.4390243902439046E-2</v>
      </c>
      <c r="R109" s="357">
        <f t="shared" si="103"/>
        <v>0</v>
      </c>
      <c r="S109" s="357">
        <f t="shared" si="104"/>
        <v>0</v>
      </c>
      <c r="T109" s="357">
        <f t="shared" si="105"/>
        <v>0</v>
      </c>
      <c r="U109" s="379">
        <f t="shared" si="106"/>
        <v>0</v>
      </c>
      <c r="W109" s="451">
        <f t="shared" si="132"/>
        <v>6.3903801979480257E-2</v>
      </c>
      <c r="X109" s="357">
        <f t="shared" si="133"/>
        <v>-4.0351295523567345E-2</v>
      </c>
      <c r="Y109" s="357">
        <f t="shared" si="134"/>
        <v>-4.0351295523567345E-2</v>
      </c>
      <c r="Z109" s="357">
        <f t="shared" si="135"/>
        <v>-4.0351295523567345E-2</v>
      </c>
      <c r="AA109" s="357">
        <f t="shared" si="136"/>
        <v>-2.4692612590371522E-2</v>
      </c>
      <c r="AB109" s="357">
        <f t="shared" si="137"/>
        <v>0</v>
      </c>
      <c r="AC109" s="357">
        <f t="shared" si="86"/>
        <v>0</v>
      </c>
      <c r="AD109" s="357">
        <f t="shared" si="87"/>
        <v>0</v>
      </c>
      <c r="AE109" s="379">
        <f t="shared" si="88"/>
        <v>0</v>
      </c>
      <c r="AG109" s="451">
        <f t="shared" si="138"/>
        <v>4.4517773038168174E-2</v>
      </c>
      <c r="AH109" s="357">
        <f t="shared" si="139"/>
        <v>-6.0658099516143274E-2</v>
      </c>
      <c r="AI109" s="357">
        <f t="shared" si="140"/>
        <v>-5.3813228887985301E-2</v>
      </c>
      <c r="AJ109" s="357">
        <f t="shared" si="141"/>
        <v>-4.9496611221708287E-2</v>
      </c>
      <c r="AK109" s="357">
        <f t="shared" si="142"/>
        <v>-3.0846917188005814E-2</v>
      </c>
      <c r="AL109" s="357">
        <f t="shared" si="143"/>
        <v>-4.4708067204976532E-4</v>
      </c>
      <c r="AM109" s="357">
        <f t="shared" si="95"/>
        <v>-1.7064673510089895E-4</v>
      </c>
      <c r="AN109" s="357">
        <f t="shared" si="96"/>
        <v>1.9070751392640699E-5</v>
      </c>
      <c r="AO109" s="379">
        <f t="shared" si="97"/>
        <v>5.4711961047645428E-5</v>
      </c>
    </row>
    <row r="110" spans="2:41" x14ac:dyDescent="0.25">
      <c r="B110" s="449">
        <v>43096</v>
      </c>
      <c r="C110" s="237">
        <v>220</v>
      </c>
      <c r="D110" s="237">
        <v>218</v>
      </c>
      <c r="E110" s="237">
        <v>218</v>
      </c>
      <c r="F110" s="237">
        <v>218</v>
      </c>
      <c r="G110" s="237">
        <v>234.5</v>
      </c>
      <c r="H110" s="237">
        <v>175</v>
      </c>
      <c r="I110" s="237">
        <v>160</v>
      </c>
      <c r="J110" s="237">
        <v>155</v>
      </c>
      <c r="K110" s="450">
        <v>150</v>
      </c>
      <c r="M110" s="451">
        <f t="shared" si="98"/>
        <v>4.7619047619047672E-2</v>
      </c>
      <c r="N110" s="357">
        <f t="shared" si="99"/>
        <v>0.2823529411764707</v>
      </c>
      <c r="O110" s="357">
        <f t="shared" si="100"/>
        <v>0.2823529411764707</v>
      </c>
      <c r="P110" s="357">
        <f t="shared" si="101"/>
        <v>0.2823529411764707</v>
      </c>
      <c r="Q110" s="357">
        <f t="shared" si="102"/>
        <v>0.1725000000000001</v>
      </c>
      <c r="R110" s="357">
        <f t="shared" si="103"/>
        <v>0</v>
      </c>
      <c r="S110" s="357">
        <f t="shared" si="104"/>
        <v>0</v>
      </c>
      <c r="T110" s="357">
        <f t="shared" si="105"/>
        <v>0</v>
      </c>
      <c r="U110" s="379">
        <f t="shared" si="106"/>
        <v>0</v>
      </c>
      <c r="W110" s="451">
        <f t="shared" si="132"/>
        <v>4.6520015634892907E-2</v>
      </c>
      <c r="X110" s="357">
        <f t="shared" si="133"/>
        <v>0.24869662573882734</v>
      </c>
      <c r="Y110" s="357">
        <f t="shared" si="134"/>
        <v>0.24869662573882734</v>
      </c>
      <c r="Z110" s="357">
        <f t="shared" si="135"/>
        <v>0.24869662573882734</v>
      </c>
      <c r="AA110" s="357">
        <f t="shared" si="136"/>
        <v>0.15913822133829747</v>
      </c>
      <c r="AB110" s="357">
        <f t="shared" si="137"/>
        <v>0</v>
      </c>
      <c r="AC110" s="357">
        <f t="shared" si="86"/>
        <v>0</v>
      </c>
      <c r="AD110" s="357">
        <f t="shared" si="87"/>
        <v>0</v>
      </c>
      <c r="AE110" s="379">
        <f t="shared" si="88"/>
        <v>0</v>
      </c>
      <c r="AG110" s="451">
        <f t="shared" si="138"/>
        <v>2.6146972941479715E-2</v>
      </c>
      <c r="AH110" s="357">
        <f t="shared" si="139"/>
        <v>0.26124286425919746</v>
      </c>
      <c r="AI110" s="357">
        <f t="shared" si="140"/>
        <v>0.26808773488735543</v>
      </c>
      <c r="AJ110" s="357">
        <f t="shared" si="141"/>
        <v>0.27240435255363243</v>
      </c>
      <c r="AK110" s="357">
        <f t="shared" si="142"/>
        <v>0.16604332671443334</v>
      </c>
      <c r="AL110" s="357">
        <f t="shared" si="143"/>
        <v>-4.4708067204976532E-4</v>
      </c>
      <c r="AM110" s="357">
        <f t="shared" si="95"/>
        <v>-1.7064673510089895E-4</v>
      </c>
      <c r="AN110" s="357">
        <f t="shared" si="96"/>
        <v>1.9070751392640699E-5</v>
      </c>
      <c r="AO110" s="379">
        <f t="shared" si="97"/>
        <v>5.4711961047645428E-5</v>
      </c>
    </row>
    <row r="111" spans="2:41" x14ac:dyDescent="0.25">
      <c r="B111" s="449">
        <v>43103</v>
      </c>
      <c r="C111" s="237">
        <v>177</v>
      </c>
      <c r="D111" s="237">
        <v>170</v>
      </c>
      <c r="E111" s="237">
        <v>166</v>
      </c>
      <c r="F111" s="237">
        <v>196</v>
      </c>
      <c r="G111" s="237">
        <v>200</v>
      </c>
      <c r="H111" s="237">
        <v>175</v>
      </c>
      <c r="I111" s="237">
        <v>160</v>
      </c>
      <c r="J111" s="237">
        <v>155</v>
      </c>
      <c r="K111" s="450">
        <v>150</v>
      </c>
      <c r="M111" s="451">
        <f t="shared" si="98"/>
        <v>-0.19545454545454544</v>
      </c>
      <c r="N111" s="357">
        <f t="shared" si="99"/>
        <v>-0.22018348623853212</v>
      </c>
      <c r="O111" s="357">
        <f t="shared" si="100"/>
        <v>-0.23853211009174313</v>
      </c>
      <c r="P111" s="357">
        <f t="shared" si="101"/>
        <v>-0.1009174311926605</v>
      </c>
      <c r="Q111" s="357">
        <f t="shared" si="102"/>
        <v>-0.14712153518123672</v>
      </c>
      <c r="R111" s="357">
        <f t="shared" si="103"/>
        <v>0</v>
      </c>
      <c r="S111" s="357">
        <f t="shared" si="104"/>
        <v>0</v>
      </c>
      <c r="T111" s="357">
        <f t="shared" si="105"/>
        <v>0</v>
      </c>
      <c r="U111" s="379">
        <f t="shared" si="106"/>
        <v>0</v>
      </c>
      <c r="W111" s="451">
        <f t="shared" si="132"/>
        <v>-0.21747781377853237</v>
      </c>
      <c r="X111" s="357">
        <f t="shared" si="133"/>
        <v>-0.24869662573882725</v>
      </c>
      <c r="Y111" s="357">
        <f t="shared" si="134"/>
        <v>-0.2725072744325458</v>
      </c>
      <c r="Z111" s="357">
        <f t="shared" si="135"/>
        <v>-0.10638040355857173</v>
      </c>
      <c r="AA111" s="357">
        <f t="shared" si="136"/>
        <v>-0.15913822133829744</v>
      </c>
      <c r="AB111" s="357">
        <f t="shared" si="137"/>
        <v>0</v>
      </c>
      <c r="AC111" s="357">
        <f t="shared" si="86"/>
        <v>0</v>
      </c>
      <c r="AD111" s="357">
        <f t="shared" si="87"/>
        <v>0</v>
      </c>
      <c r="AE111" s="379">
        <f t="shared" si="88"/>
        <v>0</v>
      </c>
      <c r="AG111" s="451">
        <f t="shared" si="138"/>
        <v>-0.21692662013211339</v>
      </c>
      <c r="AH111" s="357">
        <f t="shared" si="139"/>
        <v>-0.24129356315580539</v>
      </c>
      <c r="AI111" s="357">
        <f t="shared" si="140"/>
        <v>-0.25279731638085839</v>
      </c>
      <c r="AJ111" s="357">
        <f t="shared" si="141"/>
        <v>-0.11086601981549876</v>
      </c>
      <c r="AK111" s="357">
        <f t="shared" si="142"/>
        <v>-0.15357820846680348</v>
      </c>
      <c r="AL111" s="357">
        <f t="shared" si="143"/>
        <v>-4.4708067204976532E-4</v>
      </c>
      <c r="AM111" s="357">
        <f t="shared" si="95"/>
        <v>-1.7064673510089895E-4</v>
      </c>
      <c r="AN111" s="357">
        <f t="shared" si="96"/>
        <v>1.9070751392640699E-5</v>
      </c>
      <c r="AO111" s="379">
        <f t="shared" si="97"/>
        <v>5.4711961047645428E-5</v>
      </c>
    </row>
    <row r="112" spans="2:41" x14ac:dyDescent="0.25">
      <c r="B112" s="449">
        <v>43109</v>
      </c>
      <c r="C112" s="237">
        <v>168</v>
      </c>
      <c r="D112" s="237">
        <v>134</v>
      </c>
      <c r="E112" s="237">
        <v>145</v>
      </c>
      <c r="F112" s="237">
        <v>185</v>
      </c>
      <c r="G112" s="237">
        <v>188</v>
      </c>
      <c r="H112" s="237">
        <v>175</v>
      </c>
      <c r="I112" s="237">
        <v>160</v>
      </c>
      <c r="J112" s="237">
        <v>155</v>
      </c>
      <c r="K112" s="450">
        <v>150</v>
      </c>
      <c r="M112" s="451">
        <f t="shared" si="98"/>
        <v>-5.084745762711862E-2</v>
      </c>
      <c r="N112" s="357">
        <f t="shared" si="99"/>
        <v>-0.21176470588235297</v>
      </c>
      <c r="O112" s="357">
        <f t="shared" si="100"/>
        <v>-0.12650602409638556</v>
      </c>
      <c r="P112" s="357">
        <f t="shared" si="101"/>
        <v>-5.6122448979591844E-2</v>
      </c>
      <c r="Q112" s="357">
        <f t="shared" si="102"/>
        <v>-6.0000000000000053E-2</v>
      </c>
      <c r="R112" s="357">
        <f t="shared" si="103"/>
        <v>0</v>
      </c>
      <c r="S112" s="357">
        <f t="shared" si="104"/>
        <v>0</v>
      </c>
      <c r="T112" s="357">
        <f t="shared" si="105"/>
        <v>0</v>
      </c>
      <c r="U112" s="379">
        <f t="shared" si="106"/>
        <v>0</v>
      </c>
      <c r="W112" s="451">
        <f t="shared" ref="W112:W119" si="144">LN(C112/C111)</f>
        <v>-5.2185753170570191E-2</v>
      </c>
      <c r="X112" s="357">
        <f t="shared" ref="X112:X119" si="145">LN(D112/D111)</f>
        <v>-0.23795863709935042</v>
      </c>
      <c r="Y112" s="357">
        <f t="shared" ref="Y112:Y119" si="146">LN(E112/E111)</f>
        <v>-0.13525404593596885</v>
      </c>
      <c r="Z112" s="357">
        <f t="shared" ref="Z112:Z119" si="147">LN(F112/F111)</f>
        <v>-5.775883415219242E-2</v>
      </c>
      <c r="AA112" s="357">
        <f t="shared" ref="AA112:AA119" si="148">LN(G112/G111)</f>
        <v>-6.1875403718087529E-2</v>
      </c>
      <c r="AB112" s="357">
        <f t="shared" ref="AB112:AB119" si="149">LN(H112/H111)</f>
        <v>0</v>
      </c>
      <c r="AC112" s="357">
        <f t="shared" si="86"/>
        <v>0</v>
      </c>
      <c r="AD112" s="357">
        <f t="shared" si="87"/>
        <v>0</v>
      </c>
      <c r="AE112" s="379">
        <f t="shared" si="88"/>
        <v>0</v>
      </c>
      <c r="AG112" s="451">
        <f t="shared" ref="AG112:AG119" si="150">M112-M$2</f>
        <v>-7.2319532304686573E-2</v>
      </c>
      <c r="AH112" s="357">
        <f t="shared" ref="AH112:AH119" si="151">N112-N$2</f>
        <v>-0.23287478279962623</v>
      </c>
      <c r="AI112" s="357">
        <f t="shared" ref="AI112:AI119" si="152">O112-O$2</f>
        <v>-0.14077123038550082</v>
      </c>
      <c r="AJ112" s="357">
        <f t="shared" ref="AJ112:AJ119" si="153">P112-P$2</f>
        <v>-6.6071037602430105E-2</v>
      </c>
      <c r="AK112" s="357">
        <f t="shared" ref="AK112:AK119" si="154">Q112-Q$2</f>
        <v>-6.6456673285566814E-2</v>
      </c>
      <c r="AL112" s="357">
        <f t="shared" ref="AL112:AL119" si="155">R112-R$2</f>
        <v>-4.4708067204976532E-4</v>
      </c>
      <c r="AM112" s="357">
        <f t="shared" si="95"/>
        <v>-1.7064673510089895E-4</v>
      </c>
      <c r="AN112" s="357">
        <f t="shared" si="96"/>
        <v>1.9070751392640699E-5</v>
      </c>
      <c r="AO112" s="379">
        <f t="shared" si="97"/>
        <v>5.4711961047645428E-5</v>
      </c>
    </row>
    <row r="113" spans="2:41" x14ac:dyDescent="0.25">
      <c r="B113" s="449">
        <v>43116</v>
      </c>
      <c r="C113" s="237">
        <v>165</v>
      </c>
      <c r="D113" s="237">
        <v>135</v>
      </c>
      <c r="E113" s="237">
        <v>145</v>
      </c>
      <c r="F113" s="237">
        <v>165</v>
      </c>
      <c r="G113" s="237">
        <v>176</v>
      </c>
      <c r="H113" s="237">
        <v>170</v>
      </c>
      <c r="I113" s="237">
        <v>160</v>
      </c>
      <c r="J113" s="237">
        <v>155</v>
      </c>
      <c r="K113" s="450">
        <v>150</v>
      </c>
      <c r="M113" s="451">
        <f t="shared" si="98"/>
        <v>-1.7857142857142905E-2</v>
      </c>
      <c r="N113" s="357">
        <f t="shared" si="99"/>
        <v>7.4626865671640896E-3</v>
      </c>
      <c r="O113" s="357">
        <f t="shared" si="100"/>
        <v>0</v>
      </c>
      <c r="P113" s="357">
        <f t="shared" si="101"/>
        <v>-0.10810810810810811</v>
      </c>
      <c r="Q113" s="357">
        <f t="shared" si="102"/>
        <v>-6.3829787234042534E-2</v>
      </c>
      <c r="R113" s="357">
        <f t="shared" si="103"/>
        <v>-2.8571428571428581E-2</v>
      </c>
      <c r="S113" s="357">
        <f t="shared" si="104"/>
        <v>0</v>
      </c>
      <c r="T113" s="357">
        <f t="shared" si="105"/>
        <v>0</v>
      </c>
      <c r="U113" s="379">
        <f t="shared" si="106"/>
        <v>0</v>
      </c>
      <c r="W113" s="451">
        <f t="shared" si="144"/>
        <v>-1.8018505502678365E-2</v>
      </c>
      <c r="X113" s="357">
        <f t="shared" si="145"/>
        <v>7.4349784875179905E-3</v>
      </c>
      <c r="Y113" s="357">
        <f t="shared" si="146"/>
        <v>0</v>
      </c>
      <c r="Z113" s="357">
        <f t="shared" si="147"/>
        <v>-0.11441035117774422</v>
      </c>
      <c r="AA113" s="357">
        <f t="shared" si="148"/>
        <v>-6.5957967791797398E-2</v>
      </c>
      <c r="AB113" s="357">
        <f t="shared" si="149"/>
        <v>-2.8987536873252298E-2</v>
      </c>
      <c r="AC113" s="357">
        <f t="shared" si="86"/>
        <v>0</v>
      </c>
      <c r="AD113" s="357">
        <f t="shared" si="87"/>
        <v>0</v>
      </c>
      <c r="AE113" s="379">
        <f t="shared" si="88"/>
        <v>0</v>
      </c>
      <c r="AG113" s="451">
        <f t="shared" si="150"/>
        <v>-3.9329217534710859E-2</v>
      </c>
      <c r="AH113" s="357">
        <f t="shared" si="151"/>
        <v>-1.3647390350109163E-2</v>
      </c>
      <c r="AI113" s="357">
        <f t="shared" si="152"/>
        <v>-1.4265206289115274E-2</v>
      </c>
      <c r="AJ113" s="357">
        <f t="shared" si="153"/>
        <v>-0.11805669673094638</v>
      </c>
      <c r="AK113" s="357">
        <f t="shared" si="154"/>
        <v>-7.0286460519609295E-2</v>
      </c>
      <c r="AL113" s="357">
        <f t="shared" si="155"/>
        <v>-2.9018509243478346E-2</v>
      </c>
      <c r="AM113" s="357">
        <f t="shared" si="95"/>
        <v>-1.7064673510089895E-4</v>
      </c>
      <c r="AN113" s="357">
        <f t="shared" si="96"/>
        <v>1.9070751392640699E-5</v>
      </c>
      <c r="AO113" s="379">
        <f t="shared" si="97"/>
        <v>5.4711961047645428E-5</v>
      </c>
    </row>
    <row r="114" spans="2:41" x14ac:dyDescent="0.25">
      <c r="B114" s="449">
        <v>43123</v>
      </c>
      <c r="C114" s="237">
        <v>168</v>
      </c>
      <c r="D114" s="237">
        <v>137</v>
      </c>
      <c r="E114" s="237">
        <v>139</v>
      </c>
      <c r="F114" s="237">
        <v>167</v>
      </c>
      <c r="G114" s="237">
        <v>173.81107305936072</v>
      </c>
      <c r="H114" s="237">
        <v>170</v>
      </c>
      <c r="I114" s="237">
        <v>160</v>
      </c>
      <c r="J114" s="237">
        <v>155</v>
      </c>
      <c r="K114" s="450">
        <v>150</v>
      </c>
      <c r="M114" s="451">
        <f t="shared" si="98"/>
        <v>1.8181818181818077E-2</v>
      </c>
      <c r="N114" s="357">
        <f t="shared" si="99"/>
        <v>1.4814814814814836E-2</v>
      </c>
      <c r="O114" s="357">
        <f t="shared" si="100"/>
        <v>-4.1379310344827558E-2</v>
      </c>
      <c r="P114" s="357">
        <f t="shared" si="101"/>
        <v>1.2121212121212199E-2</v>
      </c>
      <c r="Q114" s="357">
        <f t="shared" si="102"/>
        <v>-1.2437084889995842E-2</v>
      </c>
      <c r="R114" s="357">
        <f t="shared" si="103"/>
        <v>0</v>
      </c>
      <c r="S114" s="357">
        <f t="shared" si="104"/>
        <v>0</v>
      </c>
      <c r="T114" s="357">
        <f t="shared" si="105"/>
        <v>0</v>
      </c>
      <c r="U114" s="379">
        <f t="shared" si="106"/>
        <v>0</v>
      </c>
      <c r="W114" s="451">
        <f t="shared" si="144"/>
        <v>1.8018505502678212E-2</v>
      </c>
      <c r="X114" s="357">
        <f t="shared" si="145"/>
        <v>1.4706147389695487E-2</v>
      </c>
      <c r="Y114" s="357">
        <f t="shared" si="146"/>
        <v>-4.2259809289882613E-2</v>
      </c>
      <c r="Z114" s="357">
        <f t="shared" si="147"/>
        <v>1.2048338516174574E-2</v>
      </c>
      <c r="AA114" s="357">
        <f t="shared" si="148"/>
        <v>-1.2515072732550097E-2</v>
      </c>
      <c r="AB114" s="357">
        <f t="shared" si="149"/>
        <v>0</v>
      </c>
      <c r="AC114" s="357">
        <f t="shared" si="86"/>
        <v>0</v>
      </c>
      <c r="AD114" s="357">
        <f t="shared" si="87"/>
        <v>0</v>
      </c>
      <c r="AE114" s="379">
        <f t="shared" si="88"/>
        <v>0</v>
      </c>
      <c r="AG114" s="451">
        <f t="shared" si="150"/>
        <v>-3.2902564957498805E-3</v>
      </c>
      <c r="AH114" s="357">
        <f t="shared" si="151"/>
        <v>-6.2952621024584161E-3</v>
      </c>
      <c r="AI114" s="357">
        <f t="shared" si="152"/>
        <v>-5.5644516633942834E-2</v>
      </c>
      <c r="AJ114" s="357">
        <f t="shared" si="153"/>
        <v>2.1726234983739344E-3</v>
      </c>
      <c r="AK114" s="357">
        <f t="shared" si="154"/>
        <v>-1.889375817556261E-2</v>
      </c>
      <c r="AL114" s="357">
        <f t="shared" si="155"/>
        <v>-4.4708067204976532E-4</v>
      </c>
      <c r="AM114" s="357">
        <f t="shared" si="95"/>
        <v>-1.7064673510089895E-4</v>
      </c>
      <c r="AN114" s="357">
        <f t="shared" si="96"/>
        <v>1.9070751392640699E-5</v>
      </c>
      <c r="AO114" s="379">
        <f t="shared" si="97"/>
        <v>5.4711961047645428E-5</v>
      </c>
    </row>
    <row r="115" spans="2:41" x14ac:dyDescent="0.25">
      <c r="B115" s="449">
        <v>43130</v>
      </c>
      <c r="C115" s="237">
        <v>177.07</v>
      </c>
      <c r="D115" s="237">
        <v>168</v>
      </c>
      <c r="E115" s="237">
        <v>177</v>
      </c>
      <c r="F115" s="237">
        <v>189</v>
      </c>
      <c r="G115" s="237">
        <v>197.95411872146119</v>
      </c>
      <c r="H115" s="237">
        <v>170</v>
      </c>
      <c r="I115" s="237">
        <v>160</v>
      </c>
      <c r="J115" s="237">
        <v>155</v>
      </c>
      <c r="K115" s="450">
        <v>150</v>
      </c>
      <c r="M115" s="451">
        <f t="shared" si="98"/>
        <v>5.3988095238095113E-2</v>
      </c>
      <c r="N115" s="357">
        <f t="shared" si="99"/>
        <v>0.22627737226277378</v>
      </c>
      <c r="O115" s="357">
        <f t="shared" si="100"/>
        <v>0.27338129496402885</v>
      </c>
      <c r="P115" s="357">
        <f t="shared" si="101"/>
        <v>0.13173652694610771</v>
      </c>
      <c r="Q115" s="357">
        <f t="shared" si="102"/>
        <v>0.13890395610097306</v>
      </c>
      <c r="R115" s="357">
        <f t="shared" si="103"/>
        <v>0</v>
      </c>
      <c r="S115" s="357">
        <f t="shared" si="104"/>
        <v>0</v>
      </c>
      <c r="T115" s="357">
        <f t="shared" si="105"/>
        <v>0</v>
      </c>
      <c r="U115" s="379">
        <f t="shared" si="106"/>
        <v>0</v>
      </c>
      <c r="W115" s="451">
        <f t="shared" si="144"/>
        <v>5.2581155214866421E-2</v>
      </c>
      <c r="X115" s="357">
        <f t="shared" si="145"/>
        <v>0.20398305357513405</v>
      </c>
      <c r="Y115" s="357">
        <f t="shared" si="146"/>
        <v>0.24167579944313744</v>
      </c>
      <c r="Z115" s="357">
        <f t="shared" si="147"/>
        <v>0.12375320264288721</v>
      </c>
      <c r="AA115" s="357">
        <f t="shared" si="148"/>
        <v>0.13006635790788132</v>
      </c>
      <c r="AB115" s="357">
        <f t="shared" si="149"/>
        <v>0</v>
      </c>
      <c r="AC115" s="357">
        <f t="shared" si="86"/>
        <v>0</v>
      </c>
      <c r="AD115" s="357">
        <f t="shared" si="87"/>
        <v>0</v>
      </c>
      <c r="AE115" s="379">
        <f t="shared" si="88"/>
        <v>0</v>
      </c>
      <c r="AG115" s="451">
        <f t="shared" si="150"/>
        <v>3.2516020560527159E-2</v>
      </c>
      <c r="AH115" s="357">
        <f t="shared" si="151"/>
        <v>0.20516729534550052</v>
      </c>
      <c r="AI115" s="357">
        <f t="shared" si="152"/>
        <v>0.25911608867491359</v>
      </c>
      <c r="AJ115" s="357">
        <f t="shared" si="153"/>
        <v>0.12178793832326945</v>
      </c>
      <c r="AK115" s="357">
        <f t="shared" si="154"/>
        <v>0.1324472828154063</v>
      </c>
      <c r="AL115" s="357">
        <f t="shared" si="155"/>
        <v>-4.4708067204976532E-4</v>
      </c>
      <c r="AM115" s="357">
        <f t="shared" si="95"/>
        <v>-1.7064673510089895E-4</v>
      </c>
      <c r="AN115" s="357">
        <f t="shared" si="96"/>
        <v>1.9070751392640699E-5</v>
      </c>
      <c r="AO115" s="379">
        <f t="shared" si="97"/>
        <v>5.4711961047645428E-5</v>
      </c>
    </row>
    <row r="116" spans="2:41" x14ac:dyDescent="0.25">
      <c r="B116" s="449">
        <v>43137</v>
      </c>
      <c r="C116" s="237">
        <v>178</v>
      </c>
      <c r="D116" s="237">
        <v>191</v>
      </c>
      <c r="E116" s="237">
        <v>212</v>
      </c>
      <c r="F116" s="237">
        <v>212</v>
      </c>
      <c r="G116" s="237">
        <v>210.09075342465752</v>
      </c>
      <c r="H116" s="237">
        <v>175</v>
      </c>
      <c r="I116" s="237">
        <v>160</v>
      </c>
      <c r="J116" s="237">
        <v>155</v>
      </c>
      <c r="K116" s="450">
        <v>150</v>
      </c>
      <c r="M116" s="451">
        <f t="shared" si="98"/>
        <v>5.2521601626476233E-3</v>
      </c>
      <c r="N116" s="357">
        <f t="shared" si="99"/>
        <v>0.13690476190476186</v>
      </c>
      <c r="O116" s="357">
        <f t="shared" si="100"/>
        <v>0.19774011299435035</v>
      </c>
      <c r="P116" s="357">
        <f t="shared" si="101"/>
        <v>0.12169312169312163</v>
      </c>
      <c r="Q116" s="357">
        <f t="shared" si="102"/>
        <v>6.1310341919551758E-2</v>
      </c>
      <c r="R116" s="357">
        <f t="shared" si="103"/>
        <v>2.9411764705882248E-2</v>
      </c>
      <c r="S116" s="357">
        <f t="shared" si="104"/>
        <v>0</v>
      </c>
      <c r="T116" s="357">
        <f t="shared" si="105"/>
        <v>0</v>
      </c>
      <c r="U116" s="379">
        <f t="shared" si="106"/>
        <v>0</v>
      </c>
      <c r="W116" s="451">
        <f t="shared" si="144"/>
        <v>5.2384156739597653E-3</v>
      </c>
      <c r="X116" s="357">
        <f t="shared" si="145"/>
        <v>0.1283094486433709</v>
      </c>
      <c r="Y116" s="357">
        <f t="shared" si="146"/>
        <v>0.18043654209818336</v>
      </c>
      <c r="Z116" s="357">
        <f t="shared" si="147"/>
        <v>0.11483925961237001</v>
      </c>
      <c r="AA116" s="357">
        <f t="shared" si="148"/>
        <v>5.9504316315144391E-2</v>
      </c>
      <c r="AB116" s="357">
        <f t="shared" si="149"/>
        <v>2.8987536873252187E-2</v>
      </c>
      <c r="AC116" s="357">
        <f t="shared" si="86"/>
        <v>0</v>
      </c>
      <c r="AD116" s="357">
        <f t="shared" si="87"/>
        <v>0</v>
      </c>
      <c r="AE116" s="379">
        <f t="shared" si="88"/>
        <v>0</v>
      </c>
      <c r="AG116" s="451">
        <f t="shared" si="150"/>
        <v>-1.6219914514920334E-2</v>
      </c>
      <c r="AH116" s="357">
        <f t="shared" si="151"/>
        <v>0.11579468498748861</v>
      </c>
      <c r="AI116" s="357">
        <f t="shared" si="152"/>
        <v>0.18347490670523509</v>
      </c>
      <c r="AJ116" s="357">
        <f t="shared" si="153"/>
        <v>0.11174453307028337</v>
      </c>
      <c r="AK116" s="357">
        <f t="shared" si="154"/>
        <v>5.4853668633984991E-2</v>
      </c>
      <c r="AL116" s="357">
        <f t="shared" si="155"/>
        <v>2.8964684033832483E-2</v>
      </c>
      <c r="AM116" s="357">
        <f t="shared" si="95"/>
        <v>-1.7064673510089895E-4</v>
      </c>
      <c r="AN116" s="357">
        <f t="shared" si="96"/>
        <v>1.9070751392640699E-5</v>
      </c>
      <c r="AO116" s="379">
        <f t="shared" si="97"/>
        <v>5.4711961047645428E-5</v>
      </c>
    </row>
    <row r="117" spans="2:41" x14ac:dyDescent="0.25">
      <c r="B117" s="449">
        <v>43144</v>
      </c>
      <c r="C117" s="237">
        <v>185</v>
      </c>
      <c r="D117" s="237">
        <v>209</v>
      </c>
      <c r="E117" s="237">
        <v>221</v>
      </c>
      <c r="F117" s="237">
        <v>221</v>
      </c>
      <c r="G117" s="237">
        <v>225.67614770459082</v>
      </c>
      <c r="H117" s="237">
        <v>175</v>
      </c>
      <c r="I117" s="237">
        <v>160</v>
      </c>
      <c r="J117" s="237">
        <v>155</v>
      </c>
      <c r="K117" s="450">
        <v>150</v>
      </c>
      <c r="M117" s="451">
        <f t="shared" si="98"/>
        <v>3.9325842696629199E-2</v>
      </c>
      <c r="N117" s="357">
        <f t="shared" si="99"/>
        <v>9.4240837696335067E-2</v>
      </c>
      <c r="O117" s="357">
        <f t="shared" si="100"/>
        <v>4.2452830188679291E-2</v>
      </c>
      <c r="P117" s="357">
        <f t="shared" si="101"/>
        <v>4.2452830188679291E-2</v>
      </c>
      <c r="Q117" s="357">
        <f t="shared" si="102"/>
        <v>7.4184103897378284E-2</v>
      </c>
      <c r="R117" s="357">
        <f t="shared" si="103"/>
        <v>0</v>
      </c>
      <c r="S117" s="357">
        <f t="shared" si="104"/>
        <v>0</v>
      </c>
      <c r="T117" s="357">
        <f t="shared" si="105"/>
        <v>0</v>
      </c>
      <c r="U117" s="379">
        <f t="shared" si="106"/>
        <v>0</v>
      </c>
      <c r="W117" s="451">
        <f t="shared" si="144"/>
        <v>3.8572274786239653E-2</v>
      </c>
      <c r="X117" s="357">
        <f t="shared" si="145"/>
        <v>9.0060823918181127E-2</v>
      </c>
      <c r="Y117" s="357">
        <f t="shared" si="146"/>
        <v>4.1576426845740408E-2</v>
      </c>
      <c r="Z117" s="357">
        <f t="shared" si="147"/>
        <v>4.1576426845740408E-2</v>
      </c>
      <c r="AA117" s="357">
        <f t="shared" si="148"/>
        <v>7.1561400294994762E-2</v>
      </c>
      <c r="AB117" s="357">
        <f t="shared" si="149"/>
        <v>0</v>
      </c>
      <c r="AC117" s="357">
        <f t="shared" si="86"/>
        <v>0</v>
      </c>
      <c r="AD117" s="357">
        <f t="shared" si="87"/>
        <v>0</v>
      </c>
      <c r="AE117" s="379">
        <f t="shared" si="88"/>
        <v>0</v>
      </c>
      <c r="AG117" s="451">
        <f t="shared" si="150"/>
        <v>1.7853768019061241E-2</v>
      </c>
      <c r="AH117" s="357">
        <f t="shared" si="151"/>
        <v>7.3130760779061818E-2</v>
      </c>
      <c r="AI117" s="357">
        <f t="shared" si="152"/>
        <v>2.8187623899564015E-2</v>
      </c>
      <c r="AJ117" s="357">
        <f t="shared" si="153"/>
        <v>3.250424156584103E-2</v>
      </c>
      <c r="AK117" s="357">
        <f t="shared" si="154"/>
        <v>6.7727430611811523E-2</v>
      </c>
      <c r="AL117" s="357">
        <f t="shared" si="155"/>
        <v>-4.4708067204976532E-4</v>
      </c>
      <c r="AM117" s="357">
        <f t="shared" si="95"/>
        <v>-1.7064673510089895E-4</v>
      </c>
      <c r="AN117" s="357">
        <f t="shared" si="96"/>
        <v>1.9070751392640699E-5</v>
      </c>
      <c r="AO117" s="379">
        <f t="shared" si="97"/>
        <v>5.4711961047645428E-5</v>
      </c>
    </row>
    <row r="118" spans="2:41" x14ac:dyDescent="0.25">
      <c r="B118" s="449">
        <v>43151</v>
      </c>
      <c r="C118" s="237">
        <v>193</v>
      </c>
      <c r="D118" s="237">
        <v>250</v>
      </c>
      <c r="E118" s="237">
        <v>251</v>
      </c>
      <c r="F118" s="237">
        <v>251</v>
      </c>
      <c r="G118" s="237">
        <v>246.58844810379242</v>
      </c>
      <c r="H118" s="237">
        <v>175</v>
      </c>
      <c r="I118" s="237">
        <v>160</v>
      </c>
      <c r="J118" s="237">
        <v>155</v>
      </c>
      <c r="K118" s="450">
        <v>150</v>
      </c>
      <c r="M118" s="451">
        <f t="shared" si="98"/>
        <v>4.3243243243243246E-2</v>
      </c>
      <c r="N118" s="357">
        <f t="shared" si="99"/>
        <v>0.19617224880382778</v>
      </c>
      <c r="O118" s="357">
        <f t="shared" si="100"/>
        <v>0.13574660633484159</v>
      </c>
      <c r="P118" s="357">
        <f t="shared" si="101"/>
        <v>0.13574660633484159</v>
      </c>
      <c r="Q118" s="357">
        <f t="shared" si="102"/>
        <v>9.2665089385413069E-2</v>
      </c>
      <c r="R118" s="357">
        <f t="shared" si="103"/>
        <v>0</v>
      </c>
      <c r="S118" s="357">
        <f t="shared" si="104"/>
        <v>0</v>
      </c>
      <c r="T118" s="357">
        <f t="shared" si="105"/>
        <v>0</v>
      </c>
      <c r="U118" s="379">
        <f t="shared" si="106"/>
        <v>0</v>
      </c>
      <c r="W118" s="451">
        <f t="shared" si="144"/>
        <v>4.2334363826560736E-2</v>
      </c>
      <c r="X118" s="357">
        <f t="shared" si="145"/>
        <v>0.17912666589743545</v>
      </c>
      <c r="Y118" s="357">
        <f t="shared" si="146"/>
        <v>0.12729023761403105</v>
      </c>
      <c r="Z118" s="357">
        <f t="shared" si="147"/>
        <v>0.12729023761403105</v>
      </c>
      <c r="AA118" s="357">
        <f t="shared" si="148"/>
        <v>8.8619748137001089E-2</v>
      </c>
      <c r="AB118" s="357">
        <f t="shared" si="149"/>
        <v>0</v>
      </c>
      <c r="AC118" s="357">
        <f t="shared" si="86"/>
        <v>0</v>
      </c>
      <c r="AD118" s="357">
        <f t="shared" si="87"/>
        <v>0</v>
      </c>
      <c r="AE118" s="379">
        <f t="shared" si="88"/>
        <v>0</v>
      </c>
      <c r="AG118" s="451">
        <f t="shared" si="150"/>
        <v>2.1771168565675288E-2</v>
      </c>
      <c r="AH118" s="357">
        <f t="shared" si="151"/>
        <v>0.17506217188655451</v>
      </c>
      <c r="AI118" s="357">
        <f t="shared" si="152"/>
        <v>0.12148140004572631</v>
      </c>
      <c r="AJ118" s="357">
        <f t="shared" si="153"/>
        <v>0.12579801771200333</v>
      </c>
      <c r="AK118" s="357">
        <f t="shared" si="154"/>
        <v>8.6208416099846308E-2</v>
      </c>
      <c r="AL118" s="357">
        <f t="shared" si="155"/>
        <v>-4.4708067204976532E-4</v>
      </c>
      <c r="AM118" s="357">
        <f t="shared" si="95"/>
        <v>-1.7064673510089895E-4</v>
      </c>
      <c r="AN118" s="357">
        <f t="shared" si="96"/>
        <v>1.9070751392640699E-5</v>
      </c>
      <c r="AO118" s="379">
        <f t="shared" si="97"/>
        <v>5.4711961047645428E-5</v>
      </c>
    </row>
    <row r="119" spans="2:41" x14ac:dyDescent="0.25">
      <c r="B119" s="449">
        <v>43158</v>
      </c>
      <c r="C119" s="237">
        <v>182.79</v>
      </c>
      <c r="D119" s="237">
        <v>222</v>
      </c>
      <c r="E119" s="237">
        <v>230</v>
      </c>
      <c r="F119" s="237">
        <v>238</v>
      </c>
      <c r="G119" s="237">
        <v>230.06008857285428</v>
      </c>
      <c r="H119" s="237">
        <v>185</v>
      </c>
      <c r="I119" s="237">
        <v>170</v>
      </c>
      <c r="J119" s="237">
        <v>165</v>
      </c>
      <c r="K119" s="450">
        <v>160</v>
      </c>
      <c r="M119" s="451">
        <f t="shared" si="98"/>
        <v>-5.2901554404145124E-2</v>
      </c>
      <c r="N119" s="357">
        <f t="shared" si="99"/>
        <v>-0.11199999999999999</v>
      </c>
      <c r="O119" s="357">
        <f t="shared" si="100"/>
        <v>-8.3665338645418363E-2</v>
      </c>
      <c r="P119" s="357">
        <f t="shared" si="101"/>
        <v>-5.1792828685258918E-2</v>
      </c>
      <c r="Q119" s="357">
        <f t="shared" si="102"/>
        <v>-6.7028117732348624E-2</v>
      </c>
      <c r="R119" s="357">
        <f t="shared" si="103"/>
        <v>5.7142857142857162E-2</v>
      </c>
      <c r="S119" s="357">
        <f t="shared" si="104"/>
        <v>6.25E-2</v>
      </c>
      <c r="T119" s="357">
        <f t="shared" si="105"/>
        <v>6.4516129032258007E-2</v>
      </c>
      <c r="U119" s="379">
        <f t="shared" si="106"/>
        <v>6.6666666666666652E-2</v>
      </c>
      <c r="W119" s="451">
        <f t="shared" si="144"/>
        <v>-5.4352235976372898E-2</v>
      </c>
      <c r="X119" s="357">
        <f t="shared" si="145"/>
        <v>-0.11878353598996698</v>
      </c>
      <c r="Y119" s="357">
        <f t="shared" si="146"/>
        <v>-8.7373630208588557E-2</v>
      </c>
      <c r="Z119" s="357">
        <f t="shared" si="147"/>
        <v>-5.3182265460309144E-2</v>
      </c>
      <c r="AA119" s="357">
        <f t="shared" si="148"/>
        <v>-6.9380215493901318E-2</v>
      </c>
      <c r="AB119" s="357">
        <f t="shared" si="149"/>
        <v>5.5569851154810786E-2</v>
      </c>
      <c r="AC119" s="357">
        <f t="shared" si="86"/>
        <v>6.062462181643484E-2</v>
      </c>
      <c r="AD119" s="357">
        <f t="shared" si="87"/>
        <v>6.252035698133393E-2</v>
      </c>
      <c r="AE119" s="379">
        <f t="shared" si="88"/>
        <v>6.4538521137571164E-2</v>
      </c>
      <c r="AG119" s="451">
        <f t="shared" si="150"/>
        <v>-7.4373629081713077E-2</v>
      </c>
      <c r="AH119" s="357">
        <f t="shared" si="151"/>
        <v>-0.13311007691727325</v>
      </c>
      <c r="AI119" s="357">
        <f t="shared" si="152"/>
        <v>-9.7930544934533639E-2</v>
      </c>
      <c r="AJ119" s="357">
        <f t="shared" si="153"/>
        <v>-6.174141730809718E-2</v>
      </c>
      <c r="AK119" s="357">
        <f t="shared" si="154"/>
        <v>-7.3484791017915385E-2</v>
      </c>
      <c r="AL119" s="357">
        <f t="shared" si="155"/>
        <v>5.6695776470807396E-2</v>
      </c>
      <c r="AM119" s="357">
        <f t="shared" si="95"/>
        <v>6.23293532648991E-2</v>
      </c>
      <c r="AN119" s="357">
        <f t="shared" si="96"/>
        <v>6.4535199783650646E-2</v>
      </c>
      <c r="AO119" s="379">
        <f t="shared" si="97"/>
        <v>6.6721378627714295E-2</v>
      </c>
    </row>
    <row r="120" spans="2:41" x14ac:dyDescent="0.25">
      <c r="B120" s="449">
        <v>43165</v>
      </c>
      <c r="C120" s="237">
        <v>238</v>
      </c>
      <c r="D120" s="237">
        <v>248</v>
      </c>
      <c r="E120" s="237">
        <v>261</v>
      </c>
      <c r="F120" s="237">
        <v>261</v>
      </c>
      <c r="G120" s="237">
        <v>256.2</v>
      </c>
      <c r="H120" s="237">
        <v>195</v>
      </c>
      <c r="I120" s="237">
        <v>170</v>
      </c>
      <c r="J120" s="237">
        <v>165</v>
      </c>
      <c r="K120" s="450">
        <v>160</v>
      </c>
      <c r="M120" s="451">
        <f t="shared" si="98"/>
        <v>0.30204059303025343</v>
      </c>
      <c r="N120" s="357">
        <f t="shared" si="99"/>
        <v>0.11711711711711703</v>
      </c>
      <c r="O120" s="357">
        <f t="shared" si="100"/>
        <v>0.13478260869565228</v>
      </c>
      <c r="P120" s="357">
        <f t="shared" si="101"/>
        <v>9.6638655462184975E-2</v>
      </c>
      <c r="Q120" s="357">
        <f t="shared" si="102"/>
        <v>0.11362210450887411</v>
      </c>
      <c r="R120" s="357">
        <f t="shared" si="103"/>
        <v>5.4054054054053946E-2</v>
      </c>
      <c r="S120" s="357">
        <f t="shared" si="104"/>
        <v>0</v>
      </c>
      <c r="T120" s="357">
        <f t="shared" si="105"/>
        <v>0</v>
      </c>
      <c r="U120" s="379">
        <f t="shared" si="106"/>
        <v>0</v>
      </c>
      <c r="W120" s="451">
        <f t="shared" ref="W120:W129" si="156">LN(C120/C119)</f>
        <v>0.26393272074296209</v>
      </c>
      <c r="X120" s="357">
        <f t="shared" ref="X120:X129" si="157">LN(D120/D119)</f>
        <v>0.11075136429270266</v>
      </c>
      <c r="Y120" s="357">
        <f t="shared" ref="Y120:Y129" si="158">LN(E120/E119)</f>
        <v>0.12644109839949813</v>
      </c>
      <c r="Z120" s="357">
        <f t="shared" ref="Z120:Z129" si="159">LN(F120/F119)</f>
        <v>9.2249733651218802E-2</v>
      </c>
      <c r="AA120" s="357">
        <f t="shared" ref="AA120:AA129" si="160">LN(G120/G119)</f>
        <v>0.10761785999591168</v>
      </c>
      <c r="AB120" s="357">
        <f t="shared" ref="AB120:AB129" si="161">LN(H120/H119)</f>
        <v>5.2643733485421881E-2</v>
      </c>
      <c r="AC120" s="357">
        <f t="shared" si="86"/>
        <v>0</v>
      </c>
      <c r="AD120" s="357">
        <f t="shared" si="87"/>
        <v>0</v>
      </c>
      <c r="AE120" s="379">
        <f t="shared" si="88"/>
        <v>0</v>
      </c>
      <c r="AG120" s="451">
        <f t="shared" ref="AG120:AG129" si="162">M120-M$2</f>
        <v>0.28056851835268548</v>
      </c>
      <c r="AH120" s="357">
        <f t="shared" ref="AH120:AH129" si="163">N120-N$2</f>
        <v>9.6007040199843782E-2</v>
      </c>
      <c r="AI120" s="357">
        <f t="shared" ref="AI120:AI129" si="164">O120-O$2</f>
        <v>0.12051740240653701</v>
      </c>
      <c r="AJ120" s="357">
        <f t="shared" ref="AJ120:AJ129" si="165">P120-P$2</f>
        <v>8.6690066839346713E-2</v>
      </c>
      <c r="AK120" s="357">
        <f t="shared" ref="AK120:AK129" si="166">Q120-Q$2</f>
        <v>0.10716543122330735</v>
      </c>
      <c r="AL120" s="357">
        <f t="shared" ref="AL120:AL129" si="167">R120-R$2</f>
        <v>5.360697338200418E-2</v>
      </c>
      <c r="AM120" s="357">
        <f t="shared" si="95"/>
        <v>-1.7064673510089895E-4</v>
      </c>
      <c r="AN120" s="357">
        <f t="shared" si="96"/>
        <v>1.9070751392640699E-5</v>
      </c>
      <c r="AO120" s="379">
        <f t="shared" si="97"/>
        <v>5.4711961047645428E-5</v>
      </c>
    </row>
    <row r="121" spans="2:41" x14ac:dyDescent="0.25">
      <c r="B121" s="449">
        <v>43172</v>
      </c>
      <c r="C121" s="237">
        <v>224</v>
      </c>
      <c r="D121" s="237">
        <v>232</v>
      </c>
      <c r="E121" s="237">
        <v>251</v>
      </c>
      <c r="F121" s="237">
        <v>248</v>
      </c>
      <c r="G121" s="237">
        <v>245.50592400926053</v>
      </c>
      <c r="H121" s="237">
        <v>200</v>
      </c>
      <c r="I121" s="237">
        <v>180</v>
      </c>
      <c r="J121" s="237">
        <v>170</v>
      </c>
      <c r="K121" s="450">
        <v>165</v>
      </c>
      <c r="M121" s="451">
        <f t="shared" si="98"/>
        <v>-5.8823529411764719E-2</v>
      </c>
      <c r="N121" s="357">
        <f t="shared" si="99"/>
        <v>-6.4516129032258118E-2</v>
      </c>
      <c r="O121" s="357">
        <f t="shared" si="100"/>
        <v>-3.8314176245210718E-2</v>
      </c>
      <c r="P121" s="357">
        <f t="shared" si="101"/>
        <v>-4.9808429118773923E-2</v>
      </c>
      <c r="Q121" s="357">
        <f t="shared" si="102"/>
        <v>-4.1741124085634129E-2</v>
      </c>
      <c r="R121" s="357">
        <f t="shared" si="103"/>
        <v>2.564102564102555E-2</v>
      </c>
      <c r="S121" s="357">
        <f t="shared" si="104"/>
        <v>5.8823529411764719E-2</v>
      </c>
      <c r="T121" s="357">
        <f t="shared" si="105"/>
        <v>3.0303030303030276E-2</v>
      </c>
      <c r="U121" s="379">
        <f t="shared" si="106"/>
        <v>3.125E-2</v>
      </c>
      <c r="W121" s="451">
        <f t="shared" si="156"/>
        <v>-6.0624621816434854E-2</v>
      </c>
      <c r="X121" s="357">
        <f t="shared" si="157"/>
        <v>-6.6691374498672282E-2</v>
      </c>
      <c r="Y121" s="357">
        <f t="shared" si="158"/>
        <v>-3.9067468190909511E-2</v>
      </c>
      <c r="Z121" s="357">
        <f t="shared" si="159"/>
        <v>-5.1091661157711209E-2</v>
      </c>
      <c r="AA121" s="357">
        <f t="shared" si="160"/>
        <v>-4.2637312135238331E-2</v>
      </c>
      <c r="AB121" s="357">
        <f t="shared" si="161"/>
        <v>2.5317807984289786E-2</v>
      </c>
      <c r="AC121" s="357">
        <f t="shared" si="86"/>
        <v>5.7158413839948623E-2</v>
      </c>
      <c r="AD121" s="357">
        <f t="shared" si="87"/>
        <v>2.9852963149681128E-2</v>
      </c>
      <c r="AE121" s="379">
        <f t="shared" si="88"/>
        <v>3.0771658666753687E-2</v>
      </c>
      <c r="AG121" s="451">
        <f t="shared" si="162"/>
        <v>-8.0295604089332673E-2</v>
      </c>
      <c r="AH121" s="357">
        <f t="shared" si="163"/>
        <v>-8.5626205949531367E-2</v>
      </c>
      <c r="AI121" s="357">
        <f t="shared" si="164"/>
        <v>-5.2579382534325994E-2</v>
      </c>
      <c r="AJ121" s="357">
        <f t="shared" si="165"/>
        <v>-5.9757017741612184E-2</v>
      </c>
      <c r="AK121" s="357">
        <f t="shared" si="166"/>
        <v>-4.8197797371200897E-2</v>
      </c>
      <c r="AL121" s="357">
        <f t="shared" si="167"/>
        <v>2.5193944968975784E-2</v>
      </c>
      <c r="AM121" s="357">
        <f t="shared" si="95"/>
        <v>5.8652882676663819E-2</v>
      </c>
      <c r="AN121" s="357">
        <f t="shared" si="96"/>
        <v>3.0322101054422918E-2</v>
      </c>
      <c r="AO121" s="379">
        <f t="shared" si="97"/>
        <v>3.1304711961047643E-2</v>
      </c>
    </row>
    <row r="122" spans="2:41" x14ac:dyDescent="0.25">
      <c r="B122" s="449">
        <v>43179</v>
      </c>
      <c r="C122" s="237">
        <v>218</v>
      </c>
      <c r="D122" s="237">
        <v>237</v>
      </c>
      <c r="E122" s="237">
        <v>255</v>
      </c>
      <c r="F122" s="237">
        <v>255</v>
      </c>
      <c r="G122" s="237">
        <v>251.59103908484272</v>
      </c>
      <c r="H122" s="237">
        <v>205</v>
      </c>
      <c r="I122" s="237">
        <v>180</v>
      </c>
      <c r="J122" s="237">
        <v>170</v>
      </c>
      <c r="K122" s="450">
        <v>165</v>
      </c>
      <c r="M122" s="451">
        <f t="shared" si="98"/>
        <v>-2.6785714285714302E-2</v>
      </c>
      <c r="N122" s="357">
        <f t="shared" si="99"/>
        <v>2.155172413793105E-2</v>
      </c>
      <c r="O122" s="357">
        <f t="shared" si="100"/>
        <v>1.5936254980079667E-2</v>
      </c>
      <c r="P122" s="357">
        <f t="shared" si="101"/>
        <v>2.8225806451612989E-2</v>
      </c>
      <c r="Q122" s="357">
        <f t="shared" si="102"/>
        <v>2.4786021356261401E-2</v>
      </c>
      <c r="R122" s="357">
        <f t="shared" si="103"/>
        <v>2.4999999999999911E-2</v>
      </c>
      <c r="S122" s="357">
        <f t="shared" si="104"/>
        <v>0</v>
      </c>
      <c r="T122" s="357">
        <f t="shared" si="105"/>
        <v>0</v>
      </c>
      <c r="U122" s="379">
        <f t="shared" si="106"/>
        <v>0</v>
      </c>
      <c r="W122" s="451">
        <f t="shared" si="156"/>
        <v>-2.715098906595086E-2</v>
      </c>
      <c r="X122" s="357">
        <f t="shared" si="157"/>
        <v>2.1322769468821244E-2</v>
      </c>
      <c r="Y122" s="357">
        <f t="shared" si="158"/>
        <v>1.5810606026642245E-2</v>
      </c>
      <c r="Z122" s="357">
        <f t="shared" si="159"/>
        <v>2.7834798993444057E-2</v>
      </c>
      <c r="AA122" s="357">
        <f t="shared" si="160"/>
        <v>2.4483831144614259E-2</v>
      </c>
      <c r="AB122" s="357">
        <f t="shared" si="161"/>
        <v>2.4692612590371414E-2</v>
      </c>
      <c r="AC122" s="357">
        <f t="shared" si="86"/>
        <v>0</v>
      </c>
      <c r="AD122" s="357">
        <f t="shared" si="87"/>
        <v>0</v>
      </c>
      <c r="AE122" s="379">
        <f t="shared" si="88"/>
        <v>0</v>
      </c>
      <c r="AG122" s="451">
        <f t="shared" si="162"/>
        <v>-4.8257788963282255E-2</v>
      </c>
      <c r="AH122" s="357">
        <f t="shared" si="163"/>
        <v>4.4164722065779746E-4</v>
      </c>
      <c r="AI122" s="357">
        <f t="shared" si="164"/>
        <v>1.671048690964393E-3</v>
      </c>
      <c r="AJ122" s="357">
        <f t="shared" si="165"/>
        <v>1.8277217828774724E-2</v>
      </c>
      <c r="AK122" s="357">
        <f t="shared" si="166"/>
        <v>1.8329348070694633E-2</v>
      </c>
      <c r="AL122" s="357">
        <f t="shared" si="167"/>
        <v>2.4552919327950146E-2</v>
      </c>
      <c r="AM122" s="357">
        <f t="shared" si="95"/>
        <v>-1.7064673510089895E-4</v>
      </c>
      <c r="AN122" s="357">
        <f t="shared" si="96"/>
        <v>1.9070751392640699E-5</v>
      </c>
      <c r="AO122" s="379">
        <f t="shared" si="97"/>
        <v>5.4711961047645428E-5</v>
      </c>
    </row>
    <row r="123" spans="2:41" x14ac:dyDescent="0.25">
      <c r="B123" s="449">
        <v>43186</v>
      </c>
      <c r="C123" s="237">
        <v>214</v>
      </c>
      <c r="D123" s="237">
        <v>91</v>
      </c>
      <c r="E123" s="237">
        <v>147</v>
      </c>
      <c r="F123" s="237">
        <v>147</v>
      </c>
      <c r="G123" s="237">
        <v>182.3</v>
      </c>
      <c r="H123" s="237">
        <v>200</v>
      </c>
      <c r="I123" s="237">
        <v>180</v>
      </c>
      <c r="J123" s="237">
        <v>170</v>
      </c>
      <c r="K123" s="450">
        <v>165</v>
      </c>
      <c r="M123" s="451">
        <f t="shared" si="98"/>
        <v>-1.834862385321101E-2</v>
      </c>
      <c r="N123" s="357">
        <f t="shared" si="99"/>
        <v>-0.61603375527426163</v>
      </c>
      <c r="O123" s="357">
        <f t="shared" si="100"/>
        <v>-0.42352941176470593</v>
      </c>
      <c r="P123" s="357">
        <f t="shared" si="101"/>
        <v>-0.42352941176470593</v>
      </c>
      <c r="Q123" s="357">
        <f t="shared" si="102"/>
        <v>-0.2754113951629098</v>
      </c>
      <c r="R123" s="357">
        <f t="shared" si="103"/>
        <v>-2.4390243902439046E-2</v>
      </c>
      <c r="S123" s="357">
        <f t="shared" si="104"/>
        <v>0</v>
      </c>
      <c r="T123" s="357">
        <f t="shared" si="105"/>
        <v>0</v>
      </c>
      <c r="U123" s="379">
        <f t="shared" si="106"/>
        <v>0</v>
      </c>
      <c r="W123" s="451">
        <f t="shared" si="156"/>
        <v>-1.8519047767237527E-2</v>
      </c>
      <c r="X123" s="357">
        <f t="shared" si="157"/>
        <v>-0.9572006346182812</v>
      </c>
      <c r="Y123" s="357">
        <f t="shared" si="158"/>
        <v>-0.55083095837968998</v>
      </c>
      <c r="Z123" s="357">
        <f t="shared" si="159"/>
        <v>-0.55083095837968998</v>
      </c>
      <c r="AA123" s="357">
        <f t="shared" si="160"/>
        <v>-0.32215122678739222</v>
      </c>
      <c r="AB123" s="357">
        <f t="shared" si="161"/>
        <v>-2.4692612590371522E-2</v>
      </c>
      <c r="AC123" s="357">
        <f t="shared" si="86"/>
        <v>0</v>
      </c>
      <c r="AD123" s="357">
        <f t="shared" si="87"/>
        <v>0</v>
      </c>
      <c r="AE123" s="379">
        <f t="shared" si="88"/>
        <v>0</v>
      </c>
      <c r="AG123" s="451">
        <f t="shared" si="162"/>
        <v>-3.9820698530778964E-2</v>
      </c>
      <c r="AH123" s="357">
        <f t="shared" si="163"/>
        <v>-0.63714383219153492</v>
      </c>
      <c r="AI123" s="357">
        <f t="shared" si="164"/>
        <v>-0.43779461805382119</v>
      </c>
      <c r="AJ123" s="357">
        <f t="shared" si="165"/>
        <v>-0.43347800038754419</v>
      </c>
      <c r="AK123" s="357">
        <f t="shared" si="166"/>
        <v>-0.28186806844847656</v>
      </c>
      <c r="AL123" s="357">
        <f t="shared" si="167"/>
        <v>-2.4837324574488812E-2</v>
      </c>
      <c r="AM123" s="357">
        <f t="shared" si="95"/>
        <v>-1.7064673510089895E-4</v>
      </c>
      <c r="AN123" s="357">
        <f t="shared" si="96"/>
        <v>1.9070751392640699E-5</v>
      </c>
      <c r="AO123" s="379">
        <f t="shared" si="97"/>
        <v>5.4711961047645428E-5</v>
      </c>
    </row>
    <row r="124" spans="2:41" x14ac:dyDescent="0.25">
      <c r="B124" s="449">
        <v>43193</v>
      </c>
      <c r="C124" s="237">
        <v>91</v>
      </c>
      <c r="D124" s="237">
        <v>150</v>
      </c>
      <c r="E124" s="237">
        <v>170</v>
      </c>
      <c r="F124" s="237">
        <v>216</v>
      </c>
      <c r="G124" s="237">
        <v>187.66666666666666</v>
      </c>
      <c r="H124" s="237">
        <v>200</v>
      </c>
      <c r="I124" s="237">
        <v>175</v>
      </c>
      <c r="J124" s="237">
        <v>165</v>
      </c>
      <c r="K124" s="450">
        <v>160</v>
      </c>
      <c r="M124" s="451">
        <f t="shared" si="98"/>
        <v>-0.57476635514018692</v>
      </c>
      <c r="N124" s="357">
        <f t="shared" si="99"/>
        <v>0.64835164835164827</v>
      </c>
      <c r="O124" s="357">
        <f t="shared" si="100"/>
        <v>0.15646258503401356</v>
      </c>
      <c r="P124" s="357">
        <f t="shared" si="101"/>
        <v>0.46938775510204089</v>
      </c>
      <c r="Q124" s="357">
        <f t="shared" si="102"/>
        <v>2.9438654232949224E-2</v>
      </c>
      <c r="R124" s="357">
        <f t="shared" si="103"/>
        <v>0</v>
      </c>
      <c r="S124" s="357">
        <f t="shared" si="104"/>
        <v>-2.777777777777779E-2</v>
      </c>
      <c r="T124" s="357">
        <f t="shared" si="105"/>
        <v>-2.9411764705882359E-2</v>
      </c>
      <c r="U124" s="379">
        <f t="shared" si="106"/>
        <v>-3.0303030303030276E-2</v>
      </c>
      <c r="W124" s="451">
        <f t="shared" si="156"/>
        <v>-0.85511650850500143</v>
      </c>
      <c r="X124" s="357">
        <f t="shared" si="157"/>
        <v>0.49977578757940566</v>
      </c>
      <c r="Y124" s="357">
        <f t="shared" si="158"/>
        <v>0.14536585027152543</v>
      </c>
      <c r="Z124" s="357">
        <f t="shared" si="159"/>
        <v>0.38484582090542874</v>
      </c>
      <c r="AA124" s="357">
        <f t="shared" si="160"/>
        <v>2.9013657786963215E-2</v>
      </c>
      <c r="AB124" s="357">
        <f t="shared" si="161"/>
        <v>0</v>
      </c>
      <c r="AC124" s="357">
        <f t="shared" si="86"/>
        <v>-2.8170876966696335E-2</v>
      </c>
      <c r="AD124" s="357">
        <f t="shared" si="87"/>
        <v>-2.985296314968116E-2</v>
      </c>
      <c r="AE124" s="379">
        <f t="shared" si="88"/>
        <v>-3.077165866675366E-2</v>
      </c>
      <c r="AG124" s="451">
        <f t="shared" si="162"/>
        <v>-0.59623842981775488</v>
      </c>
      <c r="AH124" s="357">
        <f t="shared" si="163"/>
        <v>0.62724157143437498</v>
      </c>
      <c r="AI124" s="357">
        <f t="shared" si="164"/>
        <v>0.1421973787448983</v>
      </c>
      <c r="AJ124" s="357">
        <f t="shared" si="165"/>
        <v>0.45943916647920263</v>
      </c>
      <c r="AK124" s="357">
        <f t="shared" si="166"/>
        <v>2.2981980947382456E-2</v>
      </c>
      <c r="AL124" s="357">
        <f t="shared" si="167"/>
        <v>-4.4708067204976532E-4</v>
      </c>
      <c r="AM124" s="357">
        <f t="shared" si="95"/>
        <v>-2.794842451287869E-2</v>
      </c>
      <c r="AN124" s="357">
        <f t="shared" si="96"/>
        <v>-2.9392693954489717E-2</v>
      </c>
      <c r="AO124" s="379">
        <f t="shared" si="97"/>
        <v>-3.0248318341982629E-2</v>
      </c>
    </row>
    <row r="125" spans="2:41" x14ac:dyDescent="0.25">
      <c r="B125" s="449">
        <v>43200</v>
      </c>
      <c r="C125" s="237">
        <v>97</v>
      </c>
      <c r="D125" s="237">
        <v>150</v>
      </c>
      <c r="E125" s="237">
        <v>165</v>
      </c>
      <c r="F125" s="237">
        <v>211</v>
      </c>
      <c r="G125" s="237">
        <v>186.6690909090909</v>
      </c>
      <c r="H125" s="237">
        <v>195</v>
      </c>
      <c r="I125" s="237">
        <v>170</v>
      </c>
      <c r="J125" s="237">
        <v>160</v>
      </c>
      <c r="K125" s="450">
        <v>155</v>
      </c>
      <c r="M125" s="451">
        <f t="shared" si="98"/>
        <v>6.5934065934065922E-2</v>
      </c>
      <c r="N125" s="357">
        <f t="shared" si="99"/>
        <v>0</v>
      </c>
      <c r="O125" s="357">
        <f t="shared" si="100"/>
        <v>-2.9411764705882359E-2</v>
      </c>
      <c r="P125" s="357">
        <f t="shared" si="101"/>
        <v>-2.314814814814814E-2</v>
      </c>
      <c r="Q125" s="357">
        <f t="shared" si="102"/>
        <v>-5.3156789924108105E-3</v>
      </c>
      <c r="R125" s="357">
        <f t="shared" si="103"/>
        <v>-2.5000000000000022E-2</v>
      </c>
      <c r="S125" s="357">
        <f t="shared" si="104"/>
        <v>-2.8571428571428581E-2</v>
      </c>
      <c r="T125" s="357">
        <f t="shared" si="105"/>
        <v>-3.0303030303030276E-2</v>
      </c>
      <c r="U125" s="379">
        <f t="shared" si="106"/>
        <v>-3.125E-2</v>
      </c>
      <c r="W125" s="451">
        <f t="shared" si="156"/>
        <v>6.3851471986532765E-2</v>
      </c>
      <c r="X125" s="357">
        <f t="shared" si="157"/>
        <v>0</v>
      </c>
      <c r="Y125" s="357">
        <f t="shared" si="158"/>
        <v>-2.985296314968116E-2</v>
      </c>
      <c r="Z125" s="357">
        <f t="shared" si="159"/>
        <v>-2.3420274208098498E-2</v>
      </c>
      <c r="AA125" s="357">
        <f t="shared" si="160"/>
        <v>-5.3298574818389987E-3</v>
      </c>
      <c r="AB125" s="357">
        <f t="shared" si="161"/>
        <v>-2.5317807984289897E-2</v>
      </c>
      <c r="AC125" s="357">
        <f t="shared" si="86"/>
        <v>-2.8987536873252298E-2</v>
      </c>
      <c r="AD125" s="357">
        <f t="shared" si="87"/>
        <v>-3.077165866675366E-2</v>
      </c>
      <c r="AE125" s="379">
        <f t="shared" si="88"/>
        <v>-3.1748698314580298E-2</v>
      </c>
      <c r="AG125" s="451">
        <f t="shared" si="162"/>
        <v>4.4461991256497968E-2</v>
      </c>
      <c r="AH125" s="357">
        <f t="shared" si="163"/>
        <v>-2.1110076917273252E-2</v>
      </c>
      <c r="AI125" s="357">
        <f t="shared" si="164"/>
        <v>-4.3676970994997635E-2</v>
      </c>
      <c r="AJ125" s="357">
        <f t="shared" si="165"/>
        <v>-3.3096736770986401E-2</v>
      </c>
      <c r="AK125" s="357">
        <f t="shared" si="166"/>
        <v>-1.1772352277977578E-2</v>
      </c>
      <c r="AL125" s="357">
        <f t="shared" si="167"/>
        <v>-2.5447080672049788E-2</v>
      </c>
      <c r="AM125" s="357">
        <f t="shared" si="95"/>
        <v>-2.8742075306529481E-2</v>
      </c>
      <c r="AN125" s="357">
        <f t="shared" si="96"/>
        <v>-3.0283959551637634E-2</v>
      </c>
      <c r="AO125" s="379">
        <f t="shared" si="97"/>
        <v>-3.1195288038952353E-2</v>
      </c>
    </row>
    <row r="126" spans="2:41" x14ac:dyDescent="0.25">
      <c r="B126" s="449">
        <v>43207</v>
      </c>
      <c r="C126" s="237">
        <v>104</v>
      </c>
      <c r="D126" s="237">
        <v>163</v>
      </c>
      <c r="E126" s="237">
        <v>175</v>
      </c>
      <c r="F126" s="237">
        <v>210</v>
      </c>
      <c r="G126" s="237">
        <v>189.11111111111111</v>
      </c>
      <c r="H126" s="237">
        <v>195</v>
      </c>
      <c r="I126" s="237">
        <v>170</v>
      </c>
      <c r="J126" s="237">
        <v>160</v>
      </c>
      <c r="K126" s="450">
        <v>155</v>
      </c>
      <c r="M126" s="451">
        <f t="shared" si="98"/>
        <v>7.2164948453608213E-2</v>
      </c>
      <c r="N126" s="357">
        <f t="shared" si="99"/>
        <v>8.666666666666667E-2</v>
      </c>
      <c r="O126" s="357">
        <f t="shared" si="100"/>
        <v>6.0606060606060552E-2</v>
      </c>
      <c r="P126" s="357">
        <f t="shared" si="101"/>
        <v>-4.7393364928910442E-3</v>
      </c>
      <c r="Q126" s="357">
        <f t="shared" si="102"/>
        <v>1.3082081185092909E-2</v>
      </c>
      <c r="R126" s="357">
        <f t="shared" si="103"/>
        <v>0</v>
      </c>
      <c r="S126" s="357">
        <f t="shared" si="104"/>
        <v>0</v>
      </c>
      <c r="T126" s="357">
        <f t="shared" si="105"/>
        <v>0</v>
      </c>
      <c r="U126" s="379">
        <f t="shared" si="106"/>
        <v>0</v>
      </c>
      <c r="W126" s="451">
        <f t="shared" si="156"/>
        <v>6.9679920637989806E-2</v>
      </c>
      <c r="X126" s="357">
        <f t="shared" si="157"/>
        <v>8.3114906710506586E-2</v>
      </c>
      <c r="Y126" s="357">
        <f t="shared" si="158"/>
        <v>5.8840500022933395E-2</v>
      </c>
      <c r="Z126" s="357">
        <f t="shared" si="159"/>
        <v>-4.7506027585978647E-3</v>
      </c>
      <c r="AA126" s="357">
        <f t="shared" si="160"/>
        <v>1.2997249807358419E-2</v>
      </c>
      <c r="AB126" s="357">
        <f t="shared" si="161"/>
        <v>0</v>
      </c>
      <c r="AC126" s="357">
        <f t="shared" si="86"/>
        <v>0</v>
      </c>
      <c r="AD126" s="357">
        <f t="shared" si="87"/>
        <v>0</v>
      </c>
      <c r="AE126" s="379">
        <f t="shared" si="88"/>
        <v>0</v>
      </c>
      <c r="AG126" s="451">
        <f t="shared" si="162"/>
        <v>5.0692873776040259E-2</v>
      </c>
      <c r="AH126" s="357">
        <f t="shared" si="163"/>
        <v>6.5556589749393421E-2</v>
      </c>
      <c r="AI126" s="357">
        <f t="shared" si="164"/>
        <v>4.6340854316945276E-2</v>
      </c>
      <c r="AJ126" s="357">
        <f t="shared" si="165"/>
        <v>-1.4687925115729309E-2</v>
      </c>
      <c r="AK126" s="357">
        <f t="shared" si="166"/>
        <v>6.6254078995261418E-3</v>
      </c>
      <c r="AL126" s="357">
        <f t="shared" si="167"/>
        <v>-4.4708067204976532E-4</v>
      </c>
      <c r="AM126" s="357">
        <f t="shared" si="95"/>
        <v>-1.7064673510089895E-4</v>
      </c>
      <c r="AN126" s="357">
        <f t="shared" si="96"/>
        <v>1.9070751392640699E-5</v>
      </c>
      <c r="AO126" s="379">
        <f t="shared" si="97"/>
        <v>5.4711961047645428E-5</v>
      </c>
    </row>
    <row r="127" spans="2:41" x14ac:dyDescent="0.25">
      <c r="B127" s="449">
        <v>43214</v>
      </c>
      <c r="C127" s="237">
        <v>107</v>
      </c>
      <c r="D127" s="237">
        <v>190</v>
      </c>
      <c r="E127" s="237">
        <v>184</v>
      </c>
      <c r="F127" s="237">
        <v>213</v>
      </c>
      <c r="G127" s="237">
        <v>195.68</v>
      </c>
      <c r="H127" s="237">
        <v>195</v>
      </c>
      <c r="I127" s="237">
        <v>170</v>
      </c>
      <c r="J127" s="237">
        <v>160</v>
      </c>
      <c r="K127" s="450">
        <v>155</v>
      </c>
      <c r="M127" s="451">
        <f t="shared" si="98"/>
        <v>2.8846153846153744E-2</v>
      </c>
      <c r="N127" s="357">
        <f t="shared" si="99"/>
        <v>0.16564417177914104</v>
      </c>
      <c r="O127" s="357">
        <f t="shared" si="100"/>
        <v>5.1428571428571379E-2</v>
      </c>
      <c r="P127" s="357">
        <f t="shared" si="101"/>
        <v>1.4285714285714235E-2</v>
      </c>
      <c r="Q127" s="357">
        <f t="shared" si="102"/>
        <v>3.4735605170387762E-2</v>
      </c>
      <c r="R127" s="357">
        <f t="shared" si="103"/>
        <v>0</v>
      </c>
      <c r="S127" s="357">
        <f t="shared" si="104"/>
        <v>0</v>
      </c>
      <c r="T127" s="357">
        <f t="shared" si="105"/>
        <v>0</v>
      </c>
      <c r="U127" s="379">
        <f t="shared" si="106"/>
        <v>0</v>
      </c>
      <c r="W127" s="451">
        <f t="shared" si="156"/>
        <v>2.843793532053341E-2</v>
      </c>
      <c r="X127" s="357">
        <f t="shared" si="157"/>
        <v>0.15327387135372375</v>
      </c>
      <c r="Y127" s="357">
        <f t="shared" si="158"/>
        <v>5.0149783685471516E-2</v>
      </c>
      <c r="Z127" s="357">
        <f t="shared" si="159"/>
        <v>1.4184634991956381E-2</v>
      </c>
      <c r="AA127" s="357">
        <f t="shared" si="160"/>
        <v>3.4145940141762143E-2</v>
      </c>
      <c r="AB127" s="357">
        <f t="shared" si="161"/>
        <v>0</v>
      </c>
      <c r="AC127" s="357">
        <f t="shared" si="86"/>
        <v>0</v>
      </c>
      <c r="AD127" s="357">
        <f t="shared" si="87"/>
        <v>0</v>
      </c>
      <c r="AE127" s="379">
        <f t="shared" si="88"/>
        <v>0</v>
      </c>
      <c r="AG127" s="451">
        <f t="shared" si="162"/>
        <v>7.3740791685857864E-3</v>
      </c>
      <c r="AH127" s="357">
        <f t="shared" si="163"/>
        <v>0.14453409486186777</v>
      </c>
      <c r="AI127" s="357">
        <f t="shared" si="164"/>
        <v>3.7163365139456103E-2</v>
      </c>
      <c r="AJ127" s="357">
        <f t="shared" si="165"/>
        <v>4.3371256628759701E-3</v>
      </c>
      <c r="AK127" s="357">
        <f t="shared" si="166"/>
        <v>2.8278931884820994E-2</v>
      </c>
      <c r="AL127" s="357">
        <f t="shared" si="167"/>
        <v>-4.4708067204976532E-4</v>
      </c>
      <c r="AM127" s="357">
        <f t="shared" si="95"/>
        <v>-1.7064673510089895E-4</v>
      </c>
      <c r="AN127" s="357">
        <f t="shared" si="96"/>
        <v>1.9070751392640699E-5</v>
      </c>
      <c r="AO127" s="379">
        <f t="shared" si="97"/>
        <v>5.4711961047645428E-5</v>
      </c>
    </row>
    <row r="128" spans="2:41" x14ac:dyDescent="0.25">
      <c r="B128" s="449">
        <v>43222</v>
      </c>
      <c r="C128" s="237">
        <v>255</v>
      </c>
      <c r="D128" s="237">
        <v>230</v>
      </c>
      <c r="E128" s="237">
        <v>235</v>
      </c>
      <c r="F128" s="237">
        <v>235</v>
      </c>
      <c r="G128" s="237">
        <v>231.625</v>
      </c>
      <c r="H128" s="237">
        <v>200</v>
      </c>
      <c r="I128" s="237">
        <v>170</v>
      </c>
      <c r="J128" s="237">
        <v>160</v>
      </c>
      <c r="K128" s="450">
        <v>155</v>
      </c>
      <c r="M128" s="451">
        <f t="shared" si="98"/>
        <v>1.3831775700934581</v>
      </c>
      <c r="N128" s="357">
        <f t="shared" si="99"/>
        <v>0.21052631578947367</v>
      </c>
      <c r="O128" s="357">
        <f t="shared" si="100"/>
        <v>0.27717391304347827</v>
      </c>
      <c r="P128" s="357">
        <f t="shared" si="101"/>
        <v>0.10328638497652576</v>
      </c>
      <c r="Q128" s="357">
        <f t="shared" si="102"/>
        <v>0.18369276369582987</v>
      </c>
      <c r="R128" s="357">
        <f t="shared" si="103"/>
        <v>2.564102564102555E-2</v>
      </c>
      <c r="S128" s="357">
        <f t="shared" si="104"/>
        <v>0</v>
      </c>
      <c r="T128" s="357">
        <f t="shared" si="105"/>
        <v>0</v>
      </c>
      <c r="U128" s="379">
        <f t="shared" si="106"/>
        <v>0</v>
      </c>
      <c r="W128" s="451">
        <f t="shared" si="156"/>
        <v>0.86843471069652001</v>
      </c>
      <c r="X128" s="357">
        <f t="shared" si="157"/>
        <v>0.19105523676270922</v>
      </c>
      <c r="Y128" s="357">
        <f t="shared" si="158"/>
        <v>0.24464975653517335</v>
      </c>
      <c r="Z128" s="357">
        <f t="shared" si="159"/>
        <v>9.8293348434733793E-2</v>
      </c>
      <c r="AA128" s="357">
        <f t="shared" si="160"/>
        <v>0.16863901266666159</v>
      </c>
      <c r="AB128" s="357">
        <f t="shared" si="161"/>
        <v>2.5317807984289786E-2</v>
      </c>
      <c r="AC128" s="357">
        <f t="shared" si="86"/>
        <v>0</v>
      </c>
      <c r="AD128" s="357">
        <f t="shared" si="87"/>
        <v>0</v>
      </c>
      <c r="AE128" s="379">
        <f t="shared" si="88"/>
        <v>0</v>
      </c>
      <c r="AG128" s="451">
        <f t="shared" si="162"/>
        <v>1.36170549541589</v>
      </c>
      <c r="AH128" s="357">
        <f t="shared" si="163"/>
        <v>0.18941623887220041</v>
      </c>
      <c r="AI128" s="357">
        <f t="shared" si="164"/>
        <v>0.26290870675436301</v>
      </c>
      <c r="AJ128" s="357">
        <f t="shared" si="165"/>
        <v>9.3337796353687497E-2</v>
      </c>
      <c r="AK128" s="357">
        <f t="shared" si="166"/>
        <v>0.17723609041026311</v>
      </c>
      <c r="AL128" s="357">
        <f t="shared" si="167"/>
        <v>2.5193944968975784E-2</v>
      </c>
      <c r="AM128" s="357">
        <f t="shared" si="95"/>
        <v>-1.7064673510089895E-4</v>
      </c>
      <c r="AN128" s="357">
        <f t="shared" si="96"/>
        <v>1.9070751392640699E-5</v>
      </c>
      <c r="AO128" s="379">
        <f t="shared" si="97"/>
        <v>5.4711961047645428E-5</v>
      </c>
    </row>
    <row r="129" spans="2:41" x14ac:dyDescent="0.25">
      <c r="B129" s="449">
        <v>43228</v>
      </c>
      <c r="C129" s="237">
        <v>261</v>
      </c>
      <c r="D129" s="237">
        <v>190</v>
      </c>
      <c r="E129" s="237">
        <v>218</v>
      </c>
      <c r="F129" s="237">
        <v>218</v>
      </c>
      <c r="G129" s="237">
        <v>215.88163265306122</v>
      </c>
      <c r="H129" s="237">
        <v>200</v>
      </c>
      <c r="I129" s="237">
        <v>170</v>
      </c>
      <c r="J129" s="237">
        <v>160</v>
      </c>
      <c r="K129" s="450">
        <v>155</v>
      </c>
      <c r="M129" s="451">
        <f t="shared" si="98"/>
        <v>2.3529411764705799E-2</v>
      </c>
      <c r="N129" s="357">
        <f t="shared" si="99"/>
        <v>-0.17391304347826086</v>
      </c>
      <c r="O129" s="357">
        <f t="shared" si="100"/>
        <v>-7.2340425531914887E-2</v>
      </c>
      <c r="P129" s="357">
        <f t="shared" si="101"/>
        <v>-7.2340425531914887E-2</v>
      </c>
      <c r="Q129" s="357">
        <f t="shared" si="102"/>
        <v>-6.7969206031036289E-2</v>
      </c>
      <c r="R129" s="357">
        <f t="shared" si="103"/>
        <v>0</v>
      </c>
      <c r="S129" s="357">
        <f t="shared" si="104"/>
        <v>0</v>
      </c>
      <c r="T129" s="357">
        <f t="shared" si="105"/>
        <v>0</v>
      </c>
      <c r="U129" s="379">
        <f t="shared" si="106"/>
        <v>0</v>
      </c>
      <c r="W129" s="451">
        <f t="shared" si="156"/>
        <v>2.3256862164267183E-2</v>
      </c>
      <c r="X129" s="357">
        <f t="shared" si="157"/>
        <v>-0.19105523676270922</v>
      </c>
      <c r="Y129" s="357">
        <f t="shared" si="158"/>
        <v>-7.5090451355069948E-2</v>
      </c>
      <c r="Z129" s="357">
        <f t="shared" si="159"/>
        <v>-7.5090451355069948E-2</v>
      </c>
      <c r="AA129" s="357">
        <f t="shared" si="160"/>
        <v>-7.0389424103147621E-2</v>
      </c>
      <c r="AB129" s="357">
        <f t="shared" si="161"/>
        <v>0</v>
      </c>
      <c r="AC129" s="357">
        <f t="shared" si="86"/>
        <v>0</v>
      </c>
      <c r="AD129" s="357">
        <f t="shared" si="87"/>
        <v>0</v>
      </c>
      <c r="AE129" s="379">
        <f t="shared" si="88"/>
        <v>0</v>
      </c>
      <c r="AG129" s="451">
        <f t="shared" si="162"/>
        <v>2.0573370871378414E-3</v>
      </c>
      <c r="AH129" s="357">
        <f t="shared" si="163"/>
        <v>-0.19502312039553413</v>
      </c>
      <c r="AI129" s="357">
        <f t="shared" si="164"/>
        <v>-8.6605631821030163E-2</v>
      </c>
      <c r="AJ129" s="357">
        <f t="shared" si="165"/>
        <v>-8.2289014154753148E-2</v>
      </c>
      <c r="AK129" s="357">
        <f t="shared" si="166"/>
        <v>-7.442587931660305E-2</v>
      </c>
      <c r="AL129" s="357">
        <f t="shared" si="167"/>
        <v>-4.4708067204976532E-4</v>
      </c>
      <c r="AM129" s="357">
        <f t="shared" si="95"/>
        <v>-1.7064673510089895E-4</v>
      </c>
      <c r="AN129" s="357">
        <f t="shared" si="96"/>
        <v>1.9070751392640699E-5</v>
      </c>
      <c r="AO129" s="379">
        <f t="shared" si="97"/>
        <v>5.4711961047645428E-5</v>
      </c>
    </row>
    <row r="130" spans="2:41" x14ac:dyDescent="0.25">
      <c r="B130" s="449">
        <v>43235</v>
      </c>
      <c r="C130" s="237">
        <v>292</v>
      </c>
      <c r="D130" s="237">
        <v>289</v>
      </c>
      <c r="E130" s="237">
        <v>258</v>
      </c>
      <c r="F130" s="237">
        <v>258</v>
      </c>
      <c r="G130" s="237">
        <v>252.57959183673469</v>
      </c>
      <c r="H130" s="237">
        <v>203</v>
      </c>
      <c r="I130" s="237">
        <v>170</v>
      </c>
      <c r="J130" s="237">
        <v>160</v>
      </c>
      <c r="K130" s="450">
        <v>155</v>
      </c>
      <c r="M130" s="451">
        <f t="shared" si="98"/>
        <v>0.11877394636015315</v>
      </c>
      <c r="N130" s="357">
        <f t="shared" si="99"/>
        <v>0.52105263157894743</v>
      </c>
      <c r="O130" s="357">
        <f t="shared" si="100"/>
        <v>0.1834862385321101</v>
      </c>
      <c r="P130" s="357">
        <f t="shared" si="101"/>
        <v>0.1834862385321101</v>
      </c>
      <c r="Q130" s="357">
        <f t="shared" si="102"/>
        <v>0.16999111380007936</v>
      </c>
      <c r="R130" s="357">
        <f t="shared" si="103"/>
        <v>1.4999999999999902E-2</v>
      </c>
      <c r="S130" s="357">
        <f t="shared" si="104"/>
        <v>0</v>
      </c>
      <c r="T130" s="357">
        <f t="shared" si="105"/>
        <v>0</v>
      </c>
      <c r="U130" s="379">
        <f t="shared" si="106"/>
        <v>0</v>
      </c>
      <c r="W130" s="451">
        <f t="shared" ref="W130:W138" si="168">LN(C130/C129)</f>
        <v>0.11223339494558825</v>
      </c>
      <c r="X130" s="357">
        <f t="shared" ref="X130:X138" si="169">LN(D130/D129)</f>
        <v>0.41940261595194606</v>
      </c>
      <c r="Y130" s="357">
        <f t="shared" ref="Y130:Y138" si="170">LN(E130/E129)</f>
        <v>0.16846452213252841</v>
      </c>
      <c r="Z130" s="357">
        <f t="shared" ref="Z130:Z138" si="171">LN(F130/F129)</f>
        <v>0.16846452213252841</v>
      </c>
      <c r="AA130" s="357">
        <f t="shared" ref="AA130:AA138" si="172">LN(G130/G129)</f>
        <v>0.15699615373815506</v>
      </c>
      <c r="AB130" s="357">
        <f t="shared" ref="AB130:AB138" si="173">LN(H130/H129)</f>
        <v>1.4888612493750559E-2</v>
      </c>
      <c r="AC130" s="357">
        <f t="shared" si="86"/>
        <v>0</v>
      </c>
      <c r="AD130" s="357">
        <f t="shared" si="87"/>
        <v>0</v>
      </c>
      <c r="AE130" s="379">
        <f t="shared" si="88"/>
        <v>0</v>
      </c>
      <c r="AG130" s="451">
        <f t="shared" ref="AG130:AG138" si="174">M130-M$2</f>
        <v>9.7301871682585195E-2</v>
      </c>
      <c r="AH130" s="357">
        <f t="shared" ref="AH130:AH138" si="175">N130-N$2</f>
        <v>0.4999425546616742</v>
      </c>
      <c r="AI130" s="357">
        <f t="shared" ref="AI130:AI138" si="176">O130-O$2</f>
        <v>0.16922103224299484</v>
      </c>
      <c r="AJ130" s="357">
        <f t="shared" ref="AJ130:AJ138" si="177">P130-P$2</f>
        <v>0.17353764990927184</v>
      </c>
      <c r="AK130" s="357">
        <f t="shared" ref="AK130:AK138" si="178">Q130-Q$2</f>
        <v>0.1635344405145126</v>
      </c>
      <c r="AL130" s="357">
        <f t="shared" ref="AL130:AL138" si="179">R130-R$2</f>
        <v>1.4552919327950137E-2</v>
      </c>
      <c r="AM130" s="357">
        <f t="shared" si="95"/>
        <v>-1.7064673510089895E-4</v>
      </c>
      <c r="AN130" s="357">
        <f t="shared" si="96"/>
        <v>1.9070751392640699E-5</v>
      </c>
      <c r="AO130" s="379">
        <f t="shared" si="97"/>
        <v>5.4711961047645428E-5</v>
      </c>
    </row>
    <row r="131" spans="2:41" x14ac:dyDescent="0.25">
      <c r="B131" s="449">
        <v>43242</v>
      </c>
      <c r="C131" s="237">
        <v>303</v>
      </c>
      <c r="D131" s="237">
        <v>350</v>
      </c>
      <c r="E131" s="237">
        <v>306</v>
      </c>
      <c r="F131" s="237">
        <v>306</v>
      </c>
      <c r="G131" s="237">
        <v>284.125</v>
      </c>
      <c r="H131" s="237">
        <v>205</v>
      </c>
      <c r="I131" s="237">
        <v>170</v>
      </c>
      <c r="J131" s="237">
        <v>160</v>
      </c>
      <c r="K131" s="450">
        <v>155</v>
      </c>
      <c r="M131" s="451">
        <f t="shared" si="98"/>
        <v>3.7671232876712368E-2</v>
      </c>
      <c r="N131" s="357">
        <f t="shared" si="99"/>
        <v>0.21107266435986149</v>
      </c>
      <c r="O131" s="357">
        <f t="shared" si="100"/>
        <v>0.18604651162790709</v>
      </c>
      <c r="P131" s="357">
        <f t="shared" si="101"/>
        <v>0.18604651162790709</v>
      </c>
      <c r="Q131" s="357">
        <f t="shared" si="102"/>
        <v>0.12489294140460871</v>
      </c>
      <c r="R131" s="357">
        <f t="shared" si="103"/>
        <v>9.8522167487684609E-3</v>
      </c>
      <c r="S131" s="357">
        <f t="shared" si="104"/>
        <v>0</v>
      </c>
      <c r="T131" s="357">
        <f t="shared" si="105"/>
        <v>0</v>
      </c>
      <c r="U131" s="379">
        <f t="shared" si="106"/>
        <v>0</v>
      </c>
      <c r="W131" s="451">
        <f t="shared" si="168"/>
        <v>3.6979003241087431E-2</v>
      </c>
      <c r="X131" s="357">
        <f t="shared" si="169"/>
        <v>0.19150646637102711</v>
      </c>
      <c r="Y131" s="357">
        <f t="shared" si="170"/>
        <v>0.17062551703076345</v>
      </c>
      <c r="Z131" s="357">
        <f t="shared" si="171"/>
        <v>0.17062551703076345</v>
      </c>
      <c r="AA131" s="357">
        <f t="shared" si="172"/>
        <v>0.11768786793217588</v>
      </c>
      <c r="AB131" s="357">
        <f t="shared" si="173"/>
        <v>9.8040000966208348E-3</v>
      </c>
      <c r="AC131" s="357">
        <f t="shared" si="86"/>
        <v>0</v>
      </c>
      <c r="AD131" s="357">
        <f t="shared" si="87"/>
        <v>0</v>
      </c>
      <c r="AE131" s="379">
        <f t="shared" si="88"/>
        <v>0</v>
      </c>
      <c r="AG131" s="451">
        <f t="shared" si="174"/>
        <v>1.6199158199144411E-2</v>
      </c>
      <c r="AH131" s="357">
        <f t="shared" si="175"/>
        <v>0.18996258744258823</v>
      </c>
      <c r="AI131" s="357">
        <f t="shared" si="176"/>
        <v>0.17178130533879182</v>
      </c>
      <c r="AJ131" s="357">
        <f t="shared" si="177"/>
        <v>0.17609792300506882</v>
      </c>
      <c r="AK131" s="357">
        <f t="shared" si="178"/>
        <v>0.11843626811904195</v>
      </c>
      <c r="AL131" s="357">
        <f t="shared" si="179"/>
        <v>9.4051360767186953E-3</v>
      </c>
      <c r="AM131" s="357">
        <f t="shared" si="95"/>
        <v>-1.7064673510089895E-4</v>
      </c>
      <c r="AN131" s="357">
        <f t="shared" si="96"/>
        <v>1.9070751392640699E-5</v>
      </c>
      <c r="AO131" s="379">
        <f t="shared" si="97"/>
        <v>5.4711961047645428E-5</v>
      </c>
    </row>
    <row r="132" spans="2:41" x14ac:dyDescent="0.25">
      <c r="B132" s="449">
        <v>43249</v>
      </c>
      <c r="C132" s="237">
        <v>305</v>
      </c>
      <c r="D132" s="237">
        <v>345</v>
      </c>
      <c r="E132" s="237">
        <v>300</v>
      </c>
      <c r="F132" s="237">
        <v>300</v>
      </c>
      <c r="G132" s="237">
        <v>282.86122448979592</v>
      </c>
      <c r="H132" s="237">
        <v>212</v>
      </c>
      <c r="I132" s="237">
        <v>170</v>
      </c>
      <c r="J132" s="237">
        <v>160</v>
      </c>
      <c r="K132" s="450">
        <v>155</v>
      </c>
      <c r="M132" s="451">
        <f t="shared" si="98"/>
        <v>6.6006600660066805E-3</v>
      </c>
      <c r="N132" s="357">
        <f t="shared" si="99"/>
        <v>-1.4285714285714235E-2</v>
      </c>
      <c r="O132" s="357">
        <f t="shared" si="100"/>
        <v>-1.9607843137254943E-2</v>
      </c>
      <c r="P132" s="357">
        <f t="shared" si="101"/>
        <v>-1.9607843137254943E-2</v>
      </c>
      <c r="Q132" s="357">
        <f t="shared" si="102"/>
        <v>-4.4479560411934127E-3</v>
      </c>
      <c r="R132" s="357">
        <f t="shared" si="103"/>
        <v>3.4146341463414664E-2</v>
      </c>
      <c r="S132" s="357">
        <f t="shared" si="104"/>
        <v>0</v>
      </c>
      <c r="T132" s="357">
        <f t="shared" si="105"/>
        <v>0</v>
      </c>
      <c r="U132" s="379">
        <f t="shared" si="106"/>
        <v>0</v>
      </c>
      <c r="W132" s="451">
        <f t="shared" si="168"/>
        <v>6.5789710980425605E-3</v>
      </c>
      <c r="X132" s="357">
        <f t="shared" si="169"/>
        <v>-1.4388737452099556E-2</v>
      </c>
      <c r="Y132" s="357">
        <f t="shared" si="170"/>
        <v>-1.9802627296179754E-2</v>
      </c>
      <c r="Z132" s="357">
        <f t="shared" si="171"/>
        <v>-1.9802627296179754E-2</v>
      </c>
      <c r="AA132" s="357">
        <f t="shared" si="172"/>
        <v>-4.4578776291212931E-3</v>
      </c>
      <c r="AB132" s="357">
        <f t="shared" si="173"/>
        <v>3.3576295533604306E-2</v>
      </c>
      <c r="AC132" s="357">
        <f t="shared" si="86"/>
        <v>0</v>
      </c>
      <c r="AD132" s="357">
        <f t="shared" si="87"/>
        <v>0</v>
      </c>
      <c r="AE132" s="379">
        <f t="shared" si="88"/>
        <v>0</v>
      </c>
      <c r="AG132" s="451">
        <f t="shared" si="174"/>
        <v>-1.4871414611561277E-2</v>
      </c>
      <c r="AH132" s="357">
        <f t="shared" si="175"/>
        <v>-3.5395791202987484E-2</v>
      </c>
      <c r="AI132" s="357">
        <f t="shared" si="176"/>
        <v>-3.3873049426370219E-2</v>
      </c>
      <c r="AJ132" s="357">
        <f t="shared" si="177"/>
        <v>-2.9556431760093208E-2</v>
      </c>
      <c r="AK132" s="357">
        <f t="shared" si="178"/>
        <v>-1.090462932676018E-2</v>
      </c>
      <c r="AL132" s="357">
        <f t="shared" si="179"/>
        <v>3.3699260791364899E-2</v>
      </c>
      <c r="AM132" s="357">
        <f t="shared" si="95"/>
        <v>-1.7064673510089895E-4</v>
      </c>
      <c r="AN132" s="357">
        <f t="shared" si="96"/>
        <v>1.9070751392640699E-5</v>
      </c>
      <c r="AO132" s="379">
        <f t="shared" si="97"/>
        <v>5.4711961047645428E-5</v>
      </c>
    </row>
    <row r="133" spans="2:41" x14ac:dyDescent="0.25">
      <c r="B133" s="449">
        <v>43256</v>
      </c>
      <c r="C133" s="237">
        <v>390</v>
      </c>
      <c r="D133" s="237">
        <v>360</v>
      </c>
      <c r="E133" s="237">
        <v>325</v>
      </c>
      <c r="F133" s="237">
        <v>295</v>
      </c>
      <c r="G133" s="237">
        <v>299.85714285714283</v>
      </c>
      <c r="H133" s="237">
        <v>212</v>
      </c>
      <c r="I133" s="237">
        <v>170</v>
      </c>
      <c r="J133" s="237">
        <v>160</v>
      </c>
      <c r="K133" s="450">
        <v>155</v>
      </c>
      <c r="M133" s="451">
        <f t="shared" si="98"/>
        <v>0.27868852459016402</v>
      </c>
      <c r="N133" s="357">
        <f t="shared" si="99"/>
        <v>4.3478260869565188E-2</v>
      </c>
      <c r="O133" s="357">
        <f t="shared" si="100"/>
        <v>8.3333333333333259E-2</v>
      </c>
      <c r="P133" s="357">
        <f t="shared" si="101"/>
        <v>-1.6666666666666718E-2</v>
      </c>
      <c r="Q133" s="357">
        <f t="shared" si="102"/>
        <v>6.0085713048873668E-2</v>
      </c>
      <c r="R133" s="357">
        <f t="shared" si="103"/>
        <v>0</v>
      </c>
      <c r="S133" s="357">
        <f t="shared" si="104"/>
        <v>0</v>
      </c>
      <c r="T133" s="357">
        <f t="shared" si="105"/>
        <v>0</v>
      </c>
      <c r="U133" s="379">
        <f t="shared" si="106"/>
        <v>0</v>
      </c>
      <c r="W133" s="451">
        <f t="shared" si="168"/>
        <v>0.24583496251628056</v>
      </c>
      <c r="X133" s="357">
        <f t="shared" si="169"/>
        <v>4.2559614418795903E-2</v>
      </c>
      <c r="Y133" s="357">
        <f t="shared" si="170"/>
        <v>8.0042707673536356E-2</v>
      </c>
      <c r="Z133" s="357">
        <f t="shared" si="171"/>
        <v>-1.6807118316381289E-2</v>
      </c>
      <c r="AA133" s="357">
        <f t="shared" si="172"/>
        <v>5.8349766221733629E-2</v>
      </c>
      <c r="AB133" s="357">
        <f t="shared" si="173"/>
        <v>0</v>
      </c>
      <c r="AC133" s="357">
        <f t="shared" si="86"/>
        <v>0</v>
      </c>
      <c r="AD133" s="357">
        <f t="shared" si="87"/>
        <v>0</v>
      </c>
      <c r="AE133" s="379">
        <f t="shared" si="88"/>
        <v>0</v>
      </c>
      <c r="AG133" s="451">
        <f t="shared" si="174"/>
        <v>0.25721644991259607</v>
      </c>
      <c r="AH133" s="357">
        <f t="shared" si="175"/>
        <v>2.2368183952291936E-2</v>
      </c>
      <c r="AI133" s="357">
        <f t="shared" si="176"/>
        <v>6.9068127044217983E-2</v>
      </c>
      <c r="AJ133" s="357">
        <f t="shared" si="177"/>
        <v>-2.6615255289504983E-2</v>
      </c>
      <c r="AK133" s="357">
        <f t="shared" si="178"/>
        <v>5.36290397633069E-2</v>
      </c>
      <c r="AL133" s="357">
        <f t="shared" si="179"/>
        <v>-4.4708067204976532E-4</v>
      </c>
      <c r="AM133" s="357">
        <f t="shared" si="95"/>
        <v>-1.7064673510089895E-4</v>
      </c>
      <c r="AN133" s="357">
        <f t="shared" si="96"/>
        <v>1.9070751392640699E-5</v>
      </c>
      <c r="AO133" s="379">
        <f t="shared" si="97"/>
        <v>5.4711961047645428E-5</v>
      </c>
    </row>
    <row r="134" spans="2:41" x14ac:dyDescent="0.25">
      <c r="B134" s="449">
        <v>43263</v>
      </c>
      <c r="C134" s="237">
        <v>413</v>
      </c>
      <c r="D134" s="237">
        <v>410</v>
      </c>
      <c r="E134" s="237">
        <v>383</v>
      </c>
      <c r="F134" s="237">
        <v>338</v>
      </c>
      <c r="G134" s="237">
        <v>329.42857142857144</v>
      </c>
      <c r="H134" s="237">
        <v>215</v>
      </c>
      <c r="I134" s="237">
        <v>180</v>
      </c>
      <c r="J134" s="237">
        <v>165</v>
      </c>
      <c r="K134" s="450">
        <v>155</v>
      </c>
      <c r="M134" s="451">
        <f t="shared" si="98"/>
        <v>5.8974358974358987E-2</v>
      </c>
      <c r="N134" s="357">
        <f t="shared" si="99"/>
        <v>0.13888888888888884</v>
      </c>
      <c r="O134" s="357">
        <f t="shared" si="100"/>
        <v>0.17846153846153845</v>
      </c>
      <c r="P134" s="357">
        <f t="shared" si="101"/>
        <v>0.1457627118644067</v>
      </c>
      <c r="Q134" s="357">
        <f t="shared" si="102"/>
        <v>9.8618389709385523E-2</v>
      </c>
      <c r="R134" s="357">
        <f t="shared" si="103"/>
        <v>1.4150943396226356E-2</v>
      </c>
      <c r="S134" s="357">
        <f t="shared" si="104"/>
        <v>5.8823529411764719E-2</v>
      </c>
      <c r="T134" s="357">
        <f t="shared" si="105"/>
        <v>3.125E-2</v>
      </c>
      <c r="U134" s="379">
        <f t="shared" si="106"/>
        <v>0</v>
      </c>
      <c r="W134" s="451">
        <f t="shared" si="168"/>
        <v>5.7300853837340654E-2</v>
      </c>
      <c r="X134" s="357">
        <f t="shared" si="169"/>
        <v>0.13005312824819776</v>
      </c>
      <c r="Y134" s="357">
        <f t="shared" si="170"/>
        <v>0.1642098068509085</v>
      </c>
      <c r="Z134" s="357">
        <f t="shared" si="171"/>
        <v>0.13607053914319889</v>
      </c>
      <c r="AA134" s="357">
        <f t="shared" si="172"/>
        <v>9.4053381008371434E-2</v>
      </c>
      <c r="AB134" s="357">
        <f t="shared" si="173"/>
        <v>1.4051753455650287E-2</v>
      </c>
      <c r="AC134" s="357">
        <f t="shared" si="86"/>
        <v>5.7158413839948623E-2</v>
      </c>
      <c r="AD134" s="357">
        <f t="shared" si="87"/>
        <v>3.0771658666753687E-2</v>
      </c>
      <c r="AE134" s="379">
        <f t="shared" si="88"/>
        <v>0</v>
      </c>
      <c r="AG134" s="451">
        <f t="shared" si="174"/>
        <v>3.7502284296791033E-2</v>
      </c>
      <c r="AH134" s="357">
        <f t="shared" si="175"/>
        <v>0.11777881197161559</v>
      </c>
      <c r="AI134" s="357">
        <f t="shared" si="176"/>
        <v>0.16419633217242319</v>
      </c>
      <c r="AJ134" s="357">
        <f t="shared" si="177"/>
        <v>0.13581412324156844</v>
      </c>
      <c r="AK134" s="357">
        <f t="shared" si="178"/>
        <v>9.2161716423818763E-2</v>
      </c>
      <c r="AL134" s="357">
        <f t="shared" si="179"/>
        <v>1.3703862724176591E-2</v>
      </c>
      <c r="AM134" s="357">
        <f t="shared" si="95"/>
        <v>5.8652882676663819E-2</v>
      </c>
      <c r="AN134" s="357">
        <f t="shared" si="96"/>
        <v>3.1269070751392639E-2</v>
      </c>
      <c r="AO134" s="379">
        <f t="shared" si="97"/>
        <v>5.4711961047645428E-5</v>
      </c>
    </row>
    <row r="135" spans="2:41" x14ac:dyDescent="0.25">
      <c r="B135" s="449">
        <v>43270</v>
      </c>
      <c r="C135" s="237">
        <v>413</v>
      </c>
      <c r="D135" s="237">
        <v>417</v>
      </c>
      <c r="E135" s="237">
        <v>395</v>
      </c>
      <c r="F135" s="237">
        <v>343</v>
      </c>
      <c r="G135" s="237">
        <v>335.42857142857144</v>
      </c>
      <c r="H135" s="237">
        <v>215</v>
      </c>
      <c r="I135" s="237">
        <v>180</v>
      </c>
      <c r="J135" s="237">
        <v>165</v>
      </c>
      <c r="K135" s="450">
        <v>155</v>
      </c>
      <c r="M135" s="451">
        <f t="shared" si="98"/>
        <v>0</v>
      </c>
      <c r="N135" s="357">
        <f t="shared" si="99"/>
        <v>1.7073170731707332E-2</v>
      </c>
      <c r="O135" s="357">
        <f t="shared" si="100"/>
        <v>3.1331592689294974E-2</v>
      </c>
      <c r="P135" s="357">
        <f t="shared" si="101"/>
        <v>1.4792899408283988E-2</v>
      </c>
      <c r="Q135" s="357">
        <f t="shared" si="102"/>
        <v>1.8213356461405095E-2</v>
      </c>
      <c r="R135" s="357">
        <f t="shared" si="103"/>
        <v>0</v>
      </c>
      <c r="S135" s="357">
        <f t="shared" si="104"/>
        <v>0</v>
      </c>
      <c r="T135" s="357">
        <f t="shared" si="105"/>
        <v>0</v>
      </c>
      <c r="U135" s="379">
        <f t="shared" si="106"/>
        <v>0</v>
      </c>
      <c r="W135" s="451">
        <f t="shared" si="168"/>
        <v>0</v>
      </c>
      <c r="X135" s="357">
        <f t="shared" si="169"/>
        <v>1.6929062100447975E-2</v>
      </c>
      <c r="Y135" s="357">
        <f t="shared" si="170"/>
        <v>3.0850775720475815E-2</v>
      </c>
      <c r="Z135" s="357">
        <f t="shared" si="171"/>
        <v>1.4684551682921099E-2</v>
      </c>
      <c r="AA135" s="357">
        <f t="shared" si="172"/>
        <v>1.8049480118982796E-2</v>
      </c>
      <c r="AB135" s="357">
        <f t="shared" si="173"/>
        <v>0</v>
      </c>
      <c r="AC135" s="357">
        <f t="shared" si="86"/>
        <v>0</v>
      </c>
      <c r="AD135" s="357">
        <f t="shared" si="87"/>
        <v>0</v>
      </c>
      <c r="AE135" s="379">
        <f t="shared" si="88"/>
        <v>0</v>
      </c>
      <c r="AG135" s="451">
        <f t="shared" si="174"/>
        <v>-2.1472074677567957E-2</v>
      </c>
      <c r="AH135" s="357">
        <f t="shared" si="175"/>
        <v>-4.0369061855659201E-3</v>
      </c>
      <c r="AI135" s="357">
        <f t="shared" si="176"/>
        <v>1.7066386400179698E-2</v>
      </c>
      <c r="AJ135" s="357">
        <f t="shared" si="177"/>
        <v>4.8443107854457233E-3</v>
      </c>
      <c r="AK135" s="357">
        <f t="shared" si="178"/>
        <v>1.1756683175838327E-2</v>
      </c>
      <c r="AL135" s="357">
        <f t="shared" si="179"/>
        <v>-4.4708067204976532E-4</v>
      </c>
      <c r="AM135" s="357">
        <f t="shared" si="95"/>
        <v>-1.7064673510089895E-4</v>
      </c>
      <c r="AN135" s="357">
        <f t="shared" si="96"/>
        <v>1.9070751392640699E-5</v>
      </c>
      <c r="AO135" s="379">
        <f t="shared" si="97"/>
        <v>5.4711961047645428E-5</v>
      </c>
    </row>
    <row r="136" spans="2:41" x14ac:dyDescent="0.25">
      <c r="B136" s="449">
        <v>43277</v>
      </c>
      <c r="C136" s="237">
        <v>423</v>
      </c>
      <c r="D136" s="237">
        <v>435</v>
      </c>
      <c r="E136" s="237">
        <v>408</v>
      </c>
      <c r="F136" s="237">
        <v>370</v>
      </c>
      <c r="G136" s="237">
        <v>353.71428571428572</v>
      </c>
      <c r="H136" s="237">
        <v>215</v>
      </c>
      <c r="I136" s="237">
        <v>180</v>
      </c>
      <c r="J136" s="237">
        <v>165</v>
      </c>
      <c r="K136" s="450">
        <v>155</v>
      </c>
      <c r="M136" s="451">
        <f t="shared" si="98"/>
        <v>2.4213075060532718E-2</v>
      </c>
      <c r="N136" s="357">
        <f t="shared" si="99"/>
        <v>4.3165467625899234E-2</v>
      </c>
      <c r="O136" s="357">
        <f t="shared" si="100"/>
        <v>3.2911392405063244E-2</v>
      </c>
      <c r="P136" s="357">
        <f t="shared" si="101"/>
        <v>7.871720116618075E-2</v>
      </c>
      <c r="Q136" s="357">
        <f t="shared" si="102"/>
        <v>5.4514480408858645E-2</v>
      </c>
      <c r="R136" s="357">
        <f t="shared" si="103"/>
        <v>0</v>
      </c>
      <c r="S136" s="357">
        <f t="shared" si="104"/>
        <v>0</v>
      </c>
      <c r="T136" s="357">
        <f t="shared" si="105"/>
        <v>0</v>
      </c>
      <c r="U136" s="379">
        <f t="shared" si="106"/>
        <v>0</v>
      </c>
      <c r="W136" s="451">
        <f t="shared" si="168"/>
        <v>2.3924586085245243E-2</v>
      </c>
      <c r="X136" s="357">
        <f t="shared" si="169"/>
        <v>4.2259809289882599E-2</v>
      </c>
      <c r="Y136" s="357">
        <f t="shared" si="170"/>
        <v>3.2381409503039783E-2</v>
      </c>
      <c r="Z136" s="357">
        <f t="shared" si="171"/>
        <v>7.5772558472330206E-2</v>
      </c>
      <c r="AA136" s="357">
        <f t="shared" si="172"/>
        <v>5.3080452856499691E-2</v>
      </c>
      <c r="AB136" s="357">
        <f t="shared" si="173"/>
        <v>0</v>
      </c>
      <c r="AC136" s="357">
        <f t="shared" si="86"/>
        <v>0</v>
      </c>
      <c r="AD136" s="357">
        <f t="shared" si="87"/>
        <v>0</v>
      </c>
      <c r="AE136" s="379">
        <f t="shared" si="88"/>
        <v>0</v>
      </c>
      <c r="AG136" s="451">
        <f t="shared" si="174"/>
        <v>2.741000382964761E-3</v>
      </c>
      <c r="AH136" s="357">
        <f t="shared" si="175"/>
        <v>2.2055390708625982E-2</v>
      </c>
      <c r="AI136" s="357">
        <f t="shared" si="176"/>
        <v>1.8646186115947969E-2</v>
      </c>
      <c r="AJ136" s="357">
        <f t="shared" si="177"/>
        <v>6.8768612543342489E-2</v>
      </c>
      <c r="AK136" s="357">
        <f t="shared" si="178"/>
        <v>4.8057807123291878E-2</v>
      </c>
      <c r="AL136" s="357">
        <f t="shared" si="179"/>
        <v>-4.4708067204976532E-4</v>
      </c>
      <c r="AM136" s="357">
        <f t="shared" si="95"/>
        <v>-1.7064673510089895E-4</v>
      </c>
      <c r="AN136" s="357">
        <f t="shared" si="96"/>
        <v>1.9070751392640699E-5</v>
      </c>
      <c r="AO136" s="379">
        <f t="shared" si="97"/>
        <v>5.4711961047645428E-5</v>
      </c>
    </row>
    <row r="137" spans="2:41" x14ac:dyDescent="0.25">
      <c r="B137" s="449">
        <v>43284</v>
      </c>
      <c r="C137" s="237">
        <v>458</v>
      </c>
      <c r="D137" s="237">
        <v>427</v>
      </c>
      <c r="E137" s="237">
        <v>366</v>
      </c>
      <c r="F137" s="237">
        <v>329</v>
      </c>
      <c r="G137" s="237">
        <v>346.33333333333337</v>
      </c>
      <c r="H137" s="237">
        <v>217</v>
      </c>
      <c r="I137" s="237">
        <v>180</v>
      </c>
      <c r="J137" s="237">
        <v>165</v>
      </c>
      <c r="K137" s="450">
        <v>155</v>
      </c>
      <c r="M137" s="451">
        <f t="shared" si="98"/>
        <v>8.2742316784869985E-2</v>
      </c>
      <c r="N137" s="357">
        <f t="shared" si="99"/>
        <v>-1.8390804597701149E-2</v>
      </c>
      <c r="O137" s="357">
        <f t="shared" si="100"/>
        <v>-0.1029411764705882</v>
      </c>
      <c r="P137" s="357">
        <f t="shared" si="101"/>
        <v>-0.11081081081081079</v>
      </c>
      <c r="Q137" s="357">
        <f t="shared" si="102"/>
        <v>-2.0866989768443589E-2</v>
      </c>
      <c r="R137" s="357">
        <f t="shared" si="103"/>
        <v>9.302325581395321E-3</v>
      </c>
      <c r="S137" s="357">
        <f t="shared" si="104"/>
        <v>0</v>
      </c>
      <c r="T137" s="357">
        <f t="shared" si="105"/>
        <v>0</v>
      </c>
      <c r="U137" s="379">
        <f t="shared" si="106"/>
        <v>0</v>
      </c>
      <c r="W137" s="451">
        <f t="shared" si="168"/>
        <v>7.9497005067906995E-2</v>
      </c>
      <c r="X137" s="357">
        <f t="shared" si="169"/>
        <v>-1.8562017860059538E-2</v>
      </c>
      <c r="Y137" s="357">
        <f t="shared" si="170"/>
        <v>-0.10863384100279541</v>
      </c>
      <c r="Z137" s="357">
        <f t="shared" si="171"/>
        <v>-0.11744525487289821</v>
      </c>
      <c r="AA137" s="357">
        <f t="shared" si="172"/>
        <v>-2.1087782318055574E-2</v>
      </c>
      <c r="AB137" s="357">
        <f t="shared" si="173"/>
        <v>9.2593254127967262E-3</v>
      </c>
      <c r="AC137" s="357">
        <f t="shared" ref="AC137:AC200" si="180">LN(I137/I136)</f>
        <v>0</v>
      </c>
      <c r="AD137" s="357">
        <f t="shared" ref="AD137:AD200" si="181">LN(J137/J136)</f>
        <v>0</v>
      </c>
      <c r="AE137" s="379">
        <f t="shared" ref="AE137:AE200" si="182">LN(K137/K136)</f>
        <v>0</v>
      </c>
      <c r="AG137" s="451">
        <f t="shared" si="174"/>
        <v>6.1270242107302031E-2</v>
      </c>
      <c r="AH137" s="357">
        <f t="shared" si="175"/>
        <v>-3.9500881514974398E-2</v>
      </c>
      <c r="AI137" s="357">
        <f t="shared" si="176"/>
        <v>-0.11720638275970348</v>
      </c>
      <c r="AJ137" s="357">
        <f t="shared" si="177"/>
        <v>-0.12075939943364905</v>
      </c>
      <c r="AK137" s="357">
        <f t="shared" si="178"/>
        <v>-2.7323663054010357E-2</v>
      </c>
      <c r="AL137" s="357">
        <f t="shared" si="179"/>
        <v>8.8552449093455554E-3</v>
      </c>
      <c r="AM137" s="357">
        <f t="shared" ref="AM137:AM200" si="183">S137-S$2</f>
        <v>-1.7064673510089895E-4</v>
      </c>
      <c r="AN137" s="357">
        <f t="shared" ref="AN137:AN200" si="184">T137-T$2</f>
        <v>1.9070751392640699E-5</v>
      </c>
      <c r="AO137" s="379">
        <f t="shared" ref="AO137:AO200" si="185">U137-U$2</f>
        <v>5.4711961047645428E-5</v>
      </c>
    </row>
    <row r="138" spans="2:41" x14ac:dyDescent="0.25">
      <c r="B138" s="449">
        <v>43291</v>
      </c>
      <c r="C138" s="237">
        <v>475</v>
      </c>
      <c r="D138" s="237">
        <v>460</v>
      </c>
      <c r="E138" s="237">
        <v>375</v>
      </c>
      <c r="F138" s="237">
        <v>336</v>
      </c>
      <c r="G138" s="237">
        <v>355.33333333333337</v>
      </c>
      <c r="H138" s="237">
        <v>219</v>
      </c>
      <c r="I138" s="237">
        <v>180</v>
      </c>
      <c r="J138" s="237">
        <v>165</v>
      </c>
      <c r="K138" s="450">
        <v>155</v>
      </c>
      <c r="M138" s="451">
        <f t="shared" ref="M138:M201" si="186">C138/C137-1</f>
        <v>3.7117903930131035E-2</v>
      </c>
      <c r="N138" s="357">
        <f t="shared" ref="N138:N201" si="187">D138/D137-1</f>
        <v>7.7283372365339664E-2</v>
      </c>
      <c r="O138" s="357">
        <f t="shared" ref="O138:O201" si="188">E138/E137-1</f>
        <v>2.4590163934426146E-2</v>
      </c>
      <c r="P138" s="357">
        <f t="shared" ref="P138:P201" si="189">F138/F137-1</f>
        <v>2.1276595744680771E-2</v>
      </c>
      <c r="Q138" s="357">
        <f t="shared" ref="Q138:Q201" si="190">G138/G137-1</f>
        <v>2.5986525505293567E-2</v>
      </c>
      <c r="R138" s="357">
        <f t="shared" ref="R138:R201" si="191">H138/H137-1</f>
        <v>9.2165898617511122E-3</v>
      </c>
      <c r="S138" s="357">
        <f t="shared" ref="S138:S201" si="192">I138/I137-1</f>
        <v>0</v>
      </c>
      <c r="T138" s="357">
        <f t="shared" ref="T138:T201" si="193">J138/J137-1</f>
        <v>0</v>
      </c>
      <c r="U138" s="379">
        <f t="shared" ref="U138:U201" si="194">K138/K137-1</f>
        <v>0</v>
      </c>
      <c r="W138" s="451">
        <f t="shared" si="168"/>
        <v>3.6445619920456279E-2</v>
      </c>
      <c r="X138" s="357">
        <f t="shared" si="169"/>
        <v>7.4442476254516207E-2</v>
      </c>
      <c r="Y138" s="357">
        <f t="shared" si="170"/>
        <v>2.4292692569044483E-2</v>
      </c>
      <c r="Z138" s="357">
        <f t="shared" si="171"/>
        <v>2.1053409197832263E-2</v>
      </c>
      <c r="AA138" s="357">
        <f t="shared" si="172"/>
        <v>2.5654613626562472E-2</v>
      </c>
      <c r="AB138" s="357">
        <f t="shared" si="173"/>
        <v>9.1743762760412295E-3</v>
      </c>
      <c r="AC138" s="357">
        <f t="shared" si="180"/>
        <v>0</v>
      </c>
      <c r="AD138" s="357">
        <f t="shared" si="181"/>
        <v>0</v>
      </c>
      <c r="AE138" s="379">
        <f t="shared" si="182"/>
        <v>0</v>
      </c>
      <c r="AG138" s="451">
        <f t="shared" si="174"/>
        <v>1.5645829252563078E-2</v>
      </c>
      <c r="AH138" s="357">
        <f t="shared" si="175"/>
        <v>5.6173295448066415E-2</v>
      </c>
      <c r="AI138" s="357">
        <f t="shared" si="176"/>
        <v>1.0324957645310872E-2</v>
      </c>
      <c r="AJ138" s="357">
        <f t="shared" si="177"/>
        <v>1.1328007121842506E-2</v>
      </c>
      <c r="AK138" s="357">
        <f t="shared" si="178"/>
        <v>1.95298522197268E-2</v>
      </c>
      <c r="AL138" s="357">
        <f t="shared" si="179"/>
        <v>8.7695091897013466E-3</v>
      </c>
      <c r="AM138" s="357">
        <f t="shared" si="183"/>
        <v>-1.7064673510089895E-4</v>
      </c>
      <c r="AN138" s="357">
        <f t="shared" si="184"/>
        <v>1.9070751392640699E-5</v>
      </c>
      <c r="AO138" s="379">
        <f t="shared" si="185"/>
        <v>5.4711961047645428E-5</v>
      </c>
    </row>
    <row r="139" spans="2:41" x14ac:dyDescent="0.25">
      <c r="B139" s="449">
        <v>43298</v>
      </c>
      <c r="C139" s="237">
        <v>470</v>
      </c>
      <c r="D139" s="237">
        <v>467</v>
      </c>
      <c r="E139" s="237">
        <v>400</v>
      </c>
      <c r="F139" s="237">
        <v>355</v>
      </c>
      <c r="G139" s="237">
        <v>368.66666666666669</v>
      </c>
      <c r="H139" s="237">
        <v>219</v>
      </c>
      <c r="I139" s="237">
        <v>183</v>
      </c>
      <c r="J139" s="237">
        <v>170</v>
      </c>
      <c r="K139" s="450">
        <v>157</v>
      </c>
      <c r="M139" s="451">
        <f t="shared" si="186"/>
        <v>-1.0526315789473717E-2</v>
      </c>
      <c r="N139" s="357">
        <f t="shared" si="187"/>
        <v>1.5217391304347849E-2</v>
      </c>
      <c r="O139" s="357">
        <f t="shared" si="188"/>
        <v>6.6666666666666652E-2</v>
      </c>
      <c r="P139" s="357">
        <f t="shared" si="189"/>
        <v>5.6547619047619069E-2</v>
      </c>
      <c r="Q139" s="357">
        <f t="shared" si="190"/>
        <v>3.7523452157598447E-2</v>
      </c>
      <c r="R139" s="357">
        <f t="shared" si="191"/>
        <v>0</v>
      </c>
      <c r="S139" s="357">
        <f t="shared" si="192"/>
        <v>1.6666666666666607E-2</v>
      </c>
      <c r="T139" s="357">
        <f t="shared" si="193"/>
        <v>3.0303030303030276E-2</v>
      </c>
      <c r="U139" s="379">
        <f t="shared" si="194"/>
        <v>1.2903225806451646E-2</v>
      </c>
      <c r="W139" s="451">
        <f t="shared" ref="W139:W153" si="195">LN(C139/C138)</f>
        <v>-1.0582109330536972E-2</v>
      </c>
      <c r="X139" s="357">
        <f t="shared" ref="X139:X153" si="196">LN(D139/D138)</f>
        <v>1.510276818575665E-2</v>
      </c>
      <c r="Y139" s="357">
        <f t="shared" ref="Y139:Y153" si="197">LN(E139/E138)</f>
        <v>6.4538521137571164E-2</v>
      </c>
      <c r="Z139" s="357">
        <f t="shared" ref="Z139:Z153" si="198">LN(F139/F138)</f>
        <v>5.500662951221158E-2</v>
      </c>
      <c r="AA139" s="357">
        <f t="shared" ref="AA139:AA153" si="199">LN(G139/G138)</f>
        <v>3.6836577356490208E-2</v>
      </c>
      <c r="AB139" s="357">
        <f t="shared" ref="AB139:AB153" si="200">LN(H139/H138)</f>
        <v>0</v>
      </c>
      <c r="AC139" s="357">
        <f t="shared" si="180"/>
        <v>1.6529301951210506E-2</v>
      </c>
      <c r="AD139" s="357">
        <f t="shared" si="181"/>
        <v>2.9852963149681128E-2</v>
      </c>
      <c r="AE139" s="379">
        <f t="shared" si="182"/>
        <v>1.2820688429061469E-2</v>
      </c>
      <c r="AG139" s="451">
        <f t="shared" ref="AG139:AG153" si="201">M139-M$2</f>
        <v>-3.1998390467041671E-2</v>
      </c>
      <c r="AH139" s="357">
        <f t="shared" ref="AH139:AH153" si="202">N139-N$2</f>
        <v>-5.8926856129254031E-3</v>
      </c>
      <c r="AI139" s="357">
        <f t="shared" ref="AI139:AI153" si="203">O139-O$2</f>
        <v>5.2401460377551376E-2</v>
      </c>
      <c r="AJ139" s="357">
        <f t="shared" ref="AJ139:AJ153" si="204">P139-P$2</f>
        <v>4.6599030424780807E-2</v>
      </c>
      <c r="AK139" s="357">
        <f t="shared" ref="AK139:AK153" si="205">Q139-Q$2</f>
        <v>3.1066778872031679E-2</v>
      </c>
      <c r="AL139" s="357">
        <f t="shared" ref="AL139:AL153" si="206">R139-R$2</f>
        <v>-4.4708067204976532E-4</v>
      </c>
      <c r="AM139" s="357">
        <f t="shared" si="183"/>
        <v>1.6496019931565707E-2</v>
      </c>
      <c r="AN139" s="357">
        <f t="shared" si="184"/>
        <v>3.0322101054422918E-2</v>
      </c>
      <c r="AO139" s="379">
        <f t="shared" si="185"/>
        <v>1.2957937767499291E-2</v>
      </c>
    </row>
    <row r="140" spans="2:41" x14ac:dyDescent="0.25">
      <c r="B140" s="449">
        <v>43305</v>
      </c>
      <c r="C140" s="237">
        <v>474</v>
      </c>
      <c r="D140" s="237">
        <v>468</v>
      </c>
      <c r="E140" s="237">
        <v>414</v>
      </c>
      <c r="F140" s="237">
        <v>375</v>
      </c>
      <c r="G140" s="237">
        <v>382.5</v>
      </c>
      <c r="H140" s="237">
        <v>221</v>
      </c>
      <c r="I140" s="237">
        <v>183</v>
      </c>
      <c r="J140" s="237">
        <v>170</v>
      </c>
      <c r="K140" s="450">
        <v>157</v>
      </c>
      <c r="M140" s="451">
        <f t="shared" si="186"/>
        <v>8.5106382978723527E-3</v>
      </c>
      <c r="N140" s="357">
        <f t="shared" si="187"/>
        <v>2.1413276231263545E-3</v>
      </c>
      <c r="O140" s="357">
        <f t="shared" si="188"/>
        <v>3.499999999999992E-2</v>
      </c>
      <c r="P140" s="357">
        <f t="shared" si="189"/>
        <v>5.6338028169014009E-2</v>
      </c>
      <c r="Q140" s="357">
        <f t="shared" si="190"/>
        <v>3.7522603978300095E-2</v>
      </c>
      <c r="R140" s="357">
        <f t="shared" si="191"/>
        <v>9.1324200913243114E-3</v>
      </c>
      <c r="S140" s="357">
        <f t="shared" si="192"/>
        <v>0</v>
      </c>
      <c r="T140" s="357">
        <f t="shared" si="193"/>
        <v>0</v>
      </c>
      <c r="U140" s="379">
        <f t="shared" si="194"/>
        <v>0</v>
      </c>
      <c r="W140" s="451">
        <f t="shared" si="195"/>
        <v>8.4746269909722356E-3</v>
      </c>
      <c r="X140" s="357">
        <f t="shared" si="196"/>
        <v>2.1390382487494423E-3</v>
      </c>
      <c r="Y140" s="357">
        <f t="shared" si="197"/>
        <v>3.4401426717332317E-2</v>
      </c>
      <c r="Z140" s="357">
        <f t="shared" si="198"/>
        <v>5.4808236494994951E-2</v>
      </c>
      <c r="AA140" s="357">
        <f t="shared" si="199"/>
        <v>3.6835759852420026E-2</v>
      </c>
      <c r="AB140" s="357">
        <f t="shared" si="200"/>
        <v>9.0909717012521048E-3</v>
      </c>
      <c r="AC140" s="357">
        <f t="shared" si="180"/>
        <v>0</v>
      </c>
      <c r="AD140" s="357">
        <f t="shared" si="181"/>
        <v>0</v>
      </c>
      <c r="AE140" s="379">
        <f t="shared" si="182"/>
        <v>0</v>
      </c>
      <c r="AG140" s="451">
        <f t="shared" si="201"/>
        <v>-1.2961436379695605E-2</v>
      </c>
      <c r="AH140" s="357">
        <f t="shared" si="202"/>
        <v>-1.8968749294146898E-2</v>
      </c>
      <c r="AI140" s="357">
        <f t="shared" si="203"/>
        <v>2.0734793710884644E-2</v>
      </c>
      <c r="AJ140" s="357">
        <f t="shared" si="204"/>
        <v>4.6389439546175748E-2</v>
      </c>
      <c r="AK140" s="357">
        <f t="shared" si="205"/>
        <v>3.1065930692733328E-2</v>
      </c>
      <c r="AL140" s="357">
        <f t="shared" si="206"/>
        <v>8.6853394192745459E-3</v>
      </c>
      <c r="AM140" s="357">
        <f t="shared" si="183"/>
        <v>-1.7064673510089895E-4</v>
      </c>
      <c r="AN140" s="357">
        <f t="shared" si="184"/>
        <v>1.9070751392640699E-5</v>
      </c>
      <c r="AO140" s="379">
        <f t="shared" si="185"/>
        <v>5.4711961047645428E-5</v>
      </c>
    </row>
    <row r="141" spans="2:41" x14ac:dyDescent="0.25">
      <c r="B141" s="449">
        <v>43312</v>
      </c>
      <c r="C141" s="237">
        <v>474</v>
      </c>
      <c r="D141" s="237">
        <v>474</v>
      </c>
      <c r="E141" s="237">
        <v>447</v>
      </c>
      <c r="F141" s="237">
        <v>397</v>
      </c>
      <c r="G141" s="237">
        <v>396.15</v>
      </c>
      <c r="H141" s="237">
        <v>221</v>
      </c>
      <c r="I141" s="237">
        <v>183</v>
      </c>
      <c r="J141" s="237">
        <v>170</v>
      </c>
      <c r="K141" s="450">
        <v>157</v>
      </c>
      <c r="M141" s="451">
        <f t="shared" si="186"/>
        <v>0</v>
      </c>
      <c r="N141" s="357">
        <f t="shared" si="187"/>
        <v>1.2820512820512775E-2</v>
      </c>
      <c r="O141" s="357">
        <f t="shared" si="188"/>
        <v>7.9710144927536142E-2</v>
      </c>
      <c r="P141" s="357">
        <f t="shared" si="189"/>
        <v>5.8666666666666645E-2</v>
      </c>
      <c r="Q141" s="357">
        <f t="shared" si="190"/>
        <v>3.5686274509803884E-2</v>
      </c>
      <c r="R141" s="357">
        <f t="shared" si="191"/>
        <v>0</v>
      </c>
      <c r="S141" s="357">
        <f t="shared" si="192"/>
        <v>0</v>
      </c>
      <c r="T141" s="357">
        <f t="shared" si="193"/>
        <v>0</v>
      </c>
      <c r="U141" s="379">
        <f t="shared" si="194"/>
        <v>0</v>
      </c>
      <c r="W141" s="451">
        <f t="shared" si="195"/>
        <v>0</v>
      </c>
      <c r="X141" s="357">
        <f t="shared" si="196"/>
        <v>1.2739025777429712E-2</v>
      </c>
      <c r="Y141" s="357">
        <f t="shared" si="197"/>
        <v>7.6692620788254368E-2</v>
      </c>
      <c r="Z141" s="357">
        <f t="shared" si="198"/>
        <v>5.7010254716779576E-2</v>
      </c>
      <c r="AA141" s="357">
        <f t="shared" si="199"/>
        <v>3.5064274144660353E-2</v>
      </c>
      <c r="AB141" s="357">
        <f t="shared" si="200"/>
        <v>0</v>
      </c>
      <c r="AC141" s="357">
        <f t="shared" si="180"/>
        <v>0</v>
      </c>
      <c r="AD141" s="357">
        <f t="shared" si="181"/>
        <v>0</v>
      </c>
      <c r="AE141" s="379">
        <f t="shared" si="182"/>
        <v>0</v>
      </c>
      <c r="AG141" s="451">
        <f t="shared" si="201"/>
        <v>-2.1472074677567957E-2</v>
      </c>
      <c r="AH141" s="357">
        <f t="shared" si="202"/>
        <v>-8.2895640967604774E-3</v>
      </c>
      <c r="AI141" s="357">
        <f t="shared" si="203"/>
        <v>6.5444938638420866E-2</v>
      </c>
      <c r="AJ141" s="357">
        <f t="shared" si="204"/>
        <v>4.8718078043828383E-2</v>
      </c>
      <c r="AK141" s="357">
        <f t="shared" si="205"/>
        <v>2.9229601224237116E-2</v>
      </c>
      <c r="AL141" s="357">
        <f t="shared" si="206"/>
        <v>-4.4708067204976532E-4</v>
      </c>
      <c r="AM141" s="357">
        <f t="shared" si="183"/>
        <v>-1.7064673510089895E-4</v>
      </c>
      <c r="AN141" s="357">
        <f t="shared" si="184"/>
        <v>1.9070751392640699E-5</v>
      </c>
      <c r="AO141" s="379">
        <f t="shared" si="185"/>
        <v>5.4711961047645428E-5</v>
      </c>
    </row>
    <row r="142" spans="2:41" x14ac:dyDescent="0.25">
      <c r="B142" s="449">
        <v>43319</v>
      </c>
      <c r="C142" s="237">
        <v>485</v>
      </c>
      <c r="D142" s="237">
        <v>456</v>
      </c>
      <c r="E142" s="237">
        <v>390</v>
      </c>
      <c r="F142" s="237">
        <v>325</v>
      </c>
      <c r="G142" s="237">
        <v>380.99799999999999</v>
      </c>
      <c r="H142" s="237">
        <v>220</v>
      </c>
      <c r="I142" s="237">
        <v>185</v>
      </c>
      <c r="J142" s="237">
        <v>175</v>
      </c>
      <c r="K142" s="450">
        <v>160</v>
      </c>
      <c r="M142" s="451">
        <f t="shared" si="186"/>
        <v>2.320675105485237E-2</v>
      </c>
      <c r="N142" s="357">
        <f t="shared" si="187"/>
        <v>-3.7974683544303778E-2</v>
      </c>
      <c r="O142" s="357">
        <f t="shared" si="188"/>
        <v>-0.12751677852348997</v>
      </c>
      <c r="P142" s="357">
        <f t="shared" si="189"/>
        <v>-0.18136020151133503</v>
      </c>
      <c r="Q142" s="357">
        <f t="shared" si="190"/>
        <v>-3.8248138331440029E-2</v>
      </c>
      <c r="R142" s="357">
        <f t="shared" si="191"/>
        <v>-4.5248868778280382E-3</v>
      </c>
      <c r="S142" s="357">
        <f t="shared" si="192"/>
        <v>1.0928961748633892E-2</v>
      </c>
      <c r="T142" s="357">
        <f t="shared" si="193"/>
        <v>2.9411764705882248E-2</v>
      </c>
      <c r="U142" s="379">
        <f t="shared" si="194"/>
        <v>1.9108280254777066E-2</v>
      </c>
      <c r="W142" s="451">
        <f t="shared" si="195"/>
        <v>2.2941569242406749E-2</v>
      </c>
      <c r="X142" s="357">
        <f t="shared" si="196"/>
        <v>-3.8714512180690393E-2</v>
      </c>
      <c r="Y142" s="357">
        <f t="shared" si="197"/>
        <v>-0.13641185548987678</v>
      </c>
      <c r="Z142" s="357">
        <f t="shared" si="198"/>
        <v>-0.20011109835745294</v>
      </c>
      <c r="AA142" s="357">
        <f t="shared" si="199"/>
        <v>-3.8998801642159742E-2</v>
      </c>
      <c r="AB142" s="357">
        <f t="shared" si="200"/>
        <v>-4.5351551653912622E-3</v>
      </c>
      <c r="AC142" s="357">
        <f t="shared" si="180"/>
        <v>1.0869672236903891E-2</v>
      </c>
      <c r="AD142" s="357">
        <f t="shared" si="181"/>
        <v>2.8987536873252187E-2</v>
      </c>
      <c r="AE142" s="379">
        <f t="shared" si="182"/>
        <v>1.8928009885518859E-2</v>
      </c>
      <c r="AG142" s="451">
        <f t="shared" si="201"/>
        <v>1.734676377284413E-3</v>
      </c>
      <c r="AH142" s="357">
        <f t="shared" si="202"/>
        <v>-5.9084760461577027E-2</v>
      </c>
      <c r="AI142" s="357">
        <f t="shared" si="203"/>
        <v>-0.14178198481260523</v>
      </c>
      <c r="AJ142" s="357">
        <f t="shared" si="204"/>
        <v>-0.19130879013417329</v>
      </c>
      <c r="AK142" s="357">
        <f t="shared" si="205"/>
        <v>-4.4704811617006797E-2</v>
      </c>
      <c r="AL142" s="357">
        <f t="shared" si="206"/>
        <v>-4.9719675498778038E-3</v>
      </c>
      <c r="AM142" s="357">
        <f t="shared" si="183"/>
        <v>1.0758315013532993E-2</v>
      </c>
      <c r="AN142" s="357">
        <f t="shared" si="184"/>
        <v>2.9430835457274891E-2</v>
      </c>
      <c r="AO142" s="379">
        <f t="shared" si="185"/>
        <v>1.9162992215824712E-2</v>
      </c>
    </row>
    <row r="143" spans="2:41" x14ac:dyDescent="0.25">
      <c r="B143" s="449">
        <v>43326</v>
      </c>
      <c r="C143" s="237">
        <v>485</v>
      </c>
      <c r="D143" s="237">
        <v>465</v>
      </c>
      <c r="E143" s="237">
        <v>400</v>
      </c>
      <c r="F143" s="237">
        <v>350</v>
      </c>
      <c r="G143" s="237">
        <v>391.18</v>
      </c>
      <c r="H143" s="237">
        <v>220</v>
      </c>
      <c r="I143" s="237">
        <v>185</v>
      </c>
      <c r="J143" s="237">
        <v>175</v>
      </c>
      <c r="K143" s="450">
        <v>160</v>
      </c>
      <c r="M143" s="451">
        <f t="shared" si="186"/>
        <v>0</v>
      </c>
      <c r="N143" s="357">
        <f t="shared" si="187"/>
        <v>1.9736842105263053E-2</v>
      </c>
      <c r="O143" s="357">
        <f t="shared" si="188"/>
        <v>2.564102564102555E-2</v>
      </c>
      <c r="P143" s="357">
        <f t="shared" si="189"/>
        <v>7.6923076923076872E-2</v>
      </c>
      <c r="Q143" s="357">
        <f t="shared" si="190"/>
        <v>2.6724549735169356E-2</v>
      </c>
      <c r="R143" s="357">
        <f t="shared" si="191"/>
        <v>0</v>
      </c>
      <c r="S143" s="357">
        <f t="shared" si="192"/>
        <v>0</v>
      </c>
      <c r="T143" s="357">
        <f t="shared" si="193"/>
        <v>0</v>
      </c>
      <c r="U143" s="379">
        <f t="shared" si="194"/>
        <v>0</v>
      </c>
      <c r="W143" s="451">
        <f t="shared" si="195"/>
        <v>0</v>
      </c>
      <c r="X143" s="357">
        <f t="shared" si="196"/>
        <v>1.9544596072970131E-2</v>
      </c>
      <c r="Y143" s="357">
        <f t="shared" si="197"/>
        <v>2.5317807984289786E-2</v>
      </c>
      <c r="Z143" s="357">
        <f t="shared" si="198"/>
        <v>7.4107972153721835E-2</v>
      </c>
      <c r="AA143" s="357">
        <f t="shared" si="199"/>
        <v>2.6373686340280752E-2</v>
      </c>
      <c r="AB143" s="357">
        <f t="shared" si="200"/>
        <v>0</v>
      </c>
      <c r="AC143" s="357">
        <f t="shared" si="180"/>
        <v>0</v>
      </c>
      <c r="AD143" s="357">
        <f t="shared" si="181"/>
        <v>0</v>
      </c>
      <c r="AE143" s="379">
        <f t="shared" si="182"/>
        <v>0</v>
      </c>
      <c r="AG143" s="451">
        <f t="shared" si="201"/>
        <v>-2.1472074677567957E-2</v>
      </c>
      <c r="AH143" s="357">
        <f t="shared" si="202"/>
        <v>-1.3732348120101996E-3</v>
      </c>
      <c r="AI143" s="357">
        <f t="shared" si="203"/>
        <v>1.1375819351910276E-2</v>
      </c>
      <c r="AJ143" s="357">
        <f t="shared" si="204"/>
        <v>6.697448830023861E-2</v>
      </c>
      <c r="AK143" s="357">
        <f t="shared" si="205"/>
        <v>2.0267876449602588E-2</v>
      </c>
      <c r="AL143" s="357">
        <f t="shared" si="206"/>
        <v>-4.4708067204976532E-4</v>
      </c>
      <c r="AM143" s="357">
        <f t="shared" si="183"/>
        <v>-1.7064673510089895E-4</v>
      </c>
      <c r="AN143" s="357">
        <f t="shared" si="184"/>
        <v>1.9070751392640699E-5</v>
      </c>
      <c r="AO143" s="379">
        <f t="shared" si="185"/>
        <v>5.4711961047645428E-5</v>
      </c>
    </row>
    <row r="144" spans="2:41" x14ac:dyDescent="0.25">
      <c r="B144" s="449">
        <v>43333</v>
      </c>
      <c r="C144" s="237">
        <v>480</v>
      </c>
      <c r="D144" s="237">
        <v>462</v>
      </c>
      <c r="E144" s="237">
        <v>380</v>
      </c>
      <c r="F144" s="237">
        <v>325</v>
      </c>
      <c r="G144" s="237">
        <v>377.800000000002</v>
      </c>
      <c r="H144" s="237">
        <v>215.71506849315068</v>
      </c>
      <c r="I144" s="237">
        <v>185</v>
      </c>
      <c r="J144" s="237">
        <v>175</v>
      </c>
      <c r="K144" s="450">
        <v>160</v>
      </c>
      <c r="M144" s="451">
        <f t="shared" si="186"/>
        <v>-1.0309278350515427E-2</v>
      </c>
      <c r="N144" s="357">
        <f t="shared" si="187"/>
        <v>-6.4516129032258229E-3</v>
      </c>
      <c r="O144" s="357">
        <f t="shared" si="188"/>
        <v>-5.0000000000000044E-2</v>
      </c>
      <c r="P144" s="357">
        <f t="shared" si="189"/>
        <v>-7.1428571428571397E-2</v>
      </c>
      <c r="Q144" s="357">
        <f t="shared" si="190"/>
        <v>-3.4204202668843053E-2</v>
      </c>
      <c r="R144" s="357">
        <f t="shared" si="191"/>
        <v>-1.9476961394769621E-2</v>
      </c>
      <c r="S144" s="357">
        <f t="shared" si="192"/>
        <v>0</v>
      </c>
      <c r="T144" s="357">
        <f t="shared" si="193"/>
        <v>0</v>
      </c>
      <c r="U144" s="379">
        <f t="shared" si="194"/>
        <v>0</v>
      </c>
      <c r="W144" s="451">
        <f t="shared" si="195"/>
        <v>-1.0362787035546547E-2</v>
      </c>
      <c r="X144" s="357">
        <f t="shared" si="196"/>
        <v>-6.4725145056174788E-3</v>
      </c>
      <c r="Y144" s="357">
        <f t="shared" si="197"/>
        <v>-5.1293294387550578E-2</v>
      </c>
      <c r="Z144" s="357">
        <f t="shared" si="198"/>
        <v>-7.4107972153721849E-2</v>
      </c>
      <c r="AA144" s="357">
        <f t="shared" si="199"/>
        <v>-3.4802857041957298E-2</v>
      </c>
      <c r="AB144" s="357">
        <f t="shared" si="200"/>
        <v>-1.96691368290936E-2</v>
      </c>
      <c r="AC144" s="357">
        <f t="shared" si="180"/>
        <v>0</v>
      </c>
      <c r="AD144" s="357">
        <f t="shared" si="181"/>
        <v>0</v>
      </c>
      <c r="AE144" s="379">
        <f t="shared" si="182"/>
        <v>0</v>
      </c>
      <c r="AG144" s="451">
        <f t="shared" si="201"/>
        <v>-3.1781353028083381E-2</v>
      </c>
      <c r="AH144" s="357">
        <f t="shared" si="202"/>
        <v>-2.7561689820499075E-2</v>
      </c>
      <c r="AI144" s="357">
        <f t="shared" si="203"/>
        <v>-6.426520628911532E-2</v>
      </c>
      <c r="AJ144" s="357">
        <f t="shared" si="204"/>
        <v>-8.1377160051409658E-2</v>
      </c>
      <c r="AK144" s="357">
        <f t="shared" si="205"/>
        <v>-4.0660875954409821E-2</v>
      </c>
      <c r="AL144" s="357">
        <f t="shared" si="206"/>
        <v>-1.9924042066819386E-2</v>
      </c>
      <c r="AM144" s="357">
        <f t="shared" si="183"/>
        <v>-1.7064673510089895E-4</v>
      </c>
      <c r="AN144" s="357">
        <f t="shared" si="184"/>
        <v>1.9070751392640699E-5</v>
      </c>
      <c r="AO144" s="379">
        <f t="shared" si="185"/>
        <v>5.4711961047645428E-5</v>
      </c>
    </row>
    <row r="145" spans="2:41" x14ac:dyDescent="0.25">
      <c r="B145" s="449">
        <v>43340</v>
      </c>
      <c r="C145" s="237">
        <v>485</v>
      </c>
      <c r="D145" s="237">
        <v>468</v>
      </c>
      <c r="E145" s="237">
        <v>407</v>
      </c>
      <c r="F145" s="237">
        <v>350</v>
      </c>
      <c r="G145" s="237">
        <v>393.4</v>
      </c>
      <c r="H145" s="237">
        <v>212</v>
      </c>
      <c r="I145" s="237">
        <v>185</v>
      </c>
      <c r="J145" s="237">
        <v>175</v>
      </c>
      <c r="K145" s="450">
        <v>160</v>
      </c>
      <c r="M145" s="451">
        <f t="shared" si="186"/>
        <v>1.0416666666666741E-2</v>
      </c>
      <c r="N145" s="357">
        <f t="shared" si="187"/>
        <v>1.298701298701288E-2</v>
      </c>
      <c r="O145" s="357">
        <f t="shared" si="188"/>
        <v>7.1052631578947478E-2</v>
      </c>
      <c r="P145" s="357">
        <f t="shared" si="189"/>
        <v>7.6923076923076872E-2</v>
      </c>
      <c r="Q145" s="357">
        <f t="shared" si="190"/>
        <v>4.1291688724187203E-2</v>
      </c>
      <c r="R145" s="357">
        <f t="shared" si="191"/>
        <v>-1.7222109327372448E-2</v>
      </c>
      <c r="S145" s="357">
        <f t="shared" si="192"/>
        <v>0</v>
      </c>
      <c r="T145" s="357">
        <f t="shared" si="193"/>
        <v>0</v>
      </c>
      <c r="U145" s="379">
        <f t="shared" si="194"/>
        <v>0</v>
      </c>
      <c r="W145" s="451">
        <f t="shared" si="195"/>
        <v>1.0362787035546658E-2</v>
      </c>
      <c r="X145" s="357">
        <f t="shared" si="196"/>
        <v>1.2903404835907782E-2</v>
      </c>
      <c r="Y145" s="357">
        <f t="shared" si="197"/>
        <v>6.8641932722163637E-2</v>
      </c>
      <c r="Z145" s="357">
        <f t="shared" si="198"/>
        <v>7.4107972153721835E-2</v>
      </c>
      <c r="AA145" s="357">
        <f t="shared" si="199"/>
        <v>4.0461950887544243E-2</v>
      </c>
      <c r="AB145" s="357">
        <f t="shared" si="200"/>
        <v>-1.7372134851255452E-2</v>
      </c>
      <c r="AC145" s="357">
        <f t="shared" si="180"/>
        <v>0</v>
      </c>
      <c r="AD145" s="357">
        <f t="shared" si="181"/>
        <v>0</v>
      </c>
      <c r="AE145" s="379">
        <f t="shared" si="182"/>
        <v>0</v>
      </c>
      <c r="AG145" s="451">
        <f t="shared" si="201"/>
        <v>-1.1055408010901217E-2</v>
      </c>
      <c r="AH145" s="357">
        <f t="shared" si="202"/>
        <v>-8.123063930260372E-3</v>
      </c>
      <c r="AI145" s="357">
        <f t="shared" si="203"/>
        <v>5.6787425289832202E-2</v>
      </c>
      <c r="AJ145" s="357">
        <f t="shared" si="204"/>
        <v>6.697448830023861E-2</v>
      </c>
      <c r="AK145" s="357">
        <f t="shared" si="205"/>
        <v>3.4835015438620436E-2</v>
      </c>
      <c r="AL145" s="357">
        <f t="shared" si="206"/>
        <v>-1.7669189999422213E-2</v>
      </c>
      <c r="AM145" s="357">
        <f t="shared" si="183"/>
        <v>-1.7064673510089895E-4</v>
      </c>
      <c r="AN145" s="357">
        <f t="shared" si="184"/>
        <v>1.9070751392640699E-5</v>
      </c>
      <c r="AO145" s="379">
        <f t="shared" si="185"/>
        <v>5.4711961047645428E-5</v>
      </c>
    </row>
    <row r="146" spans="2:41" x14ac:dyDescent="0.25">
      <c r="B146" s="449">
        <v>43347</v>
      </c>
      <c r="C146" s="237">
        <v>460</v>
      </c>
      <c r="D146" s="237">
        <v>368</v>
      </c>
      <c r="E146" s="237">
        <v>315</v>
      </c>
      <c r="F146" s="237">
        <v>236</v>
      </c>
      <c r="G146" s="237">
        <v>344.75</v>
      </c>
      <c r="H146" s="237">
        <v>215</v>
      </c>
      <c r="I146" s="237">
        <v>185</v>
      </c>
      <c r="J146" s="237">
        <v>175</v>
      </c>
      <c r="K146" s="450">
        <v>160</v>
      </c>
      <c r="M146" s="451">
        <f t="shared" si="186"/>
        <v>-5.1546391752577359E-2</v>
      </c>
      <c r="N146" s="357">
        <f t="shared" si="187"/>
        <v>-0.21367521367521369</v>
      </c>
      <c r="O146" s="357">
        <f t="shared" si="188"/>
        <v>-0.22604422604422603</v>
      </c>
      <c r="P146" s="357">
        <f t="shared" si="189"/>
        <v>-0.32571428571428573</v>
      </c>
      <c r="Q146" s="357">
        <f t="shared" si="190"/>
        <v>-0.12366548042704617</v>
      </c>
      <c r="R146" s="357">
        <f t="shared" si="191"/>
        <v>1.4150943396226356E-2</v>
      </c>
      <c r="S146" s="357">
        <f t="shared" si="192"/>
        <v>0</v>
      </c>
      <c r="T146" s="357">
        <f t="shared" si="193"/>
        <v>0</v>
      </c>
      <c r="U146" s="379">
        <f t="shared" si="194"/>
        <v>0</v>
      </c>
      <c r="W146" s="451">
        <f t="shared" si="195"/>
        <v>-5.2922401454342551E-2</v>
      </c>
      <c r="X146" s="357">
        <f t="shared" si="196"/>
        <v>-0.24038535774871583</v>
      </c>
      <c r="Y146" s="357">
        <f t="shared" si="197"/>
        <v>-0.25624054661696188</v>
      </c>
      <c r="Z146" s="357">
        <f t="shared" si="198"/>
        <v>-0.3941013494578493</v>
      </c>
      <c r="AA146" s="357">
        <f t="shared" si="199"/>
        <v>-0.1320073892815474</v>
      </c>
      <c r="AB146" s="357">
        <f t="shared" si="200"/>
        <v>1.4051753455650287E-2</v>
      </c>
      <c r="AC146" s="357">
        <f t="shared" si="180"/>
        <v>0</v>
      </c>
      <c r="AD146" s="357">
        <f t="shared" si="181"/>
        <v>0</v>
      </c>
      <c r="AE146" s="379">
        <f t="shared" si="182"/>
        <v>0</v>
      </c>
      <c r="AG146" s="451">
        <f t="shared" si="201"/>
        <v>-7.3018466430145312E-2</v>
      </c>
      <c r="AH146" s="357">
        <f t="shared" si="202"/>
        <v>-0.23478529059248696</v>
      </c>
      <c r="AI146" s="357">
        <f t="shared" si="203"/>
        <v>-0.24030943233334129</v>
      </c>
      <c r="AJ146" s="357">
        <f t="shared" si="204"/>
        <v>-0.335662874337124</v>
      </c>
      <c r="AK146" s="357">
        <f t="shared" si="205"/>
        <v>-0.13012215371261293</v>
      </c>
      <c r="AL146" s="357">
        <f t="shared" si="206"/>
        <v>1.3703862724176591E-2</v>
      </c>
      <c r="AM146" s="357">
        <f t="shared" si="183"/>
        <v>-1.7064673510089895E-4</v>
      </c>
      <c r="AN146" s="357">
        <f t="shared" si="184"/>
        <v>1.9070751392640699E-5</v>
      </c>
      <c r="AO146" s="379">
        <f t="shared" si="185"/>
        <v>5.4711961047645428E-5</v>
      </c>
    </row>
    <row r="147" spans="2:41" x14ac:dyDescent="0.25">
      <c r="B147" s="449">
        <v>43354</v>
      </c>
      <c r="C147" s="237">
        <v>453</v>
      </c>
      <c r="D147" s="237">
        <v>311</v>
      </c>
      <c r="E147" s="237">
        <v>245</v>
      </c>
      <c r="F147" s="237">
        <v>203</v>
      </c>
      <c r="G147" s="237">
        <v>303</v>
      </c>
      <c r="H147" s="237">
        <v>202</v>
      </c>
      <c r="I147" s="237">
        <v>185</v>
      </c>
      <c r="J147" s="237">
        <v>175</v>
      </c>
      <c r="K147" s="450">
        <v>160</v>
      </c>
      <c r="M147" s="451">
        <f t="shared" si="186"/>
        <v>-1.5217391304347849E-2</v>
      </c>
      <c r="N147" s="357">
        <f t="shared" si="187"/>
        <v>-0.15489130434782605</v>
      </c>
      <c r="O147" s="357">
        <f t="shared" si="188"/>
        <v>-0.22222222222222221</v>
      </c>
      <c r="P147" s="357">
        <f t="shared" si="189"/>
        <v>-0.13983050847457623</v>
      </c>
      <c r="Q147" s="357">
        <f t="shared" si="190"/>
        <v>-0.12110224800580127</v>
      </c>
      <c r="R147" s="357">
        <f t="shared" si="191"/>
        <v>-6.0465116279069808E-2</v>
      </c>
      <c r="S147" s="357">
        <f t="shared" si="192"/>
        <v>0</v>
      </c>
      <c r="T147" s="357">
        <f t="shared" si="193"/>
        <v>0</v>
      </c>
      <c r="U147" s="379">
        <f t="shared" si="194"/>
        <v>0</v>
      </c>
      <c r="W147" s="451">
        <f t="shared" si="195"/>
        <v>-1.5334364000106687E-2</v>
      </c>
      <c r="X147" s="357">
        <f t="shared" si="196"/>
        <v>-0.16829002598969675</v>
      </c>
      <c r="Y147" s="357">
        <f t="shared" si="197"/>
        <v>-0.25131442828090605</v>
      </c>
      <c r="Z147" s="357">
        <f t="shared" si="198"/>
        <v>-0.15062582598382268</v>
      </c>
      <c r="AA147" s="357">
        <f t="shared" si="199"/>
        <v>-0.12908671116404202</v>
      </c>
      <c r="AB147" s="357">
        <f t="shared" si="200"/>
        <v>-6.2370330726458083E-2</v>
      </c>
      <c r="AC147" s="357">
        <f t="shared" si="180"/>
        <v>0</v>
      </c>
      <c r="AD147" s="357">
        <f t="shared" si="181"/>
        <v>0</v>
      </c>
      <c r="AE147" s="379">
        <f t="shared" si="182"/>
        <v>0</v>
      </c>
      <c r="AG147" s="451">
        <f t="shared" si="201"/>
        <v>-3.6689465981915803E-2</v>
      </c>
      <c r="AH147" s="357">
        <f t="shared" si="202"/>
        <v>-0.17600138126509932</v>
      </c>
      <c r="AI147" s="357">
        <f t="shared" si="203"/>
        <v>-0.23648742851133747</v>
      </c>
      <c r="AJ147" s="357">
        <f t="shared" si="204"/>
        <v>-0.14977909709741449</v>
      </c>
      <c r="AK147" s="357">
        <f t="shared" si="205"/>
        <v>-0.12755892129136803</v>
      </c>
      <c r="AL147" s="357">
        <f t="shared" si="206"/>
        <v>-6.0912196951119574E-2</v>
      </c>
      <c r="AM147" s="357">
        <f t="shared" si="183"/>
        <v>-1.7064673510089895E-4</v>
      </c>
      <c r="AN147" s="357">
        <f t="shared" si="184"/>
        <v>1.9070751392640699E-5</v>
      </c>
      <c r="AO147" s="379">
        <f t="shared" si="185"/>
        <v>5.4711961047645428E-5</v>
      </c>
    </row>
    <row r="148" spans="2:41" x14ac:dyDescent="0.25">
      <c r="B148" s="449">
        <v>43361</v>
      </c>
      <c r="C148" s="237">
        <v>451</v>
      </c>
      <c r="D148" s="237">
        <v>287</v>
      </c>
      <c r="E148" s="237">
        <v>221</v>
      </c>
      <c r="F148" s="237">
        <v>188</v>
      </c>
      <c r="G148" s="237">
        <v>286.75</v>
      </c>
      <c r="H148" s="237">
        <v>201</v>
      </c>
      <c r="I148" s="237">
        <v>185</v>
      </c>
      <c r="J148" s="237">
        <v>175</v>
      </c>
      <c r="K148" s="450">
        <v>160</v>
      </c>
      <c r="M148" s="451">
        <f t="shared" si="186"/>
        <v>-4.4150110375276164E-3</v>
      </c>
      <c r="N148" s="357">
        <f t="shared" si="187"/>
        <v>-7.7170418006430874E-2</v>
      </c>
      <c r="O148" s="357">
        <f t="shared" si="188"/>
        <v>-9.7959183673469341E-2</v>
      </c>
      <c r="P148" s="357">
        <f t="shared" si="189"/>
        <v>-7.3891625615763568E-2</v>
      </c>
      <c r="Q148" s="357">
        <f t="shared" si="190"/>
        <v>-5.3630363036303641E-2</v>
      </c>
      <c r="R148" s="357">
        <f t="shared" si="191"/>
        <v>-4.9504950495049549E-3</v>
      </c>
      <c r="S148" s="357">
        <f t="shared" si="192"/>
        <v>0</v>
      </c>
      <c r="T148" s="357">
        <f t="shared" si="193"/>
        <v>0</v>
      </c>
      <c r="U148" s="379">
        <f t="shared" si="194"/>
        <v>0</v>
      </c>
      <c r="W148" s="451">
        <f t="shared" si="195"/>
        <v>-4.4247859803556947E-3</v>
      </c>
      <c r="X148" s="357">
        <f t="shared" si="196"/>
        <v>-8.0310696419613026E-2</v>
      </c>
      <c r="Y148" s="357">
        <f t="shared" si="197"/>
        <v>-0.10309550902697412</v>
      </c>
      <c r="Z148" s="357">
        <f t="shared" si="198"/>
        <v>-7.6764016211838149E-2</v>
      </c>
      <c r="AA148" s="357">
        <f t="shared" si="199"/>
        <v>-5.5122049499889081E-2</v>
      </c>
      <c r="AB148" s="357">
        <f t="shared" si="200"/>
        <v>-4.9627893421290139E-3</v>
      </c>
      <c r="AC148" s="357">
        <f t="shared" si="180"/>
        <v>0</v>
      </c>
      <c r="AD148" s="357">
        <f t="shared" si="181"/>
        <v>0</v>
      </c>
      <c r="AE148" s="379">
        <f t="shared" si="182"/>
        <v>0</v>
      </c>
      <c r="AG148" s="451">
        <f t="shared" si="201"/>
        <v>-2.5887085715095574E-2</v>
      </c>
      <c r="AH148" s="357">
        <f t="shared" si="202"/>
        <v>-9.8280494923704123E-2</v>
      </c>
      <c r="AI148" s="357">
        <f t="shared" si="203"/>
        <v>-0.11222438996258462</v>
      </c>
      <c r="AJ148" s="357">
        <f t="shared" si="204"/>
        <v>-8.3840214238601829E-2</v>
      </c>
      <c r="AK148" s="357">
        <f t="shared" si="205"/>
        <v>-6.0087036321870409E-2</v>
      </c>
      <c r="AL148" s="357">
        <f t="shared" si="206"/>
        <v>-5.3975757215547204E-3</v>
      </c>
      <c r="AM148" s="357">
        <f t="shared" si="183"/>
        <v>-1.7064673510089895E-4</v>
      </c>
      <c r="AN148" s="357">
        <f t="shared" si="184"/>
        <v>1.9070751392640699E-5</v>
      </c>
      <c r="AO148" s="379">
        <f t="shared" si="185"/>
        <v>5.4711961047645428E-5</v>
      </c>
    </row>
    <row r="149" spans="2:41" x14ac:dyDescent="0.25">
      <c r="B149" s="449">
        <v>43368</v>
      </c>
      <c r="C149" s="237">
        <v>450</v>
      </c>
      <c r="D149" s="237">
        <v>317</v>
      </c>
      <c r="E149" s="237">
        <v>262</v>
      </c>
      <c r="F149" s="237">
        <v>203</v>
      </c>
      <c r="G149" s="237">
        <v>308</v>
      </c>
      <c r="H149" s="237">
        <v>201</v>
      </c>
      <c r="I149" s="237">
        <v>185</v>
      </c>
      <c r="J149" s="237">
        <v>175</v>
      </c>
      <c r="K149" s="450">
        <v>160</v>
      </c>
      <c r="M149" s="451">
        <f t="shared" si="186"/>
        <v>-2.2172949002217113E-3</v>
      </c>
      <c r="N149" s="357">
        <f t="shared" si="187"/>
        <v>0.10452961672473871</v>
      </c>
      <c r="O149" s="357">
        <f t="shared" si="188"/>
        <v>0.18552036199095023</v>
      </c>
      <c r="P149" s="357">
        <f t="shared" si="189"/>
        <v>7.9787234042553168E-2</v>
      </c>
      <c r="Q149" s="357">
        <f t="shared" si="190"/>
        <v>7.4106364428945026E-2</v>
      </c>
      <c r="R149" s="357">
        <f t="shared" si="191"/>
        <v>0</v>
      </c>
      <c r="S149" s="357">
        <f t="shared" si="192"/>
        <v>0</v>
      </c>
      <c r="T149" s="357">
        <f t="shared" si="193"/>
        <v>0</v>
      </c>
      <c r="U149" s="379">
        <f t="shared" si="194"/>
        <v>0</v>
      </c>
      <c r="W149" s="451">
        <f t="shared" si="195"/>
        <v>-2.2197567383128881E-3</v>
      </c>
      <c r="X149" s="357">
        <f t="shared" si="196"/>
        <v>9.9419558117659526E-2</v>
      </c>
      <c r="Y149" s="357">
        <f t="shared" si="197"/>
        <v>0.17018180224334403</v>
      </c>
      <c r="Z149" s="357">
        <f t="shared" si="198"/>
        <v>7.6764016211838107E-2</v>
      </c>
      <c r="AA149" s="357">
        <f t="shared" si="199"/>
        <v>7.1489026964094357E-2</v>
      </c>
      <c r="AB149" s="357">
        <f t="shared" si="200"/>
        <v>0</v>
      </c>
      <c r="AC149" s="357">
        <f t="shared" si="180"/>
        <v>0</v>
      </c>
      <c r="AD149" s="357">
        <f t="shared" si="181"/>
        <v>0</v>
      </c>
      <c r="AE149" s="379">
        <f t="shared" si="182"/>
        <v>0</v>
      </c>
      <c r="AG149" s="451">
        <f t="shared" si="201"/>
        <v>-2.3689369577789669E-2</v>
      </c>
      <c r="AH149" s="357">
        <f t="shared" si="202"/>
        <v>8.3419539807465456E-2</v>
      </c>
      <c r="AI149" s="357">
        <f t="shared" si="203"/>
        <v>0.17125515570183497</v>
      </c>
      <c r="AJ149" s="357">
        <f t="shared" si="204"/>
        <v>6.9838645419714906E-2</v>
      </c>
      <c r="AK149" s="357">
        <f t="shared" si="205"/>
        <v>6.7649691143378266E-2</v>
      </c>
      <c r="AL149" s="357">
        <f t="shared" si="206"/>
        <v>-4.4708067204976532E-4</v>
      </c>
      <c r="AM149" s="357">
        <f t="shared" si="183"/>
        <v>-1.7064673510089895E-4</v>
      </c>
      <c r="AN149" s="357">
        <f t="shared" si="184"/>
        <v>1.9070751392640699E-5</v>
      </c>
      <c r="AO149" s="379">
        <f t="shared" si="185"/>
        <v>5.4711961047645428E-5</v>
      </c>
    </row>
    <row r="150" spans="2:41" x14ac:dyDescent="0.25">
      <c r="B150" s="449">
        <v>43375</v>
      </c>
      <c r="C150" s="237">
        <v>302</v>
      </c>
      <c r="D150" s="237">
        <v>205</v>
      </c>
      <c r="E150" s="237">
        <v>176</v>
      </c>
      <c r="F150" s="237">
        <v>169</v>
      </c>
      <c r="G150" s="237">
        <v>228</v>
      </c>
      <c r="H150" s="237">
        <v>201</v>
      </c>
      <c r="I150" s="237">
        <v>185</v>
      </c>
      <c r="J150" s="237">
        <v>175</v>
      </c>
      <c r="K150" s="450">
        <v>160</v>
      </c>
      <c r="M150" s="451">
        <f t="shared" si="186"/>
        <v>-0.3288888888888889</v>
      </c>
      <c r="N150" s="357">
        <f t="shared" si="187"/>
        <v>-0.35331230283911674</v>
      </c>
      <c r="O150" s="357">
        <f t="shared" si="188"/>
        <v>-0.3282442748091603</v>
      </c>
      <c r="P150" s="357">
        <f t="shared" si="189"/>
        <v>-0.16748768472906406</v>
      </c>
      <c r="Q150" s="357">
        <f t="shared" si="190"/>
        <v>-0.25974025974025972</v>
      </c>
      <c r="R150" s="357">
        <f t="shared" si="191"/>
        <v>0</v>
      </c>
      <c r="S150" s="357">
        <f t="shared" si="192"/>
        <v>0</v>
      </c>
      <c r="T150" s="357">
        <f t="shared" si="193"/>
        <v>0</v>
      </c>
      <c r="U150" s="379">
        <f t="shared" si="194"/>
        <v>0</v>
      </c>
      <c r="W150" s="451">
        <f t="shared" si="195"/>
        <v>-0.39882056538949584</v>
      </c>
      <c r="X150" s="357">
        <f t="shared" si="196"/>
        <v>-0.43589179473887246</v>
      </c>
      <c r="Y150" s="357">
        <f t="shared" si="197"/>
        <v>-0.39786050872294504</v>
      </c>
      <c r="Z150" s="357">
        <f t="shared" si="198"/>
        <v>-0.18330726411871387</v>
      </c>
      <c r="AA150" s="357">
        <f t="shared" si="199"/>
        <v>-0.30075415401913369</v>
      </c>
      <c r="AB150" s="357">
        <f t="shared" si="200"/>
        <v>0</v>
      </c>
      <c r="AC150" s="357">
        <f t="shared" si="180"/>
        <v>0</v>
      </c>
      <c r="AD150" s="357">
        <f t="shared" si="181"/>
        <v>0</v>
      </c>
      <c r="AE150" s="379">
        <f t="shared" si="182"/>
        <v>0</v>
      </c>
      <c r="AG150" s="451">
        <f t="shared" si="201"/>
        <v>-0.35036096356645685</v>
      </c>
      <c r="AH150" s="357">
        <f t="shared" si="202"/>
        <v>-0.37442237975638998</v>
      </c>
      <c r="AI150" s="357">
        <f t="shared" si="203"/>
        <v>-0.34250948109827556</v>
      </c>
      <c r="AJ150" s="357">
        <f t="shared" si="204"/>
        <v>-0.17743627335190232</v>
      </c>
      <c r="AK150" s="357">
        <f t="shared" si="205"/>
        <v>-0.26619693302582648</v>
      </c>
      <c r="AL150" s="357">
        <f t="shared" si="206"/>
        <v>-4.4708067204976532E-4</v>
      </c>
      <c r="AM150" s="357">
        <f t="shared" si="183"/>
        <v>-1.7064673510089895E-4</v>
      </c>
      <c r="AN150" s="357">
        <f t="shared" si="184"/>
        <v>1.9070751392640699E-5</v>
      </c>
      <c r="AO150" s="379">
        <f t="shared" si="185"/>
        <v>5.4711961047645428E-5</v>
      </c>
    </row>
    <row r="151" spans="2:41" x14ac:dyDescent="0.25">
      <c r="B151" s="449">
        <v>43382</v>
      </c>
      <c r="C151" s="237">
        <v>275</v>
      </c>
      <c r="D151" s="237">
        <v>192</v>
      </c>
      <c r="E151" s="237">
        <v>169</v>
      </c>
      <c r="F151" s="237">
        <v>168</v>
      </c>
      <c r="G151" s="237">
        <v>212</v>
      </c>
      <c r="H151" s="237">
        <v>201</v>
      </c>
      <c r="I151" s="237">
        <v>185</v>
      </c>
      <c r="J151" s="237">
        <v>175</v>
      </c>
      <c r="K151" s="450">
        <v>160</v>
      </c>
      <c r="M151" s="451">
        <f t="shared" si="186"/>
        <v>-8.9403973509933787E-2</v>
      </c>
      <c r="N151" s="357">
        <f t="shared" si="187"/>
        <v>-6.3414634146341409E-2</v>
      </c>
      <c r="O151" s="357">
        <f t="shared" si="188"/>
        <v>-3.9772727272727293E-2</v>
      </c>
      <c r="P151" s="357">
        <f t="shared" si="189"/>
        <v>-5.9171597633136397E-3</v>
      </c>
      <c r="Q151" s="357">
        <f t="shared" si="190"/>
        <v>-7.0175438596491224E-2</v>
      </c>
      <c r="R151" s="357">
        <f t="shared" si="191"/>
        <v>0</v>
      </c>
      <c r="S151" s="357">
        <f t="shared" si="192"/>
        <v>0</v>
      </c>
      <c r="T151" s="357">
        <f t="shared" si="193"/>
        <v>0</v>
      </c>
      <c r="U151" s="379">
        <f t="shared" si="194"/>
        <v>0</v>
      </c>
      <c r="W151" s="451">
        <f t="shared" si="195"/>
        <v>-9.3655919708298355E-2</v>
      </c>
      <c r="X151" s="357">
        <f t="shared" si="196"/>
        <v>-6.5514607110626566E-2</v>
      </c>
      <c r="Y151" s="357">
        <f t="shared" si="197"/>
        <v>-4.058528011507833E-2</v>
      </c>
      <c r="Z151" s="357">
        <f t="shared" si="198"/>
        <v>-5.9347355198145777E-3</v>
      </c>
      <c r="AA151" s="357">
        <f t="shared" si="199"/>
        <v>-7.2759354282428315E-2</v>
      </c>
      <c r="AB151" s="357">
        <f t="shared" si="200"/>
        <v>0</v>
      </c>
      <c r="AC151" s="357">
        <f t="shared" si="180"/>
        <v>0</v>
      </c>
      <c r="AD151" s="357">
        <f t="shared" si="181"/>
        <v>0</v>
      </c>
      <c r="AE151" s="379">
        <f t="shared" si="182"/>
        <v>0</v>
      </c>
      <c r="AG151" s="451">
        <f t="shared" si="201"/>
        <v>-0.11087604818750174</v>
      </c>
      <c r="AH151" s="357">
        <f t="shared" si="202"/>
        <v>-8.4524711063614658E-2</v>
      </c>
      <c r="AI151" s="357">
        <f t="shared" si="203"/>
        <v>-5.4037933561842569E-2</v>
      </c>
      <c r="AJ151" s="357">
        <f t="shared" si="204"/>
        <v>-1.5865748386151905E-2</v>
      </c>
      <c r="AK151" s="357">
        <f t="shared" si="205"/>
        <v>-7.6632111882057985E-2</v>
      </c>
      <c r="AL151" s="357">
        <f t="shared" si="206"/>
        <v>-4.4708067204976532E-4</v>
      </c>
      <c r="AM151" s="357">
        <f t="shared" si="183"/>
        <v>-1.7064673510089895E-4</v>
      </c>
      <c r="AN151" s="357">
        <f t="shared" si="184"/>
        <v>1.9070751392640699E-5</v>
      </c>
      <c r="AO151" s="379">
        <f t="shared" si="185"/>
        <v>5.4711961047645428E-5</v>
      </c>
    </row>
    <row r="152" spans="2:41" x14ac:dyDescent="0.25">
      <c r="B152" s="449">
        <v>43389</v>
      </c>
      <c r="C152" s="237">
        <v>257</v>
      </c>
      <c r="D152" s="237">
        <v>156</v>
      </c>
      <c r="E152" s="237">
        <v>143</v>
      </c>
      <c r="F152" s="237">
        <v>145</v>
      </c>
      <c r="G152" s="237">
        <v>185.3</v>
      </c>
      <c r="H152" s="237">
        <v>187.3</v>
      </c>
      <c r="I152" s="237">
        <v>185</v>
      </c>
      <c r="J152" s="237">
        <v>175</v>
      </c>
      <c r="K152" s="450">
        <v>160</v>
      </c>
      <c r="M152" s="451">
        <f t="shared" si="186"/>
        <v>-6.5454545454545432E-2</v>
      </c>
      <c r="N152" s="357">
        <f t="shared" si="187"/>
        <v>-0.1875</v>
      </c>
      <c r="O152" s="357">
        <f t="shared" si="188"/>
        <v>-0.15384615384615385</v>
      </c>
      <c r="P152" s="357">
        <f t="shared" si="189"/>
        <v>-0.13690476190476186</v>
      </c>
      <c r="Q152" s="357">
        <f t="shared" si="190"/>
        <v>-0.12594339622641504</v>
      </c>
      <c r="R152" s="357">
        <f t="shared" si="191"/>
        <v>-6.8159203980099448E-2</v>
      </c>
      <c r="S152" s="357">
        <f t="shared" si="192"/>
        <v>0</v>
      </c>
      <c r="T152" s="357">
        <f t="shared" si="193"/>
        <v>0</v>
      </c>
      <c r="U152" s="379">
        <f t="shared" si="194"/>
        <v>0</v>
      </c>
      <c r="W152" s="451">
        <f t="shared" si="195"/>
        <v>-6.7695012771351468E-2</v>
      </c>
      <c r="X152" s="357">
        <f t="shared" si="196"/>
        <v>-0.20763936477824449</v>
      </c>
      <c r="Y152" s="357">
        <f t="shared" si="197"/>
        <v>-0.16705408466316621</v>
      </c>
      <c r="Z152" s="357">
        <f t="shared" si="198"/>
        <v>-0.14723023698268448</v>
      </c>
      <c r="AA152" s="357">
        <f t="shared" si="199"/>
        <v>-0.13461014138069829</v>
      </c>
      <c r="AB152" s="357">
        <f t="shared" si="200"/>
        <v>-7.0593298609032865E-2</v>
      </c>
      <c r="AC152" s="357">
        <f t="shared" si="180"/>
        <v>0</v>
      </c>
      <c r="AD152" s="357">
        <f t="shared" si="181"/>
        <v>0</v>
      </c>
      <c r="AE152" s="379">
        <f t="shared" si="182"/>
        <v>0</v>
      </c>
      <c r="AG152" s="451">
        <f t="shared" si="201"/>
        <v>-8.6926620132113386E-2</v>
      </c>
      <c r="AH152" s="357">
        <f t="shared" si="202"/>
        <v>-0.20861007691727326</v>
      </c>
      <c r="AI152" s="357">
        <f t="shared" si="203"/>
        <v>-0.16811136013526912</v>
      </c>
      <c r="AJ152" s="357">
        <f t="shared" si="204"/>
        <v>-0.14685335052760012</v>
      </c>
      <c r="AK152" s="357">
        <f t="shared" si="205"/>
        <v>-0.1324000695119818</v>
      </c>
      <c r="AL152" s="357">
        <f t="shared" si="206"/>
        <v>-6.8606284652149213E-2</v>
      </c>
      <c r="AM152" s="357">
        <f t="shared" si="183"/>
        <v>-1.7064673510089895E-4</v>
      </c>
      <c r="AN152" s="357">
        <f t="shared" si="184"/>
        <v>1.9070751392640699E-5</v>
      </c>
      <c r="AO152" s="379">
        <f t="shared" si="185"/>
        <v>5.4711961047645428E-5</v>
      </c>
    </row>
    <row r="153" spans="2:41" x14ac:dyDescent="0.25">
      <c r="B153" s="449">
        <v>43396</v>
      </c>
      <c r="C153" s="237">
        <v>252</v>
      </c>
      <c r="D153" s="237">
        <v>125</v>
      </c>
      <c r="E153" s="237">
        <v>120</v>
      </c>
      <c r="F153" s="237">
        <v>137</v>
      </c>
      <c r="G153" s="237">
        <v>165.7</v>
      </c>
      <c r="H153" s="237">
        <v>183.3</v>
      </c>
      <c r="I153" s="237">
        <v>185</v>
      </c>
      <c r="J153" s="237">
        <v>175</v>
      </c>
      <c r="K153" s="450">
        <v>160</v>
      </c>
      <c r="M153" s="451">
        <f t="shared" si="186"/>
        <v>-1.945525291828798E-2</v>
      </c>
      <c r="N153" s="357">
        <f t="shared" si="187"/>
        <v>-0.19871794871794868</v>
      </c>
      <c r="O153" s="357">
        <f t="shared" si="188"/>
        <v>-0.16083916083916083</v>
      </c>
      <c r="P153" s="357">
        <f t="shared" si="189"/>
        <v>-5.5172413793103448E-2</v>
      </c>
      <c r="Q153" s="357">
        <f t="shared" si="190"/>
        <v>-0.10577441985968716</v>
      </c>
      <c r="R153" s="357">
        <f t="shared" si="191"/>
        <v>-2.1356113187399939E-2</v>
      </c>
      <c r="S153" s="357">
        <f t="shared" si="192"/>
        <v>0</v>
      </c>
      <c r="T153" s="357">
        <f t="shared" si="193"/>
        <v>0</v>
      </c>
      <c r="U153" s="379">
        <f t="shared" si="194"/>
        <v>0</v>
      </c>
      <c r="W153" s="451">
        <f t="shared" si="195"/>
        <v>-1.9646997383796536E-2</v>
      </c>
      <c r="X153" s="357">
        <f t="shared" si="196"/>
        <v>-0.22154226994723586</v>
      </c>
      <c r="Y153" s="357">
        <f t="shared" si="197"/>
        <v>-0.17535288747786129</v>
      </c>
      <c r="Z153" s="357">
        <f t="shared" si="198"/>
        <v>-5.6752816592449483E-2</v>
      </c>
      <c r="AA153" s="357">
        <f t="shared" si="199"/>
        <v>-0.11179720885879706</v>
      </c>
      <c r="AB153" s="357">
        <f t="shared" si="200"/>
        <v>-2.1587454604383546E-2</v>
      </c>
      <c r="AC153" s="357">
        <f t="shared" si="180"/>
        <v>0</v>
      </c>
      <c r="AD153" s="357">
        <f t="shared" si="181"/>
        <v>0</v>
      </c>
      <c r="AE153" s="379">
        <f t="shared" si="182"/>
        <v>0</v>
      </c>
      <c r="AG153" s="451">
        <f t="shared" si="201"/>
        <v>-4.0927327595855933E-2</v>
      </c>
      <c r="AH153" s="357">
        <f t="shared" si="202"/>
        <v>-0.21982802563522194</v>
      </c>
      <c r="AI153" s="357">
        <f t="shared" si="203"/>
        <v>-0.17510436712827609</v>
      </c>
      <c r="AJ153" s="357">
        <f t="shared" si="204"/>
        <v>-6.5121002415941709E-2</v>
      </c>
      <c r="AK153" s="357">
        <f t="shared" si="205"/>
        <v>-0.11223109314525392</v>
      </c>
      <c r="AL153" s="357">
        <f t="shared" si="206"/>
        <v>-2.1803193859449704E-2</v>
      </c>
      <c r="AM153" s="357">
        <f t="shared" si="183"/>
        <v>-1.7064673510089895E-4</v>
      </c>
      <c r="AN153" s="357">
        <f t="shared" si="184"/>
        <v>1.9070751392640699E-5</v>
      </c>
      <c r="AO153" s="379">
        <f t="shared" si="185"/>
        <v>5.4711961047645428E-5</v>
      </c>
    </row>
    <row r="154" spans="2:41" x14ac:dyDescent="0.25">
      <c r="B154" s="449">
        <v>43403</v>
      </c>
      <c r="C154" s="237">
        <v>252</v>
      </c>
      <c r="D154" s="237">
        <v>125</v>
      </c>
      <c r="E154" s="237">
        <v>120</v>
      </c>
      <c r="F154" s="237">
        <v>137</v>
      </c>
      <c r="G154" s="237">
        <v>182</v>
      </c>
      <c r="H154" s="237">
        <v>186</v>
      </c>
      <c r="I154" s="237">
        <v>175</v>
      </c>
      <c r="J154" s="237">
        <v>165</v>
      </c>
      <c r="K154" s="450">
        <v>155</v>
      </c>
      <c r="M154" s="451">
        <f t="shared" si="186"/>
        <v>0</v>
      </c>
      <c r="N154" s="357">
        <f t="shared" si="187"/>
        <v>0</v>
      </c>
      <c r="O154" s="357">
        <f t="shared" si="188"/>
        <v>0</v>
      </c>
      <c r="P154" s="357">
        <f t="shared" si="189"/>
        <v>0</v>
      </c>
      <c r="Q154" s="357">
        <f t="shared" si="190"/>
        <v>9.8370549185274658E-2</v>
      </c>
      <c r="R154" s="357">
        <f t="shared" si="191"/>
        <v>1.4729950900163713E-2</v>
      </c>
      <c r="S154" s="357">
        <f t="shared" si="192"/>
        <v>-5.4054054054054057E-2</v>
      </c>
      <c r="T154" s="357">
        <f t="shared" si="193"/>
        <v>-5.7142857142857162E-2</v>
      </c>
      <c r="U154" s="379">
        <f t="shared" si="194"/>
        <v>-3.125E-2</v>
      </c>
      <c r="W154" s="451">
        <f t="shared" ref="W154:W164" si="207">LN(C154/C153)</f>
        <v>0</v>
      </c>
      <c r="X154" s="357">
        <f t="shared" ref="X154:X164" si="208">LN(D154/D153)</f>
        <v>0</v>
      </c>
      <c r="Y154" s="357">
        <f t="shared" ref="Y154:Y164" si="209">LN(E154/E153)</f>
        <v>0</v>
      </c>
      <c r="Z154" s="357">
        <f t="shared" ref="Z154:Z164" si="210">LN(F154/F153)</f>
        <v>0</v>
      </c>
      <c r="AA154" s="357">
        <f t="shared" ref="AA154:AA164" si="211">LN(G154/G153)</f>
        <v>9.3827762644278181E-2</v>
      </c>
      <c r="AB154" s="357">
        <f t="shared" ref="AB154:AB164" si="212">LN(H154/H153)</f>
        <v>1.4622518867541963E-2</v>
      </c>
      <c r="AC154" s="357">
        <f t="shared" si="180"/>
        <v>-5.5569851154810765E-2</v>
      </c>
      <c r="AD154" s="357">
        <f t="shared" si="181"/>
        <v>-5.8840500022933465E-2</v>
      </c>
      <c r="AE154" s="379">
        <f t="shared" si="182"/>
        <v>-3.1748698314580298E-2</v>
      </c>
      <c r="AG154" s="451">
        <f t="shared" ref="AG154:AG164" si="213">M154-M$2</f>
        <v>-2.1472074677567957E-2</v>
      </c>
      <c r="AH154" s="357">
        <f t="shared" ref="AH154:AH164" si="214">N154-N$2</f>
        <v>-2.1110076917273252E-2</v>
      </c>
      <c r="AI154" s="357">
        <f t="shared" ref="AI154:AI164" si="215">O154-O$2</f>
        <v>-1.4265206289115274E-2</v>
      </c>
      <c r="AJ154" s="357">
        <f t="shared" ref="AJ154:AJ164" si="216">P154-P$2</f>
        <v>-9.9485886228382649E-3</v>
      </c>
      <c r="AK154" s="357">
        <f t="shared" ref="AK154:AK164" si="217">Q154-Q$2</f>
        <v>9.1913875899707898E-2</v>
      </c>
      <c r="AL154" s="357">
        <f t="shared" ref="AL154:AL164" si="218">R154-R$2</f>
        <v>1.4282870228113947E-2</v>
      </c>
      <c r="AM154" s="357">
        <f t="shared" si="183"/>
        <v>-5.4224700789154957E-2</v>
      </c>
      <c r="AN154" s="357">
        <f t="shared" si="184"/>
        <v>-5.7123786391464523E-2</v>
      </c>
      <c r="AO154" s="379">
        <f t="shared" si="185"/>
        <v>-3.1195288038952353E-2</v>
      </c>
    </row>
    <row r="155" spans="2:41" x14ac:dyDescent="0.25">
      <c r="B155" s="449">
        <v>43410</v>
      </c>
      <c r="C155" s="237">
        <v>126</v>
      </c>
      <c r="D155" s="237">
        <v>115</v>
      </c>
      <c r="E155" s="237">
        <v>124</v>
      </c>
      <c r="F155" s="237">
        <v>138</v>
      </c>
      <c r="G155" s="237">
        <v>120.5</v>
      </c>
      <c r="H155" s="237">
        <v>180.5</v>
      </c>
      <c r="I155" s="237">
        <v>175</v>
      </c>
      <c r="J155" s="237">
        <v>165</v>
      </c>
      <c r="K155" s="450">
        <v>155</v>
      </c>
      <c r="M155" s="451">
        <f t="shared" si="186"/>
        <v>-0.5</v>
      </c>
      <c r="N155" s="357">
        <f t="shared" si="187"/>
        <v>-7.999999999999996E-2</v>
      </c>
      <c r="O155" s="357">
        <f t="shared" si="188"/>
        <v>3.3333333333333437E-2</v>
      </c>
      <c r="P155" s="357">
        <f t="shared" si="189"/>
        <v>7.2992700729928028E-3</v>
      </c>
      <c r="Q155" s="357">
        <f t="shared" si="190"/>
        <v>-0.33791208791208793</v>
      </c>
      <c r="R155" s="357">
        <f t="shared" si="191"/>
        <v>-2.9569892473118253E-2</v>
      </c>
      <c r="S155" s="357">
        <f t="shared" si="192"/>
        <v>0</v>
      </c>
      <c r="T155" s="357">
        <f t="shared" si="193"/>
        <v>0</v>
      </c>
      <c r="U155" s="379">
        <f t="shared" si="194"/>
        <v>0</v>
      </c>
      <c r="W155" s="451">
        <f t="shared" si="207"/>
        <v>-0.69314718055994529</v>
      </c>
      <c r="X155" s="357">
        <f t="shared" si="208"/>
        <v>-8.3381608939051013E-2</v>
      </c>
      <c r="Y155" s="357">
        <f t="shared" si="209"/>
        <v>3.278982282299097E-2</v>
      </c>
      <c r="Z155" s="357">
        <f t="shared" si="210"/>
        <v>7.2727593290798781E-3</v>
      </c>
      <c r="AA155" s="357">
        <f t="shared" si="211"/>
        <v>-0.41235693414608571</v>
      </c>
      <c r="AB155" s="357">
        <f t="shared" si="212"/>
        <v>-3.0015895940265609E-2</v>
      </c>
      <c r="AC155" s="357">
        <f t="shared" si="180"/>
        <v>0</v>
      </c>
      <c r="AD155" s="357">
        <f t="shared" si="181"/>
        <v>0</v>
      </c>
      <c r="AE155" s="379">
        <f t="shared" si="182"/>
        <v>0</v>
      </c>
      <c r="AG155" s="451">
        <f t="shared" si="213"/>
        <v>-0.52147207467756795</v>
      </c>
      <c r="AH155" s="357">
        <f t="shared" si="214"/>
        <v>-0.10111007691727321</v>
      </c>
      <c r="AI155" s="357">
        <f t="shared" si="215"/>
        <v>1.9068127044218161E-2</v>
      </c>
      <c r="AJ155" s="357">
        <f t="shared" si="216"/>
        <v>-2.649318549845462E-3</v>
      </c>
      <c r="AK155" s="357">
        <f t="shared" si="217"/>
        <v>-0.34436876119765469</v>
      </c>
      <c r="AL155" s="357">
        <f t="shared" si="218"/>
        <v>-3.0016973145168019E-2</v>
      </c>
      <c r="AM155" s="357">
        <f t="shared" si="183"/>
        <v>-1.7064673510089895E-4</v>
      </c>
      <c r="AN155" s="357">
        <f t="shared" si="184"/>
        <v>1.9070751392640699E-5</v>
      </c>
      <c r="AO155" s="379">
        <f t="shared" si="185"/>
        <v>5.4711961047645428E-5</v>
      </c>
    </row>
    <row r="156" spans="2:41" x14ac:dyDescent="0.25">
      <c r="B156" s="449">
        <v>43417</v>
      </c>
      <c r="C156" s="237">
        <v>114</v>
      </c>
      <c r="D156" s="237">
        <v>78</v>
      </c>
      <c r="E156" s="237">
        <v>96</v>
      </c>
      <c r="F156" s="237">
        <v>115</v>
      </c>
      <c r="G156" s="237">
        <v>96</v>
      </c>
      <c r="H156" s="237">
        <v>165</v>
      </c>
      <c r="I156" s="237">
        <v>175</v>
      </c>
      <c r="J156" s="237">
        <v>165</v>
      </c>
      <c r="K156" s="450">
        <v>155</v>
      </c>
      <c r="M156" s="451">
        <f t="shared" si="186"/>
        <v>-9.5238095238095233E-2</v>
      </c>
      <c r="N156" s="357">
        <f t="shared" si="187"/>
        <v>-0.32173913043478264</v>
      </c>
      <c r="O156" s="357">
        <f t="shared" si="188"/>
        <v>-0.22580645161290325</v>
      </c>
      <c r="P156" s="357">
        <f t="shared" si="189"/>
        <v>-0.16666666666666663</v>
      </c>
      <c r="Q156" s="357">
        <f t="shared" si="190"/>
        <v>-0.20331950207468885</v>
      </c>
      <c r="R156" s="357">
        <f t="shared" si="191"/>
        <v>-8.5872576177285276E-2</v>
      </c>
      <c r="S156" s="357">
        <f t="shared" si="192"/>
        <v>0</v>
      </c>
      <c r="T156" s="357">
        <f t="shared" si="193"/>
        <v>0</v>
      </c>
      <c r="U156" s="379">
        <f t="shared" si="194"/>
        <v>0</v>
      </c>
      <c r="W156" s="451">
        <f t="shared" si="207"/>
        <v>-0.10008345855698253</v>
      </c>
      <c r="X156" s="357">
        <f t="shared" si="208"/>
        <v>-0.38822330167365837</v>
      </c>
      <c r="Y156" s="357">
        <f t="shared" si="209"/>
        <v>-0.25593337413720063</v>
      </c>
      <c r="Z156" s="357">
        <f t="shared" si="210"/>
        <v>-0.18232155679395459</v>
      </c>
      <c r="AA156" s="357">
        <f t="shared" si="211"/>
        <v>-0.2273015614628735</v>
      </c>
      <c r="AB156" s="357">
        <f t="shared" si="212"/>
        <v>-8.9785303872354949E-2</v>
      </c>
      <c r="AC156" s="357">
        <f t="shared" si="180"/>
        <v>0</v>
      </c>
      <c r="AD156" s="357">
        <f t="shared" si="181"/>
        <v>0</v>
      </c>
      <c r="AE156" s="379">
        <f t="shared" si="182"/>
        <v>0</v>
      </c>
      <c r="AG156" s="451">
        <f t="shared" si="213"/>
        <v>-0.11671016991566319</v>
      </c>
      <c r="AH156" s="357">
        <f t="shared" si="214"/>
        <v>-0.34284920735205587</v>
      </c>
      <c r="AI156" s="357">
        <f t="shared" si="215"/>
        <v>-0.24007165790201851</v>
      </c>
      <c r="AJ156" s="357">
        <f t="shared" si="216"/>
        <v>-0.17661525528950489</v>
      </c>
      <c r="AK156" s="357">
        <f t="shared" si="217"/>
        <v>-0.20977617536025561</v>
      </c>
      <c r="AL156" s="357">
        <f t="shared" si="218"/>
        <v>-8.6319656849335041E-2</v>
      </c>
      <c r="AM156" s="357">
        <f t="shared" si="183"/>
        <v>-1.7064673510089895E-4</v>
      </c>
      <c r="AN156" s="357">
        <f t="shared" si="184"/>
        <v>1.9070751392640699E-5</v>
      </c>
      <c r="AO156" s="379">
        <f t="shared" si="185"/>
        <v>5.4711961047645428E-5</v>
      </c>
    </row>
    <row r="157" spans="2:41" x14ac:dyDescent="0.25">
      <c r="B157" s="449">
        <v>43424</v>
      </c>
      <c r="C157" s="237">
        <v>118</v>
      </c>
      <c r="D157" s="237">
        <v>80</v>
      </c>
      <c r="E157" s="237">
        <v>94</v>
      </c>
      <c r="F157" s="237">
        <v>113</v>
      </c>
      <c r="G157" s="237">
        <v>99</v>
      </c>
      <c r="H157" s="237">
        <v>164</v>
      </c>
      <c r="I157" s="237">
        <v>173</v>
      </c>
      <c r="J157" s="237">
        <v>165</v>
      </c>
      <c r="K157" s="450">
        <v>155</v>
      </c>
      <c r="M157" s="451">
        <f t="shared" si="186"/>
        <v>3.5087719298245723E-2</v>
      </c>
      <c r="N157" s="357">
        <f t="shared" si="187"/>
        <v>2.564102564102555E-2</v>
      </c>
      <c r="O157" s="357">
        <f t="shared" si="188"/>
        <v>-2.083333333333337E-2</v>
      </c>
      <c r="P157" s="357">
        <f t="shared" si="189"/>
        <v>-1.7391304347826098E-2</v>
      </c>
      <c r="Q157" s="357">
        <f t="shared" si="190"/>
        <v>3.125E-2</v>
      </c>
      <c r="R157" s="357">
        <f t="shared" si="191"/>
        <v>-6.0606060606060996E-3</v>
      </c>
      <c r="S157" s="357">
        <f t="shared" si="192"/>
        <v>-1.1428571428571455E-2</v>
      </c>
      <c r="T157" s="357">
        <f t="shared" si="193"/>
        <v>0</v>
      </c>
      <c r="U157" s="379">
        <f t="shared" si="194"/>
        <v>0</v>
      </c>
      <c r="W157" s="451">
        <f t="shared" si="207"/>
        <v>3.4486176071169404E-2</v>
      </c>
      <c r="X157" s="357">
        <f t="shared" si="208"/>
        <v>2.5317807984289786E-2</v>
      </c>
      <c r="Y157" s="357">
        <f t="shared" si="209"/>
        <v>-2.1053409197832381E-2</v>
      </c>
      <c r="Z157" s="357">
        <f t="shared" si="210"/>
        <v>-1.7544309650909508E-2</v>
      </c>
      <c r="AA157" s="357">
        <f t="shared" si="211"/>
        <v>3.0771658666753687E-2</v>
      </c>
      <c r="AB157" s="357">
        <f t="shared" si="212"/>
        <v>-6.0790460763822263E-3</v>
      </c>
      <c r="AC157" s="357">
        <f t="shared" si="180"/>
        <v>-1.1494379425735134E-2</v>
      </c>
      <c r="AD157" s="357">
        <f t="shared" si="181"/>
        <v>0</v>
      </c>
      <c r="AE157" s="379">
        <f t="shared" si="182"/>
        <v>0</v>
      </c>
      <c r="AG157" s="451">
        <f t="shared" si="213"/>
        <v>1.3615644620677766E-2</v>
      </c>
      <c r="AH157" s="357">
        <f t="shared" si="214"/>
        <v>4.5309487237522976E-3</v>
      </c>
      <c r="AI157" s="357">
        <f t="shared" si="215"/>
        <v>-3.5098539622448646E-2</v>
      </c>
      <c r="AJ157" s="357">
        <f t="shared" si="216"/>
        <v>-2.7339892970664362E-2</v>
      </c>
      <c r="AK157" s="357">
        <f t="shared" si="217"/>
        <v>2.4793326714433232E-2</v>
      </c>
      <c r="AL157" s="357">
        <f t="shared" si="218"/>
        <v>-6.5076867326558652E-3</v>
      </c>
      <c r="AM157" s="357">
        <f t="shared" si="183"/>
        <v>-1.1599218163672353E-2</v>
      </c>
      <c r="AN157" s="357">
        <f t="shared" si="184"/>
        <v>1.9070751392640699E-5</v>
      </c>
      <c r="AO157" s="379">
        <f t="shared" si="185"/>
        <v>5.4711961047645428E-5</v>
      </c>
    </row>
    <row r="158" spans="2:41" x14ac:dyDescent="0.25">
      <c r="B158" s="449">
        <v>43431</v>
      </c>
      <c r="C158" s="237">
        <v>123.9</v>
      </c>
      <c r="D158" s="237">
        <v>59</v>
      </c>
      <c r="E158" s="237">
        <v>80</v>
      </c>
      <c r="F158" s="237">
        <v>100</v>
      </c>
      <c r="G158" s="237">
        <v>91.5</v>
      </c>
      <c r="H158" s="237">
        <v>151.30000000000001</v>
      </c>
      <c r="I158" s="237">
        <v>171</v>
      </c>
      <c r="J158" s="237">
        <v>165</v>
      </c>
      <c r="K158" s="450">
        <v>155</v>
      </c>
      <c r="M158" s="451">
        <f t="shared" si="186"/>
        <v>5.0000000000000044E-2</v>
      </c>
      <c r="N158" s="357">
        <f t="shared" si="187"/>
        <v>-0.26249999999999996</v>
      </c>
      <c r="O158" s="357">
        <f t="shared" si="188"/>
        <v>-0.14893617021276595</v>
      </c>
      <c r="P158" s="357">
        <f t="shared" si="189"/>
        <v>-0.11504424778761058</v>
      </c>
      <c r="Q158" s="357">
        <f t="shared" si="190"/>
        <v>-7.5757575757575801E-2</v>
      </c>
      <c r="R158" s="357">
        <f t="shared" si="191"/>
        <v>-7.743902439024386E-2</v>
      </c>
      <c r="S158" s="357">
        <f t="shared" si="192"/>
        <v>-1.1560693641618491E-2</v>
      </c>
      <c r="T158" s="357">
        <f t="shared" si="193"/>
        <v>0</v>
      </c>
      <c r="U158" s="379">
        <f t="shared" si="194"/>
        <v>0</v>
      </c>
      <c r="W158" s="451">
        <f t="shared" si="207"/>
        <v>4.8790164169432049E-2</v>
      </c>
      <c r="X158" s="357">
        <f t="shared" si="208"/>
        <v>-0.30448919076816211</v>
      </c>
      <c r="Y158" s="357">
        <f t="shared" si="209"/>
        <v>-0.16126814759612226</v>
      </c>
      <c r="Z158" s="357">
        <f t="shared" si="210"/>
        <v>-0.12221763272424915</v>
      </c>
      <c r="AA158" s="357">
        <f t="shared" si="211"/>
        <v>-7.8780877853114342E-2</v>
      </c>
      <c r="AB158" s="357">
        <f t="shared" si="212"/>
        <v>-8.0601807029888145E-2</v>
      </c>
      <c r="AC158" s="357">
        <f t="shared" si="180"/>
        <v>-1.1628037995119099E-2</v>
      </c>
      <c r="AD158" s="357">
        <f t="shared" si="181"/>
        <v>0</v>
      </c>
      <c r="AE158" s="379">
        <f t="shared" si="182"/>
        <v>0</v>
      </c>
      <c r="AG158" s="451">
        <f t="shared" si="213"/>
        <v>2.8527925322432087E-2</v>
      </c>
      <c r="AH158" s="357">
        <f t="shared" si="214"/>
        <v>-0.28361007691727319</v>
      </c>
      <c r="AI158" s="357">
        <f t="shared" si="215"/>
        <v>-0.16320137650188121</v>
      </c>
      <c r="AJ158" s="357">
        <f t="shared" si="216"/>
        <v>-0.12499283641044884</v>
      </c>
      <c r="AK158" s="357">
        <f t="shared" si="217"/>
        <v>-8.2214249043142562E-2</v>
      </c>
      <c r="AL158" s="357">
        <f t="shared" si="218"/>
        <v>-7.7886105062293626E-2</v>
      </c>
      <c r="AM158" s="357">
        <f t="shared" si="183"/>
        <v>-1.173134037671939E-2</v>
      </c>
      <c r="AN158" s="357">
        <f t="shared" si="184"/>
        <v>1.9070751392640699E-5</v>
      </c>
      <c r="AO158" s="379">
        <f t="shared" si="185"/>
        <v>5.4711961047645428E-5</v>
      </c>
    </row>
    <row r="159" spans="2:41" x14ac:dyDescent="0.25">
      <c r="B159" s="449">
        <v>43438</v>
      </c>
      <c r="C159" s="237">
        <v>69</v>
      </c>
      <c r="D159" s="237">
        <v>96</v>
      </c>
      <c r="E159" s="237">
        <v>118</v>
      </c>
      <c r="F159" s="237">
        <v>130</v>
      </c>
      <c r="G159" s="237">
        <v>69</v>
      </c>
      <c r="H159" s="237">
        <v>167</v>
      </c>
      <c r="I159" s="237">
        <v>170</v>
      </c>
      <c r="J159" s="237">
        <v>165</v>
      </c>
      <c r="K159" s="450">
        <v>155</v>
      </c>
      <c r="M159" s="451">
        <f t="shared" si="186"/>
        <v>-0.44309927360774826</v>
      </c>
      <c r="N159" s="357">
        <f t="shared" si="187"/>
        <v>0.62711864406779672</v>
      </c>
      <c r="O159" s="357">
        <f t="shared" si="188"/>
        <v>0.47500000000000009</v>
      </c>
      <c r="P159" s="357">
        <f t="shared" si="189"/>
        <v>0.30000000000000004</v>
      </c>
      <c r="Q159" s="357">
        <f t="shared" si="190"/>
        <v>-0.24590163934426235</v>
      </c>
      <c r="R159" s="357">
        <f t="shared" si="191"/>
        <v>0.10376734963648371</v>
      </c>
      <c r="S159" s="357">
        <f t="shared" si="192"/>
        <v>-5.8479532163743242E-3</v>
      </c>
      <c r="T159" s="357">
        <f t="shared" si="193"/>
        <v>0</v>
      </c>
      <c r="U159" s="379">
        <f t="shared" si="194"/>
        <v>0</v>
      </c>
      <c r="W159" s="451">
        <f t="shared" si="207"/>
        <v>-0.58536828403783747</v>
      </c>
      <c r="X159" s="357">
        <f t="shared" si="208"/>
        <v>0.48681074756211684</v>
      </c>
      <c r="Y159" s="357">
        <f t="shared" si="209"/>
        <v>0.38865798979178323</v>
      </c>
      <c r="Z159" s="357">
        <f t="shared" si="210"/>
        <v>0.26236426446749106</v>
      </c>
      <c r="AA159" s="357">
        <f t="shared" si="211"/>
        <v>-0.28223246768421634</v>
      </c>
      <c r="AB159" s="357">
        <f t="shared" si="212"/>
        <v>9.8729191622444784E-2</v>
      </c>
      <c r="AC159" s="357">
        <f t="shared" si="180"/>
        <v>-5.8651194523981339E-3</v>
      </c>
      <c r="AD159" s="357">
        <f t="shared" si="181"/>
        <v>0</v>
      </c>
      <c r="AE159" s="379">
        <f t="shared" si="182"/>
        <v>0</v>
      </c>
      <c r="AG159" s="451">
        <f t="shared" si="213"/>
        <v>-0.46457134828531621</v>
      </c>
      <c r="AH159" s="357">
        <f t="shared" si="214"/>
        <v>0.60600856715052343</v>
      </c>
      <c r="AI159" s="357">
        <f t="shared" si="215"/>
        <v>0.46073479371088483</v>
      </c>
      <c r="AJ159" s="357">
        <f t="shared" si="216"/>
        <v>0.29005141137716178</v>
      </c>
      <c r="AK159" s="357">
        <f t="shared" si="217"/>
        <v>-0.25235831262982911</v>
      </c>
      <c r="AL159" s="357">
        <f t="shared" si="218"/>
        <v>0.10332026896443394</v>
      </c>
      <c r="AM159" s="357">
        <f t="shared" si="183"/>
        <v>-6.0185999514752227E-3</v>
      </c>
      <c r="AN159" s="357">
        <f t="shared" si="184"/>
        <v>1.9070751392640699E-5</v>
      </c>
      <c r="AO159" s="379">
        <f t="shared" si="185"/>
        <v>5.4711961047645428E-5</v>
      </c>
    </row>
    <row r="160" spans="2:41" x14ac:dyDescent="0.25">
      <c r="B160" s="449">
        <v>43445</v>
      </c>
      <c r="C160" s="237">
        <v>70</v>
      </c>
      <c r="D160" s="237">
        <v>105</v>
      </c>
      <c r="E160" s="237">
        <v>127</v>
      </c>
      <c r="F160" s="237">
        <v>147</v>
      </c>
      <c r="G160" s="237">
        <v>191.3</v>
      </c>
      <c r="H160" s="237">
        <v>170</v>
      </c>
      <c r="I160" s="237">
        <v>165</v>
      </c>
      <c r="J160" s="237">
        <v>155</v>
      </c>
      <c r="K160" s="450">
        <v>145</v>
      </c>
      <c r="M160" s="451">
        <f t="shared" si="186"/>
        <v>1.449275362318847E-2</v>
      </c>
      <c r="N160" s="357">
        <f t="shared" si="187"/>
        <v>9.375E-2</v>
      </c>
      <c r="O160" s="357">
        <f t="shared" si="188"/>
        <v>7.6271186440677985E-2</v>
      </c>
      <c r="P160" s="357">
        <f t="shared" si="189"/>
        <v>0.13076923076923075</v>
      </c>
      <c r="Q160" s="357">
        <f t="shared" si="190"/>
        <v>1.7724637681159421</v>
      </c>
      <c r="R160" s="357">
        <f t="shared" si="191"/>
        <v>1.7964071856287456E-2</v>
      </c>
      <c r="S160" s="357">
        <f t="shared" si="192"/>
        <v>-2.9411764705882359E-2</v>
      </c>
      <c r="T160" s="357">
        <f t="shared" si="193"/>
        <v>-6.0606060606060552E-2</v>
      </c>
      <c r="U160" s="379">
        <f t="shared" si="194"/>
        <v>-6.4516129032258118E-2</v>
      </c>
      <c r="W160" s="451">
        <f t="shared" si="207"/>
        <v>1.4388737452099671E-2</v>
      </c>
      <c r="X160" s="357">
        <f t="shared" si="208"/>
        <v>8.9612158689687138E-2</v>
      </c>
      <c r="Y160" s="357">
        <f t="shared" si="209"/>
        <v>7.3502461992926524E-2</v>
      </c>
      <c r="Z160" s="357">
        <f t="shared" si="210"/>
        <v>0.12289813632315387</v>
      </c>
      <c r="AA160" s="357">
        <f t="shared" si="211"/>
        <v>1.0197363718489478</v>
      </c>
      <c r="AB160" s="357">
        <f t="shared" si="212"/>
        <v>1.7804624633506686E-2</v>
      </c>
      <c r="AC160" s="357">
        <f t="shared" si="180"/>
        <v>-2.985296314968116E-2</v>
      </c>
      <c r="AD160" s="357">
        <f t="shared" si="181"/>
        <v>-6.252035698133393E-2</v>
      </c>
      <c r="AE160" s="379">
        <f t="shared" si="182"/>
        <v>-6.6691374498672282E-2</v>
      </c>
      <c r="AG160" s="451">
        <f t="shared" si="213"/>
        <v>-6.9793210543794872E-3</v>
      </c>
      <c r="AH160" s="357">
        <f t="shared" si="214"/>
        <v>7.2639923082726751E-2</v>
      </c>
      <c r="AI160" s="357">
        <f t="shared" si="215"/>
        <v>6.2005980151562709E-2</v>
      </c>
      <c r="AJ160" s="357">
        <f t="shared" si="216"/>
        <v>0.12082064214639249</v>
      </c>
      <c r="AK160" s="357">
        <f t="shared" si="217"/>
        <v>1.7660070948303752</v>
      </c>
      <c r="AL160" s="357">
        <f t="shared" si="218"/>
        <v>1.751699118423769E-2</v>
      </c>
      <c r="AM160" s="357">
        <f t="shared" si="183"/>
        <v>-2.958241144098326E-2</v>
      </c>
      <c r="AN160" s="357">
        <f t="shared" si="184"/>
        <v>-6.0586989854667914E-2</v>
      </c>
      <c r="AO160" s="379">
        <f t="shared" si="185"/>
        <v>-6.4461417071210475E-2</v>
      </c>
    </row>
    <row r="161" spans="2:41" x14ac:dyDescent="0.25">
      <c r="B161" s="449">
        <v>43452</v>
      </c>
      <c r="C161" s="237">
        <v>69</v>
      </c>
      <c r="D161" s="237">
        <v>99</v>
      </c>
      <c r="E161" s="237">
        <v>127</v>
      </c>
      <c r="F161" s="237">
        <v>145</v>
      </c>
      <c r="G161" s="237">
        <v>189.3</v>
      </c>
      <c r="H161" s="237">
        <v>172.9</v>
      </c>
      <c r="I161" s="237">
        <v>167</v>
      </c>
      <c r="J161" s="237">
        <v>155</v>
      </c>
      <c r="K161" s="450">
        <v>145</v>
      </c>
      <c r="M161" s="451">
        <f t="shared" si="186"/>
        <v>-1.4285714285714235E-2</v>
      </c>
      <c r="N161" s="357">
        <f t="shared" si="187"/>
        <v>-5.7142857142857162E-2</v>
      </c>
      <c r="O161" s="357">
        <f t="shared" si="188"/>
        <v>0</v>
      </c>
      <c r="P161" s="357">
        <f t="shared" si="189"/>
        <v>-1.3605442176870763E-2</v>
      </c>
      <c r="Q161" s="357">
        <f t="shared" si="190"/>
        <v>-1.0454783063251427E-2</v>
      </c>
      <c r="R161" s="357">
        <f t="shared" si="191"/>
        <v>1.7058823529411793E-2</v>
      </c>
      <c r="S161" s="357">
        <f t="shared" si="192"/>
        <v>1.2121212121212199E-2</v>
      </c>
      <c r="T161" s="357">
        <f t="shared" si="193"/>
        <v>0</v>
      </c>
      <c r="U161" s="379">
        <f t="shared" si="194"/>
        <v>0</v>
      </c>
      <c r="W161" s="451">
        <f t="shared" si="207"/>
        <v>-1.4388737452099556E-2</v>
      </c>
      <c r="X161" s="357">
        <f t="shared" si="208"/>
        <v>-5.8840500022933465E-2</v>
      </c>
      <c r="Y161" s="357">
        <f t="shared" si="209"/>
        <v>0</v>
      </c>
      <c r="Z161" s="357">
        <f t="shared" si="210"/>
        <v>-1.3698844358161915E-2</v>
      </c>
      <c r="AA161" s="357">
        <f t="shared" si="211"/>
        <v>-1.0509818230930017E-2</v>
      </c>
      <c r="AB161" s="357">
        <f t="shared" si="212"/>
        <v>1.6914955638983081E-2</v>
      </c>
      <c r="AC161" s="357">
        <f t="shared" si="180"/>
        <v>1.2048338516174574E-2</v>
      </c>
      <c r="AD161" s="357">
        <f t="shared" si="181"/>
        <v>0</v>
      </c>
      <c r="AE161" s="379">
        <f t="shared" si="182"/>
        <v>0</v>
      </c>
      <c r="AG161" s="451">
        <f t="shared" si="213"/>
        <v>-3.5757788963282189E-2</v>
      </c>
      <c r="AH161" s="357">
        <f t="shared" si="214"/>
        <v>-7.8252934060130411E-2</v>
      </c>
      <c r="AI161" s="357">
        <f t="shared" si="215"/>
        <v>-1.4265206289115274E-2</v>
      </c>
      <c r="AJ161" s="357">
        <f t="shared" si="216"/>
        <v>-2.3554030799709028E-2</v>
      </c>
      <c r="AK161" s="357">
        <f t="shared" si="217"/>
        <v>-1.6911456348818195E-2</v>
      </c>
      <c r="AL161" s="357">
        <f t="shared" si="218"/>
        <v>1.6611742857362027E-2</v>
      </c>
      <c r="AM161" s="357">
        <f t="shared" si="183"/>
        <v>1.1950565386111301E-2</v>
      </c>
      <c r="AN161" s="357">
        <f t="shared" si="184"/>
        <v>1.9070751392640699E-5</v>
      </c>
      <c r="AO161" s="379">
        <f t="shared" si="185"/>
        <v>5.4711961047645428E-5</v>
      </c>
    </row>
    <row r="162" spans="2:41" x14ac:dyDescent="0.25">
      <c r="B162" s="449">
        <v>43459</v>
      </c>
      <c r="C162" s="237">
        <v>77</v>
      </c>
      <c r="D162" s="237">
        <v>167</v>
      </c>
      <c r="E162" s="237">
        <v>205</v>
      </c>
      <c r="F162" s="237">
        <v>212</v>
      </c>
      <c r="G162" s="237">
        <v>231</v>
      </c>
      <c r="H162" s="237">
        <v>174</v>
      </c>
      <c r="I162" s="237">
        <v>167</v>
      </c>
      <c r="J162" s="237">
        <v>155</v>
      </c>
      <c r="K162" s="450">
        <v>145</v>
      </c>
      <c r="M162" s="451">
        <f t="shared" si="186"/>
        <v>0.11594202898550732</v>
      </c>
      <c r="N162" s="357">
        <f t="shared" si="187"/>
        <v>0.68686868686868685</v>
      </c>
      <c r="O162" s="357">
        <f t="shared" si="188"/>
        <v>0.61417322834645671</v>
      </c>
      <c r="P162" s="357">
        <f t="shared" si="189"/>
        <v>0.46206896551724141</v>
      </c>
      <c r="Q162" s="357">
        <f t="shared" si="190"/>
        <v>0.22028526148969885</v>
      </c>
      <c r="R162" s="357">
        <f t="shared" si="191"/>
        <v>6.3620589936379535E-3</v>
      </c>
      <c r="S162" s="357">
        <f t="shared" si="192"/>
        <v>0</v>
      </c>
      <c r="T162" s="357">
        <f t="shared" si="193"/>
        <v>0</v>
      </c>
      <c r="U162" s="379">
        <f t="shared" si="194"/>
        <v>0</v>
      </c>
      <c r="W162" s="451">
        <f t="shared" si="207"/>
        <v>0.10969891725642453</v>
      </c>
      <c r="X162" s="357">
        <f t="shared" si="208"/>
        <v>0.52287396228216521</v>
      </c>
      <c r="Y162" s="357">
        <f t="shared" si="209"/>
        <v>0.47882289267981692</v>
      </c>
      <c r="Z162" s="357">
        <f t="shared" si="210"/>
        <v>0.37985253225143806</v>
      </c>
      <c r="AA162" s="357">
        <f t="shared" si="211"/>
        <v>0.19908465230651634</v>
      </c>
      <c r="AB162" s="357">
        <f t="shared" si="212"/>
        <v>6.3419065252842228E-3</v>
      </c>
      <c r="AC162" s="357">
        <f t="shared" si="180"/>
        <v>0</v>
      </c>
      <c r="AD162" s="357">
        <f t="shared" si="181"/>
        <v>0</v>
      </c>
      <c r="AE162" s="379">
        <f t="shared" si="182"/>
        <v>0</v>
      </c>
      <c r="AG162" s="451">
        <f t="shared" si="213"/>
        <v>9.4469954307939363E-2</v>
      </c>
      <c r="AH162" s="357">
        <f t="shared" si="214"/>
        <v>0.66575860995141356</v>
      </c>
      <c r="AI162" s="357">
        <f t="shared" si="215"/>
        <v>0.59990802205734139</v>
      </c>
      <c r="AJ162" s="357">
        <f t="shared" si="216"/>
        <v>0.45212037689440315</v>
      </c>
      <c r="AK162" s="357">
        <f t="shared" si="217"/>
        <v>0.21382858820413209</v>
      </c>
      <c r="AL162" s="357">
        <f t="shared" si="218"/>
        <v>5.9149783215881879E-3</v>
      </c>
      <c r="AM162" s="357">
        <f t="shared" si="183"/>
        <v>-1.7064673510089895E-4</v>
      </c>
      <c r="AN162" s="357">
        <f t="shared" si="184"/>
        <v>1.9070751392640699E-5</v>
      </c>
      <c r="AO162" s="379">
        <f t="shared" si="185"/>
        <v>5.4711961047645428E-5</v>
      </c>
    </row>
    <row r="163" spans="2:41" x14ac:dyDescent="0.25">
      <c r="B163" s="449">
        <v>43466</v>
      </c>
      <c r="C163" s="237">
        <v>160</v>
      </c>
      <c r="D163" s="237">
        <v>199</v>
      </c>
      <c r="E163" s="237">
        <v>204</v>
      </c>
      <c r="F163" s="237">
        <v>213</v>
      </c>
      <c r="G163" s="237">
        <v>226.5</v>
      </c>
      <c r="H163" s="237">
        <v>174</v>
      </c>
      <c r="I163" s="237">
        <v>167</v>
      </c>
      <c r="J163" s="237">
        <v>155</v>
      </c>
      <c r="K163" s="450">
        <v>145</v>
      </c>
      <c r="M163" s="451">
        <f t="shared" si="186"/>
        <v>1.0779220779220777</v>
      </c>
      <c r="N163" s="357">
        <f t="shared" si="187"/>
        <v>0.19161676646706582</v>
      </c>
      <c r="O163" s="357">
        <f t="shared" si="188"/>
        <v>-4.8780487804878092E-3</v>
      </c>
      <c r="P163" s="357">
        <f t="shared" si="189"/>
        <v>4.7169811320755262E-3</v>
      </c>
      <c r="Q163" s="357">
        <f t="shared" si="190"/>
        <v>-1.9480519480519431E-2</v>
      </c>
      <c r="R163" s="357">
        <f t="shared" si="191"/>
        <v>0</v>
      </c>
      <c r="S163" s="357">
        <f t="shared" si="192"/>
        <v>0</v>
      </c>
      <c r="T163" s="357">
        <f t="shared" si="193"/>
        <v>0</v>
      </c>
      <c r="U163" s="379">
        <f t="shared" si="194"/>
        <v>0</v>
      </c>
      <c r="W163" s="451">
        <f t="shared" si="207"/>
        <v>0.73136839338014292</v>
      </c>
      <c r="X163" s="357">
        <f t="shared" si="208"/>
        <v>0.17531101230773724</v>
      </c>
      <c r="Y163" s="357">
        <f t="shared" si="209"/>
        <v>-4.8899852941917919E-3</v>
      </c>
      <c r="Z163" s="357">
        <f t="shared" si="210"/>
        <v>4.7058910374127138E-3</v>
      </c>
      <c r="AA163" s="357">
        <f t="shared" si="211"/>
        <v>-1.9672765598704779E-2</v>
      </c>
      <c r="AB163" s="357">
        <f t="shared" si="212"/>
        <v>0</v>
      </c>
      <c r="AC163" s="357">
        <f t="shared" si="180"/>
        <v>0</v>
      </c>
      <c r="AD163" s="357">
        <f t="shared" si="181"/>
        <v>0</v>
      </c>
      <c r="AE163" s="379">
        <f t="shared" si="182"/>
        <v>0</v>
      </c>
      <c r="AG163" s="451">
        <f t="shared" si="213"/>
        <v>1.0564500032445097</v>
      </c>
      <c r="AH163" s="357">
        <f t="shared" si="214"/>
        <v>0.17050668954979256</v>
      </c>
      <c r="AI163" s="357">
        <f t="shared" si="215"/>
        <v>-1.9143255069603085E-2</v>
      </c>
      <c r="AJ163" s="357">
        <f t="shared" si="216"/>
        <v>-5.2316074907627387E-3</v>
      </c>
      <c r="AK163" s="357">
        <f t="shared" si="217"/>
        <v>-2.5937192766086199E-2</v>
      </c>
      <c r="AL163" s="357">
        <f t="shared" si="218"/>
        <v>-4.4708067204976532E-4</v>
      </c>
      <c r="AM163" s="357">
        <f t="shared" si="183"/>
        <v>-1.7064673510089895E-4</v>
      </c>
      <c r="AN163" s="357">
        <f t="shared" si="184"/>
        <v>1.9070751392640699E-5</v>
      </c>
      <c r="AO163" s="379">
        <f t="shared" si="185"/>
        <v>5.4711961047645428E-5</v>
      </c>
    </row>
    <row r="164" spans="2:41" x14ac:dyDescent="0.25">
      <c r="B164" s="449">
        <v>43473</v>
      </c>
      <c r="C164" s="237">
        <v>174</v>
      </c>
      <c r="D164" s="237">
        <v>260</v>
      </c>
      <c r="E164" s="237">
        <v>276</v>
      </c>
      <c r="F164" s="237">
        <v>274</v>
      </c>
      <c r="G164" s="237">
        <v>273.25</v>
      </c>
      <c r="H164" s="237">
        <v>185</v>
      </c>
      <c r="I164" s="237">
        <v>167</v>
      </c>
      <c r="J164" s="237">
        <v>155</v>
      </c>
      <c r="K164" s="450">
        <v>145</v>
      </c>
      <c r="M164" s="451">
        <f t="shared" si="186"/>
        <v>8.7499999999999911E-2</v>
      </c>
      <c r="N164" s="357">
        <f t="shared" si="187"/>
        <v>0.30653266331658302</v>
      </c>
      <c r="O164" s="357">
        <f t="shared" si="188"/>
        <v>0.35294117647058831</v>
      </c>
      <c r="P164" s="357">
        <f t="shared" si="189"/>
        <v>0.28638497652582151</v>
      </c>
      <c r="Q164" s="357">
        <f t="shared" si="190"/>
        <v>0.20640176600441507</v>
      </c>
      <c r="R164" s="357">
        <f t="shared" si="191"/>
        <v>6.321839080459779E-2</v>
      </c>
      <c r="S164" s="357">
        <f t="shared" si="192"/>
        <v>0</v>
      </c>
      <c r="T164" s="357">
        <f t="shared" si="193"/>
        <v>0</v>
      </c>
      <c r="U164" s="379">
        <f t="shared" si="194"/>
        <v>0</v>
      </c>
      <c r="W164" s="451">
        <f t="shared" si="207"/>
        <v>8.3881483980702026E-2</v>
      </c>
      <c r="X164" s="357">
        <f t="shared" si="208"/>
        <v>0.26737680629103544</v>
      </c>
      <c r="Y164" s="357">
        <f t="shared" si="209"/>
        <v>0.30228087187293368</v>
      </c>
      <c r="Z164" s="357">
        <f t="shared" si="210"/>
        <v>0.25183594067864506</v>
      </c>
      <c r="AA164" s="357">
        <f t="shared" si="211"/>
        <v>0.18764218213355927</v>
      </c>
      <c r="AB164" s="357">
        <f t="shared" si="212"/>
        <v>6.1300525863795877E-2</v>
      </c>
      <c r="AC164" s="357">
        <f t="shared" si="180"/>
        <v>0</v>
      </c>
      <c r="AD164" s="357">
        <f t="shared" si="181"/>
        <v>0</v>
      </c>
      <c r="AE164" s="379">
        <f t="shared" si="182"/>
        <v>0</v>
      </c>
      <c r="AG164" s="451">
        <f t="shared" si="213"/>
        <v>6.6027925322431957E-2</v>
      </c>
      <c r="AH164" s="357">
        <f t="shared" si="214"/>
        <v>0.28542258639930979</v>
      </c>
      <c r="AI164" s="357">
        <f t="shared" si="215"/>
        <v>0.33867597018147305</v>
      </c>
      <c r="AJ164" s="357">
        <f t="shared" si="216"/>
        <v>0.27643638790298325</v>
      </c>
      <c r="AK164" s="357">
        <f t="shared" si="217"/>
        <v>0.19994509271884831</v>
      </c>
      <c r="AL164" s="357">
        <f t="shared" si="218"/>
        <v>6.2771310132548025E-2</v>
      </c>
      <c r="AM164" s="357">
        <f t="shared" si="183"/>
        <v>-1.7064673510089895E-4</v>
      </c>
      <c r="AN164" s="357">
        <f t="shared" si="184"/>
        <v>1.9070751392640699E-5</v>
      </c>
      <c r="AO164" s="379">
        <f t="shared" si="185"/>
        <v>5.4711961047645428E-5</v>
      </c>
    </row>
    <row r="165" spans="2:41" x14ac:dyDescent="0.25">
      <c r="B165" s="449">
        <v>43480</v>
      </c>
      <c r="C165" s="237">
        <v>172</v>
      </c>
      <c r="D165" s="237">
        <v>236</v>
      </c>
      <c r="E165" s="237">
        <v>236</v>
      </c>
      <c r="F165" s="237">
        <v>237</v>
      </c>
      <c r="G165" s="237">
        <v>246.3</v>
      </c>
      <c r="H165" s="237">
        <v>182</v>
      </c>
      <c r="I165" s="237">
        <v>168</v>
      </c>
      <c r="J165" s="237">
        <v>156</v>
      </c>
      <c r="K165" s="450">
        <v>145</v>
      </c>
      <c r="M165" s="451">
        <f t="shared" si="186"/>
        <v>-1.1494252873563204E-2</v>
      </c>
      <c r="N165" s="357">
        <f t="shared" si="187"/>
        <v>-9.2307692307692313E-2</v>
      </c>
      <c r="O165" s="357">
        <f t="shared" si="188"/>
        <v>-0.14492753623188404</v>
      </c>
      <c r="P165" s="357">
        <f t="shared" si="189"/>
        <v>-0.13503649635036497</v>
      </c>
      <c r="Q165" s="357">
        <f t="shared" si="190"/>
        <v>-9.862763037511435E-2</v>
      </c>
      <c r="R165" s="357">
        <f t="shared" si="191"/>
        <v>-1.6216216216216162E-2</v>
      </c>
      <c r="S165" s="357">
        <f t="shared" si="192"/>
        <v>5.9880239520957446E-3</v>
      </c>
      <c r="T165" s="357">
        <f t="shared" si="193"/>
        <v>6.4516129032257119E-3</v>
      </c>
      <c r="U165" s="379">
        <f t="shared" si="194"/>
        <v>0</v>
      </c>
      <c r="W165" s="451">
        <f t="shared" ref="W165:W171" si="219">LN(C165/C164)</f>
        <v>-1.1560822401075971E-2</v>
      </c>
      <c r="X165" s="357">
        <f t="shared" ref="X165:X171" si="220">LN(D165/D164)</f>
        <v>-9.6849825989917662E-2</v>
      </c>
      <c r="Y165" s="357">
        <f t="shared" ref="Y165:Y171" si="221">LN(E165/E164)</f>
        <v>-0.15656906069153992</v>
      </c>
      <c r="Z165" s="357">
        <f t="shared" ref="Z165:Z171" si="222">LN(F165/F164)</f>
        <v>-0.14506796525293905</v>
      </c>
      <c r="AA165" s="357">
        <f t="shared" ref="AA165:AA171" si="223">LN(G165/G164)</f>
        <v>-0.1038368219301557</v>
      </c>
      <c r="AB165" s="357">
        <f t="shared" ref="AB165:AB171" si="224">LN(H165/H164)</f>
        <v>-1.6349138001529411E-2</v>
      </c>
      <c r="AC165" s="357">
        <f t="shared" si="180"/>
        <v>5.9701669865037544E-3</v>
      </c>
      <c r="AD165" s="357">
        <f t="shared" si="181"/>
        <v>6.4308903302903314E-3</v>
      </c>
      <c r="AE165" s="379">
        <f t="shared" si="182"/>
        <v>0</v>
      </c>
      <c r="AG165" s="451">
        <f t="shared" ref="AG165:AG171" si="225">M165-M$2</f>
        <v>-3.2966327551131158E-2</v>
      </c>
      <c r="AH165" s="357">
        <f t="shared" ref="AH165:AH171" si="226">N165-N$2</f>
        <v>-0.11341776922496556</v>
      </c>
      <c r="AI165" s="357">
        <f t="shared" ref="AI165:AI171" si="227">O165-O$2</f>
        <v>-0.1591927425209993</v>
      </c>
      <c r="AJ165" s="357">
        <f t="shared" ref="AJ165:AJ171" si="228">P165-P$2</f>
        <v>-0.14498508497320323</v>
      </c>
      <c r="AK165" s="357">
        <f t="shared" ref="AK165:AK171" si="229">Q165-Q$2</f>
        <v>-0.10508430366068111</v>
      </c>
      <c r="AL165" s="357">
        <f t="shared" ref="AL165:AL171" si="230">R165-R$2</f>
        <v>-1.6663296888265927E-2</v>
      </c>
      <c r="AM165" s="357">
        <f t="shared" si="183"/>
        <v>5.817377216994846E-3</v>
      </c>
      <c r="AN165" s="357">
        <f t="shared" si="184"/>
        <v>6.4706836546183522E-3</v>
      </c>
      <c r="AO165" s="379">
        <f t="shared" si="185"/>
        <v>5.4711961047645428E-5</v>
      </c>
    </row>
    <row r="166" spans="2:41" x14ac:dyDescent="0.25">
      <c r="B166" s="449">
        <v>43487</v>
      </c>
      <c r="C166" s="237">
        <v>333</v>
      </c>
      <c r="D166" s="237">
        <v>337</v>
      </c>
      <c r="E166" s="237">
        <v>310</v>
      </c>
      <c r="F166" s="237">
        <v>130</v>
      </c>
      <c r="G166" s="237">
        <v>304</v>
      </c>
      <c r="H166" s="237">
        <v>189</v>
      </c>
      <c r="I166" s="237">
        <v>172</v>
      </c>
      <c r="J166" s="237">
        <v>159</v>
      </c>
      <c r="K166" s="450">
        <v>150</v>
      </c>
      <c r="M166" s="451">
        <f t="shared" si="186"/>
        <v>0.93604651162790709</v>
      </c>
      <c r="N166" s="357">
        <f t="shared" si="187"/>
        <v>0.42796610169491522</v>
      </c>
      <c r="O166" s="357">
        <f t="shared" si="188"/>
        <v>0.31355932203389836</v>
      </c>
      <c r="P166" s="357">
        <f t="shared" si="189"/>
        <v>-0.45147679324894519</v>
      </c>
      <c r="Q166" s="357">
        <f t="shared" si="190"/>
        <v>0.23426715387738528</v>
      </c>
      <c r="R166" s="357">
        <f t="shared" si="191"/>
        <v>3.8461538461538547E-2</v>
      </c>
      <c r="S166" s="357">
        <f t="shared" si="192"/>
        <v>2.3809523809523725E-2</v>
      </c>
      <c r="T166" s="357">
        <f t="shared" si="193"/>
        <v>1.9230769230769162E-2</v>
      </c>
      <c r="U166" s="379">
        <f t="shared" si="194"/>
        <v>3.4482758620689724E-2</v>
      </c>
      <c r="W166" s="451">
        <f t="shared" si="219"/>
        <v>0.66064801316699084</v>
      </c>
      <c r="X166" s="357">
        <f t="shared" si="220"/>
        <v>0.35625112532675163</v>
      </c>
      <c r="Y166" s="357">
        <f t="shared" si="221"/>
        <v>0.2727404924535819</v>
      </c>
      <c r="Z166" s="357">
        <f t="shared" si="222"/>
        <v>-0.60052569067954886</v>
      </c>
      <c r="AA166" s="357">
        <f t="shared" si="223"/>
        <v>0.21047739627972945</v>
      </c>
      <c r="AB166" s="357">
        <f t="shared" si="224"/>
        <v>3.7740327982847113E-2</v>
      </c>
      <c r="AC166" s="357">
        <f t="shared" si="180"/>
        <v>2.3530497410194036E-2</v>
      </c>
      <c r="AD166" s="357">
        <f t="shared" si="181"/>
        <v>1.9048194970694411E-2</v>
      </c>
      <c r="AE166" s="379">
        <f t="shared" si="182"/>
        <v>3.3901551675681416E-2</v>
      </c>
      <c r="AG166" s="451">
        <f t="shared" si="225"/>
        <v>0.91457443695033913</v>
      </c>
      <c r="AH166" s="357">
        <f t="shared" si="226"/>
        <v>0.40685602477764199</v>
      </c>
      <c r="AI166" s="357">
        <f t="shared" si="227"/>
        <v>0.2992941157447831</v>
      </c>
      <c r="AJ166" s="357">
        <f t="shared" si="228"/>
        <v>-0.46142538187178345</v>
      </c>
      <c r="AK166" s="357">
        <f t="shared" si="229"/>
        <v>0.22781048059181852</v>
      </c>
      <c r="AL166" s="357">
        <f t="shared" si="230"/>
        <v>3.8014457789488781E-2</v>
      </c>
      <c r="AM166" s="357">
        <f t="shared" si="183"/>
        <v>2.3638877074422825E-2</v>
      </c>
      <c r="AN166" s="357">
        <f t="shared" si="184"/>
        <v>1.9249839982161805E-2</v>
      </c>
      <c r="AO166" s="379">
        <f t="shared" si="185"/>
        <v>3.4537470581737367E-2</v>
      </c>
    </row>
    <row r="167" spans="2:41" x14ac:dyDescent="0.25">
      <c r="B167" s="449">
        <v>43494</v>
      </c>
      <c r="C167" s="237">
        <v>406</v>
      </c>
      <c r="D167" s="237">
        <v>363</v>
      </c>
      <c r="E167" s="237">
        <v>333</v>
      </c>
      <c r="F167" s="237">
        <v>147</v>
      </c>
      <c r="G167" s="237">
        <v>303</v>
      </c>
      <c r="H167" s="237">
        <v>205</v>
      </c>
      <c r="I167" s="237">
        <v>180</v>
      </c>
      <c r="J167" s="237">
        <v>164</v>
      </c>
      <c r="K167" s="450">
        <v>155</v>
      </c>
      <c r="M167" s="451">
        <f t="shared" si="186"/>
        <v>0.21921921921921927</v>
      </c>
      <c r="N167" s="357">
        <f t="shared" si="187"/>
        <v>7.71513353115727E-2</v>
      </c>
      <c r="O167" s="357">
        <f t="shared" si="188"/>
        <v>7.4193548387096797E-2</v>
      </c>
      <c r="P167" s="357">
        <f t="shared" si="189"/>
        <v>0.13076923076923075</v>
      </c>
      <c r="Q167" s="357">
        <f t="shared" si="190"/>
        <v>-3.2894736842105088E-3</v>
      </c>
      <c r="R167" s="357">
        <f t="shared" si="191"/>
        <v>8.4656084656084651E-2</v>
      </c>
      <c r="S167" s="357">
        <f t="shared" si="192"/>
        <v>4.6511627906976827E-2</v>
      </c>
      <c r="T167" s="357">
        <f t="shared" si="193"/>
        <v>3.1446540880503138E-2</v>
      </c>
      <c r="U167" s="379">
        <f t="shared" si="194"/>
        <v>3.3333333333333437E-2</v>
      </c>
      <c r="W167" s="451">
        <f t="shared" si="219"/>
        <v>0.19821066962128886</v>
      </c>
      <c r="X167" s="357">
        <f t="shared" si="220"/>
        <v>7.4319903912489049E-2</v>
      </c>
      <c r="Y167" s="357">
        <f t="shared" si="221"/>
        <v>7.157019250125192E-2</v>
      </c>
      <c r="Z167" s="357">
        <f t="shared" si="222"/>
        <v>0.12289813632315387</v>
      </c>
      <c r="AA167" s="357">
        <f t="shared" si="223"/>
        <v>-3.2948958968525379E-3</v>
      </c>
      <c r="AB167" s="357">
        <f t="shared" si="224"/>
        <v>8.1262964078765793E-2</v>
      </c>
      <c r="AC167" s="357">
        <f t="shared" si="180"/>
        <v>4.5462374076757413E-2</v>
      </c>
      <c r="AD167" s="357">
        <f t="shared" si="181"/>
        <v>3.096222560396689E-2</v>
      </c>
      <c r="AE167" s="379">
        <f t="shared" si="182"/>
        <v>3.278982282299097E-2</v>
      </c>
      <c r="AG167" s="451">
        <f t="shared" si="225"/>
        <v>0.19774714454165132</v>
      </c>
      <c r="AH167" s="357">
        <f t="shared" si="226"/>
        <v>5.6041258394299451E-2</v>
      </c>
      <c r="AI167" s="357">
        <f t="shared" si="227"/>
        <v>5.9928342097981521E-2</v>
      </c>
      <c r="AJ167" s="357">
        <f t="shared" si="228"/>
        <v>0.12082064214639249</v>
      </c>
      <c r="AK167" s="357">
        <f t="shared" si="229"/>
        <v>-9.7461469697772765E-3</v>
      </c>
      <c r="AL167" s="357">
        <f t="shared" si="230"/>
        <v>8.4209003984034886E-2</v>
      </c>
      <c r="AM167" s="357">
        <f t="shared" si="183"/>
        <v>4.6340981171875927E-2</v>
      </c>
      <c r="AN167" s="357">
        <f t="shared" si="184"/>
        <v>3.1465611631895776E-2</v>
      </c>
      <c r="AO167" s="379">
        <f t="shared" si="185"/>
        <v>3.338804529438108E-2</v>
      </c>
    </row>
    <row r="168" spans="2:41" x14ac:dyDescent="0.25">
      <c r="B168" s="449">
        <v>43501</v>
      </c>
      <c r="C168" s="237">
        <v>450</v>
      </c>
      <c r="D168" s="237">
        <v>388</v>
      </c>
      <c r="E168" s="237">
        <v>335</v>
      </c>
      <c r="F168" s="237">
        <v>147</v>
      </c>
      <c r="G168" s="237">
        <v>318</v>
      </c>
      <c r="H168" s="237">
        <v>205</v>
      </c>
      <c r="I168" s="237">
        <v>182</v>
      </c>
      <c r="J168" s="237">
        <v>164</v>
      </c>
      <c r="K168" s="450">
        <v>155</v>
      </c>
      <c r="M168" s="451">
        <f t="shared" si="186"/>
        <v>0.10837438423645329</v>
      </c>
      <c r="N168" s="357">
        <f t="shared" si="187"/>
        <v>6.887052341597788E-2</v>
      </c>
      <c r="O168" s="357">
        <f t="shared" si="188"/>
        <v>6.0060060060060927E-3</v>
      </c>
      <c r="P168" s="357">
        <f t="shared" si="189"/>
        <v>0</v>
      </c>
      <c r="Q168" s="357">
        <f t="shared" si="190"/>
        <v>4.9504950495049549E-2</v>
      </c>
      <c r="R168" s="357">
        <f t="shared" si="191"/>
        <v>0</v>
      </c>
      <c r="S168" s="357">
        <f t="shared" si="192"/>
        <v>1.1111111111111072E-2</v>
      </c>
      <c r="T168" s="357">
        <f t="shared" si="193"/>
        <v>0</v>
      </c>
      <c r="U168" s="379">
        <f t="shared" si="194"/>
        <v>0</v>
      </c>
      <c r="W168" s="451">
        <f t="shared" si="219"/>
        <v>0.10289442316263288</v>
      </c>
      <c r="X168" s="357">
        <f t="shared" si="220"/>
        <v>6.660250535842259E-2</v>
      </c>
      <c r="Y168" s="357">
        <f t="shared" si="221"/>
        <v>5.9880418446226933E-3</v>
      </c>
      <c r="Z168" s="357">
        <f t="shared" si="222"/>
        <v>0</v>
      </c>
      <c r="AA168" s="357">
        <f t="shared" si="223"/>
        <v>4.8318577270807732E-2</v>
      </c>
      <c r="AB168" s="357">
        <f t="shared" si="224"/>
        <v>0</v>
      </c>
      <c r="AC168" s="357">
        <f t="shared" si="180"/>
        <v>1.1049836186584935E-2</v>
      </c>
      <c r="AD168" s="357">
        <f t="shared" si="181"/>
        <v>0</v>
      </c>
      <c r="AE168" s="379">
        <f t="shared" si="182"/>
        <v>0</v>
      </c>
      <c r="AG168" s="451">
        <f t="shared" si="225"/>
        <v>8.6902309558885338E-2</v>
      </c>
      <c r="AH168" s="357">
        <f t="shared" si="226"/>
        <v>4.7760446498704631E-2</v>
      </c>
      <c r="AI168" s="357">
        <f t="shared" si="227"/>
        <v>-8.2592002831091815E-3</v>
      </c>
      <c r="AJ168" s="357">
        <f t="shared" si="228"/>
        <v>-9.9485886228382649E-3</v>
      </c>
      <c r="AK168" s="357">
        <f t="shared" si="229"/>
        <v>4.3048277209482781E-2</v>
      </c>
      <c r="AL168" s="357">
        <f t="shared" si="230"/>
        <v>-4.4708067204976532E-4</v>
      </c>
      <c r="AM168" s="357">
        <f t="shared" si="183"/>
        <v>1.0940464376010173E-2</v>
      </c>
      <c r="AN168" s="357">
        <f t="shared" si="184"/>
        <v>1.9070751392640699E-5</v>
      </c>
      <c r="AO168" s="379">
        <f t="shared" si="185"/>
        <v>5.4711961047645428E-5</v>
      </c>
    </row>
    <row r="169" spans="2:41" x14ac:dyDescent="0.25">
      <c r="B169" s="449">
        <v>43508</v>
      </c>
      <c r="C169" s="237">
        <v>443</v>
      </c>
      <c r="D169" s="237">
        <v>370</v>
      </c>
      <c r="E169" s="237">
        <v>321</v>
      </c>
      <c r="F169" s="237">
        <v>305</v>
      </c>
      <c r="G169" s="237">
        <v>311</v>
      </c>
      <c r="H169" s="237">
        <v>205</v>
      </c>
      <c r="I169" s="237">
        <v>182</v>
      </c>
      <c r="J169" s="237">
        <v>164</v>
      </c>
      <c r="K169" s="450">
        <v>155</v>
      </c>
      <c r="M169" s="451">
        <f t="shared" si="186"/>
        <v>-1.5555555555555545E-2</v>
      </c>
      <c r="N169" s="357">
        <f t="shared" si="187"/>
        <v>-4.6391752577319534E-2</v>
      </c>
      <c r="O169" s="357">
        <f t="shared" si="188"/>
        <v>-4.179104477611939E-2</v>
      </c>
      <c r="P169" s="357">
        <f t="shared" si="189"/>
        <v>1.074829931972789</v>
      </c>
      <c r="Q169" s="357">
        <f t="shared" si="190"/>
        <v>-2.2012578616352196E-2</v>
      </c>
      <c r="R169" s="357">
        <f t="shared" si="191"/>
        <v>0</v>
      </c>
      <c r="S169" s="357">
        <f t="shared" si="192"/>
        <v>0</v>
      </c>
      <c r="T169" s="357">
        <f t="shared" si="193"/>
        <v>0</v>
      </c>
      <c r="U169" s="379">
        <f t="shared" si="194"/>
        <v>0</v>
      </c>
      <c r="W169" s="451">
        <f t="shared" si="219"/>
        <v>-1.5677812719229793E-2</v>
      </c>
      <c r="X169" s="357">
        <f t="shared" si="220"/>
        <v>-4.7502333985003253E-2</v>
      </c>
      <c r="Y169" s="357">
        <f t="shared" si="221"/>
        <v>-4.2689408695050557E-2</v>
      </c>
      <c r="Z169" s="357">
        <f t="shared" si="222"/>
        <v>0.72987918982867528</v>
      </c>
      <c r="AA169" s="357">
        <f t="shared" si="223"/>
        <v>-2.2258470600942697E-2</v>
      </c>
      <c r="AB169" s="357">
        <f t="shared" si="224"/>
        <v>0</v>
      </c>
      <c r="AC169" s="357">
        <f t="shared" si="180"/>
        <v>0</v>
      </c>
      <c r="AD169" s="357">
        <f t="shared" si="181"/>
        <v>0</v>
      </c>
      <c r="AE169" s="379">
        <f t="shared" si="182"/>
        <v>0</v>
      </c>
      <c r="AG169" s="451">
        <f t="shared" si="225"/>
        <v>-3.7027630233123499E-2</v>
      </c>
      <c r="AH169" s="357">
        <f t="shared" si="226"/>
        <v>-6.7501829494592783E-2</v>
      </c>
      <c r="AI169" s="357">
        <f t="shared" si="227"/>
        <v>-5.6056251065234666E-2</v>
      </c>
      <c r="AJ169" s="357">
        <f t="shared" si="228"/>
        <v>1.0648813433499507</v>
      </c>
      <c r="AK169" s="357">
        <f t="shared" si="229"/>
        <v>-2.8469251901918964E-2</v>
      </c>
      <c r="AL169" s="357">
        <f t="shared" si="230"/>
        <v>-4.4708067204976532E-4</v>
      </c>
      <c r="AM169" s="357">
        <f t="shared" si="183"/>
        <v>-1.7064673510089895E-4</v>
      </c>
      <c r="AN169" s="357">
        <f t="shared" si="184"/>
        <v>1.9070751392640699E-5</v>
      </c>
      <c r="AO169" s="379">
        <f t="shared" si="185"/>
        <v>5.4711961047645428E-5</v>
      </c>
    </row>
    <row r="170" spans="2:41" x14ac:dyDescent="0.25">
      <c r="B170" s="449">
        <v>43515</v>
      </c>
      <c r="C170" s="237">
        <v>440</v>
      </c>
      <c r="D170" s="237">
        <v>378</v>
      </c>
      <c r="E170" s="237">
        <v>318</v>
      </c>
      <c r="F170" s="237">
        <v>315</v>
      </c>
      <c r="G170" s="237">
        <v>308</v>
      </c>
      <c r="H170" s="237">
        <v>220</v>
      </c>
      <c r="I170" s="237">
        <v>182</v>
      </c>
      <c r="J170" s="237">
        <v>164</v>
      </c>
      <c r="K170" s="450">
        <v>155</v>
      </c>
      <c r="M170" s="451">
        <f t="shared" si="186"/>
        <v>-6.7720090293453827E-3</v>
      </c>
      <c r="N170" s="357">
        <f t="shared" si="187"/>
        <v>2.1621621621621623E-2</v>
      </c>
      <c r="O170" s="357">
        <f t="shared" si="188"/>
        <v>-9.3457943925233655E-3</v>
      </c>
      <c r="P170" s="357">
        <f t="shared" si="189"/>
        <v>3.2786885245901676E-2</v>
      </c>
      <c r="Q170" s="357">
        <f t="shared" si="190"/>
        <v>-9.6463022508038732E-3</v>
      </c>
      <c r="R170" s="357">
        <f t="shared" si="191"/>
        <v>7.3170731707317138E-2</v>
      </c>
      <c r="S170" s="357">
        <f t="shared" si="192"/>
        <v>0</v>
      </c>
      <c r="T170" s="357">
        <f t="shared" si="193"/>
        <v>0</v>
      </c>
      <c r="U170" s="379">
        <f t="shared" si="194"/>
        <v>0</v>
      </c>
      <c r="W170" s="451">
        <f t="shared" si="219"/>
        <v>-6.7950431328288015E-3</v>
      </c>
      <c r="X170" s="357">
        <f t="shared" si="220"/>
        <v>2.139118998131756E-2</v>
      </c>
      <c r="Y170" s="357">
        <f t="shared" si="221"/>
        <v>-9.3897403498390316E-3</v>
      </c>
      <c r="Z170" s="357">
        <f t="shared" si="222"/>
        <v>3.2260862218221477E-2</v>
      </c>
      <c r="AA170" s="357">
        <f t="shared" si="223"/>
        <v>-9.6931292056596802E-3</v>
      </c>
      <c r="AB170" s="357">
        <f t="shared" si="224"/>
        <v>7.0617567213953417E-2</v>
      </c>
      <c r="AC170" s="357">
        <f t="shared" si="180"/>
        <v>0</v>
      </c>
      <c r="AD170" s="357">
        <f t="shared" si="181"/>
        <v>0</v>
      </c>
      <c r="AE170" s="379">
        <f t="shared" si="182"/>
        <v>0</v>
      </c>
      <c r="AG170" s="451">
        <f t="shared" si="225"/>
        <v>-2.824408370691334E-2</v>
      </c>
      <c r="AH170" s="357">
        <f t="shared" si="226"/>
        <v>5.1154470434837049E-4</v>
      </c>
      <c r="AI170" s="357">
        <f t="shared" si="227"/>
        <v>-2.3611000681638641E-2</v>
      </c>
      <c r="AJ170" s="357">
        <f t="shared" si="228"/>
        <v>2.2838296623063411E-2</v>
      </c>
      <c r="AK170" s="357">
        <f t="shared" si="229"/>
        <v>-1.6102975536370641E-2</v>
      </c>
      <c r="AL170" s="357">
        <f t="shared" si="230"/>
        <v>7.2723651035267373E-2</v>
      </c>
      <c r="AM170" s="357">
        <f t="shared" si="183"/>
        <v>-1.7064673510089895E-4</v>
      </c>
      <c r="AN170" s="357">
        <f t="shared" si="184"/>
        <v>1.9070751392640699E-5</v>
      </c>
      <c r="AO170" s="379">
        <f t="shared" si="185"/>
        <v>5.4711961047645428E-5</v>
      </c>
    </row>
    <row r="171" spans="2:41" x14ac:dyDescent="0.25">
      <c r="B171" s="449">
        <v>43521</v>
      </c>
      <c r="C171" s="237">
        <v>428</v>
      </c>
      <c r="D171" s="237">
        <v>275</v>
      </c>
      <c r="E171" s="237">
        <v>253</v>
      </c>
      <c r="F171" s="237">
        <v>259</v>
      </c>
      <c r="G171" s="237">
        <v>294</v>
      </c>
      <c r="H171" s="237">
        <v>220</v>
      </c>
      <c r="I171" s="237">
        <v>182</v>
      </c>
      <c r="J171" s="237">
        <v>164</v>
      </c>
      <c r="K171" s="450">
        <v>155</v>
      </c>
      <c r="M171" s="451">
        <f t="shared" si="186"/>
        <v>-2.7272727272727226E-2</v>
      </c>
      <c r="N171" s="357">
        <f t="shared" si="187"/>
        <v>-0.27248677248677244</v>
      </c>
      <c r="O171" s="357">
        <f t="shared" si="188"/>
        <v>-0.20440251572327039</v>
      </c>
      <c r="P171" s="357">
        <f t="shared" si="189"/>
        <v>-0.17777777777777781</v>
      </c>
      <c r="Q171" s="357">
        <f t="shared" si="190"/>
        <v>-4.5454545454545414E-2</v>
      </c>
      <c r="R171" s="357">
        <f t="shared" si="191"/>
        <v>0</v>
      </c>
      <c r="S171" s="357">
        <f t="shared" si="192"/>
        <v>0</v>
      </c>
      <c r="T171" s="357">
        <f t="shared" si="193"/>
        <v>0</v>
      </c>
      <c r="U171" s="379">
        <f t="shared" si="194"/>
        <v>0</v>
      </c>
      <c r="W171" s="451">
        <f t="shared" si="219"/>
        <v>-2.7651531330510008E-2</v>
      </c>
      <c r="X171" s="357">
        <f t="shared" si="220"/>
        <v>-0.31812309795301635</v>
      </c>
      <c r="Y171" s="357">
        <f t="shared" si="221"/>
        <v>-0.22866189405265655</v>
      </c>
      <c r="Z171" s="357">
        <f t="shared" si="222"/>
        <v>-0.19574457712609536</v>
      </c>
      <c r="AA171" s="357">
        <f t="shared" si="223"/>
        <v>-4.6520015634892817E-2</v>
      </c>
      <c r="AB171" s="357">
        <f t="shared" si="224"/>
        <v>0</v>
      </c>
      <c r="AC171" s="357">
        <f t="shared" si="180"/>
        <v>0</v>
      </c>
      <c r="AD171" s="357">
        <f t="shared" si="181"/>
        <v>0</v>
      </c>
      <c r="AE171" s="379">
        <f t="shared" si="182"/>
        <v>0</v>
      </c>
      <c r="AG171" s="451">
        <f t="shared" si="225"/>
        <v>-4.874480195029518E-2</v>
      </c>
      <c r="AH171" s="357">
        <f t="shared" si="226"/>
        <v>-0.29359684940404568</v>
      </c>
      <c r="AI171" s="357">
        <f t="shared" si="227"/>
        <v>-0.21866772201238566</v>
      </c>
      <c r="AJ171" s="357">
        <f t="shared" si="228"/>
        <v>-0.18772636640061607</v>
      </c>
      <c r="AK171" s="357">
        <f t="shared" si="229"/>
        <v>-5.1911218740112182E-2</v>
      </c>
      <c r="AL171" s="357">
        <f t="shared" si="230"/>
        <v>-4.4708067204976532E-4</v>
      </c>
      <c r="AM171" s="357">
        <f t="shared" si="183"/>
        <v>-1.7064673510089895E-4</v>
      </c>
      <c r="AN171" s="357">
        <f t="shared" si="184"/>
        <v>1.9070751392640699E-5</v>
      </c>
      <c r="AO171" s="379">
        <f t="shared" si="185"/>
        <v>5.4711961047645428E-5</v>
      </c>
    </row>
    <row r="172" spans="2:41" x14ac:dyDescent="0.25">
      <c r="B172" s="449">
        <v>43529</v>
      </c>
      <c r="C172" s="237">
        <v>256</v>
      </c>
      <c r="D172" s="237">
        <v>228</v>
      </c>
      <c r="E172" s="237">
        <v>250</v>
      </c>
      <c r="F172" s="237">
        <v>260</v>
      </c>
      <c r="G172" s="237">
        <v>307</v>
      </c>
      <c r="H172" s="237">
        <v>220</v>
      </c>
      <c r="I172" s="237">
        <v>185</v>
      </c>
      <c r="J172" s="237">
        <v>165</v>
      </c>
      <c r="K172" s="450">
        <v>160</v>
      </c>
      <c r="M172" s="451">
        <f t="shared" si="186"/>
        <v>-0.40186915887850472</v>
      </c>
      <c r="N172" s="357">
        <f t="shared" si="187"/>
        <v>-0.1709090909090909</v>
      </c>
      <c r="O172" s="357">
        <f t="shared" si="188"/>
        <v>-1.1857707509881465E-2</v>
      </c>
      <c r="P172" s="357">
        <f t="shared" si="189"/>
        <v>3.8610038610038533E-3</v>
      </c>
      <c r="Q172" s="357">
        <f t="shared" si="190"/>
        <v>4.421768707482987E-2</v>
      </c>
      <c r="R172" s="357">
        <f t="shared" si="191"/>
        <v>0</v>
      </c>
      <c r="S172" s="357">
        <f t="shared" si="192"/>
        <v>1.6483516483516425E-2</v>
      </c>
      <c r="T172" s="357">
        <f t="shared" si="193"/>
        <v>6.0975609756097615E-3</v>
      </c>
      <c r="U172" s="379">
        <f t="shared" si="194"/>
        <v>3.2258064516129004E-2</v>
      </c>
      <c r="W172" s="451">
        <f t="shared" ref="W172:W174" si="231">LN(C172/C171)</f>
        <v>-0.51394575110223439</v>
      </c>
      <c r="X172" s="357">
        <f t="shared" ref="X172:X174" si="232">LN(D172/D171)</f>
        <v>-0.18742546871213051</v>
      </c>
      <c r="Y172" s="357">
        <f t="shared" ref="Y172:Y174" si="233">LN(E172/E171)</f>
        <v>-1.1928570865273845E-2</v>
      </c>
      <c r="Z172" s="357">
        <f t="shared" ref="Z172:Z174" si="234">LN(F172/F171)</f>
        <v>3.8535693159899723E-3</v>
      </c>
      <c r="AA172" s="357">
        <f t="shared" ref="AA172:AA174" si="235">LN(G172/G171)</f>
        <v>4.3267980248515484E-2</v>
      </c>
      <c r="AB172" s="357">
        <f t="shared" ref="AB172:AB174" si="236">LN(H172/H171)</f>
        <v>0</v>
      </c>
      <c r="AC172" s="357">
        <f t="shared" si="180"/>
        <v>1.6349138001529411E-2</v>
      </c>
      <c r="AD172" s="357">
        <f t="shared" si="181"/>
        <v>6.0790460763821925E-3</v>
      </c>
      <c r="AE172" s="379">
        <f t="shared" si="182"/>
        <v>3.174869831458027E-2</v>
      </c>
      <c r="AG172" s="451">
        <f t="shared" ref="AG172:AG174" si="237">M172-M$2</f>
        <v>-0.42334123355607267</v>
      </c>
      <c r="AH172" s="357">
        <f t="shared" ref="AH172:AH174" si="238">N172-N$2</f>
        <v>-0.19201916782636416</v>
      </c>
      <c r="AI172" s="357">
        <f t="shared" ref="AI172:AI174" si="239">O172-O$2</f>
        <v>-2.6122913798996741E-2</v>
      </c>
      <c r="AJ172" s="357">
        <f t="shared" ref="AJ172:AJ174" si="240">P172-P$2</f>
        <v>-6.0875847618344116E-3</v>
      </c>
      <c r="AK172" s="357">
        <f t="shared" ref="AK172:AK174" si="241">Q172-Q$2</f>
        <v>3.7761013789263102E-2</v>
      </c>
      <c r="AL172" s="357">
        <f t="shared" ref="AL172:AL174" si="242">R172-R$2</f>
        <v>-4.4708067204976532E-4</v>
      </c>
      <c r="AM172" s="357">
        <f t="shared" si="183"/>
        <v>1.6312869748415525E-2</v>
      </c>
      <c r="AN172" s="357">
        <f t="shared" si="184"/>
        <v>6.1166317270024018E-3</v>
      </c>
      <c r="AO172" s="379">
        <f t="shared" si="185"/>
        <v>3.2312776477176647E-2</v>
      </c>
    </row>
    <row r="173" spans="2:41" x14ac:dyDescent="0.25">
      <c r="B173" s="449">
        <v>43536</v>
      </c>
      <c r="C173" s="237">
        <v>231</v>
      </c>
      <c r="D173" s="237">
        <v>190</v>
      </c>
      <c r="E173" s="237">
        <v>231</v>
      </c>
      <c r="F173" s="237">
        <v>265</v>
      </c>
      <c r="G173" s="237">
        <v>303</v>
      </c>
      <c r="H173" s="237">
        <v>225</v>
      </c>
      <c r="I173" s="237">
        <v>185</v>
      </c>
      <c r="J173" s="237">
        <v>160</v>
      </c>
      <c r="K173" s="450">
        <v>155</v>
      </c>
      <c r="M173" s="451">
        <f t="shared" si="186"/>
        <v>-9.765625E-2</v>
      </c>
      <c r="N173" s="357">
        <f t="shared" si="187"/>
        <v>-0.16666666666666663</v>
      </c>
      <c r="O173" s="357">
        <f t="shared" si="188"/>
        <v>-7.5999999999999956E-2</v>
      </c>
      <c r="P173" s="357">
        <f t="shared" si="189"/>
        <v>1.9230769230769162E-2</v>
      </c>
      <c r="Q173" s="357">
        <f t="shared" si="190"/>
        <v>-1.3029315960912058E-2</v>
      </c>
      <c r="R173" s="357">
        <f t="shared" si="191"/>
        <v>2.2727272727272707E-2</v>
      </c>
      <c r="S173" s="357">
        <f t="shared" si="192"/>
        <v>0</v>
      </c>
      <c r="T173" s="357">
        <f t="shared" si="193"/>
        <v>-3.0303030303030276E-2</v>
      </c>
      <c r="U173" s="379">
        <f t="shared" si="194"/>
        <v>-3.125E-2</v>
      </c>
      <c r="W173" s="451">
        <f t="shared" si="231"/>
        <v>-0.10275973395776894</v>
      </c>
      <c r="X173" s="357">
        <f t="shared" si="232"/>
        <v>-0.18232155679395459</v>
      </c>
      <c r="Y173" s="357">
        <f t="shared" si="233"/>
        <v>-7.9043207340452851E-2</v>
      </c>
      <c r="Z173" s="357">
        <f t="shared" si="234"/>
        <v>1.9048194970694411E-2</v>
      </c>
      <c r="AA173" s="357">
        <f t="shared" si="235"/>
        <v>-1.3114942077828018E-2</v>
      </c>
      <c r="AB173" s="357">
        <f t="shared" si="236"/>
        <v>2.2472855852058576E-2</v>
      </c>
      <c r="AC173" s="357">
        <f t="shared" si="180"/>
        <v>0</v>
      </c>
      <c r="AD173" s="357">
        <f t="shared" si="181"/>
        <v>-3.077165866675366E-2</v>
      </c>
      <c r="AE173" s="379">
        <f t="shared" si="182"/>
        <v>-3.1748698314580298E-2</v>
      </c>
      <c r="AG173" s="451">
        <f t="shared" si="237"/>
        <v>-0.11912832467756795</v>
      </c>
      <c r="AH173" s="357">
        <f t="shared" si="238"/>
        <v>-0.18777674358393989</v>
      </c>
      <c r="AI173" s="357">
        <f t="shared" si="239"/>
        <v>-9.0265206289115232E-2</v>
      </c>
      <c r="AJ173" s="357">
        <f t="shared" si="240"/>
        <v>9.2821806079308976E-3</v>
      </c>
      <c r="AK173" s="357">
        <f t="shared" si="241"/>
        <v>-1.9485989246478826E-2</v>
      </c>
      <c r="AL173" s="357">
        <f t="shared" si="242"/>
        <v>2.2280192055222942E-2</v>
      </c>
      <c r="AM173" s="357">
        <f t="shared" si="183"/>
        <v>-1.7064673510089895E-4</v>
      </c>
      <c r="AN173" s="357">
        <f t="shared" si="184"/>
        <v>-3.0283959551637634E-2</v>
      </c>
      <c r="AO173" s="379">
        <f t="shared" si="185"/>
        <v>-3.1195288038952353E-2</v>
      </c>
    </row>
    <row r="174" spans="2:41" x14ac:dyDescent="0.25">
      <c r="B174" s="449">
        <v>43543</v>
      </c>
      <c r="C174" s="237">
        <v>222</v>
      </c>
      <c r="D174" s="237">
        <v>183</v>
      </c>
      <c r="E174" s="237">
        <v>225</v>
      </c>
      <c r="F174" s="237">
        <v>260</v>
      </c>
      <c r="G174" s="237">
        <v>302</v>
      </c>
      <c r="H174" s="237">
        <v>215</v>
      </c>
      <c r="I174" s="237">
        <v>185</v>
      </c>
      <c r="J174" s="237">
        <v>165</v>
      </c>
      <c r="K174" s="450">
        <v>155</v>
      </c>
      <c r="M174" s="451">
        <f t="shared" si="186"/>
        <v>-3.8961038961038974E-2</v>
      </c>
      <c r="N174" s="357">
        <f t="shared" si="187"/>
        <v>-3.6842105263157898E-2</v>
      </c>
      <c r="O174" s="357">
        <f t="shared" si="188"/>
        <v>-2.5974025974025983E-2</v>
      </c>
      <c r="P174" s="357">
        <f t="shared" si="189"/>
        <v>-1.8867924528301883E-2</v>
      </c>
      <c r="Q174" s="357">
        <f t="shared" si="190"/>
        <v>-3.3003300330033403E-3</v>
      </c>
      <c r="R174" s="357">
        <f t="shared" si="191"/>
        <v>-4.4444444444444398E-2</v>
      </c>
      <c r="S174" s="357">
        <f t="shared" si="192"/>
        <v>0</v>
      </c>
      <c r="T174" s="357">
        <f t="shared" si="193"/>
        <v>3.125E-2</v>
      </c>
      <c r="U174" s="379">
        <f t="shared" si="194"/>
        <v>0</v>
      </c>
      <c r="W174" s="451">
        <f t="shared" si="231"/>
        <v>-3.9740328649514108E-2</v>
      </c>
      <c r="X174" s="357">
        <f t="shared" si="232"/>
        <v>-3.7537919319065208E-2</v>
      </c>
      <c r="Y174" s="357">
        <f t="shared" si="233"/>
        <v>-2.6317308317373417E-2</v>
      </c>
      <c r="Z174" s="357">
        <f t="shared" si="234"/>
        <v>-1.9048194970694474E-2</v>
      </c>
      <c r="AA174" s="357">
        <f t="shared" si="235"/>
        <v>-3.3057881344995439E-3</v>
      </c>
      <c r="AB174" s="357">
        <f t="shared" si="236"/>
        <v>-4.5462374076757288E-2</v>
      </c>
      <c r="AC174" s="357">
        <f t="shared" si="180"/>
        <v>0</v>
      </c>
      <c r="AD174" s="357">
        <f t="shared" si="181"/>
        <v>3.0771658666753687E-2</v>
      </c>
      <c r="AE174" s="379">
        <f t="shared" si="182"/>
        <v>0</v>
      </c>
      <c r="AG174" s="451">
        <f t="shared" si="237"/>
        <v>-6.0433113638606928E-2</v>
      </c>
      <c r="AH174" s="357">
        <f t="shared" si="238"/>
        <v>-5.7952182180431147E-2</v>
      </c>
      <c r="AI174" s="357">
        <f t="shared" si="239"/>
        <v>-4.0239232263141259E-2</v>
      </c>
      <c r="AJ174" s="357">
        <f t="shared" si="240"/>
        <v>-2.8816513151140147E-2</v>
      </c>
      <c r="AK174" s="357">
        <f t="shared" si="241"/>
        <v>-9.757003318570108E-3</v>
      </c>
      <c r="AL174" s="357">
        <f t="shared" si="242"/>
        <v>-4.4891525116494163E-2</v>
      </c>
      <c r="AM174" s="357">
        <f t="shared" si="183"/>
        <v>-1.7064673510089895E-4</v>
      </c>
      <c r="AN174" s="357">
        <f t="shared" si="184"/>
        <v>3.1269070751392639E-2</v>
      </c>
      <c r="AO174" s="379">
        <f t="shared" si="185"/>
        <v>5.4711961047645428E-5</v>
      </c>
    </row>
    <row r="175" spans="2:41" x14ac:dyDescent="0.25">
      <c r="B175" s="449">
        <v>43550</v>
      </c>
      <c r="C175">
        <v>224</v>
      </c>
      <c r="D175">
        <v>205</v>
      </c>
      <c r="E175">
        <v>265</v>
      </c>
      <c r="F175">
        <v>295</v>
      </c>
      <c r="G175">
        <v>315</v>
      </c>
      <c r="H175">
        <v>220</v>
      </c>
      <c r="I175">
        <v>185</v>
      </c>
      <c r="J175">
        <v>165</v>
      </c>
      <c r="K175" s="445">
        <v>155</v>
      </c>
      <c r="M175" s="451">
        <f t="shared" si="186"/>
        <v>9.009009009008917E-3</v>
      </c>
      <c r="N175" s="357">
        <f t="shared" si="187"/>
        <v>0.12021857923497259</v>
      </c>
      <c r="O175" s="357">
        <f t="shared" si="188"/>
        <v>0.17777777777777781</v>
      </c>
      <c r="P175" s="357">
        <f t="shared" si="189"/>
        <v>0.13461538461538458</v>
      </c>
      <c r="Q175" s="357">
        <f t="shared" si="190"/>
        <v>4.3046357615894149E-2</v>
      </c>
      <c r="R175" s="357">
        <f t="shared" si="191"/>
        <v>2.3255813953488413E-2</v>
      </c>
      <c r="S175" s="357">
        <f t="shared" si="192"/>
        <v>0</v>
      </c>
      <c r="T175" s="357">
        <f t="shared" si="193"/>
        <v>0</v>
      </c>
      <c r="U175" s="379">
        <f t="shared" si="194"/>
        <v>0</v>
      </c>
      <c r="W175" s="451">
        <f t="shared" ref="W175:W193" si="243">LN(C175/C174)</f>
        <v>8.9686699827603161E-3</v>
      </c>
      <c r="X175" s="357">
        <f t="shared" ref="X175:X193" si="244">LN(D175/D174)</f>
        <v>0.11352382629698717</v>
      </c>
      <c r="Y175" s="357">
        <f t="shared" ref="Y175:Y193" si="245">LN(E175/E174)</f>
        <v>0.16362942378180212</v>
      </c>
      <c r="Z175" s="357">
        <f t="shared" ref="Z175:Z193" si="246">LN(F175/F174)</f>
        <v>0.12629372532429206</v>
      </c>
      <c r="AA175" s="357">
        <f t="shared" ref="AA175:AA193" si="247">LN(G175/G174)</f>
        <v>4.2145621450763532E-2</v>
      </c>
      <c r="AB175" s="357">
        <f t="shared" ref="AB175:AB193" si="248">LN(H175/H174)</f>
        <v>2.2989518224698781E-2</v>
      </c>
      <c r="AC175" s="357">
        <f t="shared" si="180"/>
        <v>0</v>
      </c>
      <c r="AD175" s="357">
        <f t="shared" si="181"/>
        <v>0</v>
      </c>
      <c r="AE175" s="379">
        <f t="shared" si="182"/>
        <v>0</v>
      </c>
      <c r="AG175" s="451">
        <f t="shared" ref="AG175:AG193" si="249">M175-M$2</f>
        <v>-1.246306566855904E-2</v>
      </c>
      <c r="AH175" s="357">
        <f t="shared" ref="AH175:AH193" si="250">N175-N$2</f>
        <v>9.910850231769934E-2</v>
      </c>
      <c r="AI175" s="357">
        <f t="shared" ref="AI175:AI193" si="251">O175-O$2</f>
        <v>0.16351257148866255</v>
      </c>
      <c r="AJ175" s="357">
        <f t="shared" ref="AJ175:AJ193" si="252">P175-P$2</f>
        <v>0.12466679599254632</v>
      </c>
      <c r="AK175" s="357">
        <f t="shared" ref="AK175:AK193" si="253">Q175-Q$2</f>
        <v>3.6589684330327381E-2</v>
      </c>
      <c r="AL175" s="357">
        <f t="shared" ref="AL175:AL193" si="254">R175-R$2</f>
        <v>2.2808733281438648E-2</v>
      </c>
      <c r="AM175" s="357">
        <f t="shared" si="183"/>
        <v>-1.7064673510089895E-4</v>
      </c>
      <c r="AN175" s="357">
        <f t="shared" si="184"/>
        <v>1.9070751392640699E-5</v>
      </c>
      <c r="AO175" s="379">
        <f t="shared" si="185"/>
        <v>5.4711961047645428E-5</v>
      </c>
    </row>
    <row r="176" spans="2:41" x14ac:dyDescent="0.25">
      <c r="B176" s="449">
        <v>43557</v>
      </c>
      <c r="C176">
        <v>200</v>
      </c>
      <c r="D176">
        <v>252</v>
      </c>
      <c r="E176">
        <v>275</v>
      </c>
      <c r="F176">
        <v>249</v>
      </c>
      <c r="G176">
        <v>316</v>
      </c>
      <c r="H176">
        <v>220</v>
      </c>
      <c r="I176">
        <v>185</v>
      </c>
      <c r="J176">
        <v>165</v>
      </c>
      <c r="K176" s="445">
        <v>155</v>
      </c>
      <c r="M176" s="451">
        <f t="shared" si="186"/>
        <v>-0.1071428571428571</v>
      </c>
      <c r="N176" s="357">
        <f t="shared" si="187"/>
        <v>0.22926829268292681</v>
      </c>
      <c r="O176" s="357">
        <f t="shared" si="188"/>
        <v>3.7735849056603765E-2</v>
      </c>
      <c r="P176" s="357">
        <f t="shared" si="189"/>
        <v>-0.15593220338983049</v>
      </c>
      <c r="Q176" s="357">
        <f t="shared" si="190"/>
        <v>3.1746031746031633E-3</v>
      </c>
      <c r="R176" s="357">
        <f t="shared" si="191"/>
        <v>0</v>
      </c>
      <c r="S176" s="357">
        <f t="shared" si="192"/>
        <v>0</v>
      </c>
      <c r="T176" s="357">
        <f t="shared" si="193"/>
        <v>0</v>
      </c>
      <c r="U176" s="379">
        <f t="shared" si="194"/>
        <v>0</v>
      </c>
      <c r="W176" s="451">
        <f t="shared" si="243"/>
        <v>-0.11332868530700312</v>
      </c>
      <c r="X176" s="357">
        <f t="shared" si="244"/>
        <v>0.20641910837301511</v>
      </c>
      <c r="Y176" s="357">
        <f t="shared" si="245"/>
        <v>3.7041271680349076E-2</v>
      </c>
      <c r="Z176" s="357">
        <f t="shared" si="246"/>
        <v>-0.16952245987511219</v>
      </c>
      <c r="AA176" s="357">
        <f t="shared" si="247"/>
        <v>3.1695747612790395E-3</v>
      </c>
      <c r="AB176" s="357">
        <f t="shared" si="248"/>
        <v>0</v>
      </c>
      <c r="AC176" s="357">
        <f t="shared" si="180"/>
        <v>0</v>
      </c>
      <c r="AD176" s="357">
        <f t="shared" si="181"/>
        <v>0</v>
      </c>
      <c r="AE176" s="379">
        <f t="shared" si="182"/>
        <v>0</v>
      </c>
      <c r="AG176" s="451">
        <f t="shared" si="249"/>
        <v>-0.12861493182042505</v>
      </c>
      <c r="AH176" s="357">
        <f t="shared" si="250"/>
        <v>0.20815821576565355</v>
      </c>
      <c r="AI176" s="357">
        <f t="shared" si="251"/>
        <v>2.3470642767488489E-2</v>
      </c>
      <c r="AJ176" s="357">
        <f t="shared" si="252"/>
        <v>-0.16588079201266875</v>
      </c>
      <c r="AK176" s="357">
        <f t="shared" si="253"/>
        <v>-3.2820701109636035E-3</v>
      </c>
      <c r="AL176" s="357">
        <f t="shared" si="254"/>
        <v>-4.4708067204976532E-4</v>
      </c>
      <c r="AM176" s="357">
        <f t="shared" si="183"/>
        <v>-1.7064673510089895E-4</v>
      </c>
      <c r="AN176" s="357">
        <f t="shared" si="184"/>
        <v>1.9070751392640699E-5</v>
      </c>
      <c r="AO176" s="379">
        <f t="shared" si="185"/>
        <v>5.4711961047645428E-5</v>
      </c>
    </row>
    <row r="177" spans="2:41" x14ac:dyDescent="0.25">
      <c r="B177" s="449">
        <v>43565</v>
      </c>
      <c r="C177">
        <v>193</v>
      </c>
      <c r="D177">
        <v>222</v>
      </c>
      <c r="E177">
        <v>255</v>
      </c>
      <c r="F177">
        <v>329</v>
      </c>
      <c r="G177">
        <v>300</v>
      </c>
      <c r="H177">
        <v>220</v>
      </c>
      <c r="I177">
        <v>190</v>
      </c>
      <c r="J177">
        <v>170</v>
      </c>
      <c r="K177" s="445">
        <v>160</v>
      </c>
      <c r="M177" s="451">
        <f t="shared" si="186"/>
        <v>-3.5000000000000031E-2</v>
      </c>
      <c r="N177" s="357">
        <f t="shared" si="187"/>
        <v>-0.11904761904761907</v>
      </c>
      <c r="O177" s="357">
        <f t="shared" si="188"/>
        <v>-7.2727272727272751E-2</v>
      </c>
      <c r="P177" s="357">
        <f t="shared" si="189"/>
        <v>0.32128514056224899</v>
      </c>
      <c r="Q177" s="357">
        <f t="shared" si="190"/>
        <v>-5.0632911392405111E-2</v>
      </c>
      <c r="R177" s="357">
        <f t="shared" si="191"/>
        <v>0</v>
      </c>
      <c r="S177" s="357">
        <f t="shared" si="192"/>
        <v>2.7027027027026973E-2</v>
      </c>
      <c r="T177" s="357">
        <f t="shared" si="193"/>
        <v>3.0303030303030276E-2</v>
      </c>
      <c r="U177" s="379">
        <f t="shared" si="194"/>
        <v>3.2258064516129004E-2</v>
      </c>
      <c r="W177" s="451">
        <f t="shared" si="243"/>
        <v>-3.562717764315116E-2</v>
      </c>
      <c r="X177" s="357">
        <f t="shared" si="244"/>
        <v>-0.1267517056391439</v>
      </c>
      <c r="Y177" s="357">
        <f t="shared" si="245"/>
        <v>-7.550755250814517E-2</v>
      </c>
      <c r="Z177" s="357">
        <f t="shared" si="246"/>
        <v>0.27860485430066428</v>
      </c>
      <c r="AA177" s="357">
        <f t="shared" si="247"/>
        <v>-5.1959738930711104E-2</v>
      </c>
      <c r="AB177" s="357">
        <f t="shared" si="248"/>
        <v>0</v>
      </c>
      <c r="AC177" s="357">
        <f t="shared" si="180"/>
        <v>2.6668247082161273E-2</v>
      </c>
      <c r="AD177" s="357">
        <f t="shared" si="181"/>
        <v>2.9852963149681128E-2</v>
      </c>
      <c r="AE177" s="379">
        <f t="shared" si="182"/>
        <v>3.174869831458027E-2</v>
      </c>
      <c r="AG177" s="451">
        <f t="shared" si="249"/>
        <v>-5.6472074677567985E-2</v>
      </c>
      <c r="AH177" s="357">
        <f t="shared" si="250"/>
        <v>-0.14015769596489233</v>
      </c>
      <c r="AI177" s="357">
        <f t="shared" si="251"/>
        <v>-8.6992479016388027E-2</v>
      </c>
      <c r="AJ177" s="357">
        <f t="shared" si="252"/>
        <v>0.31133655193941073</v>
      </c>
      <c r="AK177" s="357">
        <f t="shared" si="253"/>
        <v>-5.7089584677971879E-2</v>
      </c>
      <c r="AL177" s="357">
        <f t="shared" si="254"/>
        <v>-4.4708067204976532E-4</v>
      </c>
      <c r="AM177" s="357">
        <f t="shared" si="183"/>
        <v>2.6856380291926073E-2</v>
      </c>
      <c r="AN177" s="357">
        <f t="shared" si="184"/>
        <v>3.0322101054422918E-2</v>
      </c>
      <c r="AO177" s="379">
        <f t="shared" si="185"/>
        <v>3.2312776477176647E-2</v>
      </c>
    </row>
    <row r="178" spans="2:41" x14ac:dyDescent="0.25">
      <c r="B178" s="449">
        <v>43571</v>
      </c>
      <c r="C178">
        <v>179</v>
      </c>
      <c r="D178">
        <v>149</v>
      </c>
      <c r="E178">
        <v>201</v>
      </c>
      <c r="F178">
        <v>260</v>
      </c>
      <c r="G178">
        <v>278</v>
      </c>
      <c r="H178">
        <v>220</v>
      </c>
      <c r="I178">
        <v>190</v>
      </c>
      <c r="J178">
        <v>170</v>
      </c>
      <c r="K178" s="445">
        <v>160</v>
      </c>
      <c r="M178" s="451">
        <f t="shared" si="186"/>
        <v>-7.2538860103626979E-2</v>
      </c>
      <c r="N178" s="357">
        <f t="shared" si="187"/>
        <v>-0.3288288288288288</v>
      </c>
      <c r="O178" s="357">
        <f t="shared" si="188"/>
        <v>-0.21176470588235297</v>
      </c>
      <c r="P178" s="357">
        <f t="shared" si="189"/>
        <v>-0.20972644376899696</v>
      </c>
      <c r="Q178" s="357">
        <f t="shared" si="190"/>
        <v>-7.3333333333333361E-2</v>
      </c>
      <c r="R178" s="357">
        <f t="shared" si="191"/>
        <v>0</v>
      </c>
      <c r="S178" s="357">
        <f t="shared" si="192"/>
        <v>0</v>
      </c>
      <c r="T178" s="357">
        <f t="shared" si="193"/>
        <v>0</v>
      </c>
      <c r="U178" s="379">
        <f t="shared" si="194"/>
        <v>0</v>
      </c>
      <c r="W178" s="451">
        <f t="shared" si="243"/>
        <v>-7.5304383064130592E-2</v>
      </c>
      <c r="X178" s="357">
        <f t="shared" si="244"/>
        <v>-0.39873107592682028</v>
      </c>
      <c r="Y178" s="357">
        <f t="shared" si="245"/>
        <v>-0.23795863709935042</v>
      </c>
      <c r="Z178" s="357">
        <f t="shared" si="246"/>
        <v>-0.23537611974984415</v>
      </c>
      <c r="AA178" s="357">
        <f t="shared" si="247"/>
        <v>-7.6161360965564029E-2</v>
      </c>
      <c r="AB178" s="357">
        <f t="shared" si="248"/>
        <v>0</v>
      </c>
      <c r="AC178" s="357">
        <f t="shared" si="180"/>
        <v>0</v>
      </c>
      <c r="AD178" s="357">
        <f t="shared" si="181"/>
        <v>0</v>
      </c>
      <c r="AE178" s="379">
        <f t="shared" si="182"/>
        <v>0</v>
      </c>
      <c r="AG178" s="451">
        <f t="shared" si="249"/>
        <v>-9.4010934781194933E-2</v>
      </c>
      <c r="AH178" s="357">
        <f t="shared" si="250"/>
        <v>-0.34993890574610204</v>
      </c>
      <c r="AI178" s="357">
        <f t="shared" si="251"/>
        <v>-0.22602991217146823</v>
      </c>
      <c r="AJ178" s="357">
        <f t="shared" si="252"/>
        <v>-0.21967503239183522</v>
      </c>
      <c r="AK178" s="357">
        <f t="shared" si="253"/>
        <v>-7.9790006618900122E-2</v>
      </c>
      <c r="AL178" s="357">
        <f t="shared" si="254"/>
        <v>-4.4708067204976532E-4</v>
      </c>
      <c r="AM178" s="357">
        <f t="shared" si="183"/>
        <v>-1.7064673510089895E-4</v>
      </c>
      <c r="AN178" s="357">
        <f t="shared" si="184"/>
        <v>1.9070751392640699E-5</v>
      </c>
      <c r="AO178" s="379">
        <f t="shared" si="185"/>
        <v>5.4711961047645428E-5</v>
      </c>
    </row>
    <row r="179" spans="2:41" x14ac:dyDescent="0.25">
      <c r="B179" s="449">
        <v>43578</v>
      </c>
      <c r="C179">
        <v>177</v>
      </c>
      <c r="D179">
        <v>166</v>
      </c>
      <c r="E179">
        <v>228</v>
      </c>
      <c r="F179">
        <v>260</v>
      </c>
      <c r="G179">
        <v>270</v>
      </c>
      <c r="H179">
        <v>220</v>
      </c>
      <c r="I179">
        <v>190</v>
      </c>
      <c r="J179">
        <v>170</v>
      </c>
      <c r="K179" s="445">
        <v>160</v>
      </c>
      <c r="M179" s="451">
        <f t="shared" si="186"/>
        <v>-1.1173184357541888E-2</v>
      </c>
      <c r="N179" s="357">
        <f t="shared" si="187"/>
        <v>0.11409395973154357</v>
      </c>
      <c r="O179" s="357">
        <f t="shared" si="188"/>
        <v>0.13432835820895517</v>
      </c>
      <c r="P179" s="357">
        <f t="shared" si="189"/>
        <v>0</v>
      </c>
      <c r="Q179" s="357">
        <f t="shared" si="190"/>
        <v>-2.877697841726623E-2</v>
      </c>
      <c r="R179" s="357">
        <f t="shared" si="191"/>
        <v>0</v>
      </c>
      <c r="S179" s="357">
        <f t="shared" si="192"/>
        <v>0</v>
      </c>
      <c r="T179" s="357">
        <f t="shared" si="193"/>
        <v>0</v>
      </c>
      <c r="U179" s="379">
        <f t="shared" si="194"/>
        <v>0</v>
      </c>
      <c r="W179" s="451">
        <f t="shared" si="243"/>
        <v>-1.1236073266925842E-2</v>
      </c>
      <c r="X179" s="357">
        <f t="shared" si="244"/>
        <v>0.10804148241108405</v>
      </c>
      <c r="Y179" s="357">
        <f t="shared" si="245"/>
        <v>0.12604072089536497</v>
      </c>
      <c r="Z179" s="357">
        <f t="shared" si="246"/>
        <v>0</v>
      </c>
      <c r="AA179" s="357">
        <f t="shared" si="247"/>
        <v>-2.9199154692262353E-2</v>
      </c>
      <c r="AB179" s="357">
        <f t="shared" si="248"/>
        <v>0</v>
      </c>
      <c r="AC179" s="357">
        <f t="shared" si="180"/>
        <v>0</v>
      </c>
      <c r="AD179" s="357">
        <f t="shared" si="181"/>
        <v>0</v>
      </c>
      <c r="AE179" s="379">
        <f t="shared" si="182"/>
        <v>0</v>
      </c>
      <c r="AG179" s="451">
        <f t="shared" si="249"/>
        <v>-3.2645259035109842E-2</v>
      </c>
      <c r="AH179" s="357">
        <f t="shared" si="250"/>
        <v>9.2983882814270322E-2</v>
      </c>
      <c r="AI179" s="357">
        <f t="shared" si="251"/>
        <v>0.12006315191983989</v>
      </c>
      <c r="AJ179" s="357">
        <f t="shared" si="252"/>
        <v>-9.9485886228382649E-3</v>
      </c>
      <c r="AK179" s="357">
        <f t="shared" si="253"/>
        <v>-3.5233651702832998E-2</v>
      </c>
      <c r="AL179" s="357">
        <f t="shared" si="254"/>
        <v>-4.4708067204976532E-4</v>
      </c>
      <c r="AM179" s="357">
        <f t="shared" si="183"/>
        <v>-1.7064673510089895E-4</v>
      </c>
      <c r="AN179" s="357">
        <f t="shared" si="184"/>
        <v>1.9070751392640699E-5</v>
      </c>
      <c r="AO179" s="379">
        <f t="shared" si="185"/>
        <v>5.4711961047645428E-5</v>
      </c>
    </row>
    <row r="180" spans="2:41" x14ac:dyDescent="0.25">
      <c r="B180" s="449">
        <v>43585</v>
      </c>
      <c r="C180">
        <v>174.5</v>
      </c>
      <c r="D180">
        <v>154</v>
      </c>
      <c r="E180">
        <v>200</v>
      </c>
      <c r="F180">
        <v>248</v>
      </c>
      <c r="G180">
        <v>267</v>
      </c>
      <c r="H180">
        <v>220</v>
      </c>
      <c r="I180">
        <v>190</v>
      </c>
      <c r="J180">
        <v>170</v>
      </c>
      <c r="K180" s="445">
        <v>160</v>
      </c>
      <c r="M180" s="451">
        <f t="shared" si="186"/>
        <v>-1.4124293785310771E-2</v>
      </c>
      <c r="N180" s="357">
        <f t="shared" si="187"/>
        <v>-7.2289156626506035E-2</v>
      </c>
      <c r="O180" s="357">
        <f t="shared" si="188"/>
        <v>-0.1228070175438597</v>
      </c>
      <c r="P180" s="357">
        <f t="shared" si="189"/>
        <v>-4.6153846153846101E-2</v>
      </c>
      <c r="Q180" s="357">
        <f t="shared" si="190"/>
        <v>-1.1111111111111072E-2</v>
      </c>
      <c r="R180" s="357">
        <f t="shared" si="191"/>
        <v>0</v>
      </c>
      <c r="S180" s="357">
        <f t="shared" si="192"/>
        <v>0</v>
      </c>
      <c r="T180" s="357">
        <f t="shared" si="193"/>
        <v>0</v>
      </c>
      <c r="U180" s="379">
        <f t="shared" si="194"/>
        <v>0</v>
      </c>
      <c r="W180" s="451">
        <f t="shared" si="243"/>
        <v>-1.4224990931347326E-2</v>
      </c>
      <c r="X180" s="357">
        <f t="shared" si="244"/>
        <v>-7.5035185942914084E-2</v>
      </c>
      <c r="Y180" s="357">
        <f t="shared" si="245"/>
        <v>-0.13102826240640414</v>
      </c>
      <c r="Z180" s="357">
        <f t="shared" si="246"/>
        <v>-4.7252884850545497E-2</v>
      </c>
      <c r="AA180" s="357">
        <f t="shared" si="247"/>
        <v>-1.1173300598125189E-2</v>
      </c>
      <c r="AB180" s="357">
        <f t="shared" si="248"/>
        <v>0</v>
      </c>
      <c r="AC180" s="357">
        <f t="shared" si="180"/>
        <v>0</v>
      </c>
      <c r="AD180" s="357">
        <f t="shared" si="181"/>
        <v>0</v>
      </c>
      <c r="AE180" s="379">
        <f t="shared" si="182"/>
        <v>0</v>
      </c>
      <c r="AG180" s="451">
        <f t="shared" si="249"/>
        <v>-3.5596368462878725E-2</v>
      </c>
      <c r="AH180" s="357">
        <f t="shared" si="250"/>
        <v>-9.3399233543779284E-2</v>
      </c>
      <c r="AI180" s="357">
        <f t="shared" si="251"/>
        <v>-0.13707222383297496</v>
      </c>
      <c r="AJ180" s="357">
        <f t="shared" si="252"/>
        <v>-5.6102434776684362E-2</v>
      </c>
      <c r="AK180" s="357">
        <f t="shared" si="253"/>
        <v>-1.7567784396677839E-2</v>
      </c>
      <c r="AL180" s="357">
        <f t="shared" si="254"/>
        <v>-4.4708067204976532E-4</v>
      </c>
      <c r="AM180" s="357">
        <f t="shared" si="183"/>
        <v>-1.7064673510089895E-4</v>
      </c>
      <c r="AN180" s="357">
        <f t="shared" si="184"/>
        <v>1.9070751392640699E-5</v>
      </c>
      <c r="AO180" s="379">
        <f t="shared" si="185"/>
        <v>5.4711961047645428E-5</v>
      </c>
    </row>
    <row r="181" spans="2:41" x14ac:dyDescent="0.25">
      <c r="B181" s="449">
        <v>43592</v>
      </c>
      <c r="C181">
        <v>141</v>
      </c>
      <c r="D181">
        <v>173</v>
      </c>
      <c r="E181">
        <v>223</v>
      </c>
      <c r="F181">
        <v>262</v>
      </c>
      <c r="G181">
        <v>246</v>
      </c>
      <c r="H181">
        <v>220</v>
      </c>
      <c r="I181">
        <v>190</v>
      </c>
      <c r="J181">
        <v>170</v>
      </c>
      <c r="K181" s="445">
        <v>160</v>
      </c>
      <c r="M181" s="451">
        <f t="shared" si="186"/>
        <v>-0.1919770773638968</v>
      </c>
      <c r="N181" s="357">
        <f t="shared" si="187"/>
        <v>0.12337662337662336</v>
      </c>
      <c r="O181" s="357">
        <f t="shared" si="188"/>
        <v>0.11499999999999999</v>
      </c>
      <c r="P181" s="357">
        <f t="shared" si="189"/>
        <v>5.6451612903225756E-2</v>
      </c>
      <c r="Q181" s="357">
        <f t="shared" si="190"/>
        <v>-7.8651685393258397E-2</v>
      </c>
      <c r="R181" s="357">
        <f t="shared" si="191"/>
        <v>0</v>
      </c>
      <c r="S181" s="357">
        <f t="shared" si="192"/>
        <v>0</v>
      </c>
      <c r="T181" s="357">
        <f t="shared" si="193"/>
        <v>0</v>
      </c>
      <c r="U181" s="379">
        <f t="shared" si="194"/>
        <v>0</v>
      </c>
      <c r="W181" s="451">
        <f t="shared" si="243"/>
        <v>-0.2131648512643135</v>
      </c>
      <c r="X181" s="357">
        <f t="shared" si="244"/>
        <v>0.11633899208414977</v>
      </c>
      <c r="Y181" s="357">
        <f t="shared" si="245"/>
        <v>0.10885440491208208</v>
      </c>
      <c r="Z181" s="357">
        <f t="shared" si="246"/>
        <v>5.4915757596114632E-2</v>
      </c>
      <c r="AA181" s="357">
        <f t="shared" si="247"/>
        <v>-8.1917122467886697E-2</v>
      </c>
      <c r="AB181" s="357">
        <f t="shared" si="248"/>
        <v>0</v>
      </c>
      <c r="AC181" s="357">
        <f t="shared" si="180"/>
        <v>0</v>
      </c>
      <c r="AD181" s="357">
        <f t="shared" si="181"/>
        <v>0</v>
      </c>
      <c r="AE181" s="379">
        <f t="shared" si="182"/>
        <v>0</v>
      </c>
      <c r="AG181" s="451">
        <f t="shared" si="249"/>
        <v>-0.21344915204146475</v>
      </c>
      <c r="AH181" s="357">
        <f t="shared" si="250"/>
        <v>0.10226654645935011</v>
      </c>
      <c r="AI181" s="357">
        <f t="shared" si="251"/>
        <v>0.10073479371088472</v>
      </c>
      <c r="AJ181" s="357">
        <f t="shared" si="252"/>
        <v>4.6503024280387495E-2</v>
      </c>
      <c r="AK181" s="357">
        <f t="shared" si="253"/>
        <v>-8.5108358678825158E-2</v>
      </c>
      <c r="AL181" s="357">
        <f t="shared" si="254"/>
        <v>-4.4708067204976532E-4</v>
      </c>
      <c r="AM181" s="357">
        <f t="shared" si="183"/>
        <v>-1.7064673510089895E-4</v>
      </c>
      <c r="AN181" s="357">
        <f t="shared" si="184"/>
        <v>1.9070751392640699E-5</v>
      </c>
      <c r="AO181" s="379">
        <f t="shared" si="185"/>
        <v>5.4711961047645428E-5</v>
      </c>
    </row>
    <row r="182" spans="2:41" x14ac:dyDescent="0.25">
      <c r="B182" s="449">
        <v>43599</v>
      </c>
      <c r="C182">
        <v>135</v>
      </c>
      <c r="D182">
        <v>158</v>
      </c>
      <c r="E182">
        <v>215</v>
      </c>
      <c r="F182">
        <v>258</v>
      </c>
      <c r="G182">
        <v>239</v>
      </c>
      <c r="H182">
        <v>210</v>
      </c>
      <c r="I182">
        <v>190</v>
      </c>
      <c r="J182">
        <v>170</v>
      </c>
      <c r="K182" s="445">
        <v>160</v>
      </c>
      <c r="M182" s="451">
        <f t="shared" si="186"/>
        <v>-4.2553191489361653E-2</v>
      </c>
      <c r="N182" s="357">
        <f t="shared" si="187"/>
        <v>-8.6705202312138741E-2</v>
      </c>
      <c r="O182" s="357">
        <f t="shared" si="188"/>
        <v>-3.5874439461883401E-2</v>
      </c>
      <c r="P182" s="357">
        <f t="shared" si="189"/>
        <v>-1.5267175572519109E-2</v>
      </c>
      <c r="Q182" s="357">
        <f t="shared" si="190"/>
        <v>-2.8455284552845517E-2</v>
      </c>
      <c r="R182" s="357">
        <f t="shared" si="191"/>
        <v>-4.5454545454545414E-2</v>
      </c>
      <c r="S182" s="357">
        <f t="shared" si="192"/>
        <v>0</v>
      </c>
      <c r="T182" s="357">
        <f t="shared" si="193"/>
        <v>0</v>
      </c>
      <c r="U182" s="379">
        <f t="shared" si="194"/>
        <v>0</v>
      </c>
      <c r="W182" s="451">
        <f t="shared" si="243"/>
        <v>-4.348511193973878E-2</v>
      </c>
      <c r="X182" s="357">
        <f t="shared" si="244"/>
        <v>-9.0696561470812162E-2</v>
      </c>
      <c r="Y182" s="357">
        <f t="shared" si="245"/>
        <v>-3.6533743332455952E-2</v>
      </c>
      <c r="Z182" s="357">
        <f t="shared" si="246"/>
        <v>-1.5384918839479456E-2</v>
      </c>
      <c r="AA182" s="357">
        <f t="shared" si="247"/>
        <v>-2.8867984000852127E-2</v>
      </c>
      <c r="AB182" s="357">
        <f t="shared" si="248"/>
        <v>-4.6520015634892817E-2</v>
      </c>
      <c r="AC182" s="357">
        <f t="shared" si="180"/>
        <v>0</v>
      </c>
      <c r="AD182" s="357">
        <f t="shared" si="181"/>
        <v>0</v>
      </c>
      <c r="AE182" s="379">
        <f t="shared" si="182"/>
        <v>0</v>
      </c>
      <c r="AG182" s="451">
        <f t="shared" si="249"/>
        <v>-6.4025266166929606E-2</v>
      </c>
      <c r="AH182" s="357">
        <f t="shared" si="250"/>
        <v>-0.10781527922941199</v>
      </c>
      <c r="AI182" s="357">
        <f t="shared" si="251"/>
        <v>-5.0139645750998676E-2</v>
      </c>
      <c r="AJ182" s="357">
        <f t="shared" si="252"/>
        <v>-2.5215764195357374E-2</v>
      </c>
      <c r="AK182" s="357">
        <f t="shared" si="253"/>
        <v>-3.4911957838412284E-2</v>
      </c>
      <c r="AL182" s="357">
        <f t="shared" si="254"/>
        <v>-4.590162612659518E-2</v>
      </c>
      <c r="AM182" s="357">
        <f t="shared" si="183"/>
        <v>-1.7064673510089895E-4</v>
      </c>
      <c r="AN182" s="357">
        <f t="shared" si="184"/>
        <v>1.9070751392640699E-5</v>
      </c>
      <c r="AO182" s="379">
        <f t="shared" si="185"/>
        <v>5.4711961047645428E-5</v>
      </c>
    </row>
    <row r="183" spans="2:41" x14ac:dyDescent="0.25">
      <c r="B183" s="449">
        <v>43606</v>
      </c>
      <c r="C183">
        <v>131</v>
      </c>
      <c r="D183">
        <v>107</v>
      </c>
      <c r="E183">
        <v>168</v>
      </c>
      <c r="F183">
        <v>213</v>
      </c>
      <c r="G183">
        <v>207</v>
      </c>
      <c r="H183">
        <v>212</v>
      </c>
      <c r="I183">
        <v>195</v>
      </c>
      <c r="J183">
        <v>175</v>
      </c>
      <c r="K183" s="445">
        <v>165</v>
      </c>
      <c r="M183" s="451">
        <f t="shared" si="186"/>
        <v>-2.9629629629629672E-2</v>
      </c>
      <c r="N183" s="357">
        <f t="shared" si="187"/>
        <v>-0.32278481012658233</v>
      </c>
      <c r="O183" s="357">
        <f t="shared" si="188"/>
        <v>-0.21860465116279071</v>
      </c>
      <c r="P183" s="357">
        <f t="shared" si="189"/>
        <v>-0.17441860465116277</v>
      </c>
      <c r="Q183" s="357">
        <f t="shared" si="190"/>
        <v>-0.13389121338912136</v>
      </c>
      <c r="R183" s="357">
        <f t="shared" si="191"/>
        <v>9.52380952380949E-3</v>
      </c>
      <c r="S183" s="357">
        <f t="shared" si="192"/>
        <v>2.6315789473684292E-2</v>
      </c>
      <c r="T183" s="357">
        <f t="shared" si="193"/>
        <v>2.9411764705882248E-2</v>
      </c>
      <c r="U183" s="379">
        <f t="shared" si="194"/>
        <v>3.125E-2</v>
      </c>
      <c r="W183" s="451">
        <f t="shared" si="243"/>
        <v>-3.007745523727795E-2</v>
      </c>
      <c r="X183" s="357">
        <f t="shared" si="244"/>
        <v>-0.38976619856506073</v>
      </c>
      <c r="Y183" s="357">
        <f t="shared" si="245"/>
        <v>-0.24667404872440388</v>
      </c>
      <c r="Z183" s="357">
        <f t="shared" si="246"/>
        <v>-0.1916674192121923</v>
      </c>
      <c r="AA183" s="357">
        <f t="shared" si="247"/>
        <v>-0.14374475866614161</v>
      </c>
      <c r="AB183" s="357">
        <f t="shared" si="248"/>
        <v>9.4787439545437387E-3</v>
      </c>
      <c r="AC183" s="357">
        <f t="shared" si="180"/>
        <v>2.5975486403260736E-2</v>
      </c>
      <c r="AD183" s="357">
        <f t="shared" si="181"/>
        <v>2.8987536873252187E-2</v>
      </c>
      <c r="AE183" s="379">
        <f t="shared" si="182"/>
        <v>3.0771658666753687E-2</v>
      </c>
      <c r="AG183" s="451">
        <f t="shared" si="249"/>
        <v>-5.1101704307197626E-2</v>
      </c>
      <c r="AH183" s="357">
        <f t="shared" si="250"/>
        <v>-0.34389488704385557</v>
      </c>
      <c r="AI183" s="357">
        <f t="shared" si="251"/>
        <v>-0.23286985745190597</v>
      </c>
      <c r="AJ183" s="357">
        <f t="shared" si="252"/>
        <v>-0.18436719327400103</v>
      </c>
      <c r="AK183" s="357">
        <f t="shared" si="253"/>
        <v>-0.14034788667468812</v>
      </c>
      <c r="AL183" s="357">
        <f t="shared" si="254"/>
        <v>9.0767288517597244E-3</v>
      </c>
      <c r="AM183" s="357">
        <f t="shared" si="183"/>
        <v>2.6145142738583392E-2</v>
      </c>
      <c r="AN183" s="357">
        <f t="shared" si="184"/>
        <v>2.9430835457274891E-2</v>
      </c>
      <c r="AO183" s="379">
        <f t="shared" si="185"/>
        <v>3.1304711961047643E-2</v>
      </c>
    </row>
    <row r="184" spans="2:41" x14ac:dyDescent="0.25">
      <c r="B184" s="449">
        <v>43613</v>
      </c>
      <c r="C184">
        <v>132</v>
      </c>
      <c r="D184">
        <v>86</v>
      </c>
      <c r="E184">
        <v>149</v>
      </c>
      <c r="F184">
        <v>200</v>
      </c>
      <c r="G184">
        <v>193</v>
      </c>
      <c r="H184">
        <v>205</v>
      </c>
      <c r="I184">
        <v>192</v>
      </c>
      <c r="J184">
        <v>172</v>
      </c>
      <c r="K184" s="445">
        <v>162</v>
      </c>
      <c r="M184" s="451">
        <f t="shared" si="186"/>
        <v>7.6335877862594437E-3</v>
      </c>
      <c r="N184" s="357">
        <f t="shared" si="187"/>
        <v>-0.19626168224299068</v>
      </c>
      <c r="O184" s="357">
        <f t="shared" si="188"/>
        <v>-0.11309523809523814</v>
      </c>
      <c r="P184" s="357">
        <f t="shared" si="189"/>
        <v>-6.1032863849765251E-2</v>
      </c>
      <c r="Q184" s="357">
        <f t="shared" si="190"/>
        <v>-6.7632850241545861E-2</v>
      </c>
      <c r="R184" s="357">
        <f t="shared" si="191"/>
        <v>-3.301886792452835E-2</v>
      </c>
      <c r="S184" s="357">
        <f t="shared" si="192"/>
        <v>-1.538461538461533E-2</v>
      </c>
      <c r="T184" s="357">
        <f t="shared" si="193"/>
        <v>-1.7142857142857126E-2</v>
      </c>
      <c r="U184" s="379">
        <f t="shared" si="194"/>
        <v>-1.8181818181818188E-2</v>
      </c>
      <c r="W184" s="451">
        <f t="shared" si="243"/>
        <v>7.6045993852192125E-3</v>
      </c>
      <c r="X184" s="357">
        <f t="shared" si="244"/>
        <v>-0.21848153820839847</v>
      </c>
      <c r="Y184" s="357">
        <f t="shared" si="245"/>
        <v>-0.12001767345779983</v>
      </c>
      <c r="Z184" s="357">
        <f t="shared" si="246"/>
        <v>-6.2974799161388428E-2</v>
      </c>
      <c r="AA184" s="357">
        <f t="shared" si="247"/>
        <v>-7.0028604360483485E-2</v>
      </c>
      <c r="AB184" s="357">
        <f t="shared" si="248"/>
        <v>-3.3576295533604326E-2</v>
      </c>
      <c r="AC184" s="357">
        <f t="shared" si="180"/>
        <v>-1.5504186535965199E-2</v>
      </c>
      <c r="AD184" s="357">
        <f t="shared" si="181"/>
        <v>-1.7291497110060994E-2</v>
      </c>
      <c r="AE184" s="379">
        <f t="shared" si="182"/>
        <v>-1.8349138668196541E-2</v>
      </c>
      <c r="AG184" s="451">
        <f t="shared" si="249"/>
        <v>-1.3838486891308514E-2</v>
      </c>
      <c r="AH184" s="357">
        <f t="shared" si="250"/>
        <v>-0.21737175916026394</v>
      </c>
      <c r="AI184" s="357">
        <f t="shared" si="251"/>
        <v>-0.1273604443843534</v>
      </c>
      <c r="AJ184" s="357">
        <f t="shared" si="252"/>
        <v>-7.0981452472603512E-2</v>
      </c>
      <c r="AK184" s="357">
        <f t="shared" si="253"/>
        <v>-7.4089523527112622E-2</v>
      </c>
      <c r="AL184" s="357">
        <f t="shared" si="254"/>
        <v>-3.3465948596578116E-2</v>
      </c>
      <c r="AM184" s="357">
        <f t="shared" si="183"/>
        <v>-1.5555262119716229E-2</v>
      </c>
      <c r="AN184" s="357">
        <f t="shared" si="184"/>
        <v>-1.7123786391464484E-2</v>
      </c>
      <c r="AO184" s="379">
        <f t="shared" si="185"/>
        <v>-1.8127106220770541E-2</v>
      </c>
    </row>
    <row r="185" spans="2:41" x14ac:dyDescent="0.25">
      <c r="B185" s="449">
        <v>43620</v>
      </c>
      <c r="C185">
        <v>77</v>
      </c>
      <c r="D185">
        <v>172</v>
      </c>
      <c r="E185">
        <v>246</v>
      </c>
      <c r="F185">
        <v>242</v>
      </c>
      <c r="G185">
        <v>220</v>
      </c>
      <c r="H185">
        <v>205</v>
      </c>
      <c r="I185">
        <v>192</v>
      </c>
      <c r="J185">
        <v>172</v>
      </c>
      <c r="K185" s="445">
        <v>162</v>
      </c>
      <c r="M185" s="451">
        <f t="shared" si="186"/>
        <v>-0.41666666666666663</v>
      </c>
      <c r="N185" s="357">
        <f t="shared" si="187"/>
        <v>1</v>
      </c>
      <c r="O185" s="357">
        <f t="shared" si="188"/>
        <v>0.65100671140939603</v>
      </c>
      <c r="P185" s="357">
        <f t="shared" si="189"/>
        <v>0.20999999999999996</v>
      </c>
      <c r="Q185" s="357">
        <f t="shared" si="190"/>
        <v>0.13989637305699487</v>
      </c>
      <c r="R185" s="357">
        <f t="shared" si="191"/>
        <v>0</v>
      </c>
      <c r="S185" s="357">
        <f t="shared" si="192"/>
        <v>0</v>
      </c>
      <c r="T185" s="357">
        <f t="shared" si="193"/>
        <v>0</v>
      </c>
      <c r="U185" s="379">
        <f t="shared" si="194"/>
        <v>0</v>
      </c>
      <c r="W185" s="451">
        <f t="shared" si="243"/>
        <v>-0.5389965007326869</v>
      </c>
      <c r="X185" s="357">
        <f t="shared" si="244"/>
        <v>0.69314718055994529</v>
      </c>
      <c r="Y185" s="357">
        <f t="shared" si="245"/>
        <v>0.50138522998690371</v>
      </c>
      <c r="Z185" s="357">
        <f t="shared" si="246"/>
        <v>0.1906203596086497</v>
      </c>
      <c r="AA185" s="357">
        <f t="shared" si="247"/>
        <v>0.13093735744747603</v>
      </c>
      <c r="AB185" s="357">
        <f t="shared" si="248"/>
        <v>0</v>
      </c>
      <c r="AC185" s="357">
        <f t="shared" si="180"/>
        <v>0</v>
      </c>
      <c r="AD185" s="357">
        <f t="shared" si="181"/>
        <v>0</v>
      </c>
      <c r="AE185" s="379">
        <f t="shared" si="182"/>
        <v>0</v>
      </c>
      <c r="AG185" s="451">
        <f t="shared" si="249"/>
        <v>-0.43813874134423458</v>
      </c>
      <c r="AH185" s="357">
        <f t="shared" si="250"/>
        <v>0.97888992308272671</v>
      </c>
      <c r="AI185" s="357">
        <f t="shared" si="251"/>
        <v>0.63674150512028072</v>
      </c>
      <c r="AJ185" s="357">
        <f t="shared" si="252"/>
        <v>0.2000514113771617</v>
      </c>
      <c r="AK185" s="357">
        <f t="shared" si="253"/>
        <v>0.13343969977142811</v>
      </c>
      <c r="AL185" s="357">
        <f t="shared" si="254"/>
        <v>-4.4708067204976532E-4</v>
      </c>
      <c r="AM185" s="357">
        <f t="shared" si="183"/>
        <v>-1.7064673510089895E-4</v>
      </c>
      <c r="AN185" s="357">
        <f t="shared" si="184"/>
        <v>1.9070751392640699E-5</v>
      </c>
      <c r="AO185" s="379">
        <f t="shared" si="185"/>
        <v>5.4711961047645428E-5</v>
      </c>
    </row>
    <row r="186" spans="2:41" x14ac:dyDescent="0.25">
      <c r="B186" s="449">
        <v>43627</v>
      </c>
      <c r="C186">
        <v>80</v>
      </c>
      <c r="D186">
        <v>177</v>
      </c>
      <c r="E186">
        <v>250</v>
      </c>
      <c r="F186">
        <v>237</v>
      </c>
      <c r="G186">
        <v>215</v>
      </c>
      <c r="H186">
        <v>208</v>
      </c>
      <c r="I186">
        <v>195</v>
      </c>
      <c r="J186">
        <v>175</v>
      </c>
      <c r="K186" s="445">
        <v>168</v>
      </c>
      <c r="M186" s="451">
        <f t="shared" si="186"/>
        <v>3.8961038961038863E-2</v>
      </c>
      <c r="N186" s="357">
        <f t="shared" si="187"/>
        <v>2.9069767441860517E-2</v>
      </c>
      <c r="O186" s="357">
        <f t="shared" si="188"/>
        <v>1.6260162601626105E-2</v>
      </c>
      <c r="P186" s="357">
        <f t="shared" si="189"/>
        <v>-2.0661157024793431E-2</v>
      </c>
      <c r="Q186" s="357">
        <f t="shared" si="190"/>
        <v>-2.2727272727272707E-2</v>
      </c>
      <c r="R186" s="357">
        <f t="shared" si="191"/>
        <v>1.4634146341463428E-2</v>
      </c>
      <c r="S186" s="357">
        <f t="shared" si="192"/>
        <v>1.5625E-2</v>
      </c>
      <c r="T186" s="357">
        <f t="shared" si="193"/>
        <v>1.744186046511631E-2</v>
      </c>
      <c r="U186" s="379">
        <f t="shared" si="194"/>
        <v>3.7037037037036979E-2</v>
      </c>
      <c r="W186" s="451">
        <f t="shared" si="243"/>
        <v>3.8221212820197671E-2</v>
      </c>
      <c r="X186" s="357">
        <f t="shared" si="244"/>
        <v>2.8655255760376148E-2</v>
      </c>
      <c r="Y186" s="357">
        <f t="shared" si="245"/>
        <v>1.6129381929883717E-2</v>
      </c>
      <c r="Z186" s="357">
        <f t="shared" si="246"/>
        <v>-2.0877585021555255E-2</v>
      </c>
      <c r="AA186" s="357">
        <f t="shared" si="247"/>
        <v>-2.2989518224698718E-2</v>
      </c>
      <c r="AB186" s="357">
        <f t="shared" si="248"/>
        <v>1.4528100562909808E-2</v>
      </c>
      <c r="AC186" s="357">
        <f t="shared" si="180"/>
        <v>1.5504186535965254E-2</v>
      </c>
      <c r="AD186" s="357">
        <f t="shared" si="181"/>
        <v>1.7291497110061043E-2</v>
      </c>
      <c r="AE186" s="379">
        <f t="shared" si="182"/>
        <v>3.6367644170874791E-2</v>
      </c>
      <c r="AG186" s="451">
        <f t="shared" si="249"/>
        <v>1.7488964283470906E-2</v>
      </c>
      <c r="AH186" s="357">
        <f t="shared" si="250"/>
        <v>7.9596905245872644E-3</v>
      </c>
      <c r="AI186" s="357">
        <f t="shared" si="251"/>
        <v>1.9949563125108306E-3</v>
      </c>
      <c r="AJ186" s="357">
        <f t="shared" si="252"/>
        <v>-3.0609745647631696E-2</v>
      </c>
      <c r="AK186" s="357">
        <f t="shared" si="253"/>
        <v>-2.9183946012839475E-2</v>
      </c>
      <c r="AL186" s="357">
        <f t="shared" si="254"/>
        <v>1.4187065669413662E-2</v>
      </c>
      <c r="AM186" s="357">
        <f t="shared" si="183"/>
        <v>1.5454353264899101E-2</v>
      </c>
      <c r="AN186" s="357">
        <f t="shared" si="184"/>
        <v>1.7460931216508952E-2</v>
      </c>
      <c r="AO186" s="379">
        <f t="shared" si="185"/>
        <v>3.7091748998084623E-2</v>
      </c>
    </row>
    <row r="187" spans="2:41" x14ac:dyDescent="0.25">
      <c r="B187" s="449">
        <v>43634</v>
      </c>
      <c r="C187">
        <v>77</v>
      </c>
      <c r="D187">
        <v>152</v>
      </c>
      <c r="E187">
        <v>212</v>
      </c>
      <c r="F187">
        <v>207</v>
      </c>
      <c r="G187">
        <v>200</v>
      </c>
      <c r="H187">
        <v>205</v>
      </c>
      <c r="I187">
        <v>195</v>
      </c>
      <c r="J187">
        <v>170</v>
      </c>
      <c r="K187" s="445">
        <v>165</v>
      </c>
      <c r="M187" s="451">
        <f t="shared" si="186"/>
        <v>-3.7499999999999978E-2</v>
      </c>
      <c r="N187" s="357">
        <f t="shared" si="187"/>
        <v>-0.14124293785310738</v>
      </c>
      <c r="O187" s="357">
        <f t="shared" si="188"/>
        <v>-0.15200000000000002</v>
      </c>
      <c r="P187" s="357">
        <f t="shared" si="189"/>
        <v>-0.12658227848101267</v>
      </c>
      <c r="Q187" s="357">
        <f t="shared" si="190"/>
        <v>-6.9767441860465129E-2</v>
      </c>
      <c r="R187" s="357">
        <f t="shared" si="191"/>
        <v>-1.4423076923076872E-2</v>
      </c>
      <c r="S187" s="357">
        <f t="shared" si="192"/>
        <v>0</v>
      </c>
      <c r="T187" s="357">
        <f t="shared" si="193"/>
        <v>-2.8571428571428581E-2</v>
      </c>
      <c r="U187" s="379">
        <f t="shared" si="194"/>
        <v>-1.7857142857142905E-2</v>
      </c>
      <c r="W187" s="451">
        <f t="shared" si="243"/>
        <v>-3.8221212820197741E-2</v>
      </c>
      <c r="X187" s="357">
        <f t="shared" si="244"/>
        <v>-0.15226921172755278</v>
      </c>
      <c r="Y187" s="357">
        <f t="shared" si="245"/>
        <v>-0.16487464319023401</v>
      </c>
      <c r="Z187" s="357">
        <f t="shared" si="246"/>
        <v>-0.13534134786976212</v>
      </c>
      <c r="AA187" s="357">
        <f t="shared" si="247"/>
        <v>-7.2320661579626133E-2</v>
      </c>
      <c r="AB187" s="357">
        <f t="shared" si="248"/>
        <v>-1.4528100562909744E-2</v>
      </c>
      <c r="AC187" s="357">
        <f t="shared" si="180"/>
        <v>0</v>
      </c>
      <c r="AD187" s="357">
        <f t="shared" si="181"/>
        <v>-2.8987536873252298E-2</v>
      </c>
      <c r="AE187" s="379">
        <f t="shared" si="182"/>
        <v>-1.8018505502678365E-2</v>
      </c>
      <c r="AG187" s="451">
        <f t="shared" si="249"/>
        <v>-5.8972074677567932E-2</v>
      </c>
      <c r="AH187" s="357">
        <f t="shared" si="250"/>
        <v>-0.16235301477038064</v>
      </c>
      <c r="AI187" s="357">
        <f t="shared" si="251"/>
        <v>-0.16626520628911529</v>
      </c>
      <c r="AJ187" s="357">
        <f t="shared" si="252"/>
        <v>-0.13653086710385093</v>
      </c>
      <c r="AK187" s="357">
        <f t="shared" si="253"/>
        <v>-7.622411514603189E-2</v>
      </c>
      <c r="AL187" s="357">
        <f t="shared" si="254"/>
        <v>-1.4870157595126637E-2</v>
      </c>
      <c r="AM187" s="357">
        <f t="shared" si="183"/>
        <v>-1.7064673510089895E-4</v>
      </c>
      <c r="AN187" s="357">
        <f t="shared" si="184"/>
        <v>-2.8552357820035939E-2</v>
      </c>
      <c r="AO187" s="379">
        <f t="shared" si="185"/>
        <v>-1.7802430896095258E-2</v>
      </c>
    </row>
    <row r="188" spans="2:41" x14ac:dyDescent="0.25">
      <c r="B188" s="449">
        <v>43641</v>
      </c>
      <c r="C188">
        <v>77</v>
      </c>
      <c r="D188">
        <v>165</v>
      </c>
      <c r="E188">
        <v>226</v>
      </c>
      <c r="F188">
        <v>206</v>
      </c>
      <c r="G188">
        <v>204</v>
      </c>
      <c r="H188">
        <v>207</v>
      </c>
      <c r="I188">
        <v>195</v>
      </c>
      <c r="J188">
        <v>170</v>
      </c>
      <c r="K188" s="445">
        <v>165</v>
      </c>
      <c r="M188" s="451">
        <f t="shared" si="186"/>
        <v>0</v>
      </c>
      <c r="N188" s="357">
        <f t="shared" si="187"/>
        <v>8.5526315789473673E-2</v>
      </c>
      <c r="O188" s="357">
        <f t="shared" si="188"/>
        <v>6.60377358490567E-2</v>
      </c>
      <c r="P188" s="357">
        <f t="shared" si="189"/>
        <v>-4.8309178743961567E-3</v>
      </c>
      <c r="Q188" s="357">
        <f t="shared" si="190"/>
        <v>2.0000000000000018E-2</v>
      </c>
      <c r="R188" s="357">
        <f t="shared" si="191"/>
        <v>9.7560975609756184E-3</v>
      </c>
      <c r="S188" s="357">
        <f t="shared" si="192"/>
        <v>0</v>
      </c>
      <c r="T188" s="357">
        <f t="shared" si="193"/>
        <v>0</v>
      </c>
      <c r="U188" s="379">
        <f t="shared" si="194"/>
        <v>0</v>
      </c>
      <c r="W188" s="451">
        <f t="shared" si="243"/>
        <v>0</v>
      </c>
      <c r="X188" s="357">
        <f t="shared" si="244"/>
        <v>8.206495305430421E-2</v>
      </c>
      <c r="Y188" s="357">
        <f t="shared" si="245"/>
        <v>6.394872460027351E-2</v>
      </c>
      <c r="Z188" s="357">
        <f t="shared" si="246"/>
        <v>-4.8426244757880151E-3</v>
      </c>
      <c r="AA188" s="357">
        <f t="shared" si="247"/>
        <v>1.980262729617973E-2</v>
      </c>
      <c r="AB188" s="357">
        <f t="shared" si="248"/>
        <v>9.7088141269609032E-3</v>
      </c>
      <c r="AC188" s="357">
        <f t="shared" si="180"/>
        <v>0</v>
      </c>
      <c r="AD188" s="357">
        <f t="shared" si="181"/>
        <v>0</v>
      </c>
      <c r="AE188" s="379">
        <f t="shared" si="182"/>
        <v>0</v>
      </c>
      <c r="AG188" s="451">
        <f t="shared" si="249"/>
        <v>-2.1472074677567957E-2</v>
      </c>
      <c r="AH188" s="357">
        <f t="shared" si="250"/>
        <v>6.4416238872200424E-2</v>
      </c>
      <c r="AI188" s="357">
        <f t="shared" si="251"/>
        <v>5.1772529559941424E-2</v>
      </c>
      <c r="AJ188" s="357">
        <f t="shared" si="252"/>
        <v>-1.4779506497234422E-2</v>
      </c>
      <c r="AK188" s="357">
        <f t="shared" si="253"/>
        <v>1.354332671443325E-2</v>
      </c>
      <c r="AL188" s="357">
        <f t="shared" si="254"/>
        <v>9.3090168889258529E-3</v>
      </c>
      <c r="AM188" s="357">
        <f t="shared" si="183"/>
        <v>-1.7064673510089895E-4</v>
      </c>
      <c r="AN188" s="357">
        <f t="shared" si="184"/>
        <v>1.9070751392640699E-5</v>
      </c>
      <c r="AO188" s="379">
        <f t="shared" si="185"/>
        <v>5.4711961047645428E-5</v>
      </c>
    </row>
    <row r="189" spans="2:41" x14ac:dyDescent="0.25">
      <c r="B189" s="449">
        <v>43648</v>
      </c>
      <c r="C189">
        <v>78.61</v>
      </c>
      <c r="D189">
        <v>181</v>
      </c>
      <c r="E189">
        <v>223</v>
      </c>
      <c r="F189">
        <v>205</v>
      </c>
      <c r="G189">
        <v>204</v>
      </c>
      <c r="H189">
        <v>208</v>
      </c>
      <c r="I189">
        <v>195</v>
      </c>
      <c r="J189">
        <v>170</v>
      </c>
      <c r="K189" s="445">
        <v>165</v>
      </c>
      <c r="M189" s="451">
        <f t="shared" si="186"/>
        <v>2.0909090909090988E-2</v>
      </c>
      <c r="N189" s="357">
        <f t="shared" si="187"/>
        <v>9.6969696969696928E-2</v>
      </c>
      <c r="O189" s="357">
        <f t="shared" si="188"/>
        <v>-1.3274336283185861E-2</v>
      </c>
      <c r="P189" s="357">
        <f t="shared" si="189"/>
        <v>-4.8543689320388328E-3</v>
      </c>
      <c r="Q189" s="357">
        <f t="shared" si="190"/>
        <v>0</v>
      </c>
      <c r="R189" s="357">
        <f t="shared" si="191"/>
        <v>4.8309178743961567E-3</v>
      </c>
      <c r="S189" s="357">
        <f t="shared" si="192"/>
        <v>0</v>
      </c>
      <c r="T189" s="357">
        <f t="shared" si="193"/>
        <v>0</v>
      </c>
      <c r="U189" s="379">
        <f t="shared" si="194"/>
        <v>0</v>
      </c>
      <c r="W189" s="451">
        <f t="shared" si="243"/>
        <v>2.0693495951981347E-2</v>
      </c>
      <c r="X189" s="357">
        <f t="shared" si="244"/>
        <v>9.2551557365245105E-2</v>
      </c>
      <c r="Y189" s="357">
        <f t="shared" si="245"/>
        <v>-1.3363227812167141E-2</v>
      </c>
      <c r="Z189" s="357">
        <f t="shared" si="246"/>
        <v>-4.8661896511728994E-3</v>
      </c>
      <c r="AA189" s="357">
        <f t="shared" si="247"/>
        <v>0</v>
      </c>
      <c r="AB189" s="357">
        <f t="shared" si="248"/>
        <v>4.8192864359489218E-3</v>
      </c>
      <c r="AC189" s="357">
        <f t="shared" si="180"/>
        <v>0</v>
      </c>
      <c r="AD189" s="357">
        <f t="shared" si="181"/>
        <v>0</v>
      </c>
      <c r="AE189" s="379">
        <f t="shared" si="182"/>
        <v>0</v>
      </c>
      <c r="AG189" s="451">
        <f t="shared" si="249"/>
        <v>-5.629837684769691E-4</v>
      </c>
      <c r="AH189" s="357">
        <f t="shared" si="250"/>
        <v>7.5859620052423679E-2</v>
      </c>
      <c r="AI189" s="357">
        <f t="shared" si="251"/>
        <v>-2.7539542572301137E-2</v>
      </c>
      <c r="AJ189" s="357">
        <f t="shared" si="252"/>
        <v>-1.4802957554877098E-2</v>
      </c>
      <c r="AK189" s="357">
        <f t="shared" si="253"/>
        <v>-6.4566732855667669E-3</v>
      </c>
      <c r="AL189" s="357">
        <f t="shared" si="254"/>
        <v>4.3838372023463912E-3</v>
      </c>
      <c r="AM189" s="357">
        <f t="shared" si="183"/>
        <v>-1.7064673510089895E-4</v>
      </c>
      <c r="AN189" s="357">
        <f t="shared" si="184"/>
        <v>1.9070751392640699E-5</v>
      </c>
      <c r="AO189" s="379">
        <f t="shared" si="185"/>
        <v>5.4711961047645428E-5</v>
      </c>
    </row>
    <row r="190" spans="2:41" x14ac:dyDescent="0.25">
      <c r="B190" s="449">
        <v>43655</v>
      </c>
      <c r="C190">
        <v>181</v>
      </c>
      <c r="D190">
        <v>225</v>
      </c>
      <c r="E190">
        <v>205</v>
      </c>
      <c r="F190">
        <v>209</v>
      </c>
      <c r="G190">
        <v>204</v>
      </c>
      <c r="H190">
        <v>203</v>
      </c>
      <c r="I190">
        <v>195</v>
      </c>
      <c r="J190">
        <v>175</v>
      </c>
      <c r="K190" s="445">
        <v>165</v>
      </c>
      <c r="M190" s="451">
        <f t="shared" si="186"/>
        <v>1.3025060424882331</v>
      </c>
      <c r="N190" s="357">
        <f t="shared" si="187"/>
        <v>0.24309392265193375</v>
      </c>
      <c r="O190" s="357">
        <f t="shared" si="188"/>
        <v>-8.0717488789237679E-2</v>
      </c>
      <c r="P190" s="357">
        <f t="shared" si="189"/>
        <v>1.9512195121951237E-2</v>
      </c>
      <c r="Q190" s="357">
        <f t="shared" si="190"/>
        <v>0</v>
      </c>
      <c r="R190" s="357">
        <f t="shared" si="191"/>
        <v>-2.4038461538461564E-2</v>
      </c>
      <c r="S190" s="357">
        <f t="shared" si="192"/>
        <v>0</v>
      </c>
      <c r="T190" s="357">
        <f t="shared" si="193"/>
        <v>2.9411764705882248E-2</v>
      </c>
      <c r="U190" s="379">
        <f t="shared" si="194"/>
        <v>0</v>
      </c>
      <c r="W190" s="451">
        <f t="shared" si="243"/>
        <v>0.83399811346016062</v>
      </c>
      <c r="X190" s="357">
        <f t="shared" si="244"/>
        <v>0.21760337093859441</v>
      </c>
      <c r="Y190" s="357">
        <f t="shared" si="245"/>
        <v>-8.4161792321710588E-2</v>
      </c>
      <c r="Z190" s="357">
        <f t="shared" si="246"/>
        <v>1.9324272826402842E-2</v>
      </c>
      <c r="AA190" s="357">
        <f t="shared" si="247"/>
        <v>0</v>
      </c>
      <c r="AB190" s="357">
        <f t="shared" si="248"/>
        <v>-2.4332100659530669E-2</v>
      </c>
      <c r="AC190" s="357">
        <f t="shared" si="180"/>
        <v>0</v>
      </c>
      <c r="AD190" s="357">
        <f t="shared" si="181"/>
        <v>2.8987536873252187E-2</v>
      </c>
      <c r="AE190" s="379">
        <f t="shared" si="182"/>
        <v>0</v>
      </c>
      <c r="AG190" s="451">
        <f t="shared" si="249"/>
        <v>1.281033967810665</v>
      </c>
      <c r="AH190" s="357">
        <f t="shared" si="250"/>
        <v>0.22198384573466048</v>
      </c>
      <c r="AI190" s="357">
        <f t="shared" si="251"/>
        <v>-9.4982695078352955E-2</v>
      </c>
      <c r="AJ190" s="357">
        <f t="shared" si="252"/>
        <v>9.563606499112972E-3</v>
      </c>
      <c r="AK190" s="357">
        <f t="shared" si="253"/>
        <v>-6.4566732855667669E-3</v>
      </c>
      <c r="AL190" s="357">
        <f t="shared" si="254"/>
        <v>-2.448554221051133E-2</v>
      </c>
      <c r="AM190" s="357">
        <f t="shared" si="183"/>
        <v>-1.7064673510089895E-4</v>
      </c>
      <c r="AN190" s="357">
        <f t="shared" si="184"/>
        <v>2.9430835457274891E-2</v>
      </c>
      <c r="AO190" s="379">
        <f t="shared" si="185"/>
        <v>5.4711961047645428E-5</v>
      </c>
    </row>
    <row r="191" spans="2:41" x14ac:dyDescent="0.25">
      <c r="B191" s="449">
        <v>43662</v>
      </c>
      <c r="C191">
        <v>176</v>
      </c>
      <c r="D191">
        <v>206</v>
      </c>
      <c r="E191">
        <v>184</v>
      </c>
      <c r="F191">
        <v>189</v>
      </c>
      <c r="G191">
        <v>196</v>
      </c>
      <c r="H191">
        <v>200</v>
      </c>
      <c r="I191">
        <v>198</v>
      </c>
      <c r="J191">
        <v>175</v>
      </c>
      <c r="K191" s="445">
        <v>168</v>
      </c>
      <c r="M191" s="451">
        <f t="shared" si="186"/>
        <v>-2.7624309392265234E-2</v>
      </c>
      <c r="N191" s="357">
        <f t="shared" si="187"/>
        <v>-8.4444444444444433E-2</v>
      </c>
      <c r="O191" s="357">
        <f t="shared" si="188"/>
        <v>-0.10243902439024388</v>
      </c>
      <c r="P191" s="357">
        <f t="shared" si="189"/>
        <v>-9.5693779904306275E-2</v>
      </c>
      <c r="Q191" s="357">
        <f t="shared" si="190"/>
        <v>-3.9215686274509776E-2</v>
      </c>
      <c r="R191" s="357">
        <f t="shared" si="191"/>
        <v>-1.4778325123152691E-2</v>
      </c>
      <c r="S191" s="357">
        <f t="shared" si="192"/>
        <v>1.538461538461533E-2</v>
      </c>
      <c r="T191" s="357">
        <f t="shared" si="193"/>
        <v>0</v>
      </c>
      <c r="U191" s="379">
        <f t="shared" si="194"/>
        <v>1.8181818181818077E-2</v>
      </c>
      <c r="W191" s="451">
        <f t="shared" si="243"/>
        <v>-2.8013036227674006E-2</v>
      </c>
      <c r="X191" s="357">
        <f t="shared" si="244"/>
        <v>-8.8224233414839037E-2</v>
      </c>
      <c r="Y191" s="357">
        <f t="shared" si="245"/>
        <v>-0.10807422152942253</v>
      </c>
      <c r="Z191" s="357">
        <f t="shared" si="246"/>
        <v>-0.10058723690516869</v>
      </c>
      <c r="AA191" s="357">
        <f t="shared" si="247"/>
        <v>-4.000533461369913E-2</v>
      </c>
      <c r="AB191" s="357">
        <f t="shared" si="248"/>
        <v>-1.4888612493750637E-2</v>
      </c>
      <c r="AC191" s="357">
        <f t="shared" si="180"/>
        <v>1.5267472130788381E-2</v>
      </c>
      <c r="AD191" s="357">
        <f t="shared" si="181"/>
        <v>0</v>
      </c>
      <c r="AE191" s="379">
        <f t="shared" si="182"/>
        <v>1.8018505502678212E-2</v>
      </c>
      <c r="AG191" s="451">
        <f t="shared" si="249"/>
        <v>-4.9096384069833188E-2</v>
      </c>
      <c r="AH191" s="357">
        <f t="shared" si="250"/>
        <v>-0.10555452136171768</v>
      </c>
      <c r="AI191" s="357">
        <f t="shared" si="251"/>
        <v>-0.11670423067935916</v>
      </c>
      <c r="AJ191" s="357">
        <f t="shared" si="252"/>
        <v>-0.10564236852714454</v>
      </c>
      <c r="AK191" s="357">
        <f t="shared" si="253"/>
        <v>-4.5672359560076543E-2</v>
      </c>
      <c r="AL191" s="357">
        <f t="shared" si="254"/>
        <v>-1.5225405795202457E-2</v>
      </c>
      <c r="AM191" s="357">
        <f t="shared" si="183"/>
        <v>1.5213968649514431E-2</v>
      </c>
      <c r="AN191" s="357">
        <f t="shared" si="184"/>
        <v>1.9070751392640699E-5</v>
      </c>
      <c r="AO191" s="379">
        <f t="shared" si="185"/>
        <v>1.8236530142865724E-2</v>
      </c>
    </row>
    <row r="192" spans="2:41" x14ac:dyDescent="0.25">
      <c r="B192" s="449">
        <v>43669</v>
      </c>
      <c r="C192">
        <v>179</v>
      </c>
      <c r="D192">
        <v>217</v>
      </c>
      <c r="E192">
        <v>186</v>
      </c>
      <c r="F192">
        <v>188</v>
      </c>
      <c r="G192">
        <v>197</v>
      </c>
      <c r="H192">
        <v>198</v>
      </c>
      <c r="I192">
        <v>193</v>
      </c>
      <c r="J192">
        <v>175</v>
      </c>
      <c r="K192" s="445">
        <v>166</v>
      </c>
      <c r="M192" s="451">
        <f t="shared" si="186"/>
        <v>1.7045454545454586E-2</v>
      </c>
      <c r="N192" s="357">
        <f t="shared" si="187"/>
        <v>5.3398058252427161E-2</v>
      </c>
      <c r="O192" s="357">
        <f t="shared" si="188"/>
        <v>1.0869565217391353E-2</v>
      </c>
      <c r="P192" s="357">
        <f t="shared" si="189"/>
        <v>-5.2910052910053462E-3</v>
      </c>
      <c r="Q192" s="357">
        <f t="shared" si="190"/>
        <v>5.1020408163264808E-3</v>
      </c>
      <c r="R192" s="357">
        <f t="shared" si="191"/>
        <v>-1.0000000000000009E-2</v>
      </c>
      <c r="S192" s="357">
        <f t="shared" si="192"/>
        <v>-2.5252525252525304E-2</v>
      </c>
      <c r="T192" s="357">
        <f t="shared" si="193"/>
        <v>0</v>
      </c>
      <c r="U192" s="379">
        <f t="shared" si="194"/>
        <v>-1.1904761904761862E-2</v>
      </c>
      <c r="W192" s="451">
        <f t="shared" si="243"/>
        <v>1.6901810802603254E-2</v>
      </c>
      <c r="X192" s="357">
        <f t="shared" si="244"/>
        <v>5.2021184750878448E-2</v>
      </c>
      <c r="Y192" s="357">
        <f t="shared" si="245"/>
        <v>1.0810916104215676E-2</v>
      </c>
      <c r="Z192" s="357">
        <f t="shared" si="246"/>
        <v>-5.3050522296932291E-3</v>
      </c>
      <c r="AA192" s="357">
        <f t="shared" si="247"/>
        <v>5.0890695074712281E-3</v>
      </c>
      <c r="AB192" s="357">
        <f t="shared" si="248"/>
        <v>-1.0050335853501451E-2</v>
      </c>
      <c r="AC192" s="357">
        <f t="shared" si="180"/>
        <v>-2.5576841789649737E-2</v>
      </c>
      <c r="AD192" s="357">
        <f t="shared" si="181"/>
        <v>0</v>
      </c>
      <c r="AE192" s="379">
        <f t="shared" si="182"/>
        <v>-1.1976191046715649E-2</v>
      </c>
      <c r="AG192" s="451">
        <f t="shared" si="249"/>
        <v>-4.4266201321133715E-3</v>
      </c>
      <c r="AH192" s="357">
        <f t="shared" si="250"/>
        <v>3.2287981335153912E-2</v>
      </c>
      <c r="AI192" s="357">
        <f t="shared" si="251"/>
        <v>-3.3956410717239215E-3</v>
      </c>
      <c r="AJ192" s="357">
        <f t="shared" si="252"/>
        <v>-1.5239593913843611E-2</v>
      </c>
      <c r="AK192" s="357">
        <f t="shared" si="253"/>
        <v>-1.3546324692402861E-3</v>
      </c>
      <c r="AL192" s="357">
        <f t="shared" si="254"/>
        <v>-1.0447080672049774E-2</v>
      </c>
      <c r="AM192" s="357">
        <f t="shared" si="183"/>
        <v>-2.5423171987626204E-2</v>
      </c>
      <c r="AN192" s="357">
        <f t="shared" si="184"/>
        <v>1.9070751392640699E-5</v>
      </c>
      <c r="AO192" s="379">
        <f t="shared" si="185"/>
        <v>-1.1850049943714218E-2</v>
      </c>
    </row>
    <row r="193" spans="2:41" x14ac:dyDescent="0.25">
      <c r="B193" s="449">
        <v>43676</v>
      </c>
      <c r="C193">
        <v>182</v>
      </c>
      <c r="D193">
        <v>233</v>
      </c>
      <c r="E193">
        <v>220</v>
      </c>
      <c r="F193">
        <v>215</v>
      </c>
      <c r="G193">
        <v>203</v>
      </c>
      <c r="H193">
        <v>201</v>
      </c>
      <c r="I193">
        <v>193</v>
      </c>
      <c r="J193">
        <v>175</v>
      </c>
      <c r="K193" s="445">
        <v>167</v>
      </c>
      <c r="M193" s="451">
        <f t="shared" si="186"/>
        <v>1.6759776536312776E-2</v>
      </c>
      <c r="N193" s="357">
        <f t="shared" si="187"/>
        <v>7.3732718894009119E-2</v>
      </c>
      <c r="O193" s="357">
        <f t="shared" si="188"/>
        <v>0.18279569892473124</v>
      </c>
      <c r="P193" s="357">
        <f t="shared" si="189"/>
        <v>0.1436170212765957</v>
      </c>
      <c r="Q193" s="357">
        <f t="shared" si="190"/>
        <v>3.0456852791878264E-2</v>
      </c>
      <c r="R193" s="357">
        <f t="shared" si="191"/>
        <v>1.5151515151515138E-2</v>
      </c>
      <c r="S193" s="357">
        <f t="shared" si="192"/>
        <v>0</v>
      </c>
      <c r="T193" s="357">
        <f t="shared" si="193"/>
        <v>0</v>
      </c>
      <c r="U193" s="379">
        <f t="shared" si="194"/>
        <v>6.0240963855422436E-3</v>
      </c>
      <c r="W193" s="451">
        <f t="shared" si="243"/>
        <v>1.6620881236040282E-2</v>
      </c>
      <c r="X193" s="357">
        <f t="shared" si="244"/>
        <v>7.1141100025240919E-2</v>
      </c>
      <c r="Y193" s="357">
        <f t="shared" si="245"/>
        <v>0.16788087263916035</v>
      </c>
      <c r="Z193" s="357">
        <f t="shared" si="246"/>
        <v>0.13419606529771355</v>
      </c>
      <c r="AA193" s="357">
        <f t="shared" si="247"/>
        <v>3.0002250303798914E-2</v>
      </c>
      <c r="AB193" s="357">
        <f t="shared" si="248"/>
        <v>1.5037877364540502E-2</v>
      </c>
      <c r="AC193" s="357">
        <f t="shared" si="180"/>
        <v>0</v>
      </c>
      <c r="AD193" s="357">
        <f t="shared" si="181"/>
        <v>0</v>
      </c>
      <c r="AE193" s="379">
        <f t="shared" si="182"/>
        <v>6.0060240602119487E-3</v>
      </c>
      <c r="AG193" s="451">
        <f t="shared" si="249"/>
        <v>-4.7122981412551813E-3</v>
      </c>
      <c r="AH193" s="357">
        <f t="shared" si="250"/>
        <v>5.2622641976735871E-2</v>
      </c>
      <c r="AI193" s="357">
        <f t="shared" si="251"/>
        <v>0.16853049263561598</v>
      </c>
      <c r="AJ193" s="357">
        <f t="shared" si="252"/>
        <v>0.13366843265375744</v>
      </c>
      <c r="AK193" s="357">
        <f t="shared" si="253"/>
        <v>2.4000179506311496E-2</v>
      </c>
      <c r="AL193" s="357">
        <f t="shared" si="254"/>
        <v>1.4704434479465373E-2</v>
      </c>
      <c r="AM193" s="357">
        <f t="shared" si="183"/>
        <v>-1.7064673510089895E-4</v>
      </c>
      <c r="AN193" s="357">
        <f t="shared" si="184"/>
        <v>1.9070751392640699E-5</v>
      </c>
      <c r="AO193" s="379">
        <f t="shared" si="185"/>
        <v>6.0788083465898894E-3</v>
      </c>
    </row>
    <row r="194" spans="2:41" x14ac:dyDescent="0.25">
      <c r="B194" s="449">
        <v>43683</v>
      </c>
      <c r="C194">
        <v>182</v>
      </c>
      <c r="D194">
        <v>233</v>
      </c>
      <c r="E194">
        <v>221</v>
      </c>
      <c r="F194">
        <v>214</v>
      </c>
      <c r="G194">
        <v>175</v>
      </c>
      <c r="H194">
        <v>198</v>
      </c>
      <c r="I194">
        <v>190</v>
      </c>
      <c r="J194">
        <v>175</v>
      </c>
      <c r="K194" s="445">
        <v>167</v>
      </c>
      <c r="M194" s="451">
        <f t="shared" si="186"/>
        <v>0</v>
      </c>
      <c r="N194" s="357">
        <f t="shared" si="187"/>
        <v>0</v>
      </c>
      <c r="O194" s="357">
        <f t="shared" si="188"/>
        <v>4.5454545454546302E-3</v>
      </c>
      <c r="P194" s="357">
        <f t="shared" si="189"/>
        <v>-4.6511627906976605E-3</v>
      </c>
      <c r="Q194" s="357">
        <f t="shared" si="190"/>
        <v>-0.13793103448275867</v>
      </c>
      <c r="R194" s="357">
        <f t="shared" si="191"/>
        <v>-1.4925373134328401E-2</v>
      </c>
      <c r="S194" s="357">
        <f t="shared" si="192"/>
        <v>-1.5544041450777257E-2</v>
      </c>
      <c r="T194" s="357">
        <f t="shared" si="193"/>
        <v>0</v>
      </c>
      <c r="U194" s="379">
        <f t="shared" si="194"/>
        <v>0</v>
      </c>
      <c r="W194" s="451">
        <f t="shared" ref="W194:W195" si="255">LN(C194/C193)</f>
        <v>0</v>
      </c>
      <c r="X194" s="357">
        <f t="shared" ref="X194:X195" si="256">LN(D194/D193)</f>
        <v>0</v>
      </c>
      <c r="Y194" s="357">
        <f t="shared" ref="Y194:Y195" si="257">LN(E194/E193)</f>
        <v>4.5351551653913628E-3</v>
      </c>
      <c r="Z194" s="357">
        <f t="shared" ref="Z194:Z195" si="258">LN(F194/F193)</f>
        <v>-4.6620131058113011E-3</v>
      </c>
      <c r="AA194" s="357">
        <f t="shared" ref="AA194:AA195" si="259">LN(G194/G193)</f>
        <v>-0.14842000511827333</v>
      </c>
      <c r="AB194" s="357">
        <f t="shared" ref="AB194:AB195" si="260">LN(H194/H193)</f>
        <v>-1.5037877364540559E-2</v>
      </c>
      <c r="AC194" s="357">
        <f t="shared" si="180"/>
        <v>-1.5666116744399463E-2</v>
      </c>
      <c r="AD194" s="357">
        <f t="shared" si="181"/>
        <v>0</v>
      </c>
      <c r="AE194" s="379">
        <f t="shared" si="182"/>
        <v>0</v>
      </c>
      <c r="AG194" s="451">
        <f t="shared" ref="AG194:AG195" si="261">M194-M$2</f>
        <v>-2.1472074677567957E-2</v>
      </c>
      <c r="AH194" s="357">
        <f t="shared" ref="AH194:AH195" si="262">N194-N$2</f>
        <v>-2.1110076917273252E-2</v>
      </c>
      <c r="AI194" s="357">
        <f t="shared" ref="AI194:AI195" si="263">O194-O$2</f>
        <v>-9.7197517436606439E-3</v>
      </c>
      <c r="AJ194" s="357">
        <f t="shared" ref="AJ194:AJ195" si="264">P194-P$2</f>
        <v>-1.4599751413535925E-2</v>
      </c>
      <c r="AK194" s="357">
        <f t="shared" ref="AK194:AK195" si="265">Q194-Q$2</f>
        <v>-0.14438770776832544</v>
      </c>
      <c r="AL194" s="357">
        <f t="shared" ref="AL194:AL195" si="266">R194-R$2</f>
        <v>-1.5372453806378167E-2</v>
      </c>
      <c r="AM194" s="357">
        <f t="shared" si="183"/>
        <v>-1.5714688185878158E-2</v>
      </c>
      <c r="AN194" s="357">
        <f t="shared" si="184"/>
        <v>1.9070751392640699E-5</v>
      </c>
      <c r="AO194" s="379">
        <f t="shared" si="185"/>
        <v>5.4711961047645428E-5</v>
      </c>
    </row>
    <row r="195" spans="2:41" x14ac:dyDescent="0.25">
      <c r="B195" s="449">
        <v>43690</v>
      </c>
      <c r="C195">
        <v>230</v>
      </c>
      <c r="D195">
        <v>212</v>
      </c>
      <c r="E195">
        <v>204</v>
      </c>
      <c r="F195">
        <v>177</v>
      </c>
      <c r="G195">
        <v>166</v>
      </c>
      <c r="H195">
        <v>197</v>
      </c>
      <c r="I195">
        <v>190</v>
      </c>
      <c r="J195">
        <v>175</v>
      </c>
      <c r="K195" s="445">
        <v>167</v>
      </c>
      <c r="M195" s="451">
        <f t="shared" si="186"/>
        <v>0.26373626373626369</v>
      </c>
      <c r="N195" s="357">
        <f t="shared" si="187"/>
        <v>-9.0128755364806912E-2</v>
      </c>
      <c r="O195" s="357">
        <f t="shared" si="188"/>
        <v>-7.6923076923076872E-2</v>
      </c>
      <c r="P195" s="357">
        <f t="shared" si="189"/>
        <v>-0.17289719626168221</v>
      </c>
      <c r="Q195" s="357">
        <f t="shared" si="190"/>
        <v>-5.1428571428571379E-2</v>
      </c>
      <c r="R195" s="357">
        <f t="shared" si="191"/>
        <v>-5.050505050505083E-3</v>
      </c>
      <c r="S195" s="357">
        <f t="shared" si="192"/>
        <v>0</v>
      </c>
      <c r="T195" s="357">
        <f t="shared" si="193"/>
        <v>0</v>
      </c>
      <c r="U195" s="379">
        <f t="shared" si="194"/>
        <v>0</v>
      </c>
      <c r="W195" s="451">
        <f t="shared" si="255"/>
        <v>0.23407262184639999</v>
      </c>
      <c r="X195" s="357">
        <f t="shared" si="256"/>
        <v>-9.4452178893688163E-2</v>
      </c>
      <c r="Y195" s="357">
        <f t="shared" si="257"/>
        <v>-8.004270767353637E-2</v>
      </c>
      <c r="Z195" s="357">
        <f t="shared" si="258"/>
        <v>-0.1898262824480223</v>
      </c>
      <c r="AA195" s="357">
        <f t="shared" si="259"/>
        <v>-5.2798185566970766E-2</v>
      </c>
      <c r="AB195" s="357">
        <f t="shared" si="260"/>
        <v>-5.063301956546762E-3</v>
      </c>
      <c r="AC195" s="357">
        <f t="shared" si="180"/>
        <v>0</v>
      </c>
      <c r="AD195" s="357">
        <f t="shared" si="181"/>
        <v>0</v>
      </c>
      <c r="AE195" s="379">
        <f t="shared" si="182"/>
        <v>0</v>
      </c>
      <c r="AG195" s="451">
        <f t="shared" si="261"/>
        <v>0.24226418905869573</v>
      </c>
      <c r="AH195" s="357">
        <f t="shared" si="262"/>
        <v>-0.11123883228208016</v>
      </c>
      <c r="AI195" s="357">
        <f t="shared" si="263"/>
        <v>-9.1188283212192148E-2</v>
      </c>
      <c r="AJ195" s="357">
        <f t="shared" si="264"/>
        <v>-0.18284578488452047</v>
      </c>
      <c r="AK195" s="357">
        <f t="shared" si="265"/>
        <v>-5.7885244714138147E-2</v>
      </c>
      <c r="AL195" s="357">
        <f t="shared" si="266"/>
        <v>-5.4975857225548486E-3</v>
      </c>
      <c r="AM195" s="357">
        <f t="shared" si="183"/>
        <v>-1.7064673510089895E-4</v>
      </c>
      <c r="AN195" s="357">
        <f t="shared" si="184"/>
        <v>1.9070751392640699E-5</v>
      </c>
      <c r="AO195" s="379">
        <f t="shared" si="185"/>
        <v>5.4711961047645428E-5</v>
      </c>
    </row>
    <row r="196" spans="2:41" x14ac:dyDescent="0.25">
      <c r="B196" s="449">
        <v>43697</v>
      </c>
      <c r="C196">
        <v>230</v>
      </c>
      <c r="D196">
        <v>216</v>
      </c>
      <c r="E196">
        <v>200</v>
      </c>
      <c r="F196">
        <v>175</v>
      </c>
      <c r="G196">
        <v>164</v>
      </c>
      <c r="H196">
        <v>195</v>
      </c>
      <c r="I196">
        <v>190</v>
      </c>
      <c r="J196">
        <v>175</v>
      </c>
      <c r="K196" s="445">
        <v>167</v>
      </c>
      <c r="M196" s="451">
        <f t="shared" si="186"/>
        <v>0</v>
      </c>
      <c r="N196" s="357">
        <f t="shared" si="187"/>
        <v>1.8867924528301883E-2</v>
      </c>
      <c r="O196" s="357">
        <f t="shared" si="188"/>
        <v>-1.9607843137254943E-2</v>
      </c>
      <c r="P196" s="357">
        <f t="shared" si="189"/>
        <v>-1.1299435028248594E-2</v>
      </c>
      <c r="Q196" s="357">
        <f t="shared" si="190"/>
        <v>-1.2048192771084376E-2</v>
      </c>
      <c r="R196" s="357">
        <f t="shared" si="191"/>
        <v>-1.0152284263959421E-2</v>
      </c>
      <c r="S196" s="357">
        <f t="shared" si="192"/>
        <v>0</v>
      </c>
      <c r="T196" s="357">
        <f t="shared" si="193"/>
        <v>0</v>
      </c>
      <c r="U196" s="379">
        <f t="shared" si="194"/>
        <v>0</v>
      </c>
      <c r="W196" s="451">
        <f t="shared" ref="W196:W226" si="267">LN(C196/C195)</f>
        <v>0</v>
      </c>
      <c r="X196" s="357">
        <f t="shared" ref="X196:X226" si="268">LN(D196/D195)</f>
        <v>1.8692133012152546E-2</v>
      </c>
      <c r="Y196" s="357">
        <f t="shared" ref="Y196:Y226" si="269">LN(E196/E195)</f>
        <v>-1.9802627296179754E-2</v>
      </c>
      <c r="Z196" s="357">
        <f t="shared" ref="Z196:Z226" si="270">LN(F196/F195)</f>
        <v>-1.1363758650315095E-2</v>
      </c>
      <c r="AA196" s="357">
        <f t="shared" ref="AA196:AA226" si="271">LN(G196/G195)</f>
        <v>-1.212136053234485E-2</v>
      </c>
      <c r="AB196" s="357">
        <f t="shared" ref="AB196:AB226" si="272">LN(H196/H195)</f>
        <v>-1.0204170174241736E-2</v>
      </c>
      <c r="AC196" s="357">
        <f t="shared" si="180"/>
        <v>0</v>
      </c>
      <c r="AD196" s="357">
        <f t="shared" si="181"/>
        <v>0</v>
      </c>
      <c r="AE196" s="379">
        <f t="shared" si="182"/>
        <v>0</v>
      </c>
      <c r="AG196" s="451">
        <f t="shared" ref="AG196:AG226" si="273">M196-M$2</f>
        <v>-2.1472074677567957E-2</v>
      </c>
      <c r="AH196" s="357">
        <f t="shared" ref="AH196:AH226" si="274">N196-N$2</f>
        <v>-2.2421523889713697E-3</v>
      </c>
      <c r="AI196" s="357">
        <f t="shared" ref="AI196:AI226" si="275">O196-O$2</f>
        <v>-3.3873049426370219E-2</v>
      </c>
      <c r="AJ196" s="357">
        <f t="shared" ref="AJ196:AJ226" si="276">P196-P$2</f>
        <v>-2.1248023651086859E-2</v>
      </c>
      <c r="AK196" s="357">
        <f t="shared" ref="AK196:AK226" si="277">Q196-Q$2</f>
        <v>-1.8504866056651144E-2</v>
      </c>
      <c r="AL196" s="357">
        <f t="shared" ref="AL196:AL226" si="278">R196-R$2</f>
        <v>-1.0599364936009187E-2</v>
      </c>
      <c r="AM196" s="357">
        <f t="shared" si="183"/>
        <v>-1.7064673510089895E-4</v>
      </c>
      <c r="AN196" s="357">
        <f t="shared" si="184"/>
        <v>1.9070751392640699E-5</v>
      </c>
      <c r="AO196" s="379">
        <f t="shared" si="185"/>
        <v>5.4711961047645428E-5</v>
      </c>
    </row>
    <row r="197" spans="2:41" x14ac:dyDescent="0.25">
      <c r="B197" s="449">
        <v>43704</v>
      </c>
      <c r="C197">
        <v>234</v>
      </c>
      <c r="D197">
        <v>191</v>
      </c>
      <c r="E197">
        <v>173</v>
      </c>
      <c r="F197">
        <v>165</v>
      </c>
      <c r="G197">
        <v>151</v>
      </c>
      <c r="H197">
        <v>190</v>
      </c>
      <c r="I197">
        <v>185</v>
      </c>
      <c r="J197">
        <v>170</v>
      </c>
      <c r="K197" s="445">
        <v>158</v>
      </c>
      <c r="M197" s="451">
        <f t="shared" si="186"/>
        <v>1.7391304347825987E-2</v>
      </c>
      <c r="N197" s="357">
        <f t="shared" si="187"/>
        <v>-0.1157407407407407</v>
      </c>
      <c r="O197" s="357">
        <f t="shared" si="188"/>
        <v>-0.13500000000000001</v>
      </c>
      <c r="P197" s="357">
        <f t="shared" si="189"/>
        <v>-5.7142857142857162E-2</v>
      </c>
      <c r="Q197" s="357">
        <f t="shared" si="190"/>
        <v>-7.9268292682926789E-2</v>
      </c>
      <c r="R197" s="357">
        <f t="shared" si="191"/>
        <v>-2.5641025641025661E-2</v>
      </c>
      <c r="S197" s="357">
        <f t="shared" si="192"/>
        <v>-2.6315789473684181E-2</v>
      </c>
      <c r="T197" s="357">
        <f t="shared" si="193"/>
        <v>-2.8571428571428581E-2</v>
      </c>
      <c r="U197" s="379">
        <f t="shared" si="194"/>
        <v>-5.3892215568862256E-2</v>
      </c>
      <c r="W197" s="451">
        <f t="shared" si="267"/>
        <v>1.7241806434505954E-2</v>
      </c>
      <c r="X197" s="357">
        <f t="shared" si="268"/>
        <v>-0.12300497963753508</v>
      </c>
      <c r="Y197" s="357">
        <f t="shared" si="269"/>
        <v>-0.14502577205025774</v>
      </c>
      <c r="Z197" s="357">
        <f t="shared" si="270"/>
        <v>-5.8840500022933465E-2</v>
      </c>
      <c r="AA197" s="357">
        <f t="shared" si="271"/>
        <v>-8.2586591009274055E-2</v>
      </c>
      <c r="AB197" s="357">
        <f t="shared" si="272"/>
        <v>-2.5975486403260677E-2</v>
      </c>
      <c r="AC197" s="357">
        <f t="shared" si="180"/>
        <v>-2.6668247082161294E-2</v>
      </c>
      <c r="AD197" s="357">
        <f t="shared" si="181"/>
        <v>-2.8987536873252298E-2</v>
      </c>
      <c r="AE197" s="379">
        <f t="shared" si="182"/>
        <v>-5.539877938978828E-2</v>
      </c>
      <c r="AG197" s="451">
        <f t="shared" si="273"/>
        <v>-4.0807703297419708E-3</v>
      </c>
      <c r="AH197" s="357">
        <f t="shared" si="274"/>
        <v>-0.13685081765801396</v>
      </c>
      <c r="AI197" s="357">
        <f t="shared" si="275"/>
        <v>-0.14926520628911527</v>
      </c>
      <c r="AJ197" s="357">
        <f t="shared" si="276"/>
        <v>-6.7091445765695423E-2</v>
      </c>
      <c r="AK197" s="357">
        <f t="shared" si="277"/>
        <v>-8.5724965968493549E-2</v>
      </c>
      <c r="AL197" s="357">
        <f t="shared" si="278"/>
        <v>-2.6088106313075426E-2</v>
      </c>
      <c r="AM197" s="357">
        <f t="shared" si="183"/>
        <v>-2.6486436208785082E-2</v>
      </c>
      <c r="AN197" s="357">
        <f t="shared" si="184"/>
        <v>-2.8552357820035939E-2</v>
      </c>
      <c r="AO197" s="379">
        <f t="shared" si="185"/>
        <v>-5.3837503607814613E-2</v>
      </c>
    </row>
    <row r="198" spans="2:41" x14ac:dyDescent="0.25">
      <c r="B198" s="449">
        <v>43711</v>
      </c>
      <c r="C198">
        <v>203</v>
      </c>
      <c r="D198">
        <v>184</v>
      </c>
      <c r="E198">
        <v>172</v>
      </c>
      <c r="F198">
        <v>155</v>
      </c>
      <c r="G198">
        <v>187</v>
      </c>
      <c r="H198">
        <v>180</v>
      </c>
      <c r="I198">
        <v>165</v>
      </c>
      <c r="J198">
        <v>155</v>
      </c>
      <c r="K198" s="445">
        <v>155</v>
      </c>
      <c r="M198" s="451">
        <f t="shared" si="186"/>
        <v>-0.13247863247863245</v>
      </c>
      <c r="N198" s="357">
        <f t="shared" si="187"/>
        <v>-3.6649214659685847E-2</v>
      </c>
      <c r="O198" s="357">
        <f t="shared" si="188"/>
        <v>-5.7803468208093012E-3</v>
      </c>
      <c r="P198" s="357">
        <f t="shared" si="189"/>
        <v>-6.0606060606060552E-2</v>
      </c>
      <c r="Q198" s="357">
        <f t="shared" si="190"/>
        <v>0.23841059602649017</v>
      </c>
      <c r="R198" s="357">
        <f t="shared" si="191"/>
        <v>-5.2631578947368474E-2</v>
      </c>
      <c r="S198" s="357">
        <f t="shared" si="192"/>
        <v>-0.10810810810810811</v>
      </c>
      <c r="T198" s="357">
        <f t="shared" si="193"/>
        <v>-8.8235294117647078E-2</v>
      </c>
      <c r="U198" s="379">
        <f t="shared" si="194"/>
        <v>-1.8987341772151889E-2</v>
      </c>
      <c r="W198" s="451">
        <f t="shared" si="267"/>
        <v>-0.14211513631591408</v>
      </c>
      <c r="X198" s="357">
        <f t="shared" si="268"/>
        <v>-3.7337670437644237E-2</v>
      </c>
      <c r="Y198" s="357">
        <f t="shared" si="269"/>
        <v>-5.7971176843259579E-3</v>
      </c>
      <c r="Z198" s="357">
        <f t="shared" si="270"/>
        <v>-6.252035698133393E-2</v>
      </c>
      <c r="AA198" s="357">
        <f t="shared" si="271"/>
        <v>0.21382878003966238</v>
      </c>
      <c r="AB198" s="357">
        <f t="shared" si="272"/>
        <v>-5.4067221270275821E-2</v>
      </c>
      <c r="AC198" s="357">
        <f t="shared" si="180"/>
        <v>-0.11441035117774422</v>
      </c>
      <c r="AD198" s="357">
        <f t="shared" si="181"/>
        <v>-9.2373320131015166E-2</v>
      </c>
      <c r="AE198" s="379">
        <f t="shared" si="182"/>
        <v>-1.9169916107720172E-2</v>
      </c>
      <c r="AG198" s="451">
        <f t="shared" si="273"/>
        <v>-0.15395070715620041</v>
      </c>
      <c r="AH198" s="357">
        <f t="shared" si="274"/>
        <v>-5.7759291576959096E-2</v>
      </c>
      <c r="AI198" s="357">
        <f t="shared" si="275"/>
        <v>-2.0045553109924577E-2</v>
      </c>
      <c r="AJ198" s="357">
        <f t="shared" si="276"/>
        <v>-7.0554649228898814E-2</v>
      </c>
      <c r="AK198" s="357">
        <f t="shared" si="277"/>
        <v>0.23195392274092341</v>
      </c>
      <c r="AL198" s="357">
        <f t="shared" si="278"/>
        <v>-5.3078659619418239E-2</v>
      </c>
      <c r="AM198" s="357">
        <f t="shared" si="183"/>
        <v>-0.10827875484320901</v>
      </c>
      <c r="AN198" s="357">
        <f t="shared" si="184"/>
        <v>-8.821622336625444E-2</v>
      </c>
      <c r="AO198" s="379">
        <f t="shared" si="185"/>
        <v>-1.8932629811104242E-2</v>
      </c>
    </row>
    <row r="199" spans="2:41" x14ac:dyDescent="0.25">
      <c r="B199" s="449">
        <v>43718</v>
      </c>
      <c r="C199">
        <v>209</v>
      </c>
      <c r="D199">
        <v>211</v>
      </c>
      <c r="E199">
        <v>191</v>
      </c>
      <c r="F199">
        <v>167</v>
      </c>
      <c r="G199">
        <v>187</v>
      </c>
      <c r="H199">
        <v>180</v>
      </c>
      <c r="I199">
        <v>163</v>
      </c>
      <c r="J199">
        <v>153</v>
      </c>
      <c r="K199" s="445">
        <v>150</v>
      </c>
      <c r="M199" s="451">
        <f t="shared" si="186"/>
        <v>2.9556650246305383E-2</v>
      </c>
      <c r="N199" s="357">
        <f t="shared" si="187"/>
        <v>0.14673913043478271</v>
      </c>
      <c r="O199" s="357">
        <f t="shared" si="188"/>
        <v>0.11046511627906974</v>
      </c>
      <c r="P199" s="357">
        <f t="shared" si="189"/>
        <v>7.7419354838709653E-2</v>
      </c>
      <c r="Q199" s="357">
        <f t="shared" si="190"/>
        <v>0</v>
      </c>
      <c r="R199" s="357">
        <f t="shared" si="191"/>
        <v>0</v>
      </c>
      <c r="S199" s="357">
        <f t="shared" si="192"/>
        <v>-1.2121212121212088E-2</v>
      </c>
      <c r="T199" s="357">
        <f t="shared" si="193"/>
        <v>-1.2903225806451646E-2</v>
      </c>
      <c r="U199" s="379">
        <f t="shared" si="194"/>
        <v>-3.2258064516129004E-2</v>
      </c>
      <c r="W199" s="451">
        <f t="shared" si="267"/>
        <v>2.9128272923023637E-2</v>
      </c>
      <c r="X199" s="357">
        <f t="shared" si="268"/>
        <v>0.13692237586708095</v>
      </c>
      <c r="Y199" s="357">
        <f t="shared" si="269"/>
        <v>0.10477895123317681</v>
      </c>
      <c r="Z199" s="357">
        <f t="shared" si="270"/>
        <v>7.4568695497508469E-2</v>
      </c>
      <c r="AA199" s="357">
        <f t="shared" si="271"/>
        <v>0</v>
      </c>
      <c r="AB199" s="357">
        <f t="shared" si="272"/>
        <v>0</v>
      </c>
      <c r="AC199" s="357">
        <f t="shared" si="180"/>
        <v>-1.2195273093818243E-2</v>
      </c>
      <c r="AD199" s="357">
        <f t="shared" si="181"/>
        <v>-1.298719552681119E-2</v>
      </c>
      <c r="AE199" s="379">
        <f t="shared" si="182"/>
        <v>-3.2789822822990838E-2</v>
      </c>
      <c r="AG199" s="451">
        <f t="shared" si="273"/>
        <v>8.0845755687374253E-3</v>
      </c>
      <c r="AH199" s="357">
        <f t="shared" si="274"/>
        <v>0.12562905351750944</v>
      </c>
      <c r="AI199" s="357">
        <f t="shared" si="275"/>
        <v>9.6199909989954466E-2</v>
      </c>
      <c r="AJ199" s="357">
        <f t="shared" si="276"/>
        <v>6.7470766215871392E-2</v>
      </c>
      <c r="AK199" s="357">
        <f t="shared" si="277"/>
        <v>-6.4566732855667669E-3</v>
      </c>
      <c r="AL199" s="357">
        <f t="shared" si="278"/>
        <v>-4.4708067204976532E-4</v>
      </c>
      <c r="AM199" s="357">
        <f t="shared" si="183"/>
        <v>-1.2291858856312987E-2</v>
      </c>
      <c r="AN199" s="357">
        <f t="shared" si="184"/>
        <v>-1.2884155055059006E-2</v>
      </c>
      <c r="AO199" s="379">
        <f t="shared" si="185"/>
        <v>-3.220335255508136E-2</v>
      </c>
    </row>
    <row r="200" spans="2:41" x14ac:dyDescent="0.25">
      <c r="B200" s="449">
        <v>43725</v>
      </c>
      <c r="C200">
        <v>212</v>
      </c>
      <c r="D200">
        <v>206</v>
      </c>
      <c r="E200">
        <v>185</v>
      </c>
      <c r="F200">
        <v>156</v>
      </c>
      <c r="G200">
        <v>188</v>
      </c>
      <c r="H200">
        <v>180</v>
      </c>
      <c r="I200">
        <v>163</v>
      </c>
      <c r="J200">
        <v>153</v>
      </c>
      <c r="K200" s="445">
        <v>150</v>
      </c>
      <c r="M200" s="451">
        <f t="shared" si="186"/>
        <v>1.4354066985645897E-2</v>
      </c>
      <c r="N200" s="357">
        <f t="shared" si="187"/>
        <v>-2.3696682464454999E-2</v>
      </c>
      <c r="O200" s="357">
        <f t="shared" si="188"/>
        <v>-3.1413612565445059E-2</v>
      </c>
      <c r="P200" s="357">
        <f t="shared" si="189"/>
        <v>-6.5868263473053856E-2</v>
      </c>
      <c r="Q200" s="357">
        <f t="shared" si="190"/>
        <v>5.3475935828877219E-3</v>
      </c>
      <c r="R200" s="357">
        <f t="shared" si="191"/>
        <v>0</v>
      </c>
      <c r="S200" s="357">
        <f t="shared" si="192"/>
        <v>0</v>
      </c>
      <c r="T200" s="357">
        <f t="shared" si="193"/>
        <v>0</v>
      </c>
      <c r="U200" s="379">
        <f t="shared" si="194"/>
        <v>0</v>
      </c>
      <c r="W200" s="451">
        <f t="shared" si="267"/>
        <v>1.4252022707201413E-2</v>
      </c>
      <c r="X200" s="357">
        <f t="shared" si="268"/>
        <v>-2.3981964686485439E-2</v>
      </c>
      <c r="Y200" s="357">
        <f t="shared" si="269"/>
        <v>-3.1917602968305085E-2</v>
      </c>
      <c r="Z200" s="357">
        <f t="shared" si="270"/>
        <v>-6.8137805167218027E-2</v>
      </c>
      <c r="AA200" s="357">
        <f t="shared" si="271"/>
        <v>5.3333459753626029E-3</v>
      </c>
      <c r="AB200" s="357">
        <f t="shared" si="272"/>
        <v>0</v>
      </c>
      <c r="AC200" s="357">
        <f t="shared" si="180"/>
        <v>0</v>
      </c>
      <c r="AD200" s="357">
        <f t="shared" si="181"/>
        <v>0</v>
      </c>
      <c r="AE200" s="379">
        <f t="shared" si="182"/>
        <v>0</v>
      </c>
      <c r="AG200" s="451">
        <f t="shared" si="273"/>
        <v>-7.1180076919220604E-3</v>
      </c>
      <c r="AH200" s="357">
        <f t="shared" si="274"/>
        <v>-4.4806759381728248E-2</v>
      </c>
      <c r="AI200" s="357">
        <f t="shared" si="275"/>
        <v>-4.5678818854560335E-2</v>
      </c>
      <c r="AJ200" s="357">
        <f t="shared" si="276"/>
        <v>-7.5816852095892118E-2</v>
      </c>
      <c r="AK200" s="357">
        <f t="shared" si="277"/>
        <v>-1.109079702679045E-3</v>
      </c>
      <c r="AL200" s="357">
        <f t="shared" si="278"/>
        <v>-4.4708067204976532E-4</v>
      </c>
      <c r="AM200" s="357">
        <f t="shared" si="183"/>
        <v>-1.7064673510089895E-4</v>
      </c>
      <c r="AN200" s="357">
        <f t="shared" si="184"/>
        <v>1.9070751392640699E-5</v>
      </c>
      <c r="AO200" s="379">
        <f t="shared" si="185"/>
        <v>5.4711961047645428E-5</v>
      </c>
    </row>
    <row r="201" spans="2:41" x14ac:dyDescent="0.25">
      <c r="B201" s="449">
        <v>43732</v>
      </c>
      <c r="C201">
        <v>216</v>
      </c>
      <c r="D201">
        <v>225</v>
      </c>
      <c r="E201">
        <v>195</v>
      </c>
      <c r="F201">
        <v>160</v>
      </c>
      <c r="G201">
        <v>188</v>
      </c>
      <c r="H201">
        <v>183</v>
      </c>
      <c r="I201">
        <v>165</v>
      </c>
      <c r="J201">
        <v>153</v>
      </c>
      <c r="K201" s="445">
        <v>150</v>
      </c>
      <c r="M201" s="451">
        <f t="shared" si="186"/>
        <v>1.8867924528301883E-2</v>
      </c>
      <c r="N201" s="357">
        <f t="shared" si="187"/>
        <v>9.2233009708737823E-2</v>
      </c>
      <c r="O201" s="357">
        <f t="shared" si="188"/>
        <v>5.4054054054053946E-2</v>
      </c>
      <c r="P201" s="357">
        <f t="shared" si="189"/>
        <v>2.564102564102555E-2</v>
      </c>
      <c r="Q201" s="357">
        <f t="shared" si="190"/>
        <v>0</v>
      </c>
      <c r="R201" s="357">
        <f t="shared" si="191"/>
        <v>1.6666666666666607E-2</v>
      </c>
      <c r="S201" s="357">
        <f t="shared" si="192"/>
        <v>1.2269938650306678E-2</v>
      </c>
      <c r="T201" s="357">
        <f t="shared" si="193"/>
        <v>0</v>
      </c>
      <c r="U201" s="379">
        <f t="shared" si="194"/>
        <v>0</v>
      </c>
      <c r="W201" s="451">
        <f t="shared" si="267"/>
        <v>1.8692133012152546E-2</v>
      </c>
      <c r="X201" s="357">
        <f t="shared" si="268"/>
        <v>8.8224233414839009E-2</v>
      </c>
      <c r="Y201" s="357">
        <f t="shared" si="269"/>
        <v>5.2643733485421881E-2</v>
      </c>
      <c r="Z201" s="357">
        <f t="shared" si="270"/>
        <v>2.5317807984289786E-2</v>
      </c>
      <c r="AA201" s="357">
        <f t="shared" si="271"/>
        <v>0</v>
      </c>
      <c r="AB201" s="357">
        <f t="shared" si="272"/>
        <v>1.6529301951210506E-2</v>
      </c>
      <c r="AC201" s="357">
        <f t="shared" ref="AC201:AC251" si="279">LN(I201/I200)</f>
        <v>1.2195273093818206E-2</v>
      </c>
      <c r="AD201" s="357">
        <f t="shared" ref="AD201:AD251" si="280">LN(J201/J200)</f>
        <v>0</v>
      </c>
      <c r="AE201" s="379">
        <f t="shared" ref="AE201:AE251" si="281">LN(K201/K200)</f>
        <v>0</v>
      </c>
      <c r="AG201" s="451">
        <f t="shared" si="273"/>
        <v>-2.6041501492660747E-3</v>
      </c>
      <c r="AH201" s="357">
        <f t="shared" si="274"/>
        <v>7.1122932791464574E-2</v>
      </c>
      <c r="AI201" s="357">
        <f t="shared" si="275"/>
        <v>3.978884776493867E-2</v>
      </c>
      <c r="AJ201" s="357">
        <f t="shared" si="276"/>
        <v>1.5692437018187285E-2</v>
      </c>
      <c r="AK201" s="357">
        <f t="shared" si="277"/>
        <v>-6.4566732855667669E-3</v>
      </c>
      <c r="AL201" s="357">
        <f t="shared" si="278"/>
        <v>1.6219585994616842E-2</v>
      </c>
      <c r="AM201" s="357">
        <f t="shared" ref="AM201:AM251" si="282">S201-S$2</f>
        <v>1.2099291915205779E-2</v>
      </c>
      <c r="AN201" s="357">
        <f t="shared" ref="AN201:AN251" si="283">T201-T$2</f>
        <v>1.9070751392640699E-5</v>
      </c>
      <c r="AO201" s="379">
        <f t="shared" ref="AO201:AO251" si="284">U201-U$2</f>
        <v>5.4711961047645428E-5</v>
      </c>
    </row>
    <row r="202" spans="2:41" x14ac:dyDescent="0.25">
      <c r="B202" s="449">
        <v>43739</v>
      </c>
      <c r="C202">
        <v>245</v>
      </c>
      <c r="D202">
        <v>238</v>
      </c>
      <c r="E202">
        <v>180</v>
      </c>
      <c r="F202">
        <v>177</v>
      </c>
      <c r="G202">
        <v>200</v>
      </c>
      <c r="H202">
        <v>186</v>
      </c>
      <c r="I202">
        <v>167</v>
      </c>
      <c r="J202">
        <v>153</v>
      </c>
      <c r="K202" s="445">
        <v>150</v>
      </c>
      <c r="M202" s="451">
        <f t="shared" ref="M202:M251" si="285">C202/C201-1</f>
        <v>0.1342592592592593</v>
      </c>
      <c r="N202" s="357">
        <f t="shared" ref="N202:N251" si="286">D202/D201-1</f>
        <v>5.7777777777777706E-2</v>
      </c>
      <c r="O202" s="357">
        <f t="shared" ref="O202:O251" si="287">E202/E201-1</f>
        <v>-7.6923076923076872E-2</v>
      </c>
      <c r="P202" s="357">
        <f t="shared" ref="P202:P251" si="288">F202/F201-1</f>
        <v>0.10624999999999996</v>
      </c>
      <c r="Q202" s="357">
        <f t="shared" ref="Q202:Q251" si="289">G202/G201-1</f>
        <v>6.3829787234042534E-2</v>
      </c>
      <c r="R202" s="357">
        <f t="shared" ref="R202:R251" si="290">H202/H201-1</f>
        <v>1.6393442622950838E-2</v>
      </c>
      <c r="S202" s="357">
        <f t="shared" ref="S202:S251" si="291">I202/I201-1</f>
        <v>1.2121212121212199E-2</v>
      </c>
      <c r="T202" s="357">
        <f t="shared" ref="T202:T251" si="292">J202/J201-1</f>
        <v>0</v>
      </c>
      <c r="U202" s="379">
        <f t="shared" ref="U202:U251" si="293">K202/K201-1</f>
        <v>0</v>
      </c>
      <c r="W202" s="451">
        <f t="shared" si="267"/>
        <v>0.12597980286056201</v>
      </c>
      <c r="X202" s="357">
        <f t="shared" si="268"/>
        <v>5.6170271467054493E-2</v>
      </c>
      <c r="Y202" s="357">
        <f t="shared" si="269"/>
        <v>-8.004270767353637E-2</v>
      </c>
      <c r="Z202" s="357">
        <f t="shared" si="270"/>
        <v>0.10097591734000218</v>
      </c>
      <c r="AA202" s="357">
        <f t="shared" si="271"/>
        <v>6.1875403718087453E-2</v>
      </c>
      <c r="AB202" s="357">
        <f t="shared" si="272"/>
        <v>1.6260520871780326E-2</v>
      </c>
      <c r="AC202" s="357">
        <f t="shared" si="279"/>
        <v>1.2048338516174574E-2</v>
      </c>
      <c r="AD202" s="357">
        <f t="shared" si="280"/>
        <v>0</v>
      </c>
      <c r="AE202" s="379">
        <f t="shared" si="281"/>
        <v>0</v>
      </c>
      <c r="AG202" s="451">
        <f t="shared" si="273"/>
        <v>0.11278718458169135</v>
      </c>
      <c r="AH202" s="357">
        <f t="shared" si="274"/>
        <v>3.6667700860504457E-2</v>
      </c>
      <c r="AI202" s="357">
        <f t="shared" si="275"/>
        <v>-9.1188283212192148E-2</v>
      </c>
      <c r="AJ202" s="357">
        <f t="shared" si="276"/>
        <v>9.6301411377161694E-2</v>
      </c>
      <c r="AK202" s="357">
        <f t="shared" si="277"/>
        <v>5.7373113948475767E-2</v>
      </c>
      <c r="AL202" s="357">
        <f t="shared" si="278"/>
        <v>1.5946361950901072E-2</v>
      </c>
      <c r="AM202" s="357">
        <f t="shared" si="282"/>
        <v>1.1950565386111301E-2</v>
      </c>
      <c r="AN202" s="357">
        <f t="shared" si="283"/>
        <v>1.9070751392640699E-5</v>
      </c>
      <c r="AO202" s="379">
        <f t="shared" si="284"/>
        <v>5.4711961047645428E-5</v>
      </c>
    </row>
    <row r="203" spans="2:41" x14ac:dyDescent="0.25">
      <c r="B203" s="449">
        <v>43746</v>
      </c>
      <c r="C203">
        <v>268</v>
      </c>
      <c r="D203">
        <v>285</v>
      </c>
      <c r="E203">
        <v>219</v>
      </c>
      <c r="F203">
        <v>208</v>
      </c>
      <c r="G203">
        <v>208</v>
      </c>
      <c r="H203">
        <v>187</v>
      </c>
      <c r="I203">
        <v>170</v>
      </c>
      <c r="J203">
        <v>155</v>
      </c>
      <c r="K203" s="445">
        <v>153</v>
      </c>
      <c r="M203" s="451">
        <f t="shared" si="285"/>
        <v>9.3877551020408179E-2</v>
      </c>
      <c r="N203" s="357">
        <f t="shared" si="286"/>
        <v>0.19747899159663862</v>
      </c>
      <c r="O203" s="357">
        <f t="shared" si="287"/>
        <v>0.21666666666666656</v>
      </c>
      <c r="P203" s="357">
        <f t="shared" si="288"/>
        <v>0.17514124293785316</v>
      </c>
      <c r="Q203" s="357">
        <f t="shared" si="289"/>
        <v>4.0000000000000036E-2</v>
      </c>
      <c r="R203" s="357">
        <f t="shared" si="290"/>
        <v>5.3763440860215006E-3</v>
      </c>
      <c r="S203" s="357">
        <f t="shared" si="291"/>
        <v>1.7964071856287456E-2</v>
      </c>
      <c r="T203" s="357">
        <f t="shared" si="292"/>
        <v>1.3071895424836555E-2</v>
      </c>
      <c r="U203" s="379">
        <f t="shared" si="293"/>
        <v>2.0000000000000018E-2</v>
      </c>
      <c r="W203" s="451">
        <f t="shared" si="267"/>
        <v>8.9728769966129704E-2</v>
      </c>
      <c r="X203" s="357">
        <f t="shared" si="268"/>
        <v>0.18021850659717581</v>
      </c>
      <c r="Y203" s="357">
        <f t="shared" si="269"/>
        <v>0.19611487892629037</v>
      </c>
      <c r="Z203" s="357">
        <f t="shared" si="270"/>
        <v>0.16138834712748887</v>
      </c>
      <c r="AA203" s="357">
        <f t="shared" si="271"/>
        <v>3.9220713153281329E-2</v>
      </c>
      <c r="AB203" s="357">
        <f t="shared" si="272"/>
        <v>5.3619431413853731E-3</v>
      </c>
      <c r="AC203" s="357">
        <f t="shared" si="279"/>
        <v>1.7804624633506686E-2</v>
      </c>
      <c r="AD203" s="357">
        <f t="shared" si="280"/>
        <v>1.2987195526811112E-2</v>
      </c>
      <c r="AE203" s="379">
        <f t="shared" si="281"/>
        <v>1.980262729617973E-2</v>
      </c>
      <c r="AG203" s="451">
        <f t="shared" si="273"/>
        <v>7.2405476342840225E-2</v>
      </c>
      <c r="AH203" s="357">
        <f t="shared" si="274"/>
        <v>0.17636891467936536</v>
      </c>
      <c r="AI203" s="357">
        <f t="shared" si="275"/>
        <v>0.2024014603775513</v>
      </c>
      <c r="AJ203" s="357">
        <f t="shared" si="276"/>
        <v>0.1651926543150149</v>
      </c>
      <c r="AK203" s="357">
        <f t="shared" si="277"/>
        <v>3.3543326714433268E-2</v>
      </c>
      <c r="AL203" s="357">
        <f t="shared" si="278"/>
        <v>4.9292634139717351E-3</v>
      </c>
      <c r="AM203" s="357">
        <f t="shared" si="282"/>
        <v>1.7793425121186555E-2</v>
      </c>
      <c r="AN203" s="357">
        <f t="shared" si="283"/>
        <v>1.3090966176229195E-2</v>
      </c>
      <c r="AO203" s="379">
        <f t="shared" si="284"/>
        <v>2.0054711961047664E-2</v>
      </c>
    </row>
    <row r="204" spans="2:41" x14ac:dyDescent="0.25">
      <c r="B204" s="449">
        <v>43753</v>
      </c>
      <c r="C204">
        <v>267</v>
      </c>
      <c r="D204">
        <v>285</v>
      </c>
      <c r="E204">
        <v>215</v>
      </c>
      <c r="F204">
        <v>210</v>
      </c>
      <c r="G204">
        <v>210</v>
      </c>
      <c r="H204">
        <v>189</v>
      </c>
      <c r="I204">
        <v>173</v>
      </c>
      <c r="J204">
        <v>163</v>
      </c>
      <c r="K204" s="445">
        <v>155</v>
      </c>
      <c r="M204" s="451">
        <f t="shared" si="285"/>
        <v>-3.7313432835820448E-3</v>
      </c>
      <c r="N204" s="357">
        <f t="shared" si="286"/>
        <v>0</v>
      </c>
      <c r="O204" s="357">
        <f t="shared" si="287"/>
        <v>-1.8264840182648401E-2</v>
      </c>
      <c r="P204" s="357">
        <f t="shared" si="288"/>
        <v>9.6153846153845812E-3</v>
      </c>
      <c r="Q204" s="357">
        <f t="shared" si="289"/>
        <v>9.6153846153845812E-3</v>
      </c>
      <c r="R204" s="357">
        <f t="shared" si="290"/>
        <v>1.0695187165775444E-2</v>
      </c>
      <c r="S204" s="357">
        <f t="shared" si="291"/>
        <v>1.7647058823529349E-2</v>
      </c>
      <c r="T204" s="357">
        <f t="shared" si="292"/>
        <v>5.1612903225806361E-2</v>
      </c>
      <c r="U204" s="379">
        <f t="shared" si="293"/>
        <v>1.3071895424836555E-2</v>
      </c>
      <c r="W204" s="451">
        <f t="shared" si="267"/>
        <v>-3.7383221106071039E-3</v>
      </c>
      <c r="X204" s="357">
        <f t="shared" si="268"/>
        <v>0</v>
      </c>
      <c r="Y204" s="357">
        <f t="shared" si="269"/>
        <v>-1.8433701688838022E-2</v>
      </c>
      <c r="Z204" s="357">
        <f t="shared" si="270"/>
        <v>9.5694510161506725E-3</v>
      </c>
      <c r="AA204" s="357">
        <f t="shared" si="271"/>
        <v>9.5694510161506725E-3</v>
      </c>
      <c r="AB204" s="357">
        <f t="shared" si="272"/>
        <v>1.0638398205055797E-2</v>
      </c>
      <c r="AC204" s="357">
        <f t="shared" si="279"/>
        <v>1.7493157447517119E-2</v>
      </c>
      <c r="AD204" s="357">
        <f t="shared" si="280"/>
        <v>5.032508388751563E-2</v>
      </c>
      <c r="AE204" s="379">
        <f t="shared" si="281"/>
        <v>1.2987195526811112E-2</v>
      </c>
      <c r="AG204" s="451">
        <f t="shared" si="273"/>
        <v>-2.5203417961150002E-2</v>
      </c>
      <c r="AH204" s="357">
        <f t="shared" si="274"/>
        <v>-2.1110076917273252E-2</v>
      </c>
      <c r="AI204" s="357">
        <f t="shared" si="275"/>
        <v>-3.2530046471763677E-2</v>
      </c>
      <c r="AJ204" s="357">
        <f t="shared" si="276"/>
        <v>-3.3320400745368364E-4</v>
      </c>
      <c r="AK204" s="357">
        <f t="shared" si="277"/>
        <v>3.1587113298178144E-3</v>
      </c>
      <c r="AL204" s="357">
        <f t="shared" si="278"/>
        <v>1.0248106493725678E-2</v>
      </c>
      <c r="AM204" s="357">
        <f t="shared" si="282"/>
        <v>1.7476412088428449E-2</v>
      </c>
      <c r="AN204" s="357">
        <f t="shared" si="283"/>
        <v>5.1631973977199E-2</v>
      </c>
      <c r="AO204" s="379">
        <f t="shared" si="284"/>
        <v>1.31266073858842E-2</v>
      </c>
    </row>
    <row r="205" spans="2:41" x14ac:dyDescent="0.25">
      <c r="B205" s="449">
        <v>43760</v>
      </c>
      <c r="C205">
        <v>270</v>
      </c>
      <c r="D205">
        <v>281</v>
      </c>
      <c r="E205">
        <v>211</v>
      </c>
      <c r="F205">
        <v>205</v>
      </c>
      <c r="G205">
        <v>205</v>
      </c>
      <c r="H205">
        <v>186</v>
      </c>
      <c r="I205">
        <v>168</v>
      </c>
      <c r="J205">
        <v>157</v>
      </c>
      <c r="K205" s="445">
        <v>151</v>
      </c>
      <c r="M205" s="451">
        <f t="shared" si="285"/>
        <v>1.1235955056179803E-2</v>
      </c>
      <c r="N205" s="357">
        <f t="shared" si="286"/>
        <v>-1.4035087719298289E-2</v>
      </c>
      <c r="O205" s="357">
        <f t="shared" si="287"/>
        <v>-1.8604651162790753E-2</v>
      </c>
      <c r="P205" s="357">
        <f t="shared" si="288"/>
        <v>-2.3809523809523836E-2</v>
      </c>
      <c r="Q205" s="357">
        <f t="shared" si="289"/>
        <v>-2.3809523809523836E-2</v>
      </c>
      <c r="R205" s="357">
        <f t="shared" si="290"/>
        <v>-1.5873015873015928E-2</v>
      </c>
      <c r="S205" s="357">
        <f t="shared" si="291"/>
        <v>-2.8901734104046284E-2</v>
      </c>
      <c r="T205" s="357">
        <f t="shared" si="292"/>
        <v>-3.6809815950920255E-2</v>
      </c>
      <c r="U205" s="379">
        <f t="shared" si="293"/>
        <v>-2.5806451612903181E-2</v>
      </c>
      <c r="W205" s="451">
        <f t="shared" si="267"/>
        <v>1.1173300598125255E-2</v>
      </c>
      <c r="X205" s="357">
        <f t="shared" si="268"/>
        <v>-1.4134510934904806E-2</v>
      </c>
      <c r="Y205" s="357">
        <f t="shared" si="269"/>
        <v>-1.8779894651596359E-2</v>
      </c>
      <c r="Z205" s="357">
        <f t="shared" si="270"/>
        <v>-2.409755157906053E-2</v>
      </c>
      <c r="AA205" s="357">
        <f t="shared" si="271"/>
        <v>-2.409755157906053E-2</v>
      </c>
      <c r="AB205" s="357">
        <f t="shared" si="272"/>
        <v>-1.6000341346441189E-2</v>
      </c>
      <c r="AC205" s="357">
        <f t="shared" si="279"/>
        <v>-2.9327615094520063E-2</v>
      </c>
      <c r="AD205" s="357">
        <f t="shared" si="280"/>
        <v>-3.7504395458454284E-2</v>
      </c>
      <c r="AE205" s="379">
        <f t="shared" si="281"/>
        <v>-2.6145280104322245E-2</v>
      </c>
      <c r="AG205" s="451">
        <f t="shared" si="273"/>
        <v>-1.0236119621388155E-2</v>
      </c>
      <c r="AH205" s="357">
        <f t="shared" si="274"/>
        <v>-3.5145164636571538E-2</v>
      </c>
      <c r="AI205" s="357">
        <f t="shared" si="275"/>
        <v>-3.2869857451906029E-2</v>
      </c>
      <c r="AJ205" s="357">
        <f t="shared" si="276"/>
        <v>-3.3758112432362097E-2</v>
      </c>
      <c r="AK205" s="357">
        <f t="shared" si="277"/>
        <v>-3.0266197095090604E-2</v>
      </c>
      <c r="AL205" s="357">
        <f t="shared" si="278"/>
        <v>-1.6320096545065693E-2</v>
      </c>
      <c r="AM205" s="357">
        <f t="shared" si="282"/>
        <v>-2.9072380839147184E-2</v>
      </c>
      <c r="AN205" s="357">
        <f t="shared" si="283"/>
        <v>-3.6790745199527616E-2</v>
      </c>
      <c r="AO205" s="379">
        <f t="shared" si="284"/>
        <v>-2.5751739651855534E-2</v>
      </c>
    </row>
    <row r="206" spans="2:41" x14ac:dyDescent="0.25">
      <c r="B206" s="449">
        <v>43767</v>
      </c>
      <c r="C206">
        <v>270</v>
      </c>
      <c r="D206">
        <v>310</v>
      </c>
      <c r="E206">
        <v>260</v>
      </c>
      <c r="F206">
        <v>220</v>
      </c>
      <c r="G206">
        <v>214</v>
      </c>
      <c r="H206">
        <v>189</v>
      </c>
      <c r="I206">
        <v>166</v>
      </c>
      <c r="J206">
        <v>159</v>
      </c>
      <c r="K206" s="445">
        <v>153</v>
      </c>
      <c r="M206" s="451">
        <f t="shared" si="285"/>
        <v>0</v>
      </c>
      <c r="N206" s="357">
        <f t="shared" si="286"/>
        <v>0.10320284697508897</v>
      </c>
      <c r="O206" s="357">
        <f t="shared" si="287"/>
        <v>0.23222748815165883</v>
      </c>
      <c r="P206" s="357">
        <f t="shared" si="288"/>
        <v>7.3170731707317138E-2</v>
      </c>
      <c r="Q206" s="357">
        <f t="shared" si="289"/>
        <v>4.3902439024390283E-2</v>
      </c>
      <c r="R206" s="357">
        <f t="shared" si="290"/>
        <v>1.6129032258064502E-2</v>
      </c>
      <c r="S206" s="357">
        <f t="shared" si="291"/>
        <v>-1.1904761904761862E-2</v>
      </c>
      <c r="T206" s="357">
        <f t="shared" si="292"/>
        <v>1.2738853503184711E-2</v>
      </c>
      <c r="U206" s="379">
        <f t="shared" si="293"/>
        <v>1.3245033112582849E-2</v>
      </c>
      <c r="W206" s="451">
        <f t="shared" si="267"/>
        <v>0</v>
      </c>
      <c r="X206" s="357">
        <f t="shared" si="268"/>
        <v>9.821762814544617E-2</v>
      </c>
      <c r="Y206" s="357">
        <f t="shared" si="269"/>
        <v>0.20882349753946128</v>
      </c>
      <c r="Z206" s="357">
        <f t="shared" si="270"/>
        <v>7.0617567213953417E-2</v>
      </c>
      <c r="AA206" s="357">
        <f t="shared" si="271"/>
        <v>4.2966035883443339E-2</v>
      </c>
      <c r="AB206" s="357">
        <f t="shared" si="272"/>
        <v>1.600034134644112E-2</v>
      </c>
      <c r="AC206" s="357">
        <f t="shared" si="279"/>
        <v>-1.1976191046715649E-2</v>
      </c>
      <c r="AD206" s="357">
        <f t="shared" si="280"/>
        <v>1.2658396871923465E-2</v>
      </c>
      <c r="AE206" s="379">
        <f t="shared" si="281"/>
        <v>1.3158084577511201E-2</v>
      </c>
      <c r="AG206" s="451">
        <f t="shared" si="273"/>
        <v>-2.1472074677567957E-2</v>
      </c>
      <c r="AH206" s="357">
        <f t="shared" si="274"/>
        <v>8.209277005781572E-2</v>
      </c>
      <c r="AI206" s="357">
        <f t="shared" si="275"/>
        <v>0.21796228186254357</v>
      </c>
      <c r="AJ206" s="357">
        <f t="shared" si="276"/>
        <v>6.3222143084478877E-2</v>
      </c>
      <c r="AK206" s="357">
        <f t="shared" si="277"/>
        <v>3.7445765738823515E-2</v>
      </c>
      <c r="AL206" s="357">
        <f t="shared" si="278"/>
        <v>1.5681951586014736E-2</v>
      </c>
      <c r="AM206" s="357">
        <f t="shared" si="282"/>
        <v>-1.2075408639862761E-2</v>
      </c>
      <c r="AN206" s="357">
        <f t="shared" si="283"/>
        <v>1.2757924254577351E-2</v>
      </c>
      <c r="AO206" s="379">
        <f t="shared" si="284"/>
        <v>1.3299745073630494E-2</v>
      </c>
    </row>
    <row r="207" spans="2:41" x14ac:dyDescent="0.25">
      <c r="B207" s="449">
        <v>43774</v>
      </c>
      <c r="C207">
        <v>292</v>
      </c>
      <c r="D207">
        <v>194</v>
      </c>
      <c r="E207">
        <v>191</v>
      </c>
      <c r="F207">
        <v>191</v>
      </c>
      <c r="G207">
        <v>192</v>
      </c>
      <c r="H207">
        <v>186</v>
      </c>
      <c r="I207">
        <v>169</v>
      </c>
      <c r="J207">
        <v>149</v>
      </c>
      <c r="K207" s="445">
        <v>145</v>
      </c>
      <c r="M207" s="451">
        <f t="shared" si="285"/>
        <v>8.1481481481481488E-2</v>
      </c>
      <c r="N207" s="357">
        <f t="shared" si="286"/>
        <v>-0.37419354838709673</v>
      </c>
      <c r="O207" s="357">
        <f t="shared" si="287"/>
        <v>-0.26538461538461533</v>
      </c>
      <c r="P207" s="357">
        <f t="shared" si="288"/>
        <v>-0.13181818181818183</v>
      </c>
      <c r="Q207" s="357">
        <f t="shared" si="289"/>
        <v>-0.10280373831775702</v>
      </c>
      <c r="R207" s="357">
        <f t="shared" si="290"/>
        <v>-1.5873015873015928E-2</v>
      </c>
      <c r="S207" s="357">
        <f t="shared" si="291"/>
        <v>1.8072289156626509E-2</v>
      </c>
      <c r="T207" s="357">
        <f t="shared" si="292"/>
        <v>-6.2893081761006275E-2</v>
      </c>
      <c r="U207" s="379">
        <f t="shared" si="293"/>
        <v>-5.2287581699346442E-2</v>
      </c>
      <c r="W207" s="451">
        <f t="shared" si="267"/>
        <v>7.8331843269906998E-2</v>
      </c>
      <c r="X207" s="357">
        <f t="shared" si="268"/>
        <v>-0.46871413841586373</v>
      </c>
      <c r="Y207" s="357">
        <f t="shared" si="269"/>
        <v>-0.30840820296889776</v>
      </c>
      <c r="Z207" s="357">
        <f t="shared" si="270"/>
        <v>-0.14135411830573169</v>
      </c>
      <c r="AA207" s="357">
        <f t="shared" si="271"/>
        <v>-0.10848064299406995</v>
      </c>
      <c r="AB207" s="357">
        <f t="shared" si="272"/>
        <v>-1.6000341346441189E-2</v>
      </c>
      <c r="AC207" s="357">
        <f t="shared" si="279"/>
        <v>1.7910926566530243E-2</v>
      </c>
      <c r="AD207" s="357">
        <f t="shared" si="280"/>
        <v>-6.4957896274772373E-2</v>
      </c>
      <c r="AE207" s="379">
        <f t="shared" si="281"/>
        <v>-5.3704178971861097E-2</v>
      </c>
      <c r="AG207" s="451">
        <f t="shared" si="273"/>
        <v>6.0009406803913534E-2</v>
      </c>
      <c r="AH207" s="357">
        <f t="shared" si="274"/>
        <v>-0.39530362530436997</v>
      </c>
      <c r="AI207" s="357">
        <f t="shared" si="275"/>
        <v>-0.27964982167373059</v>
      </c>
      <c r="AJ207" s="357">
        <f t="shared" si="276"/>
        <v>-0.1417667704410201</v>
      </c>
      <c r="AK207" s="357">
        <f t="shared" si="277"/>
        <v>-0.10926041160332378</v>
      </c>
      <c r="AL207" s="357">
        <f t="shared" si="278"/>
        <v>-1.6320096545065693E-2</v>
      </c>
      <c r="AM207" s="357">
        <f t="shared" si="282"/>
        <v>1.7901642421525608E-2</v>
      </c>
      <c r="AN207" s="357">
        <f t="shared" si="283"/>
        <v>-6.2874011009613637E-2</v>
      </c>
      <c r="AO207" s="379">
        <f t="shared" si="284"/>
        <v>-5.2232869738298798E-2</v>
      </c>
    </row>
    <row r="208" spans="2:41" x14ac:dyDescent="0.25">
      <c r="B208" s="449">
        <v>43781</v>
      </c>
      <c r="C208">
        <v>310</v>
      </c>
      <c r="D208">
        <v>260</v>
      </c>
      <c r="E208">
        <v>235</v>
      </c>
      <c r="F208">
        <v>230</v>
      </c>
      <c r="G208">
        <v>211</v>
      </c>
      <c r="H208">
        <v>190</v>
      </c>
      <c r="I208">
        <v>172</v>
      </c>
      <c r="J208">
        <v>158</v>
      </c>
      <c r="K208" s="445">
        <v>150</v>
      </c>
      <c r="M208" s="451">
        <f t="shared" si="285"/>
        <v>6.164383561643838E-2</v>
      </c>
      <c r="N208" s="357">
        <f t="shared" si="286"/>
        <v>0.34020618556701021</v>
      </c>
      <c r="O208" s="357">
        <f t="shared" si="287"/>
        <v>0.23036649214659688</v>
      </c>
      <c r="P208" s="357">
        <f t="shared" si="288"/>
        <v>0.20418848167539272</v>
      </c>
      <c r="Q208" s="357">
        <f t="shared" si="289"/>
        <v>9.8958333333333259E-2</v>
      </c>
      <c r="R208" s="357">
        <f t="shared" si="290"/>
        <v>2.1505376344086002E-2</v>
      </c>
      <c r="S208" s="357">
        <f t="shared" si="291"/>
        <v>1.7751479289940919E-2</v>
      </c>
      <c r="T208" s="357">
        <f t="shared" si="292"/>
        <v>6.0402684563758413E-2</v>
      </c>
      <c r="U208" s="379">
        <f t="shared" si="293"/>
        <v>3.4482758620689724E-2</v>
      </c>
      <c r="W208" s="451">
        <f t="shared" si="267"/>
        <v>5.9818495210910205E-2</v>
      </c>
      <c r="X208" s="357">
        <f t="shared" si="268"/>
        <v>0.29282347195219954</v>
      </c>
      <c r="Y208" s="357">
        <f t="shared" si="269"/>
        <v>0.2073120860975291</v>
      </c>
      <c r="Z208" s="357">
        <f t="shared" si="270"/>
        <v>0.18580588087656555</v>
      </c>
      <c r="AA208" s="357">
        <f t="shared" si="271"/>
        <v>9.4362761448284885E-2</v>
      </c>
      <c r="AB208" s="357">
        <f t="shared" si="272"/>
        <v>2.1277398447284879E-2</v>
      </c>
      <c r="AC208" s="357">
        <f t="shared" si="279"/>
        <v>1.759576189037966E-2</v>
      </c>
      <c r="AD208" s="357">
        <f t="shared" si="280"/>
        <v>5.8648727081507687E-2</v>
      </c>
      <c r="AE208" s="379">
        <f t="shared" si="281"/>
        <v>3.3901551675681416E-2</v>
      </c>
      <c r="AG208" s="451">
        <f t="shared" si="273"/>
        <v>4.0171760938870427E-2</v>
      </c>
      <c r="AH208" s="357">
        <f t="shared" si="274"/>
        <v>0.31909610864973698</v>
      </c>
      <c r="AI208" s="357">
        <f t="shared" si="275"/>
        <v>0.21610128585748162</v>
      </c>
      <c r="AJ208" s="357">
        <f t="shared" si="276"/>
        <v>0.19423989305255446</v>
      </c>
      <c r="AK208" s="357">
        <f t="shared" si="277"/>
        <v>9.2501660047766499E-2</v>
      </c>
      <c r="AL208" s="357">
        <f t="shared" si="278"/>
        <v>2.1058295672036237E-2</v>
      </c>
      <c r="AM208" s="357">
        <f t="shared" si="282"/>
        <v>1.7580832554840019E-2</v>
      </c>
      <c r="AN208" s="357">
        <f t="shared" si="283"/>
        <v>6.0421755315151052E-2</v>
      </c>
      <c r="AO208" s="379">
        <f t="shared" si="284"/>
        <v>3.4537470581737367E-2</v>
      </c>
    </row>
    <row r="209" spans="2:41" x14ac:dyDescent="0.25">
      <c r="B209" s="449">
        <v>43788</v>
      </c>
      <c r="C209">
        <v>310</v>
      </c>
      <c r="D209">
        <v>235</v>
      </c>
      <c r="E209">
        <v>215</v>
      </c>
      <c r="F209">
        <v>208</v>
      </c>
      <c r="G209">
        <v>205</v>
      </c>
      <c r="H209">
        <v>188</v>
      </c>
      <c r="I209">
        <v>170</v>
      </c>
      <c r="J209">
        <v>158</v>
      </c>
      <c r="K209" s="445">
        <v>150</v>
      </c>
      <c r="M209" s="451">
        <f t="shared" si="285"/>
        <v>0</v>
      </c>
      <c r="N209" s="357">
        <f t="shared" si="286"/>
        <v>-9.6153846153846145E-2</v>
      </c>
      <c r="O209" s="357">
        <f t="shared" si="287"/>
        <v>-8.5106382978723416E-2</v>
      </c>
      <c r="P209" s="357">
        <f t="shared" si="288"/>
        <v>-9.5652173913043481E-2</v>
      </c>
      <c r="Q209" s="357">
        <f t="shared" si="289"/>
        <v>-2.8436018957345932E-2</v>
      </c>
      <c r="R209" s="357">
        <f t="shared" si="290"/>
        <v>-1.0526315789473717E-2</v>
      </c>
      <c r="S209" s="357">
        <f t="shared" si="291"/>
        <v>-1.1627906976744207E-2</v>
      </c>
      <c r="T209" s="357">
        <f t="shared" si="292"/>
        <v>0</v>
      </c>
      <c r="U209" s="379">
        <f t="shared" si="293"/>
        <v>0</v>
      </c>
      <c r="W209" s="451">
        <f t="shared" si="267"/>
        <v>0</v>
      </c>
      <c r="X209" s="357">
        <f t="shared" si="268"/>
        <v>-0.10109611687136875</v>
      </c>
      <c r="Y209" s="357">
        <f t="shared" si="269"/>
        <v>-8.8947486016496172E-2</v>
      </c>
      <c r="Z209" s="357">
        <f t="shared" si="270"/>
        <v>-0.1005412292218774</v>
      </c>
      <c r="AA209" s="357">
        <f t="shared" si="271"/>
        <v>-2.8848154337658277E-2</v>
      </c>
      <c r="AB209" s="357">
        <f t="shared" si="272"/>
        <v>-1.0582109330536972E-2</v>
      </c>
      <c r="AC209" s="357">
        <f t="shared" si="279"/>
        <v>-1.1696039763191298E-2</v>
      </c>
      <c r="AD209" s="357">
        <f t="shared" si="280"/>
        <v>0</v>
      </c>
      <c r="AE209" s="379">
        <f t="shared" si="281"/>
        <v>0</v>
      </c>
      <c r="AG209" s="451">
        <f t="shared" si="273"/>
        <v>-2.1472074677567957E-2</v>
      </c>
      <c r="AH209" s="357">
        <f t="shared" si="274"/>
        <v>-0.11726392307111939</v>
      </c>
      <c r="AI209" s="357">
        <f t="shared" si="275"/>
        <v>-9.9371589267838692E-2</v>
      </c>
      <c r="AJ209" s="357">
        <f t="shared" si="276"/>
        <v>-0.10560076253588174</v>
      </c>
      <c r="AK209" s="357">
        <f t="shared" si="277"/>
        <v>-3.48926922429127E-2</v>
      </c>
      <c r="AL209" s="357">
        <f t="shared" si="278"/>
        <v>-1.0973396461523482E-2</v>
      </c>
      <c r="AM209" s="357">
        <f t="shared" si="282"/>
        <v>-1.1798553711845105E-2</v>
      </c>
      <c r="AN209" s="357">
        <f t="shared" si="283"/>
        <v>1.9070751392640699E-5</v>
      </c>
      <c r="AO209" s="379">
        <f t="shared" si="284"/>
        <v>5.4711961047645428E-5</v>
      </c>
    </row>
    <row r="210" spans="2:41" x14ac:dyDescent="0.25">
      <c r="B210" s="449">
        <v>43795</v>
      </c>
      <c r="C210">
        <v>313</v>
      </c>
      <c r="D210">
        <v>221</v>
      </c>
      <c r="E210">
        <v>200</v>
      </c>
      <c r="F210">
        <v>200</v>
      </c>
      <c r="G210">
        <v>201</v>
      </c>
      <c r="H210">
        <v>190</v>
      </c>
      <c r="I210">
        <v>171</v>
      </c>
      <c r="J210">
        <v>158</v>
      </c>
      <c r="K210" s="445">
        <v>150</v>
      </c>
      <c r="M210" s="451">
        <f t="shared" si="285"/>
        <v>9.6774193548387899E-3</v>
      </c>
      <c r="N210" s="357">
        <f t="shared" si="286"/>
        <v>-5.9574468085106358E-2</v>
      </c>
      <c r="O210" s="357">
        <f t="shared" si="287"/>
        <v>-6.9767441860465129E-2</v>
      </c>
      <c r="P210" s="357">
        <f t="shared" si="288"/>
        <v>-3.8461538461538436E-2</v>
      </c>
      <c r="Q210" s="357">
        <f t="shared" si="289"/>
        <v>-1.9512195121951237E-2</v>
      </c>
      <c r="R210" s="357">
        <f t="shared" si="290"/>
        <v>1.0638297872340496E-2</v>
      </c>
      <c r="S210" s="357">
        <f t="shared" si="291"/>
        <v>5.8823529411764497E-3</v>
      </c>
      <c r="T210" s="357">
        <f t="shared" si="292"/>
        <v>0</v>
      </c>
      <c r="U210" s="379">
        <f t="shared" si="293"/>
        <v>0</v>
      </c>
      <c r="W210" s="451">
        <f t="shared" si="267"/>
        <v>9.6308930609613659E-3</v>
      </c>
      <c r="X210" s="357">
        <f t="shared" si="268"/>
        <v>-6.1422812626406122E-2</v>
      </c>
      <c r="Y210" s="357">
        <f t="shared" si="269"/>
        <v>-7.2320661579626133E-2</v>
      </c>
      <c r="Z210" s="357">
        <f t="shared" si="270"/>
        <v>-3.9220713153281267E-2</v>
      </c>
      <c r="AA210" s="357">
        <f t="shared" si="271"/>
        <v>-1.9705071079332444E-2</v>
      </c>
      <c r="AB210" s="357">
        <f t="shared" si="272"/>
        <v>1.0582109330537008E-2</v>
      </c>
      <c r="AC210" s="357">
        <f t="shared" si="279"/>
        <v>5.8651194523980576E-3</v>
      </c>
      <c r="AD210" s="357">
        <f t="shared" si="280"/>
        <v>0</v>
      </c>
      <c r="AE210" s="379">
        <f t="shared" si="281"/>
        <v>0</v>
      </c>
      <c r="AG210" s="451">
        <f t="shared" si="273"/>
        <v>-1.1794655322729167E-2</v>
      </c>
      <c r="AH210" s="357">
        <f t="shared" si="274"/>
        <v>-8.0684545002379607E-2</v>
      </c>
      <c r="AI210" s="357">
        <f t="shared" si="275"/>
        <v>-8.4032648149580405E-2</v>
      </c>
      <c r="AJ210" s="357">
        <f t="shared" si="276"/>
        <v>-4.8410127084376697E-2</v>
      </c>
      <c r="AK210" s="357">
        <f t="shared" si="277"/>
        <v>-2.5968868407518005E-2</v>
      </c>
      <c r="AL210" s="357">
        <f t="shared" si="278"/>
        <v>1.0191217200290731E-2</v>
      </c>
      <c r="AM210" s="357">
        <f t="shared" si="282"/>
        <v>5.7117062060755511E-3</v>
      </c>
      <c r="AN210" s="357">
        <f t="shared" si="283"/>
        <v>1.9070751392640699E-5</v>
      </c>
      <c r="AO210" s="379">
        <f t="shared" si="284"/>
        <v>5.4711961047645428E-5</v>
      </c>
    </row>
    <row r="211" spans="2:41" x14ac:dyDescent="0.25">
      <c r="B211" s="449">
        <v>43802</v>
      </c>
      <c r="C211">
        <v>220</v>
      </c>
      <c r="D211">
        <v>181</v>
      </c>
      <c r="E211">
        <v>182</v>
      </c>
      <c r="F211">
        <v>182</v>
      </c>
      <c r="G211">
        <v>197</v>
      </c>
      <c r="H211">
        <v>189</v>
      </c>
      <c r="I211">
        <v>172</v>
      </c>
      <c r="J211">
        <v>159</v>
      </c>
      <c r="K211" s="445">
        <v>150</v>
      </c>
      <c r="M211" s="451">
        <f t="shared" si="285"/>
        <v>-0.29712460063897761</v>
      </c>
      <c r="N211" s="357">
        <f t="shared" si="286"/>
        <v>-0.1809954751131222</v>
      </c>
      <c r="O211" s="357">
        <f t="shared" si="287"/>
        <v>-8.9999999999999969E-2</v>
      </c>
      <c r="P211" s="357">
        <f t="shared" si="288"/>
        <v>-8.9999999999999969E-2</v>
      </c>
      <c r="Q211" s="357">
        <f t="shared" si="289"/>
        <v>-1.9900497512437831E-2</v>
      </c>
      <c r="R211" s="357">
        <f t="shared" si="290"/>
        <v>-5.2631578947368585E-3</v>
      </c>
      <c r="S211" s="357">
        <f t="shared" si="291"/>
        <v>5.8479532163742132E-3</v>
      </c>
      <c r="T211" s="357">
        <f t="shared" si="292"/>
        <v>6.3291139240506666E-3</v>
      </c>
      <c r="U211" s="379">
        <f t="shared" si="293"/>
        <v>0</v>
      </c>
      <c r="W211" s="451">
        <f t="shared" si="267"/>
        <v>-0.35257564418779164</v>
      </c>
      <c r="X211" s="357">
        <f t="shared" si="268"/>
        <v>-0.19966567025192711</v>
      </c>
      <c r="Y211" s="357">
        <f t="shared" si="269"/>
        <v>-9.431067947124129E-2</v>
      </c>
      <c r="Z211" s="357">
        <f t="shared" si="270"/>
        <v>-9.431067947124129E-2</v>
      </c>
      <c r="AA211" s="357">
        <f t="shared" si="271"/>
        <v>-2.0101179321087265E-2</v>
      </c>
      <c r="AB211" s="357">
        <f t="shared" si="272"/>
        <v>-5.2770571008437812E-3</v>
      </c>
      <c r="AC211" s="357">
        <f t="shared" si="279"/>
        <v>5.8309203107931437E-3</v>
      </c>
      <c r="AD211" s="357">
        <f t="shared" si="280"/>
        <v>6.3091691932647556E-3</v>
      </c>
      <c r="AE211" s="379">
        <f t="shared" si="281"/>
        <v>0</v>
      </c>
      <c r="AG211" s="451">
        <f t="shared" si="273"/>
        <v>-0.31859667531654556</v>
      </c>
      <c r="AH211" s="357">
        <f t="shared" si="274"/>
        <v>-0.20210555203039546</v>
      </c>
      <c r="AI211" s="357">
        <f t="shared" si="275"/>
        <v>-0.10426520628911524</v>
      </c>
      <c r="AJ211" s="357">
        <f t="shared" si="276"/>
        <v>-9.994858862283823E-2</v>
      </c>
      <c r="AK211" s="357">
        <f t="shared" si="277"/>
        <v>-2.6357170798004599E-2</v>
      </c>
      <c r="AL211" s="357">
        <f t="shared" si="278"/>
        <v>-5.710238566786624E-3</v>
      </c>
      <c r="AM211" s="357">
        <f t="shared" si="282"/>
        <v>5.6773064812733146E-3</v>
      </c>
      <c r="AN211" s="357">
        <f t="shared" si="283"/>
        <v>6.348184675443307E-3</v>
      </c>
      <c r="AO211" s="379">
        <f t="shared" si="284"/>
        <v>5.4711961047645428E-5</v>
      </c>
    </row>
    <row r="212" spans="2:41" x14ac:dyDescent="0.25">
      <c r="B212" s="449">
        <v>43809</v>
      </c>
      <c r="C212">
        <v>215</v>
      </c>
      <c r="D212">
        <v>195</v>
      </c>
      <c r="E212">
        <v>197</v>
      </c>
      <c r="F212">
        <v>197</v>
      </c>
      <c r="G212">
        <v>202</v>
      </c>
      <c r="H212">
        <v>188</v>
      </c>
      <c r="I212">
        <v>170</v>
      </c>
      <c r="J212">
        <v>157</v>
      </c>
      <c r="K212" s="445">
        <v>149</v>
      </c>
      <c r="M212" s="451">
        <f t="shared" si="285"/>
        <v>-2.2727272727272707E-2</v>
      </c>
      <c r="N212" s="357">
        <f t="shared" si="286"/>
        <v>7.7348066298342566E-2</v>
      </c>
      <c r="O212" s="357">
        <f t="shared" si="287"/>
        <v>8.2417582417582347E-2</v>
      </c>
      <c r="P212" s="357">
        <f t="shared" si="288"/>
        <v>8.2417582417582347E-2</v>
      </c>
      <c r="Q212" s="357">
        <f t="shared" si="289"/>
        <v>2.5380710659898442E-2</v>
      </c>
      <c r="R212" s="357">
        <f t="shared" si="290"/>
        <v>-5.2910052910053462E-3</v>
      </c>
      <c r="S212" s="357">
        <f t="shared" si="291"/>
        <v>-1.1627906976744207E-2</v>
      </c>
      <c r="T212" s="357">
        <f t="shared" si="292"/>
        <v>-1.2578616352201255E-2</v>
      </c>
      <c r="U212" s="379">
        <f t="shared" si="293"/>
        <v>-6.6666666666667096E-3</v>
      </c>
      <c r="W212" s="451">
        <f t="shared" si="267"/>
        <v>-2.2989518224698718E-2</v>
      </c>
      <c r="X212" s="357">
        <f t="shared" si="268"/>
        <v>7.4502527297921076E-2</v>
      </c>
      <c r="Y212" s="357">
        <f t="shared" si="269"/>
        <v>7.9197041661193096E-2</v>
      </c>
      <c r="Z212" s="357">
        <f t="shared" si="270"/>
        <v>7.9197041661193096E-2</v>
      </c>
      <c r="AA212" s="357">
        <f t="shared" si="271"/>
        <v>2.506396866321622E-2</v>
      </c>
      <c r="AB212" s="357">
        <f t="shared" si="272"/>
        <v>-5.3050522296932291E-3</v>
      </c>
      <c r="AC212" s="357">
        <f t="shared" si="279"/>
        <v>-1.1696039763191298E-2</v>
      </c>
      <c r="AD212" s="357">
        <f t="shared" si="280"/>
        <v>-1.2658396871923465E-2</v>
      </c>
      <c r="AE212" s="379">
        <f t="shared" si="281"/>
        <v>-6.688988150796652E-3</v>
      </c>
      <c r="AG212" s="451">
        <f t="shared" si="273"/>
        <v>-4.4199347404840661E-2</v>
      </c>
      <c r="AH212" s="357">
        <f t="shared" si="274"/>
        <v>5.6237989381069317E-2</v>
      </c>
      <c r="AI212" s="357">
        <f t="shared" si="275"/>
        <v>6.8152376128467071E-2</v>
      </c>
      <c r="AJ212" s="357">
        <f t="shared" si="276"/>
        <v>7.2468993794744085E-2</v>
      </c>
      <c r="AK212" s="357">
        <f t="shared" si="277"/>
        <v>1.8924037374331674E-2</v>
      </c>
      <c r="AL212" s="357">
        <f t="shared" si="278"/>
        <v>-5.7380859630551118E-3</v>
      </c>
      <c r="AM212" s="357">
        <f t="shared" si="282"/>
        <v>-1.1798553711845105E-2</v>
      </c>
      <c r="AN212" s="357">
        <f t="shared" si="283"/>
        <v>-1.2559545600808615E-2</v>
      </c>
      <c r="AO212" s="379">
        <f t="shared" si="284"/>
        <v>-6.6119547056190638E-3</v>
      </c>
    </row>
    <row r="213" spans="2:41" x14ac:dyDescent="0.25">
      <c r="B213" s="449">
        <v>43816</v>
      </c>
      <c r="C213">
        <v>209</v>
      </c>
      <c r="D213">
        <v>191</v>
      </c>
      <c r="E213">
        <v>191</v>
      </c>
      <c r="F213">
        <v>190</v>
      </c>
      <c r="G213">
        <v>204</v>
      </c>
      <c r="H213">
        <v>190</v>
      </c>
      <c r="I213">
        <v>171</v>
      </c>
      <c r="J213">
        <v>158</v>
      </c>
      <c r="K213" s="445">
        <v>150</v>
      </c>
      <c r="M213" s="451">
        <f t="shared" si="285"/>
        <v>-2.7906976744186074E-2</v>
      </c>
      <c r="N213" s="357">
        <f t="shared" si="286"/>
        <v>-2.0512820512820551E-2</v>
      </c>
      <c r="O213" s="357">
        <f t="shared" si="287"/>
        <v>-3.0456852791878153E-2</v>
      </c>
      <c r="P213" s="357">
        <f t="shared" si="288"/>
        <v>-3.5532994923857864E-2</v>
      </c>
      <c r="Q213" s="357">
        <f t="shared" si="289"/>
        <v>9.9009900990099098E-3</v>
      </c>
      <c r="R213" s="357">
        <f t="shared" si="290"/>
        <v>1.0638297872340496E-2</v>
      </c>
      <c r="S213" s="357">
        <f t="shared" si="291"/>
        <v>5.8823529411764497E-3</v>
      </c>
      <c r="T213" s="357">
        <f t="shared" si="292"/>
        <v>6.3694267515923553E-3</v>
      </c>
      <c r="U213" s="379">
        <f t="shared" si="293"/>
        <v>6.7114093959732557E-3</v>
      </c>
      <c r="W213" s="451">
        <f t="shared" si="267"/>
        <v>-2.8303776162851822E-2</v>
      </c>
      <c r="X213" s="357">
        <f t="shared" si="268"/>
        <v>-2.072613051711697E-2</v>
      </c>
      <c r="Y213" s="357">
        <f t="shared" si="269"/>
        <v>-3.0930300691358614E-2</v>
      </c>
      <c r="Z213" s="357">
        <f t="shared" si="270"/>
        <v>-3.6179656577502356E-2</v>
      </c>
      <c r="AA213" s="357">
        <f t="shared" si="271"/>
        <v>9.8522964430116395E-3</v>
      </c>
      <c r="AB213" s="357">
        <f t="shared" si="272"/>
        <v>1.0582109330537008E-2</v>
      </c>
      <c r="AC213" s="357">
        <f t="shared" si="279"/>
        <v>5.8651194523980576E-3</v>
      </c>
      <c r="AD213" s="357">
        <f t="shared" si="280"/>
        <v>6.3492276786587445E-3</v>
      </c>
      <c r="AE213" s="379">
        <f t="shared" si="281"/>
        <v>6.6889881507967101E-3</v>
      </c>
      <c r="AG213" s="451">
        <f t="shared" si="273"/>
        <v>-4.9379051421754028E-2</v>
      </c>
      <c r="AH213" s="357">
        <f t="shared" si="274"/>
        <v>-4.16228974300938E-2</v>
      </c>
      <c r="AI213" s="357">
        <f t="shared" si="275"/>
        <v>-4.4722059080993429E-2</v>
      </c>
      <c r="AJ213" s="357">
        <f t="shared" si="276"/>
        <v>-4.5481583546696125E-2</v>
      </c>
      <c r="AK213" s="357">
        <f t="shared" si="277"/>
        <v>3.4443168134431429E-3</v>
      </c>
      <c r="AL213" s="357">
        <f t="shared" si="278"/>
        <v>1.0191217200290731E-2</v>
      </c>
      <c r="AM213" s="357">
        <f t="shared" si="282"/>
        <v>5.7117062060755511E-3</v>
      </c>
      <c r="AN213" s="357">
        <f t="shared" si="283"/>
        <v>6.3884975029849956E-3</v>
      </c>
      <c r="AO213" s="379">
        <f t="shared" si="284"/>
        <v>6.7661213570209015E-3</v>
      </c>
    </row>
    <row r="214" spans="2:41" x14ac:dyDescent="0.25">
      <c r="B214" s="449">
        <v>43823</v>
      </c>
      <c r="C214">
        <v>219</v>
      </c>
      <c r="D214">
        <v>269</v>
      </c>
      <c r="E214">
        <v>266</v>
      </c>
      <c r="F214">
        <v>245</v>
      </c>
      <c r="G214">
        <v>230</v>
      </c>
      <c r="H214">
        <v>191</v>
      </c>
      <c r="I214">
        <v>172</v>
      </c>
      <c r="J214">
        <v>158</v>
      </c>
      <c r="K214" s="445">
        <v>150</v>
      </c>
      <c r="M214" s="451">
        <f t="shared" si="285"/>
        <v>4.7846889952153138E-2</v>
      </c>
      <c r="N214" s="357">
        <f t="shared" si="286"/>
        <v>0.40837696335078544</v>
      </c>
      <c r="O214" s="357">
        <f t="shared" si="287"/>
        <v>0.39267015706806285</v>
      </c>
      <c r="P214" s="357">
        <f t="shared" si="288"/>
        <v>0.28947368421052633</v>
      </c>
      <c r="Q214" s="357">
        <f t="shared" si="289"/>
        <v>0.12745098039215685</v>
      </c>
      <c r="R214" s="357">
        <f t="shared" si="290"/>
        <v>5.2631578947368585E-3</v>
      </c>
      <c r="S214" s="357">
        <f t="shared" si="291"/>
        <v>5.8479532163742132E-3</v>
      </c>
      <c r="T214" s="357">
        <f t="shared" si="292"/>
        <v>0</v>
      </c>
      <c r="U214" s="379">
        <f t="shared" si="293"/>
        <v>0</v>
      </c>
      <c r="W214" s="451">
        <f t="shared" si="267"/>
        <v>4.6737477851689843E-2</v>
      </c>
      <c r="X214" s="357">
        <f t="shared" si="268"/>
        <v>0.34243795155520929</v>
      </c>
      <c r="Y214" s="357">
        <f t="shared" si="269"/>
        <v>0.33122288073506923</v>
      </c>
      <c r="Z214" s="357">
        <f t="shared" si="270"/>
        <v>0.25423413838424086</v>
      </c>
      <c r="AA214" s="357">
        <f t="shared" si="271"/>
        <v>0.11995931507897897</v>
      </c>
      <c r="AB214" s="357">
        <f t="shared" si="272"/>
        <v>5.249355886143745E-3</v>
      </c>
      <c r="AC214" s="357">
        <f t="shared" si="279"/>
        <v>5.8309203107931437E-3</v>
      </c>
      <c r="AD214" s="357">
        <f t="shared" si="280"/>
        <v>0</v>
      </c>
      <c r="AE214" s="379">
        <f t="shared" si="281"/>
        <v>0</v>
      </c>
      <c r="AG214" s="451">
        <f t="shared" si="273"/>
        <v>2.637481527458518E-2</v>
      </c>
      <c r="AH214" s="357">
        <f t="shared" si="274"/>
        <v>0.3872668864335122</v>
      </c>
      <c r="AI214" s="357">
        <f t="shared" si="275"/>
        <v>0.37840495077894759</v>
      </c>
      <c r="AJ214" s="357">
        <f t="shared" si="276"/>
        <v>0.27952509558768807</v>
      </c>
      <c r="AK214" s="357">
        <f t="shared" si="277"/>
        <v>0.12099430710659009</v>
      </c>
      <c r="AL214" s="357">
        <f t="shared" si="278"/>
        <v>4.8160772226870929E-3</v>
      </c>
      <c r="AM214" s="357">
        <f t="shared" si="282"/>
        <v>5.6773064812733146E-3</v>
      </c>
      <c r="AN214" s="357">
        <f t="shared" si="283"/>
        <v>1.9070751392640699E-5</v>
      </c>
      <c r="AO214" s="379">
        <f t="shared" si="284"/>
        <v>5.4711961047645428E-5</v>
      </c>
    </row>
    <row r="215" spans="2:41" x14ac:dyDescent="0.25">
      <c r="B215" s="449">
        <v>43830</v>
      </c>
      <c r="C215">
        <v>352</v>
      </c>
      <c r="D215">
        <v>340</v>
      </c>
      <c r="E215">
        <v>270</v>
      </c>
      <c r="F215">
        <v>220</v>
      </c>
      <c r="G215">
        <v>248</v>
      </c>
      <c r="H215">
        <v>191</v>
      </c>
      <c r="I215">
        <v>172</v>
      </c>
      <c r="J215">
        <v>158</v>
      </c>
      <c r="K215" s="445">
        <v>150</v>
      </c>
      <c r="M215" s="451">
        <f t="shared" si="285"/>
        <v>0.60730593607305927</v>
      </c>
      <c r="N215" s="357">
        <f t="shared" si="286"/>
        <v>0.26394052044609673</v>
      </c>
      <c r="O215" s="357">
        <f t="shared" si="287"/>
        <v>1.5037593984962516E-2</v>
      </c>
      <c r="P215" s="357">
        <f t="shared" si="288"/>
        <v>-0.10204081632653061</v>
      </c>
      <c r="Q215" s="357">
        <f t="shared" si="289"/>
        <v>7.8260869565217384E-2</v>
      </c>
      <c r="R215" s="357">
        <f t="shared" si="290"/>
        <v>0</v>
      </c>
      <c r="S215" s="357">
        <f t="shared" si="291"/>
        <v>0</v>
      </c>
      <c r="T215" s="357">
        <f t="shared" si="292"/>
        <v>0</v>
      </c>
      <c r="U215" s="379">
        <f t="shared" si="293"/>
        <v>0</v>
      </c>
      <c r="W215" s="451">
        <f t="shared" si="267"/>
        <v>0.4745594457815962</v>
      </c>
      <c r="X215" s="357">
        <f t="shared" si="268"/>
        <v>0.23423423800836801</v>
      </c>
      <c r="Y215" s="357">
        <f t="shared" si="269"/>
        <v>1.4925650216675792E-2</v>
      </c>
      <c r="Z215" s="357">
        <f t="shared" si="270"/>
        <v>-0.10763066419236544</v>
      </c>
      <c r="AA215" s="357">
        <f t="shared" si="271"/>
        <v>7.534943724178679E-2</v>
      </c>
      <c r="AB215" s="357">
        <f t="shared" si="272"/>
        <v>0</v>
      </c>
      <c r="AC215" s="357">
        <f t="shared" si="279"/>
        <v>0</v>
      </c>
      <c r="AD215" s="357">
        <f t="shared" si="280"/>
        <v>0</v>
      </c>
      <c r="AE215" s="379">
        <f t="shared" si="281"/>
        <v>0</v>
      </c>
      <c r="AG215" s="451">
        <f t="shared" si="273"/>
        <v>0.58583386139549132</v>
      </c>
      <c r="AH215" s="357">
        <f t="shared" si="274"/>
        <v>0.24283044352882346</v>
      </c>
      <c r="AI215" s="357">
        <f t="shared" si="275"/>
        <v>7.7238769584724205E-4</v>
      </c>
      <c r="AJ215" s="357">
        <f t="shared" si="276"/>
        <v>-0.11198940494936888</v>
      </c>
      <c r="AK215" s="357">
        <f t="shared" si="277"/>
        <v>7.1804196279650623E-2</v>
      </c>
      <c r="AL215" s="357">
        <f t="shared" si="278"/>
        <v>-4.4708067204976532E-4</v>
      </c>
      <c r="AM215" s="357">
        <f t="shared" si="282"/>
        <v>-1.7064673510089895E-4</v>
      </c>
      <c r="AN215" s="357">
        <f t="shared" si="283"/>
        <v>1.9070751392640699E-5</v>
      </c>
      <c r="AO215" s="379">
        <f t="shared" si="284"/>
        <v>5.4711961047645428E-5</v>
      </c>
    </row>
    <row r="216" spans="2:41" x14ac:dyDescent="0.25">
      <c r="B216" s="449">
        <v>43837</v>
      </c>
      <c r="C216">
        <v>299</v>
      </c>
      <c r="D216">
        <v>215</v>
      </c>
      <c r="E216">
        <v>199</v>
      </c>
      <c r="F216">
        <v>185</v>
      </c>
      <c r="G216">
        <v>222</v>
      </c>
      <c r="H216">
        <v>192</v>
      </c>
      <c r="I216">
        <v>172</v>
      </c>
      <c r="J216">
        <v>159</v>
      </c>
      <c r="K216" s="445">
        <v>150</v>
      </c>
      <c r="M216" s="451">
        <f t="shared" si="285"/>
        <v>-0.15056818181818177</v>
      </c>
      <c r="N216" s="357">
        <f t="shared" si="286"/>
        <v>-0.36764705882352944</v>
      </c>
      <c r="O216" s="357">
        <f t="shared" si="287"/>
        <v>-0.26296296296296295</v>
      </c>
      <c r="P216" s="357">
        <f t="shared" si="288"/>
        <v>-0.15909090909090906</v>
      </c>
      <c r="Q216" s="357">
        <f t="shared" si="289"/>
        <v>-0.10483870967741937</v>
      </c>
      <c r="R216" s="357">
        <f t="shared" si="290"/>
        <v>5.2356020942407877E-3</v>
      </c>
      <c r="S216" s="357">
        <f t="shared" si="291"/>
        <v>0</v>
      </c>
      <c r="T216" s="357">
        <f t="shared" si="292"/>
        <v>6.3291139240506666E-3</v>
      </c>
      <c r="U216" s="379">
        <f t="shared" si="293"/>
        <v>0</v>
      </c>
      <c r="W216" s="451">
        <f t="shared" si="267"/>
        <v>-0.1631876022074106</v>
      </c>
      <c r="X216" s="357">
        <f t="shared" si="268"/>
        <v>-0.4583075894825443</v>
      </c>
      <c r="Y216" s="357">
        <f t="shared" si="269"/>
        <v>-0.30511713427388237</v>
      </c>
      <c r="Z216" s="357">
        <f t="shared" si="270"/>
        <v>-0.17327172127403667</v>
      </c>
      <c r="AA216" s="357">
        <f t="shared" si="271"/>
        <v>-0.11075136429270276</v>
      </c>
      <c r="AB216" s="357">
        <f t="shared" si="272"/>
        <v>5.2219439811516249E-3</v>
      </c>
      <c r="AC216" s="357">
        <f t="shared" si="279"/>
        <v>0</v>
      </c>
      <c r="AD216" s="357">
        <f t="shared" si="280"/>
        <v>6.3091691932647556E-3</v>
      </c>
      <c r="AE216" s="379">
        <f t="shared" si="281"/>
        <v>0</v>
      </c>
      <c r="AG216" s="451">
        <f t="shared" si="273"/>
        <v>-0.17204025649574972</v>
      </c>
      <c r="AH216" s="357">
        <f t="shared" si="274"/>
        <v>-0.38875713574080267</v>
      </c>
      <c r="AI216" s="357">
        <f t="shared" si="275"/>
        <v>-0.27722816925207822</v>
      </c>
      <c r="AJ216" s="357">
        <f t="shared" si="276"/>
        <v>-0.16903949771374732</v>
      </c>
      <c r="AK216" s="357">
        <f t="shared" si="277"/>
        <v>-0.11129538296298613</v>
      </c>
      <c r="AL216" s="357">
        <f t="shared" si="278"/>
        <v>4.7885214221910222E-3</v>
      </c>
      <c r="AM216" s="357">
        <f t="shared" si="282"/>
        <v>-1.7064673510089895E-4</v>
      </c>
      <c r="AN216" s="357">
        <f t="shared" si="283"/>
        <v>6.348184675443307E-3</v>
      </c>
      <c r="AO216" s="379">
        <f t="shared" si="284"/>
        <v>5.4711961047645428E-5</v>
      </c>
    </row>
    <row r="217" spans="2:41" x14ac:dyDescent="0.25">
      <c r="B217" s="449">
        <v>43844</v>
      </c>
      <c r="C217">
        <v>323</v>
      </c>
      <c r="D217">
        <v>283</v>
      </c>
      <c r="E217">
        <v>249</v>
      </c>
      <c r="F217">
        <v>196</v>
      </c>
      <c r="G217">
        <v>234</v>
      </c>
      <c r="H217">
        <v>205</v>
      </c>
      <c r="I217">
        <v>176</v>
      </c>
      <c r="J217">
        <v>158</v>
      </c>
      <c r="K217" s="445">
        <v>150</v>
      </c>
      <c r="M217" s="451">
        <f t="shared" si="285"/>
        <v>8.026755852842804E-2</v>
      </c>
      <c r="N217" s="357">
        <f t="shared" si="286"/>
        <v>0.3162790697674418</v>
      </c>
      <c r="O217" s="357">
        <f t="shared" si="287"/>
        <v>0.25125628140703515</v>
      </c>
      <c r="P217" s="357">
        <f t="shared" si="288"/>
        <v>5.9459459459459518E-2</v>
      </c>
      <c r="Q217" s="357">
        <f t="shared" si="289"/>
        <v>5.4054054054053946E-2</v>
      </c>
      <c r="R217" s="357">
        <f t="shared" si="290"/>
        <v>6.7708333333333259E-2</v>
      </c>
      <c r="S217" s="357">
        <f t="shared" si="291"/>
        <v>2.3255813953488413E-2</v>
      </c>
      <c r="T217" s="357">
        <f t="shared" si="292"/>
        <v>-6.2893081761006275E-3</v>
      </c>
      <c r="U217" s="379">
        <f t="shared" si="293"/>
        <v>0</v>
      </c>
      <c r="W217" s="451">
        <f t="shared" si="267"/>
        <v>7.7208749831970069E-2</v>
      </c>
      <c r="X217" s="357">
        <f t="shared" si="268"/>
        <v>0.27480886951557476</v>
      </c>
      <c r="Y217" s="357">
        <f t="shared" si="269"/>
        <v>0.2241480717402152</v>
      </c>
      <c r="Z217" s="357">
        <f t="shared" si="270"/>
        <v>5.7758834152192469E-2</v>
      </c>
      <c r="AA217" s="357">
        <f t="shared" si="271"/>
        <v>5.2643733485421881E-2</v>
      </c>
      <c r="AB217" s="357">
        <f t="shared" si="272"/>
        <v>6.5514607110626566E-2</v>
      </c>
      <c r="AC217" s="357">
        <f t="shared" si="279"/>
        <v>2.2989518224698781E-2</v>
      </c>
      <c r="AD217" s="357">
        <f t="shared" si="280"/>
        <v>-6.309169193264721E-3</v>
      </c>
      <c r="AE217" s="379">
        <f t="shared" si="281"/>
        <v>0</v>
      </c>
      <c r="AG217" s="451">
        <f t="shared" si="273"/>
        <v>5.8795483850860086E-2</v>
      </c>
      <c r="AH217" s="357">
        <f t="shared" si="274"/>
        <v>0.29516899285016857</v>
      </c>
      <c r="AI217" s="357">
        <f t="shared" si="275"/>
        <v>0.23699107511791989</v>
      </c>
      <c r="AJ217" s="357">
        <f t="shared" si="276"/>
        <v>4.9510870836621257E-2</v>
      </c>
      <c r="AK217" s="357">
        <f t="shared" si="277"/>
        <v>4.7597380768487178E-2</v>
      </c>
      <c r="AL217" s="357">
        <f t="shared" si="278"/>
        <v>6.7261252661283494E-2</v>
      </c>
      <c r="AM217" s="357">
        <f t="shared" si="282"/>
        <v>2.3085167218387513E-2</v>
      </c>
      <c r="AN217" s="357">
        <f t="shared" si="283"/>
        <v>-6.2702374247079872E-3</v>
      </c>
      <c r="AO217" s="379">
        <f t="shared" si="284"/>
        <v>5.4711961047645428E-5</v>
      </c>
    </row>
    <row r="218" spans="2:41" x14ac:dyDescent="0.25">
      <c r="B218" s="449">
        <v>43851</v>
      </c>
      <c r="C218">
        <v>323</v>
      </c>
      <c r="D218">
        <v>234</v>
      </c>
      <c r="E218">
        <v>217</v>
      </c>
      <c r="F218">
        <v>178</v>
      </c>
      <c r="G218">
        <v>233</v>
      </c>
      <c r="H218">
        <v>203</v>
      </c>
      <c r="I218">
        <v>177</v>
      </c>
      <c r="J218">
        <v>160</v>
      </c>
      <c r="K218" s="445">
        <v>152</v>
      </c>
      <c r="M218" s="451">
        <f t="shared" si="285"/>
        <v>0</v>
      </c>
      <c r="N218" s="357">
        <f t="shared" si="286"/>
        <v>-0.17314487632508835</v>
      </c>
      <c r="O218" s="357">
        <f t="shared" si="287"/>
        <v>-0.12851405622489964</v>
      </c>
      <c r="P218" s="357">
        <f t="shared" si="288"/>
        <v>-9.1836734693877542E-2</v>
      </c>
      <c r="Q218" s="357">
        <f t="shared" si="289"/>
        <v>-4.2735042735042583E-3</v>
      </c>
      <c r="R218" s="357">
        <f t="shared" si="290"/>
        <v>-9.7560975609756184E-3</v>
      </c>
      <c r="S218" s="357">
        <f t="shared" si="291"/>
        <v>5.6818181818181213E-3</v>
      </c>
      <c r="T218" s="357">
        <f t="shared" si="292"/>
        <v>1.2658227848101333E-2</v>
      </c>
      <c r="U218" s="379">
        <f t="shared" si="293"/>
        <v>1.3333333333333419E-2</v>
      </c>
      <c r="W218" s="451">
        <f t="shared" si="267"/>
        <v>0</v>
      </c>
      <c r="X218" s="357">
        <f t="shared" si="268"/>
        <v>-0.1901257822855362</v>
      </c>
      <c r="Y218" s="357">
        <f t="shared" si="269"/>
        <v>-0.13755554292424813</v>
      </c>
      <c r="Z218" s="357">
        <f t="shared" si="270"/>
        <v>-9.6331108938432067E-2</v>
      </c>
      <c r="AA218" s="357">
        <f t="shared" si="271"/>
        <v>-4.2826617920008478E-3</v>
      </c>
      <c r="AB218" s="357">
        <f t="shared" si="272"/>
        <v>-9.8040000966208556E-3</v>
      </c>
      <c r="AC218" s="357">
        <f t="shared" si="279"/>
        <v>5.6657375356772999E-3</v>
      </c>
      <c r="AD218" s="357">
        <f t="shared" si="280"/>
        <v>1.2578782206860185E-2</v>
      </c>
      <c r="AE218" s="379">
        <f t="shared" si="281"/>
        <v>1.3245226750020723E-2</v>
      </c>
      <c r="AG218" s="451">
        <f t="shared" si="273"/>
        <v>-2.1472074677567957E-2</v>
      </c>
      <c r="AH218" s="357">
        <f t="shared" si="274"/>
        <v>-0.19425495324236161</v>
      </c>
      <c r="AI218" s="357">
        <f t="shared" si="275"/>
        <v>-0.1427792625140149</v>
      </c>
      <c r="AJ218" s="357">
        <f t="shared" si="276"/>
        <v>-0.1017853233167158</v>
      </c>
      <c r="AK218" s="357">
        <f t="shared" si="277"/>
        <v>-1.0730177559071026E-2</v>
      </c>
      <c r="AL218" s="357">
        <f t="shared" si="278"/>
        <v>-1.0203178233025384E-2</v>
      </c>
      <c r="AM218" s="357">
        <f t="shared" si="282"/>
        <v>5.5111714467172227E-3</v>
      </c>
      <c r="AN218" s="357">
        <f t="shared" si="283"/>
        <v>1.2677298599493974E-2</v>
      </c>
      <c r="AO218" s="379">
        <f t="shared" si="284"/>
        <v>1.3388045294381064E-2</v>
      </c>
    </row>
    <row r="219" spans="2:41" x14ac:dyDescent="0.25">
      <c r="B219" s="449">
        <v>43858</v>
      </c>
      <c r="C219">
        <v>327.38</v>
      </c>
      <c r="D219">
        <v>205</v>
      </c>
      <c r="E219">
        <v>207</v>
      </c>
      <c r="F219">
        <v>175</v>
      </c>
      <c r="G219">
        <v>234</v>
      </c>
      <c r="H219">
        <v>203</v>
      </c>
      <c r="I219">
        <v>173</v>
      </c>
      <c r="J219">
        <v>159</v>
      </c>
      <c r="K219" s="445">
        <v>153</v>
      </c>
      <c r="M219" s="451">
        <f t="shared" si="285"/>
        <v>1.3560371517027825E-2</v>
      </c>
      <c r="N219" s="357">
        <f t="shared" si="286"/>
        <v>-0.12393162393162394</v>
      </c>
      <c r="O219" s="357">
        <f t="shared" si="287"/>
        <v>-4.6082949308755783E-2</v>
      </c>
      <c r="P219" s="357">
        <f t="shared" si="288"/>
        <v>-1.6853932584269704E-2</v>
      </c>
      <c r="Q219" s="357">
        <f t="shared" si="289"/>
        <v>4.2918454935623185E-3</v>
      </c>
      <c r="R219" s="357">
        <f t="shared" si="290"/>
        <v>0</v>
      </c>
      <c r="S219" s="357">
        <f t="shared" si="291"/>
        <v>-2.2598870056497189E-2</v>
      </c>
      <c r="T219" s="357">
        <f t="shared" si="292"/>
        <v>-6.2499999999999778E-3</v>
      </c>
      <c r="U219" s="379">
        <f t="shared" si="293"/>
        <v>6.5789473684210176E-3</v>
      </c>
      <c r="W219" s="451">
        <f t="shared" si="267"/>
        <v>1.3469252493551964E-2</v>
      </c>
      <c r="X219" s="357">
        <f t="shared" si="268"/>
        <v>-0.13231113621929325</v>
      </c>
      <c r="Y219" s="357">
        <f t="shared" si="269"/>
        <v>-4.71785602750905E-2</v>
      </c>
      <c r="Z219" s="357">
        <f t="shared" si="270"/>
        <v>-1.6997576368571136E-2</v>
      </c>
      <c r="AA219" s="357">
        <f t="shared" si="271"/>
        <v>4.2826617920009493E-3</v>
      </c>
      <c r="AB219" s="357">
        <f t="shared" si="272"/>
        <v>0</v>
      </c>
      <c r="AC219" s="357">
        <f t="shared" si="279"/>
        <v>-2.2858138076050208E-2</v>
      </c>
      <c r="AD219" s="357">
        <f t="shared" si="280"/>
        <v>-6.2696130135953742E-3</v>
      </c>
      <c r="AE219" s="379">
        <f t="shared" si="281"/>
        <v>6.5574005461590396E-3</v>
      </c>
      <c r="AG219" s="451">
        <f t="shared" si="273"/>
        <v>-7.9117031605401324E-3</v>
      </c>
      <c r="AH219" s="357">
        <f t="shared" si="274"/>
        <v>-0.1450417008488972</v>
      </c>
      <c r="AI219" s="357">
        <f t="shared" si="275"/>
        <v>-6.0348155597871059E-2</v>
      </c>
      <c r="AJ219" s="357">
        <f t="shared" si="276"/>
        <v>-2.6802521207107969E-2</v>
      </c>
      <c r="AK219" s="357">
        <f t="shared" si="277"/>
        <v>-2.1648277920044484E-3</v>
      </c>
      <c r="AL219" s="357">
        <f t="shared" si="278"/>
        <v>-4.4708067204976532E-4</v>
      </c>
      <c r="AM219" s="357">
        <f t="shared" si="282"/>
        <v>-2.2769516791598089E-2</v>
      </c>
      <c r="AN219" s="357">
        <f t="shared" si="283"/>
        <v>-6.2309292486073375E-3</v>
      </c>
      <c r="AO219" s="379">
        <f t="shared" si="284"/>
        <v>6.6336593294686634E-3</v>
      </c>
    </row>
    <row r="220" spans="2:41" x14ac:dyDescent="0.25">
      <c r="B220" s="449">
        <v>43865</v>
      </c>
      <c r="C220">
        <v>192</v>
      </c>
      <c r="D220">
        <v>193</v>
      </c>
      <c r="E220">
        <v>173</v>
      </c>
      <c r="F220">
        <v>179</v>
      </c>
      <c r="G220">
        <v>231</v>
      </c>
      <c r="H220">
        <v>203</v>
      </c>
      <c r="I220">
        <v>173</v>
      </c>
      <c r="J220">
        <v>159</v>
      </c>
      <c r="K220" s="445">
        <v>153</v>
      </c>
      <c r="M220" s="451">
        <f t="shared" si="285"/>
        <v>-0.4135255666198302</v>
      </c>
      <c r="N220" s="357">
        <f t="shared" si="286"/>
        <v>-5.8536585365853711E-2</v>
      </c>
      <c r="O220" s="357">
        <f t="shared" si="287"/>
        <v>-0.16425120772946855</v>
      </c>
      <c r="P220" s="357">
        <f t="shared" si="288"/>
        <v>2.2857142857142909E-2</v>
      </c>
      <c r="Q220" s="357">
        <f t="shared" si="289"/>
        <v>-1.2820512820512775E-2</v>
      </c>
      <c r="R220" s="357">
        <f t="shared" si="290"/>
        <v>0</v>
      </c>
      <c r="S220" s="357">
        <f t="shared" si="291"/>
        <v>0</v>
      </c>
      <c r="T220" s="357">
        <f t="shared" si="292"/>
        <v>0</v>
      </c>
      <c r="U220" s="379">
        <f t="shared" si="293"/>
        <v>0</v>
      </c>
      <c r="W220" s="451">
        <f t="shared" si="267"/>
        <v>-0.53362620368842706</v>
      </c>
      <c r="X220" s="357">
        <f t="shared" si="268"/>
        <v>-6.0319790233522678E-2</v>
      </c>
      <c r="Y220" s="357">
        <f t="shared" si="269"/>
        <v>-0.17942719876759006</v>
      </c>
      <c r="Z220" s="357">
        <f t="shared" si="270"/>
        <v>2.2599831917240992E-2</v>
      </c>
      <c r="AA220" s="357">
        <f t="shared" si="271"/>
        <v>-1.2903404835907841E-2</v>
      </c>
      <c r="AB220" s="357">
        <f t="shared" si="272"/>
        <v>0</v>
      </c>
      <c r="AC220" s="357">
        <f t="shared" si="279"/>
        <v>0</v>
      </c>
      <c r="AD220" s="357">
        <f t="shared" si="280"/>
        <v>0</v>
      </c>
      <c r="AE220" s="379">
        <f t="shared" si="281"/>
        <v>0</v>
      </c>
      <c r="AG220" s="451">
        <f t="shared" si="273"/>
        <v>-0.43499764129739815</v>
      </c>
      <c r="AH220" s="357">
        <f t="shared" si="274"/>
        <v>-7.9646662283126959E-2</v>
      </c>
      <c r="AI220" s="357">
        <f t="shared" si="275"/>
        <v>-0.17851641401858381</v>
      </c>
      <c r="AJ220" s="357">
        <f t="shared" si="276"/>
        <v>1.2908554234304644E-2</v>
      </c>
      <c r="AK220" s="357">
        <f t="shared" si="277"/>
        <v>-1.9277186106079543E-2</v>
      </c>
      <c r="AL220" s="357">
        <f t="shared" si="278"/>
        <v>-4.4708067204976532E-4</v>
      </c>
      <c r="AM220" s="357">
        <f t="shared" si="282"/>
        <v>-1.7064673510089895E-4</v>
      </c>
      <c r="AN220" s="357">
        <f t="shared" si="283"/>
        <v>1.9070751392640699E-5</v>
      </c>
      <c r="AO220" s="379">
        <f t="shared" si="284"/>
        <v>5.4711961047645428E-5</v>
      </c>
    </row>
    <row r="221" spans="2:41" x14ac:dyDescent="0.25">
      <c r="B221" s="449">
        <v>43872</v>
      </c>
      <c r="C221">
        <v>164</v>
      </c>
      <c r="D221">
        <v>154</v>
      </c>
      <c r="E221">
        <v>145</v>
      </c>
      <c r="F221">
        <v>155</v>
      </c>
      <c r="G221">
        <v>240</v>
      </c>
      <c r="H221">
        <v>208</v>
      </c>
      <c r="I221">
        <v>179</v>
      </c>
      <c r="J221">
        <v>161</v>
      </c>
      <c r="K221" s="445">
        <v>153</v>
      </c>
      <c r="M221" s="451">
        <f t="shared" si="285"/>
        <v>-0.14583333333333337</v>
      </c>
      <c r="N221" s="357">
        <f t="shared" si="286"/>
        <v>-0.20207253886010368</v>
      </c>
      <c r="O221" s="357">
        <f t="shared" si="287"/>
        <v>-0.16184971098265899</v>
      </c>
      <c r="P221" s="357">
        <f t="shared" si="288"/>
        <v>-0.13407821229050276</v>
      </c>
      <c r="Q221" s="357">
        <f t="shared" si="289"/>
        <v>3.8961038961038863E-2</v>
      </c>
      <c r="R221" s="357">
        <f t="shared" si="290"/>
        <v>2.4630541871921263E-2</v>
      </c>
      <c r="S221" s="357">
        <f t="shared" si="291"/>
        <v>3.4682080924855585E-2</v>
      </c>
      <c r="T221" s="357">
        <f t="shared" si="292"/>
        <v>1.2578616352201255E-2</v>
      </c>
      <c r="U221" s="379">
        <f t="shared" si="293"/>
        <v>0</v>
      </c>
      <c r="W221" s="451">
        <f t="shared" si="267"/>
        <v>-0.15762894420358317</v>
      </c>
      <c r="X221" s="357">
        <f t="shared" si="268"/>
        <v>-0.22573758649125647</v>
      </c>
      <c r="Y221" s="357">
        <f t="shared" si="269"/>
        <v>-0.17655785207720459</v>
      </c>
      <c r="Z221" s="357">
        <f t="shared" si="270"/>
        <v>-0.14396068892150835</v>
      </c>
      <c r="AA221" s="357">
        <f t="shared" si="271"/>
        <v>3.8221212820197671E-2</v>
      </c>
      <c r="AB221" s="357">
        <f t="shared" si="272"/>
        <v>2.4332100659530721E-2</v>
      </c>
      <c r="AC221" s="357">
        <f t="shared" si="279"/>
        <v>3.409421134297614E-2</v>
      </c>
      <c r="AD221" s="357">
        <f t="shared" si="280"/>
        <v>1.2500162764231468E-2</v>
      </c>
      <c r="AE221" s="379">
        <f t="shared" si="281"/>
        <v>0</v>
      </c>
      <c r="AG221" s="451">
        <f t="shared" si="273"/>
        <v>-0.16730540801090132</v>
      </c>
      <c r="AH221" s="357">
        <f t="shared" si="274"/>
        <v>-0.22318261577737694</v>
      </c>
      <c r="AI221" s="357">
        <f t="shared" si="275"/>
        <v>-0.17611491727177425</v>
      </c>
      <c r="AJ221" s="357">
        <f t="shared" si="276"/>
        <v>-0.14402680091334102</v>
      </c>
      <c r="AK221" s="357">
        <f t="shared" si="277"/>
        <v>3.2504365675472095E-2</v>
      </c>
      <c r="AL221" s="357">
        <f t="shared" si="278"/>
        <v>2.4183461199871498E-2</v>
      </c>
      <c r="AM221" s="357">
        <f t="shared" si="282"/>
        <v>3.4511434189754685E-2</v>
      </c>
      <c r="AN221" s="357">
        <f t="shared" si="283"/>
        <v>1.2597687103593895E-2</v>
      </c>
      <c r="AO221" s="379">
        <f t="shared" si="284"/>
        <v>5.4711961047645428E-5</v>
      </c>
    </row>
    <row r="222" spans="2:41" x14ac:dyDescent="0.25">
      <c r="B222" s="449">
        <v>43879</v>
      </c>
      <c r="C222">
        <v>151</v>
      </c>
      <c r="D222">
        <v>110</v>
      </c>
      <c r="E222">
        <v>115</v>
      </c>
      <c r="F222">
        <v>140</v>
      </c>
      <c r="G222">
        <v>211</v>
      </c>
      <c r="H222">
        <v>204</v>
      </c>
      <c r="I222">
        <v>179</v>
      </c>
      <c r="J222">
        <v>163</v>
      </c>
      <c r="K222" s="445">
        <v>154</v>
      </c>
      <c r="M222" s="451">
        <f t="shared" si="285"/>
        <v>-7.9268292682926789E-2</v>
      </c>
      <c r="N222" s="357">
        <f t="shared" si="286"/>
        <v>-0.2857142857142857</v>
      </c>
      <c r="O222" s="357">
        <f t="shared" si="287"/>
        <v>-0.2068965517241379</v>
      </c>
      <c r="P222" s="357">
        <f t="shared" si="288"/>
        <v>-9.6774193548387122E-2</v>
      </c>
      <c r="Q222" s="357">
        <f t="shared" si="289"/>
        <v>-0.12083333333333335</v>
      </c>
      <c r="R222" s="357">
        <f t="shared" si="290"/>
        <v>-1.9230769230769273E-2</v>
      </c>
      <c r="S222" s="357">
        <f t="shared" si="291"/>
        <v>0</v>
      </c>
      <c r="T222" s="357">
        <f t="shared" si="292"/>
        <v>1.2422360248447228E-2</v>
      </c>
      <c r="U222" s="379">
        <f t="shared" si="293"/>
        <v>6.5359477124182774E-3</v>
      </c>
      <c r="W222" s="451">
        <f t="shared" si="267"/>
        <v>-8.2586591009274055E-2</v>
      </c>
      <c r="X222" s="357">
        <f t="shared" si="268"/>
        <v>-0.33647223662121289</v>
      </c>
      <c r="Y222" s="357">
        <f t="shared" si="269"/>
        <v>-0.2318016140573243</v>
      </c>
      <c r="Z222" s="357">
        <f t="shared" si="270"/>
        <v>-0.10178269430994236</v>
      </c>
      <c r="AA222" s="357">
        <f t="shared" si="271"/>
        <v>-0.12878078986592484</v>
      </c>
      <c r="AB222" s="357">
        <f t="shared" si="272"/>
        <v>-1.9418085857101627E-2</v>
      </c>
      <c r="AC222" s="357">
        <f t="shared" si="279"/>
        <v>0</v>
      </c>
      <c r="AD222" s="357">
        <f t="shared" si="280"/>
        <v>1.2345835822299362E-2</v>
      </c>
      <c r="AE222" s="379">
        <f t="shared" si="281"/>
        <v>6.5146810211936723E-3</v>
      </c>
      <c r="AG222" s="451">
        <f t="shared" si="273"/>
        <v>-0.10074036736049474</v>
      </c>
      <c r="AH222" s="357">
        <f t="shared" si="274"/>
        <v>-0.30682436263155893</v>
      </c>
      <c r="AI222" s="357">
        <f t="shared" si="275"/>
        <v>-0.22116175801325316</v>
      </c>
      <c r="AJ222" s="357">
        <f t="shared" si="276"/>
        <v>-0.10672278217122538</v>
      </c>
      <c r="AK222" s="357">
        <f t="shared" si="277"/>
        <v>-0.12729000661890011</v>
      </c>
      <c r="AL222" s="357">
        <f t="shared" si="278"/>
        <v>-1.9677849902819039E-2</v>
      </c>
      <c r="AM222" s="357">
        <f t="shared" si="282"/>
        <v>-1.7064673510089895E-4</v>
      </c>
      <c r="AN222" s="357">
        <f t="shared" si="283"/>
        <v>1.2441430999839869E-2</v>
      </c>
      <c r="AO222" s="379">
        <f t="shared" si="284"/>
        <v>6.5906596734659232E-3</v>
      </c>
    </row>
    <row r="223" spans="2:41" x14ac:dyDescent="0.25">
      <c r="B223" s="449">
        <v>43886</v>
      </c>
      <c r="C223">
        <v>151</v>
      </c>
      <c r="D223">
        <v>110</v>
      </c>
      <c r="E223">
        <v>115</v>
      </c>
      <c r="F223">
        <v>140</v>
      </c>
      <c r="G223">
        <v>211</v>
      </c>
      <c r="H223">
        <v>204</v>
      </c>
      <c r="I223">
        <v>179</v>
      </c>
      <c r="J223">
        <v>163</v>
      </c>
      <c r="K223" s="445">
        <v>154</v>
      </c>
      <c r="M223" s="451">
        <f t="shared" si="285"/>
        <v>0</v>
      </c>
      <c r="N223" s="357">
        <f t="shared" si="286"/>
        <v>0</v>
      </c>
      <c r="O223" s="357">
        <f t="shared" si="287"/>
        <v>0</v>
      </c>
      <c r="P223" s="357">
        <f t="shared" si="288"/>
        <v>0</v>
      </c>
      <c r="Q223" s="357">
        <f t="shared" si="289"/>
        <v>0</v>
      </c>
      <c r="R223" s="357">
        <f t="shared" si="290"/>
        <v>0</v>
      </c>
      <c r="S223" s="357">
        <f t="shared" si="291"/>
        <v>0</v>
      </c>
      <c r="T223" s="357">
        <f t="shared" si="292"/>
        <v>0</v>
      </c>
      <c r="U223" s="379">
        <f t="shared" si="293"/>
        <v>0</v>
      </c>
      <c r="W223" s="451">
        <f t="shared" si="267"/>
        <v>0</v>
      </c>
      <c r="X223" s="357">
        <f t="shared" si="268"/>
        <v>0</v>
      </c>
      <c r="Y223" s="357">
        <f t="shared" si="269"/>
        <v>0</v>
      </c>
      <c r="Z223" s="357">
        <f t="shared" si="270"/>
        <v>0</v>
      </c>
      <c r="AA223" s="357">
        <f t="shared" si="271"/>
        <v>0</v>
      </c>
      <c r="AB223" s="357">
        <f t="shared" si="272"/>
        <v>0</v>
      </c>
      <c r="AC223" s="357">
        <f t="shared" si="279"/>
        <v>0</v>
      </c>
      <c r="AD223" s="357">
        <f t="shared" si="280"/>
        <v>0</v>
      </c>
      <c r="AE223" s="379">
        <f t="shared" si="281"/>
        <v>0</v>
      </c>
      <c r="AG223" s="451">
        <f t="shared" si="273"/>
        <v>-2.1472074677567957E-2</v>
      </c>
      <c r="AH223" s="357">
        <f t="shared" si="274"/>
        <v>-2.1110076917273252E-2</v>
      </c>
      <c r="AI223" s="357">
        <f t="shared" si="275"/>
        <v>-1.4265206289115274E-2</v>
      </c>
      <c r="AJ223" s="357">
        <f t="shared" si="276"/>
        <v>-9.9485886228382649E-3</v>
      </c>
      <c r="AK223" s="357">
        <f t="shared" si="277"/>
        <v>-6.4566732855667669E-3</v>
      </c>
      <c r="AL223" s="357">
        <f t="shared" si="278"/>
        <v>-4.4708067204976532E-4</v>
      </c>
      <c r="AM223" s="357">
        <f t="shared" si="282"/>
        <v>-1.7064673510089895E-4</v>
      </c>
      <c r="AN223" s="357">
        <f t="shared" si="283"/>
        <v>1.9070751392640699E-5</v>
      </c>
      <c r="AO223" s="379">
        <f t="shared" si="284"/>
        <v>5.4711961047645428E-5</v>
      </c>
    </row>
    <row r="224" spans="2:41" x14ac:dyDescent="0.25">
      <c r="B224" s="449">
        <v>43893</v>
      </c>
      <c r="C224">
        <v>150</v>
      </c>
      <c r="D224">
        <v>85</v>
      </c>
      <c r="E224">
        <v>96</v>
      </c>
      <c r="F224">
        <v>125</v>
      </c>
      <c r="G224">
        <v>210</v>
      </c>
      <c r="H224">
        <v>202</v>
      </c>
      <c r="I224">
        <v>178</v>
      </c>
      <c r="J224">
        <v>163</v>
      </c>
      <c r="K224" s="445">
        <v>153</v>
      </c>
      <c r="M224" s="451">
        <f t="shared" si="285"/>
        <v>-6.6225165562914245E-3</v>
      </c>
      <c r="N224" s="357">
        <f t="shared" si="286"/>
        <v>-0.22727272727272729</v>
      </c>
      <c r="O224" s="357">
        <f t="shared" si="287"/>
        <v>-0.16521739130434787</v>
      </c>
      <c r="P224" s="357">
        <f t="shared" si="288"/>
        <v>-0.1071428571428571</v>
      </c>
      <c r="Q224" s="357">
        <f t="shared" si="289"/>
        <v>-4.7393364928910442E-3</v>
      </c>
      <c r="R224" s="357">
        <f t="shared" si="290"/>
        <v>-9.8039215686274161E-3</v>
      </c>
      <c r="S224" s="357">
        <f t="shared" si="291"/>
        <v>-5.5865921787709993E-3</v>
      </c>
      <c r="T224" s="357">
        <f t="shared" si="292"/>
        <v>0</v>
      </c>
      <c r="U224" s="379">
        <f t="shared" si="293"/>
        <v>-6.4935064935064402E-3</v>
      </c>
      <c r="W224" s="451">
        <f t="shared" si="267"/>
        <v>-6.6445427186686131E-3</v>
      </c>
      <c r="X224" s="357">
        <f t="shared" si="268"/>
        <v>-0.25782910930209979</v>
      </c>
      <c r="Y224" s="357">
        <f t="shared" si="269"/>
        <v>-0.18058393689541388</v>
      </c>
      <c r="Z224" s="357">
        <f t="shared" si="270"/>
        <v>-0.11332868530700312</v>
      </c>
      <c r="AA224" s="357">
        <f t="shared" si="271"/>
        <v>-4.7506027585978647E-3</v>
      </c>
      <c r="AB224" s="357">
        <f t="shared" si="272"/>
        <v>-9.8522964430115944E-3</v>
      </c>
      <c r="AC224" s="357">
        <f t="shared" si="279"/>
        <v>-5.6022555486698981E-3</v>
      </c>
      <c r="AD224" s="357">
        <f t="shared" si="280"/>
        <v>0</v>
      </c>
      <c r="AE224" s="379">
        <f t="shared" si="281"/>
        <v>-6.5146810211936419E-3</v>
      </c>
      <c r="AG224" s="451">
        <f t="shared" si="273"/>
        <v>-2.8094591233859382E-2</v>
      </c>
      <c r="AH224" s="357">
        <f t="shared" si="274"/>
        <v>-0.24838280419000056</v>
      </c>
      <c r="AI224" s="357">
        <f t="shared" si="275"/>
        <v>-0.17948259759346313</v>
      </c>
      <c r="AJ224" s="357">
        <f t="shared" si="276"/>
        <v>-0.11709144576569536</v>
      </c>
      <c r="AK224" s="357">
        <f t="shared" si="277"/>
        <v>-1.1196009778457812E-2</v>
      </c>
      <c r="AL224" s="357">
        <f t="shared" si="278"/>
        <v>-1.0251002240677182E-2</v>
      </c>
      <c r="AM224" s="357">
        <f t="shared" si="282"/>
        <v>-5.7572389138718979E-3</v>
      </c>
      <c r="AN224" s="357">
        <f t="shared" si="283"/>
        <v>1.9070751392640699E-5</v>
      </c>
      <c r="AO224" s="379">
        <f t="shared" si="284"/>
        <v>-6.4387945324587944E-3</v>
      </c>
    </row>
    <row r="225" spans="2:41" x14ac:dyDescent="0.25">
      <c r="B225" s="449">
        <v>43900</v>
      </c>
      <c r="C225">
        <v>85</v>
      </c>
      <c r="D225">
        <v>110</v>
      </c>
      <c r="E225">
        <v>130</v>
      </c>
      <c r="F225">
        <v>171</v>
      </c>
      <c r="G225">
        <v>210</v>
      </c>
      <c r="H225">
        <v>201</v>
      </c>
      <c r="I225">
        <v>177</v>
      </c>
      <c r="J225">
        <v>164</v>
      </c>
      <c r="K225" s="445">
        <v>154</v>
      </c>
      <c r="M225" s="451">
        <f t="shared" si="285"/>
        <v>-0.43333333333333335</v>
      </c>
      <c r="N225" s="357">
        <f t="shared" si="286"/>
        <v>0.29411764705882359</v>
      </c>
      <c r="O225" s="357">
        <f t="shared" si="287"/>
        <v>0.35416666666666674</v>
      </c>
      <c r="P225" s="357">
        <f t="shared" si="288"/>
        <v>0.3680000000000001</v>
      </c>
      <c r="Q225" s="357">
        <f t="shared" si="289"/>
        <v>0</v>
      </c>
      <c r="R225" s="357">
        <f t="shared" si="290"/>
        <v>-4.9504950495049549E-3</v>
      </c>
      <c r="S225" s="357">
        <f t="shared" si="291"/>
        <v>-5.6179775280899014E-3</v>
      </c>
      <c r="T225" s="357">
        <f t="shared" si="292"/>
        <v>6.1349693251533388E-3</v>
      </c>
      <c r="U225" s="379">
        <f t="shared" si="293"/>
        <v>6.5359477124182774E-3</v>
      </c>
      <c r="W225" s="451">
        <f t="shared" si="267"/>
        <v>-0.5679840376059393</v>
      </c>
      <c r="X225" s="357">
        <f t="shared" si="268"/>
        <v>0.25782910930209985</v>
      </c>
      <c r="Y225" s="357">
        <f t="shared" si="269"/>
        <v>0.30318625898774626</v>
      </c>
      <c r="Z225" s="357">
        <f t="shared" si="270"/>
        <v>0.31334981920035881</v>
      </c>
      <c r="AA225" s="357">
        <f t="shared" si="271"/>
        <v>0</v>
      </c>
      <c r="AB225" s="357">
        <f t="shared" si="272"/>
        <v>-4.9627893421290139E-3</v>
      </c>
      <c r="AC225" s="357">
        <f t="shared" si="279"/>
        <v>-5.6338177182560199E-3</v>
      </c>
      <c r="AD225" s="357">
        <f t="shared" si="280"/>
        <v>6.1162270174360536E-3</v>
      </c>
      <c r="AE225" s="379">
        <f t="shared" si="281"/>
        <v>6.5146810211936723E-3</v>
      </c>
      <c r="AG225" s="451">
        <f t="shared" si="273"/>
        <v>-0.4548054080109013</v>
      </c>
      <c r="AH225" s="357">
        <f t="shared" si="274"/>
        <v>0.27300757014155036</v>
      </c>
      <c r="AI225" s="357">
        <f t="shared" si="275"/>
        <v>0.33990146037755148</v>
      </c>
      <c r="AJ225" s="357">
        <f t="shared" si="276"/>
        <v>0.35805141137716184</v>
      </c>
      <c r="AK225" s="357">
        <f t="shared" si="277"/>
        <v>-6.4566732855667669E-3</v>
      </c>
      <c r="AL225" s="357">
        <f t="shared" si="278"/>
        <v>-5.3975757215547204E-3</v>
      </c>
      <c r="AM225" s="357">
        <f t="shared" si="282"/>
        <v>-5.7886242631907999E-3</v>
      </c>
      <c r="AN225" s="357">
        <f t="shared" si="283"/>
        <v>6.1540400765459791E-3</v>
      </c>
      <c r="AO225" s="379">
        <f t="shared" si="284"/>
        <v>6.5906596734659232E-3</v>
      </c>
    </row>
    <row r="226" spans="2:41" x14ac:dyDescent="0.25">
      <c r="B226" s="449">
        <v>43907</v>
      </c>
      <c r="C226">
        <v>85</v>
      </c>
      <c r="D226">
        <v>90</v>
      </c>
      <c r="E226">
        <v>92</v>
      </c>
      <c r="F226">
        <v>125</v>
      </c>
      <c r="G226">
        <v>183</v>
      </c>
      <c r="H226">
        <v>187</v>
      </c>
      <c r="I226">
        <v>176</v>
      </c>
      <c r="J226">
        <v>163</v>
      </c>
      <c r="K226" s="445">
        <v>154</v>
      </c>
      <c r="M226" s="451">
        <f t="shared" si="285"/>
        <v>0</v>
      </c>
      <c r="N226" s="357">
        <f t="shared" si="286"/>
        <v>-0.18181818181818177</v>
      </c>
      <c r="O226" s="357">
        <f t="shared" si="287"/>
        <v>-0.29230769230769227</v>
      </c>
      <c r="P226" s="357">
        <f t="shared" si="288"/>
        <v>-0.26900584795321636</v>
      </c>
      <c r="Q226" s="357">
        <f t="shared" si="289"/>
        <v>-0.12857142857142856</v>
      </c>
      <c r="R226" s="357">
        <f t="shared" si="290"/>
        <v>-6.9651741293532354E-2</v>
      </c>
      <c r="S226" s="357">
        <f t="shared" si="291"/>
        <v>-5.6497175141242417E-3</v>
      </c>
      <c r="T226" s="357">
        <f t="shared" si="292"/>
        <v>-6.0975609756097615E-3</v>
      </c>
      <c r="U226" s="379">
        <f t="shared" si="293"/>
        <v>0</v>
      </c>
      <c r="W226" s="451">
        <f t="shared" si="267"/>
        <v>0</v>
      </c>
      <c r="X226" s="357">
        <f t="shared" si="268"/>
        <v>-0.20067069546215111</v>
      </c>
      <c r="Y226" s="357">
        <f t="shared" si="269"/>
        <v>-0.34574587340654206</v>
      </c>
      <c r="Z226" s="357">
        <f t="shared" si="270"/>
        <v>-0.3133498192003587</v>
      </c>
      <c r="AA226" s="357">
        <f t="shared" si="271"/>
        <v>-0.13762137787604772</v>
      </c>
      <c r="AB226" s="357">
        <f t="shared" si="272"/>
        <v>-7.2196291204489144E-2</v>
      </c>
      <c r="AC226" s="357">
        <f t="shared" si="279"/>
        <v>-5.6657375356773077E-3</v>
      </c>
      <c r="AD226" s="357">
        <f t="shared" si="280"/>
        <v>-6.1162270174360944E-3</v>
      </c>
      <c r="AE226" s="379">
        <f t="shared" si="281"/>
        <v>0</v>
      </c>
      <c r="AG226" s="451">
        <f t="shared" si="273"/>
        <v>-2.1472074677567957E-2</v>
      </c>
      <c r="AH226" s="357">
        <f t="shared" si="274"/>
        <v>-0.20292825873545503</v>
      </c>
      <c r="AI226" s="357">
        <f t="shared" si="275"/>
        <v>-0.30657289859680753</v>
      </c>
      <c r="AJ226" s="357">
        <f t="shared" si="276"/>
        <v>-0.27895443657605462</v>
      </c>
      <c r="AK226" s="357">
        <f t="shared" si="277"/>
        <v>-0.13502810185699532</v>
      </c>
      <c r="AL226" s="357">
        <f t="shared" si="278"/>
        <v>-7.009882196558212E-2</v>
      </c>
      <c r="AM226" s="357">
        <f t="shared" si="282"/>
        <v>-5.8203642492251403E-3</v>
      </c>
      <c r="AN226" s="357">
        <f t="shared" si="283"/>
        <v>-6.0784902242171212E-3</v>
      </c>
      <c r="AO226" s="379">
        <f t="shared" si="284"/>
        <v>5.4711961047645428E-5</v>
      </c>
    </row>
    <row r="227" spans="2:41" x14ac:dyDescent="0.25">
      <c r="B227" s="449">
        <v>43914</v>
      </c>
      <c r="C227">
        <v>85</v>
      </c>
      <c r="D227">
        <v>50</v>
      </c>
      <c r="E227">
        <v>55</v>
      </c>
      <c r="F227">
        <v>75</v>
      </c>
      <c r="G227">
        <v>145</v>
      </c>
      <c r="H227">
        <v>170</v>
      </c>
      <c r="I227">
        <v>173</v>
      </c>
      <c r="J227">
        <v>160</v>
      </c>
      <c r="K227" s="445">
        <v>155</v>
      </c>
      <c r="M227" s="451">
        <f t="shared" si="285"/>
        <v>0</v>
      </c>
      <c r="N227" s="357">
        <f t="shared" si="286"/>
        <v>-0.44444444444444442</v>
      </c>
      <c r="O227" s="357">
        <f t="shared" si="287"/>
        <v>-0.40217391304347827</v>
      </c>
      <c r="P227" s="357">
        <f t="shared" si="288"/>
        <v>-0.4</v>
      </c>
      <c r="Q227" s="357">
        <f t="shared" si="289"/>
        <v>-0.20765027322404372</v>
      </c>
      <c r="R227" s="357">
        <f t="shared" si="290"/>
        <v>-9.0909090909090939E-2</v>
      </c>
      <c r="S227" s="357">
        <f t="shared" si="291"/>
        <v>-1.7045454545454586E-2</v>
      </c>
      <c r="T227" s="357">
        <f t="shared" si="292"/>
        <v>-1.8404907975460127E-2</v>
      </c>
      <c r="U227" s="379">
        <f t="shared" si="293"/>
        <v>6.4935064935065512E-3</v>
      </c>
      <c r="W227" s="451">
        <f t="shared" ref="W227:W251" si="294">LN(C227/C226)</f>
        <v>0</v>
      </c>
      <c r="X227" s="357">
        <f t="shared" ref="X227:X251" si="295">LN(D227/D226)</f>
        <v>-0.58778666490211895</v>
      </c>
      <c r="Y227" s="357">
        <f t="shared" ref="Y227:Y251" si="296">LN(E227/E226)</f>
        <v>-0.51445539181656941</v>
      </c>
      <c r="Z227" s="357">
        <f t="shared" ref="Z227:Z251" si="297">LN(F227/F226)</f>
        <v>-0.51082562376599072</v>
      </c>
      <c r="AA227" s="357">
        <f t="shared" ref="AA227:AA251" si="298">LN(G227/G226)</f>
        <v>-0.23275241042084654</v>
      </c>
      <c r="AB227" s="357">
        <f t="shared" ref="AB227:AB251" si="299">LN(H227/H226)</f>
        <v>-9.5310179804324893E-2</v>
      </c>
      <c r="AC227" s="357">
        <f t="shared" si="279"/>
        <v>-1.7192400540372875E-2</v>
      </c>
      <c r="AD227" s="357">
        <f t="shared" si="280"/>
        <v>-1.8576385572935419E-2</v>
      </c>
      <c r="AE227" s="379">
        <f t="shared" si="281"/>
        <v>6.4725145056175196E-3</v>
      </c>
      <c r="AG227" s="451">
        <f t="shared" ref="AG227:AG251" si="300">M227-M$2</f>
        <v>-2.1472074677567957E-2</v>
      </c>
      <c r="AH227" s="357">
        <f t="shared" ref="AH227:AH251" si="301">N227-N$2</f>
        <v>-0.46555452136171765</v>
      </c>
      <c r="AI227" s="357">
        <f t="shared" ref="AI227:AI251" si="302">O227-O$2</f>
        <v>-0.41643911933259353</v>
      </c>
      <c r="AJ227" s="357">
        <f t="shared" ref="AJ227:AJ251" si="303">P227-P$2</f>
        <v>-0.40994858862283828</v>
      </c>
      <c r="AK227" s="357">
        <f t="shared" ref="AK227:AK251" si="304">Q227-Q$2</f>
        <v>-0.21410694650961049</v>
      </c>
      <c r="AL227" s="357">
        <f t="shared" ref="AL227:AL251" si="305">R227-R$2</f>
        <v>-9.1356171581140705E-2</v>
      </c>
      <c r="AM227" s="357">
        <f t="shared" si="282"/>
        <v>-1.7216101280555486E-2</v>
      </c>
      <c r="AN227" s="357">
        <f t="shared" si="283"/>
        <v>-1.8385837224067485E-2</v>
      </c>
      <c r="AO227" s="379">
        <f t="shared" si="284"/>
        <v>6.548218454554197E-3</v>
      </c>
    </row>
    <row r="228" spans="2:41" x14ac:dyDescent="0.25">
      <c r="B228" s="449">
        <v>43921</v>
      </c>
      <c r="C228">
        <v>85</v>
      </c>
      <c r="D228">
        <v>42</v>
      </c>
      <c r="E228">
        <v>45</v>
      </c>
      <c r="F228">
        <v>70</v>
      </c>
      <c r="G228">
        <v>125</v>
      </c>
      <c r="H228">
        <v>168</v>
      </c>
      <c r="I228">
        <v>167</v>
      </c>
      <c r="J228">
        <v>159</v>
      </c>
      <c r="K228" s="445">
        <v>154</v>
      </c>
      <c r="M228" s="451">
        <f t="shared" si="285"/>
        <v>0</v>
      </c>
      <c r="N228" s="357">
        <f t="shared" si="286"/>
        <v>-0.16000000000000003</v>
      </c>
      <c r="O228" s="357">
        <f t="shared" si="287"/>
        <v>-0.18181818181818177</v>
      </c>
      <c r="P228" s="357">
        <f t="shared" si="288"/>
        <v>-6.6666666666666652E-2</v>
      </c>
      <c r="Q228" s="357">
        <f t="shared" si="289"/>
        <v>-0.13793103448275867</v>
      </c>
      <c r="R228" s="357">
        <f t="shared" si="290"/>
        <v>-1.1764705882352899E-2</v>
      </c>
      <c r="S228" s="357">
        <f t="shared" si="291"/>
        <v>-3.4682080924855474E-2</v>
      </c>
      <c r="T228" s="357">
        <f t="shared" si="292"/>
        <v>-6.2499999999999778E-3</v>
      </c>
      <c r="U228" s="379">
        <f t="shared" si="293"/>
        <v>-6.4516129032258229E-3</v>
      </c>
      <c r="W228" s="451">
        <f t="shared" si="294"/>
        <v>0</v>
      </c>
      <c r="X228" s="357">
        <f t="shared" si="295"/>
        <v>-0.1743533871447778</v>
      </c>
      <c r="Y228" s="357">
        <f t="shared" si="296"/>
        <v>-0.20067069546215111</v>
      </c>
      <c r="Z228" s="357">
        <f t="shared" si="297"/>
        <v>-6.8992871486951435E-2</v>
      </c>
      <c r="AA228" s="357">
        <f t="shared" si="298"/>
        <v>-0.14842000511827333</v>
      </c>
      <c r="AB228" s="357">
        <f t="shared" si="299"/>
        <v>-1.1834457647002796E-2</v>
      </c>
      <c r="AC228" s="357">
        <f t="shared" si="279"/>
        <v>-3.5297782081023819E-2</v>
      </c>
      <c r="AD228" s="357">
        <f t="shared" si="280"/>
        <v>-6.2696130135953742E-3</v>
      </c>
      <c r="AE228" s="379">
        <f t="shared" si="281"/>
        <v>-6.4725145056174788E-3</v>
      </c>
      <c r="AG228" s="451">
        <f t="shared" si="300"/>
        <v>-2.1472074677567957E-2</v>
      </c>
      <c r="AH228" s="357">
        <f t="shared" si="301"/>
        <v>-0.18111007691727329</v>
      </c>
      <c r="AI228" s="357">
        <f t="shared" si="302"/>
        <v>-0.19608338810729703</v>
      </c>
      <c r="AJ228" s="357">
        <f t="shared" si="303"/>
        <v>-7.6615255289504913E-2</v>
      </c>
      <c r="AK228" s="357">
        <f t="shared" si="304"/>
        <v>-0.14438770776832544</v>
      </c>
      <c r="AL228" s="357">
        <f t="shared" si="305"/>
        <v>-1.2211786554402665E-2</v>
      </c>
      <c r="AM228" s="357">
        <f t="shared" si="282"/>
        <v>-3.4852727659956374E-2</v>
      </c>
      <c r="AN228" s="357">
        <f t="shared" si="283"/>
        <v>-6.2309292486073375E-3</v>
      </c>
      <c r="AO228" s="379">
        <f t="shared" si="284"/>
        <v>-6.3969009421781771E-3</v>
      </c>
    </row>
    <row r="229" spans="2:41" x14ac:dyDescent="0.25">
      <c r="B229" s="449">
        <v>43928</v>
      </c>
      <c r="C229">
        <v>82</v>
      </c>
      <c r="D229">
        <v>40</v>
      </c>
      <c r="E229">
        <v>45</v>
      </c>
      <c r="F229">
        <v>75</v>
      </c>
      <c r="G229">
        <v>123</v>
      </c>
      <c r="H229">
        <v>168</v>
      </c>
      <c r="I229">
        <v>164</v>
      </c>
      <c r="J229">
        <v>157</v>
      </c>
      <c r="K229" s="445">
        <v>153</v>
      </c>
      <c r="M229" s="451">
        <f t="shared" si="285"/>
        <v>-3.5294117647058809E-2</v>
      </c>
      <c r="N229" s="357">
        <f t="shared" si="286"/>
        <v>-4.7619047619047672E-2</v>
      </c>
      <c r="O229" s="357">
        <f t="shared" si="287"/>
        <v>0</v>
      </c>
      <c r="P229" s="357">
        <f t="shared" si="288"/>
        <v>7.1428571428571397E-2</v>
      </c>
      <c r="Q229" s="357">
        <f t="shared" si="289"/>
        <v>-1.6000000000000014E-2</v>
      </c>
      <c r="R229" s="357">
        <f t="shared" si="290"/>
        <v>0</v>
      </c>
      <c r="S229" s="357">
        <f t="shared" si="291"/>
        <v>-1.7964071856287456E-2</v>
      </c>
      <c r="T229" s="357">
        <f t="shared" si="292"/>
        <v>-1.2578616352201255E-2</v>
      </c>
      <c r="U229" s="379">
        <f t="shared" si="293"/>
        <v>-6.4935064935064402E-3</v>
      </c>
      <c r="W229" s="451">
        <f t="shared" si="294"/>
        <v>-3.5932009226063329E-2</v>
      </c>
      <c r="X229" s="357">
        <f t="shared" si="295"/>
        <v>-4.8790164169432056E-2</v>
      </c>
      <c r="Y229" s="357">
        <f t="shared" si="296"/>
        <v>0</v>
      </c>
      <c r="Z229" s="357">
        <f t="shared" si="297"/>
        <v>6.8992871486951421E-2</v>
      </c>
      <c r="AA229" s="357">
        <f t="shared" si="298"/>
        <v>-1.6129381929883644E-2</v>
      </c>
      <c r="AB229" s="357">
        <f t="shared" si="299"/>
        <v>0</v>
      </c>
      <c r="AC229" s="357">
        <f t="shared" si="279"/>
        <v>-1.8127384592556715E-2</v>
      </c>
      <c r="AD229" s="357">
        <f t="shared" si="280"/>
        <v>-1.2658396871923465E-2</v>
      </c>
      <c r="AE229" s="379">
        <f t="shared" si="281"/>
        <v>-6.5146810211936419E-3</v>
      </c>
      <c r="AG229" s="451">
        <f t="shared" si="300"/>
        <v>-5.6766192324626763E-2</v>
      </c>
      <c r="AH229" s="357">
        <f t="shared" si="301"/>
        <v>-6.8729124536320921E-2</v>
      </c>
      <c r="AI229" s="357">
        <f t="shared" si="302"/>
        <v>-1.4265206289115274E-2</v>
      </c>
      <c r="AJ229" s="357">
        <f t="shared" si="303"/>
        <v>6.1479982805733135E-2</v>
      </c>
      <c r="AK229" s="357">
        <f t="shared" si="304"/>
        <v>-2.2456673285566782E-2</v>
      </c>
      <c r="AL229" s="357">
        <f t="shared" si="305"/>
        <v>-4.4708067204976532E-4</v>
      </c>
      <c r="AM229" s="357">
        <f t="shared" si="282"/>
        <v>-1.8134718591388356E-2</v>
      </c>
      <c r="AN229" s="357">
        <f t="shared" si="283"/>
        <v>-1.2559545600808615E-2</v>
      </c>
      <c r="AO229" s="379">
        <f t="shared" si="284"/>
        <v>-6.4387945324587944E-3</v>
      </c>
    </row>
    <row r="230" spans="2:41" x14ac:dyDescent="0.25">
      <c r="B230" s="449">
        <v>43935</v>
      </c>
      <c r="C230">
        <v>50</v>
      </c>
      <c r="D230">
        <v>60</v>
      </c>
      <c r="E230">
        <v>80</v>
      </c>
      <c r="F230">
        <v>100</v>
      </c>
      <c r="G230">
        <v>125</v>
      </c>
      <c r="H230">
        <v>164</v>
      </c>
      <c r="I230">
        <v>163</v>
      </c>
      <c r="J230">
        <v>156</v>
      </c>
      <c r="K230" s="445">
        <v>153</v>
      </c>
      <c r="M230" s="451">
        <f t="shared" si="285"/>
        <v>-0.3902439024390244</v>
      </c>
      <c r="N230" s="357">
        <f t="shared" si="286"/>
        <v>0.5</v>
      </c>
      <c r="O230" s="357">
        <f t="shared" si="287"/>
        <v>0.77777777777777768</v>
      </c>
      <c r="P230" s="357">
        <f t="shared" si="288"/>
        <v>0.33333333333333326</v>
      </c>
      <c r="Q230" s="357">
        <f t="shared" si="289"/>
        <v>1.6260162601626105E-2</v>
      </c>
      <c r="R230" s="357">
        <f t="shared" si="290"/>
        <v>-2.3809523809523836E-2</v>
      </c>
      <c r="S230" s="357">
        <f t="shared" si="291"/>
        <v>-6.0975609756097615E-3</v>
      </c>
      <c r="T230" s="357">
        <f t="shared" si="292"/>
        <v>-6.3694267515923553E-3</v>
      </c>
      <c r="U230" s="379">
        <f t="shared" si="293"/>
        <v>0</v>
      </c>
      <c r="W230" s="451">
        <f t="shared" si="294"/>
        <v>-0.49469624183610705</v>
      </c>
      <c r="X230" s="357">
        <f t="shared" si="295"/>
        <v>0.40546510810816438</v>
      </c>
      <c r="Y230" s="357">
        <f t="shared" si="296"/>
        <v>0.5753641449035618</v>
      </c>
      <c r="Z230" s="357">
        <f t="shared" si="297"/>
        <v>0.28768207245178085</v>
      </c>
      <c r="AA230" s="357">
        <f t="shared" si="298"/>
        <v>1.6129381929883717E-2</v>
      </c>
      <c r="AB230" s="357">
        <f t="shared" si="299"/>
        <v>-2.409755157906053E-2</v>
      </c>
      <c r="AC230" s="357">
        <f t="shared" si="279"/>
        <v>-6.1162270174360944E-3</v>
      </c>
      <c r="AD230" s="357">
        <f t="shared" si="280"/>
        <v>-6.38979809877101E-3</v>
      </c>
      <c r="AE230" s="379">
        <f t="shared" si="281"/>
        <v>0</v>
      </c>
      <c r="AG230" s="451">
        <f t="shared" si="300"/>
        <v>-0.41171597711659236</v>
      </c>
      <c r="AH230" s="357">
        <f t="shared" si="301"/>
        <v>0.47888992308272677</v>
      </c>
      <c r="AI230" s="357">
        <f t="shared" si="302"/>
        <v>0.76351257148866236</v>
      </c>
      <c r="AJ230" s="357">
        <f t="shared" si="303"/>
        <v>0.323384744710495</v>
      </c>
      <c r="AK230" s="357">
        <f t="shared" si="304"/>
        <v>9.803489316059337E-3</v>
      </c>
      <c r="AL230" s="357">
        <f t="shared" si="305"/>
        <v>-2.4256604481573601E-2</v>
      </c>
      <c r="AM230" s="357">
        <f t="shared" si="282"/>
        <v>-6.2682077107106601E-3</v>
      </c>
      <c r="AN230" s="357">
        <f t="shared" si="283"/>
        <v>-6.350356000199715E-3</v>
      </c>
      <c r="AO230" s="379">
        <f t="shared" si="284"/>
        <v>5.4711961047645428E-5</v>
      </c>
    </row>
    <row r="231" spans="2:41" x14ac:dyDescent="0.25">
      <c r="B231" s="449">
        <v>43942</v>
      </c>
      <c r="C231">
        <v>40</v>
      </c>
      <c r="D231">
        <v>45</v>
      </c>
      <c r="E231">
        <v>65</v>
      </c>
      <c r="F231">
        <v>75</v>
      </c>
      <c r="G231">
        <v>106</v>
      </c>
      <c r="H231">
        <v>151</v>
      </c>
      <c r="I231">
        <v>158</v>
      </c>
      <c r="J231">
        <v>155</v>
      </c>
      <c r="K231" s="445">
        <v>153</v>
      </c>
      <c r="M231" s="451">
        <f t="shared" si="285"/>
        <v>-0.19999999999999996</v>
      </c>
      <c r="N231" s="357">
        <f t="shared" si="286"/>
        <v>-0.25</v>
      </c>
      <c r="O231" s="357">
        <f t="shared" si="287"/>
        <v>-0.1875</v>
      </c>
      <c r="P231" s="357">
        <f t="shared" si="288"/>
        <v>-0.25</v>
      </c>
      <c r="Q231" s="357">
        <f t="shared" si="289"/>
        <v>-0.15200000000000002</v>
      </c>
      <c r="R231" s="357">
        <f t="shared" si="290"/>
        <v>-7.9268292682926789E-2</v>
      </c>
      <c r="S231" s="357">
        <f t="shared" si="291"/>
        <v>-3.0674846625766916E-2</v>
      </c>
      <c r="T231" s="357">
        <f t="shared" si="292"/>
        <v>-6.4102564102563875E-3</v>
      </c>
      <c r="U231" s="379">
        <f t="shared" si="293"/>
        <v>0</v>
      </c>
      <c r="W231" s="451">
        <f t="shared" si="294"/>
        <v>-0.22314355131420971</v>
      </c>
      <c r="X231" s="357">
        <f t="shared" si="295"/>
        <v>-0.2876820724517809</v>
      </c>
      <c r="Y231" s="357">
        <f t="shared" si="296"/>
        <v>-0.20763936477824449</v>
      </c>
      <c r="Z231" s="357">
        <f t="shared" si="297"/>
        <v>-0.2876820724517809</v>
      </c>
      <c r="AA231" s="357">
        <f t="shared" si="298"/>
        <v>-0.16487464319023401</v>
      </c>
      <c r="AB231" s="357">
        <f t="shared" si="299"/>
        <v>-8.2586591009274055E-2</v>
      </c>
      <c r="AC231" s="357">
        <f t="shared" si="279"/>
        <v>-3.1155167779795576E-2</v>
      </c>
      <c r="AD231" s="357">
        <f t="shared" si="280"/>
        <v>-6.4308903302904025E-3</v>
      </c>
      <c r="AE231" s="379">
        <f t="shared" si="281"/>
        <v>0</v>
      </c>
      <c r="AG231" s="451">
        <f t="shared" si="300"/>
        <v>-0.22147207467756791</v>
      </c>
      <c r="AH231" s="357">
        <f t="shared" si="301"/>
        <v>-0.27111007691727323</v>
      </c>
      <c r="AI231" s="357">
        <f t="shared" si="302"/>
        <v>-0.20176520628911526</v>
      </c>
      <c r="AJ231" s="357">
        <f t="shared" si="303"/>
        <v>-0.25994858862283826</v>
      </c>
      <c r="AK231" s="357">
        <f t="shared" si="304"/>
        <v>-0.15845667328556678</v>
      </c>
      <c r="AL231" s="357">
        <f t="shared" si="305"/>
        <v>-7.9715373354976554E-2</v>
      </c>
      <c r="AM231" s="357">
        <f t="shared" si="282"/>
        <v>-3.0845493360867816E-2</v>
      </c>
      <c r="AN231" s="357">
        <f t="shared" si="283"/>
        <v>-6.3911856588637472E-3</v>
      </c>
      <c r="AO231" s="379">
        <f t="shared" si="284"/>
        <v>5.4711961047645428E-5</v>
      </c>
    </row>
    <row r="232" spans="2:41" x14ac:dyDescent="0.25">
      <c r="B232" s="449">
        <v>43949</v>
      </c>
      <c r="C232">
        <v>39</v>
      </c>
      <c r="D232">
        <v>47</v>
      </c>
      <c r="E232">
        <v>70</v>
      </c>
      <c r="F232">
        <v>90</v>
      </c>
      <c r="G232">
        <v>105</v>
      </c>
      <c r="H232">
        <v>149</v>
      </c>
      <c r="I232">
        <v>157</v>
      </c>
      <c r="J232">
        <v>155</v>
      </c>
      <c r="K232" s="445">
        <v>153</v>
      </c>
      <c r="M232" s="451">
        <f t="shared" si="285"/>
        <v>-2.5000000000000022E-2</v>
      </c>
      <c r="N232" s="357">
        <f t="shared" si="286"/>
        <v>4.4444444444444509E-2</v>
      </c>
      <c r="O232" s="357">
        <f t="shared" si="287"/>
        <v>7.6923076923076872E-2</v>
      </c>
      <c r="P232" s="357">
        <f t="shared" si="288"/>
        <v>0.19999999999999996</v>
      </c>
      <c r="Q232" s="357">
        <f t="shared" si="289"/>
        <v>-9.4339622641509413E-3</v>
      </c>
      <c r="R232" s="357">
        <f t="shared" si="290"/>
        <v>-1.3245033112582738E-2</v>
      </c>
      <c r="S232" s="357">
        <f t="shared" si="291"/>
        <v>-6.3291139240506666E-3</v>
      </c>
      <c r="T232" s="357">
        <f t="shared" si="292"/>
        <v>0</v>
      </c>
      <c r="U232" s="379">
        <f t="shared" si="293"/>
        <v>0</v>
      </c>
      <c r="W232" s="451">
        <f t="shared" si="294"/>
        <v>-2.5317807984289897E-2</v>
      </c>
      <c r="X232" s="357">
        <f t="shared" si="295"/>
        <v>4.3485111939738891E-2</v>
      </c>
      <c r="Y232" s="357">
        <f t="shared" si="296"/>
        <v>7.4107972153721835E-2</v>
      </c>
      <c r="Z232" s="357">
        <f t="shared" si="297"/>
        <v>0.18232155679395459</v>
      </c>
      <c r="AA232" s="357">
        <f t="shared" si="298"/>
        <v>-9.47874395454377E-3</v>
      </c>
      <c r="AB232" s="357">
        <f t="shared" si="299"/>
        <v>-1.3333530869465144E-2</v>
      </c>
      <c r="AC232" s="357">
        <f t="shared" si="279"/>
        <v>-6.34922767865878E-3</v>
      </c>
      <c r="AD232" s="357">
        <f t="shared" si="280"/>
        <v>0</v>
      </c>
      <c r="AE232" s="379">
        <f t="shared" si="281"/>
        <v>0</v>
      </c>
      <c r="AG232" s="451">
        <f t="shared" si="300"/>
        <v>-4.6472074677567976E-2</v>
      </c>
      <c r="AH232" s="357">
        <f t="shared" si="301"/>
        <v>2.3334367527171256E-2</v>
      </c>
      <c r="AI232" s="357">
        <f t="shared" si="302"/>
        <v>6.2657870633961596E-2</v>
      </c>
      <c r="AJ232" s="357">
        <f t="shared" si="303"/>
        <v>0.19005141137716169</v>
      </c>
      <c r="AK232" s="357">
        <f t="shared" si="304"/>
        <v>-1.5890635549717709E-2</v>
      </c>
      <c r="AL232" s="357">
        <f t="shared" si="305"/>
        <v>-1.3692113784632504E-2</v>
      </c>
      <c r="AM232" s="357">
        <f t="shared" si="282"/>
        <v>-6.4997606591515652E-3</v>
      </c>
      <c r="AN232" s="357">
        <f t="shared" si="283"/>
        <v>1.9070751392640699E-5</v>
      </c>
      <c r="AO232" s="379">
        <f t="shared" si="284"/>
        <v>5.4711961047645428E-5</v>
      </c>
    </row>
    <row r="233" spans="2:41" x14ac:dyDescent="0.25">
      <c r="B233" s="449">
        <v>43956</v>
      </c>
      <c r="C233">
        <v>39</v>
      </c>
      <c r="D233">
        <v>55</v>
      </c>
      <c r="E233">
        <v>60</v>
      </c>
      <c r="F233">
        <v>75</v>
      </c>
      <c r="G233">
        <v>98</v>
      </c>
      <c r="H233">
        <v>146</v>
      </c>
      <c r="I233">
        <v>155</v>
      </c>
      <c r="J233">
        <v>155</v>
      </c>
      <c r="K233" s="445">
        <v>153</v>
      </c>
      <c r="M233" s="451">
        <f t="shared" si="285"/>
        <v>0</v>
      </c>
      <c r="N233" s="357">
        <f t="shared" si="286"/>
        <v>0.17021276595744683</v>
      </c>
      <c r="O233" s="357">
        <f t="shared" si="287"/>
        <v>-0.1428571428571429</v>
      </c>
      <c r="P233" s="357">
        <f t="shared" si="288"/>
        <v>-0.16666666666666663</v>
      </c>
      <c r="Q233" s="357">
        <f t="shared" si="289"/>
        <v>-6.6666666666666652E-2</v>
      </c>
      <c r="R233" s="357">
        <f t="shared" si="290"/>
        <v>-2.0134228187919434E-2</v>
      </c>
      <c r="S233" s="357">
        <f t="shared" si="291"/>
        <v>-1.2738853503184711E-2</v>
      </c>
      <c r="T233" s="357">
        <f t="shared" si="292"/>
        <v>0</v>
      </c>
      <c r="U233" s="379">
        <f t="shared" si="293"/>
        <v>0</v>
      </c>
      <c r="W233" s="451">
        <f t="shared" si="294"/>
        <v>0</v>
      </c>
      <c r="X233" s="357">
        <f t="shared" si="295"/>
        <v>0.15718558352241235</v>
      </c>
      <c r="Y233" s="357">
        <f t="shared" si="296"/>
        <v>-0.15415067982725836</v>
      </c>
      <c r="Z233" s="357">
        <f t="shared" si="297"/>
        <v>-0.18232155679395459</v>
      </c>
      <c r="AA233" s="357">
        <f t="shared" si="298"/>
        <v>-6.8992871486951435E-2</v>
      </c>
      <c r="AB233" s="357">
        <f t="shared" si="299"/>
        <v>-2.0339684237122672E-2</v>
      </c>
      <c r="AC233" s="357">
        <f t="shared" si="279"/>
        <v>-1.2820688429061434E-2</v>
      </c>
      <c r="AD233" s="357">
        <f t="shared" si="280"/>
        <v>0</v>
      </c>
      <c r="AE233" s="379">
        <f t="shared" si="281"/>
        <v>0</v>
      </c>
      <c r="AG233" s="451">
        <f t="shared" si="300"/>
        <v>-2.1472074677567957E-2</v>
      </c>
      <c r="AH233" s="357">
        <f t="shared" si="301"/>
        <v>0.14910268904017357</v>
      </c>
      <c r="AI233" s="357">
        <f t="shared" si="302"/>
        <v>-0.15712234914625817</v>
      </c>
      <c r="AJ233" s="357">
        <f t="shared" si="303"/>
        <v>-0.17661525528950489</v>
      </c>
      <c r="AK233" s="357">
        <f t="shared" si="304"/>
        <v>-7.3123339952233413E-2</v>
      </c>
      <c r="AL233" s="357">
        <f t="shared" si="305"/>
        <v>-2.05813088599692E-2</v>
      </c>
      <c r="AM233" s="357">
        <f t="shared" si="282"/>
        <v>-1.2909500238285609E-2</v>
      </c>
      <c r="AN233" s="357">
        <f t="shared" si="283"/>
        <v>1.9070751392640699E-5</v>
      </c>
      <c r="AO233" s="379">
        <f t="shared" si="284"/>
        <v>5.4711961047645428E-5</v>
      </c>
    </row>
    <row r="234" spans="2:41" x14ac:dyDescent="0.25">
      <c r="B234" s="449">
        <v>43963</v>
      </c>
      <c r="C234">
        <v>65</v>
      </c>
      <c r="D234">
        <v>85</v>
      </c>
      <c r="E234">
        <v>85</v>
      </c>
      <c r="F234">
        <v>95</v>
      </c>
      <c r="G234">
        <v>103</v>
      </c>
      <c r="H234">
        <v>145</v>
      </c>
      <c r="I234">
        <v>153</v>
      </c>
      <c r="J234">
        <v>154</v>
      </c>
      <c r="K234" s="445">
        <v>152</v>
      </c>
      <c r="M234" s="451">
        <f t="shared" si="285"/>
        <v>0.66666666666666674</v>
      </c>
      <c r="N234" s="357">
        <f t="shared" si="286"/>
        <v>0.54545454545454541</v>
      </c>
      <c r="O234" s="357">
        <f t="shared" si="287"/>
        <v>0.41666666666666674</v>
      </c>
      <c r="P234" s="357">
        <f t="shared" si="288"/>
        <v>0.26666666666666661</v>
      </c>
      <c r="Q234" s="357">
        <f t="shared" si="289"/>
        <v>5.1020408163265252E-2</v>
      </c>
      <c r="R234" s="357">
        <f t="shared" si="290"/>
        <v>-6.8493150684931781E-3</v>
      </c>
      <c r="S234" s="357">
        <f t="shared" si="291"/>
        <v>-1.2903225806451646E-2</v>
      </c>
      <c r="T234" s="357">
        <f t="shared" si="292"/>
        <v>-6.4516129032258229E-3</v>
      </c>
      <c r="U234" s="379">
        <f t="shared" si="293"/>
        <v>-6.5359477124182774E-3</v>
      </c>
      <c r="W234" s="451">
        <f t="shared" si="294"/>
        <v>0.51082562376599072</v>
      </c>
      <c r="X234" s="357">
        <f t="shared" si="295"/>
        <v>0.4353180712578455</v>
      </c>
      <c r="Y234" s="357">
        <f t="shared" si="296"/>
        <v>0.34830669426821581</v>
      </c>
      <c r="Z234" s="357">
        <f t="shared" si="297"/>
        <v>0.23638877806423034</v>
      </c>
      <c r="AA234" s="357">
        <f t="shared" si="298"/>
        <v>4.9761509559063798E-2</v>
      </c>
      <c r="AB234" s="357">
        <f t="shared" si="299"/>
        <v>-6.8728792877620643E-3</v>
      </c>
      <c r="AC234" s="357">
        <f t="shared" si="279"/>
        <v>-1.298719552681119E-2</v>
      </c>
      <c r="AD234" s="357">
        <f t="shared" si="280"/>
        <v>-6.4725145056174788E-3</v>
      </c>
      <c r="AE234" s="379">
        <f t="shared" si="281"/>
        <v>-6.5574005461590517E-3</v>
      </c>
      <c r="AG234" s="451">
        <f t="shared" si="300"/>
        <v>0.64519459198909879</v>
      </c>
      <c r="AH234" s="357">
        <f t="shared" si="301"/>
        <v>0.52434446853727212</v>
      </c>
      <c r="AI234" s="357">
        <f t="shared" si="302"/>
        <v>0.40240146037755148</v>
      </c>
      <c r="AJ234" s="357">
        <f t="shared" si="303"/>
        <v>0.25671807804382835</v>
      </c>
      <c r="AK234" s="357">
        <f t="shared" si="304"/>
        <v>4.4563734877698484E-2</v>
      </c>
      <c r="AL234" s="357">
        <f t="shared" si="305"/>
        <v>-7.2963957405429436E-3</v>
      </c>
      <c r="AM234" s="357">
        <f t="shared" si="282"/>
        <v>-1.3073872541552544E-2</v>
      </c>
      <c r="AN234" s="357">
        <f t="shared" si="283"/>
        <v>-6.4325421518331826E-3</v>
      </c>
      <c r="AO234" s="379">
        <f t="shared" si="284"/>
        <v>-6.4812357513706316E-3</v>
      </c>
    </row>
    <row r="235" spans="2:41" x14ac:dyDescent="0.25">
      <c r="B235" s="449">
        <v>43970</v>
      </c>
      <c r="C235">
        <v>70</v>
      </c>
      <c r="D235">
        <v>115</v>
      </c>
      <c r="E235">
        <v>117</v>
      </c>
      <c r="F235">
        <v>125</v>
      </c>
      <c r="G235">
        <v>121</v>
      </c>
      <c r="H235">
        <v>142</v>
      </c>
      <c r="I235">
        <v>151</v>
      </c>
      <c r="J235">
        <v>151</v>
      </c>
      <c r="K235" s="445">
        <v>151</v>
      </c>
      <c r="M235" s="451">
        <f t="shared" si="285"/>
        <v>7.6923076923076872E-2</v>
      </c>
      <c r="N235" s="357">
        <f t="shared" si="286"/>
        <v>0.35294117647058831</v>
      </c>
      <c r="O235" s="357">
        <f t="shared" si="287"/>
        <v>0.37647058823529411</v>
      </c>
      <c r="P235" s="357">
        <f t="shared" si="288"/>
        <v>0.31578947368421062</v>
      </c>
      <c r="Q235" s="357">
        <f t="shared" si="289"/>
        <v>0.17475728155339798</v>
      </c>
      <c r="R235" s="357">
        <f t="shared" si="290"/>
        <v>-2.0689655172413834E-2</v>
      </c>
      <c r="S235" s="357">
        <f t="shared" si="291"/>
        <v>-1.3071895424836555E-2</v>
      </c>
      <c r="T235" s="357">
        <f t="shared" si="292"/>
        <v>-1.9480519480519431E-2</v>
      </c>
      <c r="U235" s="379">
        <f t="shared" si="293"/>
        <v>-6.5789473684210176E-3</v>
      </c>
      <c r="W235" s="451">
        <f t="shared" si="294"/>
        <v>7.4107972153721835E-2</v>
      </c>
      <c r="X235" s="357">
        <f t="shared" si="295"/>
        <v>0.30228087187293368</v>
      </c>
      <c r="Y235" s="357">
        <f t="shared" si="296"/>
        <v>0.31952267830743963</v>
      </c>
      <c r="Z235" s="357">
        <f t="shared" si="297"/>
        <v>0.27443684570176036</v>
      </c>
      <c r="AA235" s="357">
        <f t="shared" si="298"/>
        <v>0.16106155736710526</v>
      </c>
      <c r="AB235" s="357">
        <f t="shared" si="299"/>
        <v>-2.0906684819313712E-2</v>
      </c>
      <c r="AC235" s="357">
        <f t="shared" si="279"/>
        <v>-1.3158084577511088E-2</v>
      </c>
      <c r="AD235" s="357">
        <f t="shared" si="280"/>
        <v>-1.9672765598704779E-2</v>
      </c>
      <c r="AE235" s="379">
        <f t="shared" si="281"/>
        <v>-6.6006840313520242E-3</v>
      </c>
      <c r="AG235" s="451">
        <f t="shared" si="300"/>
        <v>5.5451002245508918E-2</v>
      </c>
      <c r="AH235" s="357">
        <f t="shared" si="301"/>
        <v>0.33183109955331508</v>
      </c>
      <c r="AI235" s="357">
        <f t="shared" si="302"/>
        <v>0.36220538194617885</v>
      </c>
      <c r="AJ235" s="357">
        <f t="shared" si="303"/>
        <v>0.30584088506137236</v>
      </c>
      <c r="AK235" s="357">
        <f t="shared" si="304"/>
        <v>0.16830060826783122</v>
      </c>
      <c r="AL235" s="357">
        <f t="shared" si="305"/>
        <v>-2.11367358444636E-2</v>
      </c>
      <c r="AM235" s="357">
        <f t="shared" si="282"/>
        <v>-1.3242542159937453E-2</v>
      </c>
      <c r="AN235" s="357">
        <f t="shared" si="283"/>
        <v>-1.9461448729126789E-2</v>
      </c>
      <c r="AO235" s="379">
        <f t="shared" si="284"/>
        <v>-6.5242354073733718E-3</v>
      </c>
    </row>
    <row r="236" spans="2:41" x14ac:dyDescent="0.25">
      <c r="B236" s="449">
        <v>43977</v>
      </c>
      <c r="C236">
        <v>70</v>
      </c>
      <c r="D236">
        <v>105</v>
      </c>
      <c r="E236">
        <v>110</v>
      </c>
      <c r="F236">
        <v>115</v>
      </c>
      <c r="G236">
        <v>115</v>
      </c>
      <c r="H236">
        <v>146</v>
      </c>
      <c r="I236">
        <v>151</v>
      </c>
      <c r="J236">
        <v>150</v>
      </c>
      <c r="K236" s="445">
        <v>148</v>
      </c>
      <c r="M236" s="451">
        <f t="shared" si="285"/>
        <v>0</v>
      </c>
      <c r="N236" s="357">
        <f t="shared" si="286"/>
        <v>-8.6956521739130488E-2</v>
      </c>
      <c r="O236" s="357">
        <f t="shared" si="287"/>
        <v>-5.9829059829059839E-2</v>
      </c>
      <c r="P236" s="357">
        <f t="shared" si="288"/>
        <v>-7.999999999999996E-2</v>
      </c>
      <c r="Q236" s="357">
        <f t="shared" si="289"/>
        <v>-4.9586776859504078E-2</v>
      </c>
      <c r="R236" s="357">
        <f t="shared" si="290"/>
        <v>2.8169014084507005E-2</v>
      </c>
      <c r="S236" s="357">
        <f t="shared" si="291"/>
        <v>0</v>
      </c>
      <c r="T236" s="357">
        <f t="shared" si="292"/>
        <v>-6.6225165562914245E-3</v>
      </c>
      <c r="U236" s="379">
        <f t="shared" si="293"/>
        <v>-1.9867549668874163E-2</v>
      </c>
      <c r="W236" s="451">
        <f t="shared" si="294"/>
        <v>0</v>
      </c>
      <c r="X236" s="357">
        <f t="shared" si="295"/>
        <v>-9.0971778205726758E-2</v>
      </c>
      <c r="Y236" s="357">
        <f t="shared" si="296"/>
        <v>-6.1693569005339899E-2</v>
      </c>
      <c r="Z236" s="357">
        <f t="shared" si="297"/>
        <v>-8.3381608939051013E-2</v>
      </c>
      <c r="AA236" s="357">
        <f t="shared" si="298"/>
        <v>-5.0858417233490966E-2</v>
      </c>
      <c r="AB236" s="357">
        <f t="shared" si="299"/>
        <v>2.7779564107075671E-2</v>
      </c>
      <c r="AC236" s="357">
        <f t="shared" si="279"/>
        <v>0</v>
      </c>
      <c r="AD236" s="357">
        <f t="shared" si="280"/>
        <v>-6.6445427186686131E-3</v>
      </c>
      <c r="AE236" s="379">
        <f t="shared" si="281"/>
        <v>-2.0067563050809256E-2</v>
      </c>
      <c r="AG236" s="451">
        <f t="shared" si="300"/>
        <v>-2.1472074677567957E-2</v>
      </c>
      <c r="AH236" s="357">
        <f t="shared" si="301"/>
        <v>-0.10806659865640374</v>
      </c>
      <c r="AI236" s="357">
        <f t="shared" si="302"/>
        <v>-7.4094266118175114E-2</v>
      </c>
      <c r="AJ236" s="357">
        <f t="shared" si="303"/>
        <v>-8.9948588622838221E-2</v>
      </c>
      <c r="AK236" s="357">
        <f t="shared" si="304"/>
        <v>-5.6043450145070846E-2</v>
      </c>
      <c r="AL236" s="357">
        <f t="shared" si="305"/>
        <v>2.7721933412457239E-2</v>
      </c>
      <c r="AM236" s="357">
        <f t="shared" si="282"/>
        <v>-1.7064673510089895E-4</v>
      </c>
      <c r="AN236" s="357">
        <f t="shared" si="283"/>
        <v>-6.6034458048987842E-3</v>
      </c>
      <c r="AO236" s="379">
        <f t="shared" si="284"/>
        <v>-1.9812837707826516E-2</v>
      </c>
    </row>
    <row r="237" spans="2:41" x14ac:dyDescent="0.25">
      <c r="B237" s="449">
        <v>43984</v>
      </c>
      <c r="C237">
        <v>70</v>
      </c>
      <c r="D237">
        <v>98</v>
      </c>
      <c r="E237">
        <v>92</v>
      </c>
      <c r="F237">
        <v>105</v>
      </c>
      <c r="G237">
        <v>111</v>
      </c>
      <c r="H237">
        <v>146</v>
      </c>
      <c r="I237">
        <v>151</v>
      </c>
      <c r="J237">
        <v>149</v>
      </c>
      <c r="K237" s="445">
        <v>147</v>
      </c>
      <c r="M237" s="451">
        <f t="shared" si="285"/>
        <v>0</v>
      </c>
      <c r="N237" s="357">
        <f t="shared" si="286"/>
        <v>-6.6666666666666652E-2</v>
      </c>
      <c r="O237" s="357">
        <f t="shared" si="287"/>
        <v>-0.16363636363636369</v>
      </c>
      <c r="P237" s="357">
        <f t="shared" si="288"/>
        <v>-8.6956521739130488E-2</v>
      </c>
      <c r="Q237" s="357">
        <f t="shared" si="289"/>
        <v>-3.4782608695652195E-2</v>
      </c>
      <c r="R237" s="357">
        <f t="shared" si="290"/>
        <v>0</v>
      </c>
      <c r="S237" s="357">
        <f t="shared" si="291"/>
        <v>0</v>
      </c>
      <c r="T237" s="357">
        <f t="shared" si="292"/>
        <v>-6.6666666666667096E-3</v>
      </c>
      <c r="U237" s="379">
        <f t="shared" si="293"/>
        <v>-6.7567567567567988E-3</v>
      </c>
      <c r="W237" s="451">
        <f t="shared" si="294"/>
        <v>0</v>
      </c>
      <c r="X237" s="357">
        <f t="shared" si="295"/>
        <v>-6.8992871486951435E-2</v>
      </c>
      <c r="Y237" s="357">
        <f t="shared" si="296"/>
        <v>-0.17869178874337599</v>
      </c>
      <c r="Z237" s="357">
        <f t="shared" si="297"/>
        <v>-9.0971778205726758E-2</v>
      </c>
      <c r="AA237" s="357">
        <f t="shared" si="298"/>
        <v>-3.5401927050915952E-2</v>
      </c>
      <c r="AB237" s="357">
        <f t="shared" si="299"/>
        <v>0</v>
      </c>
      <c r="AC237" s="357">
        <f t="shared" si="279"/>
        <v>0</v>
      </c>
      <c r="AD237" s="357">
        <f t="shared" si="280"/>
        <v>-6.688988150796652E-3</v>
      </c>
      <c r="AE237" s="379">
        <f t="shared" si="281"/>
        <v>-6.7796869853788038E-3</v>
      </c>
      <c r="AG237" s="451">
        <f t="shared" si="300"/>
        <v>-2.1472074677567957E-2</v>
      </c>
      <c r="AH237" s="357">
        <f t="shared" si="301"/>
        <v>-8.7776743583939901E-2</v>
      </c>
      <c r="AI237" s="357">
        <f t="shared" si="302"/>
        <v>-0.17790156992547895</v>
      </c>
      <c r="AJ237" s="357">
        <f t="shared" si="303"/>
        <v>-9.6905110361968749E-2</v>
      </c>
      <c r="AK237" s="357">
        <f t="shared" si="304"/>
        <v>-4.1239281981218963E-2</v>
      </c>
      <c r="AL237" s="357">
        <f t="shared" si="305"/>
        <v>-4.4708067204976532E-4</v>
      </c>
      <c r="AM237" s="357">
        <f t="shared" si="282"/>
        <v>-1.7064673510089895E-4</v>
      </c>
      <c r="AN237" s="357">
        <f t="shared" si="283"/>
        <v>-6.6475959152740693E-3</v>
      </c>
      <c r="AO237" s="379">
        <f t="shared" si="284"/>
        <v>-6.702044795709153E-3</v>
      </c>
    </row>
    <row r="238" spans="2:41" x14ac:dyDescent="0.25">
      <c r="B238" s="449">
        <v>43991</v>
      </c>
      <c r="C238">
        <v>120</v>
      </c>
      <c r="D238">
        <v>123</v>
      </c>
      <c r="E238">
        <v>127</v>
      </c>
      <c r="F238">
        <v>127</v>
      </c>
      <c r="G238">
        <v>120</v>
      </c>
      <c r="H238">
        <v>150</v>
      </c>
      <c r="I238">
        <v>151</v>
      </c>
      <c r="J238">
        <v>150</v>
      </c>
      <c r="K238" s="445">
        <v>147</v>
      </c>
      <c r="M238" s="451">
        <f t="shared" si="285"/>
        <v>0.71428571428571419</v>
      </c>
      <c r="N238" s="357">
        <f t="shared" si="286"/>
        <v>0.25510204081632648</v>
      </c>
      <c r="O238" s="357">
        <f t="shared" si="287"/>
        <v>0.38043478260869557</v>
      </c>
      <c r="P238" s="357">
        <f t="shared" si="288"/>
        <v>0.20952380952380945</v>
      </c>
      <c r="Q238" s="357">
        <f t="shared" si="289"/>
        <v>8.1081081081081141E-2</v>
      </c>
      <c r="R238" s="357">
        <f t="shared" si="290"/>
        <v>2.7397260273972712E-2</v>
      </c>
      <c r="S238" s="357">
        <f t="shared" si="291"/>
        <v>0</v>
      </c>
      <c r="T238" s="357">
        <f t="shared" si="292"/>
        <v>6.7114093959732557E-3</v>
      </c>
      <c r="U238" s="379">
        <f t="shared" si="293"/>
        <v>0</v>
      </c>
      <c r="W238" s="451">
        <f t="shared" si="294"/>
        <v>0.5389965007326869</v>
      </c>
      <c r="X238" s="357">
        <f t="shared" si="295"/>
        <v>0.22721687670184554</v>
      </c>
      <c r="Y238" s="357">
        <f t="shared" si="296"/>
        <v>0.32239850940955089</v>
      </c>
      <c r="Z238" s="357">
        <f t="shared" si="297"/>
        <v>0.19022673630106784</v>
      </c>
      <c r="AA238" s="357">
        <f t="shared" si="298"/>
        <v>7.7961541469711917E-2</v>
      </c>
      <c r="AB238" s="357">
        <f t="shared" si="299"/>
        <v>2.7028672387919419E-2</v>
      </c>
      <c r="AC238" s="357">
        <f t="shared" si="279"/>
        <v>0</v>
      </c>
      <c r="AD238" s="357">
        <f t="shared" si="280"/>
        <v>6.6889881507967101E-3</v>
      </c>
      <c r="AE238" s="379">
        <f t="shared" si="281"/>
        <v>0</v>
      </c>
      <c r="AG238" s="451">
        <f t="shared" si="300"/>
        <v>0.69281363960814624</v>
      </c>
      <c r="AH238" s="357">
        <f t="shared" si="301"/>
        <v>0.23399196389905322</v>
      </c>
      <c r="AI238" s="357">
        <f t="shared" si="302"/>
        <v>0.3661695763195803</v>
      </c>
      <c r="AJ238" s="357">
        <f t="shared" si="303"/>
        <v>0.19957522090097118</v>
      </c>
      <c r="AK238" s="357">
        <f t="shared" si="304"/>
        <v>7.462440779551438E-2</v>
      </c>
      <c r="AL238" s="357">
        <f t="shared" si="305"/>
        <v>2.6950179601922947E-2</v>
      </c>
      <c r="AM238" s="357">
        <f t="shared" si="282"/>
        <v>-1.7064673510089895E-4</v>
      </c>
      <c r="AN238" s="357">
        <f t="shared" si="283"/>
        <v>6.730480147365896E-3</v>
      </c>
      <c r="AO238" s="379">
        <f t="shared" si="284"/>
        <v>5.4711961047645428E-5</v>
      </c>
    </row>
    <row r="239" spans="2:41" x14ac:dyDescent="0.25">
      <c r="B239" s="449">
        <v>43998</v>
      </c>
      <c r="C239">
        <v>115</v>
      </c>
      <c r="D239">
        <v>105</v>
      </c>
      <c r="E239">
        <v>118</v>
      </c>
      <c r="F239">
        <v>118</v>
      </c>
      <c r="G239">
        <v>116</v>
      </c>
      <c r="H239">
        <v>154</v>
      </c>
      <c r="I239">
        <v>155</v>
      </c>
      <c r="J239">
        <v>150</v>
      </c>
      <c r="K239" s="445">
        <v>147</v>
      </c>
      <c r="M239" s="451">
        <f t="shared" si="285"/>
        <v>-4.166666666666663E-2</v>
      </c>
      <c r="N239" s="357">
        <f t="shared" si="286"/>
        <v>-0.14634146341463417</v>
      </c>
      <c r="O239" s="357">
        <f t="shared" si="287"/>
        <v>-7.086614173228345E-2</v>
      </c>
      <c r="P239" s="357">
        <f t="shared" si="288"/>
        <v>-7.086614173228345E-2</v>
      </c>
      <c r="Q239" s="357">
        <f t="shared" si="289"/>
        <v>-3.3333333333333326E-2</v>
      </c>
      <c r="R239" s="357">
        <f t="shared" si="290"/>
        <v>2.6666666666666616E-2</v>
      </c>
      <c r="S239" s="357">
        <f t="shared" si="291"/>
        <v>2.6490066225165476E-2</v>
      </c>
      <c r="T239" s="357">
        <f t="shared" si="292"/>
        <v>0</v>
      </c>
      <c r="U239" s="379">
        <f t="shared" si="293"/>
        <v>0</v>
      </c>
      <c r="W239" s="451">
        <f t="shared" si="294"/>
        <v>-4.2559614418795889E-2</v>
      </c>
      <c r="X239" s="357">
        <f t="shared" si="295"/>
        <v>-0.15822400521489416</v>
      </c>
      <c r="Y239" s="357">
        <f t="shared" si="296"/>
        <v>-7.3502461992926496E-2</v>
      </c>
      <c r="Z239" s="357">
        <f t="shared" si="297"/>
        <v>-7.3502461992926496E-2</v>
      </c>
      <c r="AA239" s="357">
        <f t="shared" si="298"/>
        <v>-3.3901551675681339E-2</v>
      </c>
      <c r="AB239" s="357">
        <f t="shared" si="299"/>
        <v>2.6317308317373358E-2</v>
      </c>
      <c r="AC239" s="357">
        <f t="shared" si="279"/>
        <v>2.6145280104322207E-2</v>
      </c>
      <c r="AD239" s="357">
        <f t="shared" si="280"/>
        <v>0</v>
      </c>
      <c r="AE239" s="379">
        <f t="shared" si="281"/>
        <v>0</v>
      </c>
      <c r="AG239" s="451">
        <f t="shared" si="300"/>
        <v>-6.3138741344234584E-2</v>
      </c>
      <c r="AH239" s="357">
        <f t="shared" si="301"/>
        <v>-0.16745154033190743</v>
      </c>
      <c r="AI239" s="357">
        <f t="shared" si="302"/>
        <v>-8.5131348021398726E-2</v>
      </c>
      <c r="AJ239" s="357">
        <f t="shared" si="303"/>
        <v>-8.0814730355121711E-2</v>
      </c>
      <c r="AK239" s="357">
        <f t="shared" si="304"/>
        <v>-3.9790006618900094E-2</v>
      </c>
      <c r="AL239" s="357">
        <f t="shared" si="305"/>
        <v>2.6219585994616851E-2</v>
      </c>
      <c r="AM239" s="357">
        <f t="shared" si="282"/>
        <v>2.6319419490064576E-2</v>
      </c>
      <c r="AN239" s="357">
        <f t="shared" si="283"/>
        <v>1.9070751392640699E-5</v>
      </c>
      <c r="AO239" s="379">
        <f t="shared" si="284"/>
        <v>5.4711961047645428E-5</v>
      </c>
    </row>
    <row r="240" spans="2:41" x14ac:dyDescent="0.25">
      <c r="B240" s="449">
        <v>44005</v>
      </c>
      <c r="C240">
        <v>112</v>
      </c>
      <c r="D240">
        <v>89</v>
      </c>
      <c r="E240">
        <v>95</v>
      </c>
      <c r="F240">
        <v>105</v>
      </c>
      <c r="G240">
        <v>108</v>
      </c>
      <c r="H240">
        <v>151</v>
      </c>
      <c r="I240">
        <v>157</v>
      </c>
      <c r="J240">
        <v>152</v>
      </c>
      <c r="K240" s="445">
        <v>148</v>
      </c>
      <c r="M240" s="451">
        <f t="shared" si="285"/>
        <v>-2.6086956521739091E-2</v>
      </c>
      <c r="N240" s="357">
        <f t="shared" si="286"/>
        <v>-0.15238095238095239</v>
      </c>
      <c r="O240" s="357">
        <f t="shared" si="287"/>
        <v>-0.19491525423728817</v>
      </c>
      <c r="P240" s="357">
        <f t="shared" si="288"/>
        <v>-0.11016949152542377</v>
      </c>
      <c r="Q240" s="357">
        <f t="shared" si="289"/>
        <v>-6.8965517241379337E-2</v>
      </c>
      <c r="R240" s="357">
        <f t="shared" si="290"/>
        <v>-1.9480519480519431E-2</v>
      </c>
      <c r="S240" s="357">
        <f t="shared" si="291"/>
        <v>1.2903225806451646E-2</v>
      </c>
      <c r="T240" s="357">
        <f t="shared" si="292"/>
        <v>1.3333333333333419E-2</v>
      </c>
      <c r="U240" s="379">
        <f t="shared" si="293"/>
        <v>6.8027210884353817E-3</v>
      </c>
      <c r="W240" s="451">
        <f t="shared" si="294"/>
        <v>-2.6433257068155483E-2</v>
      </c>
      <c r="X240" s="357">
        <f t="shared" si="295"/>
        <v>-0.16532398042538354</v>
      </c>
      <c r="Y240" s="357">
        <f t="shared" si="296"/>
        <v>-0.21680773286512398</v>
      </c>
      <c r="Z240" s="357">
        <f t="shared" si="297"/>
        <v>-0.11672427430814143</v>
      </c>
      <c r="AA240" s="357">
        <f t="shared" si="298"/>
        <v>-7.1458963982144977E-2</v>
      </c>
      <c r="AB240" s="357">
        <f t="shared" si="299"/>
        <v>-1.9672765598704779E-2</v>
      </c>
      <c r="AC240" s="357">
        <f t="shared" si="279"/>
        <v>1.2820688429061469E-2</v>
      </c>
      <c r="AD240" s="357">
        <f t="shared" si="280"/>
        <v>1.3245226750020723E-2</v>
      </c>
      <c r="AE240" s="379">
        <f t="shared" si="281"/>
        <v>6.7796869853787691E-3</v>
      </c>
      <c r="AG240" s="451">
        <f t="shared" si="300"/>
        <v>-4.7559031199307045E-2</v>
      </c>
      <c r="AH240" s="357">
        <f t="shared" si="301"/>
        <v>-0.17349102929822566</v>
      </c>
      <c r="AI240" s="357">
        <f t="shared" si="302"/>
        <v>-0.20918046052640343</v>
      </c>
      <c r="AJ240" s="357">
        <f t="shared" si="303"/>
        <v>-0.12011808014826203</v>
      </c>
      <c r="AK240" s="357">
        <f t="shared" si="304"/>
        <v>-7.5422190526946098E-2</v>
      </c>
      <c r="AL240" s="357">
        <f t="shared" si="305"/>
        <v>-1.9927600152569197E-2</v>
      </c>
      <c r="AM240" s="357">
        <f t="shared" si="282"/>
        <v>1.2732579071350747E-2</v>
      </c>
      <c r="AN240" s="357">
        <f t="shared" si="283"/>
        <v>1.335240408472606E-2</v>
      </c>
      <c r="AO240" s="379">
        <f t="shared" si="284"/>
        <v>6.8574330494830275E-3</v>
      </c>
    </row>
    <row r="241" spans="2:41" x14ac:dyDescent="0.25">
      <c r="B241" s="449">
        <v>44012</v>
      </c>
      <c r="C241">
        <v>112</v>
      </c>
      <c r="D241">
        <v>89</v>
      </c>
      <c r="E241">
        <v>86</v>
      </c>
      <c r="F241">
        <v>102</v>
      </c>
      <c r="G241">
        <v>108</v>
      </c>
      <c r="H241">
        <v>148</v>
      </c>
      <c r="I241">
        <v>158</v>
      </c>
      <c r="J241">
        <v>152</v>
      </c>
      <c r="K241" s="445">
        <v>148</v>
      </c>
      <c r="M241" s="451">
        <f t="shared" si="285"/>
        <v>0</v>
      </c>
      <c r="N241" s="357">
        <f t="shared" si="286"/>
        <v>0</v>
      </c>
      <c r="O241" s="357">
        <f t="shared" si="287"/>
        <v>-9.4736842105263119E-2</v>
      </c>
      <c r="P241" s="357">
        <f t="shared" si="288"/>
        <v>-2.8571428571428581E-2</v>
      </c>
      <c r="Q241" s="357">
        <f t="shared" si="289"/>
        <v>0</v>
      </c>
      <c r="R241" s="357">
        <f t="shared" si="290"/>
        <v>-1.9867549668874163E-2</v>
      </c>
      <c r="S241" s="357">
        <f t="shared" si="291"/>
        <v>6.3694267515923553E-3</v>
      </c>
      <c r="T241" s="357">
        <f t="shared" si="292"/>
        <v>0</v>
      </c>
      <c r="U241" s="379">
        <f t="shared" si="293"/>
        <v>0</v>
      </c>
      <c r="W241" s="451">
        <f t="shared" si="294"/>
        <v>0</v>
      </c>
      <c r="X241" s="357">
        <f t="shared" si="295"/>
        <v>0</v>
      </c>
      <c r="Y241" s="357">
        <f t="shared" si="296"/>
        <v>-9.9529595347033054E-2</v>
      </c>
      <c r="Z241" s="357">
        <f t="shared" si="297"/>
        <v>-2.8987536873252298E-2</v>
      </c>
      <c r="AA241" s="357">
        <f t="shared" si="298"/>
        <v>0</v>
      </c>
      <c r="AB241" s="357">
        <f t="shared" si="299"/>
        <v>-2.0067563050809256E-2</v>
      </c>
      <c r="AC241" s="357">
        <f t="shared" si="279"/>
        <v>6.3492276786587445E-3</v>
      </c>
      <c r="AD241" s="357">
        <f t="shared" si="280"/>
        <v>0</v>
      </c>
      <c r="AE241" s="379">
        <f t="shared" si="281"/>
        <v>0</v>
      </c>
      <c r="AG241" s="451">
        <f t="shared" si="300"/>
        <v>-2.1472074677567957E-2</v>
      </c>
      <c r="AH241" s="357">
        <f t="shared" si="301"/>
        <v>-2.1110076917273252E-2</v>
      </c>
      <c r="AI241" s="357">
        <f t="shared" si="302"/>
        <v>-0.1090020483943784</v>
      </c>
      <c r="AJ241" s="357">
        <f t="shared" si="303"/>
        <v>-3.8520017194266842E-2</v>
      </c>
      <c r="AK241" s="357">
        <f t="shared" si="304"/>
        <v>-6.4566732855667669E-3</v>
      </c>
      <c r="AL241" s="357">
        <f t="shared" si="305"/>
        <v>-2.0314630340923928E-2</v>
      </c>
      <c r="AM241" s="357">
        <f t="shared" si="282"/>
        <v>6.1987800164914567E-3</v>
      </c>
      <c r="AN241" s="357">
        <f t="shared" si="283"/>
        <v>1.9070751392640699E-5</v>
      </c>
      <c r="AO241" s="379">
        <f t="shared" si="284"/>
        <v>5.4711961047645428E-5</v>
      </c>
    </row>
    <row r="242" spans="2:41" x14ac:dyDescent="0.25">
      <c r="B242" s="449">
        <v>44019</v>
      </c>
      <c r="C242">
        <v>113</v>
      </c>
      <c r="D242">
        <v>90</v>
      </c>
      <c r="E242">
        <v>87</v>
      </c>
      <c r="F242">
        <v>101</v>
      </c>
      <c r="G242">
        <v>105</v>
      </c>
      <c r="H242">
        <v>145</v>
      </c>
      <c r="I242">
        <v>154</v>
      </c>
      <c r="J242">
        <v>152</v>
      </c>
      <c r="K242" s="445">
        <v>148</v>
      </c>
      <c r="M242" s="451">
        <f t="shared" si="285"/>
        <v>8.9285714285713969E-3</v>
      </c>
      <c r="N242" s="357">
        <f t="shared" si="286"/>
        <v>1.1235955056179803E-2</v>
      </c>
      <c r="O242" s="357">
        <f t="shared" si="287"/>
        <v>1.1627906976744207E-2</v>
      </c>
      <c r="P242" s="357">
        <f t="shared" si="288"/>
        <v>-9.8039215686274161E-3</v>
      </c>
      <c r="Q242" s="357">
        <f t="shared" si="289"/>
        <v>-2.777777777777779E-2</v>
      </c>
      <c r="R242" s="357">
        <f t="shared" si="290"/>
        <v>-2.0270270270270285E-2</v>
      </c>
      <c r="S242" s="357">
        <f t="shared" si="291"/>
        <v>-2.5316455696202556E-2</v>
      </c>
      <c r="T242" s="357">
        <f t="shared" si="292"/>
        <v>0</v>
      </c>
      <c r="U242" s="379">
        <f t="shared" si="293"/>
        <v>0</v>
      </c>
      <c r="W242" s="451">
        <f t="shared" si="294"/>
        <v>8.8889474172459942E-3</v>
      </c>
      <c r="X242" s="357">
        <f t="shared" si="295"/>
        <v>1.1173300598125255E-2</v>
      </c>
      <c r="Y242" s="357">
        <f t="shared" si="296"/>
        <v>1.1560822401076006E-2</v>
      </c>
      <c r="Z242" s="357">
        <f t="shared" si="297"/>
        <v>-9.8522964430115944E-3</v>
      </c>
      <c r="AA242" s="357">
        <f t="shared" si="298"/>
        <v>-2.8170876966696335E-2</v>
      </c>
      <c r="AB242" s="357">
        <f t="shared" si="299"/>
        <v>-2.0478531343540676E-2</v>
      </c>
      <c r="AC242" s="357">
        <f t="shared" si="279"/>
        <v>-2.564243061333767E-2</v>
      </c>
      <c r="AD242" s="357">
        <f t="shared" si="280"/>
        <v>0</v>
      </c>
      <c r="AE242" s="379">
        <f t="shared" si="281"/>
        <v>0</v>
      </c>
      <c r="AG242" s="451">
        <f t="shared" si="300"/>
        <v>-1.254350324899656E-2</v>
      </c>
      <c r="AH242" s="357">
        <f t="shared" si="301"/>
        <v>-9.8741218610934496E-3</v>
      </c>
      <c r="AI242" s="357">
        <f t="shared" si="302"/>
        <v>-2.6372993123710674E-3</v>
      </c>
      <c r="AJ242" s="357">
        <f t="shared" si="303"/>
        <v>-1.9752510191465681E-2</v>
      </c>
      <c r="AK242" s="357">
        <f t="shared" si="304"/>
        <v>-3.4234451063344558E-2</v>
      </c>
      <c r="AL242" s="357">
        <f t="shared" si="305"/>
        <v>-2.0717350942320051E-2</v>
      </c>
      <c r="AM242" s="357">
        <f t="shared" si="282"/>
        <v>-2.5487102431303456E-2</v>
      </c>
      <c r="AN242" s="357">
        <f t="shared" si="283"/>
        <v>1.9070751392640699E-5</v>
      </c>
      <c r="AO242" s="379">
        <f t="shared" si="284"/>
        <v>5.4711961047645428E-5</v>
      </c>
    </row>
    <row r="243" spans="2:41" x14ac:dyDescent="0.25">
      <c r="B243" s="449">
        <v>44026</v>
      </c>
      <c r="C243">
        <v>88</v>
      </c>
      <c r="D243">
        <v>87</v>
      </c>
      <c r="E243">
        <v>100</v>
      </c>
      <c r="F243">
        <v>110</v>
      </c>
      <c r="G243">
        <v>103</v>
      </c>
      <c r="H243">
        <v>147</v>
      </c>
      <c r="I243">
        <v>157</v>
      </c>
      <c r="J243">
        <v>152</v>
      </c>
      <c r="K243" s="445">
        <v>148</v>
      </c>
      <c r="M243" s="451">
        <f t="shared" si="285"/>
        <v>-0.22123893805309736</v>
      </c>
      <c r="N243" s="357">
        <f t="shared" si="286"/>
        <v>-3.3333333333333326E-2</v>
      </c>
      <c r="O243" s="357">
        <f t="shared" si="287"/>
        <v>0.14942528735632177</v>
      </c>
      <c r="P243" s="357">
        <f t="shared" si="288"/>
        <v>8.9108910891089188E-2</v>
      </c>
      <c r="Q243" s="357">
        <f t="shared" si="289"/>
        <v>-1.9047619047619091E-2</v>
      </c>
      <c r="R243" s="357">
        <f t="shared" si="290"/>
        <v>1.379310344827589E-2</v>
      </c>
      <c r="S243" s="357">
        <f t="shared" si="291"/>
        <v>1.9480519480519431E-2</v>
      </c>
      <c r="T243" s="357">
        <f t="shared" si="292"/>
        <v>0</v>
      </c>
      <c r="U243" s="379">
        <f t="shared" si="293"/>
        <v>0</v>
      </c>
      <c r="W243" s="451">
        <f t="shared" si="294"/>
        <v>-0.25005100423413412</v>
      </c>
      <c r="X243" s="357">
        <f t="shared" si="295"/>
        <v>-3.3901551675681339E-2</v>
      </c>
      <c r="Y243" s="357">
        <f t="shared" si="296"/>
        <v>0.1392620673335076</v>
      </c>
      <c r="Z243" s="357">
        <f t="shared" si="297"/>
        <v>8.535984895115685E-2</v>
      </c>
      <c r="AA243" s="357">
        <f t="shared" si="298"/>
        <v>-1.9231361927887644E-2</v>
      </c>
      <c r="AB243" s="357">
        <f t="shared" si="299"/>
        <v>1.3698844358161927E-2</v>
      </c>
      <c r="AC243" s="357">
        <f t="shared" si="279"/>
        <v>1.9293202934678851E-2</v>
      </c>
      <c r="AD243" s="357">
        <f t="shared" si="280"/>
        <v>0</v>
      </c>
      <c r="AE243" s="379">
        <f t="shared" si="281"/>
        <v>0</v>
      </c>
      <c r="AG243" s="451">
        <f t="shared" si="300"/>
        <v>-0.24271101273066531</v>
      </c>
      <c r="AH243" s="357">
        <f t="shared" si="301"/>
        <v>-5.4443410250606575E-2</v>
      </c>
      <c r="AI243" s="357">
        <f t="shared" si="302"/>
        <v>0.13516008106720651</v>
      </c>
      <c r="AJ243" s="357">
        <f t="shared" si="303"/>
        <v>7.9160322268250927E-2</v>
      </c>
      <c r="AK243" s="357">
        <f t="shared" si="304"/>
        <v>-2.5504292333185859E-2</v>
      </c>
      <c r="AL243" s="357">
        <f t="shared" si="305"/>
        <v>1.3346022776226124E-2</v>
      </c>
      <c r="AM243" s="357">
        <f t="shared" si="282"/>
        <v>1.9309872745418531E-2</v>
      </c>
      <c r="AN243" s="357">
        <f t="shared" si="283"/>
        <v>1.9070751392640699E-5</v>
      </c>
      <c r="AO243" s="379">
        <f t="shared" si="284"/>
        <v>5.4711961047645428E-5</v>
      </c>
    </row>
    <row r="244" spans="2:41" x14ac:dyDescent="0.25">
      <c r="B244" s="449">
        <v>44033</v>
      </c>
      <c r="C244">
        <v>89</v>
      </c>
      <c r="D244">
        <v>84</v>
      </c>
      <c r="E244">
        <v>96</v>
      </c>
      <c r="F244">
        <v>103</v>
      </c>
      <c r="G244">
        <v>99</v>
      </c>
      <c r="H244">
        <v>142</v>
      </c>
      <c r="I244">
        <v>155</v>
      </c>
      <c r="J244">
        <v>152</v>
      </c>
      <c r="K244" s="445">
        <v>148</v>
      </c>
      <c r="M244" s="451">
        <f t="shared" si="285"/>
        <v>1.1363636363636465E-2</v>
      </c>
      <c r="N244" s="357">
        <f t="shared" si="286"/>
        <v>-3.4482758620689613E-2</v>
      </c>
      <c r="O244" s="357">
        <f t="shared" si="287"/>
        <v>-4.0000000000000036E-2</v>
      </c>
      <c r="P244" s="357">
        <f t="shared" si="288"/>
        <v>-6.3636363636363602E-2</v>
      </c>
      <c r="Q244" s="357">
        <f t="shared" si="289"/>
        <v>-3.8834951456310662E-2</v>
      </c>
      <c r="R244" s="357">
        <f t="shared" si="290"/>
        <v>-3.4013605442176909E-2</v>
      </c>
      <c r="S244" s="357">
        <f t="shared" si="291"/>
        <v>-1.2738853503184711E-2</v>
      </c>
      <c r="T244" s="357">
        <f t="shared" si="292"/>
        <v>0</v>
      </c>
      <c r="U244" s="379">
        <f t="shared" si="293"/>
        <v>0</v>
      </c>
      <c r="W244" s="451">
        <f t="shared" si="294"/>
        <v>1.1299555253933466E-2</v>
      </c>
      <c r="X244" s="357">
        <f t="shared" si="295"/>
        <v>-3.5091319811270061E-2</v>
      </c>
      <c r="Y244" s="357">
        <f t="shared" si="296"/>
        <v>-4.0821994520255166E-2</v>
      </c>
      <c r="Z244" s="357">
        <f t="shared" si="297"/>
        <v>-6.5751377562780419E-2</v>
      </c>
      <c r="AA244" s="357">
        <f t="shared" si="298"/>
        <v>-3.9609138095045827E-2</v>
      </c>
      <c r="AB244" s="357">
        <f t="shared" si="299"/>
        <v>-3.4605529177475607E-2</v>
      </c>
      <c r="AC244" s="357">
        <f t="shared" si="279"/>
        <v>-1.2820688429061434E-2</v>
      </c>
      <c r="AD244" s="357">
        <f t="shared" si="280"/>
        <v>0</v>
      </c>
      <c r="AE244" s="379">
        <f t="shared" si="281"/>
        <v>0</v>
      </c>
      <c r="AG244" s="451">
        <f t="shared" si="300"/>
        <v>-1.0108438313931493E-2</v>
      </c>
      <c r="AH244" s="357">
        <f t="shared" si="301"/>
        <v>-5.5592835537962862E-2</v>
      </c>
      <c r="AI244" s="357">
        <f t="shared" si="302"/>
        <v>-5.4265206289115311E-2</v>
      </c>
      <c r="AJ244" s="357">
        <f t="shared" si="303"/>
        <v>-7.3584952259201863E-2</v>
      </c>
      <c r="AK244" s="357">
        <f t="shared" si="304"/>
        <v>-4.529162474187743E-2</v>
      </c>
      <c r="AL244" s="357">
        <f t="shared" si="305"/>
        <v>-3.4460686114226674E-2</v>
      </c>
      <c r="AM244" s="357">
        <f t="shared" si="282"/>
        <v>-1.2909500238285609E-2</v>
      </c>
      <c r="AN244" s="357">
        <f t="shared" si="283"/>
        <v>1.9070751392640699E-5</v>
      </c>
      <c r="AO244" s="379">
        <f t="shared" si="284"/>
        <v>5.4711961047645428E-5</v>
      </c>
    </row>
    <row r="245" spans="2:41" x14ac:dyDescent="0.25">
      <c r="B245" s="449">
        <v>44040</v>
      </c>
      <c r="C245">
        <v>88</v>
      </c>
      <c r="D245">
        <v>90</v>
      </c>
      <c r="E245">
        <v>110</v>
      </c>
      <c r="F245">
        <v>115</v>
      </c>
      <c r="G245">
        <v>106</v>
      </c>
      <c r="H245">
        <v>144</v>
      </c>
      <c r="I245">
        <v>155</v>
      </c>
      <c r="J245">
        <v>152</v>
      </c>
      <c r="K245" s="445">
        <v>146</v>
      </c>
      <c r="M245" s="451">
        <f t="shared" si="285"/>
        <v>-1.1235955056179803E-2</v>
      </c>
      <c r="N245" s="357">
        <f t="shared" si="286"/>
        <v>7.1428571428571397E-2</v>
      </c>
      <c r="O245" s="357">
        <f t="shared" si="287"/>
        <v>0.14583333333333326</v>
      </c>
      <c r="P245" s="357">
        <f t="shared" si="288"/>
        <v>0.11650485436893199</v>
      </c>
      <c r="Q245" s="357">
        <f t="shared" si="289"/>
        <v>7.0707070707070718E-2</v>
      </c>
      <c r="R245" s="357">
        <f t="shared" si="290"/>
        <v>1.4084507042253502E-2</v>
      </c>
      <c r="S245" s="357">
        <f t="shared" si="291"/>
        <v>0</v>
      </c>
      <c r="T245" s="357">
        <f t="shared" si="292"/>
        <v>0</v>
      </c>
      <c r="U245" s="379">
        <f t="shared" si="293"/>
        <v>-1.3513513513513487E-2</v>
      </c>
      <c r="W245" s="451">
        <f t="shared" si="294"/>
        <v>-1.1299555253933394E-2</v>
      </c>
      <c r="X245" s="357">
        <f t="shared" si="295"/>
        <v>6.8992871486951421E-2</v>
      </c>
      <c r="Y245" s="357">
        <f t="shared" si="296"/>
        <v>0.13613217432457991</v>
      </c>
      <c r="Z245" s="357">
        <f t="shared" si="297"/>
        <v>0.11020314013361425</v>
      </c>
      <c r="AA245" s="357">
        <f t="shared" si="298"/>
        <v>6.8319243977477226E-2</v>
      </c>
      <c r="AB245" s="357">
        <f t="shared" si="299"/>
        <v>1.398624197473987E-2</v>
      </c>
      <c r="AC245" s="357">
        <f t="shared" si="279"/>
        <v>0</v>
      </c>
      <c r="AD245" s="357">
        <f t="shared" si="280"/>
        <v>0</v>
      </c>
      <c r="AE245" s="379">
        <f t="shared" si="281"/>
        <v>-1.3605652055778598E-2</v>
      </c>
      <c r="AG245" s="451">
        <f t="shared" si="300"/>
        <v>-3.2708029733747757E-2</v>
      </c>
      <c r="AH245" s="357">
        <f t="shared" si="301"/>
        <v>5.0318494511298148E-2</v>
      </c>
      <c r="AI245" s="357">
        <f t="shared" si="302"/>
        <v>0.131568127044218</v>
      </c>
      <c r="AJ245" s="357">
        <f t="shared" si="303"/>
        <v>0.10655626574609373</v>
      </c>
      <c r="AK245" s="357">
        <f t="shared" si="304"/>
        <v>6.4250397421503957E-2</v>
      </c>
      <c r="AL245" s="357">
        <f t="shared" si="305"/>
        <v>1.3637426370203737E-2</v>
      </c>
      <c r="AM245" s="357">
        <f t="shared" si="282"/>
        <v>-1.7064673510089895E-4</v>
      </c>
      <c r="AN245" s="357">
        <f t="shared" si="283"/>
        <v>1.9070751392640699E-5</v>
      </c>
      <c r="AO245" s="379">
        <f t="shared" si="284"/>
        <v>-1.3458801552465842E-2</v>
      </c>
    </row>
    <row r="246" spans="2:41" x14ac:dyDescent="0.25">
      <c r="B246" s="449">
        <v>44047</v>
      </c>
      <c r="C246">
        <v>88</v>
      </c>
      <c r="D246">
        <v>95</v>
      </c>
      <c r="E246">
        <v>100</v>
      </c>
      <c r="F246">
        <v>105</v>
      </c>
      <c r="G246">
        <v>97</v>
      </c>
      <c r="H246">
        <v>145</v>
      </c>
      <c r="I246">
        <v>155</v>
      </c>
      <c r="J246">
        <v>153</v>
      </c>
      <c r="K246" s="445">
        <v>146</v>
      </c>
      <c r="M246" s="451">
        <f t="shared" si="285"/>
        <v>0</v>
      </c>
      <c r="N246" s="357">
        <f t="shared" si="286"/>
        <v>5.555555555555558E-2</v>
      </c>
      <c r="O246" s="357">
        <f t="shared" si="287"/>
        <v>-9.0909090909090939E-2</v>
      </c>
      <c r="P246" s="357">
        <f t="shared" si="288"/>
        <v>-8.6956521739130488E-2</v>
      </c>
      <c r="Q246" s="357">
        <f t="shared" si="289"/>
        <v>-8.4905660377358472E-2</v>
      </c>
      <c r="R246" s="357">
        <f t="shared" si="290"/>
        <v>6.9444444444444198E-3</v>
      </c>
      <c r="S246" s="357">
        <f t="shared" si="291"/>
        <v>0</v>
      </c>
      <c r="T246" s="357">
        <f t="shared" si="292"/>
        <v>6.5789473684210176E-3</v>
      </c>
      <c r="U246" s="379">
        <f t="shared" si="293"/>
        <v>0</v>
      </c>
      <c r="W246" s="451">
        <f t="shared" si="294"/>
        <v>0</v>
      </c>
      <c r="X246" s="357">
        <f t="shared" si="295"/>
        <v>5.4067221270275793E-2</v>
      </c>
      <c r="Y246" s="357">
        <f t="shared" si="296"/>
        <v>-9.5310179804324893E-2</v>
      </c>
      <c r="Z246" s="357">
        <f t="shared" si="297"/>
        <v>-9.0971778205726758E-2</v>
      </c>
      <c r="AA246" s="357">
        <f t="shared" si="298"/>
        <v>-8.8728115608684308E-2</v>
      </c>
      <c r="AB246" s="357">
        <f t="shared" si="299"/>
        <v>6.920442844573757E-3</v>
      </c>
      <c r="AC246" s="357">
        <f t="shared" si="279"/>
        <v>0</v>
      </c>
      <c r="AD246" s="357">
        <f t="shared" si="280"/>
        <v>6.5574005461590396E-3</v>
      </c>
      <c r="AE246" s="379">
        <f t="shared" si="281"/>
        <v>0</v>
      </c>
      <c r="AG246" s="451">
        <f t="shared" si="300"/>
        <v>-2.1472074677567957E-2</v>
      </c>
      <c r="AH246" s="357">
        <f t="shared" si="301"/>
        <v>3.4445478638282331E-2</v>
      </c>
      <c r="AI246" s="357">
        <f t="shared" si="302"/>
        <v>-0.10517429719820622</v>
      </c>
      <c r="AJ246" s="357">
        <f t="shared" si="303"/>
        <v>-9.6905110361968749E-2</v>
      </c>
      <c r="AK246" s="357">
        <f t="shared" si="304"/>
        <v>-9.1362333662925233E-2</v>
      </c>
      <c r="AL246" s="357">
        <f t="shared" si="305"/>
        <v>6.4973637723946542E-3</v>
      </c>
      <c r="AM246" s="357">
        <f t="shared" si="282"/>
        <v>-1.7064673510089895E-4</v>
      </c>
      <c r="AN246" s="357">
        <f t="shared" si="283"/>
        <v>6.5980181198136579E-3</v>
      </c>
      <c r="AO246" s="379">
        <f t="shared" si="284"/>
        <v>5.4711961047645428E-5</v>
      </c>
    </row>
    <row r="247" spans="2:41" x14ac:dyDescent="0.25">
      <c r="B247" s="449">
        <v>44054</v>
      </c>
      <c r="C247">
        <v>90</v>
      </c>
      <c r="D247">
        <v>79</v>
      </c>
      <c r="E247">
        <v>87</v>
      </c>
      <c r="F247">
        <v>85</v>
      </c>
      <c r="G247">
        <v>81</v>
      </c>
      <c r="H247">
        <v>137</v>
      </c>
      <c r="I247">
        <v>155</v>
      </c>
      <c r="J247">
        <v>152</v>
      </c>
      <c r="K247" s="445">
        <v>146</v>
      </c>
      <c r="M247" s="451">
        <f t="shared" si="285"/>
        <v>2.2727272727272707E-2</v>
      </c>
      <c r="N247" s="357">
        <f t="shared" si="286"/>
        <v>-0.16842105263157892</v>
      </c>
      <c r="O247" s="357">
        <f t="shared" si="287"/>
        <v>-0.13</v>
      </c>
      <c r="P247" s="357">
        <f t="shared" si="288"/>
        <v>-0.19047619047619047</v>
      </c>
      <c r="Q247" s="357">
        <f t="shared" si="289"/>
        <v>-0.16494845360824739</v>
      </c>
      <c r="R247" s="357">
        <f t="shared" si="290"/>
        <v>-5.5172413793103448E-2</v>
      </c>
      <c r="S247" s="357">
        <f t="shared" si="291"/>
        <v>0</v>
      </c>
      <c r="T247" s="357">
        <f t="shared" si="292"/>
        <v>-6.5359477124182774E-3</v>
      </c>
      <c r="U247" s="379">
        <f t="shared" si="293"/>
        <v>0</v>
      </c>
      <c r="W247" s="451">
        <f t="shared" si="294"/>
        <v>2.2472855852058576E-2</v>
      </c>
      <c r="X247" s="357">
        <f t="shared" si="295"/>
        <v>-0.1844290391335193</v>
      </c>
      <c r="Y247" s="357">
        <f t="shared" si="296"/>
        <v>-0.13926206733350766</v>
      </c>
      <c r="Z247" s="357">
        <f t="shared" si="297"/>
        <v>-0.2113090936672069</v>
      </c>
      <c r="AA247" s="357">
        <f t="shared" si="298"/>
        <v>-0.18026182383094402</v>
      </c>
      <c r="AB247" s="357">
        <f t="shared" si="299"/>
        <v>-5.6752816592449483E-2</v>
      </c>
      <c r="AC247" s="357">
        <f t="shared" si="279"/>
        <v>0</v>
      </c>
      <c r="AD247" s="357">
        <f t="shared" si="280"/>
        <v>-6.5574005461590517E-3</v>
      </c>
      <c r="AE247" s="379">
        <f t="shared" si="281"/>
        <v>0</v>
      </c>
      <c r="AG247" s="451">
        <f t="shared" si="300"/>
        <v>1.2551980497047498E-3</v>
      </c>
      <c r="AH247" s="357">
        <f t="shared" si="301"/>
        <v>-0.18953112954885218</v>
      </c>
      <c r="AI247" s="357">
        <f t="shared" si="302"/>
        <v>-0.14426520628911527</v>
      </c>
      <c r="AJ247" s="357">
        <f t="shared" si="303"/>
        <v>-0.20042477909902873</v>
      </c>
      <c r="AK247" s="357">
        <f t="shared" si="304"/>
        <v>-0.17140512689381415</v>
      </c>
      <c r="AL247" s="357">
        <f t="shared" si="305"/>
        <v>-5.5619494465153213E-2</v>
      </c>
      <c r="AM247" s="357">
        <f t="shared" si="282"/>
        <v>-1.7064673510089895E-4</v>
      </c>
      <c r="AN247" s="357">
        <f t="shared" si="283"/>
        <v>-6.5168769610256371E-3</v>
      </c>
      <c r="AO247" s="379">
        <f t="shared" si="284"/>
        <v>5.4711961047645428E-5</v>
      </c>
    </row>
    <row r="248" spans="2:41" x14ac:dyDescent="0.25">
      <c r="B248" s="449">
        <v>44061</v>
      </c>
      <c r="C248">
        <v>86</v>
      </c>
      <c r="D248">
        <v>66</v>
      </c>
      <c r="E248">
        <v>81</v>
      </c>
      <c r="F248">
        <v>83</v>
      </c>
      <c r="G248">
        <v>78</v>
      </c>
      <c r="H248">
        <v>132</v>
      </c>
      <c r="I248">
        <v>151</v>
      </c>
      <c r="J248">
        <v>151</v>
      </c>
      <c r="K248" s="445">
        <v>146</v>
      </c>
      <c r="M248" s="451">
        <f t="shared" si="285"/>
        <v>-4.4444444444444398E-2</v>
      </c>
      <c r="N248" s="357">
        <f t="shared" si="286"/>
        <v>-0.16455696202531644</v>
      </c>
      <c r="O248" s="357">
        <f t="shared" si="287"/>
        <v>-6.8965517241379337E-2</v>
      </c>
      <c r="P248" s="357">
        <f t="shared" si="288"/>
        <v>-2.352941176470591E-2</v>
      </c>
      <c r="Q248" s="357">
        <f t="shared" si="289"/>
        <v>-3.703703703703709E-2</v>
      </c>
      <c r="R248" s="357">
        <f t="shared" si="290"/>
        <v>-3.6496350364963459E-2</v>
      </c>
      <c r="S248" s="357">
        <f t="shared" si="291"/>
        <v>-2.5806451612903181E-2</v>
      </c>
      <c r="T248" s="357">
        <f t="shared" si="292"/>
        <v>-6.5789473684210176E-3</v>
      </c>
      <c r="U248" s="379">
        <f t="shared" si="293"/>
        <v>0</v>
      </c>
      <c r="W248" s="451">
        <f t="shared" si="294"/>
        <v>-4.5462374076757288E-2</v>
      </c>
      <c r="X248" s="357">
        <f t="shared" si="295"/>
        <v>-0.17979311044059593</v>
      </c>
      <c r="Y248" s="357">
        <f t="shared" si="296"/>
        <v>-7.1458963982144977E-2</v>
      </c>
      <c r="Z248" s="357">
        <f t="shared" si="297"/>
        <v>-2.3810648693718559E-2</v>
      </c>
      <c r="AA248" s="357">
        <f t="shared" si="298"/>
        <v>-3.7740327982847086E-2</v>
      </c>
      <c r="AB248" s="357">
        <f t="shared" si="299"/>
        <v>-3.7179003241754015E-2</v>
      </c>
      <c r="AC248" s="357">
        <f t="shared" si="279"/>
        <v>-2.6145280104322245E-2</v>
      </c>
      <c r="AD248" s="357">
        <f t="shared" si="280"/>
        <v>-6.6006840313520242E-3</v>
      </c>
      <c r="AE248" s="379">
        <f t="shared" si="281"/>
        <v>0</v>
      </c>
      <c r="AG248" s="451">
        <f t="shared" si="300"/>
        <v>-6.5916519122012351E-2</v>
      </c>
      <c r="AH248" s="357">
        <f t="shared" si="301"/>
        <v>-0.18566703894258971</v>
      </c>
      <c r="AI248" s="357">
        <f t="shared" si="302"/>
        <v>-8.3230723530494613E-2</v>
      </c>
      <c r="AJ248" s="357">
        <f t="shared" si="303"/>
        <v>-3.3478000387544171E-2</v>
      </c>
      <c r="AK248" s="357">
        <f t="shared" si="304"/>
        <v>-4.3493710322603858E-2</v>
      </c>
      <c r="AL248" s="357">
        <f t="shared" si="305"/>
        <v>-3.6943431037013225E-2</v>
      </c>
      <c r="AM248" s="357">
        <f t="shared" si="282"/>
        <v>-2.5977098348004081E-2</v>
      </c>
      <c r="AN248" s="357">
        <f t="shared" si="283"/>
        <v>-6.5598766170283773E-3</v>
      </c>
      <c r="AO248" s="379">
        <f t="shared" si="284"/>
        <v>5.4711961047645428E-5</v>
      </c>
    </row>
    <row r="249" spans="2:41" x14ac:dyDescent="0.25">
      <c r="B249" s="449">
        <v>44068</v>
      </c>
      <c r="C249">
        <v>85</v>
      </c>
      <c r="D249">
        <v>75</v>
      </c>
      <c r="E249">
        <v>92</v>
      </c>
      <c r="F249">
        <v>92</v>
      </c>
      <c r="G249">
        <v>82</v>
      </c>
      <c r="H249">
        <v>133</v>
      </c>
      <c r="I249">
        <v>153</v>
      </c>
      <c r="J249">
        <v>151</v>
      </c>
      <c r="K249" s="445">
        <v>146</v>
      </c>
      <c r="M249" s="451">
        <f t="shared" si="285"/>
        <v>-1.1627906976744207E-2</v>
      </c>
      <c r="N249" s="357">
        <f t="shared" si="286"/>
        <v>0.13636363636363646</v>
      </c>
      <c r="O249" s="357">
        <f t="shared" si="287"/>
        <v>0.13580246913580241</v>
      </c>
      <c r="P249" s="357">
        <f t="shared" si="288"/>
        <v>0.10843373493975905</v>
      </c>
      <c r="Q249" s="357">
        <f t="shared" si="289"/>
        <v>5.1282051282051322E-2</v>
      </c>
      <c r="R249" s="357">
        <f t="shared" si="290"/>
        <v>7.575757575757569E-3</v>
      </c>
      <c r="S249" s="357">
        <f t="shared" si="291"/>
        <v>1.3245033112582849E-2</v>
      </c>
      <c r="T249" s="357">
        <f t="shared" si="292"/>
        <v>0</v>
      </c>
      <c r="U249" s="379">
        <f t="shared" si="293"/>
        <v>0</v>
      </c>
      <c r="W249" s="451">
        <f t="shared" si="294"/>
        <v>-1.1696039763191298E-2</v>
      </c>
      <c r="X249" s="357">
        <f t="shared" si="295"/>
        <v>0.127833371509885</v>
      </c>
      <c r="Y249" s="357">
        <f t="shared" si="296"/>
        <v>0.12733942237660148</v>
      </c>
      <c r="Z249" s="357">
        <f t="shared" si="297"/>
        <v>0.1029479692524424</v>
      </c>
      <c r="AA249" s="357">
        <f t="shared" si="298"/>
        <v>5.0010420574661416E-2</v>
      </c>
      <c r="AB249" s="357">
        <f t="shared" si="299"/>
        <v>7.5472056353829038E-3</v>
      </c>
      <c r="AC249" s="357">
        <f t="shared" si="279"/>
        <v>1.3158084577511201E-2</v>
      </c>
      <c r="AD249" s="357">
        <f t="shared" si="280"/>
        <v>0</v>
      </c>
      <c r="AE249" s="379">
        <f t="shared" si="281"/>
        <v>0</v>
      </c>
      <c r="AG249" s="451">
        <f t="shared" si="300"/>
        <v>-3.3099981654312161E-2</v>
      </c>
      <c r="AH249" s="357">
        <f t="shared" si="301"/>
        <v>0.11525355944636322</v>
      </c>
      <c r="AI249" s="357">
        <f t="shared" si="302"/>
        <v>0.12153726284668713</v>
      </c>
      <c r="AJ249" s="357">
        <f t="shared" si="303"/>
        <v>9.8485146316920791E-2</v>
      </c>
      <c r="AK249" s="357">
        <f t="shared" si="304"/>
        <v>4.4825377996484554E-2</v>
      </c>
      <c r="AL249" s="357">
        <f t="shared" si="305"/>
        <v>7.1286769037078035E-3</v>
      </c>
      <c r="AM249" s="357">
        <f t="shared" si="282"/>
        <v>1.3074386377481951E-2</v>
      </c>
      <c r="AN249" s="357">
        <f t="shared" si="283"/>
        <v>1.9070751392640699E-5</v>
      </c>
      <c r="AO249" s="379">
        <f t="shared" si="284"/>
        <v>5.4711961047645428E-5</v>
      </c>
    </row>
    <row r="250" spans="2:41" x14ac:dyDescent="0.25">
      <c r="B250" s="449">
        <v>44075</v>
      </c>
      <c r="C250">
        <v>84.5</v>
      </c>
      <c r="D250">
        <v>80</v>
      </c>
      <c r="E250">
        <v>100</v>
      </c>
      <c r="F250">
        <v>100</v>
      </c>
      <c r="G250">
        <v>85</v>
      </c>
      <c r="H250">
        <v>136</v>
      </c>
      <c r="I250">
        <v>152</v>
      </c>
      <c r="J250">
        <v>151</v>
      </c>
      <c r="K250" s="445">
        <v>146</v>
      </c>
      <c r="M250" s="451">
        <f t="shared" si="285"/>
        <v>-5.8823529411764497E-3</v>
      </c>
      <c r="N250" s="357">
        <f t="shared" si="286"/>
        <v>6.6666666666666652E-2</v>
      </c>
      <c r="O250" s="357">
        <f t="shared" si="287"/>
        <v>8.6956521739130377E-2</v>
      </c>
      <c r="P250" s="357">
        <f t="shared" si="288"/>
        <v>8.6956521739130377E-2</v>
      </c>
      <c r="Q250" s="357">
        <f t="shared" si="289"/>
        <v>3.6585365853658569E-2</v>
      </c>
      <c r="R250" s="357">
        <f t="shared" si="290"/>
        <v>2.2556390977443552E-2</v>
      </c>
      <c r="S250" s="357">
        <f t="shared" si="291"/>
        <v>-6.5359477124182774E-3</v>
      </c>
      <c r="T250" s="357">
        <f t="shared" si="292"/>
        <v>0</v>
      </c>
      <c r="U250" s="379">
        <f t="shared" si="293"/>
        <v>0</v>
      </c>
      <c r="W250" s="451">
        <f t="shared" si="294"/>
        <v>-5.8997221271882708E-3</v>
      </c>
      <c r="X250" s="357">
        <f t="shared" si="295"/>
        <v>6.4538521137571164E-2</v>
      </c>
      <c r="Y250" s="357">
        <f t="shared" si="296"/>
        <v>8.3381608939051E-2</v>
      </c>
      <c r="Z250" s="357">
        <f t="shared" si="297"/>
        <v>8.3381608939051E-2</v>
      </c>
      <c r="AA250" s="357">
        <f t="shared" si="298"/>
        <v>3.593200922606337E-2</v>
      </c>
      <c r="AB250" s="357">
        <f t="shared" si="299"/>
        <v>2.2305757514298186E-2</v>
      </c>
      <c r="AC250" s="357">
        <f t="shared" si="279"/>
        <v>-6.5574005461590517E-3</v>
      </c>
      <c r="AD250" s="357">
        <f t="shared" si="280"/>
        <v>0</v>
      </c>
      <c r="AE250" s="379">
        <f t="shared" si="281"/>
        <v>0</v>
      </c>
      <c r="AG250" s="451">
        <f t="shared" si="300"/>
        <v>-2.7354427618744407E-2</v>
      </c>
      <c r="AH250" s="357">
        <f t="shared" si="301"/>
        <v>4.5556589749393403E-2</v>
      </c>
      <c r="AI250" s="357">
        <f t="shared" si="302"/>
        <v>7.2691315450015101E-2</v>
      </c>
      <c r="AJ250" s="357">
        <f t="shared" si="303"/>
        <v>7.7007933116292115E-2</v>
      </c>
      <c r="AK250" s="357">
        <f t="shared" si="304"/>
        <v>3.0128692568091801E-2</v>
      </c>
      <c r="AL250" s="357">
        <f t="shared" si="305"/>
        <v>2.2109310305393787E-2</v>
      </c>
      <c r="AM250" s="357">
        <f t="shared" si="282"/>
        <v>-6.706594447519176E-3</v>
      </c>
      <c r="AN250" s="357">
        <f t="shared" si="283"/>
        <v>1.9070751392640699E-5</v>
      </c>
      <c r="AO250" s="379">
        <f t="shared" si="284"/>
        <v>5.4711961047645428E-5</v>
      </c>
    </row>
    <row r="251" spans="2:41" x14ac:dyDescent="0.25">
      <c r="B251" s="449">
        <v>44082</v>
      </c>
      <c r="C251">
        <v>83</v>
      </c>
      <c r="D251">
        <v>102</v>
      </c>
      <c r="E251">
        <v>96</v>
      </c>
      <c r="F251">
        <v>82</v>
      </c>
      <c r="G251">
        <v>134</v>
      </c>
      <c r="H251">
        <v>151</v>
      </c>
      <c r="I251">
        <v>150</v>
      </c>
      <c r="J251">
        <v>146</v>
      </c>
      <c r="K251" s="445">
        <v>145</v>
      </c>
      <c r="M251" s="451">
        <f t="shared" si="285"/>
        <v>-1.7751479289940808E-2</v>
      </c>
      <c r="N251" s="357">
        <f t="shared" si="286"/>
        <v>0.27499999999999991</v>
      </c>
      <c r="O251" s="357">
        <f t="shared" si="287"/>
        <v>-4.0000000000000036E-2</v>
      </c>
      <c r="P251" s="357">
        <f t="shared" si="288"/>
        <v>-0.18000000000000005</v>
      </c>
      <c r="Q251" s="357">
        <f t="shared" si="289"/>
        <v>0.57647058823529407</v>
      </c>
      <c r="R251" s="357">
        <f t="shared" si="290"/>
        <v>0.11029411764705888</v>
      </c>
      <c r="S251" s="357">
        <f t="shared" si="291"/>
        <v>-1.3157894736842146E-2</v>
      </c>
      <c r="T251" s="357">
        <f t="shared" si="292"/>
        <v>-3.3112582781456901E-2</v>
      </c>
      <c r="U251" s="379">
        <f t="shared" si="293"/>
        <v>-6.8493150684931781E-3</v>
      </c>
      <c r="W251" s="451">
        <f t="shared" si="294"/>
        <v>-1.7910926566530219E-2</v>
      </c>
      <c r="X251" s="357">
        <f t="shared" si="295"/>
        <v>0.24294617861038939</v>
      </c>
      <c r="Y251" s="357">
        <f t="shared" si="296"/>
        <v>-4.0821994520255166E-2</v>
      </c>
      <c r="Z251" s="357">
        <f t="shared" si="297"/>
        <v>-0.19845093872383832</v>
      </c>
      <c r="AA251" s="357">
        <f t="shared" si="298"/>
        <v>0.4551885434605949</v>
      </c>
      <c r="AB251" s="357">
        <f t="shared" si="299"/>
        <v>0.10462495107887236</v>
      </c>
      <c r="AC251" s="357">
        <f t="shared" si="279"/>
        <v>-1.324522675002068E-2</v>
      </c>
      <c r="AD251" s="357">
        <f t="shared" si="280"/>
        <v>-3.3673215106587835E-2</v>
      </c>
      <c r="AE251" s="379">
        <f t="shared" si="281"/>
        <v>-6.8728792877620643E-3</v>
      </c>
      <c r="AG251" s="451">
        <f t="shared" si="300"/>
        <v>-3.9223553967508762E-2</v>
      </c>
      <c r="AH251" s="357">
        <f t="shared" si="301"/>
        <v>0.25388992308272668</v>
      </c>
      <c r="AI251" s="357">
        <f t="shared" si="302"/>
        <v>-5.4265206289115311E-2</v>
      </c>
      <c r="AJ251" s="357">
        <f t="shared" si="303"/>
        <v>-0.18994858862283831</v>
      </c>
      <c r="AK251" s="357">
        <f t="shared" si="304"/>
        <v>0.57001391494972731</v>
      </c>
      <c r="AL251" s="357">
        <f t="shared" si="305"/>
        <v>0.10984703697500911</v>
      </c>
      <c r="AM251" s="357">
        <f t="shared" si="282"/>
        <v>-1.3328541471943045E-2</v>
      </c>
      <c r="AN251" s="357">
        <f t="shared" si="283"/>
        <v>-3.3093512030064262E-2</v>
      </c>
      <c r="AO251" s="379">
        <f t="shared" si="284"/>
        <v>-6.7946031074455323E-3</v>
      </c>
    </row>
    <row r="252" spans="2:41" x14ac:dyDescent="0.25">
      <c r="B252" s="449">
        <v>44089</v>
      </c>
      <c r="C252">
        <v>89</v>
      </c>
      <c r="D252">
        <v>120</v>
      </c>
      <c r="E252">
        <v>111</v>
      </c>
      <c r="F252">
        <v>88</v>
      </c>
      <c r="G252">
        <v>138</v>
      </c>
      <c r="H252">
        <v>149</v>
      </c>
      <c r="I252">
        <v>149</v>
      </c>
      <c r="J252">
        <v>146</v>
      </c>
      <c r="K252" s="445">
        <v>145</v>
      </c>
      <c r="M252" s="451">
        <f t="shared" ref="M252:M315" si="306">C252/C251-1</f>
        <v>7.2289156626506035E-2</v>
      </c>
      <c r="N252" s="357">
        <f t="shared" ref="N252:N315" si="307">D252/D251-1</f>
        <v>0.17647058823529416</v>
      </c>
      <c r="O252" s="357">
        <f t="shared" ref="O252:O315" si="308">E252/E251-1</f>
        <v>0.15625</v>
      </c>
      <c r="P252" s="357">
        <f t="shared" ref="P252:P315" si="309">F252/F251-1</f>
        <v>7.3170731707317138E-2</v>
      </c>
      <c r="Q252" s="357">
        <f t="shared" ref="Q252:Q315" si="310">G252/G251-1</f>
        <v>2.9850746268656803E-2</v>
      </c>
      <c r="R252" s="357">
        <f t="shared" ref="R252:R315" si="311">H252/H251-1</f>
        <v>-1.3245033112582738E-2</v>
      </c>
      <c r="S252" s="357">
        <f t="shared" ref="S252:S315" si="312">I252/I251-1</f>
        <v>-6.6666666666667096E-3</v>
      </c>
      <c r="T252" s="357">
        <f t="shared" ref="T252:T315" si="313">J252/J251-1</f>
        <v>0</v>
      </c>
      <c r="U252" s="379">
        <f t="shared" ref="U252:U315" si="314">K252/K251-1</f>
        <v>0</v>
      </c>
      <c r="W252" s="451">
        <f t="shared" ref="W252:W315" si="315">LN(C252/C251)</f>
        <v>6.979576193554192E-2</v>
      </c>
      <c r="X252" s="357">
        <f t="shared" ref="X252:X315" si="316">LN(D252/D251)</f>
        <v>0.16251892949777494</v>
      </c>
      <c r="Y252" s="357">
        <f t="shared" ref="Y252:Y315" si="317">LN(E252/E251)</f>
        <v>0.14518200984449789</v>
      </c>
      <c r="Z252" s="357">
        <f t="shared" ref="Z252:Z315" si="318">LN(F252/F251)</f>
        <v>7.0617567213953417E-2</v>
      </c>
      <c r="AA252" s="357">
        <f t="shared" ref="AA252:AA315" si="319">LN(G252/G251)</f>
        <v>2.9413885206293407E-2</v>
      </c>
      <c r="AB252" s="357">
        <f t="shared" ref="AB252:AB315" si="320">LN(H252/H251)</f>
        <v>-1.3333530869465144E-2</v>
      </c>
      <c r="AC252" s="357">
        <f t="shared" ref="AC252:AC315" si="321">LN(I252/I251)</f>
        <v>-6.688988150796652E-3</v>
      </c>
      <c r="AD252" s="357">
        <f t="shared" ref="AD252:AD315" si="322">LN(J252/J251)</f>
        <v>0</v>
      </c>
      <c r="AE252" s="379">
        <f t="shared" ref="AE252:AE315" si="323">LN(K252/K251)</f>
        <v>0</v>
      </c>
      <c r="AG252" s="451">
        <f t="shared" ref="AG252:AG315" si="324">M252-M$2</f>
        <v>5.0817081948938081E-2</v>
      </c>
      <c r="AH252" s="357">
        <f t="shared" ref="AH252:AH315" si="325">N252-N$2</f>
        <v>0.15536051131802089</v>
      </c>
      <c r="AI252" s="357">
        <f t="shared" ref="AI252:AI315" si="326">O252-O$2</f>
        <v>0.14198479371088474</v>
      </c>
      <c r="AJ252" s="357">
        <f t="shared" ref="AJ252:AJ315" si="327">P252-P$2</f>
        <v>6.3222143084478877E-2</v>
      </c>
      <c r="AK252" s="357">
        <f t="shared" ref="AK252:AK315" si="328">Q252-Q$2</f>
        <v>2.3394072983090035E-2</v>
      </c>
      <c r="AL252" s="357">
        <f t="shared" ref="AL252:AL315" si="329">R252-R$2</f>
        <v>-1.3692113784632504E-2</v>
      </c>
      <c r="AM252" s="357">
        <f t="shared" ref="AM252:AM315" si="330">S252-S$2</f>
        <v>-6.8373134017676081E-3</v>
      </c>
      <c r="AN252" s="357">
        <f t="shared" ref="AN252:AN315" si="331">T252-T$2</f>
        <v>1.9070751392640699E-5</v>
      </c>
      <c r="AO252" s="379">
        <f t="shared" ref="AO252:AO315" si="332">U252-U$2</f>
        <v>5.4711961047645428E-5</v>
      </c>
    </row>
    <row r="253" spans="2:41" x14ac:dyDescent="0.25">
      <c r="B253" s="449">
        <v>44096</v>
      </c>
      <c r="C253">
        <v>97</v>
      </c>
      <c r="D253">
        <v>170</v>
      </c>
      <c r="E253">
        <v>160</v>
      </c>
      <c r="F253">
        <v>120</v>
      </c>
      <c r="G253">
        <v>148</v>
      </c>
      <c r="H253">
        <v>155</v>
      </c>
      <c r="I253">
        <v>152</v>
      </c>
      <c r="J253">
        <v>146</v>
      </c>
      <c r="K253" s="445">
        <v>145</v>
      </c>
      <c r="M253" s="451">
        <f t="shared" si="306"/>
        <v>8.98876404494382E-2</v>
      </c>
      <c r="N253" s="357">
        <f t="shared" si="307"/>
        <v>0.41666666666666674</v>
      </c>
      <c r="O253" s="357">
        <f t="shared" si="308"/>
        <v>0.44144144144144137</v>
      </c>
      <c r="P253" s="357">
        <f t="shared" si="309"/>
        <v>0.36363636363636354</v>
      </c>
      <c r="Q253" s="357">
        <f t="shared" si="310"/>
        <v>7.2463768115942129E-2</v>
      </c>
      <c r="R253" s="357">
        <f t="shared" si="311"/>
        <v>4.0268456375838868E-2</v>
      </c>
      <c r="S253" s="357">
        <f t="shared" si="312"/>
        <v>2.0134228187919545E-2</v>
      </c>
      <c r="T253" s="357">
        <f t="shared" si="313"/>
        <v>0</v>
      </c>
      <c r="U253" s="379">
        <f t="shared" si="314"/>
        <v>0</v>
      </c>
      <c r="W253" s="451">
        <f t="shared" si="315"/>
        <v>8.6074608771242983E-2</v>
      </c>
      <c r="X253" s="357">
        <f t="shared" si="316"/>
        <v>0.34830669426821581</v>
      </c>
      <c r="Y253" s="357">
        <f t="shared" si="317"/>
        <v>0.36564361392149275</v>
      </c>
      <c r="Z253" s="357">
        <f t="shared" si="318"/>
        <v>0.31015492830383945</v>
      </c>
      <c r="AA253" s="357">
        <f t="shared" si="319"/>
        <v>6.9958588606910468E-2</v>
      </c>
      <c r="AB253" s="357">
        <f t="shared" si="320"/>
        <v>3.9478810973787422E-2</v>
      </c>
      <c r="AC253" s="357">
        <f t="shared" si="321"/>
        <v>1.9934214900817329E-2</v>
      </c>
      <c r="AD253" s="357">
        <f t="shared" si="322"/>
        <v>0</v>
      </c>
      <c r="AE253" s="379">
        <f t="shared" si="323"/>
        <v>0</v>
      </c>
      <c r="AG253" s="451">
        <f t="shared" si="324"/>
        <v>6.8415565771870246E-2</v>
      </c>
      <c r="AH253" s="357">
        <f t="shared" si="325"/>
        <v>0.39555658974939351</v>
      </c>
      <c r="AI253" s="357">
        <f t="shared" si="326"/>
        <v>0.42717623515232611</v>
      </c>
      <c r="AJ253" s="357">
        <f t="shared" si="327"/>
        <v>0.35368777501352527</v>
      </c>
      <c r="AK253" s="357">
        <f t="shared" si="328"/>
        <v>6.6007094830375368E-2</v>
      </c>
      <c r="AL253" s="357">
        <f t="shared" si="329"/>
        <v>3.9821375703789103E-2</v>
      </c>
      <c r="AM253" s="357">
        <f t="shared" si="330"/>
        <v>1.9963581452818645E-2</v>
      </c>
      <c r="AN253" s="357">
        <f t="shared" si="331"/>
        <v>1.9070751392640699E-5</v>
      </c>
      <c r="AO253" s="379">
        <f t="shared" si="332"/>
        <v>5.4711961047645428E-5</v>
      </c>
    </row>
    <row r="254" spans="2:41" x14ac:dyDescent="0.25">
      <c r="B254" s="449">
        <v>44103</v>
      </c>
      <c r="C254">
        <v>100</v>
      </c>
      <c r="D254">
        <v>216</v>
      </c>
      <c r="E254">
        <v>193</v>
      </c>
      <c r="F254">
        <v>132</v>
      </c>
      <c r="G254">
        <v>155</v>
      </c>
      <c r="H254">
        <v>160</v>
      </c>
      <c r="I254">
        <v>153</v>
      </c>
      <c r="J254">
        <v>148</v>
      </c>
      <c r="K254" s="445">
        <v>145</v>
      </c>
      <c r="M254" s="451">
        <f t="shared" si="306"/>
        <v>3.0927835051546282E-2</v>
      </c>
      <c r="N254" s="357">
        <f t="shared" si="307"/>
        <v>0.27058823529411757</v>
      </c>
      <c r="O254" s="357">
        <f t="shared" si="308"/>
        <v>0.20625000000000004</v>
      </c>
      <c r="P254" s="357">
        <f t="shared" si="309"/>
        <v>0.10000000000000009</v>
      </c>
      <c r="Q254" s="357">
        <f t="shared" si="310"/>
        <v>4.7297297297297369E-2</v>
      </c>
      <c r="R254" s="357">
        <f t="shared" si="311"/>
        <v>3.2258064516129004E-2</v>
      </c>
      <c r="S254" s="357">
        <f t="shared" si="312"/>
        <v>6.5789473684210176E-3</v>
      </c>
      <c r="T254" s="357">
        <f t="shared" si="313"/>
        <v>1.3698630136986356E-2</v>
      </c>
      <c r="U254" s="379">
        <f t="shared" si="314"/>
        <v>0</v>
      </c>
      <c r="W254" s="451">
        <f t="shared" si="315"/>
        <v>3.0459207484708439E-2</v>
      </c>
      <c r="X254" s="357">
        <f t="shared" si="316"/>
        <v>0.23947997063390319</v>
      </c>
      <c r="Y254" s="357">
        <f t="shared" si="317"/>
        <v>0.18751637367105867</v>
      </c>
      <c r="Z254" s="357">
        <f t="shared" si="318"/>
        <v>9.5310179804324935E-2</v>
      </c>
      <c r="AA254" s="357">
        <f t="shared" si="319"/>
        <v>4.6212843155131626E-2</v>
      </c>
      <c r="AB254" s="357">
        <f t="shared" si="320"/>
        <v>3.174869831458027E-2</v>
      </c>
      <c r="AC254" s="357">
        <f t="shared" si="321"/>
        <v>6.5574005461590396E-3</v>
      </c>
      <c r="AD254" s="357">
        <f t="shared" si="322"/>
        <v>1.3605652055778678E-2</v>
      </c>
      <c r="AE254" s="379">
        <f t="shared" si="323"/>
        <v>0</v>
      </c>
      <c r="AG254" s="451">
        <f t="shared" si="324"/>
        <v>9.4557603739783246E-3</v>
      </c>
      <c r="AH254" s="357">
        <f t="shared" si="325"/>
        <v>0.24947815837684431</v>
      </c>
      <c r="AI254" s="357">
        <f t="shared" si="326"/>
        <v>0.19198479371088478</v>
      </c>
      <c r="AJ254" s="357">
        <f t="shared" si="327"/>
        <v>9.0051411377161827E-2</v>
      </c>
      <c r="AK254" s="357">
        <f t="shared" si="328"/>
        <v>4.0840624011730602E-2</v>
      </c>
      <c r="AL254" s="357">
        <f t="shared" si="329"/>
        <v>3.1810983844079238E-2</v>
      </c>
      <c r="AM254" s="357">
        <f t="shared" si="330"/>
        <v>6.408300633320119E-3</v>
      </c>
      <c r="AN254" s="357">
        <f t="shared" si="331"/>
        <v>1.3717700888378996E-2</v>
      </c>
      <c r="AO254" s="379">
        <f t="shared" si="332"/>
        <v>5.4711961047645428E-5</v>
      </c>
    </row>
    <row r="255" spans="2:41" x14ac:dyDescent="0.25">
      <c r="B255" s="449">
        <v>44110</v>
      </c>
      <c r="C255">
        <v>271</v>
      </c>
      <c r="D255">
        <v>299</v>
      </c>
      <c r="E255">
        <v>201</v>
      </c>
      <c r="F255">
        <v>200</v>
      </c>
      <c r="G255">
        <v>183</v>
      </c>
      <c r="H255">
        <v>162</v>
      </c>
      <c r="I255">
        <v>154</v>
      </c>
      <c r="J255">
        <v>148</v>
      </c>
      <c r="K255" s="445">
        <v>145</v>
      </c>
      <c r="M255" s="451">
        <f t="shared" si="306"/>
        <v>1.71</v>
      </c>
      <c r="N255" s="357">
        <f t="shared" si="307"/>
        <v>0.3842592592592593</v>
      </c>
      <c r="O255" s="357">
        <f t="shared" si="308"/>
        <v>4.1450777202072464E-2</v>
      </c>
      <c r="P255" s="357">
        <f t="shared" si="309"/>
        <v>0.51515151515151514</v>
      </c>
      <c r="Q255" s="357">
        <f t="shared" si="310"/>
        <v>0.1806451612903226</v>
      </c>
      <c r="R255" s="357">
        <f t="shared" si="311"/>
        <v>1.2499999999999956E-2</v>
      </c>
      <c r="S255" s="357">
        <f t="shared" si="312"/>
        <v>6.5359477124182774E-3</v>
      </c>
      <c r="T255" s="357">
        <f t="shared" si="313"/>
        <v>0</v>
      </c>
      <c r="U255" s="379">
        <f t="shared" si="314"/>
        <v>0</v>
      </c>
      <c r="W255" s="451">
        <f t="shared" si="315"/>
        <v>0.99694863489160956</v>
      </c>
      <c r="X255" s="357">
        <f t="shared" si="316"/>
        <v>0.32516516570652143</v>
      </c>
      <c r="Y255" s="357">
        <f t="shared" si="317"/>
        <v>4.0614719154190126E-2</v>
      </c>
      <c r="Z255" s="357">
        <f t="shared" si="318"/>
        <v>0.41551544396166579</v>
      </c>
      <c r="AA255" s="357">
        <f t="shared" si="319"/>
        <v>0.16606103592217433</v>
      </c>
      <c r="AB255" s="357">
        <f t="shared" si="320"/>
        <v>1.242251999855711E-2</v>
      </c>
      <c r="AC255" s="357">
        <f t="shared" si="321"/>
        <v>6.5146810211936723E-3</v>
      </c>
      <c r="AD255" s="357">
        <f t="shared" si="322"/>
        <v>0</v>
      </c>
      <c r="AE255" s="379">
        <f t="shared" si="323"/>
        <v>0</v>
      </c>
      <c r="AG255" s="451">
        <f t="shared" si="324"/>
        <v>1.6885279253224319</v>
      </c>
      <c r="AH255" s="357">
        <f t="shared" si="325"/>
        <v>0.36314918234198607</v>
      </c>
      <c r="AI255" s="357">
        <f t="shared" si="326"/>
        <v>2.7185570912957188E-2</v>
      </c>
      <c r="AJ255" s="357">
        <f t="shared" si="327"/>
        <v>0.50520292652867682</v>
      </c>
      <c r="AK255" s="357">
        <f t="shared" si="328"/>
        <v>0.17418848800475584</v>
      </c>
      <c r="AL255" s="357">
        <f t="shared" si="329"/>
        <v>1.205291932795019E-2</v>
      </c>
      <c r="AM255" s="357">
        <f t="shared" si="330"/>
        <v>6.3653009773173789E-3</v>
      </c>
      <c r="AN255" s="357">
        <f t="shared" si="331"/>
        <v>1.9070751392640699E-5</v>
      </c>
      <c r="AO255" s="379">
        <f t="shared" si="332"/>
        <v>5.4711961047645428E-5</v>
      </c>
    </row>
    <row r="256" spans="2:41" x14ac:dyDescent="0.25">
      <c r="B256" s="449">
        <v>44117</v>
      </c>
      <c r="C256">
        <v>280</v>
      </c>
      <c r="D256">
        <v>295</v>
      </c>
      <c r="E256">
        <v>173</v>
      </c>
      <c r="F256">
        <v>165</v>
      </c>
      <c r="G256">
        <v>169</v>
      </c>
      <c r="H256">
        <v>160</v>
      </c>
      <c r="I256">
        <v>153</v>
      </c>
      <c r="J256">
        <v>147</v>
      </c>
      <c r="K256" s="445">
        <v>142</v>
      </c>
      <c r="M256" s="451">
        <f t="shared" si="306"/>
        <v>3.3210332103321027E-2</v>
      </c>
      <c r="N256" s="357">
        <f t="shared" si="307"/>
        <v>-1.3377926421404673E-2</v>
      </c>
      <c r="O256" s="357">
        <f t="shared" si="308"/>
        <v>-0.13930348258706471</v>
      </c>
      <c r="P256" s="357">
        <f t="shared" si="309"/>
        <v>-0.17500000000000004</v>
      </c>
      <c r="Q256" s="357">
        <f t="shared" si="310"/>
        <v>-7.6502732240437132E-2</v>
      </c>
      <c r="R256" s="357">
        <f t="shared" si="311"/>
        <v>-1.2345679012345734E-2</v>
      </c>
      <c r="S256" s="357">
        <f t="shared" si="312"/>
        <v>-6.4935064935064402E-3</v>
      </c>
      <c r="T256" s="357">
        <f t="shared" si="313"/>
        <v>-6.7567567567567988E-3</v>
      </c>
      <c r="U256" s="379">
        <f t="shared" si="314"/>
        <v>-2.0689655172413834E-2</v>
      </c>
      <c r="W256" s="451">
        <f t="shared" si="315"/>
        <v>3.26707822895487E-2</v>
      </c>
      <c r="X256" s="357">
        <f t="shared" si="316"/>
        <v>-1.3468217050866593E-2</v>
      </c>
      <c r="Y256" s="357">
        <f t="shared" si="317"/>
        <v>-0.15001331356129685</v>
      </c>
      <c r="Z256" s="357">
        <f t="shared" si="318"/>
        <v>-0.19237189264745613</v>
      </c>
      <c r="AA256" s="357">
        <f t="shared" si="319"/>
        <v>-7.9587437918347437E-2</v>
      </c>
      <c r="AB256" s="357">
        <f t="shared" si="320"/>
        <v>-1.2422519998557209E-2</v>
      </c>
      <c r="AC256" s="357">
        <f t="shared" si="321"/>
        <v>-6.5146810211936419E-3</v>
      </c>
      <c r="AD256" s="357">
        <f t="shared" si="322"/>
        <v>-6.7796869853788038E-3</v>
      </c>
      <c r="AE256" s="379">
        <f t="shared" si="323"/>
        <v>-2.0906684819313712E-2</v>
      </c>
      <c r="AG256" s="451">
        <f t="shared" si="324"/>
        <v>1.173825742575307E-2</v>
      </c>
      <c r="AH256" s="357">
        <f t="shared" si="325"/>
        <v>-3.4488003338677922E-2</v>
      </c>
      <c r="AI256" s="357">
        <f t="shared" si="326"/>
        <v>-0.15356868887617997</v>
      </c>
      <c r="AJ256" s="357">
        <f t="shared" si="327"/>
        <v>-0.18494858862283831</v>
      </c>
      <c r="AK256" s="357">
        <f t="shared" si="328"/>
        <v>-8.2959405526003893E-2</v>
      </c>
      <c r="AL256" s="357">
        <f t="shared" si="329"/>
        <v>-1.2792759684395499E-2</v>
      </c>
      <c r="AM256" s="357">
        <f t="shared" si="330"/>
        <v>-6.6641532286073387E-3</v>
      </c>
      <c r="AN256" s="357">
        <f t="shared" si="331"/>
        <v>-6.7376860053641584E-3</v>
      </c>
      <c r="AO256" s="379">
        <f t="shared" si="332"/>
        <v>-2.0634943211366188E-2</v>
      </c>
    </row>
    <row r="257" spans="2:41" x14ac:dyDescent="0.25">
      <c r="B257" s="449">
        <v>44124</v>
      </c>
      <c r="C257">
        <v>284</v>
      </c>
      <c r="D257">
        <v>292</v>
      </c>
      <c r="E257">
        <v>175</v>
      </c>
      <c r="F257">
        <v>172</v>
      </c>
      <c r="G257">
        <v>167</v>
      </c>
      <c r="H257">
        <v>160</v>
      </c>
      <c r="I257">
        <v>152</v>
      </c>
      <c r="J257">
        <v>146</v>
      </c>
      <c r="K257" s="445">
        <v>142</v>
      </c>
      <c r="M257" s="451">
        <f t="shared" si="306"/>
        <v>1.4285714285714235E-2</v>
      </c>
      <c r="N257" s="357">
        <f t="shared" si="307"/>
        <v>-1.016949152542368E-2</v>
      </c>
      <c r="O257" s="357">
        <f t="shared" si="308"/>
        <v>1.1560693641618602E-2</v>
      </c>
      <c r="P257" s="357">
        <f t="shared" si="309"/>
        <v>4.2424242424242475E-2</v>
      </c>
      <c r="Q257" s="357">
        <f t="shared" si="310"/>
        <v>-1.1834319526627168E-2</v>
      </c>
      <c r="R257" s="357">
        <f t="shared" si="311"/>
        <v>0</v>
      </c>
      <c r="S257" s="357">
        <f t="shared" si="312"/>
        <v>-6.5359477124182774E-3</v>
      </c>
      <c r="T257" s="357">
        <f t="shared" si="313"/>
        <v>-6.8027210884353817E-3</v>
      </c>
      <c r="U257" s="379">
        <f t="shared" si="314"/>
        <v>0</v>
      </c>
      <c r="W257" s="451">
        <f t="shared" si="315"/>
        <v>1.4184634991956381E-2</v>
      </c>
      <c r="X257" s="357">
        <f t="shared" si="316"/>
        <v>-1.0221554071538028E-2</v>
      </c>
      <c r="Y257" s="357">
        <f t="shared" si="317"/>
        <v>1.1494379425735212E-2</v>
      </c>
      <c r="Z257" s="357">
        <f t="shared" si="318"/>
        <v>4.1549002912872481E-2</v>
      </c>
      <c r="AA257" s="357">
        <f t="shared" si="319"/>
        <v>-1.1904902506318314E-2</v>
      </c>
      <c r="AB257" s="357">
        <f t="shared" si="320"/>
        <v>0</v>
      </c>
      <c r="AC257" s="357">
        <f t="shared" si="321"/>
        <v>-6.5574005461590517E-3</v>
      </c>
      <c r="AD257" s="357">
        <f t="shared" si="322"/>
        <v>-6.8259650703998706E-3</v>
      </c>
      <c r="AE257" s="379">
        <f t="shared" si="323"/>
        <v>0</v>
      </c>
      <c r="AG257" s="451">
        <f t="shared" si="324"/>
        <v>-7.1863603918537224E-3</v>
      </c>
      <c r="AH257" s="357">
        <f t="shared" si="325"/>
        <v>-3.1279568442696928E-2</v>
      </c>
      <c r="AI257" s="357">
        <f t="shared" si="326"/>
        <v>-2.7045126474966718E-3</v>
      </c>
      <c r="AJ257" s="357">
        <f t="shared" si="327"/>
        <v>3.2475653801404214E-2</v>
      </c>
      <c r="AK257" s="357">
        <f t="shared" si="328"/>
        <v>-1.8290992812193936E-2</v>
      </c>
      <c r="AL257" s="357">
        <f t="shared" si="329"/>
        <v>-4.4708067204976532E-4</v>
      </c>
      <c r="AM257" s="357">
        <f t="shared" si="330"/>
        <v>-6.706594447519176E-3</v>
      </c>
      <c r="AN257" s="357">
        <f t="shared" si="331"/>
        <v>-6.7836503370427414E-3</v>
      </c>
      <c r="AO257" s="379">
        <f t="shared" si="332"/>
        <v>5.4711961047645428E-5</v>
      </c>
    </row>
    <row r="258" spans="2:41" x14ac:dyDescent="0.25">
      <c r="B258" s="449">
        <v>44131</v>
      </c>
      <c r="C258">
        <v>285</v>
      </c>
      <c r="D258">
        <v>353</v>
      </c>
      <c r="E258">
        <v>220</v>
      </c>
      <c r="F258">
        <v>205</v>
      </c>
      <c r="G258">
        <v>187</v>
      </c>
      <c r="H258">
        <v>165</v>
      </c>
      <c r="I258">
        <v>153</v>
      </c>
      <c r="J258">
        <v>147</v>
      </c>
      <c r="K258" s="445">
        <v>142</v>
      </c>
      <c r="M258" s="451">
        <f t="shared" si="306"/>
        <v>3.5211267605634866E-3</v>
      </c>
      <c r="N258" s="357">
        <f t="shared" si="307"/>
        <v>0.20890410958904115</v>
      </c>
      <c r="O258" s="357">
        <f t="shared" si="308"/>
        <v>0.25714285714285712</v>
      </c>
      <c r="P258" s="357">
        <f t="shared" si="309"/>
        <v>0.19186046511627897</v>
      </c>
      <c r="Q258" s="357">
        <f t="shared" si="310"/>
        <v>0.11976047904191622</v>
      </c>
      <c r="R258" s="357">
        <f t="shared" si="311"/>
        <v>3.125E-2</v>
      </c>
      <c r="S258" s="357">
        <f t="shared" si="312"/>
        <v>6.5789473684210176E-3</v>
      </c>
      <c r="T258" s="357">
        <f t="shared" si="313"/>
        <v>6.8493150684931781E-3</v>
      </c>
      <c r="U258" s="379">
        <f t="shared" si="314"/>
        <v>0</v>
      </c>
      <c r="W258" s="451">
        <f t="shared" si="315"/>
        <v>3.5149421074445919E-3</v>
      </c>
      <c r="X258" s="357">
        <f t="shared" si="316"/>
        <v>0.18971425466501507</v>
      </c>
      <c r="Y258" s="357">
        <f t="shared" si="317"/>
        <v>0.22884157242884745</v>
      </c>
      <c r="Z258" s="357">
        <f t="shared" si="318"/>
        <v>0.17551550232495505</v>
      </c>
      <c r="AA258" s="357">
        <f t="shared" si="319"/>
        <v>0.11311480443783156</v>
      </c>
      <c r="AB258" s="357">
        <f t="shared" si="320"/>
        <v>3.0771658666753687E-2</v>
      </c>
      <c r="AC258" s="357">
        <f t="shared" si="321"/>
        <v>6.5574005461590396E-3</v>
      </c>
      <c r="AD258" s="357">
        <f t="shared" si="322"/>
        <v>6.8259650703998906E-3</v>
      </c>
      <c r="AE258" s="379">
        <f t="shared" si="323"/>
        <v>0</v>
      </c>
      <c r="AG258" s="451">
        <f t="shared" si="324"/>
        <v>-1.7950947917004471E-2</v>
      </c>
      <c r="AH258" s="357">
        <f t="shared" si="325"/>
        <v>0.18779403267176789</v>
      </c>
      <c r="AI258" s="357">
        <f t="shared" si="326"/>
        <v>0.24287765085374186</v>
      </c>
      <c r="AJ258" s="357">
        <f t="shared" si="327"/>
        <v>0.18191187649344071</v>
      </c>
      <c r="AK258" s="357">
        <f t="shared" si="328"/>
        <v>0.11330380575634946</v>
      </c>
      <c r="AL258" s="357">
        <f t="shared" si="329"/>
        <v>3.0802919327950234E-2</v>
      </c>
      <c r="AM258" s="357">
        <f t="shared" si="330"/>
        <v>6.408300633320119E-3</v>
      </c>
      <c r="AN258" s="357">
        <f t="shared" si="331"/>
        <v>6.8683858198858184E-3</v>
      </c>
      <c r="AO258" s="379">
        <f t="shared" si="332"/>
        <v>5.4711961047645428E-5</v>
      </c>
    </row>
    <row r="259" spans="2:41" x14ac:dyDescent="0.25">
      <c r="B259" s="449">
        <v>44138</v>
      </c>
      <c r="C259">
        <v>460</v>
      </c>
      <c r="D259">
        <v>351</v>
      </c>
      <c r="E259">
        <v>298</v>
      </c>
      <c r="F259">
        <v>250</v>
      </c>
      <c r="G259">
        <v>203</v>
      </c>
      <c r="H259">
        <v>177</v>
      </c>
      <c r="I259">
        <v>155</v>
      </c>
      <c r="J259">
        <v>148</v>
      </c>
      <c r="K259" s="445">
        <v>143</v>
      </c>
      <c r="M259" s="451">
        <f t="shared" si="306"/>
        <v>0.61403508771929816</v>
      </c>
      <c r="N259" s="357">
        <f t="shared" si="307"/>
        <v>-5.6657223796033884E-3</v>
      </c>
      <c r="O259" s="357">
        <f t="shared" si="308"/>
        <v>0.3545454545454545</v>
      </c>
      <c r="P259" s="357">
        <f t="shared" si="309"/>
        <v>0.21951219512195119</v>
      </c>
      <c r="Q259" s="357">
        <f t="shared" si="310"/>
        <v>8.5561497326203106E-2</v>
      </c>
      <c r="R259" s="357">
        <f t="shared" si="311"/>
        <v>7.2727272727272751E-2</v>
      </c>
      <c r="S259" s="357">
        <f t="shared" si="312"/>
        <v>1.3071895424836555E-2</v>
      </c>
      <c r="T259" s="357">
        <f t="shared" si="313"/>
        <v>6.8027210884353817E-3</v>
      </c>
      <c r="U259" s="379">
        <f t="shared" si="314"/>
        <v>7.0422535211267512E-3</v>
      </c>
      <c r="W259" s="451">
        <f t="shared" si="315"/>
        <v>0.47873730921449009</v>
      </c>
      <c r="X259" s="357">
        <f t="shared" si="316"/>
        <v>-5.6818334674309462E-3</v>
      </c>
      <c r="Y259" s="357">
        <f t="shared" si="317"/>
        <v>0.3034659401530429</v>
      </c>
      <c r="Z259" s="357">
        <f t="shared" si="318"/>
        <v>0.19845093872383823</v>
      </c>
      <c r="AA259" s="357">
        <f t="shared" si="319"/>
        <v>8.2097362187200609E-2</v>
      </c>
      <c r="AB259" s="357">
        <f t="shared" si="320"/>
        <v>7.020425867324856E-2</v>
      </c>
      <c r="AC259" s="357">
        <f t="shared" si="321"/>
        <v>1.2987195526811112E-2</v>
      </c>
      <c r="AD259" s="357">
        <f t="shared" si="322"/>
        <v>6.7796869853787691E-3</v>
      </c>
      <c r="AE259" s="379">
        <f t="shared" si="323"/>
        <v>7.0175726586465398E-3</v>
      </c>
      <c r="AG259" s="451">
        <f t="shared" si="324"/>
        <v>0.5925630130417302</v>
      </c>
      <c r="AH259" s="357">
        <f t="shared" si="325"/>
        <v>-2.6775799296876641E-2</v>
      </c>
      <c r="AI259" s="357">
        <f t="shared" si="326"/>
        <v>0.34028024825633924</v>
      </c>
      <c r="AJ259" s="357">
        <f t="shared" si="327"/>
        <v>0.20956360649911293</v>
      </c>
      <c r="AK259" s="357">
        <f t="shared" si="328"/>
        <v>7.9104824040636346E-2</v>
      </c>
      <c r="AL259" s="357">
        <f t="shared" si="329"/>
        <v>7.2280192055222986E-2</v>
      </c>
      <c r="AM259" s="357">
        <f t="shared" si="330"/>
        <v>1.2901248689735656E-2</v>
      </c>
      <c r="AN259" s="357">
        <f t="shared" si="331"/>
        <v>6.821791839828022E-3</v>
      </c>
      <c r="AO259" s="379">
        <f t="shared" si="332"/>
        <v>7.096965482174397E-3</v>
      </c>
    </row>
    <row r="260" spans="2:41" x14ac:dyDescent="0.25">
      <c r="B260" s="449">
        <v>44145</v>
      </c>
      <c r="C260">
        <v>450</v>
      </c>
      <c r="D260">
        <v>345</v>
      </c>
      <c r="E260">
        <v>270</v>
      </c>
      <c r="F260">
        <v>240</v>
      </c>
      <c r="G260">
        <v>198</v>
      </c>
      <c r="H260">
        <v>178</v>
      </c>
      <c r="I260">
        <v>155</v>
      </c>
      <c r="J260">
        <v>147</v>
      </c>
      <c r="K260" s="445">
        <v>143</v>
      </c>
      <c r="M260" s="451">
        <f t="shared" si="306"/>
        <v>-2.1739130434782594E-2</v>
      </c>
      <c r="N260" s="357">
        <f t="shared" si="307"/>
        <v>-1.7094017094017144E-2</v>
      </c>
      <c r="O260" s="357">
        <f t="shared" si="308"/>
        <v>-9.3959731543624136E-2</v>
      </c>
      <c r="P260" s="357">
        <f t="shared" si="309"/>
        <v>-4.0000000000000036E-2</v>
      </c>
      <c r="Q260" s="357">
        <f t="shared" si="310"/>
        <v>-2.4630541871921152E-2</v>
      </c>
      <c r="R260" s="357">
        <f t="shared" si="311"/>
        <v>5.6497175141243527E-3</v>
      </c>
      <c r="S260" s="357">
        <f t="shared" si="312"/>
        <v>0</v>
      </c>
      <c r="T260" s="357">
        <f t="shared" si="313"/>
        <v>-6.7567567567567988E-3</v>
      </c>
      <c r="U260" s="379">
        <f t="shared" si="314"/>
        <v>0</v>
      </c>
      <c r="W260" s="451">
        <f t="shared" si="315"/>
        <v>-2.197890671877523E-2</v>
      </c>
      <c r="X260" s="357">
        <f t="shared" si="316"/>
        <v>-1.7241806434506103E-2</v>
      </c>
      <c r="Y260" s="357">
        <f t="shared" si="317"/>
        <v>-9.8671527507029663E-2</v>
      </c>
      <c r="Z260" s="357">
        <f t="shared" si="318"/>
        <v>-4.0821994520255166E-2</v>
      </c>
      <c r="AA260" s="357">
        <f t="shared" si="319"/>
        <v>-2.4938948347252066E-2</v>
      </c>
      <c r="AB260" s="357">
        <f t="shared" si="320"/>
        <v>5.6338177182560642E-3</v>
      </c>
      <c r="AC260" s="357">
        <f t="shared" si="321"/>
        <v>0</v>
      </c>
      <c r="AD260" s="357">
        <f t="shared" si="322"/>
        <v>-6.7796869853788038E-3</v>
      </c>
      <c r="AE260" s="379">
        <f t="shared" si="323"/>
        <v>0</v>
      </c>
      <c r="AG260" s="451">
        <f t="shared" si="324"/>
        <v>-4.3211205112350548E-2</v>
      </c>
      <c r="AH260" s="357">
        <f t="shared" si="325"/>
        <v>-3.8204094011290393E-2</v>
      </c>
      <c r="AI260" s="357">
        <f t="shared" si="326"/>
        <v>-0.10822493783273941</v>
      </c>
      <c r="AJ260" s="357">
        <f t="shared" si="327"/>
        <v>-4.9948588622838297E-2</v>
      </c>
      <c r="AK260" s="357">
        <f t="shared" si="328"/>
        <v>-3.108721515748792E-2</v>
      </c>
      <c r="AL260" s="357">
        <f t="shared" si="329"/>
        <v>5.2026368420745872E-3</v>
      </c>
      <c r="AM260" s="357">
        <f t="shared" si="330"/>
        <v>-1.7064673510089895E-4</v>
      </c>
      <c r="AN260" s="357">
        <f t="shared" si="331"/>
        <v>-6.7376860053641584E-3</v>
      </c>
      <c r="AO260" s="379">
        <f t="shared" si="332"/>
        <v>5.4711961047645428E-5</v>
      </c>
    </row>
    <row r="261" spans="2:41" x14ac:dyDescent="0.25">
      <c r="B261" s="449">
        <v>44152</v>
      </c>
      <c r="C261">
        <v>472</v>
      </c>
      <c r="D261">
        <v>450</v>
      </c>
      <c r="E261">
        <v>363</v>
      </c>
      <c r="F261">
        <v>280</v>
      </c>
      <c r="G261">
        <v>223</v>
      </c>
      <c r="H261">
        <v>191</v>
      </c>
      <c r="I261">
        <v>158</v>
      </c>
      <c r="J261">
        <v>147</v>
      </c>
      <c r="K261" s="445">
        <v>143</v>
      </c>
      <c r="M261" s="451">
        <f t="shared" si="306"/>
        <v>4.8888888888888982E-2</v>
      </c>
      <c r="N261" s="357">
        <f t="shared" si="307"/>
        <v>0.30434782608695654</v>
      </c>
      <c r="O261" s="357">
        <f t="shared" si="308"/>
        <v>0.34444444444444455</v>
      </c>
      <c r="P261" s="357">
        <f t="shared" si="309"/>
        <v>0.16666666666666674</v>
      </c>
      <c r="Q261" s="357">
        <f t="shared" si="310"/>
        <v>0.1262626262626263</v>
      </c>
      <c r="R261" s="357">
        <f t="shared" si="311"/>
        <v>7.3033707865168607E-2</v>
      </c>
      <c r="S261" s="357">
        <f t="shared" si="312"/>
        <v>1.9354838709677358E-2</v>
      </c>
      <c r="T261" s="357">
        <f t="shared" si="313"/>
        <v>0</v>
      </c>
      <c r="U261" s="379">
        <f t="shared" si="314"/>
        <v>0</v>
      </c>
      <c r="W261" s="451">
        <f t="shared" si="315"/>
        <v>4.7731402821190025E-2</v>
      </c>
      <c r="X261" s="357">
        <f t="shared" si="316"/>
        <v>0.26570316573300568</v>
      </c>
      <c r="Y261" s="357">
        <f t="shared" si="317"/>
        <v>0.2959808752664761</v>
      </c>
      <c r="Z261" s="357">
        <f t="shared" si="318"/>
        <v>0.15415067982725836</v>
      </c>
      <c r="AA261" s="357">
        <f t="shared" si="319"/>
        <v>0.11890474076558355</v>
      </c>
      <c r="AB261" s="357">
        <f t="shared" si="320"/>
        <v>7.0489877754544794E-2</v>
      </c>
      <c r="AC261" s="357">
        <f t="shared" si="321"/>
        <v>1.9169916107720123E-2</v>
      </c>
      <c r="AD261" s="357">
        <f t="shared" si="322"/>
        <v>0</v>
      </c>
      <c r="AE261" s="379">
        <f t="shared" si="323"/>
        <v>0</v>
      </c>
      <c r="AG261" s="451">
        <f t="shared" si="324"/>
        <v>2.7416814211321024E-2</v>
      </c>
      <c r="AH261" s="357">
        <f t="shared" si="325"/>
        <v>0.28323774916968331</v>
      </c>
      <c r="AI261" s="357">
        <f t="shared" si="326"/>
        <v>0.33017923815532929</v>
      </c>
      <c r="AJ261" s="357">
        <f t="shared" si="327"/>
        <v>0.15671807804382848</v>
      </c>
      <c r="AK261" s="357">
        <f t="shared" si="328"/>
        <v>0.11980595297705954</v>
      </c>
      <c r="AL261" s="357">
        <f t="shared" si="329"/>
        <v>7.2586627193118841E-2</v>
      </c>
      <c r="AM261" s="357">
        <f t="shared" si="330"/>
        <v>1.9184191974576457E-2</v>
      </c>
      <c r="AN261" s="357">
        <f t="shared" si="331"/>
        <v>1.9070751392640699E-5</v>
      </c>
      <c r="AO261" s="379">
        <f t="shared" si="332"/>
        <v>5.4711961047645428E-5</v>
      </c>
    </row>
    <row r="262" spans="2:41" x14ac:dyDescent="0.25">
      <c r="B262" s="449">
        <v>44159</v>
      </c>
      <c r="C262">
        <v>492</v>
      </c>
      <c r="D262">
        <v>445</v>
      </c>
      <c r="E262">
        <v>360</v>
      </c>
      <c r="F262">
        <v>265</v>
      </c>
      <c r="G262">
        <v>217</v>
      </c>
      <c r="H262">
        <v>190</v>
      </c>
      <c r="I262">
        <v>158</v>
      </c>
      <c r="J262">
        <v>147</v>
      </c>
      <c r="K262" s="445">
        <v>143</v>
      </c>
      <c r="M262" s="451">
        <f t="shared" si="306"/>
        <v>4.2372881355932313E-2</v>
      </c>
      <c r="N262" s="357">
        <f t="shared" si="307"/>
        <v>-1.1111111111111072E-2</v>
      </c>
      <c r="O262" s="357">
        <f t="shared" si="308"/>
        <v>-8.2644628099173278E-3</v>
      </c>
      <c r="P262" s="357">
        <f t="shared" si="309"/>
        <v>-5.3571428571428603E-2</v>
      </c>
      <c r="Q262" s="357">
        <f t="shared" si="310"/>
        <v>-2.6905829596412523E-2</v>
      </c>
      <c r="R262" s="357">
        <f t="shared" si="311"/>
        <v>-5.2356020942407877E-3</v>
      </c>
      <c r="S262" s="357">
        <f t="shared" si="312"/>
        <v>0</v>
      </c>
      <c r="T262" s="357">
        <f t="shared" si="313"/>
        <v>0</v>
      </c>
      <c r="U262" s="379">
        <f t="shared" si="314"/>
        <v>0</v>
      </c>
      <c r="W262" s="451">
        <f t="shared" si="315"/>
        <v>4.1499730906752838E-2</v>
      </c>
      <c r="X262" s="357">
        <f t="shared" si="316"/>
        <v>-1.1173300598125189E-2</v>
      </c>
      <c r="Y262" s="357">
        <f t="shared" si="317"/>
        <v>-8.2988028146950658E-3</v>
      </c>
      <c r="Z262" s="357">
        <f t="shared" si="318"/>
        <v>-5.5059777183027431E-2</v>
      </c>
      <c r="AA262" s="357">
        <f t="shared" si="319"/>
        <v>-2.7274417919659174E-2</v>
      </c>
      <c r="AB262" s="357">
        <f t="shared" si="320"/>
        <v>-5.2493558861436782E-3</v>
      </c>
      <c r="AC262" s="357">
        <f t="shared" si="321"/>
        <v>0</v>
      </c>
      <c r="AD262" s="357">
        <f t="shared" si="322"/>
        <v>0</v>
      </c>
      <c r="AE262" s="379">
        <f t="shared" si="323"/>
        <v>0</v>
      </c>
      <c r="AG262" s="451">
        <f t="shared" si="324"/>
        <v>2.0900806678364355E-2</v>
      </c>
      <c r="AH262" s="357">
        <f t="shared" si="325"/>
        <v>-3.2221188028384321E-2</v>
      </c>
      <c r="AI262" s="357">
        <f t="shared" si="326"/>
        <v>-2.2529669099032604E-2</v>
      </c>
      <c r="AJ262" s="357">
        <f t="shared" si="327"/>
        <v>-6.3520017194266865E-2</v>
      </c>
      <c r="AK262" s="357">
        <f t="shared" si="328"/>
        <v>-3.336250288197929E-2</v>
      </c>
      <c r="AL262" s="357">
        <f t="shared" si="329"/>
        <v>-5.6826827662905532E-3</v>
      </c>
      <c r="AM262" s="357">
        <f t="shared" si="330"/>
        <v>-1.7064673510089895E-4</v>
      </c>
      <c r="AN262" s="357">
        <f t="shared" si="331"/>
        <v>1.9070751392640699E-5</v>
      </c>
      <c r="AO262" s="379">
        <f t="shared" si="332"/>
        <v>5.4711961047645428E-5</v>
      </c>
    </row>
    <row r="263" spans="2:41" x14ac:dyDescent="0.25">
      <c r="B263" s="449">
        <v>44166</v>
      </c>
      <c r="C263">
        <v>494</v>
      </c>
      <c r="D263">
        <v>340</v>
      </c>
      <c r="E263">
        <v>225</v>
      </c>
      <c r="F263">
        <v>190</v>
      </c>
      <c r="G263">
        <v>175</v>
      </c>
      <c r="H263">
        <v>188</v>
      </c>
      <c r="I263">
        <v>158</v>
      </c>
      <c r="J263">
        <v>147</v>
      </c>
      <c r="K263" s="445">
        <v>143</v>
      </c>
      <c r="M263" s="451">
        <f t="shared" si="306"/>
        <v>4.0650406504065817E-3</v>
      </c>
      <c r="N263" s="357">
        <f t="shared" si="307"/>
        <v>-0.2359550561797753</v>
      </c>
      <c r="O263" s="357">
        <f t="shared" si="308"/>
        <v>-0.375</v>
      </c>
      <c r="P263" s="357">
        <f t="shared" si="309"/>
        <v>-0.28301886792452835</v>
      </c>
      <c r="Q263" s="357">
        <f t="shared" si="310"/>
        <v>-0.19354838709677424</v>
      </c>
      <c r="R263" s="357">
        <f t="shared" si="311"/>
        <v>-1.0526315789473717E-2</v>
      </c>
      <c r="S263" s="357">
        <f t="shared" si="312"/>
        <v>0</v>
      </c>
      <c r="T263" s="357">
        <f t="shared" si="313"/>
        <v>0</v>
      </c>
      <c r="U263" s="379">
        <f t="shared" si="314"/>
        <v>0</v>
      </c>
      <c r="W263" s="451">
        <f t="shared" si="315"/>
        <v>4.056800695614469E-3</v>
      </c>
      <c r="X263" s="357">
        <f t="shared" si="316"/>
        <v>-0.26912866455603318</v>
      </c>
      <c r="Y263" s="357">
        <f t="shared" si="317"/>
        <v>-0.47000362924573558</v>
      </c>
      <c r="Z263" s="357">
        <f t="shared" si="318"/>
        <v>-0.33270575382573614</v>
      </c>
      <c r="AA263" s="357">
        <f t="shared" si="319"/>
        <v>-0.21511137961694557</v>
      </c>
      <c r="AB263" s="357">
        <f t="shared" si="320"/>
        <v>-1.0582109330536972E-2</v>
      </c>
      <c r="AC263" s="357">
        <f t="shared" si="321"/>
        <v>0</v>
      </c>
      <c r="AD263" s="357">
        <f t="shared" si="322"/>
        <v>0</v>
      </c>
      <c r="AE263" s="379">
        <f t="shared" si="323"/>
        <v>0</v>
      </c>
      <c r="AG263" s="451">
        <f t="shared" si="324"/>
        <v>-1.7407034027161376E-2</v>
      </c>
      <c r="AH263" s="357">
        <f t="shared" si="325"/>
        <v>-0.25706513309704854</v>
      </c>
      <c r="AI263" s="357">
        <f t="shared" si="326"/>
        <v>-0.38926520628911526</v>
      </c>
      <c r="AJ263" s="357">
        <f t="shared" si="327"/>
        <v>-0.29296745654736661</v>
      </c>
      <c r="AK263" s="357">
        <f t="shared" si="328"/>
        <v>-0.200005060382341</v>
      </c>
      <c r="AL263" s="357">
        <f t="shared" si="329"/>
        <v>-1.0973396461523482E-2</v>
      </c>
      <c r="AM263" s="357">
        <f t="shared" si="330"/>
        <v>-1.7064673510089895E-4</v>
      </c>
      <c r="AN263" s="357">
        <f t="shared" si="331"/>
        <v>1.9070751392640699E-5</v>
      </c>
      <c r="AO263" s="379">
        <f t="shared" si="332"/>
        <v>5.4711961047645428E-5</v>
      </c>
    </row>
    <row r="264" spans="2:41" x14ac:dyDescent="0.25">
      <c r="B264" s="449">
        <v>44173</v>
      </c>
      <c r="C264">
        <v>283</v>
      </c>
      <c r="D264">
        <v>272</v>
      </c>
      <c r="E264">
        <v>230</v>
      </c>
      <c r="F264">
        <v>211</v>
      </c>
      <c r="G264">
        <v>205</v>
      </c>
      <c r="H264">
        <v>182</v>
      </c>
      <c r="I264">
        <v>158</v>
      </c>
      <c r="J264">
        <v>147</v>
      </c>
      <c r="K264" s="573">
        <v>143</v>
      </c>
      <c r="M264" s="591">
        <f t="shared" si="306"/>
        <v>-0.42712550607287447</v>
      </c>
      <c r="N264" s="357">
        <f t="shared" si="307"/>
        <v>-0.19999999999999996</v>
      </c>
      <c r="O264" s="357">
        <f t="shared" si="308"/>
        <v>2.2222222222222143E-2</v>
      </c>
      <c r="P264" s="357">
        <f t="shared" si="309"/>
        <v>0.11052631578947358</v>
      </c>
      <c r="Q264" s="357">
        <f t="shared" si="310"/>
        <v>0.17142857142857149</v>
      </c>
      <c r="R264" s="357">
        <f t="shared" si="311"/>
        <v>-3.1914893617021267E-2</v>
      </c>
      <c r="S264" s="357">
        <f t="shared" si="312"/>
        <v>0</v>
      </c>
      <c r="T264" s="357">
        <f t="shared" si="313"/>
        <v>0</v>
      </c>
      <c r="U264" s="574">
        <f t="shared" si="314"/>
        <v>0</v>
      </c>
      <c r="W264" s="591">
        <f t="shared" si="315"/>
        <v>-0.5570886195446848</v>
      </c>
      <c r="X264" s="357">
        <f t="shared" si="316"/>
        <v>-0.22314355131420971</v>
      </c>
      <c r="Y264" s="357">
        <f t="shared" si="317"/>
        <v>2.1978906718775167E-2</v>
      </c>
      <c r="Z264" s="357">
        <f t="shared" si="318"/>
        <v>0.10483406131558026</v>
      </c>
      <c r="AA264" s="357">
        <f t="shared" si="319"/>
        <v>0.15822400521489419</v>
      </c>
      <c r="AB264" s="357">
        <f t="shared" si="320"/>
        <v>-3.2435275753153844E-2</v>
      </c>
      <c r="AC264" s="357">
        <f t="shared" si="321"/>
        <v>0</v>
      </c>
      <c r="AD264" s="357">
        <f t="shared" si="322"/>
        <v>0</v>
      </c>
      <c r="AE264" s="574">
        <f t="shared" si="323"/>
        <v>0</v>
      </c>
      <c r="AG264" s="591">
        <f t="shared" si="324"/>
        <v>-0.44859758075044243</v>
      </c>
      <c r="AH264" s="357">
        <f t="shared" si="325"/>
        <v>-0.22111007691727322</v>
      </c>
      <c r="AI264" s="357">
        <f t="shared" si="326"/>
        <v>7.9570159331068691E-3</v>
      </c>
      <c r="AJ264" s="357">
        <f t="shared" si="327"/>
        <v>0.10057772716663532</v>
      </c>
      <c r="AK264" s="357">
        <f t="shared" si="328"/>
        <v>0.16497189814300472</v>
      </c>
      <c r="AL264" s="357">
        <f t="shared" si="329"/>
        <v>-3.2361974289071033E-2</v>
      </c>
      <c r="AM264" s="357">
        <f t="shared" si="330"/>
        <v>-1.7064673510089895E-4</v>
      </c>
      <c r="AN264" s="357">
        <f t="shared" si="331"/>
        <v>1.9070751392640699E-5</v>
      </c>
      <c r="AO264" s="574">
        <f t="shared" si="332"/>
        <v>5.4711961047645428E-5</v>
      </c>
    </row>
    <row r="265" spans="2:41" x14ac:dyDescent="0.25">
      <c r="B265" s="449">
        <v>44180</v>
      </c>
      <c r="C265">
        <v>265</v>
      </c>
      <c r="D265">
        <v>195</v>
      </c>
      <c r="E265">
        <v>178</v>
      </c>
      <c r="F265">
        <v>175</v>
      </c>
      <c r="G265">
        <v>187</v>
      </c>
      <c r="H265">
        <v>179</v>
      </c>
      <c r="I265">
        <v>157</v>
      </c>
      <c r="J265">
        <v>147</v>
      </c>
      <c r="K265" s="573">
        <v>143</v>
      </c>
      <c r="M265" s="591">
        <f t="shared" si="306"/>
        <v>-6.360424028268552E-2</v>
      </c>
      <c r="N265" s="357">
        <f t="shared" si="307"/>
        <v>-0.28308823529411764</v>
      </c>
      <c r="O265" s="357">
        <f t="shared" si="308"/>
        <v>-0.22608695652173916</v>
      </c>
      <c r="P265" s="357">
        <f t="shared" si="309"/>
        <v>-0.17061611374407581</v>
      </c>
      <c r="Q265" s="357">
        <f t="shared" si="310"/>
        <v>-8.7804878048780455E-2</v>
      </c>
      <c r="R265" s="357">
        <f t="shared" si="311"/>
        <v>-1.6483516483516536E-2</v>
      </c>
      <c r="S265" s="357">
        <f t="shared" si="312"/>
        <v>-6.3291139240506666E-3</v>
      </c>
      <c r="T265" s="357">
        <f t="shared" si="313"/>
        <v>0</v>
      </c>
      <c r="U265" s="574">
        <f t="shared" si="314"/>
        <v>0</v>
      </c>
      <c r="W265" s="591">
        <f t="shared" si="315"/>
        <v>-6.571707165701543E-2</v>
      </c>
      <c r="X265" s="357">
        <f t="shared" si="316"/>
        <v>-0.33280250773225051</v>
      </c>
      <c r="Y265" s="357">
        <f t="shared" si="317"/>
        <v>-0.25629575863111026</v>
      </c>
      <c r="Z265" s="357">
        <f t="shared" si="318"/>
        <v>-0.18707215955255244</v>
      </c>
      <c r="AA265" s="357">
        <f t="shared" si="319"/>
        <v>-9.1901362283821522E-2</v>
      </c>
      <c r="AB265" s="357">
        <f t="shared" si="320"/>
        <v>-1.6620881236040407E-2</v>
      </c>
      <c r="AC265" s="357">
        <f t="shared" si="321"/>
        <v>-6.34922767865878E-3</v>
      </c>
      <c r="AD265" s="357">
        <f t="shared" si="322"/>
        <v>0</v>
      </c>
      <c r="AE265" s="574">
        <f t="shared" si="323"/>
        <v>0</v>
      </c>
      <c r="AG265" s="591">
        <f t="shared" si="324"/>
        <v>-8.5076314960253474E-2</v>
      </c>
      <c r="AH265" s="357">
        <f t="shared" si="325"/>
        <v>-0.30419831221139088</v>
      </c>
      <c r="AI265" s="357">
        <f t="shared" si="326"/>
        <v>-0.24035216281085442</v>
      </c>
      <c r="AJ265" s="357">
        <f t="shared" si="327"/>
        <v>-0.18056470236691408</v>
      </c>
      <c r="AK265" s="357">
        <f t="shared" si="328"/>
        <v>-9.4261551334347216E-2</v>
      </c>
      <c r="AL265" s="357">
        <f t="shared" si="329"/>
        <v>-1.6930597155566302E-2</v>
      </c>
      <c r="AM265" s="357">
        <f t="shared" si="330"/>
        <v>-6.4997606591515652E-3</v>
      </c>
      <c r="AN265" s="357">
        <f t="shared" si="331"/>
        <v>1.9070751392640699E-5</v>
      </c>
      <c r="AO265" s="574">
        <f t="shared" si="332"/>
        <v>5.4711961047645428E-5</v>
      </c>
    </row>
    <row r="266" spans="2:41" x14ac:dyDescent="0.25">
      <c r="B266" s="449">
        <v>44187</v>
      </c>
      <c r="C266">
        <v>267</v>
      </c>
      <c r="D266">
        <v>235</v>
      </c>
      <c r="E266">
        <v>220</v>
      </c>
      <c r="F266">
        <v>198</v>
      </c>
      <c r="G266">
        <v>206</v>
      </c>
      <c r="H266">
        <v>183</v>
      </c>
      <c r="I266">
        <v>158</v>
      </c>
      <c r="J266">
        <v>147</v>
      </c>
      <c r="K266" s="573">
        <v>143</v>
      </c>
      <c r="M266" s="591">
        <f t="shared" si="306"/>
        <v>7.547169811320753E-3</v>
      </c>
      <c r="N266" s="357">
        <f t="shared" si="307"/>
        <v>0.20512820512820507</v>
      </c>
      <c r="O266" s="357">
        <f t="shared" si="308"/>
        <v>0.23595505617977519</v>
      </c>
      <c r="P266" s="357">
        <f t="shared" si="309"/>
        <v>0.13142857142857145</v>
      </c>
      <c r="Q266" s="357">
        <f t="shared" si="310"/>
        <v>0.10160427807486627</v>
      </c>
      <c r="R266" s="357">
        <f t="shared" si="311"/>
        <v>2.2346368715083775E-2</v>
      </c>
      <c r="S266" s="357">
        <f t="shared" si="312"/>
        <v>6.3694267515923553E-3</v>
      </c>
      <c r="T266" s="357">
        <f t="shared" si="313"/>
        <v>0</v>
      </c>
      <c r="U266" s="574">
        <f t="shared" si="314"/>
        <v>0</v>
      </c>
      <c r="W266" s="591">
        <f t="shared" si="315"/>
        <v>7.518832414027319E-3</v>
      </c>
      <c r="X266" s="357">
        <f t="shared" si="316"/>
        <v>0.18658595558041211</v>
      </c>
      <c r="Y266" s="357">
        <f t="shared" si="317"/>
        <v>0.21184399606027632</v>
      </c>
      <c r="Z266" s="357">
        <f t="shared" si="318"/>
        <v>0.1234810567710212</v>
      </c>
      <c r="AA266" s="357">
        <f t="shared" si="319"/>
        <v>9.6767551934994422E-2</v>
      </c>
      <c r="AB266" s="357">
        <f t="shared" si="320"/>
        <v>2.2100347000665922E-2</v>
      </c>
      <c r="AC266" s="357">
        <f t="shared" si="321"/>
        <v>6.3492276786587445E-3</v>
      </c>
      <c r="AD266" s="357">
        <f t="shared" si="322"/>
        <v>0</v>
      </c>
      <c r="AE266" s="574">
        <f t="shared" si="323"/>
        <v>0</v>
      </c>
      <c r="AG266" s="591">
        <f t="shared" si="324"/>
        <v>-1.3924904866247204E-2</v>
      </c>
      <c r="AH266" s="357">
        <f t="shared" si="325"/>
        <v>0.1840181282109318</v>
      </c>
      <c r="AI266" s="357">
        <f t="shared" si="326"/>
        <v>0.22168984989065993</v>
      </c>
      <c r="AJ266" s="357">
        <f t="shared" si="327"/>
        <v>0.12147998280573319</v>
      </c>
      <c r="AK266" s="357">
        <f t="shared" si="328"/>
        <v>9.5147604789299511E-2</v>
      </c>
      <c r="AL266" s="357">
        <f t="shared" si="329"/>
        <v>2.189928804303401E-2</v>
      </c>
      <c r="AM266" s="357">
        <f t="shared" si="330"/>
        <v>6.1987800164914567E-3</v>
      </c>
      <c r="AN266" s="357">
        <f t="shared" si="331"/>
        <v>1.9070751392640699E-5</v>
      </c>
      <c r="AO266" s="574">
        <f t="shared" si="332"/>
        <v>5.4711961047645428E-5</v>
      </c>
    </row>
    <row r="267" spans="2:41" x14ac:dyDescent="0.25">
      <c r="B267" s="449">
        <v>44194</v>
      </c>
      <c r="C267">
        <v>266</v>
      </c>
      <c r="D267">
        <v>270</v>
      </c>
      <c r="E267">
        <v>225</v>
      </c>
      <c r="F267">
        <v>190</v>
      </c>
      <c r="G267">
        <v>206</v>
      </c>
      <c r="H267">
        <v>183</v>
      </c>
      <c r="I267">
        <v>158</v>
      </c>
      <c r="J267">
        <v>147</v>
      </c>
      <c r="K267" s="573">
        <v>145</v>
      </c>
      <c r="M267" s="591">
        <f t="shared" si="306"/>
        <v>-3.7453183520599342E-3</v>
      </c>
      <c r="N267" s="357">
        <f t="shared" si="307"/>
        <v>0.14893617021276606</v>
      </c>
      <c r="O267" s="357">
        <f t="shared" si="308"/>
        <v>2.2727272727272707E-2</v>
      </c>
      <c r="P267" s="357">
        <f t="shared" si="309"/>
        <v>-4.0404040404040442E-2</v>
      </c>
      <c r="Q267" s="357">
        <f t="shared" si="310"/>
        <v>0</v>
      </c>
      <c r="R267" s="357">
        <f t="shared" si="311"/>
        <v>0</v>
      </c>
      <c r="S267" s="357">
        <f t="shared" si="312"/>
        <v>0</v>
      </c>
      <c r="T267" s="357">
        <f t="shared" si="313"/>
        <v>0</v>
      </c>
      <c r="U267" s="574">
        <f t="shared" si="314"/>
        <v>1.3986013986013957E-2</v>
      </c>
      <c r="W267" s="591">
        <f t="shared" si="315"/>
        <v>-3.7523496185504642E-3</v>
      </c>
      <c r="X267" s="357">
        <f t="shared" si="316"/>
        <v>0.1388364448542159</v>
      </c>
      <c r="Y267" s="357">
        <f t="shared" si="317"/>
        <v>2.2472855852058576E-2</v>
      </c>
      <c r="Z267" s="357">
        <f t="shared" si="318"/>
        <v>-4.1242958534049134E-2</v>
      </c>
      <c r="AA267" s="357">
        <f t="shared" si="319"/>
        <v>0</v>
      </c>
      <c r="AB267" s="357">
        <f t="shared" si="320"/>
        <v>0</v>
      </c>
      <c r="AC267" s="357">
        <f t="shared" si="321"/>
        <v>0</v>
      </c>
      <c r="AD267" s="357">
        <f t="shared" si="322"/>
        <v>0</v>
      </c>
      <c r="AE267" s="574">
        <f t="shared" si="323"/>
        <v>1.3889112160667093E-2</v>
      </c>
      <c r="AG267" s="591">
        <f t="shared" si="324"/>
        <v>-2.5217393029627892E-2</v>
      </c>
      <c r="AH267" s="357">
        <f t="shared" si="325"/>
        <v>0.1278260932954928</v>
      </c>
      <c r="AI267" s="357">
        <f t="shared" si="326"/>
        <v>8.4620664381574329E-3</v>
      </c>
      <c r="AJ267" s="357">
        <f t="shared" si="327"/>
        <v>-5.0352629026878704E-2</v>
      </c>
      <c r="AK267" s="357">
        <f t="shared" si="328"/>
        <v>-6.4566732855667669E-3</v>
      </c>
      <c r="AL267" s="357">
        <f t="shared" si="329"/>
        <v>-4.4708067204976532E-4</v>
      </c>
      <c r="AM267" s="357">
        <f t="shared" si="330"/>
        <v>-1.7064673510089895E-4</v>
      </c>
      <c r="AN267" s="357">
        <f t="shared" si="331"/>
        <v>1.9070751392640699E-5</v>
      </c>
      <c r="AO267" s="574">
        <f t="shared" si="332"/>
        <v>1.4040725947061601E-2</v>
      </c>
    </row>
    <row r="268" spans="2:41" x14ac:dyDescent="0.25">
      <c r="B268" s="449">
        <v>44201</v>
      </c>
      <c r="C268">
        <v>264</v>
      </c>
      <c r="D268">
        <v>216</v>
      </c>
      <c r="E268">
        <v>183</v>
      </c>
      <c r="F268">
        <v>145</v>
      </c>
      <c r="G268">
        <v>205</v>
      </c>
      <c r="H268">
        <v>187</v>
      </c>
      <c r="I268">
        <v>159</v>
      </c>
      <c r="J268">
        <v>149</v>
      </c>
      <c r="K268" s="573">
        <v>145</v>
      </c>
      <c r="M268" s="591">
        <f t="shared" si="306"/>
        <v>-7.5187969924812581E-3</v>
      </c>
      <c r="N268" s="357">
        <f t="shared" si="307"/>
        <v>-0.19999999999999996</v>
      </c>
      <c r="O268" s="357">
        <f t="shared" si="308"/>
        <v>-0.18666666666666665</v>
      </c>
      <c r="P268" s="357">
        <f t="shared" si="309"/>
        <v>-0.23684210526315785</v>
      </c>
      <c r="Q268" s="357">
        <f t="shared" si="310"/>
        <v>-4.8543689320388328E-3</v>
      </c>
      <c r="R268" s="357">
        <f t="shared" si="311"/>
        <v>2.1857923497267784E-2</v>
      </c>
      <c r="S268" s="357">
        <f t="shared" si="312"/>
        <v>6.3291139240506666E-3</v>
      </c>
      <c r="T268" s="357">
        <f t="shared" si="313"/>
        <v>1.3605442176870763E-2</v>
      </c>
      <c r="U268" s="574">
        <f t="shared" si="314"/>
        <v>0</v>
      </c>
      <c r="W268" s="591">
        <f t="shared" si="315"/>
        <v>-7.5472056353829663E-3</v>
      </c>
      <c r="X268" s="357">
        <f t="shared" si="316"/>
        <v>-0.22314355131420971</v>
      </c>
      <c r="Y268" s="357">
        <f t="shared" si="317"/>
        <v>-0.20661424936299916</v>
      </c>
      <c r="Z268" s="357">
        <f t="shared" si="318"/>
        <v>-0.27029032973991168</v>
      </c>
      <c r="AA268" s="357">
        <f t="shared" si="319"/>
        <v>-4.8661896511728994E-3</v>
      </c>
      <c r="AB268" s="357">
        <f t="shared" si="320"/>
        <v>2.1622464013165709E-2</v>
      </c>
      <c r="AC268" s="357">
        <f t="shared" si="321"/>
        <v>6.3091691932647556E-3</v>
      </c>
      <c r="AD268" s="357">
        <f t="shared" si="322"/>
        <v>1.3513719166722855E-2</v>
      </c>
      <c r="AE268" s="574">
        <f t="shared" si="323"/>
        <v>0</v>
      </c>
      <c r="AG268" s="591">
        <f t="shared" si="324"/>
        <v>-2.8990871670049215E-2</v>
      </c>
      <c r="AH268" s="357">
        <f t="shared" si="325"/>
        <v>-0.22111007691727322</v>
      </c>
      <c r="AI268" s="357">
        <f t="shared" si="326"/>
        <v>-0.20093187295578191</v>
      </c>
      <c r="AJ268" s="357">
        <f t="shared" si="327"/>
        <v>-0.24679069388599612</v>
      </c>
      <c r="AK268" s="357">
        <f t="shared" si="328"/>
        <v>-1.1311042217605601E-2</v>
      </c>
      <c r="AL268" s="357">
        <f t="shared" si="329"/>
        <v>2.1410842825218018E-2</v>
      </c>
      <c r="AM268" s="357">
        <f t="shared" si="330"/>
        <v>6.1584671889497681E-3</v>
      </c>
      <c r="AN268" s="357">
        <f t="shared" si="331"/>
        <v>1.3624512928263404E-2</v>
      </c>
      <c r="AO268" s="574">
        <f t="shared" si="332"/>
        <v>5.4711961047645428E-5</v>
      </c>
    </row>
    <row r="269" spans="2:41" x14ac:dyDescent="0.25">
      <c r="B269" s="449">
        <v>44208</v>
      </c>
      <c r="C269">
        <v>280</v>
      </c>
      <c r="D269">
        <v>285</v>
      </c>
      <c r="E269">
        <v>265</v>
      </c>
      <c r="F269">
        <v>188</v>
      </c>
      <c r="G269">
        <v>234</v>
      </c>
      <c r="H269">
        <v>188</v>
      </c>
      <c r="I269">
        <v>160</v>
      </c>
      <c r="J269">
        <v>150</v>
      </c>
      <c r="K269" s="573">
        <v>146</v>
      </c>
      <c r="M269" s="591">
        <f t="shared" si="306"/>
        <v>6.0606060606060552E-2</v>
      </c>
      <c r="N269" s="357">
        <f t="shared" si="307"/>
        <v>0.31944444444444442</v>
      </c>
      <c r="O269" s="357">
        <f t="shared" si="308"/>
        <v>0.44808743169398912</v>
      </c>
      <c r="P269" s="357">
        <f t="shared" si="309"/>
        <v>0.29655172413793096</v>
      </c>
      <c r="Q269" s="357">
        <f t="shared" si="310"/>
        <v>0.14146341463414625</v>
      </c>
      <c r="R269" s="357">
        <f t="shared" si="311"/>
        <v>5.3475935828877219E-3</v>
      </c>
      <c r="S269" s="357">
        <f t="shared" si="312"/>
        <v>6.2893081761006275E-3</v>
      </c>
      <c r="T269" s="357">
        <f t="shared" si="313"/>
        <v>6.7114093959732557E-3</v>
      </c>
      <c r="U269" s="574">
        <f t="shared" si="314"/>
        <v>6.8965517241379448E-3</v>
      </c>
      <c r="W269" s="591">
        <f t="shared" si="315"/>
        <v>5.8840500022933395E-2</v>
      </c>
      <c r="X269" s="357">
        <f t="shared" si="316"/>
        <v>0.27721077258448551</v>
      </c>
      <c r="Y269" s="357">
        <f t="shared" si="317"/>
        <v>0.37024367314480133</v>
      </c>
      <c r="Z269" s="357">
        <f t="shared" si="318"/>
        <v>0.25970822040937475</v>
      </c>
      <c r="AA269" s="357">
        <f t="shared" si="319"/>
        <v>0.13231113621929316</v>
      </c>
      <c r="AB269" s="357">
        <f t="shared" si="320"/>
        <v>5.3333459753626029E-3</v>
      </c>
      <c r="AC269" s="357">
        <f t="shared" si="321"/>
        <v>6.269613013595395E-3</v>
      </c>
      <c r="AD269" s="357">
        <f t="shared" si="322"/>
        <v>6.6889881507967101E-3</v>
      </c>
      <c r="AE269" s="574">
        <f t="shared" si="323"/>
        <v>6.8728792877620504E-3</v>
      </c>
      <c r="AG269" s="591">
        <f t="shared" si="324"/>
        <v>3.9133985928492598E-2</v>
      </c>
      <c r="AH269" s="357">
        <f t="shared" si="325"/>
        <v>0.29833436752717118</v>
      </c>
      <c r="AI269" s="357">
        <f t="shared" si="326"/>
        <v>0.43382222540487386</v>
      </c>
      <c r="AJ269" s="357">
        <f t="shared" si="327"/>
        <v>0.2866031355150927</v>
      </c>
      <c r="AK269" s="357">
        <f t="shared" si="328"/>
        <v>0.13500674134857948</v>
      </c>
      <c r="AL269" s="357">
        <f t="shared" si="329"/>
        <v>4.9005129108379564E-3</v>
      </c>
      <c r="AM269" s="357">
        <f t="shared" si="330"/>
        <v>6.118661440999729E-3</v>
      </c>
      <c r="AN269" s="357">
        <f t="shared" si="331"/>
        <v>6.730480147365896E-3</v>
      </c>
      <c r="AO269" s="574">
        <f t="shared" si="332"/>
        <v>6.9512636851855906E-3</v>
      </c>
    </row>
    <row r="270" spans="2:41" x14ac:dyDescent="0.25">
      <c r="B270" s="449">
        <v>44215</v>
      </c>
      <c r="C270">
        <v>265</v>
      </c>
      <c r="D270">
        <v>233</v>
      </c>
      <c r="E270">
        <v>233</v>
      </c>
      <c r="F270">
        <v>174</v>
      </c>
      <c r="G270">
        <v>228</v>
      </c>
      <c r="H270">
        <v>197</v>
      </c>
      <c r="I270">
        <v>165</v>
      </c>
      <c r="J270">
        <v>151</v>
      </c>
      <c r="K270" s="573">
        <v>146</v>
      </c>
      <c r="M270" s="591">
        <f t="shared" si="306"/>
        <v>-5.3571428571428603E-2</v>
      </c>
      <c r="N270" s="357">
        <f t="shared" si="307"/>
        <v>-0.18245614035087721</v>
      </c>
      <c r="O270" s="357">
        <f t="shared" si="308"/>
        <v>-0.12075471698113205</v>
      </c>
      <c r="P270" s="357">
        <f t="shared" si="309"/>
        <v>-7.4468085106383031E-2</v>
      </c>
      <c r="Q270" s="357">
        <f t="shared" si="310"/>
        <v>-2.5641025641025661E-2</v>
      </c>
      <c r="R270" s="357">
        <f t="shared" si="311"/>
        <v>4.7872340425531901E-2</v>
      </c>
      <c r="S270" s="357">
        <f t="shared" si="312"/>
        <v>3.125E-2</v>
      </c>
      <c r="T270" s="357">
        <f t="shared" si="313"/>
        <v>6.6666666666665986E-3</v>
      </c>
      <c r="U270" s="574">
        <f t="shared" si="314"/>
        <v>0</v>
      </c>
      <c r="W270" s="591">
        <f t="shared" si="315"/>
        <v>-5.5059777183027431E-2</v>
      </c>
      <c r="X270" s="357">
        <f t="shared" si="316"/>
        <v>-0.20145072670294997</v>
      </c>
      <c r="Y270" s="357">
        <f t="shared" si="317"/>
        <v>-0.12869137242052162</v>
      </c>
      <c r="Z270" s="357">
        <f t="shared" si="318"/>
        <v>-7.7386663615420237E-2</v>
      </c>
      <c r="AA270" s="357">
        <f t="shared" si="319"/>
        <v>-2.5975486403260677E-2</v>
      </c>
      <c r="AB270" s="357">
        <f t="shared" si="320"/>
        <v>4.6761765908039286E-2</v>
      </c>
      <c r="AC270" s="357">
        <f t="shared" si="321"/>
        <v>3.0771658666753687E-2</v>
      </c>
      <c r="AD270" s="357">
        <f t="shared" si="322"/>
        <v>6.6445427186685108E-3</v>
      </c>
      <c r="AE270" s="574">
        <f t="shared" si="323"/>
        <v>0</v>
      </c>
      <c r="AG270" s="591">
        <f t="shared" si="324"/>
        <v>-7.5043503248996557E-2</v>
      </c>
      <c r="AH270" s="357">
        <f t="shared" si="325"/>
        <v>-0.20356621726815047</v>
      </c>
      <c r="AI270" s="357">
        <f t="shared" si="326"/>
        <v>-0.13501992327024731</v>
      </c>
      <c r="AJ270" s="357">
        <f t="shared" si="327"/>
        <v>-8.4416673729221292E-2</v>
      </c>
      <c r="AK270" s="357">
        <f t="shared" si="328"/>
        <v>-3.2097698926592429E-2</v>
      </c>
      <c r="AL270" s="357">
        <f t="shared" si="329"/>
        <v>4.7425259753482135E-2</v>
      </c>
      <c r="AM270" s="357">
        <f t="shared" si="330"/>
        <v>3.10793532648991E-2</v>
      </c>
      <c r="AN270" s="357">
        <f t="shared" si="331"/>
        <v>6.6857374180592389E-3</v>
      </c>
      <c r="AO270" s="574">
        <f t="shared" si="332"/>
        <v>5.4711961047645428E-5</v>
      </c>
    </row>
    <row r="271" spans="2:41" x14ac:dyDescent="0.25">
      <c r="B271" s="449">
        <v>44222</v>
      </c>
      <c r="C271">
        <v>247</v>
      </c>
      <c r="D271">
        <v>200</v>
      </c>
      <c r="E271">
        <v>220</v>
      </c>
      <c r="F271">
        <v>173</v>
      </c>
      <c r="G271">
        <v>225</v>
      </c>
      <c r="H271">
        <v>192</v>
      </c>
      <c r="I271">
        <v>166</v>
      </c>
      <c r="J271">
        <v>153</v>
      </c>
      <c r="K271" s="573">
        <v>146</v>
      </c>
      <c r="M271" s="591">
        <f t="shared" si="306"/>
        <v>-6.7924528301886777E-2</v>
      </c>
      <c r="N271" s="357">
        <f t="shared" si="307"/>
        <v>-0.14163090128755362</v>
      </c>
      <c r="O271" s="357">
        <f t="shared" si="308"/>
        <v>-5.579399141630903E-2</v>
      </c>
      <c r="P271" s="357">
        <f t="shared" si="309"/>
        <v>-5.7471264367816577E-3</v>
      </c>
      <c r="Q271" s="357">
        <f t="shared" si="310"/>
        <v>-1.3157894736842146E-2</v>
      </c>
      <c r="R271" s="357">
        <f t="shared" si="311"/>
        <v>-2.5380710659898442E-2</v>
      </c>
      <c r="S271" s="357">
        <f t="shared" si="312"/>
        <v>6.0606060606060996E-3</v>
      </c>
      <c r="T271" s="357">
        <f t="shared" si="313"/>
        <v>1.3245033112582849E-2</v>
      </c>
      <c r="U271" s="574">
        <f t="shared" si="314"/>
        <v>0</v>
      </c>
      <c r="W271" s="591">
        <f t="shared" si="315"/>
        <v>-7.0341489358244996E-2</v>
      </c>
      <c r="X271" s="357">
        <f t="shared" si="316"/>
        <v>-0.15272108701766385</v>
      </c>
      <c r="Y271" s="357">
        <f t="shared" si="317"/>
        <v>-5.7410907213339045E-2</v>
      </c>
      <c r="Z271" s="357">
        <f t="shared" si="318"/>
        <v>-5.7637047167501294E-3</v>
      </c>
      <c r="AA271" s="357">
        <f t="shared" si="319"/>
        <v>-1.324522675002068E-2</v>
      </c>
      <c r="AB271" s="357">
        <f t="shared" si="320"/>
        <v>-2.5708356710206923E-2</v>
      </c>
      <c r="AC271" s="357">
        <f t="shared" si="321"/>
        <v>6.0423144559626617E-3</v>
      </c>
      <c r="AD271" s="357">
        <f t="shared" si="322"/>
        <v>1.3158084577511201E-2</v>
      </c>
      <c r="AE271" s="574">
        <f t="shared" si="323"/>
        <v>0</v>
      </c>
      <c r="AG271" s="591">
        <f t="shared" si="324"/>
        <v>-8.9396602979454731E-2</v>
      </c>
      <c r="AH271" s="357">
        <f t="shared" si="325"/>
        <v>-0.16274097820482689</v>
      </c>
      <c r="AI271" s="357">
        <f t="shared" si="326"/>
        <v>-7.0059197705424306E-2</v>
      </c>
      <c r="AJ271" s="357">
        <f t="shared" si="327"/>
        <v>-1.5695715059619923E-2</v>
      </c>
      <c r="AK271" s="357">
        <f t="shared" si="328"/>
        <v>-1.9614568022408914E-2</v>
      </c>
      <c r="AL271" s="357">
        <f t="shared" si="329"/>
        <v>-2.5827791331948208E-2</v>
      </c>
      <c r="AM271" s="357">
        <f t="shared" si="330"/>
        <v>5.8899593255052011E-3</v>
      </c>
      <c r="AN271" s="357">
        <f t="shared" si="331"/>
        <v>1.3264103863975489E-2</v>
      </c>
      <c r="AO271" s="574">
        <f t="shared" si="332"/>
        <v>5.4711961047645428E-5</v>
      </c>
    </row>
    <row r="272" spans="2:41" x14ac:dyDescent="0.25">
      <c r="B272" s="449">
        <v>44229</v>
      </c>
      <c r="C272">
        <v>170</v>
      </c>
      <c r="D272">
        <v>185</v>
      </c>
      <c r="E272">
        <v>155</v>
      </c>
      <c r="F272">
        <v>153</v>
      </c>
      <c r="G272">
        <v>220</v>
      </c>
      <c r="H272">
        <v>195</v>
      </c>
      <c r="I272">
        <v>165</v>
      </c>
      <c r="J272">
        <v>153</v>
      </c>
      <c r="K272" s="573">
        <v>146</v>
      </c>
      <c r="M272" s="591">
        <f t="shared" si="306"/>
        <v>-0.31174089068825916</v>
      </c>
      <c r="N272" s="357">
        <f t="shared" si="307"/>
        <v>-7.4999999999999956E-2</v>
      </c>
      <c r="O272" s="357">
        <f t="shared" si="308"/>
        <v>-0.29545454545454541</v>
      </c>
      <c r="P272" s="357">
        <f t="shared" si="309"/>
        <v>-0.11560693641618502</v>
      </c>
      <c r="Q272" s="357">
        <f t="shared" si="310"/>
        <v>-2.2222222222222254E-2</v>
      </c>
      <c r="R272" s="357">
        <f t="shared" si="311"/>
        <v>1.5625E-2</v>
      </c>
      <c r="S272" s="357">
        <f t="shared" si="312"/>
        <v>-6.0240963855421326E-3</v>
      </c>
      <c r="T272" s="357">
        <f t="shared" si="313"/>
        <v>0</v>
      </c>
      <c r="U272" s="574">
        <f t="shared" si="314"/>
        <v>0</v>
      </c>
      <c r="W272" s="591">
        <f t="shared" si="315"/>
        <v>-0.37358989957771549</v>
      </c>
      <c r="X272" s="357">
        <f t="shared" si="316"/>
        <v>-7.7961541469711806E-2</v>
      </c>
      <c r="Y272" s="357">
        <f t="shared" si="317"/>
        <v>-0.35020242943311486</v>
      </c>
      <c r="Z272" s="357">
        <f t="shared" si="318"/>
        <v>-0.12285367310534355</v>
      </c>
      <c r="AA272" s="357">
        <f t="shared" si="319"/>
        <v>-2.2472855852058628E-2</v>
      </c>
      <c r="AB272" s="357">
        <f t="shared" si="320"/>
        <v>1.5504186535965254E-2</v>
      </c>
      <c r="AC272" s="357">
        <f t="shared" si="321"/>
        <v>-6.0423144559625863E-3</v>
      </c>
      <c r="AD272" s="357">
        <f t="shared" si="322"/>
        <v>0</v>
      </c>
      <c r="AE272" s="574">
        <f t="shared" si="323"/>
        <v>0</v>
      </c>
      <c r="AG272" s="591">
        <f t="shared" si="324"/>
        <v>-0.33321296536582712</v>
      </c>
      <c r="AH272" s="357">
        <f t="shared" si="325"/>
        <v>-9.6110076917273204E-2</v>
      </c>
      <c r="AI272" s="357">
        <f t="shared" si="326"/>
        <v>-0.30971975174366068</v>
      </c>
      <c r="AJ272" s="357">
        <f t="shared" si="327"/>
        <v>-0.12555552503902329</v>
      </c>
      <c r="AK272" s="357">
        <f t="shared" si="328"/>
        <v>-2.8678895507789022E-2</v>
      </c>
      <c r="AL272" s="357">
        <f t="shared" si="329"/>
        <v>1.5177919327950234E-2</v>
      </c>
      <c r="AM272" s="357">
        <f t="shared" si="330"/>
        <v>-6.1947431206430311E-3</v>
      </c>
      <c r="AN272" s="357">
        <f t="shared" si="331"/>
        <v>1.9070751392640699E-5</v>
      </c>
      <c r="AO272" s="574">
        <f t="shared" si="332"/>
        <v>5.4711961047645428E-5</v>
      </c>
    </row>
    <row r="273" spans="2:41" x14ac:dyDescent="0.25">
      <c r="B273" s="449">
        <v>44236</v>
      </c>
      <c r="C273">
        <v>174</v>
      </c>
      <c r="D273">
        <v>187</v>
      </c>
      <c r="E273">
        <v>155</v>
      </c>
      <c r="F273">
        <v>153</v>
      </c>
      <c r="G273">
        <v>222</v>
      </c>
      <c r="H273">
        <v>194</v>
      </c>
      <c r="I273">
        <v>165</v>
      </c>
      <c r="J273">
        <v>154</v>
      </c>
      <c r="K273" s="573">
        <v>146</v>
      </c>
      <c r="M273" s="591">
        <f t="shared" si="306"/>
        <v>2.3529411764705799E-2</v>
      </c>
      <c r="N273" s="357">
        <f t="shared" si="307"/>
        <v>1.08108108108107E-2</v>
      </c>
      <c r="O273" s="357">
        <f t="shared" si="308"/>
        <v>0</v>
      </c>
      <c r="P273" s="357">
        <f t="shared" si="309"/>
        <v>0</v>
      </c>
      <c r="Q273" s="357">
        <f t="shared" si="310"/>
        <v>9.0909090909090384E-3</v>
      </c>
      <c r="R273" s="357">
        <f t="shared" si="311"/>
        <v>-5.12820512820511E-3</v>
      </c>
      <c r="S273" s="357">
        <f t="shared" si="312"/>
        <v>0</v>
      </c>
      <c r="T273" s="357">
        <f t="shared" si="313"/>
        <v>6.5359477124182774E-3</v>
      </c>
      <c r="U273" s="574">
        <f t="shared" si="314"/>
        <v>0</v>
      </c>
      <c r="W273" s="591">
        <f t="shared" si="315"/>
        <v>2.3256862164267183E-2</v>
      </c>
      <c r="X273" s="357">
        <f t="shared" si="316"/>
        <v>1.0752791776261697E-2</v>
      </c>
      <c r="Y273" s="357">
        <f t="shared" si="317"/>
        <v>0</v>
      </c>
      <c r="Z273" s="357">
        <f t="shared" si="318"/>
        <v>0</v>
      </c>
      <c r="AA273" s="357">
        <f t="shared" si="319"/>
        <v>9.0498355199178562E-3</v>
      </c>
      <c r="AB273" s="357">
        <f t="shared" si="320"/>
        <v>-5.1413995004186523E-3</v>
      </c>
      <c r="AC273" s="357">
        <f t="shared" si="321"/>
        <v>0</v>
      </c>
      <c r="AD273" s="357">
        <f t="shared" si="322"/>
        <v>6.5146810211936723E-3</v>
      </c>
      <c r="AE273" s="574">
        <f t="shared" si="323"/>
        <v>0</v>
      </c>
      <c r="AG273" s="591">
        <f t="shared" si="324"/>
        <v>2.0573370871378414E-3</v>
      </c>
      <c r="AH273" s="357">
        <f t="shared" si="325"/>
        <v>-1.0299266106462552E-2</v>
      </c>
      <c r="AI273" s="357">
        <f t="shared" si="326"/>
        <v>-1.4265206289115274E-2</v>
      </c>
      <c r="AJ273" s="357">
        <f t="shared" si="327"/>
        <v>-9.9485886228382649E-3</v>
      </c>
      <c r="AK273" s="357">
        <f t="shared" si="328"/>
        <v>2.6342358053422716E-3</v>
      </c>
      <c r="AL273" s="357">
        <f t="shared" si="329"/>
        <v>-5.5752858002548755E-3</v>
      </c>
      <c r="AM273" s="357">
        <f t="shared" si="330"/>
        <v>-1.7064673510089895E-4</v>
      </c>
      <c r="AN273" s="357">
        <f t="shared" si="331"/>
        <v>6.5550184638109178E-3</v>
      </c>
      <c r="AO273" s="574">
        <f t="shared" si="332"/>
        <v>5.4711961047645428E-5</v>
      </c>
    </row>
    <row r="274" spans="2:41" x14ac:dyDescent="0.25">
      <c r="B274" s="449">
        <v>44243</v>
      </c>
      <c r="C274">
        <v>172</v>
      </c>
      <c r="D274">
        <v>179</v>
      </c>
      <c r="E274">
        <v>157</v>
      </c>
      <c r="F274">
        <v>150</v>
      </c>
      <c r="G274">
        <v>218</v>
      </c>
      <c r="H274">
        <v>195</v>
      </c>
      <c r="I274">
        <v>165</v>
      </c>
      <c r="J274">
        <v>153</v>
      </c>
      <c r="K274" s="573">
        <v>146</v>
      </c>
      <c r="M274" s="591">
        <f t="shared" si="306"/>
        <v>-1.1494252873563204E-2</v>
      </c>
      <c r="N274" s="357">
        <f t="shared" si="307"/>
        <v>-4.2780748663101553E-2</v>
      </c>
      <c r="O274" s="357">
        <f t="shared" si="308"/>
        <v>1.2903225806451646E-2</v>
      </c>
      <c r="P274" s="357">
        <f t="shared" si="309"/>
        <v>-1.9607843137254943E-2</v>
      </c>
      <c r="Q274" s="357">
        <f t="shared" si="310"/>
        <v>-1.8018018018018056E-2</v>
      </c>
      <c r="R274" s="357">
        <f t="shared" si="311"/>
        <v>5.1546391752577136E-3</v>
      </c>
      <c r="S274" s="357">
        <f t="shared" si="312"/>
        <v>0</v>
      </c>
      <c r="T274" s="357">
        <f t="shared" si="313"/>
        <v>-6.4935064935064402E-3</v>
      </c>
      <c r="U274" s="574">
        <f t="shared" si="314"/>
        <v>0</v>
      </c>
      <c r="W274" s="591">
        <f t="shared" si="315"/>
        <v>-1.1560822401075971E-2</v>
      </c>
      <c r="X274" s="357">
        <f t="shared" si="316"/>
        <v>-4.3722811013831575E-2</v>
      </c>
      <c r="Y274" s="357">
        <f t="shared" si="317"/>
        <v>1.2820688429061469E-2</v>
      </c>
      <c r="Z274" s="357">
        <f t="shared" si="318"/>
        <v>-1.9802627296179754E-2</v>
      </c>
      <c r="AA274" s="357">
        <f t="shared" si="319"/>
        <v>-1.8182319083190474E-2</v>
      </c>
      <c r="AB274" s="357">
        <f t="shared" si="320"/>
        <v>5.1413995004186523E-3</v>
      </c>
      <c r="AC274" s="357">
        <f t="shared" si="321"/>
        <v>0</v>
      </c>
      <c r="AD274" s="357">
        <f t="shared" si="322"/>
        <v>-6.5146810211936419E-3</v>
      </c>
      <c r="AE274" s="574">
        <f t="shared" si="323"/>
        <v>0</v>
      </c>
      <c r="AG274" s="591">
        <f t="shared" si="324"/>
        <v>-3.2966327551131158E-2</v>
      </c>
      <c r="AH274" s="357">
        <f t="shared" si="325"/>
        <v>-6.3890825580374802E-2</v>
      </c>
      <c r="AI274" s="357">
        <f t="shared" si="326"/>
        <v>-1.3619804826636283E-3</v>
      </c>
      <c r="AJ274" s="357">
        <f t="shared" si="327"/>
        <v>-2.9556431760093208E-2</v>
      </c>
      <c r="AK274" s="357">
        <f t="shared" si="328"/>
        <v>-2.4474691303584824E-2</v>
      </c>
      <c r="AL274" s="357">
        <f t="shared" si="329"/>
        <v>4.7075585032079481E-3</v>
      </c>
      <c r="AM274" s="357">
        <f t="shared" si="330"/>
        <v>-1.7064673510089895E-4</v>
      </c>
      <c r="AN274" s="357">
        <f t="shared" si="331"/>
        <v>-6.4744357421137998E-3</v>
      </c>
      <c r="AO274" s="574">
        <f t="shared" si="332"/>
        <v>5.4711961047645428E-5</v>
      </c>
    </row>
    <row r="275" spans="2:41" x14ac:dyDescent="0.25">
      <c r="B275" s="449">
        <v>44250</v>
      </c>
      <c r="C275">
        <v>170</v>
      </c>
      <c r="D275">
        <v>150</v>
      </c>
      <c r="E275">
        <v>138</v>
      </c>
      <c r="F275">
        <v>127</v>
      </c>
      <c r="G275">
        <v>213</v>
      </c>
      <c r="H275">
        <v>193</v>
      </c>
      <c r="I275">
        <v>165</v>
      </c>
      <c r="J275">
        <v>155</v>
      </c>
      <c r="K275" s="573">
        <v>146</v>
      </c>
      <c r="M275" s="591">
        <f t="shared" si="306"/>
        <v>-1.1627906976744207E-2</v>
      </c>
      <c r="N275" s="357">
        <f t="shared" si="307"/>
        <v>-0.16201117318435754</v>
      </c>
      <c r="O275" s="357">
        <f t="shared" si="308"/>
        <v>-0.12101910828025475</v>
      </c>
      <c r="P275" s="357">
        <f t="shared" si="309"/>
        <v>-0.15333333333333332</v>
      </c>
      <c r="Q275" s="357">
        <f t="shared" si="310"/>
        <v>-2.2935779816513735E-2</v>
      </c>
      <c r="R275" s="357">
        <f t="shared" si="311"/>
        <v>-1.025641025641022E-2</v>
      </c>
      <c r="S275" s="357">
        <f t="shared" si="312"/>
        <v>0</v>
      </c>
      <c r="T275" s="357">
        <f t="shared" si="313"/>
        <v>1.3071895424836555E-2</v>
      </c>
      <c r="U275" s="574">
        <f t="shared" si="314"/>
        <v>0</v>
      </c>
      <c r="W275" s="591">
        <f t="shared" si="315"/>
        <v>-1.1696039763191298E-2</v>
      </c>
      <c r="X275" s="357">
        <f t="shared" si="316"/>
        <v>-0.17675051174449924</v>
      </c>
      <c r="Y275" s="357">
        <f t="shared" si="317"/>
        <v>-0.12899212019110334</v>
      </c>
      <c r="Z275" s="357">
        <f t="shared" si="318"/>
        <v>-0.16644820763766446</v>
      </c>
      <c r="AA275" s="357">
        <f t="shared" si="319"/>
        <v>-2.3202897079663869E-2</v>
      </c>
      <c r="AB275" s="357">
        <f t="shared" si="320"/>
        <v>-1.0309369658861213E-2</v>
      </c>
      <c r="AC275" s="357">
        <f t="shared" si="321"/>
        <v>0</v>
      </c>
      <c r="AD275" s="357">
        <f t="shared" si="322"/>
        <v>1.2987195526811112E-2</v>
      </c>
      <c r="AE275" s="574">
        <f t="shared" si="323"/>
        <v>0</v>
      </c>
      <c r="AG275" s="591">
        <f t="shared" si="324"/>
        <v>-3.3099981654312161E-2</v>
      </c>
      <c r="AH275" s="357">
        <f t="shared" si="325"/>
        <v>-0.1831212501016308</v>
      </c>
      <c r="AI275" s="357">
        <f t="shared" si="326"/>
        <v>-0.13528431456937001</v>
      </c>
      <c r="AJ275" s="357">
        <f t="shared" si="327"/>
        <v>-0.16328192195617158</v>
      </c>
      <c r="AK275" s="357">
        <f t="shared" si="328"/>
        <v>-2.9392453102080503E-2</v>
      </c>
      <c r="AL275" s="357">
        <f t="shared" si="329"/>
        <v>-1.0703490928459986E-2</v>
      </c>
      <c r="AM275" s="357">
        <f t="shared" si="330"/>
        <v>-1.7064673510089895E-4</v>
      </c>
      <c r="AN275" s="357">
        <f t="shared" si="331"/>
        <v>1.3090966176229195E-2</v>
      </c>
      <c r="AO275" s="574">
        <f t="shared" si="332"/>
        <v>5.4711961047645428E-5</v>
      </c>
    </row>
    <row r="276" spans="2:41" x14ac:dyDescent="0.25">
      <c r="B276" s="449">
        <v>44257</v>
      </c>
      <c r="C276">
        <v>110</v>
      </c>
      <c r="D276">
        <v>97</v>
      </c>
      <c r="E276">
        <v>95</v>
      </c>
      <c r="F276">
        <v>135</v>
      </c>
      <c r="G276">
        <v>188</v>
      </c>
      <c r="H276">
        <v>185</v>
      </c>
      <c r="I276">
        <v>164</v>
      </c>
      <c r="J276">
        <v>153</v>
      </c>
      <c r="K276" s="573">
        <v>147</v>
      </c>
      <c r="M276" s="591">
        <f t="shared" si="306"/>
        <v>-0.3529411764705882</v>
      </c>
      <c r="N276" s="357">
        <f t="shared" si="307"/>
        <v>-0.35333333333333339</v>
      </c>
      <c r="O276" s="357">
        <f t="shared" si="308"/>
        <v>-0.31159420289855078</v>
      </c>
      <c r="P276" s="357">
        <f t="shared" si="309"/>
        <v>6.2992125984252079E-2</v>
      </c>
      <c r="Q276" s="357">
        <f t="shared" si="310"/>
        <v>-0.11737089201877937</v>
      </c>
      <c r="R276" s="357">
        <f t="shared" si="311"/>
        <v>-4.1450777202072575E-2</v>
      </c>
      <c r="S276" s="357">
        <f t="shared" si="312"/>
        <v>-6.0606060606060996E-3</v>
      </c>
      <c r="T276" s="357">
        <f t="shared" si="313"/>
        <v>-1.2903225806451646E-2</v>
      </c>
      <c r="U276" s="574">
        <f t="shared" si="314"/>
        <v>6.8493150684931781E-3</v>
      </c>
      <c r="W276" s="591">
        <f t="shared" si="315"/>
        <v>-0.4353180712578455</v>
      </c>
      <c r="X276" s="357">
        <f t="shared" si="316"/>
        <v>-0.43592431559287304</v>
      </c>
      <c r="Y276" s="357">
        <f t="shared" si="317"/>
        <v>-0.37337679355666392</v>
      </c>
      <c r="Z276" s="357">
        <f t="shared" si="318"/>
        <v>6.1087691979838279E-2</v>
      </c>
      <c r="AA276" s="357">
        <f t="shared" si="319"/>
        <v>-0.12485020287947594</v>
      </c>
      <c r="AB276" s="357">
        <f t="shared" si="320"/>
        <v>-4.2334363826560771E-2</v>
      </c>
      <c r="AC276" s="357">
        <f t="shared" si="321"/>
        <v>-6.0790460763822263E-3</v>
      </c>
      <c r="AD276" s="357">
        <f t="shared" si="322"/>
        <v>-1.298719552681119E-2</v>
      </c>
      <c r="AE276" s="574">
        <f t="shared" si="323"/>
        <v>6.8259650703998906E-3</v>
      </c>
      <c r="AG276" s="591">
        <f t="shared" si="324"/>
        <v>-0.37441325114815616</v>
      </c>
      <c r="AH276" s="357">
        <f t="shared" si="325"/>
        <v>-0.37444341025060662</v>
      </c>
      <c r="AI276" s="357">
        <f t="shared" si="326"/>
        <v>-0.32585940918766604</v>
      </c>
      <c r="AJ276" s="357">
        <f t="shared" si="327"/>
        <v>5.3043537361413817E-2</v>
      </c>
      <c r="AK276" s="357">
        <f t="shared" si="328"/>
        <v>-0.12382756530434613</v>
      </c>
      <c r="AL276" s="357">
        <f t="shared" si="329"/>
        <v>-4.1897857874122341E-2</v>
      </c>
      <c r="AM276" s="357">
        <f t="shared" si="330"/>
        <v>-6.2312527957069982E-3</v>
      </c>
      <c r="AN276" s="357">
        <f t="shared" si="331"/>
        <v>-1.2884155055059006E-2</v>
      </c>
      <c r="AO276" s="574">
        <f t="shared" si="332"/>
        <v>6.9040270295408239E-3</v>
      </c>
    </row>
    <row r="277" spans="2:41" x14ac:dyDescent="0.25">
      <c r="B277" s="449">
        <v>44264</v>
      </c>
      <c r="C277">
        <v>118</v>
      </c>
      <c r="D277">
        <v>120</v>
      </c>
      <c r="E277">
        <v>125</v>
      </c>
      <c r="F277">
        <v>175</v>
      </c>
      <c r="G277">
        <v>215</v>
      </c>
      <c r="H277">
        <v>184</v>
      </c>
      <c r="I277">
        <v>165</v>
      </c>
      <c r="J277">
        <v>153</v>
      </c>
      <c r="K277" s="573">
        <v>145</v>
      </c>
      <c r="M277" s="591">
        <f t="shared" si="306"/>
        <v>7.2727272727272751E-2</v>
      </c>
      <c r="N277" s="357">
        <f t="shared" si="307"/>
        <v>0.23711340206185572</v>
      </c>
      <c r="O277" s="357">
        <f t="shared" si="308"/>
        <v>0.31578947368421062</v>
      </c>
      <c r="P277" s="357">
        <f t="shared" si="309"/>
        <v>0.29629629629629628</v>
      </c>
      <c r="Q277" s="357">
        <f t="shared" si="310"/>
        <v>0.1436170212765957</v>
      </c>
      <c r="R277" s="357">
        <f t="shared" si="311"/>
        <v>-5.4054054054053502E-3</v>
      </c>
      <c r="S277" s="357">
        <f t="shared" si="312"/>
        <v>6.0975609756097615E-3</v>
      </c>
      <c r="T277" s="357">
        <f t="shared" si="313"/>
        <v>0</v>
      </c>
      <c r="U277" s="574">
        <f t="shared" si="314"/>
        <v>-1.3605442176870763E-2</v>
      </c>
      <c r="W277" s="591">
        <f t="shared" si="315"/>
        <v>7.020425867324856E-2</v>
      </c>
      <c r="X277" s="357">
        <f t="shared" si="316"/>
        <v>0.21278076427866321</v>
      </c>
      <c r="Y277" s="357">
        <f t="shared" si="317"/>
        <v>0.27443684570176036</v>
      </c>
      <c r="Z277" s="357">
        <f t="shared" si="318"/>
        <v>0.25951119548508461</v>
      </c>
      <c r="AA277" s="357">
        <f t="shared" si="319"/>
        <v>0.13419606529771355</v>
      </c>
      <c r="AB277" s="357">
        <f t="shared" si="320"/>
        <v>-5.4200674693391446E-3</v>
      </c>
      <c r="AC277" s="357">
        <f t="shared" si="321"/>
        <v>6.0790460763821925E-3</v>
      </c>
      <c r="AD277" s="357">
        <f t="shared" si="322"/>
        <v>0</v>
      </c>
      <c r="AE277" s="574">
        <f t="shared" si="323"/>
        <v>-1.3698844358161915E-2</v>
      </c>
      <c r="AG277" s="591">
        <f t="shared" si="324"/>
        <v>5.1255198049704798E-2</v>
      </c>
      <c r="AH277" s="357">
        <f t="shared" si="325"/>
        <v>0.21600332514458245</v>
      </c>
      <c r="AI277" s="357">
        <f t="shared" si="326"/>
        <v>0.30152426739509536</v>
      </c>
      <c r="AJ277" s="357">
        <f t="shared" si="327"/>
        <v>0.28634770767345802</v>
      </c>
      <c r="AK277" s="357">
        <f t="shared" si="328"/>
        <v>0.13716034799102894</v>
      </c>
      <c r="AL277" s="357">
        <f t="shared" si="329"/>
        <v>-5.8524860774551157E-3</v>
      </c>
      <c r="AM277" s="357">
        <f t="shared" si="330"/>
        <v>5.926914240508863E-3</v>
      </c>
      <c r="AN277" s="357">
        <f t="shared" si="331"/>
        <v>1.9070751392640699E-5</v>
      </c>
      <c r="AO277" s="574">
        <f t="shared" si="332"/>
        <v>-1.3550730215823118E-2</v>
      </c>
    </row>
    <row r="278" spans="2:41" x14ac:dyDescent="0.25">
      <c r="B278" s="449">
        <v>44271</v>
      </c>
      <c r="C278">
        <v>117</v>
      </c>
      <c r="D278">
        <v>120</v>
      </c>
      <c r="E278">
        <v>135</v>
      </c>
      <c r="F278">
        <v>180</v>
      </c>
      <c r="G278">
        <v>227</v>
      </c>
      <c r="H278">
        <v>188</v>
      </c>
      <c r="I278">
        <v>165</v>
      </c>
      <c r="J278">
        <v>153</v>
      </c>
      <c r="K278" s="573">
        <v>147</v>
      </c>
      <c r="M278" s="591">
        <f t="shared" si="306"/>
        <v>-8.4745762711864181E-3</v>
      </c>
      <c r="N278" s="357">
        <f t="shared" si="307"/>
        <v>0</v>
      </c>
      <c r="O278" s="357">
        <f t="shared" si="308"/>
        <v>8.0000000000000071E-2</v>
      </c>
      <c r="P278" s="357">
        <f t="shared" si="309"/>
        <v>2.857142857142847E-2</v>
      </c>
      <c r="Q278" s="357">
        <f t="shared" si="310"/>
        <v>5.5813953488372148E-2</v>
      </c>
      <c r="R278" s="357">
        <f t="shared" si="311"/>
        <v>2.1739130434782705E-2</v>
      </c>
      <c r="S278" s="357">
        <f t="shared" si="312"/>
        <v>0</v>
      </c>
      <c r="T278" s="357">
        <f t="shared" si="313"/>
        <v>0</v>
      </c>
      <c r="U278" s="574">
        <f t="shared" si="314"/>
        <v>1.379310344827589E-2</v>
      </c>
      <c r="W278" s="591">
        <f t="shared" si="315"/>
        <v>-8.5106896679086191E-3</v>
      </c>
      <c r="X278" s="357">
        <f t="shared" si="316"/>
        <v>0</v>
      </c>
      <c r="Y278" s="357">
        <f t="shared" si="317"/>
        <v>7.6961041136128394E-2</v>
      </c>
      <c r="Z278" s="357">
        <f t="shared" si="318"/>
        <v>2.8170876966696224E-2</v>
      </c>
      <c r="AA278" s="357">
        <f t="shared" si="319"/>
        <v>5.4311989353739931E-2</v>
      </c>
      <c r="AB278" s="357">
        <f t="shared" si="320"/>
        <v>2.1506205220963682E-2</v>
      </c>
      <c r="AC278" s="357">
        <f t="shared" si="321"/>
        <v>0</v>
      </c>
      <c r="AD278" s="357">
        <f t="shared" si="322"/>
        <v>0</v>
      </c>
      <c r="AE278" s="574">
        <f t="shared" si="323"/>
        <v>1.3698844358161927E-2</v>
      </c>
      <c r="AG278" s="591">
        <f t="shared" si="324"/>
        <v>-2.9946650948754375E-2</v>
      </c>
      <c r="AH278" s="357">
        <f t="shared" si="325"/>
        <v>-2.1110076917273252E-2</v>
      </c>
      <c r="AI278" s="357">
        <f t="shared" si="326"/>
        <v>6.5734793710884795E-2</v>
      </c>
      <c r="AJ278" s="357">
        <f t="shared" si="327"/>
        <v>1.8622839948590205E-2</v>
      </c>
      <c r="AK278" s="357">
        <f t="shared" si="328"/>
        <v>4.935728020280538E-2</v>
      </c>
      <c r="AL278" s="357">
        <f t="shared" si="329"/>
        <v>2.129204976273294E-2</v>
      </c>
      <c r="AM278" s="357">
        <f t="shared" si="330"/>
        <v>-1.7064673510089895E-4</v>
      </c>
      <c r="AN278" s="357">
        <f t="shared" si="331"/>
        <v>1.9070751392640699E-5</v>
      </c>
      <c r="AO278" s="574">
        <f t="shared" si="332"/>
        <v>1.3847815409323535E-2</v>
      </c>
    </row>
    <row r="279" spans="2:41" x14ac:dyDescent="0.25">
      <c r="B279" s="449">
        <v>44278</v>
      </c>
      <c r="C279">
        <v>112</v>
      </c>
      <c r="D279">
        <v>114</v>
      </c>
      <c r="E279">
        <v>140</v>
      </c>
      <c r="F279">
        <v>180</v>
      </c>
      <c r="G279">
        <v>230</v>
      </c>
      <c r="H279">
        <v>192</v>
      </c>
      <c r="I279">
        <v>168</v>
      </c>
      <c r="J279">
        <v>154</v>
      </c>
      <c r="K279" s="573">
        <v>147</v>
      </c>
      <c r="M279" s="591">
        <f t="shared" si="306"/>
        <v>-4.2735042735042694E-2</v>
      </c>
      <c r="N279" s="357">
        <f t="shared" si="307"/>
        <v>-5.0000000000000044E-2</v>
      </c>
      <c r="O279" s="357">
        <f t="shared" si="308"/>
        <v>3.7037037037036979E-2</v>
      </c>
      <c r="P279" s="357">
        <f t="shared" si="309"/>
        <v>0</v>
      </c>
      <c r="Q279" s="357">
        <f t="shared" si="310"/>
        <v>1.3215859030837107E-2</v>
      </c>
      <c r="R279" s="357">
        <f t="shared" si="311"/>
        <v>2.1276595744680771E-2</v>
      </c>
      <c r="S279" s="357">
        <f t="shared" si="312"/>
        <v>1.8181818181818077E-2</v>
      </c>
      <c r="T279" s="357">
        <f t="shared" si="313"/>
        <v>6.5359477124182774E-3</v>
      </c>
      <c r="U279" s="574">
        <f t="shared" si="314"/>
        <v>0</v>
      </c>
      <c r="W279" s="591">
        <f t="shared" si="315"/>
        <v>-4.3675063502661531E-2</v>
      </c>
      <c r="X279" s="357">
        <f t="shared" si="316"/>
        <v>-5.1293294387550578E-2</v>
      </c>
      <c r="Y279" s="357">
        <f t="shared" si="317"/>
        <v>3.6367644170874791E-2</v>
      </c>
      <c r="Z279" s="357">
        <f t="shared" si="318"/>
        <v>0</v>
      </c>
      <c r="AA279" s="357">
        <f t="shared" si="319"/>
        <v>1.3129291441792802E-2</v>
      </c>
      <c r="AB279" s="357">
        <f t="shared" si="320"/>
        <v>2.1053409197832263E-2</v>
      </c>
      <c r="AC279" s="357">
        <f t="shared" si="321"/>
        <v>1.8018505502678212E-2</v>
      </c>
      <c r="AD279" s="357">
        <f t="shared" si="322"/>
        <v>6.5146810211936723E-3</v>
      </c>
      <c r="AE279" s="574">
        <f t="shared" si="323"/>
        <v>0</v>
      </c>
      <c r="AG279" s="591">
        <f t="shared" si="324"/>
        <v>-6.4207117412610648E-2</v>
      </c>
      <c r="AH279" s="357">
        <f t="shared" si="325"/>
        <v>-7.1110076917273293E-2</v>
      </c>
      <c r="AI279" s="357">
        <f t="shared" si="326"/>
        <v>2.2771830747921704E-2</v>
      </c>
      <c r="AJ279" s="357">
        <f t="shared" si="327"/>
        <v>-9.9485886228382649E-3</v>
      </c>
      <c r="AK279" s="357">
        <f t="shared" si="328"/>
        <v>6.7591857452703403E-3</v>
      </c>
      <c r="AL279" s="357">
        <f t="shared" si="329"/>
        <v>2.0829515072631005E-2</v>
      </c>
      <c r="AM279" s="357">
        <f t="shared" si="330"/>
        <v>1.8011171446717177E-2</v>
      </c>
      <c r="AN279" s="357">
        <f t="shared" si="331"/>
        <v>6.5550184638109178E-3</v>
      </c>
      <c r="AO279" s="574">
        <f t="shared" si="332"/>
        <v>5.4711961047645428E-5</v>
      </c>
    </row>
    <row r="280" spans="2:41" x14ac:dyDescent="0.25">
      <c r="B280" s="449">
        <v>44285</v>
      </c>
      <c r="C280">
        <v>109</v>
      </c>
      <c r="D280">
        <v>152</v>
      </c>
      <c r="E280">
        <v>152</v>
      </c>
      <c r="F280">
        <v>215</v>
      </c>
      <c r="G280">
        <v>243</v>
      </c>
      <c r="H280">
        <v>200</v>
      </c>
      <c r="I280">
        <v>167</v>
      </c>
      <c r="J280">
        <v>155</v>
      </c>
      <c r="K280" s="573">
        <v>148</v>
      </c>
      <c r="M280" s="591">
        <f t="shared" si="306"/>
        <v>-2.6785714285714302E-2</v>
      </c>
      <c r="N280" s="357">
        <f t="shared" si="307"/>
        <v>0.33333333333333326</v>
      </c>
      <c r="O280" s="357">
        <f t="shared" si="308"/>
        <v>8.5714285714285632E-2</v>
      </c>
      <c r="P280" s="357">
        <f t="shared" si="309"/>
        <v>0.19444444444444442</v>
      </c>
      <c r="Q280" s="357">
        <f t="shared" si="310"/>
        <v>5.6521739130434678E-2</v>
      </c>
      <c r="R280" s="357">
        <f t="shared" si="311"/>
        <v>4.1666666666666741E-2</v>
      </c>
      <c r="S280" s="357">
        <f t="shared" si="312"/>
        <v>-5.9523809523809312E-3</v>
      </c>
      <c r="T280" s="357">
        <f t="shared" si="313"/>
        <v>6.4935064935065512E-3</v>
      </c>
      <c r="U280" s="574">
        <f t="shared" si="314"/>
        <v>6.8027210884353817E-3</v>
      </c>
      <c r="W280" s="591">
        <f t="shared" si="315"/>
        <v>-2.715098906595086E-2</v>
      </c>
      <c r="X280" s="357">
        <f t="shared" si="316"/>
        <v>0.28768207245178085</v>
      </c>
      <c r="Y280" s="357">
        <f t="shared" si="317"/>
        <v>8.2238098236972007E-2</v>
      </c>
      <c r="Z280" s="357">
        <f t="shared" si="318"/>
        <v>0.17768117723745241</v>
      </c>
      <c r="AA280" s="357">
        <f t="shared" si="319"/>
        <v>5.4982134417352981E-2</v>
      </c>
      <c r="AB280" s="357">
        <f t="shared" si="320"/>
        <v>4.08219945202552E-2</v>
      </c>
      <c r="AC280" s="357">
        <f t="shared" si="321"/>
        <v>-5.970166986503796E-3</v>
      </c>
      <c r="AD280" s="357">
        <f t="shared" si="322"/>
        <v>6.4725145056175196E-3</v>
      </c>
      <c r="AE280" s="574">
        <f t="shared" si="323"/>
        <v>6.7796869853787691E-3</v>
      </c>
      <c r="AG280" s="591">
        <f t="shared" si="324"/>
        <v>-4.8257788963282255E-2</v>
      </c>
      <c r="AH280" s="357">
        <f t="shared" si="325"/>
        <v>0.31222325641606002</v>
      </c>
      <c r="AI280" s="357">
        <f t="shared" si="326"/>
        <v>7.1449079425170356E-2</v>
      </c>
      <c r="AJ280" s="357">
        <f t="shared" si="327"/>
        <v>0.18449585582160616</v>
      </c>
      <c r="AK280" s="357">
        <f t="shared" si="328"/>
        <v>5.0065065844867911E-2</v>
      </c>
      <c r="AL280" s="357">
        <f t="shared" si="329"/>
        <v>4.1219585994616975E-2</v>
      </c>
      <c r="AM280" s="357">
        <f t="shared" si="330"/>
        <v>-6.1230276874818298E-3</v>
      </c>
      <c r="AN280" s="357">
        <f t="shared" si="331"/>
        <v>6.5125772448991915E-3</v>
      </c>
      <c r="AO280" s="574">
        <f t="shared" si="332"/>
        <v>6.8574330494830275E-3</v>
      </c>
    </row>
    <row r="281" spans="2:41" x14ac:dyDescent="0.25">
      <c r="B281" s="449">
        <v>44292</v>
      </c>
      <c r="C281">
        <v>145</v>
      </c>
      <c r="D281">
        <v>172</v>
      </c>
      <c r="E281">
        <v>230</v>
      </c>
      <c r="F281">
        <v>250</v>
      </c>
      <c r="G281">
        <v>265</v>
      </c>
      <c r="H281">
        <v>202</v>
      </c>
      <c r="I281">
        <v>169</v>
      </c>
      <c r="J281">
        <v>155</v>
      </c>
      <c r="K281" s="573">
        <v>149</v>
      </c>
      <c r="M281" s="591">
        <f t="shared" si="306"/>
        <v>0.33027522935779818</v>
      </c>
      <c r="N281" s="357">
        <f t="shared" si="307"/>
        <v>0.13157894736842102</v>
      </c>
      <c r="O281" s="357">
        <f t="shared" si="308"/>
        <v>0.51315789473684204</v>
      </c>
      <c r="P281" s="357">
        <f t="shared" si="309"/>
        <v>0.16279069767441867</v>
      </c>
      <c r="Q281" s="357">
        <f t="shared" si="310"/>
        <v>9.0534979423868345E-2</v>
      </c>
      <c r="R281" s="357">
        <f t="shared" si="311"/>
        <v>1.0000000000000009E-2</v>
      </c>
      <c r="S281" s="357">
        <f t="shared" si="312"/>
        <v>1.1976047904191711E-2</v>
      </c>
      <c r="T281" s="357">
        <f t="shared" si="313"/>
        <v>0</v>
      </c>
      <c r="U281" s="574">
        <f t="shared" si="314"/>
        <v>6.7567567567567988E-3</v>
      </c>
      <c r="W281" s="591">
        <f t="shared" si="315"/>
        <v>0.2853858601914307</v>
      </c>
      <c r="X281" s="357">
        <f t="shared" si="316"/>
        <v>0.12361395596717663</v>
      </c>
      <c r="Y281" s="357">
        <f t="shared" si="317"/>
        <v>0.41419878807691896</v>
      </c>
      <c r="Z281" s="357">
        <f t="shared" si="318"/>
        <v>0.15082288973458369</v>
      </c>
      <c r="AA281" s="357">
        <f t="shared" si="319"/>
        <v>8.666838264567378E-2</v>
      </c>
      <c r="AB281" s="357">
        <f t="shared" si="320"/>
        <v>9.950330853168092E-3</v>
      </c>
      <c r="AC281" s="357">
        <f t="shared" si="321"/>
        <v>1.1904902506318458E-2</v>
      </c>
      <c r="AD281" s="357">
        <f t="shared" si="322"/>
        <v>0</v>
      </c>
      <c r="AE281" s="574">
        <f t="shared" si="323"/>
        <v>6.7340321813441194E-3</v>
      </c>
      <c r="AG281" s="591">
        <f t="shared" si="324"/>
        <v>0.30880315468023023</v>
      </c>
      <c r="AH281" s="357">
        <f t="shared" si="325"/>
        <v>0.11046887045114777</v>
      </c>
      <c r="AI281" s="357">
        <f t="shared" si="326"/>
        <v>0.49889268844772677</v>
      </c>
      <c r="AJ281" s="357">
        <f t="shared" si="327"/>
        <v>0.15284210905158041</v>
      </c>
      <c r="AK281" s="357">
        <f t="shared" si="328"/>
        <v>8.4078306138301584E-2</v>
      </c>
      <c r="AL281" s="357">
        <f t="shared" si="329"/>
        <v>9.5529193279502433E-3</v>
      </c>
      <c r="AM281" s="357">
        <f t="shared" si="330"/>
        <v>1.1805401169090813E-2</v>
      </c>
      <c r="AN281" s="357">
        <f t="shared" si="331"/>
        <v>1.9070751392640699E-5</v>
      </c>
      <c r="AO281" s="574">
        <f t="shared" si="332"/>
        <v>6.8114687178044446E-3</v>
      </c>
    </row>
    <row r="282" spans="2:41" x14ac:dyDescent="0.25">
      <c r="B282" s="449">
        <v>44299</v>
      </c>
      <c r="C282">
        <v>138</v>
      </c>
      <c r="D282">
        <v>200</v>
      </c>
      <c r="E282">
        <v>270</v>
      </c>
      <c r="F282">
        <v>294</v>
      </c>
      <c r="G282">
        <v>299</v>
      </c>
      <c r="H282">
        <v>223</v>
      </c>
      <c r="I282">
        <v>175</v>
      </c>
      <c r="J282">
        <v>155</v>
      </c>
      <c r="K282" s="573">
        <v>147</v>
      </c>
      <c r="M282" s="591">
        <f t="shared" si="306"/>
        <v>-4.8275862068965503E-2</v>
      </c>
      <c r="N282" s="357">
        <f t="shared" si="307"/>
        <v>0.16279069767441867</v>
      </c>
      <c r="O282" s="357">
        <f t="shared" si="308"/>
        <v>0.17391304347826098</v>
      </c>
      <c r="P282" s="357">
        <f t="shared" si="309"/>
        <v>0.17599999999999993</v>
      </c>
      <c r="Q282" s="357">
        <f t="shared" si="310"/>
        <v>0.1283018867924528</v>
      </c>
      <c r="R282" s="357">
        <f t="shared" si="311"/>
        <v>0.10396039603960405</v>
      </c>
      <c r="S282" s="357">
        <f t="shared" si="312"/>
        <v>3.5502958579881616E-2</v>
      </c>
      <c r="T282" s="357">
        <f t="shared" si="313"/>
        <v>0</v>
      </c>
      <c r="U282" s="574">
        <f t="shared" si="314"/>
        <v>-1.3422818791946289E-2</v>
      </c>
      <c r="W282" s="591">
        <f t="shared" si="315"/>
        <v>-4.9480057263369695E-2</v>
      </c>
      <c r="X282" s="357">
        <f t="shared" si="316"/>
        <v>0.15082288973458369</v>
      </c>
      <c r="Y282" s="357">
        <f t="shared" si="317"/>
        <v>0.16034265007517948</v>
      </c>
      <c r="Z282" s="357">
        <f t="shared" si="318"/>
        <v>0.16211884947643512</v>
      </c>
      <c r="AA282" s="357">
        <f t="shared" si="319"/>
        <v>0.12071374740446419</v>
      </c>
      <c r="AB282" s="357">
        <f t="shared" si="320"/>
        <v>9.8904074058914077E-2</v>
      </c>
      <c r="AC282" s="357">
        <f t="shared" si="321"/>
        <v>3.488725900044054E-2</v>
      </c>
      <c r="AD282" s="357">
        <f t="shared" si="322"/>
        <v>0</v>
      </c>
      <c r="AE282" s="574">
        <f t="shared" si="323"/>
        <v>-1.351371916672282E-2</v>
      </c>
      <c r="AG282" s="591">
        <f t="shared" si="324"/>
        <v>-6.9747936746533457E-2</v>
      </c>
      <c r="AH282" s="357">
        <f t="shared" si="325"/>
        <v>0.14168062075714541</v>
      </c>
      <c r="AI282" s="357">
        <f t="shared" si="326"/>
        <v>0.15964783718914571</v>
      </c>
      <c r="AJ282" s="357">
        <f t="shared" si="327"/>
        <v>0.16605141137716167</v>
      </c>
      <c r="AK282" s="357">
        <f t="shared" si="328"/>
        <v>0.12184521350688604</v>
      </c>
      <c r="AL282" s="357">
        <f t="shared" si="329"/>
        <v>0.10351331536755429</v>
      </c>
      <c r="AM282" s="357">
        <f t="shared" si="330"/>
        <v>3.5332311844780716E-2</v>
      </c>
      <c r="AN282" s="357">
        <f t="shared" si="331"/>
        <v>1.9070751392640699E-5</v>
      </c>
      <c r="AO282" s="574">
        <f t="shared" si="332"/>
        <v>-1.3368106830898644E-2</v>
      </c>
    </row>
    <row r="283" spans="2:41" x14ac:dyDescent="0.25">
      <c r="B283" s="449">
        <v>44306</v>
      </c>
      <c r="C283">
        <v>138</v>
      </c>
      <c r="D283">
        <v>205</v>
      </c>
      <c r="E283">
        <v>320</v>
      </c>
      <c r="F283">
        <v>365</v>
      </c>
      <c r="G283">
        <v>341</v>
      </c>
      <c r="H283">
        <v>232</v>
      </c>
      <c r="I283">
        <v>188</v>
      </c>
      <c r="J283">
        <v>165</v>
      </c>
      <c r="K283" s="573">
        <v>155</v>
      </c>
      <c r="M283" s="591">
        <f t="shared" si="306"/>
        <v>0</v>
      </c>
      <c r="N283" s="357">
        <f t="shared" si="307"/>
        <v>2.4999999999999911E-2</v>
      </c>
      <c r="O283" s="357">
        <f t="shared" si="308"/>
        <v>0.18518518518518512</v>
      </c>
      <c r="P283" s="357">
        <f t="shared" si="309"/>
        <v>0.24149659863945572</v>
      </c>
      <c r="Q283" s="357">
        <f t="shared" si="310"/>
        <v>0.14046822742474907</v>
      </c>
      <c r="R283" s="357">
        <f t="shared" si="311"/>
        <v>4.0358744394618729E-2</v>
      </c>
      <c r="S283" s="357">
        <f t="shared" si="312"/>
        <v>7.4285714285714288E-2</v>
      </c>
      <c r="T283" s="357">
        <f t="shared" si="313"/>
        <v>6.4516129032258007E-2</v>
      </c>
      <c r="U283" s="574">
        <f t="shared" si="314"/>
        <v>5.4421768707483054E-2</v>
      </c>
      <c r="W283" s="591">
        <f t="shared" si="315"/>
        <v>0</v>
      </c>
      <c r="X283" s="357">
        <f t="shared" si="316"/>
        <v>2.4692612590371414E-2</v>
      </c>
      <c r="Y283" s="357">
        <f t="shared" si="317"/>
        <v>0.16989903679539742</v>
      </c>
      <c r="Z283" s="357">
        <f t="shared" si="318"/>
        <v>0.21631758624380984</v>
      </c>
      <c r="AA283" s="357">
        <f t="shared" si="319"/>
        <v>0.13143890389283028</v>
      </c>
      <c r="AB283" s="357">
        <f t="shared" si="320"/>
        <v>3.9565600206191098E-2</v>
      </c>
      <c r="AC283" s="357">
        <f t="shared" si="321"/>
        <v>7.1655988906435153E-2</v>
      </c>
      <c r="AD283" s="357">
        <f t="shared" si="322"/>
        <v>6.252035698133393E-2</v>
      </c>
      <c r="AE283" s="574">
        <f t="shared" si="323"/>
        <v>5.2992530140510377E-2</v>
      </c>
      <c r="AG283" s="591">
        <f t="shared" si="324"/>
        <v>-2.1472074677567957E-2</v>
      </c>
      <c r="AH283" s="357">
        <f t="shared" si="325"/>
        <v>3.8899230827266588E-3</v>
      </c>
      <c r="AI283" s="357">
        <f t="shared" si="326"/>
        <v>0.17091997889606986</v>
      </c>
      <c r="AJ283" s="357">
        <f t="shared" si="327"/>
        <v>0.23154801001661746</v>
      </c>
      <c r="AK283" s="357">
        <f t="shared" si="328"/>
        <v>0.13401155413918231</v>
      </c>
      <c r="AL283" s="357">
        <f t="shared" si="329"/>
        <v>3.9911663722568963E-2</v>
      </c>
      <c r="AM283" s="357">
        <f t="shared" si="330"/>
        <v>7.4115067550613395E-2</v>
      </c>
      <c r="AN283" s="357">
        <f t="shared" si="331"/>
        <v>6.4535199783650646E-2</v>
      </c>
      <c r="AO283" s="574">
        <f t="shared" si="332"/>
        <v>5.4476480668530697E-2</v>
      </c>
    </row>
    <row r="284" spans="2:41" x14ac:dyDescent="0.25">
      <c r="B284" s="449">
        <v>44313</v>
      </c>
      <c r="C284">
        <v>135</v>
      </c>
      <c r="D284">
        <v>198</v>
      </c>
      <c r="E284">
        <v>280</v>
      </c>
      <c r="F284">
        <v>365</v>
      </c>
      <c r="G284">
        <v>350</v>
      </c>
      <c r="H284">
        <v>234</v>
      </c>
      <c r="I284">
        <v>188</v>
      </c>
      <c r="J284">
        <v>166</v>
      </c>
      <c r="K284" s="573">
        <v>155</v>
      </c>
      <c r="M284" s="591">
        <f t="shared" si="306"/>
        <v>-2.1739130434782594E-2</v>
      </c>
      <c r="N284" s="357">
        <f t="shared" si="307"/>
        <v>-3.4146341463414664E-2</v>
      </c>
      <c r="O284" s="357">
        <f t="shared" si="308"/>
        <v>-0.125</v>
      </c>
      <c r="P284" s="357">
        <f t="shared" si="309"/>
        <v>0</v>
      </c>
      <c r="Q284" s="357">
        <f t="shared" si="310"/>
        <v>2.6392961876832821E-2</v>
      </c>
      <c r="R284" s="357">
        <f t="shared" si="311"/>
        <v>8.6206896551723755E-3</v>
      </c>
      <c r="S284" s="357">
        <f t="shared" si="312"/>
        <v>0</v>
      </c>
      <c r="T284" s="357">
        <f t="shared" si="313"/>
        <v>6.0606060606060996E-3</v>
      </c>
      <c r="U284" s="574">
        <f t="shared" si="314"/>
        <v>0</v>
      </c>
      <c r="W284" s="591">
        <f t="shared" si="315"/>
        <v>-2.197890671877523E-2</v>
      </c>
      <c r="X284" s="357">
        <f t="shared" si="316"/>
        <v>-3.4742948443872976E-2</v>
      </c>
      <c r="Y284" s="357">
        <f t="shared" si="317"/>
        <v>-0.13353139262452263</v>
      </c>
      <c r="Z284" s="357">
        <f t="shared" si="318"/>
        <v>0</v>
      </c>
      <c r="AA284" s="357">
        <f t="shared" si="319"/>
        <v>2.605067719994255E-2</v>
      </c>
      <c r="AB284" s="357">
        <f t="shared" si="320"/>
        <v>8.583743691391435E-3</v>
      </c>
      <c r="AC284" s="357">
        <f t="shared" si="321"/>
        <v>0</v>
      </c>
      <c r="AD284" s="357">
        <f t="shared" si="322"/>
        <v>6.0423144559626617E-3</v>
      </c>
      <c r="AE284" s="574">
        <f t="shared" si="323"/>
        <v>0</v>
      </c>
      <c r="AG284" s="591">
        <f t="shared" si="324"/>
        <v>-4.3211205112350548E-2</v>
      </c>
      <c r="AH284" s="357">
        <f t="shared" si="325"/>
        <v>-5.5256418380687913E-2</v>
      </c>
      <c r="AI284" s="357">
        <f t="shared" si="326"/>
        <v>-0.13926520628911526</v>
      </c>
      <c r="AJ284" s="357">
        <f t="shared" si="327"/>
        <v>-9.9485886228382649E-3</v>
      </c>
      <c r="AK284" s="357">
        <f t="shared" si="328"/>
        <v>1.9936288591266053E-2</v>
      </c>
      <c r="AL284" s="357">
        <f t="shared" si="329"/>
        <v>8.17360898312261E-3</v>
      </c>
      <c r="AM284" s="357">
        <f t="shared" si="330"/>
        <v>-1.7064673510089895E-4</v>
      </c>
      <c r="AN284" s="357">
        <f t="shared" si="331"/>
        <v>6.07967681199874E-3</v>
      </c>
      <c r="AO284" s="574">
        <f t="shared" si="332"/>
        <v>5.4711961047645428E-5</v>
      </c>
    </row>
    <row r="285" spans="2:41" x14ac:dyDescent="0.25">
      <c r="B285" s="449">
        <v>44320</v>
      </c>
      <c r="C285">
        <v>220</v>
      </c>
      <c r="D285">
        <v>324</v>
      </c>
      <c r="E285">
        <v>467</v>
      </c>
      <c r="F285">
        <v>480</v>
      </c>
      <c r="G285">
        <v>410</v>
      </c>
      <c r="H285">
        <v>242</v>
      </c>
      <c r="I285">
        <v>190</v>
      </c>
      <c r="J285">
        <v>169</v>
      </c>
      <c r="K285" s="573">
        <v>156</v>
      </c>
      <c r="M285" s="591">
        <f t="shared" si="306"/>
        <v>0.62962962962962954</v>
      </c>
      <c r="N285" s="357">
        <f t="shared" si="307"/>
        <v>0.63636363636363646</v>
      </c>
      <c r="O285" s="357">
        <f t="shared" si="308"/>
        <v>0.66785714285714293</v>
      </c>
      <c r="P285" s="357">
        <f t="shared" si="309"/>
        <v>0.31506849315068486</v>
      </c>
      <c r="Q285" s="357">
        <f t="shared" si="310"/>
        <v>0.17142857142857149</v>
      </c>
      <c r="R285" s="357">
        <f t="shared" si="311"/>
        <v>3.4188034188034289E-2</v>
      </c>
      <c r="S285" s="357">
        <f t="shared" si="312"/>
        <v>1.0638297872340496E-2</v>
      </c>
      <c r="T285" s="357">
        <f t="shared" si="313"/>
        <v>1.8072289156626509E-2</v>
      </c>
      <c r="U285" s="574">
        <f t="shared" si="314"/>
        <v>6.4516129032257119E-3</v>
      </c>
      <c r="W285" s="591">
        <f t="shared" si="315"/>
        <v>0.48835276791393201</v>
      </c>
      <c r="X285" s="357">
        <f t="shared" si="316"/>
        <v>0.49247648509779424</v>
      </c>
      <c r="Y285" s="357">
        <f t="shared" si="317"/>
        <v>0.51153965449964778</v>
      </c>
      <c r="Z285" s="357">
        <f t="shared" si="318"/>
        <v>0.27388875031944504</v>
      </c>
      <c r="AA285" s="357">
        <f t="shared" si="319"/>
        <v>0.15822400521489419</v>
      </c>
      <c r="AB285" s="357">
        <f t="shared" si="320"/>
        <v>3.3616610798985064E-2</v>
      </c>
      <c r="AC285" s="357">
        <f t="shared" si="321"/>
        <v>1.0582109330537008E-2</v>
      </c>
      <c r="AD285" s="357">
        <f t="shared" si="322"/>
        <v>1.7910926566530243E-2</v>
      </c>
      <c r="AE285" s="574">
        <f t="shared" si="323"/>
        <v>6.4308903302903314E-3</v>
      </c>
      <c r="AG285" s="591">
        <f t="shared" si="324"/>
        <v>0.60815755495206159</v>
      </c>
      <c r="AH285" s="357">
        <f t="shared" si="325"/>
        <v>0.61525355944636317</v>
      </c>
      <c r="AI285" s="357">
        <f t="shared" si="326"/>
        <v>0.65359193656802761</v>
      </c>
      <c r="AJ285" s="357">
        <f t="shared" si="327"/>
        <v>0.3051199045278466</v>
      </c>
      <c r="AK285" s="357">
        <f t="shared" si="328"/>
        <v>0.16497189814300472</v>
      </c>
      <c r="AL285" s="357">
        <f t="shared" si="329"/>
        <v>3.3740953515984523E-2</v>
      </c>
      <c r="AM285" s="357">
        <f t="shared" si="330"/>
        <v>1.0467651137239598E-2</v>
      </c>
      <c r="AN285" s="357">
        <f t="shared" si="331"/>
        <v>1.8091359908019151E-2</v>
      </c>
      <c r="AO285" s="574">
        <f t="shared" si="332"/>
        <v>6.5063248642733577E-3</v>
      </c>
    </row>
    <row r="286" spans="2:41" x14ac:dyDescent="0.25">
      <c r="B286" s="449">
        <v>44327</v>
      </c>
      <c r="C286">
        <v>215</v>
      </c>
      <c r="D286">
        <v>295</v>
      </c>
      <c r="E286">
        <v>449</v>
      </c>
      <c r="F286">
        <v>486</v>
      </c>
      <c r="G286">
        <v>395</v>
      </c>
      <c r="H286">
        <v>245</v>
      </c>
      <c r="I286">
        <v>195</v>
      </c>
      <c r="J286">
        <v>170</v>
      </c>
      <c r="K286" s="573">
        <v>156</v>
      </c>
      <c r="M286" s="591">
        <f t="shared" si="306"/>
        <v>-2.2727272727272707E-2</v>
      </c>
      <c r="N286" s="357">
        <f t="shared" si="307"/>
        <v>-8.9506172839506126E-2</v>
      </c>
      <c r="O286" s="357">
        <f t="shared" si="308"/>
        <v>-3.8543897216274048E-2</v>
      </c>
      <c r="P286" s="357">
        <f t="shared" si="309"/>
        <v>1.2499999999999956E-2</v>
      </c>
      <c r="Q286" s="357">
        <f t="shared" si="310"/>
        <v>-3.6585365853658569E-2</v>
      </c>
      <c r="R286" s="357">
        <f t="shared" si="311"/>
        <v>1.2396694214876103E-2</v>
      </c>
      <c r="S286" s="357">
        <f t="shared" si="312"/>
        <v>2.6315789473684292E-2</v>
      </c>
      <c r="T286" s="357">
        <f t="shared" si="313"/>
        <v>5.9171597633136397E-3</v>
      </c>
      <c r="U286" s="574">
        <f t="shared" si="314"/>
        <v>0</v>
      </c>
      <c r="W286" s="591">
        <f t="shared" si="315"/>
        <v>-2.2989518224698718E-2</v>
      </c>
      <c r="X286" s="357">
        <f t="shared" si="316"/>
        <v>-9.3768159452509506E-2</v>
      </c>
      <c r="Y286" s="357">
        <f t="shared" si="317"/>
        <v>-3.9306369926642971E-2</v>
      </c>
      <c r="Z286" s="357">
        <f t="shared" si="318"/>
        <v>1.242251999855711E-2</v>
      </c>
      <c r="AA286" s="357">
        <f t="shared" si="319"/>
        <v>-3.7271394797231655E-2</v>
      </c>
      <c r="AB286" s="357">
        <f t="shared" si="320"/>
        <v>1.2320484388040657E-2</v>
      </c>
      <c r="AC286" s="357">
        <f t="shared" si="321"/>
        <v>2.5975486403260736E-2</v>
      </c>
      <c r="AD286" s="357">
        <f t="shared" si="322"/>
        <v>5.899722127188322E-3</v>
      </c>
      <c r="AE286" s="574">
        <f t="shared" si="323"/>
        <v>0</v>
      </c>
      <c r="AG286" s="591">
        <f t="shared" si="324"/>
        <v>-4.4199347404840661E-2</v>
      </c>
      <c r="AH286" s="357">
        <f t="shared" si="325"/>
        <v>-0.11061624975677938</v>
      </c>
      <c r="AI286" s="357">
        <f t="shared" si="326"/>
        <v>-5.2809103505389324E-2</v>
      </c>
      <c r="AJ286" s="357">
        <f t="shared" si="327"/>
        <v>2.5514113771616907E-3</v>
      </c>
      <c r="AK286" s="357">
        <f t="shared" si="328"/>
        <v>-4.3042039139225337E-2</v>
      </c>
      <c r="AL286" s="357">
        <f t="shared" si="329"/>
        <v>1.1949613542826337E-2</v>
      </c>
      <c r="AM286" s="357">
        <f t="shared" si="330"/>
        <v>2.6145142738583392E-2</v>
      </c>
      <c r="AN286" s="357">
        <f t="shared" si="331"/>
        <v>5.93623051470628E-3</v>
      </c>
      <c r="AO286" s="574">
        <f t="shared" si="332"/>
        <v>5.4711961047645428E-5</v>
      </c>
    </row>
    <row r="287" spans="2:41" x14ac:dyDescent="0.25">
      <c r="B287" s="449">
        <v>44334</v>
      </c>
      <c r="C287">
        <v>217</v>
      </c>
      <c r="D287">
        <v>295</v>
      </c>
      <c r="E287">
        <v>449</v>
      </c>
      <c r="F287">
        <v>486</v>
      </c>
      <c r="G287">
        <v>395</v>
      </c>
      <c r="H287">
        <v>254</v>
      </c>
      <c r="I287">
        <v>198</v>
      </c>
      <c r="J287">
        <v>172</v>
      </c>
      <c r="K287" s="573">
        <v>156</v>
      </c>
      <c r="M287" s="591">
        <f t="shared" si="306"/>
        <v>9.302325581395321E-3</v>
      </c>
      <c r="N287" s="357">
        <f t="shared" si="307"/>
        <v>0</v>
      </c>
      <c r="O287" s="357">
        <f t="shared" si="308"/>
        <v>0</v>
      </c>
      <c r="P287" s="357">
        <f t="shared" si="309"/>
        <v>0</v>
      </c>
      <c r="Q287" s="357">
        <f t="shared" si="310"/>
        <v>0</v>
      </c>
      <c r="R287" s="357">
        <f t="shared" si="311"/>
        <v>3.6734693877551017E-2</v>
      </c>
      <c r="S287" s="357">
        <f t="shared" si="312"/>
        <v>1.538461538461533E-2</v>
      </c>
      <c r="T287" s="357">
        <f t="shared" si="313"/>
        <v>1.1764705882352899E-2</v>
      </c>
      <c r="U287" s="574">
        <f t="shared" si="314"/>
        <v>0</v>
      </c>
      <c r="W287" s="591">
        <f t="shared" si="315"/>
        <v>9.2593254127967262E-3</v>
      </c>
      <c r="X287" s="357">
        <f t="shared" si="316"/>
        <v>0</v>
      </c>
      <c r="Y287" s="357">
        <f t="shared" si="317"/>
        <v>0</v>
      </c>
      <c r="Z287" s="357">
        <f t="shared" si="318"/>
        <v>0</v>
      </c>
      <c r="AA287" s="357">
        <f t="shared" si="319"/>
        <v>0</v>
      </c>
      <c r="AB287" s="357">
        <f t="shared" si="320"/>
        <v>3.6076056473809591E-2</v>
      </c>
      <c r="AC287" s="357">
        <f t="shared" si="321"/>
        <v>1.5267472130788381E-2</v>
      </c>
      <c r="AD287" s="357">
        <f t="shared" si="322"/>
        <v>1.1696039763191236E-2</v>
      </c>
      <c r="AE287" s="574">
        <f t="shared" si="323"/>
        <v>0</v>
      </c>
      <c r="AG287" s="591">
        <f t="shared" si="324"/>
        <v>-1.2169749096172636E-2</v>
      </c>
      <c r="AH287" s="357">
        <f t="shared" si="325"/>
        <v>-2.1110076917273252E-2</v>
      </c>
      <c r="AI287" s="357">
        <f t="shared" si="326"/>
        <v>-1.4265206289115274E-2</v>
      </c>
      <c r="AJ287" s="357">
        <f t="shared" si="327"/>
        <v>-9.9485886228382649E-3</v>
      </c>
      <c r="AK287" s="357">
        <f t="shared" si="328"/>
        <v>-6.4566732855667669E-3</v>
      </c>
      <c r="AL287" s="357">
        <f t="shared" si="329"/>
        <v>3.6287613205501251E-2</v>
      </c>
      <c r="AM287" s="357">
        <f t="shared" si="330"/>
        <v>1.5213968649514431E-2</v>
      </c>
      <c r="AN287" s="357">
        <f t="shared" si="331"/>
        <v>1.178377663374554E-2</v>
      </c>
      <c r="AO287" s="574">
        <f t="shared" si="332"/>
        <v>5.4711961047645428E-5</v>
      </c>
    </row>
    <row r="288" spans="2:41" x14ac:dyDescent="0.25">
      <c r="B288" s="449">
        <v>44341</v>
      </c>
      <c r="C288">
        <v>216</v>
      </c>
      <c r="D288">
        <v>295</v>
      </c>
      <c r="E288">
        <v>470</v>
      </c>
      <c r="F288">
        <v>495</v>
      </c>
      <c r="G288">
        <v>405</v>
      </c>
      <c r="H288">
        <v>265</v>
      </c>
      <c r="I288">
        <v>200</v>
      </c>
      <c r="J288">
        <v>175</v>
      </c>
      <c r="K288" s="573">
        <v>156</v>
      </c>
      <c r="M288" s="591">
        <f t="shared" si="306"/>
        <v>-4.6082949308755561E-3</v>
      </c>
      <c r="N288" s="357">
        <f t="shared" si="307"/>
        <v>0</v>
      </c>
      <c r="O288" s="357">
        <f t="shared" si="308"/>
        <v>4.6770601336302953E-2</v>
      </c>
      <c r="P288" s="357">
        <f t="shared" si="309"/>
        <v>1.8518518518518601E-2</v>
      </c>
      <c r="Q288" s="357">
        <f t="shared" si="310"/>
        <v>2.5316455696202445E-2</v>
      </c>
      <c r="R288" s="357">
        <f t="shared" si="311"/>
        <v>4.3307086614173151E-2</v>
      </c>
      <c r="S288" s="357">
        <f t="shared" si="312"/>
        <v>1.0101010101010166E-2</v>
      </c>
      <c r="T288" s="357">
        <f t="shared" si="313"/>
        <v>1.744186046511631E-2</v>
      </c>
      <c r="U288" s="574">
        <f t="shared" si="314"/>
        <v>0</v>
      </c>
      <c r="W288" s="591">
        <f t="shared" si="315"/>
        <v>-4.6189458562945285E-3</v>
      </c>
      <c r="X288" s="357">
        <f t="shared" si="316"/>
        <v>0</v>
      </c>
      <c r="Y288" s="357">
        <f t="shared" si="317"/>
        <v>4.5709806961850036E-2</v>
      </c>
      <c r="Z288" s="357">
        <f t="shared" si="318"/>
        <v>1.8349138668196617E-2</v>
      </c>
      <c r="AA288" s="357">
        <f t="shared" si="319"/>
        <v>2.5001302205417186E-2</v>
      </c>
      <c r="AB288" s="357">
        <f t="shared" si="320"/>
        <v>4.239555896768555E-2</v>
      </c>
      <c r="AC288" s="357">
        <f t="shared" si="321"/>
        <v>1.0050335853501506E-2</v>
      </c>
      <c r="AD288" s="357">
        <f t="shared" si="322"/>
        <v>1.7291497110061043E-2</v>
      </c>
      <c r="AE288" s="574">
        <f t="shared" si="323"/>
        <v>0</v>
      </c>
      <c r="AG288" s="591">
        <f t="shared" si="324"/>
        <v>-2.6080369608443513E-2</v>
      </c>
      <c r="AH288" s="357">
        <f t="shared" si="325"/>
        <v>-2.1110076917273252E-2</v>
      </c>
      <c r="AI288" s="357">
        <f t="shared" si="326"/>
        <v>3.2505395047187677E-2</v>
      </c>
      <c r="AJ288" s="357">
        <f t="shared" si="327"/>
        <v>8.5699298956803359E-3</v>
      </c>
      <c r="AK288" s="357">
        <f t="shared" si="328"/>
        <v>1.8859782410635677E-2</v>
      </c>
      <c r="AL288" s="357">
        <f t="shared" si="329"/>
        <v>4.2860005942123386E-2</v>
      </c>
      <c r="AM288" s="357">
        <f t="shared" si="330"/>
        <v>9.9303633659092675E-3</v>
      </c>
      <c r="AN288" s="357">
        <f t="shared" si="331"/>
        <v>1.7460931216508952E-2</v>
      </c>
      <c r="AO288" s="574">
        <f t="shared" si="332"/>
        <v>5.4711961047645428E-5</v>
      </c>
    </row>
    <row r="289" spans="2:41" x14ac:dyDescent="0.25">
      <c r="B289" s="449">
        <v>44348</v>
      </c>
      <c r="C289">
        <v>310</v>
      </c>
      <c r="D289">
        <v>502</v>
      </c>
      <c r="E289">
        <v>522</v>
      </c>
      <c r="F289">
        <v>515</v>
      </c>
      <c r="G289">
        <v>430</v>
      </c>
      <c r="H289">
        <v>296</v>
      </c>
      <c r="I289">
        <v>208</v>
      </c>
      <c r="J289">
        <v>175</v>
      </c>
      <c r="K289" s="573">
        <v>156</v>
      </c>
      <c r="M289" s="591">
        <f t="shared" si="306"/>
        <v>0.43518518518518512</v>
      </c>
      <c r="N289" s="357">
        <f t="shared" si="307"/>
        <v>0.70169491525423733</v>
      </c>
      <c r="O289" s="357">
        <f t="shared" si="308"/>
        <v>0.11063829787234036</v>
      </c>
      <c r="P289" s="357">
        <f t="shared" si="309"/>
        <v>4.0404040404040442E-2</v>
      </c>
      <c r="Q289" s="357">
        <f t="shared" si="310"/>
        <v>6.1728395061728447E-2</v>
      </c>
      <c r="R289" s="357">
        <f t="shared" si="311"/>
        <v>0.11698113207547167</v>
      </c>
      <c r="S289" s="357">
        <f t="shared" si="312"/>
        <v>4.0000000000000036E-2</v>
      </c>
      <c r="T289" s="357">
        <f t="shared" si="313"/>
        <v>0</v>
      </c>
      <c r="U289" s="574">
        <f t="shared" si="314"/>
        <v>0</v>
      </c>
      <c r="W289" s="591">
        <f t="shared" si="315"/>
        <v>0.36129388979502686</v>
      </c>
      <c r="X289" s="357">
        <f t="shared" si="316"/>
        <v>0.53162476335190945</v>
      </c>
      <c r="Y289" s="357">
        <f t="shared" si="317"/>
        <v>0.1049348931785344</v>
      </c>
      <c r="Z289" s="357">
        <f t="shared" si="318"/>
        <v>3.9609138095045883E-2</v>
      </c>
      <c r="AA289" s="357">
        <f t="shared" si="319"/>
        <v>5.9898141581069014E-2</v>
      </c>
      <c r="AB289" s="357">
        <f t="shared" si="320"/>
        <v>0.11062962833783814</v>
      </c>
      <c r="AC289" s="357">
        <f t="shared" si="321"/>
        <v>3.9220713153281329E-2</v>
      </c>
      <c r="AD289" s="357">
        <f t="shared" si="322"/>
        <v>0</v>
      </c>
      <c r="AE289" s="574">
        <f t="shared" si="323"/>
        <v>0</v>
      </c>
      <c r="AG289" s="591">
        <f t="shared" si="324"/>
        <v>0.41371311050761717</v>
      </c>
      <c r="AH289" s="357">
        <f t="shared" si="325"/>
        <v>0.68058483833696404</v>
      </c>
      <c r="AI289" s="357">
        <f t="shared" si="326"/>
        <v>9.6373091583225087E-2</v>
      </c>
      <c r="AJ289" s="357">
        <f t="shared" si="327"/>
        <v>3.0455451781202177E-2</v>
      </c>
      <c r="AK289" s="357">
        <f t="shared" si="328"/>
        <v>5.5271721776161679E-2</v>
      </c>
      <c r="AL289" s="357">
        <f t="shared" si="329"/>
        <v>0.11653405140342191</v>
      </c>
      <c r="AM289" s="357">
        <f t="shared" si="330"/>
        <v>3.9829353264899135E-2</v>
      </c>
      <c r="AN289" s="357">
        <f t="shared" si="331"/>
        <v>1.9070751392640699E-5</v>
      </c>
      <c r="AO289" s="574">
        <f t="shared" si="332"/>
        <v>5.4711961047645428E-5</v>
      </c>
    </row>
    <row r="290" spans="2:41" x14ac:dyDescent="0.25">
      <c r="B290" s="449">
        <v>44355</v>
      </c>
      <c r="C290">
        <v>330</v>
      </c>
      <c r="D290">
        <v>530</v>
      </c>
      <c r="E290">
        <v>542</v>
      </c>
      <c r="F290">
        <v>532</v>
      </c>
      <c r="G290">
        <v>434</v>
      </c>
      <c r="H290">
        <v>304</v>
      </c>
      <c r="I290">
        <v>213</v>
      </c>
      <c r="J290">
        <v>175</v>
      </c>
      <c r="K290" s="573">
        <v>157</v>
      </c>
      <c r="M290" s="591">
        <f t="shared" si="306"/>
        <v>6.4516129032258007E-2</v>
      </c>
      <c r="N290" s="357">
        <f t="shared" si="307"/>
        <v>5.5776892430278835E-2</v>
      </c>
      <c r="O290" s="357">
        <f t="shared" si="308"/>
        <v>3.8314176245210829E-2</v>
      </c>
      <c r="P290" s="357">
        <f t="shared" si="309"/>
        <v>3.3009708737864019E-2</v>
      </c>
      <c r="Q290" s="357">
        <f t="shared" si="310"/>
        <v>9.302325581395321E-3</v>
      </c>
      <c r="R290" s="357">
        <f t="shared" si="311"/>
        <v>2.7027027027026973E-2</v>
      </c>
      <c r="S290" s="357">
        <f t="shared" si="312"/>
        <v>2.4038461538461453E-2</v>
      </c>
      <c r="T290" s="357">
        <f t="shared" si="313"/>
        <v>0</v>
      </c>
      <c r="U290" s="574">
        <f t="shared" si="314"/>
        <v>6.4102564102563875E-3</v>
      </c>
      <c r="W290" s="591">
        <f t="shared" si="315"/>
        <v>6.252035698133393E-2</v>
      </c>
      <c r="X290" s="357">
        <f t="shared" si="316"/>
        <v>5.4276886854438273E-2</v>
      </c>
      <c r="Y290" s="357">
        <f t="shared" si="317"/>
        <v>3.759841355700759E-2</v>
      </c>
      <c r="Z290" s="357">
        <f t="shared" si="318"/>
        <v>3.2476588677908182E-2</v>
      </c>
      <c r="AA290" s="357">
        <f t="shared" si="319"/>
        <v>9.2593254127967262E-3</v>
      </c>
      <c r="AB290" s="357">
        <f t="shared" si="320"/>
        <v>2.6668247082161273E-2</v>
      </c>
      <c r="AC290" s="357">
        <f t="shared" si="321"/>
        <v>2.3754086008107057E-2</v>
      </c>
      <c r="AD290" s="357">
        <f t="shared" si="322"/>
        <v>0</v>
      </c>
      <c r="AE290" s="574">
        <f t="shared" si="323"/>
        <v>6.3897980987709883E-3</v>
      </c>
      <c r="AG290" s="591">
        <f t="shared" si="324"/>
        <v>4.3044054354690053E-2</v>
      </c>
      <c r="AH290" s="357">
        <f t="shared" si="325"/>
        <v>3.4666815513005586E-2</v>
      </c>
      <c r="AI290" s="357">
        <f t="shared" si="326"/>
        <v>2.4048969956095553E-2</v>
      </c>
      <c r="AJ290" s="357">
        <f t="shared" si="327"/>
        <v>2.3061120115025754E-2</v>
      </c>
      <c r="AK290" s="357">
        <f t="shared" si="328"/>
        <v>2.8456522958285541E-3</v>
      </c>
      <c r="AL290" s="357">
        <f t="shared" si="329"/>
        <v>2.6579946354977207E-2</v>
      </c>
      <c r="AM290" s="357">
        <f t="shared" si="330"/>
        <v>2.3867814803360553E-2</v>
      </c>
      <c r="AN290" s="357">
        <f t="shared" si="331"/>
        <v>1.9070751392640699E-5</v>
      </c>
      <c r="AO290" s="574">
        <f t="shared" si="332"/>
        <v>6.4649683713040333E-3</v>
      </c>
    </row>
    <row r="291" spans="2:41" x14ac:dyDescent="0.25">
      <c r="B291" s="449">
        <v>44362</v>
      </c>
      <c r="C291">
        <v>340</v>
      </c>
      <c r="D291">
        <v>546</v>
      </c>
      <c r="E291">
        <v>544</v>
      </c>
      <c r="F291">
        <v>527</v>
      </c>
      <c r="G291">
        <v>438</v>
      </c>
      <c r="H291">
        <v>345</v>
      </c>
      <c r="I291">
        <v>225</v>
      </c>
      <c r="J291">
        <v>178</v>
      </c>
      <c r="K291" s="573">
        <v>157</v>
      </c>
      <c r="M291" s="591">
        <f t="shared" si="306"/>
        <v>3.0303030303030276E-2</v>
      </c>
      <c r="N291" s="357">
        <f t="shared" si="307"/>
        <v>3.0188679245283012E-2</v>
      </c>
      <c r="O291" s="357">
        <f t="shared" si="308"/>
        <v>3.6900369003689537E-3</v>
      </c>
      <c r="P291" s="357">
        <f t="shared" si="309"/>
        <v>-9.3984962406015171E-3</v>
      </c>
      <c r="Q291" s="357">
        <f t="shared" si="310"/>
        <v>9.2165898617511122E-3</v>
      </c>
      <c r="R291" s="357">
        <f t="shared" si="311"/>
        <v>0.13486842105263164</v>
      </c>
      <c r="S291" s="357">
        <f t="shared" si="312"/>
        <v>5.6338028169014009E-2</v>
      </c>
      <c r="T291" s="357">
        <f t="shared" si="313"/>
        <v>1.7142857142857126E-2</v>
      </c>
      <c r="U291" s="574">
        <f t="shared" si="314"/>
        <v>0</v>
      </c>
      <c r="W291" s="591">
        <f t="shared" si="315"/>
        <v>2.9852963149681128E-2</v>
      </c>
      <c r="X291" s="357">
        <f t="shared" si="316"/>
        <v>2.9741969198737516E-2</v>
      </c>
      <c r="Y291" s="357">
        <f t="shared" si="317"/>
        <v>3.683245416296368E-3</v>
      </c>
      <c r="Z291" s="357">
        <f t="shared" si="318"/>
        <v>-9.4429408002820719E-3</v>
      </c>
      <c r="AA291" s="357">
        <f t="shared" si="319"/>
        <v>9.1743762760412295E-3</v>
      </c>
      <c r="AB291" s="357">
        <f t="shared" si="320"/>
        <v>0.12651671562513811</v>
      </c>
      <c r="AC291" s="357">
        <f t="shared" si="321"/>
        <v>5.4808236494994951E-2</v>
      </c>
      <c r="AD291" s="357">
        <f t="shared" si="322"/>
        <v>1.6997576368571077E-2</v>
      </c>
      <c r="AE291" s="574">
        <f t="shared" si="323"/>
        <v>0</v>
      </c>
      <c r="AG291" s="591">
        <f t="shared" si="324"/>
        <v>8.8309556254623188E-3</v>
      </c>
      <c r="AH291" s="357">
        <f t="shared" si="325"/>
        <v>9.0786023280097598E-3</v>
      </c>
      <c r="AI291" s="357">
        <f t="shared" si="326"/>
        <v>-1.057516938874632E-2</v>
      </c>
      <c r="AJ291" s="357">
        <f t="shared" si="327"/>
        <v>-1.9347084863439782E-2</v>
      </c>
      <c r="AK291" s="357">
        <f t="shared" si="328"/>
        <v>2.7599165761843453E-3</v>
      </c>
      <c r="AL291" s="357">
        <f t="shared" si="329"/>
        <v>0.13442134038058187</v>
      </c>
      <c r="AM291" s="357">
        <f t="shared" si="330"/>
        <v>5.6167381433913109E-2</v>
      </c>
      <c r="AN291" s="357">
        <f t="shared" si="331"/>
        <v>1.7161927894249768E-2</v>
      </c>
      <c r="AO291" s="574">
        <f t="shared" si="332"/>
        <v>5.4711961047645428E-5</v>
      </c>
    </row>
    <row r="292" spans="2:41" x14ac:dyDescent="0.25">
      <c r="B292" s="449">
        <v>44369</v>
      </c>
      <c r="C292">
        <v>334</v>
      </c>
      <c r="D292">
        <v>538</v>
      </c>
      <c r="E292">
        <v>541</v>
      </c>
      <c r="F292">
        <v>519</v>
      </c>
      <c r="G292">
        <v>429</v>
      </c>
      <c r="H292">
        <v>351</v>
      </c>
      <c r="I292">
        <v>239</v>
      </c>
      <c r="J292">
        <v>185</v>
      </c>
      <c r="K292" s="573">
        <v>160</v>
      </c>
      <c r="M292" s="591">
        <f t="shared" si="306"/>
        <v>-1.764705882352946E-2</v>
      </c>
      <c r="N292" s="357">
        <f t="shared" si="307"/>
        <v>-1.46520146520146E-2</v>
      </c>
      <c r="O292" s="357">
        <f t="shared" si="308"/>
        <v>-5.5147058823529216E-3</v>
      </c>
      <c r="P292" s="357">
        <f t="shared" si="309"/>
        <v>-1.5180265654648917E-2</v>
      </c>
      <c r="Q292" s="357">
        <f t="shared" si="310"/>
        <v>-2.0547945205479423E-2</v>
      </c>
      <c r="R292" s="357">
        <f t="shared" si="311"/>
        <v>1.7391304347825987E-2</v>
      </c>
      <c r="S292" s="357">
        <f t="shared" si="312"/>
        <v>6.2222222222222179E-2</v>
      </c>
      <c r="T292" s="357">
        <f t="shared" si="313"/>
        <v>3.9325842696629199E-2</v>
      </c>
      <c r="U292" s="574">
        <f t="shared" si="314"/>
        <v>1.9108280254777066E-2</v>
      </c>
      <c r="W292" s="591">
        <f t="shared" si="315"/>
        <v>-1.7804624633506707E-2</v>
      </c>
      <c r="X292" s="357">
        <f t="shared" si="316"/>
        <v>-1.4760415583120573E-2</v>
      </c>
      <c r="Y292" s="357">
        <f t="shared" si="317"/>
        <v>-5.5299680094610861E-3</v>
      </c>
      <c r="Z292" s="357">
        <f t="shared" si="318"/>
        <v>-1.5296665375473648E-2</v>
      </c>
      <c r="AA292" s="357">
        <f t="shared" si="319"/>
        <v>-2.0761991448429128E-2</v>
      </c>
      <c r="AB292" s="357">
        <f t="shared" si="320"/>
        <v>1.7241806434505954E-2</v>
      </c>
      <c r="AC292" s="357">
        <f t="shared" si="321"/>
        <v>6.0363149727090497E-2</v>
      </c>
      <c r="AD292" s="357">
        <f t="shared" si="322"/>
        <v>3.8572274786239653E-2</v>
      </c>
      <c r="AE292" s="574">
        <f t="shared" si="323"/>
        <v>1.8928009885518859E-2</v>
      </c>
      <c r="AG292" s="591">
        <f t="shared" si="324"/>
        <v>-3.9119133501097414E-2</v>
      </c>
      <c r="AH292" s="357">
        <f t="shared" si="325"/>
        <v>-3.5762091569287849E-2</v>
      </c>
      <c r="AI292" s="357">
        <f t="shared" si="326"/>
        <v>-1.9779912171468197E-2</v>
      </c>
      <c r="AJ292" s="357">
        <f t="shared" si="327"/>
        <v>-2.5128854277487182E-2</v>
      </c>
      <c r="AK292" s="357">
        <f t="shared" si="328"/>
        <v>-2.7004618491046191E-2</v>
      </c>
      <c r="AL292" s="357">
        <f t="shared" si="329"/>
        <v>1.6944223675776221E-2</v>
      </c>
      <c r="AM292" s="357">
        <f t="shared" si="330"/>
        <v>6.2051575487121279E-2</v>
      </c>
      <c r="AN292" s="357">
        <f t="shared" si="331"/>
        <v>3.9344913448021837E-2</v>
      </c>
      <c r="AO292" s="574">
        <f t="shared" si="332"/>
        <v>1.9162992215824712E-2</v>
      </c>
    </row>
    <row r="293" spans="2:41" x14ac:dyDescent="0.25">
      <c r="B293" s="449">
        <v>44376</v>
      </c>
      <c r="C293">
        <v>335</v>
      </c>
      <c r="D293">
        <v>568</v>
      </c>
      <c r="E293">
        <v>555</v>
      </c>
      <c r="F293">
        <v>533</v>
      </c>
      <c r="G293">
        <v>458</v>
      </c>
      <c r="H293">
        <v>357</v>
      </c>
      <c r="I293">
        <v>245</v>
      </c>
      <c r="J293">
        <v>186</v>
      </c>
      <c r="K293" s="573">
        <v>170</v>
      </c>
      <c r="M293" s="591">
        <f t="shared" si="306"/>
        <v>2.9940119760478723E-3</v>
      </c>
      <c r="N293" s="357">
        <f t="shared" si="307"/>
        <v>5.5762081784386686E-2</v>
      </c>
      <c r="O293" s="357">
        <f t="shared" si="308"/>
        <v>2.5878003696857776E-2</v>
      </c>
      <c r="P293" s="357">
        <f t="shared" si="309"/>
        <v>2.6974951830443183E-2</v>
      </c>
      <c r="Q293" s="357">
        <f t="shared" si="310"/>
        <v>6.7599067599067642E-2</v>
      </c>
      <c r="R293" s="357">
        <f t="shared" si="311"/>
        <v>1.7094017094017033E-2</v>
      </c>
      <c r="S293" s="357">
        <f t="shared" si="312"/>
        <v>2.5104602510460206E-2</v>
      </c>
      <c r="T293" s="357">
        <f t="shared" si="313"/>
        <v>5.4054054054053502E-3</v>
      </c>
      <c r="U293" s="574">
        <f t="shared" si="314"/>
        <v>6.25E-2</v>
      </c>
      <c r="W293" s="591">
        <f t="shared" si="315"/>
        <v>2.9895388483659859E-3</v>
      </c>
      <c r="X293" s="357">
        <f t="shared" si="316"/>
        <v>5.4262858559367001E-2</v>
      </c>
      <c r="Y293" s="357">
        <f t="shared" si="317"/>
        <v>2.5548834899953091E-2</v>
      </c>
      <c r="Z293" s="357">
        <f t="shared" si="318"/>
        <v>2.6617540999955926E-2</v>
      </c>
      <c r="AA293" s="357">
        <f t="shared" si="319"/>
        <v>6.5412265186168023E-2</v>
      </c>
      <c r="AB293" s="357">
        <f t="shared" si="320"/>
        <v>1.6949558313773205E-2</v>
      </c>
      <c r="AC293" s="357">
        <f t="shared" si="321"/>
        <v>2.4794658613216274E-2</v>
      </c>
      <c r="AD293" s="357">
        <f t="shared" si="322"/>
        <v>5.390848634876373E-3</v>
      </c>
      <c r="AE293" s="574">
        <f t="shared" si="323"/>
        <v>6.062462181643484E-2</v>
      </c>
      <c r="AG293" s="591">
        <f t="shared" si="324"/>
        <v>-1.8478062701520085E-2</v>
      </c>
      <c r="AH293" s="357">
        <f t="shared" si="325"/>
        <v>3.4652004867113437E-2</v>
      </c>
      <c r="AI293" s="357">
        <f t="shared" si="326"/>
        <v>1.1612797407742502E-2</v>
      </c>
      <c r="AJ293" s="357">
        <f t="shared" si="327"/>
        <v>1.7026363207604919E-2</v>
      </c>
      <c r="AK293" s="357">
        <f t="shared" si="328"/>
        <v>6.1142394313500874E-2</v>
      </c>
      <c r="AL293" s="357">
        <f t="shared" si="329"/>
        <v>1.6646936421967268E-2</v>
      </c>
      <c r="AM293" s="357">
        <f t="shared" si="330"/>
        <v>2.4933955775359305E-2</v>
      </c>
      <c r="AN293" s="357">
        <f t="shared" si="331"/>
        <v>5.4244761567979905E-3</v>
      </c>
      <c r="AO293" s="574">
        <f t="shared" si="332"/>
        <v>6.2554711961047643E-2</v>
      </c>
    </row>
    <row r="294" spans="2:41" x14ac:dyDescent="0.25">
      <c r="B294" s="449">
        <v>44383</v>
      </c>
      <c r="C294">
        <v>570</v>
      </c>
      <c r="D294">
        <v>555</v>
      </c>
      <c r="E294">
        <v>515</v>
      </c>
      <c r="F294">
        <v>485</v>
      </c>
      <c r="G294">
        <v>425</v>
      </c>
      <c r="H294">
        <v>356</v>
      </c>
      <c r="I294">
        <v>248</v>
      </c>
      <c r="J294">
        <v>188</v>
      </c>
      <c r="K294" s="573">
        <v>170</v>
      </c>
      <c r="M294" s="591">
        <f t="shared" si="306"/>
        <v>0.70149253731343286</v>
      </c>
      <c r="N294" s="357">
        <f t="shared" si="307"/>
        <v>-2.2887323943661997E-2</v>
      </c>
      <c r="O294" s="357">
        <f t="shared" si="308"/>
        <v>-7.2072072072072113E-2</v>
      </c>
      <c r="P294" s="357">
        <f t="shared" si="309"/>
        <v>-9.0056285178236384E-2</v>
      </c>
      <c r="Q294" s="357">
        <f t="shared" si="310"/>
        <v>-7.2052401746724892E-2</v>
      </c>
      <c r="R294" s="357">
        <f t="shared" si="311"/>
        <v>-2.8011204481792618E-3</v>
      </c>
      <c r="S294" s="357">
        <f t="shared" si="312"/>
        <v>1.2244897959183598E-2</v>
      </c>
      <c r="T294" s="357">
        <f t="shared" si="313"/>
        <v>1.0752688172043001E-2</v>
      </c>
      <c r="U294" s="574">
        <f t="shared" si="314"/>
        <v>0</v>
      </c>
      <c r="W294" s="591">
        <f t="shared" si="315"/>
        <v>0.53150582900352938</v>
      </c>
      <c r="X294" s="357">
        <f t="shared" si="316"/>
        <v>-2.3153304974716866E-2</v>
      </c>
      <c r="Y294" s="357">
        <f t="shared" si="317"/>
        <v>-7.4801213082698409E-2</v>
      </c>
      <c r="Z294" s="357">
        <f t="shared" si="318"/>
        <v>-9.4372533228361324E-2</v>
      </c>
      <c r="AA294" s="357">
        <f t="shared" si="319"/>
        <v>-7.4780015189768123E-2</v>
      </c>
      <c r="AB294" s="357">
        <f t="shared" si="320"/>
        <v>-2.8050509276086096E-3</v>
      </c>
      <c r="AC294" s="357">
        <f t="shared" si="321"/>
        <v>1.2170535620255114E-2</v>
      </c>
      <c r="AD294" s="357">
        <f t="shared" si="322"/>
        <v>1.069528911674795E-2</v>
      </c>
      <c r="AE294" s="574">
        <f t="shared" si="323"/>
        <v>0</v>
      </c>
      <c r="AG294" s="591">
        <f t="shared" si="324"/>
        <v>0.68002046263586491</v>
      </c>
      <c r="AH294" s="357">
        <f t="shared" si="325"/>
        <v>-4.3997400860935246E-2</v>
      </c>
      <c r="AI294" s="357">
        <f t="shared" si="326"/>
        <v>-8.6337278361187389E-2</v>
      </c>
      <c r="AJ294" s="357">
        <f t="shared" si="327"/>
        <v>-0.10000487380107465</v>
      </c>
      <c r="AK294" s="357">
        <f t="shared" si="328"/>
        <v>-7.8509075032291653E-2</v>
      </c>
      <c r="AL294" s="357">
        <f t="shared" si="329"/>
        <v>-3.2482011202290273E-3</v>
      </c>
      <c r="AM294" s="357">
        <f t="shared" si="330"/>
        <v>1.20742512240827E-2</v>
      </c>
      <c r="AN294" s="357">
        <f t="shared" si="331"/>
        <v>1.0771758923435642E-2</v>
      </c>
      <c r="AO294" s="574">
        <f t="shared" si="332"/>
        <v>5.4711961047645428E-5</v>
      </c>
    </row>
    <row r="295" spans="2:41" x14ac:dyDescent="0.25">
      <c r="B295" s="449">
        <v>44390</v>
      </c>
      <c r="C295">
        <v>572</v>
      </c>
      <c r="D295">
        <v>563</v>
      </c>
      <c r="E295">
        <v>533</v>
      </c>
      <c r="F295">
        <v>495</v>
      </c>
      <c r="G295">
        <v>420</v>
      </c>
      <c r="H295">
        <v>351</v>
      </c>
      <c r="I295">
        <v>243</v>
      </c>
      <c r="J295">
        <v>184</v>
      </c>
      <c r="K295" s="573">
        <v>167</v>
      </c>
      <c r="M295" s="591">
        <f t="shared" si="306"/>
        <v>3.5087719298245723E-3</v>
      </c>
      <c r="N295" s="357">
        <f t="shared" si="307"/>
        <v>1.4414414414414489E-2</v>
      </c>
      <c r="O295" s="357">
        <f t="shared" si="308"/>
        <v>3.4951456310679641E-2</v>
      </c>
      <c r="P295" s="357">
        <f t="shared" si="309"/>
        <v>2.0618556701030855E-2</v>
      </c>
      <c r="Q295" s="357">
        <f t="shared" si="310"/>
        <v>-1.1764705882352899E-2</v>
      </c>
      <c r="R295" s="357">
        <f t="shared" si="311"/>
        <v>-1.4044943820224698E-2</v>
      </c>
      <c r="S295" s="357">
        <f t="shared" si="312"/>
        <v>-2.0161290322580627E-2</v>
      </c>
      <c r="T295" s="357">
        <f t="shared" si="313"/>
        <v>-2.1276595744680882E-2</v>
      </c>
      <c r="U295" s="574">
        <f t="shared" si="314"/>
        <v>-1.764705882352946E-2</v>
      </c>
      <c r="W295" s="591">
        <f t="shared" si="315"/>
        <v>3.5026305512020745E-3</v>
      </c>
      <c r="X295" s="357">
        <f t="shared" si="316"/>
        <v>1.4311514393255946E-2</v>
      </c>
      <c r="Y295" s="357">
        <f t="shared" si="317"/>
        <v>3.4354523502108422E-2</v>
      </c>
      <c r="Z295" s="357">
        <f t="shared" si="318"/>
        <v>2.0408871631207033E-2</v>
      </c>
      <c r="AA295" s="357">
        <f t="shared" si="319"/>
        <v>-1.1834457647002796E-2</v>
      </c>
      <c r="AB295" s="357">
        <f t="shared" si="320"/>
        <v>-1.4144507386164625E-2</v>
      </c>
      <c r="AC295" s="357">
        <f t="shared" si="321"/>
        <v>-2.0367302824433699E-2</v>
      </c>
      <c r="AD295" s="357">
        <f t="shared" si="322"/>
        <v>-2.1506205220963619E-2</v>
      </c>
      <c r="AE295" s="574">
        <f t="shared" si="323"/>
        <v>-1.7804624633506707E-2</v>
      </c>
      <c r="AG295" s="591">
        <f t="shared" si="324"/>
        <v>-1.7963302747743385E-2</v>
      </c>
      <c r="AH295" s="357">
        <f t="shared" si="325"/>
        <v>-6.6956625028587631E-3</v>
      </c>
      <c r="AI295" s="357">
        <f t="shared" si="326"/>
        <v>2.0686250021564365E-2</v>
      </c>
      <c r="AJ295" s="357">
        <f t="shared" si="327"/>
        <v>1.066996807819259E-2</v>
      </c>
      <c r="AK295" s="357">
        <f t="shared" si="328"/>
        <v>-1.8221379167919667E-2</v>
      </c>
      <c r="AL295" s="357">
        <f t="shared" si="329"/>
        <v>-1.4492024492274463E-2</v>
      </c>
      <c r="AM295" s="357">
        <f t="shared" si="330"/>
        <v>-2.0331937057681528E-2</v>
      </c>
      <c r="AN295" s="357">
        <f t="shared" si="331"/>
        <v>-2.125752499328824E-2</v>
      </c>
      <c r="AO295" s="574">
        <f t="shared" si="332"/>
        <v>-1.7592346862481813E-2</v>
      </c>
    </row>
    <row r="296" spans="2:41" x14ac:dyDescent="0.25">
      <c r="B296" s="449">
        <v>44397</v>
      </c>
      <c r="C296">
        <v>578</v>
      </c>
      <c r="D296">
        <v>570</v>
      </c>
      <c r="E296">
        <v>545</v>
      </c>
      <c r="F296">
        <v>517</v>
      </c>
      <c r="G296">
        <v>432</v>
      </c>
      <c r="H296">
        <v>353</v>
      </c>
      <c r="I296">
        <v>243</v>
      </c>
      <c r="J296">
        <v>182</v>
      </c>
      <c r="K296" s="573">
        <v>163</v>
      </c>
      <c r="M296" s="591">
        <f t="shared" si="306"/>
        <v>1.0489510489510412E-2</v>
      </c>
      <c r="N296" s="357">
        <f t="shared" si="307"/>
        <v>1.243339253996445E-2</v>
      </c>
      <c r="O296" s="357">
        <f t="shared" si="308"/>
        <v>2.2514071294559068E-2</v>
      </c>
      <c r="P296" s="357">
        <f t="shared" si="309"/>
        <v>4.4444444444444509E-2</v>
      </c>
      <c r="Q296" s="357">
        <f t="shared" si="310"/>
        <v>2.857142857142847E-2</v>
      </c>
      <c r="R296" s="357">
        <f t="shared" si="311"/>
        <v>5.6980056980056037E-3</v>
      </c>
      <c r="S296" s="357">
        <f t="shared" si="312"/>
        <v>0</v>
      </c>
      <c r="T296" s="357">
        <f t="shared" si="313"/>
        <v>-1.0869565217391353E-2</v>
      </c>
      <c r="U296" s="574">
        <f t="shared" si="314"/>
        <v>-2.39520958083832E-2</v>
      </c>
      <c r="W296" s="591">
        <f t="shared" si="315"/>
        <v>1.0434877292579494E-2</v>
      </c>
      <c r="X296" s="357">
        <f t="shared" si="316"/>
        <v>1.2356732688905428E-2</v>
      </c>
      <c r="Y296" s="357">
        <f t="shared" si="317"/>
        <v>2.2264370497399506E-2</v>
      </c>
      <c r="Z296" s="357">
        <f t="shared" si="318"/>
        <v>4.3485111939738891E-2</v>
      </c>
      <c r="AA296" s="357">
        <f t="shared" si="319"/>
        <v>2.8170876966696224E-2</v>
      </c>
      <c r="AB296" s="357">
        <f t="shared" si="320"/>
        <v>5.6818334674308638E-3</v>
      </c>
      <c r="AC296" s="357">
        <f t="shared" si="321"/>
        <v>0</v>
      </c>
      <c r="AD296" s="357">
        <f t="shared" si="322"/>
        <v>-1.0929070532190317E-2</v>
      </c>
      <c r="AE296" s="574">
        <f t="shared" si="323"/>
        <v>-2.4243611609992739E-2</v>
      </c>
      <c r="AG296" s="591">
        <f t="shared" si="324"/>
        <v>-1.0982564188057545E-2</v>
      </c>
      <c r="AH296" s="357">
        <f t="shared" si="325"/>
        <v>-8.6766843773088027E-3</v>
      </c>
      <c r="AI296" s="357">
        <f t="shared" si="326"/>
        <v>8.248865005443794E-3</v>
      </c>
      <c r="AJ296" s="357">
        <f t="shared" si="327"/>
        <v>3.4495855821606247E-2</v>
      </c>
      <c r="AK296" s="357">
        <f t="shared" si="328"/>
        <v>2.2114755285861702E-2</v>
      </c>
      <c r="AL296" s="357">
        <f t="shared" si="329"/>
        <v>5.2509250259558382E-3</v>
      </c>
      <c r="AM296" s="357">
        <f t="shared" si="330"/>
        <v>-1.7064673510089895E-4</v>
      </c>
      <c r="AN296" s="357">
        <f t="shared" si="331"/>
        <v>-1.0850494465998712E-2</v>
      </c>
      <c r="AO296" s="574">
        <f t="shared" si="332"/>
        <v>-2.3897383847335554E-2</v>
      </c>
    </row>
    <row r="297" spans="2:41" x14ac:dyDescent="0.25">
      <c r="B297" s="449">
        <v>44404</v>
      </c>
      <c r="C297">
        <v>578</v>
      </c>
      <c r="D297">
        <v>575</v>
      </c>
      <c r="E297">
        <v>556</v>
      </c>
      <c r="F297">
        <v>517</v>
      </c>
      <c r="G297">
        <v>445</v>
      </c>
      <c r="H297">
        <v>353</v>
      </c>
      <c r="I297">
        <v>243</v>
      </c>
      <c r="J297">
        <v>182</v>
      </c>
      <c r="K297" s="573">
        <v>163</v>
      </c>
      <c r="M297" s="591">
        <f t="shared" si="306"/>
        <v>0</v>
      </c>
      <c r="N297" s="357">
        <f t="shared" si="307"/>
        <v>8.7719298245614308E-3</v>
      </c>
      <c r="O297" s="357">
        <f t="shared" si="308"/>
        <v>2.0183486238532167E-2</v>
      </c>
      <c r="P297" s="357">
        <f t="shared" si="309"/>
        <v>0</v>
      </c>
      <c r="Q297" s="357">
        <f t="shared" si="310"/>
        <v>3.009259259259256E-2</v>
      </c>
      <c r="R297" s="357">
        <f t="shared" si="311"/>
        <v>0</v>
      </c>
      <c r="S297" s="357">
        <f t="shared" si="312"/>
        <v>0</v>
      </c>
      <c r="T297" s="357">
        <f t="shared" si="313"/>
        <v>0</v>
      </c>
      <c r="U297" s="574">
        <f t="shared" si="314"/>
        <v>0</v>
      </c>
      <c r="W297" s="591">
        <f t="shared" si="315"/>
        <v>0</v>
      </c>
      <c r="X297" s="357">
        <f t="shared" si="316"/>
        <v>8.7336799687546315E-3</v>
      </c>
      <c r="Y297" s="357">
        <f t="shared" si="317"/>
        <v>1.9982499587338356E-2</v>
      </c>
      <c r="Z297" s="357">
        <f t="shared" si="318"/>
        <v>0</v>
      </c>
      <c r="AA297" s="357">
        <f t="shared" si="319"/>
        <v>2.9648693922129869E-2</v>
      </c>
      <c r="AB297" s="357">
        <f t="shared" si="320"/>
        <v>0</v>
      </c>
      <c r="AC297" s="357">
        <f t="shared" si="321"/>
        <v>0</v>
      </c>
      <c r="AD297" s="357">
        <f t="shared" si="322"/>
        <v>0</v>
      </c>
      <c r="AE297" s="574">
        <f t="shared" si="323"/>
        <v>0</v>
      </c>
      <c r="AG297" s="591">
        <f t="shared" si="324"/>
        <v>-2.1472074677567957E-2</v>
      </c>
      <c r="AH297" s="357">
        <f t="shared" si="325"/>
        <v>-1.2338147092711822E-2</v>
      </c>
      <c r="AI297" s="357">
        <f t="shared" si="326"/>
        <v>5.9182799494168926E-3</v>
      </c>
      <c r="AJ297" s="357">
        <f t="shared" si="327"/>
        <v>-9.9485886228382649E-3</v>
      </c>
      <c r="AK297" s="357">
        <f t="shared" si="328"/>
        <v>2.3635919307025792E-2</v>
      </c>
      <c r="AL297" s="357">
        <f t="shared" si="329"/>
        <v>-4.4708067204976532E-4</v>
      </c>
      <c r="AM297" s="357">
        <f t="shared" si="330"/>
        <v>-1.7064673510089895E-4</v>
      </c>
      <c r="AN297" s="357">
        <f t="shared" si="331"/>
        <v>1.9070751392640699E-5</v>
      </c>
      <c r="AO297" s="574">
        <f t="shared" si="332"/>
        <v>5.4711961047645428E-5</v>
      </c>
    </row>
    <row r="298" spans="2:41" x14ac:dyDescent="0.25">
      <c r="B298" s="449">
        <v>44411</v>
      </c>
      <c r="C298">
        <v>578</v>
      </c>
      <c r="D298">
        <v>571</v>
      </c>
      <c r="E298">
        <v>548</v>
      </c>
      <c r="F298">
        <v>515</v>
      </c>
      <c r="G298">
        <v>425</v>
      </c>
      <c r="H298">
        <v>344</v>
      </c>
      <c r="I298">
        <v>240</v>
      </c>
      <c r="J298">
        <v>180</v>
      </c>
      <c r="K298" s="573">
        <v>160</v>
      </c>
      <c r="M298" s="591">
        <f t="shared" si="306"/>
        <v>0</v>
      </c>
      <c r="N298" s="357">
        <f t="shared" si="307"/>
        <v>-6.9565217391304168E-3</v>
      </c>
      <c r="O298" s="357">
        <f t="shared" si="308"/>
        <v>-1.4388489208633115E-2</v>
      </c>
      <c r="P298" s="357">
        <f t="shared" si="309"/>
        <v>-3.8684719535783119E-3</v>
      </c>
      <c r="Q298" s="357">
        <f t="shared" si="310"/>
        <v>-4.49438202247191E-2</v>
      </c>
      <c r="R298" s="357">
        <f t="shared" si="311"/>
        <v>-2.5495750708215303E-2</v>
      </c>
      <c r="S298" s="357">
        <f t="shared" si="312"/>
        <v>-1.2345679012345734E-2</v>
      </c>
      <c r="T298" s="357">
        <f t="shared" si="313"/>
        <v>-1.098901098901095E-2</v>
      </c>
      <c r="U298" s="574">
        <f t="shared" si="314"/>
        <v>-1.8404907975460127E-2</v>
      </c>
      <c r="W298" s="591">
        <f t="shared" si="315"/>
        <v>0</v>
      </c>
      <c r="X298" s="357">
        <f t="shared" si="316"/>
        <v>-6.980831141340205E-3</v>
      </c>
      <c r="Y298" s="357">
        <f t="shared" si="317"/>
        <v>-1.4493007302566864E-2</v>
      </c>
      <c r="Z298" s="357">
        <f t="shared" si="318"/>
        <v>-3.8759738446929605E-3</v>
      </c>
      <c r="AA298" s="357">
        <f t="shared" si="319"/>
        <v>-4.5985113241823382E-2</v>
      </c>
      <c r="AB298" s="357">
        <f t="shared" si="320"/>
        <v>-2.5826399559898423E-2</v>
      </c>
      <c r="AC298" s="357">
        <f t="shared" si="321"/>
        <v>-1.2422519998557209E-2</v>
      </c>
      <c r="AD298" s="357">
        <f t="shared" si="322"/>
        <v>-1.1049836186584935E-2</v>
      </c>
      <c r="AE298" s="574">
        <f t="shared" si="323"/>
        <v>-1.8576385572935419E-2</v>
      </c>
      <c r="AG298" s="591">
        <f t="shared" si="324"/>
        <v>-2.1472074677567957E-2</v>
      </c>
      <c r="AH298" s="357">
        <f t="shared" si="325"/>
        <v>-2.8066598656403669E-2</v>
      </c>
      <c r="AI298" s="357">
        <f t="shared" si="326"/>
        <v>-2.8653695497748391E-2</v>
      </c>
      <c r="AJ298" s="357">
        <f t="shared" si="327"/>
        <v>-1.3817060576416577E-2</v>
      </c>
      <c r="AK298" s="357">
        <f t="shared" si="328"/>
        <v>-5.1400493510285868E-2</v>
      </c>
      <c r="AL298" s="357">
        <f t="shared" si="329"/>
        <v>-2.5942831380265069E-2</v>
      </c>
      <c r="AM298" s="357">
        <f t="shared" si="330"/>
        <v>-1.2516325747446632E-2</v>
      </c>
      <c r="AN298" s="357">
        <f t="shared" si="331"/>
        <v>-1.096994023761831E-2</v>
      </c>
      <c r="AO298" s="574">
        <f t="shared" si="332"/>
        <v>-1.8350196014412481E-2</v>
      </c>
    </row>
    <row r="299" spans="2:41" x14ac:dyDescent="0.25">
      <c r="B299" s="449">
        <v>44418</v>
      </c>
      <c r="C299">
        <v>578</v>
      </c>
      <c r="D299">
        <v>573</v>
      </c>
      <c r="E299">
        <v>548</v>
      </c>
      <c r="F299">
        <v>515</v>
      </c>
      <c r="G299">
        <v>425</v>
      </c>
      <c r="H299">
        <v>344</v>
      </c>
      <c r="I299">
        <v>240</v>
      </c>
      <c r="J299">
        <v>180</v>
      </c>
      <c r="K299" s="573">
        <v>160</v>
      </c>
      <c r="M299" s="591">
        <f t="shared" si="306"/>
        <v>0</v>
      </c>
      <c r="N299" s="357">
        <f t="shared" si="307"/>
        <v>3.5026269702276291E-3</v>
      </c>
      <c r="O299" s="357">
        <f t="shared" si="308"/>
        <v>0</v>
      </c>
      <c r="P299" s="357">
        <f t="shared" si="309"/>
        <v>0</v>
      </c>
      <c r="Q299" s="357">
        <f t="shared" si="310"/>
        <v>0</v>
      </c>
      <c r="R299" s="357">
        <f t="shared" si="311"/>
        <v>0</v>
      </c>
      <c r="S299" s="357">
        <f t="shared" si="312"/>
        <v>0</v>
      </c>
      <c r="T299" s="357">
        <f t="shared" si="313"/>
        <v>0</v>
      </c>
      <c r="U299" s="574">
        <f t="shared" si="314"/>
        <v>0</v>
      </c>
      <c r="W299" s="591">
        <f t="shared" si="315"/>
        <v>0</v>
      </c>
      <c r="X299" s="357">
        <f t="shared" si="316"/>
        <v>3.496507058729306E-3</v>
      </c>
      <c r="Y299" s="357">
        <f t="shared" si="317"/>
        <v>0</v>
      </c>
      <c r="Z299" s="357">
        <f t="shared" si="318"/>
        <v>0</v>
      </c>
      <c r="AA299" s="357">
        <f t="shared" si="319"/>
        <v>0</v>
      </c>
      <c r="AB299" s="357">
        <f t="shared" si="320"/>
        <v>0</v>
      </c>
      <c r="AC299" s="357">
        <f t="shared" si="321"/>
        <v>0</v>
      </c>
      <c r="AD299" s="357">
        <f t="shared" si="322"/>
        <v>0</v>
      </c>
      <c r="AE299" s="574">
        <f t="shared" si="323"/>
        <v>0</v>
      </c>
      <c r="AG299" s="591">
        <f t="shared" si="324"/>
        <v>-2.1472074677567957E-2</v>
      </c>
      <c r="AH299" s="357">
        <f t="shared" si="325"/>
        <v>-1.7607449947045623E-2</v>
      </c>
      <c r="AI299" s="357">
        <f t="shared" si="326"/>
        <v>-1.4265206289115274E-2</v>
      </c>
      <c r="AJ299" s="357">
        <f t="shared" si="327"/>
        <v>-9.9485886228382649E-3</v>
      </c>
      <c r="AK299" s="357">
        <f t="shared" si="328"/>
        <v>-6.4566732855667669E-3</v>
      </c>
      <c r="AL299" s="357">
        <f t="shared" si="329"/>
        <v>-4.4708067204976532E-4</v>
      </c>
      <c r="AM299" s="357">
        <f t="shared" si="330"/>
        <v>-1.7064673510089895E-4</v>
      </c>
      <c r="AN299" s="357">
        <f t="shared" si="331"/>
        <v>1.9070751392640699E-5</v>
      </c>
      <c r="AO299" s="574">
        <f t="shared" si="332"/>
        <v>5.4711961047645428E-5</v>
      </c>
    </row>
    <row r="300" spans="2:41" x14ac:dyDescent="0.25">
      <c r="B300" s="449">
        <v>44425</v>
      </c>
      <c r="C300">
        <v>578</v>
      </c>
      <c r="D300">
        <v>575</v>
      </c>
      <c r="E300">
        <v>560</v>
      </c>
      <c r="F300">
        <v>530</v>
      </c>
      <c r="G300">
        <v>460</v>
      </c>
      <c r="H300">
        <v>350</v>
      </c>
      <c r="I300">
        <v>240</v>
      </c>
      <c r="J300">
        <v>178</v>
      </c>
      <c r="K300" s="573">
        <v>160</v>
      </c>
      <c r="M300" s="591">
        <f t="shared" si="306"/>
        <v>0</v>
      </c>
      <c r="N300" s="357">
        <f t="shared" si="307"/>
        <v>3.4904013961605251E-3</v>
      </c>
      <c r="O300" s="357">
        <f t="shared" si="308"/>
        <v>2.1897810218978186E-2</v>
      </c>
      <c r="P300" s="357">
        <f t="shared" si="309"/>
        <v>2.9126213592232997E-2</v>
      </c>
      <c r="Q300" s="357">
        <f t="shared" si="310"/>
        <v>8.2352941176470518E-2</v>
      </c>
      <c r="R300" s="357">
        <f t="shared" si="311"/>
        <v>1.744186046511631E-2</v>
      </c>
      <c r="S300" s="357">
        <f t="shared" si="312"/>
        <v>0</v>
      </c>
      <c r="T300" s="357">
        <f t="shared" si="313"/>
        <v>-1.1111111111111072E-2</v>
      </c>
      <c r="U300" s="574">
        <f t="shared" si="314"/>
        <v>0</v>
      </c>
      <c r="W300" s="591">
        <f t="shared" si="315"/>
        <v>0</v>
      </c>
      <c r="X300" s="357">
        <f t="shared" si="316"/>
        <v>3.4843240826108427E-3</v>
      </c>
      <c r="Y300" s="357">
        <f t="shared" si="317"/>
        <v>2.1661496781179467E-2</v>
      </c>
      <c r="Z300" s="357">
        <f t="shared" si="318"/>
        <v>2.871010588243136E-2</v>
      </c>
      <c r="AA300" s="357">
        <f t="shared" si="319"/>
        <v>7.9137320558723787E-2</v>
      </c>
      <c r="AB300" s="357">
        <f t="shared" si="320"/>
        <v>1.7291497110061043E-2</v>
      </c>
      <c r="AC300" s="357">
        <f t="shared" si="321"/>
        <v>0</v>
      </c>
      <c r="AD300" s="357">
        <f t="shared" si="322"/>
        <v>-1.1173300598125189E-2</v>
      </c>
      <c r="AE300" s="574">
        <f t="shared" si="323"/>
        <v>0</v>
      </c>
      <c r="AG300" s="591">
        <f t="shared" si="324"/>
        <v>-2.1472074677567957E-2</v>
      </c>
      <c r="AH300" s="357">
        <f t="shared" si="325"/>
        <v>-1.7619675521112727E-2</v>
      </c>
      <c r="AI300" s="357">
        <f t="shared" si="326"/>
        <v>7.6326039298629123E-3</v>
      </c>
      <c r="AJ300" s="357">
        <f t="shared" si="327"/>
        <v>1.9177624969394732E-2</v>
      </c>
      <c r="AK300" s="357">
        <f t="shared" si="328"/>
        <v>7.5896267890903757E-2</v>
      </c>
      <c r="AL300" s="357">
        <f t="shared" si="329"/>
        <v>1.6994779793066545E-2</v>
      </c>
      <c r="AM300" s="357">
        <f t="shared" si="330"/>
        <v>-1.7064673510089895E-4</v>
      </c>
      <c r="AN300" s="357">
        <f t="shared" si="331"/>
        <v>-1.1092040359718431E-2</v>
      </c>
      <c r="AO300" s="574">
        <f t="shared" si="332"/>
        <v>5.4711961047645428E-5</v>
      </c>
    </row>
    <row r="301" spans="2:41" x14ac:dyDescent="0.25">
      <c r="B301" s="449">
        <v>44432</v>
      </c>
      <c r="C301">
        <v>580</v>
      </c>
      <c r="D301">
        <v>577</v>
      </c>
      <c r="E301">
        <v>552</v>
      </c>
      <c r="F301">
        <v>528</v>
      </c>
      <c r="G301">
        <v>440</v>
      </c>
      <c r="H301">
        <v>350</v>
      </c>
      <c r="I301">
        <v>240</v>
      </c>
      <c r="J301">
        <v>178</v>
      </c>
      <c r="K301" s="573">
        <v>162</v>
      </c>
      <c r="M301" s="591">
        <f t="shared" si="306"/>
        <v>3.4602076124568004E-3</v>
      </c>
      <c r="N301" s="357">
        <f t="shared" si="307"/>
        <v>3.4782608695651529E-3</v>
      </c>
      <c r="O301" s="357">
        <f t="shared" si="308"/>
        <v>-1.4285714285714235E-2</v>
      </c>
      <c r="P301" s="357">
        <f t="shared" si="309"/>
        <v>-3.7735849056603765E-3</v>
      </c>
      <c r="Q301" s="357">
        <f t="shared" si="310"/>
        <v>-4.3478260869565188E-2</v>
      </c>
      <c r="R301" s="357">
        <f t="shared" si="311"/>
        <v>0</v>
      </c>
      <c r="S301" s="357">
        <f t="shared" si="312"/>
        <v>0</v>
      </c>
      <c r="T301" s="357">
        <f t="shared" si="313"/>
        <v>0</v>
      </c>
      <c r="U301" s="574">
        <f t="shared" si="314"/>
        <v>1.2499999999999956E-2</v>
      </c>
      <c r="W301" s="591">
        <f t="shared" si="315"/>
        <v>3.4542348680876036E-3</v>
      </c>
      <c r="X301" s="357">
        <f t="shared" si="316"/>
        <v>3.4722257107490571E-3</v>
      </c>
      <c r="Y301" s="357">
        <f t="shared" si="317"/>
        <v>-1.4388737452099556E-2</v>
      </c>
      <c r="Z301" s="357">
        <f t="shared" si="318"/>
        <v>-3.7807228399060443E-3</v>
      </c>
      <c r="AA301" s="357">
        <f t="shared" si="319"/>
        <v>-4.445176257083381E-2</v>
      </c>
      <c r="AB301" s="357">
        <f t="shared" si="320"/>
        <v>0</v>
      </c>
      <c r="AC301" s="357">
        <f t="shared" si="321"/>
        <v>0</v>
      </c>
      <c r="AD301" s="357">
        <f t="shared" si="322"/>
        <v>0</v>
      </c>
      <c r="AE301" s="574">
        <f t="shared" si="323"/>
        <v>1.242251999855711E-2</v>
      </c>
      <c r="AG301" s="591">
        <f t="shared" si="324"/>
        <v>-1.8011867065111157E-2</v>
      </c>
      <c r="AH301" s="357">
        <f t="shared" si="325"/>
        <v>-1.7631816047708099E-2</v>
      </c>
      <c r="AI301" s="357">
        <f t="shared" si="326"/>
        <v>-2.8550920574829511E-2</v>
      </c>
      <c r="AJ301" s="357">
        <f t="shared" si="327"/>
        <v>-1.3722173528498641E-2</v>
      </c>
      <c r="AK301" s="357">
        <f t="shared" si="328"/>
        <v>-4.9934934155131956E-2</v>
      </c>
      <c r="AL301" s="357">
        <f t="shared" si="329"/>
        <v>-4.4708067204976532E-4</v>
      </c>
      <c r="AM301" s="357">
        <f t="shared" si="330"/>
        <v>-1.7064673510089895E-4</v>
      </c>
      <c r="AN301" s="357">
        <f t="shared" si="331"/>
        <v>1.9070751392640699E-5</v>
      </c>
      <c r="AO301" s="574">
        <f t="shared" si="332"/>
        <v>1.2554711961047601E-2</v>
      </c>
    </row>
    <row r="302" spans="2:41" x14ac:dyDescent="0.25">
      <c r="B302" s="449">
        <v>44439</v>
      </c>
      <c r="C302">
        <v>579</v>
      </c>
      <c r="D302">
        <v>575</v>
      </c>
      <c r="E302">
        <v>548</v>
      </c>
      <c r="F302">
        <v>520</v>
      </c>
      <c r="G302">
        <v>430</v>
      </c>
      <c r="H302">
        <v>352</v>
      </c>
      <c r="I302">
        <v>242</v>
      </c>
      <c r="J302">
        <v>180</v>
      </c>
      <c r="K302" s="573">
        <v>162</v>
      </c>
      <c r="M302" s="591">
        <f t="shared" si="306"/>
        <v>-1.7241379310344307E-3</v>
      </c>
      <c r="N302" s="357">
        <f t="shared" si="307"/>
        <v>-3.4662045060658286E-3</v>
      </c>
      <c r="O302" s="357">
        <f t="shared" si="308"/>
        <v>-7.2463768115942351E-3</v>
      </c>
      <c r="P302" s="357">
        <f t="shared" si="309"/>
        <v>-1.5151515151515138E-2</v>
      </c>
      <c r="Q302" s="357">
        <f t="shared" si="310"/>
        <v>-2.2727272727272707E-2</v>
      </c>
      <c r="R302" s="357">
        <f t="shared" si="311"/>
        <v>5.7142857142857828E-3</v>
      </c>
      <c r="S302" s="357">
        <f t="shared" si="312"/>
        <v>8.3333333333333037E-3</v>
      </c>
      <c r="T302" s="357">
        <f t="shared" si="313"/>
        <v>1.1235955056179803E-2</v>
      </c>
      <c r="U302" s="574">
        <f t="shared" si="314"/>
        <v>0</v>
      </c>
      <c r="W302" s="591">
        <f t="shared" si="315"/>
        <v>-1.7256259674697252E-3</v>
      </c>
      <c r="X302" s="357">
        <f t="shared" si="316"/>
        <v>-3.4722257107490922E-3</v>
      </c>
      <c r="Y302" s="357">
        <f t="shared" si="317"/>
        <v>-7.2727593290798087E-3</v>
      </c>
      <c r="Z302" s="357">
        <f t="shared" si="318"/>
        <v>-1.5267472130788421E-2</v>
      </c>
      <c r="AA302" s="357">
        <f t="shared" si="319"/>
        <v>-2.2989518224698718E-2</v>
      </c>
      <c r="AB302" s="357">
        <f t="shared" si="320"/>
        <v>5.6980211146377959E-3</v>
      </c>
      <c r="AC302" s="357">
        <f t="shared" si="321"/>
        <v>8.2988028146950641E-3</v>
      </c>
      <c r="AD302" s="357">
        <f t="shared" si="322"/>
        <v>1.1173300598125255E-2</v>
      </c>
      <c r="AE302" s="574">
        <f t="shared" si="323"/>
        <v>0</v>
      </c>
      <c r="AG302" s="591">
        <f t="shared" si="324"/>
        <v>-2.3196212608602388E-2</v>
      </c>
      <c r="AH302" s="357">
        <f t="shared" si="325"/>
        <v>-2.4576281423339081E-2</v>
      </c>
      <c r="AI302" s="357">
        <f t="shared" si="326"/>
        <v>-2.1511583100709511E-2</v>
      </c>
      <c r="AJ302" s="357">
        <f t="shared" si="327"/>
        <v>-2.5100103774353403E-2</v>
      </c>
      <c r="AK302" s="357">
        <f t="shared" si="328"/>
        <v>-2.9183946012839475E-2</v>
      </c>
      <c r="AL302" s="357">
        <f t="shared" si="329"/>
        <v>5.2672050422360173E-3</v>
      </c>
      <c r="AM302" s="357">
        <f t="shared" si="330"/>
        <v>8.1626865982324052E-3</v>
      </c>
      <c r="AN302" s="357">
        <f t="shared" si="331"/>
        <v>1.1255025807572443E-2</v>
      </c>
      <c r="AO302" s="574">
        <f t="shared" si="332"/>
        <v>5.4711961047645428E-5</v>
      </c>
    </row>
    <row r="303" spans="2:41" x14ac:dyDescent="0.25">
      <c r="B303" s="449">
        <v>44446</v>
      </c>
      <c r="C303">
        <v>574</v>
      </c>
      <c r="D303">
        <v>551</v>
      </c>
      <c r="E303">
        <v>515</v>
      </c>
      <c r="F303">
        <v>431</v>
      </c>
      <c r="G303">
        <v>354</v>
      </c>
      <c r="H303">
        <v>245</v>
      </c>
      <c r="I303">
        <v>180</v>
      </c>
      <c r="J303">
        <v>162</v>
      </c>
      <c r="K303" s="573">
        <v>146</v>
      </c>
      <c r="M303" s="591">
        <f t="shared" si="306"/>
        <v>-8.6355785837650689E-3</v>
      </c>
      <c r="N303" s="357">
        <f t="shared" si="307"/>
        <v>-4.1739130434782612E-2</v>
      </c>
      <c r="O303" s="357">
        <f t="shared" si="308"/>
        <v>-6.0218978102189791E-2</v>
      </c>
      <c r="P303" s="357">
        <f t="shared" si="309"/>
        <v>-0.1711538461538461</v>
      </c>
      <c r="Q303" s="357">
        <f t="shared" si="310"/>
        <v>-0.17674418604651165</v>
      </c>
      <c r="R303" s="357">
        <f t="shared" si="311"/>
        <v>-0.30397727272727271</v>
      </c>
      <c r="S303" s="357">
        <f t="shared" si="312"/>
        <v>-0.25619834710743805</v>
      </c>
      <c r="T303" s="357">
        <f t="shared" si="313"/>
        <v>-9.9999999999999978E-2</v>
      </c>
      <c r="U303" s="574">
        <f t="shared" si="314"/>
        <v>-9.8765432098765427E-2</v>
      </c>
      <c r="W303" s="591">
        <f t="shared" si="315"/>
        <v>-8.6730812534287806E-3</v>
      </c>
      <c r="X303" s="357">
        <f t="shared" si="316"/>
        <v>-4.2635231644435959E-2</v>
      </c>
      <c r="Y303" s="357">
        <f t="shared" si="317"/>
        <v>-6.21083862842794E-2</v>
      </c>
      <c r="Z303" s="357">
        <f t="shared" si="318"/>
        <v>-0.18772072147172519</v>
      </c>
      <c r="AA303" s="357">
        <f t="shared" si="319"/>
        <v>-0.19448829555383368</v>
      </c>
      <c r="AB303" s="357">
        <f t="shared" si="320"/>
        <v>-0.36237296505337008</v>
      </c>
      <c r="AC303" s="357">
        <f t="shared" si="321"/>
        <v>-0.2959808752664761</v>
      </c>
      <c r="AD303" s="357">
        <f t="shared" si="322"/>
        <v>-0.10536051565782628</v>
      </c>
      <c r="AE303" s="574">
        <f t="shared" si="323"/>
        <v>-0.10398971352404764</v>
      </c>
      <c r="AG303" s="591">
        <f t="shared" si="324"/>
        <v>-3.0107653261333026E-2</v>
      </c>
      <c r="AH303" s="357">
        <f t="shared" si="325"/>
        <v>-6.2849207352055861E-2</v>
      </c>
      <c r="AI303" s="357">
        <f t="shared" si="326"/>
        <v>-7.4484184391305067E-2</v>
      </c>
      <c r="AJ303" s="357">
        <f t="shared" si="327"/>
        <v>-0.18110243477668436</v>
      </c>
      <c r="AK303" s="357">
        <f t="shared" si="328"/>
        <v>-0.18320085933207841</v>
      </c>
      <c r="AL303" s="357">
        <f t="shared" si="329"/>
        <v>-0.30442435339932244</v>
      </c>
      <c r="AM303" s="357">
        <f t="shared" si="330"/>
        <v>-0.25636899384253897</v>
      </c>
      <c r="AN303" s="357">
        <f t="shared" si="331"/>
        <v>-9.9980929248607339E-2</v>
      </c>
      <c r="AO303" s="574">
        <f t="shared" si="332"/>
        <v>-9.8710720137717783E-2</v>
      </c>
    </row>
    <row r="304" spans="2:41" x14ac:dyDescent="0.25">
      <c r="B304" s="449">
        <v>44453</v>
      </c>
      <c r="C304">
        <v>575</v>
      </c>
      <c r="D304">
        <v>545</v>
      </c>
      <c r="E304">
        <v>501</v>
      </c>
      <c r="F304">
        <v>414</v>
      </c>
      <c r="G304">
        <v>352</v>
      </c>
      <c r="H304">
        <v>245</v>
      </c>
      <c r="I304">
        <v>180</v>
      </c>
      <c r="J304">
        <v>160</v>
      </c>
      <c r="K304" s="573">
        <v>147</v>
      </c>
      <c r="M304" s="591">
        <f t="shared" si="306"/>
        <v>1.7421602787457413E-3</v>
      </c>
      <c r="N304" s="357">
        <f t="shared" si="307"/>
        <v>-1.0889292196007205E-2</v>
      </c>
      <c r="O304" s="357">
        <f t="shared" si="308"/>
        <v>-2.7184466019417486E-2</v>
      </c>
      <c r="P304" s="357">
        <f t="shared" si="309"/>
        <v>-3.9443155452436152E-2</v>
      </c>
      <c r="Q304" s="357">
        <f t="shared" si="310"/>
        <v>-5.6497175141242417E-3</v>
      </c>
      <c r="R304" s="357">
        <f t="shared" si="311"/>
        <v>0</v>
      </c>
      <c r="S304" s="357">
        <f t="shared" si="312"/>
        <v>0</v>
      </c>
      <c r="T304" s="357">
        <f t="shared" si="313"/>
        <v>-1.2345679012345734E-2</v>
      </c>
      <c r="U304" s="574">
        <f t="shared" si="314"/>
        <v>6.8493150684931781E-3</v>
      </c>
      <c r="W304" s="591">
        <f t="shared" si="315"/>
        <v>1.7406444777841182E-3</v>
      </c>
      <c r="X304" s="357">
        <f t="shared" si="316"/>
        <v>-1.0949014489670358E-2</v>
      </c>
      <c r="Y304" s="357">
        <f t="shared" si="317"/>
        <v>-2.7560799578871358E-2</v>
      </c>
      <c r="Z304" s="357">
        <f t="shared" si="318"/>
        <v>-4.0242116278433361E-2</v>
      </c>
      <c r="AA304" s="357">
        <f t="shared" si="319"/>
        <v>-5.6657375356773077E-3</v>
      </c>
      <c r="AB304" s="357">
        <f t="shared" si="320"/>
        <v>0</v>
      </c>
      <c r="AC304" s="357">
        <f t="shared" si="321"/>
        <v>0</v>
      </c>
      <c r="AD304" s="357">
        <f t="shared" si="322"/>
        <v>-1.2422519998557209E-2</v>
      </c>
      <c r="AE304" s="574">
        <f t="shared" si="323"/>
        <v>6.8259650703998906E-3</v>
      </c>
      <c r="AG304" s="591">
        <f t="shared" si="324"/>
        <v>-1.9729914398822216E-2</v>
      </c>
      <c r="AH304" s="357">
        <f t="shared" si="325"/>
        <v>-3.1999369113280454E-2</v>
      </c>
      <c r="AI304" s="357">
        <f t="shared" si="326"/>
        <v>-4.1449672308532762E-2</v>
      </c>
      <c r="AJ304" s="357">
        <f t="shared" si="327"/>
        <v>-4.9391744075274413E-2</v>
      </c>
      <c r="AK304" s="357">
        <f t="shared" si="328"/>
        <v>-1.2106390799691009E-2</v>
      </c>
      <c r="AL304" s="357">
        <f t="shared" si="329"/>
        <v>-4.4708067204976532E-4</v>
      </c>
      <c r="AM304" s="357">
        <f t="shared" si="330"/>
        <v>-1.7064673510089895E-4</v>
      </c>
      <c r="AN304" s="357">
        <f t="shared" si="331"/>
        <v>-1.2326608260953094E-2</v>
      </c>
      <c r="AO304" s="574">
        <f t="shared" si="332"/>
        <v>6.9040270295408239E-3</v>
      </c>
    </row>
    <row r="305" spans="2:41" x14ac:dyDescent="0.25">
      <c r="B305" s="449">
        <v>44460</v>
      </c>
      <c r="C305">
        <v>575</v>
      </c>
      <c r="D305">
        <v>553</v>
      </c>
      <c r="E305">
        <v>497</v>
      </c>
      <c r="F305">
        <v>418</v>
      </c>
      <c r="G305">
        <v>347</v>
      </c>
      <c r="H305">
        <v>240</v>
      </c>
      <c r="I305">
        <v>180</v>
      </c>
      <c r="J305">
        <v>160</v>
      </c>
      <c r="K305" s="445">
        <v>147</v>
      </c>
      <c r="M305" s="451">
        <f>C305/C304-1</f>
        <v>0</v>
      </c>
      <c r="N305" s="357">
        <f t="shared" si="307"/>
        <v>1.4678899082568808E-2</v>
      </c>
      <c r="O305" s="357">
        <f t="shared" si="308"/>
        <v>-7.9840319361277334E-3</v>
      </c>
      <c r="P305" s="357">
        <f t="shared" si="309"/>
        <v>9.6618357487923134E-3</v>
      </c>
      <c r="Q305" s="357">
        <f t="shared" si="310"/>
        <v>-1.4204545454545414E-2</v>
      </c>
      <c r="R305" s="357">
        <f t="shared" si="311"/>
        <v>-2.0408163265306145E-2</v>
      </c>
      <c r="S305" s="357">
        <f t="shared" si="312"/>
        <v>0</v>
      </c>
      <c r="T305" s="357">
        <f t="shared" si="313"/>
        <v>0</v>
      </c>
      <c r="U305" s="379">
        <f t="shared" si="314"/>
        <v>0</v>
      </c>
      <c r="W305" s="451">
        <f t="shared" si="315"/>
        <v>0</v>
      </c>
      <c r="X305" s="357">
        <f t="shared" si="316"/>
        <v>1.4572206859090725E-2</v>
      </c>
      <c r="Y305" s="357">
        <f t="shared" si="317"/>
        <v>-8.0160749882360605E-3</v>
      </c>
      <c r="Z305" s="357">
        <f t="shared" si="318"/>
        <v>9.6154586994419734E-3</v>
      </c>
      <c r="AA305" s="357">
        <f t="shared" si="319"/>
        <v>-1.4306395651237858E-2</v>
      </c>
      <c r="AB305" s="357">
        <f t="shared" si="320"/>
        <v>-2.0619287202735703E-2</v>
      </c>
      <c r="AC305" s="357">
        <f t="shared" si="321"/>
        <v>0</v>
      </c>
      <c r="AD305" s="357">
        <f t="shared" si="322"/>
        <v>0</v>
      </c>
      <c r="AE305" s="379">
        <f t="shared" si="323"/>
        <v>0</v>
      </c>
      <c r="AG305" s="451">
        <f t="shared" si="324"/>
        <v>-2.1472074677567957E-2</v>
      </c>
      <c r="AH305" s="357">
        <f t="shared" si="325"/>
        <v>-6.4311778347044442E-3</v>
      </c>
      <c r="AI305" s="357">
        <f t="shared" si="326"/>
        <v>-2.2249238225243009E-2</v>
      </c>
      <c r="AJ305" s="357">
        <f t="shared" si="327"/>
        <v>-2.8675287404595143E-4</v>
      </c>
      <c r="AK305" s="357">
        <f t="shared" si="328"/>
        <v>-2.0661218740112182E-2</v>
      </c>
      <c r="AL305" s="357">
        <f t="shared" si="329"/>
        <v>-2.0855243937355911E-2</v>
      </c>
      <c r="AM305" s="357">
        <f t="shared" si="330"/>
        <v>-1.7064673510089895E-4</v>
      </c>
      <c r="AN305" s="357">
        <f t="shared" si="331"/>
        <v>1.9070751392640699E-5</v>
      </c>
      <c r="AO305" s="379">
        <f t="shared" si="332"/>
        <v>5.4711961047645428E-5</v>
      </c>
    </row>
    <row r="306" spans="2:41" x14ac:dyDescent="0.25">
      <c r="B306" s="449">
        <v>44467</v>
      </c>
      <c r="C306">
        <v>575</v>
      </c>
      <c r="D306">
        <v>445</v>
      </c>
      <c r="E306">
        <v>355</v>
      </c>
      <c r="F306">
        <v>305</v>
      </c>
      <c r="G306">
        <v>315</v>
      </c>
      <c r="H306">
        <v>237</v>
      </c>
      <c r="I306">
        <v>180</v>
      </c>
      <c r="J306">
        <v>160</v>
      </c>
      <c r="K306" s="445">
        <v>147</v>
      </c>
      <c r="M306" s="451">
        <f t="shared" si="306"/>
        <v>0</v>
      </c>
      <c r="N306" s="357">
        <f t="shared" si="307"/>
        <v>-0.19529837251356241</v>
      </c>
      <c r="O306" s="357">
        <f t="shared" si="308"/>
        <v>-0.2857142857142857</v>
      </c>
      <c r="P306" s="357">
        <f t="shared" si="309"/>
        <v>-0.27033492822966509</v>
      </c>
      <c r="Q306" s="357">
        <f t="shared" si="310"/>
        <v>-9.2219020172910615E-2</v>
      </c>
      <c r="R306" s="357">
        <f t="shared" si="311"/>
        <v>-1.2499999999999956E-2</v>
      </c>
      <c r="S306" s="357">
        <f t="shared" si="312"/>
        <v>0</v>
      </c>
      <c r="T306" s="357">
        <f t="shared" si="313"/>
        <v>0</v>
      </c>
      <c r="U306" s="379">
        <f t="shared" si="314"/>
        <v>0</v>
      </c>
      <c r="W306" s="451">
        <f t="shared" si="315"/>
        <v>0</v>
      </c>
      <c r="X306" s="357">
        <f t="shared" si="316"/>
        <v>-0.21728371935609461</v>
      </c>
      <c r="Y306" s="357">
        <f t="shared" si="317"/>
        <v>-0.33647223662121289</v>
      </c>
      <c r="Z306" s="357">
        <f t="shared" si="318"/>
        <v>-0.31516965591734475</v>
      </c>
      <c r="AA306" s="357">
        <f t="shared" si="319"/>
        <v>-9.6752141121226071E-2</v>
      </c>
      <c r="AB306" s="357">
        <f t="shared" si="320"/>
        <v>-1.2578782206860073E-2</v>
      </c>
      <c r="AC306" s="357">
        <f t="shared" si="321"/>
        <v>0</v>
      </c>
      <c r="AD306" s="357">
        <f t="shared" si="322"/>
        <v>0</v>
      </c>
      <c r="AE306" s="379">
        <f t="shared" si="323"/>
        <v>0</v>
      </c>
      <c r="AG306" s="451">
        <f t="shared" si="324"/>
        <v>-2.1472074677567957E-2</v>
      </c>
      <c r="AH306" s="357">
        <f t="shared" si="325"/>
        <v>-0.21640844943083568</v>
      </c>
      <c r="AI306" s="357">
        <f t="shared" si="326"/>
        <v>-0.29997949200340096</v>
      </c>
      <c r="AJ306" s="357">
        <f t="shared" si="327"/>
        <v>-0.28028351685250336</v>
      </c>
      <c r="AK306" s="357">
        <f t="shared" si="328"/>
        <v>-9.8675693458477376E-2</v>
      </c>
      <c r="AL306" s="357">
        <f t="shared" si="329"/>
        <v>-1.2947080672049721E-2</v>
      </c>
      <c r="AM306" s="357">
        <f t="shared" si="330"/>
        <v>-1.7064673510089895E-4</v>
      </c>
      <c r="AN306" s="357">
        <f t="shared" si="331"/>
        <v>1.9070751392640699E-5</v>
      </c>
      <c r="AO306" s="379">
        <f t="shared" si="332"/>
        <v>5.4711961047645428E-5</v>
      </c>
    </row>
    <row r="307" spans="2:41" x14ac:dyDescent="0.25">
      <c r="B307" s="449">
        <v>44474</v>
      </c>
      <c r="C307">
        <v>345</v>
      </c>
      <c r="D307">
        <v>270</v>
      </c>
      <c r="E307">
        <v>245</v>
      </c>
      <c r="F307">
        <v>350</v>
      </c>
      <c r="G307">
        <v>275</v>
      </c>
      <c r="H307">
        <v>220</v>
      </c>
      <c r="I307">
        <v>179</v>
      </c>
      <c r="J307">
        <v>160</v>
      </c>
      <c r="K307" s="445">
        <v>147</v>
      </c>
      <c r="M307" s="451">
        <f t="shared" si="306"/>
        <v>-0.4</v>
      </c>
      <c r="N307" s="357">
        <f t="shared" si="307"/>
        <v>-0.3932584269662921</v>
      </c>
      <c r="O307" s="357">
        <f t="shared" si="308"/>
        <v>-0.3098591549295775</v>
      </c>
      <c r="P307" s="357">
        <f t="shared" si="309"/>
        <v>0.14754098360655732</v>
      </c>
      <c r="Q307" s="357">
        <f t="shared" si="310"/>
        <v>-0.12698412698412698</v>
      </c>
      <c r="R307" s="357">
        <f t="shared" si="311"/>
        <v>-7.1729957805907185E-2</v>
      </c>
      <c r="S307" s="357">
        <f t="shared" si="312"/>
        <v>-5.5555555555555358E-3</v>
      </c>
      <c r="T307" s="357">
        <f t="shared" si="313"/>
        <v>0</v>
      </c>
      <c r="U307" s="379">
        <f t="shared" si="314"/>
        <v>0</v>
      </c>
      <c r="W307" s="451">
        <f t="shared" si="315"/>
        <v>-0.51082562376599072</v>
      </c>
      <c r="X307" s="357">
        <f t="shared" si="316"/>
        <v>-0.4996523231678654</v>
      </c>
      <c r="Y307" s="357">
        <f t="shared" si="317"/>
        <v>-0.37085957893068888</v>
      </c>
      <c r="Z307" s="357">
        <f t="shared" si="318"/>
        <v>0.1376213778760477</v>
      </c>
      <c r="AA307" s="357">
        <f t="shared" si="319"/>
        <v>-0.13580154115906176</v>
      </c>
      <c r="AB307" s="357">
        <f t="shared" si="320"/>
        <v>-7.4432594782769659E-2</v>
      </c>
      <c r="AC307" s="357">
        <f t="shared" si="321"/>
        <v>-5.5710450494553601E-3</v>
      </c>
      <c r="AD307" s="357">
        <f t="shared" si="322"/>
        <v>0</v>
      </c>
      <c r="AE307" s="379">
        <f t="shared" si="323"/>
        <v>0</v>
      </c>
      <c r="AG307" s="451">
        <f t="shared" si="324"/>
        <v>-0.42147207467756798</v>
      </c>
      <c r="AH307" s="357">
        <f t="shared" si="325"/>
        <v>-0.41436850388356533</v>
      </c>
      <c r="AI307" s="357">
        <f t="shared" si="326"/>
        <v>-0.32412436121869276</v>
      </c>
      <c r="AJ307" s="357">
        <f t="shared" si="327"/>
        <v>0.13759239498371906</v>
      </c>
      <c r="AK307" s="357">
        <f t="shared" si="328"/>
        <v>-0.13344080026969374</v>
      </c>
      <c r="AL307" s="357">
        <f t="shared" si="329"/>
        <v>-7.2177038477956951E-2</v>
      </c>
      <c r="AM307" s="357">
        <f t="shared" si="330"/>
        <v>-5.7262022906564344E-3</v>
      </c>
      <c r="AN307" s="357">
        <f t="shared" si="331"/>
        <v>1.9070751392640699E-5</v>
      </c>
      <c r="AO307" s="379">
        <f t="shared" si="332"/>
        <v>5.4711961047645428E-5</v>
      </c>
    </row>
    <row r="308" spans="2:41" x14ac:dyDescent="0.25">
      <c r="B308" s="449">
        <v>44481</v>
      </c>
      <c r="C308">
        <v>268</v>
      </c>
      <c r="D308">
        <v>188</v>
      </c>
      <c r="E308">
        <v>188</v>
      </c>
      <c r="F308">
        <v>293</v>
      </c>
      <c r="G308">
        <v>258</v>
      </c>
      <c r="H308">
        <v>215</v>
      </c>
      <c r="I308">
        <v>175</v>
      </c>
      <c r="J308">
        <v>160</v>
      </c>
      <c r="K308" s="445">
        <v>147</v>
      </c>
      <c r="M308" s="451">
        <f t="shared" si="306"/>
        <v>-0.22318840579710142</v>
      </c>
      <c r="N308" s="357">
        <f t="shared" si="307"/>
        <v>-0.3037037037037037</v>
      </c>
      <c r="O308" s="357">
        <f t="shared" si="308"/>
        <v>-0.23265306122448981</v>
      </c>
      <c r="P308" s="357">
        <f t="shared" si="309"/>
        <v>-0.16285714285714281</v>
      </c>
      <c r="Q308" s="357">
        <f t="shared" si="310"/>
        <v>-6.1818181818181772E-2</v>
      </c>
      <c r="R308" s="357">
        <f t="shared" si="311"/>
        <v>-2.2727272727272707E-2</v>
      </c>
      <c r="S308" s="357">
        <f t="shared" si="312"/>
        <v>-2.2346368715083775E-2</v>
      </c>
      <c r="T308" s="357">
        <f t="shared" si="313"/>
        <v>0</v>
      </c>
      <c r="U308" s="379">
        <f t="shared" si="314"/>
        <v>0</v>
      </c>
      <c r="W308" s="451">
        <f t="shared" si="315"/>
        <v>-0.25255743652050305</v>
      </c>
      <c r="X308" s="357">
        <f t="shared" si="316"/>
        <v>-0.36197999616842552</v>
      </c>
      <c r="Y308" s="357">
        <f t="shared" si="317"/>
        <v>-0.2648162477147778</v>
      </c>
      <c r="Z308" s="357">
        <f t="shared" si="318"/>
        <v>-0.177760545466392</v>
      </c>
      <c r="AA308" s="357">
        <f t="shared" si="319"/>
        <v>-6.3811512744953822E-2</v>
      </c>
      <c r="AB308" s="357">
        <f t="shared" si="320"/>
        <v>-2.2989518224698718E-2</v>
      </c>
      <c r="AC308" s="357">
        <f t="shared" si="321"/>
        <v>-2.2599831917240919E-2</v>
      </c>
      <c r="AD308" s="357">
        <f t="shared" si="322"/>
        <v>0</v>
      </c>
      <c r="AE308" s="379">
        <f t="shared" si="323"/>
        <v>0</v>
      </c>
      <c r="AG308" s="451">
        <f t="shared" si="324"/>
        <v>-0.24466048047466937</v>
      </c>
      <c r="AH308" s="357">
        <f t="shared" si="325"/>
        <v>-0.32481378062097693</v>
      </c>
      <c r="AI308" s="357">
        <f t="shared" si="326"/>
        <v>-0.24691826751360507</v>
      </c>
      <c r="AJ308" s="357">
        <f t="shared" si="327"/>
        <v>-0.17280573147998107</v>
      </c>
      <c r="AK308" s="357">
        <f t="shared" si="328"/>
        <v>-6.8274855103748533E-2</v>
      </c>
      <c r="AL308" s="357">
        <f t="shared" si="329"/>
        <v>-2.3174353399322473E-2</v>
      </c>
      <c r="AM308" s="357">
        <f t="shared" si="330"/>
        <v>-2.2517015450184676E-2</v>
      </c>
      <c r="AN308" s="357">
        <f t="shared" si="331"/>
        <v>1.9070751392640699E-5</v>
      </c>
      <c r="AO308" s="379">
        <f t="shared" si="332"/>
        <v>5.4711961047645428E-5</v>
      </c>
    </row>
    <row r="309" spans="2:41" x14ac:dyDescent="0.25">
      <c r="B309" s="449">
        <v>44488</v>
      </c>
      <c r="C309">
        <v>262</v>
      </c>
      <c r="D309">
        <v>175</v>
      </c>
      <c r="E309">
        <v>230</v>
      </c>
      <c r="F309">
        <v>325</v>
      </c>
      <c r="G309">
        <v>275</v>
      </c>
      <c r="H309">
        <v>215</v>
      </c>
      <c r="I309">
        <v>175</v>
      </c>
      <c r="J309">
        <v>160</v>
      </c>
      <c r="K309" s="445">
        <v>147</v>
      </c>
      <c r="M309" s="451">
        <f t="shared" si="306"/>
        <v>-2.2388059701492491E-2</v>
      </c>
      <c r="N309" s="357">
        <f t="shared" si="307"/>
        <v>-6.9148936170212782E-2</v>
      </c>
      <c r="O309" s="357">
        <f t="shared" si="308"/>
        <v>0.22340425531914887</v>
      </c>
      <c r="P309" s="357">
        <f t="shared" si="309"/>
        <v>0.10921501706484649</v>
      </c>
      <c r="Q309" s="357">
        <f t="shared" si="310"/>
        <v>6.5891472868216949E-2</v>
      </c>
      <c r="R309" s="357">
        <f t="shared" si="311"/>
        <v>0</v>
      </c>
      <c r="S309" s="357">
        <f t="shared" si="312"/>
        <v>0</v>
      </c>
      <c r="T309" s="357">
        <f t="shared" si="313"/>
        <v>0</v>
      </c>
      <c r="U309" s="379">
        <f t="shared" si="314"/>
        <v>0</v>
      </c>
      <c r="W309" s="451">
        <f t="shared" si="315"/>
        <v>-2.2642476749759777E-2</v>
      </c>
      <c r="X309" s="357">
        <f t="shared" si="316"/>
        <v>-7.1655988906435167E-2</v>
      </c>
      <c r="Y309" s="357">
        <f t="shared" si="317"/>
        <v>0.20163734609324613</v>
      </c>
      <c r="Z309" s="357">
        <f t="shared" si="318"/>
        <v>0.10365257331267025</v>
      </c>
      <c r="AA309" s="357">
        <f t="shared" si="319"/>
        <v>6.3811512744953766E-2</v>
      </c>
      <c r="AB309" s="357">
        <f t="shared" si="320"/>
        <v>0</v>
      </c>
      <c r="AC309" s="357">
        <f t="shared" si="321"/>
        <v>0</v>
      </c>
      <c r="AD309" s="357">
        <f t="shared" si="322"/>
        <v>0</v>
      </c>
      <c r="AE309" s="379">
        <f t="shared" si="323"/>
        <v>0</v>
      </c>
      <c r="AG309" s="451">
        <f t="shared" si="324"/>
        <v>-4.3860134379060445E-2</v>
      </c>
      <c r="AH309" s="357">
        <f t="shared" si="325"/>
        <v>-9.0259013087486031E-2</v>
      </c>
      <c r="AI309" s="357">
        <f t="shared" si="326"/>
        <v>0.20913904903003361</v>
      </c>
      <c r="AJ309" s="357">
        <f t="shared" si="327"/>
        <v>9.9266428442008225E-2</v>
      </c>
      <c r="AK309" s="357">
        <f t="shared" si="328"/>
        <v>5.9434799582650182E-2</v>
      </c>
      <c r="AL309" s="357">
        <f t="shared" si="329"/>
        <v>-4.4708067204976532E-4</v>
      </c>
      <c r="AM309" s="357">
        <f t="shared" si="330"/>
        <v>-1.7064673510089895E-4</v>
      </c>
      <c r="AN309" s="357">
        <f t="shared" si="331"/>
        <v>1.9070751392640699E-5</v>
      </c>
      <c r="AO309" s="379">
        <f t="shared" si="332"/>
        <v>5.4711961047645428E-5</v>
      </c>
    </row>
    <row r="310" spans="2:41" x14ac:dyDescent="0.25">
      <c r="B310" s="449">
        <v>44495</v>
      </c>
      <c r="C310">
        <v>255</v>
      </c>
      <c r="D310">
        <v>120</v>
      </c>
      <c r="E310">
        <v>142</v>
      </c>
      <c r="F310">
        <v>245</v>
      </c>
      <c r="G310">
        <v>254</v>
      </c>
      <c r="H310">
        <v>208</v>
      </c>
      <c r="I310">
        <v>173</v>
      </c>
      <c r="J310">
        <v>160</v>
      </c>
      <c r="K310" s="445">
        <v>147</v>
      </c>
      <c r="M310" s="451">
        <f t="shared" si="306"/>
        <v>-2.6717557251908386E-2</v>
      </c>
      <c r="N310" s="357">
        <f t="shared" si="307"/>
        <v>-0.31428571428571428</v>
      </c>
      <c r="O310" s="357">
        <f t="shared" si="308"/>
        <v>-0.38260869565217392</v>
      </c>
      <c r="P310" s="357">
        <f t="shared" si="309"/>
        <v>-0.24615384615384617</v>
      </c>
      <c r="Q310" s="357">
        <f t="shared" si="310"/>
        <v>-7.6363636363636411E-2</v>
      </c>
      <c r="R310" s="357">
        <f t="shared" si="311"/>
        <v>-3.2558139534883734E-2</v>
      </c>
      <c r="S310" s="357">
        <f t="shared" si="312"/>
        <v>-1.1428571428571455E-2</v>
      </c>
      <c r="T310" s="357">
        <f t="shared" si="313"/>
        <v>0</v>
      </c>
      <c r="U310" s="379">
        <f t="shared" si="314"/>
        <v>0</v>
      </c>
      <c r="W310" s="451">
        <f t="shared" si="315"/>
        <v>-2.7080958602670697E-2</v>
      </c>
      <c r="X310" s="357">
        <f t="shared" si="316"/>
        <v>-0.37729423114146804</v>
      </c>
      <c r="Y310" s="357">
        <f t="shared" si="317"/>
        <v>-0.48225225132193467</v>
      </c>
      <c r="Z310" s="357">
        <f t="shared" si="318"/>
        <v>-0.2825669717850105</v>
      </c>
      <c r="AA310" s="357">
        <f t="shared" si="319"/>
        <v>-7.9436830648034765E-2</v>
      </c>
      <c r="AB310" s="357">
        <f t="shared" si="320"/>
        <v>-3.3099948426344838E-2</v>
      </c>
      <c r="AC310" s="357">
        <f t="shared" si="321"/>
        <v>-1.1494379425735134E-2</v>
      </c>
      <c r="AD310" s="357">
        <f t="shared" si="322"/>
        <v>0</v>
      </c>
      <c r="AE310" s="379">
        <f t="shared" si="323"/>
        <v>0</v>
      </c>
      <c r="AG310" s="451">
        <f t="shared" si="324"/>
        <v>-4.818963192947634E-2</v>
      </c>
      <c r="AH310" s="357">
        <f t="shared" si="325"/>
        <v>-0.33539579120298751</v>
      </c>
      <c r="AI310" s="357">
        <f t="shared" si="326"/>
        <v>-0.39687390194128919</v>
      </c>
      <c r="AJ310" s="357">
        <f t="shared" si="327"/>
        <v>-0.25610243477668443</v>
      </c>
      <c r="AK310" s="357">
        <f t="shared" si="328"/>
        <v>-8.2820309649203172E-2</v>
      </c>
      <c r="AL310" s="357">
        <f t="shared" si="329"/>
        <v>-3.30052202069335E-2</v>
      </c>
      <c r="AM310" s="357">
        <f t="shared" si="330"/>
        <v>-1.1599218163672353E-2</v>
      </c>
      <c r="AN310" s="357">
        <f t="shared" si="331"/>
        <v>1.9070751392640699E-5</v>
      </c>
      <c r="AO310" s="379">
        <f t="shared" si="332"/>
        <v>5.4711961047645428E-5</v>
      </c>
    </row>
    <row r="311" spans="2:41" x14ac:dyDescent="0.25">
      <c r="B311" s="449">
        <v>44502</v>
      </c>
      <c r="C311">
        <v>113</v>
      </c>
      <c r="D311">
        <v>123</v>
      </c>
      <c r="E311">
        <v>240</v>
      </c>
      <c r="F311">
        <v>225</v>
      </c>
      <c r="G311">
        <v>250</v>
      </c>
      <c r="H311">
        <v>206</v>
      </c>
      <c r="I311">
        <v>171</v>
      </c>
      <c r="J311">
        <v>160</v>
      </c>
      <c r="K311" s="445">
        <v>147</v>
      </c>
      <c r="M311" s="451">
        <f t="shared" si="306"/>
        <v>-0.55686274509803924</v>
      </c>
      <c r="N311" s="357">
        <f t="shared" si="307"/>
        <v>2.4999999999999911E-2</v>
      </c>
      <c r="O311" s="357">
        <f t="shared" si="308"/>
        <v>0.6901408450704225</v>
      </c>
      <c r="P311" s="357">
        <f t="shared" si="309"/>
        <v>-8.1632653061224469E-2</v>
      </c>
      <c r="Q311" s="357">
        <f t="shared" si="310"/>
        <v>-1.5748031496062964E-2</v>
      </c>
      <c r="R311" s="357">
        <f t="shared" si="311"/>
        <v>-9.6153846153845812E-3</v>
      </c>
      <c r="S311" s="357">
        <f t="shared" si="312"/>
        <v>-1.1560693641618491E-2</v>
      </c>
      <c r="T311" s="357">
        <f t="shared" si="313"/>
        <v>0</v>
      </c>
      <c r="U311" s="379">
        <f t="shared" si="314"/>
        <v>0</v>
      </c>
      <c r="W311" s="451">
        <f t="shared" si="315"/>
        <v>-0.81387572644608563</v>
      </c>
      <c r="X311" s="357">
        <f t="shared" si="316"/>
        <v>2.4692612590371414E-2</v>
      </c>
      <c r="Y311" s="357">
        <f t="shared" si="317"/>
        <v>0.52481186574073058</v>
      </c>
      <c r="Z311" s="357">
        <f t="shared" si="318"/>
        <v>-8.5157808340306826E-2</v>
      </c>
      <c r="AA311" s="357">
        <f t="shared" si="319"/>
        <v>-1.5873349156290122E-2</v>
      </c>
      <c r="AB311" s="357">
        <f t="shared" si="320"/>
        <v>-9.6619109117368589E-3</v>
      </c>
      <c r="AC311" s="357">
        <f t="shared" si="321"/>
        <v>-1.1628037995119099E-2</v>
      </c>
      <c r="AD311" s="357">
        <f t="shared" si="322"/>
        <v>0</v>
      </c>
      <c r="AE311" s="379">
        <f t="shared" si="323"/>
        <v>0</v>
      </c>
      <c r="AG311" s="451">
        <f t="shared" si="324"/>
        <v>-0.57833481977560719</v>
      </c>
      <c r="AH311" s="357">
        <f t="shared" si="325"/>
        <v>3.8899230827266588E-3</v>
      </c>
      <c r="AI311" s="357">
        <f t="shared" si="326"/>
        <v>0.67587563878130719</v>
      </c>
      <c r="AJ311" s="357">
        <f t="shared" si="327"/>
        <v>-9.1581241684062731E-2</v>
      </c>
      <c r="AK311" s="357">
        <f t="shared" si="328"/>
        <v>-2.2204704781629732E-2</v>
      </c>
      <c r="AL311" s="357">
        <f t="shared" si="329"/>
        <v>-1.0062465287434347E-2</v>
      </c>
      <c r="AM311" s="357">
        <f t="shared" si="330"/>
        <v>-1.173134037671939E-2</v>
      </c>
      <c r="AN311" s="357">
        <f t="shared" si="331"/>
        <v>1.9070751392640699E-5</v>
      </c>
      <c r="AO311" s="379">
        <f t="shared" si="332"/>
        <v>5.4711961047645428E-5</v>
      </c>
    </row>
    <row r="312" spans="2:41" x14ac:dyDescent="0.25">
      <c r="B312" s="449">
        <v>44509</v>
      </c>
      <c r="C312">
        <v>105</v>
      </c>
      <c r="D312">
        <v>98</v>
      </c>
      <c r="E312">
        <v>200</v>
      </c>
      <c r="F312">
        <v>195</v>
      </c>
      <c r="G312">
        <v>235</v>
      </c>
      <c r="H312">
        <v>208</v>
      </c>
      <c r="I312">
        <v>170</v>
      </c>
      <c r="J312">
        <v>160</v>
      </c>
      <c r="K312" s="445">
        <v>147</v>
      </c>
      <c r="M312" s="451">
        <f t="shared" si="306"/>
        <v>-7.0796460176991149E-2</v>
      </c>
      <c r="N312" s="357">
        <f t="shared" si="307"/>
        <v>-0.2032520325203252</v>
      </c>
      <c r="O312" s="357">
        <f t="shared" si="308"/>
        <v>-0.16666666666666663</v>
      </c>
      <c r="P312" s="357">
        <f t="shared" si="309"/>
        <v>-0.1333333333333333</v>
      </c>
      <c r="Q312" s="357">
        <f t="shared" si="310"/>
        <v>-6.0000000000000053E-2</v>
      </c>
      <c r="R312" s="357">
        <f t="shared" si="311"/>
        <v>9.7087378640776656E-3</v>
      </c>
      <c r="S312" s="357">
        <f t="shared" si="312"/>
        <v>-5.8479532163743242E-3</v>
      </c>
      <c r="T312" s="357">
        <f t="shared" si="313"/>
        <v>0</v>
      </c>
      <c r="U312" s="379">
        <f t="shared" si="314"/>
        <v>0</v>
      </c>
      <c r="W312" s="451">
        <f t="shared" si="315"/>
        <v>-7.3427468554817202E-2</v>
      </c>
      <c r="X312" s="357">
        <f t="shared" si="316"/>
        <v>-0.22721687670184557</v>
      </c>
      <c r="Y312" s="357">
        <f t="shared" si="317"/>
        <v>-0.18232155679395459</v>
      </c>
      <c r="Z312" s="357">
        <f t="shared" si="318"/>
        <v>-0.1431008436406733</v>
      </c>
      <c r="AA312" s="357">
        <f t="shared" si="319"/>
        <v>-6.1875403718087529E-2</v>
      </c>
      <c r="AB312" s="357">
        <f t="shared" si="320"/>
        <v>9.6619109117368901E-3</v>
      </c>
      <c r="AC312" s="357">
        <f t="shared" si="321"/>
        <v>-5.8651194523981339E-3</v>
      </c>
      <c r="AD312" s="357">
        <f t="shared" si="322"/>
        <v>0</v>
      </c>
      <c r="AE312" s="379">
        <f t="shared" si="323"/>
        <v>0</v>
      </c>
      <c r="AG312" s="451">
        <f t="shared" si="324"/>
        <v>-9.2268534854559103E-2</v>
      </c>
      <c r="AH312" s="357">
        <f t="shared" si="325"/>
        <v>-0.22436210943759846</v>
      </c>
      <c r="AI312" s="357">
        <f t="shared" si="326"/>
        <v>-0.18093187295578189</v>
      </c>
      <c r="AJ312" s="357">
        <f t="shared" si="327"/>
        <v>-0.14328192195617157</v>
      </c>
      <c r="AK312" s="357">
        <f t="shared" si="328"/>
        <v>-6.6456673285566814E-2</v>
      </c>
      <c r="AL312" s="357">
        <f t="shared" si="329"/>
        <v>9.2616571920279001E-3</v>
      </c>
      <c r="AM312" s="357">
        <f t="shared" si="330"/>
        <v>-6.0185999514752227E-3</v>
      </c>
      <c r="AN312" s="357">
        <f t="shared" si="331"/>
        <v>1.9070751392640699E-5</v>
      </c>
      <c r="AO312" s="379">
        <f t="shared" si="332"/>
        <v>5.4711961047645428E-5</v>
      </c>
    </row>
    <row r="313" spans="2:41" x14ac:dyDescent="0.25">
      <c r="B313" s="449">
        <v>44516</v>
      </c>
      <c r="C313">
        <v>95</v>
      </c>
      <c r="D313">
        <v>90</v>
      </c>
      <c r="E313">
        <v>195</v>
      </c>
      <c r="F313">
        <v>193</v>
      </c>
      <c r="G313">
        <v>235</v>
      </c>
      <c r="H313">
        <v>200</v>
      </c>
      <c r="I313">
        <v>170</v>
      </c>
      <c r="J313">
        <v>160</v>
      </c>
      <c r="K313" s="445">
        <v>147</v>
      </c>
      <c r="M313" s="451">
        <f t="shared" si="306"/>
        <v>-9.5238095238095233E-2</v>
      </c>
      <c r="N313" s="357">
        <f t="shared" si="307"/>
        <v>-8.1632653061224469E-2</v>
      </c>
      <c r="O313" s="357">
        <f t="shared" si="308"/>
        <v>-2.5000000000000022E-2</v>
      </c>
      <c r="P313" s="357">
        <f t="shared" si="309"/>
        <v>-1.025641025641022E-2</v>
      </c>
      <c r="Q313" s="357">
        <f t="shared" si="310"/>
        <v>0</v>
      </c>
      <c r="R313" s="357">
        <f t="shared" si="311"/>
        <v>-3.8461538461538436E-2</v>
      </c>
      <c r="S313" s="357">
        <f t="shared" si="312"/>
        <v>0</v>
      </c>
      <c r="T313" s="357">
        <f t="shared" si="313"/>
        <v>0</v>
      </c>
      <c r="U313" s="379">
        <f t="shared" si="314"/>
        <v>0</v>
      </c>
      <c r="W313" s="451">
        <f t="shared" si="315"/>
        <v>-0.10008345855698253</v>
      </c>
      <c r="X313" s="357">
        <f t="shared" si="316"/>
        <v>-8.5157808340306826E-2</v>
      </c>
      <c r="Y313" s="357">
        <f t="shared" si="317"/>
        <v>-2.5317807984289897E-2</v>
      </c>
      <c r="Z313" s="357">
        <f t="shared" si="318"/>
        <v>-1.0309369658861213E-2</v>
      </c>
      <c r="AA313" s="357">
        <f t="shared" si="319"/>
        <v>0</v>
      </c>
      <c r="AB313" s="357">
        <f t="shared" si="320"/>
        <v>-3.9220713153281267E-2</v>
      </c>
      <c r="AC313" s="357">
        <f t="shared" si="321"/>
        <v>0</v>
      </c>
      <c r="AD313" s="357">
        <f t="shared" si="322"/>
        <v>0</v>
      </c>
      <c r="AE313" s="379">
        <f t="shared" si="323"/>
        <v>0</v>
      </c>
      <c r="AG313" s="451">
        <f t="shared" si="324"/>
        <v>-0.11671016991566319</v>
      </c>
      <c r="AH313" s="357">
        <f t="shared" si="325"/>
        <v>-0.10274272997849772</v>
      </c>
      <c r="AI313" s="357">
        <f t="shared" si="326"/>
        <v>-3.9265206289115298E-2</v>
      </c>
      <c r="AJ313" s="357">
        <f t="shared" si="327"/>
        <v>-2.0204998879248485E-2</v>
      </c>
      <c r="AK313" s="357">
        <f t="shared" si="328"/>
        <v>-6.4566732855667669E-3</v>
      </c>
      <c r="AL313" s="357">
        <f t="shared" si="329"/>
        <v>-3.8908619133588201E-2</v>
      </c>
      <c r="AM313" s="357">
        <f t="shared" si="330"/>
        <v>-1.7064673510089895E-4</v>
      </c>
      <c r="AN313" s="357">
        <f t="shared" si="331"/>
        <v>1.9070751392640699E-5</v>
      </c>
      <c r="AO313" s="379">
        <f t="shared" si="332"/>
        <v>5.4711961047645428E-5</v>
      </c>
    </row>
    <row r="314" spans="2:41" x14ac:dyDescent="0.25">
      <c r="B314" s="449">
        <v>44523</v>
      </c>
      <c r="C314">
        <v>92</v>
      </c>
      <c r="D314">
        <v>88</v>
      </c>
      <c r="E314">
        <v>212</v>
      </c>
      <c r="F314">
        <v>212</v>
      </c>
      <c r="G314">
        <v>243</v>
      </c>
      <c r="H314">
        <v>203</v>
      </c>
      <c r="I314">
        <v>170</v>
      </c>
      <c r="J314">
        <v>160</v>
      </c>
      <c r="K314" s="445">
        <v>147</v>
      </c>
      <c r="M314" s="451">
        <f t="shared" si="306"/>
        <v>-3.157894736842104E-2</v>
      </c>
      <c r="N314" s="357">
        <f t="shared" si="307"/>
        <v>-2.2222222222222254E-2</v>
      </c>
      <c r="O314" s="357">
        <f t="shared" si="308"/>
        <v>8.7179487179487092E-2</v>
      </c>
      <c r="P314" s="357">
        <f t="shared" si="309"/>
        <v>9.8445595854922185E-2</v>
      </c>
      <c r="Q314" s="357">
        <f t="shared" si="310"/>
        <v>3.4042553191489411E-2</v>
      </c>
      <c r="R314" s="357">
        <f t="shared" si="311"/>
        <v>1.4999999999999902E-2</v>
      </c>
      <c r="S314" s="357">
        <f t="shared" si="312"/>
        <v>0</v>
      </c>
      <c r="T314" s="357">
        <f t="shared" si="313"/>
        <v>0</v>
      </c>
      <c r="U314" s="379">
        <f t="shared" si="314"/>
        <v>0</v>
      </c>
      <c r="W314" s="451">
        <f t="shared" si="315"/>
        <v>-3.2088314551500512E-2</v>
      </c>
      <c r="X314" s="357">
        <f t="shared" si="316"/>
        <v>-2.2472855852058628E-2</v>
      </c>
      <c r="Y314" s="357">
        <f t="shared" si="317"/>
        <v>8.3586716108265569E-2</v>
      </c>
      <c r="Z314" s="357">
        <f t="shared" si="318"/>
        <v>9.3896085767126811E-2</v>
      </c>
      <c r="AA314" s="357">
        <f t="shared" si="319"/>
        <v>3.3475929196389545E-2</v>
      </c>
      <c r="AB314" s="357">
        <f t="shared" si="320"/>
        <v>1.4888612493750559E-2</v>
      </c>
      <c r="AC314" s="357">
        <f t="shared" si="321"/>
        <v>0</v>
      </c>
      <c r="AD314" s="357">
        <f t="shared" si="322"/>
        <v>0</v>
      </c>
      <c r="AE314" s="379">
        <f t="shared" si="323"/>
        <v>0</v>
      </c>
      <c r="AG314" s="451">
        <f t="shared" si="324"/>
        <v>-5.3051022045988994E-2</v>
      </c>
      <c r="AH314" s="357">
        <f t="shared" si="325"/>
        <v>-4.3332299139495503E-2</v>
      </c>
      <c r="AI314" s="357">
        <f t="shared" si="326"/>
        <v>7.2914280890371816E-2</v>
      </c>
      <c r="AJ314" s="357">
        <f t="shared" si="327"/>
        <v>8.8497007232083924E-2</v>
      </c>
      <c r="AK314" s="357">
        <f t="shared" si="328"/>
        <v>2.7585879905922643E-2</v>
      </c>
      <c r="AL314" s="357">
        <f t="shared" si="329"/>
        <v>1.4552919327950137E-2</v>
      </c>
      <c r="AM314" s="357">
        <f t="shared" si="330"/>
        <v>-1.7064673510089895E-4</v>
      </c>
      <c r="AN314" s="357">
        <f t="shared" si="331"/>
        <v>1.9070751392640699E-5</v>
      </c>
      <c r="AO314" s="379">
        <f t="shared" si="332"/>
        <v>5.4711961047645428E-5</v>
      </c>
    </row>
    <row r="315" spans="2:41" x14ac:dyDescent="0.25">
      <c r="B315" s="449">
        <v>44530</v>
      </c>
      <c r="C315">
        <v>90</v>
      </c>
      <c r="D315">
        <v>77</v>
      </c>
      <c r="E315">
        <v>182</v>
      </c>
      <c r="F315">
        <v>205</v>
      </c>
      <c r="G315">
        <v>238</v>
      </c>
      <c r="H315">
        <v>208</v>
      </c>
      <c r="I315">
        <v>170</v>
      </c>
      <c r="J315">
        <v>160</v>
      </c>
      <c r="K315" s="445">
        <v>147</v>
      </c>
      <c r="M315" s="451">
        <f t="shared" si="306"/>
        <v>-2.1739130434782594E-2</v>
      </c>
      <c r="N315" s="357">
        <f t="shared" si="307"/>
        <v>-0.125</v>
      </c>
      <c r="O315" s="357">
        <f t="shared" si="308"/>
        <v>-0.14150943396226412</v>
      </c>
      <c r="P315" s="357">
        <f t="shared" si="309"/>
        <v>-3.301886792452835E-2</v>
      </c>
      <c r="Q315" s="357">
        <f t="shared" si="310"/>
        <v>-2.0576131687242816E-2</v>
      </c>
      <c r="R315" s="357">
        <f t="shared" si="311"/>
        <v>2.4630541871921263E-2</v>
      </c>
      <c r="S315" s="357">
        <f t="shared" si="312"/>
        <v>0</v>
      </c>
      <c r="T315" s="357">
        <f t="shared" si="313"/>
        <v>0</v>
      </c>
      <c r="U315" s="379">
        <f t="shared" si="314"/>
        <v>0</v>
      </c>
      <c r="W315" s="451">
        <f t="shared" si="315"/>
        <v>-2.197890671877523E-2</v>
      </c>
      <c r="X315" s="357">
        <f t="shared" si="316"/>
        <v>-0.13353139262452263</v>
      </c>
      <c r="Y315" s="357">
        <f t="shared" si="317"/>
        <v>-0.15257958759521706</v>
      </c>
      <c r="Z315" s="357">
        <f t="shared" si="318"/>
        <v>-3.3576295533604326E-2</v>
      </c>
      <c r="AA315" s="357">
        <f t="shared" si="319"/>
        <v>-2.079076966907378E-2</v>
      </c>
      <c r="AB315" s="357">
        <f t="shared" si="320"/>
        <v>2.4332100659530721E-2</v>
      </c>
      <c r="AC315" s="357">
        <f t="shared" si="321"/>
        <v>0</v>
      </c>
      <c r="AD315" s="357">
        <f t="shared" si="322"/>
        <v>0</v>
      </c>
      <c r="AE315" s="379">
        <f t="shared" si="323"/>
        <v>0</v>
      </c>
      <c r="AG315" s="451">
        <f t="shared" si="324"/>
        <v>-4.3211205112350548E-2</v>
      </c>
      <c r="AH315" s="357">
        <f t="shared" si="325"/>
        <v>-0.14611007691727326</v>
      </c>
      <c r="AI315" s="357">
        <f t="shared" si="326"/>
        <v>-0.15577464025137938</v>
      </c>
      <c r="AJ315" s="357">
        <f t="shared" si="327"/>
        <v>-4.2967456547366611E-2</v>
      </c>
      <c r="AK315" s="357">
        <f t="shared" si="328"/>
        <v>-2.7032804972809583E-2</v>
      </c>
      <c r="AL315" s="357">
        <f t="shared" si="329"/>
        <v>2.4183461199871498E-2</v>
      </c>
      <c r="AM315" s="357">
        <f t="shared" si="330"/>
        <v>-1.7064673510089895E-4</v>
      </c>
      <c r="AN315" s="357">
        <f t="shared" si="331"/>
        <v>1.9070751392640699E-5</v>
      </c>
      <c r="AO315" s="379">
        <f t="shared" si="332"/>
        <v>5.4711961047645428E-5</v>
      </c>
    </row>
    <row r="316" spans="2:41" x14ac:dyDescent="0.25">
      <c r="B316" s="449">
        <v>44537</v>
      </c>
      <c r="C316">
        <v>80</v>
      </c>
      <c r="D316">
        <v>230</v>
      </c>
      <c r="E316">
        <v>243</v>
      </c>
      <c r="F316">
        <v>235</v>
      </c>
      <c r="G316">
        <v>263</v>
      </c>
      <c r="H316">
        <v>208</v>
      </c>
      <c r="I316">
        <v>170</v>
      </c>
      <c r="J316">
        <v>160</v>
      </c>
      <c r="K316" s="445">
        <v>147</v>
      </c>
      <c r="M316" s="451">
        <f t="shared" ref="M316:M369" si="333">C316/C315-1</f>
        <v>-0.11111111111111116</v>
      </c>
      <c r="N316" s="357">
        <f t="shared" ref="N316:N369" si="334">D316/D315-1</f>
        <v>1.9870129870129869</v>
      </c>
      <c r="O316" s="357">
        <f t="shared" ref="O316:O369" si="335">E316/E315-1</f>
        <v>0.33516483516483508</v>
      </c>
      <c r="P316" s="357">
        <f t="shared" ref="P316:P369" si="336">F316/F315-1</f>
        <v>0.14634146341463405</v>
      </c>
      <c r="Q316" s="357">
        <f t="shared" ref="Q316:Q369" si="337">G316/G315-1</f>
        <v>0.10504201680672276</v>
      </c>
      <c r="R316" s="357">
        <f t="shared" ref="R316:R369" si="338">H316/H315-1</f>
        <v>0</v>
      </c>
      <c r="S316" s="357">
        <f t="shared" ref="S316:S369" si="339">I316/I315-1</f>
        <v>0</v>
      </c>
      <c r="T316" s="357">
        <f t="shared" ref="T316:T369" si="340">J316/J315-1</f>
        <v>0</v>
      </c>
      <c r="U316" s="379">
        <f t="shared" ref="U316:U369" si="341">K316/K315-1</f>
        <v>0</v>
      </c>
      <c r="W316" s="451">
        <f t="shared" ref="W316:W369" si="342">LN(C316/C315)</f>
        <v>-0.11778303565638351</v>
      </c>
      <c r="X316" s="357">
        <f t="shared" ref="X316:X369" si="343">LN(D316/D315)</f>
        <v>1.0942738870695115</v>
      </c>
      <c r="Y316" s="357">
        <f t="shared" ref="Y316:Y369" si="344">LN(E316/E315)</f>
        <v>0.28905475626375304</v>
      </c>
      <c r="Z316" s="357">
        <f t="shared" ref="Z316:Z369" si="345">LN(F316/F315)</f>
        <v>0.1365755350057507</v>
      </c>
      <c r="AA316" s="357">
        <f t="shared" ref="AA316:AA369" si="346">LN(G316/G315)</f>
        <v>9.9883358506289918E-2</v>
      </c>
      <c r="AB316" s="357">
        <f t="shared" ref="AB316:AB369" si="347">LN(H316/H315)</f>
        <v>0</v>
      </c>
      <c r="AC316" s="357">
        <f t="shared" ref="AC316:AC369" si="348">LN(I316/I315)</f>
        <v>0</v>
      </c>
      <c r="AD316" s="357">
        <f t="shared" ref="AD316:AD369" si="349">LN(J316/J315)</f>
        <v>0</v>
      </c>
      <c r="AE316" s="379">
        <f t="shared" ref="AE316:AE369" si="350">LN(K316/K315)</f>
        <v>0</v>
      </c>
      <c r="AG316" s="451">
        <f t="shared" ref="AG316:AG369" si="351">M316-M$2</f>
        <v>-0.13258318578867911</v>
      </c>
      <c r="AH316" s="357">
        <f t="shared" ref="AH316:AH369" si="352">N316-N$2</f>
        <v>1.9659029100957137</v>
      </c>
      <c r="AI316" s="357">
        <f t="shared" ref="AI316:AI369" si="353">O316-O$2</f>
        <v>0.32089962887571982</v>
      </c>
      <c r="AJ316" s="357">
        <f t="shared" ref="AJ316:AJ369" si="354">P316-P$2</f>
        <v>0.13639287479179579</v>
      </c>
      <c r="AK316" s="357">
        <f t="shared" ref="AK316:AK369" si="355">Q316-Q$2</f>
        <v>9.8585343521155999E-2</v>
      </c>
      <c r="AL316" s="357">
        <f t="shared" ref="AL316:AL369" si="356">R316-R$2</f>
        <v>-4.4708067204976532E-4</v>
      </c>
      <c r="AM316" s="357">
        <f t="shared" ref="AM316:AM369" si="357">S316-S$2</f>
        <v>-1.7064673510089895E-4</v>
      </c>
      <c r="AN316" s="357">
        <f t="shared" ref="AN316:AN369" si="358">T316-T$2</f>
        <v>1.9070751392640699E-5</v>
      </c>
      <c r="AO316" s="379">
        <f t="shared" ref="AO316:AO369" si="359">U316-U$2</f>
        <v>5.4711961047645428E-5</v>
      </c>
    </row>
    <row r="317" spans="2:41" x14ac:dyDescent="0.25">
      <c r="B317" s="449">
        <v>44544</v>
      </c>
      <c r="C317">
        <v>70</v>
      </c>
      <c r="D317">
        <v>165</v>
      </c>
      <c r="E317">
        <v>200</v>
      </c>
      <c r="F317">
        <v>200</v>
      </c>
      <c r="G317">
        <v>238</v>
      </c>
      <c r="H317">
        <v>208</v>
      </c>
      <c r="I317">
        <v>170</v>
      </c>
      <c r="J317">
        <v>160</v>
      </c>
      <c r="K317" s="445">
        <v>147</v>
      </c>
      <c r="M317" s="451">
        <f t="shared" si="333"/>
        <v>-0.125</v>
      </c>
      <c r="N317" s="357">
        <f t="shared" si="334"/>
        <v>-0.28260869565217395</v>
      </c>
      <c r="O317" s="357">
        <f t="shared" si="335"/>
        <v>-0.17695473251028804</v>
      </c>
      <c r="P317" s="357">
        <f t="shared" si="336"/>
        <v>-0.14893617021276595</v>
      </c>
      <c r="Q317" s="357">
        <f t="shared" si="337"/>
        <v>-9.5057034220532355E-2</v>
      </c>
      <c r="R317" s="357">
        <f t="shared" si="338"/>
        <v>0</v>
      </c>
      <c r="S317" s="357">
        <f t="shared" si="339"/>
        <v>0</v>
      </c>
      <c r="T317" s="357">
        <f t="shared" si="340"/>
        <v>0</v>
      </c>
      <c r="U317" s="379">
        <f t="shared" si="341"/>
        <v>0</v>
      </c>
      <c r="W317" s="451">
        <f t="shared" si="342"/>
        <v>-0.13353139262452263</v>
      </c>
      <c r="X317" s="357">
        <f t="shared" si="343"/>
        <v>-0.33213383502261479</v>
      </c>
      <c r="Y317" s="357">
        <f t="shared" si="344"/>
        <v>-0.19474407679251174</v>
      </c>
      <c r="Z317" s="357">
        <f t="shared" si="345"/>
        <v>-0.16126814759612226</v>
      </c>
      <c r="AA317" s="357">
        <f t="shared" si="346"/>
        <v>-9.988335850628989E-2</v>
      </c>
      <c r="AB317" s="357">
        <f t="shared" si="347"/>
        <v>0</v>
      </c>
      <c r="AC317" s="357">
        <f t="shared" si="348"/>
        <v>0</v>
      </c>
      <c r="AD317" s="357">
        <f t="shared" si="349"/>
        <v>0</v>
      </c>
      <c r="AE317" s="379">
        <f t="shared" si="350"/>
        <v>0</v>
      </c>
      <c r="AG317" s="451">
        <f t="shared" si="351"/>
        <v>-0.14647207467756795</v>
      </c>
      <c r="AH317" s="357">
        <f t="shared" si="352"/>
        <v>-0.30371877256944718</v>
      </c>
      <c r="AI317" s="357">
        <f t="shared" si="353"/>
        <v>-0.1912199387994033</v>
      </c>
      <c r="AJ317" s="357">
        <f t="shared" si="354"/>
        <v>-0.15888475883560421</v>
      </c>
      <c r="AK317" s="357">
        <f t="shared" si="355"/>
        <v>-0.10151370750609912</v>
      </c>
      <c r="AL317" s="357">
        <f t="shared" si="356"/>
        <v>-4.4708067204976532E-4</v>
      </c>
      <c r="AM317" s="357">
        <f t="shared" si="357"/>
        <v>-1.7064673510089895E-4</v>
      </c>
      <c r="AN317" s="357">
        <f t="shared" si="358"/>
        <v>1.9070751392640699E-5</v>
      </c>
      <c r="AO317" s="379">
        <f t="shared" si="359"/>
        <v>5.4711961047645428E-5</v>
      </c>
    </row>
    <row r="318" spans="2:41" x14ac:dyDescent="0.25">
      <c r="B318" s="449">
        <v>44551</v>
      </c>
      <c r="C318">
        <v>70</v>
      </c>
      <c r="D318">
        <v>170</v>
      </c>
      <c r="E318">
        <v>204</v>
      </c>
      <c r="F318">
        <v>200</v>
      </c>
      <c r="G318">
        <v>236</v>
      </c>
      <c r="H318">
        <v>225</v>
      </c>
      <c r="I318">
        <v>170</v>
      </c>
      <c r="J318">
        <v>160</v>
      </c>
      <c r="K318" s="445">
        <v>147</v>
      </c>
      <c r="M318" s="451">
        <f t="shared" si="333"/>
        <v>0</v>
      </c>
      <c r="N318" s="357">
        <f t="shared" si="334"/>
        <v>3.0303030303030276E-2</v>
      </c>
      <c r="O318" s="357">
        <f t="shared" si="335"/>
        <v>2.0000000000000018E-2</v>
      </c>
      <c r="P318" s="357">
        <f t="shared" si="336"/>
        <v>0</v>
      </c>
      <c r="Q318" s="357">
        <f t="shared" si="337"/>
        <v>-8.4033613445377853E-3</v>
      </c>
      <c r="R318" s="357">
        <f t="shared" si="338"/>
        <v>8.1730769230769162E-2</v>
      </c>
      <c r="S318" s="357">
        <f t="shared" si="339"/>
        <v>0</v>
      </c>
      <c r="T318" s="357">
        <f t="shared" si="340"/>
        <v>0</v>
      </c>
      <c r="U318" s="379">
        <f t="shared" si="341"/>
        <v>0</v>
      </c>
      <c r="W318" s="451">
        <f t="shared" si="342"/>
        <v>0</v>
      </c>
      <c r="X318" s="357">
        <f t="shared" si="343"/>
        <v>2.9852963149681128E-2</v>
      </c>
      <c r="Y318" s="357">
        <f t="shared" si="344"/>
        <v>1.980262729617973E-2</v>
      </c>
      <c r="Z318" s="357">
        <f t="shared" si="345"/>
        <v>0</v>
      </c>
      <c r="AA318" s="357">
        <f t="shared" si="346"/>
        <v>-8.4388686458645949E-3</v>
      </c>
      <c r="AB318" s="357">
        <f t="shared" si="347"/>
        <v>7.8562322503102092E-2</v>
      </c>
      <c r="AC318" s="357">
        <f t="shared" si="348"/>
        <v>0</v>
      </c>
      <c r="AD318" s="357">
        <f t="shared" si="349"/>
        <v>0</v>
      </c>
      <c r="AE318" s="379">
        <f t="shared" si="350"/>
        <v>0</v>
      </c>
      <c r="AG318" s="451">
        <f t="shared" si="351"/>
        <v>-2.1472074677567957E-2</v>
      </c>
      <c r="AH318" s="357">
        <f t="shared" si="352"/>
        <v>9.1929533857570238E-3</v>
      </c>
      <c r="AI318" s="357">
        <f t="shared" si="353"/>
        <v>5.7347937108847436E-3</v>
      </c>
      <c r="AJ318" s="357">
        <f t="shared" si="354"/>
        <v>-9.9485886228382649E-3</v>
      </c>
      <c r="AK318" s="357">
        <f t="shared" si="355"/>
        <v>-1.4860034630104553E-2</v>
      </c>
      <c r="AL318" s="357">
        <f t="shared" si="356"/>
        <v>8.1283688558719397E-2</v>
      </c>
      <c r="AM318" s="357">
        <f t="shared" si="357"/>
        <v>-1.7064673510089895E-4</v>
      </c>
      <c r="AN318" s="357">
        <f t="shared" si="358"/>
        <v>1.9070751392640699E-5</v>
      </c>
      <c r="AO318" s="379">
        <f t="shared" si="359"/>
        <v>5.4711961047645428E-5</v>
      </c>
    </row>
    <row r="319" spans="2:41" x14ac:dyDescent="0.25">
      <c r="B319" s="449">
        <v>44558</v>
      </c>
      <c r="C319">
        <v>70</v>
      </c>
      <c r="D319">
        <v>170</v>
      </c>
      <c r="E319">
        <v>153</v>
      </c>
      <c r="F319">
        <v>153</v>
      </c>
      <c r="G319">
        <v>215</v>
      </c>
      <c r="H319">
        <v>220</v>
      </c>
      <c r="I319">
        <v>170</v>
      </c>
      <c r="J319">
        <v>160</v>
      </c>
      <c r="K319" s="445">
        <v>147</v>
      </c>
      <c r="M319" s="451">
        <f t="shared" si="333"/>
        <v>0</v>
      </c>
      <c r="N319" s="357">
        <f t="shared" si="334"/>
        <v>0</v>
      </c>
      <c r="O319" s="357">
        <f t="shared" si="335"/>
        <v>-0.25</v>
      </c>
      <c r="P319" s="357">
        <f t="shared" si="336"/>
        <v>-0.23499999999999999</v>
      </c>
      <c r="Q319" s="357">
        <f t="shared" si="337"/>
        <v>-8.8983050847457612E-2</v>
      </c>
      <c r="R319" s="357">
        <f t="shared" si="338"/>
        <v>-2.2222222222222254E-2</v>
      </c>
      <c r="S319" s="357">
        <f t="shared" si="339"/>
        <v>0</v>
      </c>
      <c r="T319" s="357">
        <f t="shared" si="340"/>
        <v>0</v>
      </c>
      <c r="U319" s="379">
        <f t="shared" si="341"/>
        <v>0</v>
      </c>
      <c r="W319" s="451">
        <f t="shared" si="342"/>
        <v>0</v>
      </c>
      <c r="X319" s="357">
        <f t="shared" si="343"/>
        <v>0</v>
      </c>
      <c r="Y319" s="357">
        <f t="shared" si="344"/>
        <v>-0.2876820724517809</v>
      </c>
      <c r="Z319" s="357">
        <f t="shared" si="345"/>
        <v>-0.26787944515560119</v>
      </c>
      <c r="AA319" s="357">
        <f t="shared" si="346"/>
        <v>-9.319377689794725E-2</v>
      </c>
      <c r="AB319" s="357">
        <f t="shared" si="347"/>
        <v>-2.2472855852058628E-2</v>
      </c>
      <c r="AC319" s="357">
        <f t="shared" si="348"/>
        <v>0</v>
      </c>
      <c r="AD319" s="357">
        <f t="shared" si="349"/>
        <v>0</v>
      </c>
      <c r="AE319" s="379">
        <f t="shared" si="350"/>
        <v>0</v>
      </c>
      <c r="AG319" s="451">
        <f t="shared" si="351"/>
        <v>-2.1472074677567957E-2</v>
      </c>
      <c r="AH319" s="357">
        <f t="shared" si="352"/>
        <v>-2.1110076917273252E-2</v>
      </c>
      <c r="AI319" s="357">
        <f t="shared" si="353"/>
        <v>-0.26426520628911526</v>
      </c>
      <c r="AJ319" s="357">
        <f t="shared" si="354"/>
        <v>-0.24494858862283825</v>
      </c>
      <c r="AK319" s="357">
        <f t="shared" si="355"/>
        <v>-9.5439724133024373E-2</v>
      </c>
      <c r="AL319" s="357">
        <f t="shared" si="356"/>
        <v>-2.266930289427202E-2</v>
      </c>
      <c r="AM319" s="357">
        <f t="shared" si="357"/>
        <v>-1.7064673510089895E-4</v>
      </c>
      <c r="AN319" s="357">
        <f t="shared" si="358"/>
        <v>1.9070751392640699E-5</v>
      </c>
      <c r="AO319" s="379">
        <f t="shared" si="359"/>
        <v>5.4711961047645428E-5</v>
      </c>
    </row>
    <row r="320" spans="2:41" x14ac:dyDescent="0.25">
      <c r="B320" s="449">
        <v>44565</v>
      </c>
      <c r="C320">
        <v>80</v>
      </c>
      <c r="D320">
        <v>104</v>
      </c>
      <c r="E320">
        <v>112</v>
      </c>
      <c r="F320">
        <v>130</v>
      </c>
      <c r="G320">
        <v>186</v>
      </c>
      <c r="H320">
        <v>200</v>
      </c>
      <c r="I320">
        <v>170</v>
      </c>
      <c r="J320">
        <v>160</v>
      </c>
      <c r="K320" s="445">
        <v>147</v>
      </c>
      <c r="M320" s="451">
        <f t="shared" si="333"/>
        <v>0.14285714285714279</v>
      </c>
      <c r="N320" s="357">
        <f t="shared" si="334"/>
        <v>-0.38823529411764701</v>
      </c>
      <c r="O320" s="357">
        <f t="shared" si="335"/>
        <v>-0.26797385620915037</v>
      </c>
      <c r="P320" s="357">
        <f t="shared" si="336"/>
        <v>-0.15032679738562094</v>
      </c>
      <c r="Q320" s="357">
        <f t="shared" si="337"/>
        <v>-0.1348837209302326</v>
      </c>
      <c r="R320" s="357">
        <f t="shared" si="338"/>
        <v>-9.0909090909090939E-2</v>
      </c>
      <c r="S320" s="357">
        <f t="shared" si="339"/>
        <v>0</v>
      </c>
      <c r="T320" s="357">
        <f t="shared" si="340"/>
        <v>0</v>
      </c>
      <c r="U320" s="379">
        <f t="shared" si="341"/>
        <v>0</v>
      </c>
      <c r="W320" s="451">
        <f t="shared" si="342"/>
        <v>0.13353139262452257</v>
      </c>
      <c r="X320" s="357">
        <f t="shared" si="343"/>
        <v>-0.49140753790888902</v>
      </c>
      <c r="Y320" s="357">
        <f t="shared" si="344"/>
        <v>-0.31193905009734096</v>
      </c>
      <c r="Z320" s="357">
        <f t="shared" si="345"/>
        <v>-0.16290347093685306</v>
      </c>
      <c r="AA320" s="357">
        <f t="shared" si="346"/>
        <v>-0.1448913544144616</v>
      </c>
      <c r="AB320" s="357">
        <f t="shared" si="347"/>
        <v>-9.5310179804324893E-2</v>
      </c>
      <c r="AC320" s="357">
        <f t="shared" si="348"/>
        <v>0</v>
      </c>
      <c r="AD320" s="357">
        <f t="shared" si="349"/>
        <v>0</v>
      </c>
      <c r="AE320" s="379">
        <f t="shared" si="350"/>
        <v>0</v>
      </c>
      <c r="AG320" s="451">
        <f t="shared" si="351"/>
        <v>0.12138506817957484</v>
      </c>
      <c r="AH320" s="357">
        <f t="shared" si="352"/>
        <v>-0.40934537103492025</v>
      </c>
      <c r="AI320" s="357">
        <f t="shared" si="353"/>
        <v>-0.28223906249826564</v>
      </c>
      <c r="AJ320" s="357">
        <f t="shared" si="354"/>
        <v>-0.1602753860084592</v>
      </c>
      <c r="AK320" s="357">
        <f t="shared" si="355"/>
        <v>-0.14134039421579936</v>
      </c>
      <c r="AL320" s="357">
        <f t="shared" si="356"/>
        <v>-9.1356171581140705E-2</v>
      </c>
      <c r="AM320" s="357">
        <f t="shared" si="357"/>
        <v>-1.7064673510089895E-4</v>
      </c>
      <c r="AN320" s="357">
        <f t="shared" si="358"/>
        <v>1.9070751392640699E-5</v>
      </c>
      <c r="AO320" s="379">
        <f t="shared" si="359"/>
        <v>5.4711961047645428E-5</v>
      </c>
    </row>
    <row r="321" spans="2:41" x14ac:dyDescent="0.25">
      <c r="B321" s="449">
        <v>44572</v>
      </c>
      <c r="C321">
        <v>68</v>
      </c>
      <c r="D321">
        <v>88</v>
      </c>
      <c r="E321">
        <v>118</v>
      </c>
      <c r="F321">
        <v>115</v>
      </c>
      <c r="G321">
        <v>193</v>
      </c>
      <c r="H321">
        <v>200</v>
      </c>
      <c r="I321">
        <v>170</v>
      </c>
      <c r="J321">
        <v>160</v>
      </c>
      <c r="K321" s="445">
        <v>147</v>
      </c>
      <c r="M321" s="451">
        <f t="shared" si="333"/>
        <v>-0.15000000000000002</v>
      </c>
      <c r="N321" s="357">
        <f t="shared" si="334"/>
        <v>-0.15384615384615385</v>
      </c>
      <c r="O321" s="357">
        <f t="shared" si="335"/>
        <v>5.3571428571428603E-2</v>
      </c>
      <c r="P321" s="357">
        <f t="shared" si="336"/>
        <v>-0.11538461538461542</v>
      </c>
      <c r="Q321" s="357">
        <f t="shared" si="337"/>
        <v>3.7634408602150504E-2</v>
      </c>
      <c r="R321" s="357">
        <f t="shared" si="338"/>
        <v>0</v>
      </c>
      <c r="S321" s="357">
        <f t="shared" si="339"/>
        <v>0</v>
      </c>
      <c r="T321" s="357">
        <f t="shared" si="340"/>
        <v>0</v>
      </c>
      <c r="U321" s="379">
        <f t="shared" si="341"/>
        <v>0</v>
      </c>
      <c r="W321" s="451">
        <f t="shared" si="342"/>
        <v>-0.16251892949777494</v>
      </c>
      <c r="X321" s="357">
        <f t="shared" si="343"/>
        <v>-0.16705408466316621</v>
      </c>
      <c r="Y321" s="357">
        <f t="shared" si="344"/>
        <v>5.2185753170570247E-2</v>
      </c>
      <c r="Z321" s="357">
        <f t="shared" si="345"/>
        <v>-0.12260232209233239</v>
      </c>
      <c r="AA321" s="357">
        <f t="shared" si="346"/>
        <v>3.6943515191684276E-2</v>
      </c>
      <c r="AB321" s="357">
        <f t="shared" si="347"/>
        <v>0</v>
      </c>
      <c r="AC321" s="357">
        <f t="shared" si="348"/>
        <v>0</v>
      </c>
      <c r="AD321" s="357">
        <f t="shared" si="349"/>
        <v>0</v>
      </c>
      <c r="AE321" s="379">
        <f t="shared" si="350"/>
        <v>0</v>
      </c>
      <c r="AG321" s="451">
        <f t="shared" si="351"/>
        <v>-0.17147207467756798</v>
      </c>
      <c r="AH321" s="357">
        <f t="shared" si="352"/>
        <v>-0.17495623076342712</v>
      </c>
      <c r="AI321" s="357">
        <f t="shared" si="353"/>
        <v>3.9306222282313327E-2</v>
      </c>
      <c r="AJ321" s="357">
        <f t="shared" si="354"/>
        <v>-0.12533320400745368</v>
      </c>
      <c r="AK321" s="357">
        <f t="shared" si="355"/>
        <v>3.1177735316583736E-2</v>
      </c>
      <c r="AL321" s="357">
        <f t="shared" si="356"/>
        <v>-4.4708067204976532E-4</v>
      </c>
      <c r="AM321" s="357">
        <f t="shared" si="357"/>
        <v>-1.7064673510089895E-4</v>
      </c>
      <c r="AN321" s="357">
        <f t="shared" si="358"/>
        <v>1.9070751392640699E-5</v>
      </c>
      <c r="AO321" s="379">
        <f t="shared" si="359"/>
        <v>5.4711961047645428E-5</v>
      </c>
    </row>
    <row r="322" spans="2:41" x14ac:dyDescent="0.25">
      <c r="B322" s="449">
        <v>44579</v>
      </c>
      <c r="C322">
        <v>65</v>
      </c>
      <c r="D322">
        <v>85</v>
      </c>
      <c r="E322">
        <v>130</v>
      </c>
      <c r="F322">
        <v>132</v>
      </c>
      <c r="G322">
        <v>203</v>
      </c>
      <c r="H322">
        <v>204</v>
      </c>
      <c r="I322">
        <v>172</v>
      </c>
      <c r="J322">
        <v>160</v>
      </c>
      <c r="K322" s="445">
        <v>148</v>
      </c>
      <c r="M322" s="451">
        <f t="shared" si="333"/>
        <v>-4.4117647058823484E-2</v>
      </c>
      <c r="N322" s="357">
        <f t="shared" si="334"/>
        <v>-3.4090909090909061E-2</v>
      </c>
      <c r="O322" s="357">
        <f t="shared" si="335"/>
        <v>0.10169491525423724</v>
      </c>
      <c r="P322" s="357">
        <f t="shared" si="336"/>
        <v>0.14782608695652177</v>
      </c>
      <c r="Q322" s="357">
        <f t="shared" si="337"/>
        <v>5.1813471502590636E-2</v>
      </c>
      <c r="R322" s="357">
        <f t="shared" si="338"/>
        <v>2.0000000000000018E-2</v>
      </c>
      <c r="S322" s="357">
        <f t="shared" si="339"/>
        <v>1.1764705882352899E-2</v>
      </c>
      <c r="T322" s="357">
        <f t="shared" si="340"/>
        <v>0</v>
      </c>
      <c r="U322" s="379">
        <f t="shared" si="341"/>
        <v>6.8027210884353817E-3</v>
      </c>
      <c r="W322" s="451">
        <f t="shared" si="342"/>
        <v>-4.5120435280469544E-2</v>
      </c>
      <c r="X322" s="357">
        <f t="shared" si="343"/>
        <v>-3.4685557987889984E-2</v>
      </c>
      <c r="Y322" s="357">
        <f t="shared" si="344"/>
        <v>9.6849825989917621E-2</v>
      </c>
      <c r="Z322" s="357">
        <f t="shared" si="345"/>
        <v>0.13786979422312082</v>
      </c>
      <c r="AA322" s="357">
        <f t="shared" si="346"/>
        <v>5.0515790136901745E-2</v>
      </c>
      <c r="AB322" s="357">
        <f t="shared" si="347"/>
        <v>1.980262729617973E-2</v>
      </c>
      <c r="AC322" s="357">
        <f t="shared" si="348"/>
        <v>1.1696039763191236E-2</v>
      </c>
      <c r="AD322" s="357">
        <f t="shared" si="349"/>
        <v>0</v>
      </c>
      <c r="AE322" s="379">
        <f t="shared" si="350"/>
        <v>6.7796869853787691E-3</v>
      </c>
      <c r="AG322" s="451">
        <f t="shared" si="351"/>
        <v>-6.5589721736391438E-2</v>
      </c>
      <c r="AH322" s="357">
        <f t="shared" si="352"/>
        <v>-5.5200986008182309E-2</v>
      </c>
      <c r="AI322" s="357">
        <f t="shared" si="353"/>
        <v>8.7429708965121963E-2</v>
      </c>
      <c r="AJ322" s="357">
        <f t="shared" si="354"/>
        <v>0.13787749833368351</v>
      </c>
      <c r="AK322" s="357">
        <f t="shared" si="355"/>
        <v>4.5356798217023868E-2</v>
      </c>
      <c r="AL322" s="357">
        <f t="shared" si="356"/>
        <v>1.9552919327950252E-2</v>
      </c>
      <c r="AM322" s="357">
        <f t="shared" si="357"/>
        <v>1.1594059147252001E-2</v>
      </c>
      <c r="AN322" s="357">
        <f t="shared" si="358"/>
        <v>1.9070751392640699E-5</v>
      </c>
      <c r="AO322" s="379">
        <f t="shared" si="359"/>
        <v>6.8574330494830275E-3</v>
      </c>
    </row>
    <row r="323" spans="2:41" x14ac:dyDescent="0.25">
      <c r="B323" s="449">
        <v>44586</v>
      </c>
      <c r="C323">
        <v>66</v>
      </c>
      <c r="D323">
        <v>70</v>
      </c>
      <c r="E323">
        <v>95</v>
      </c>
      <c r="F323">
        <v>105</v>
      </c>
      <c r="G323">
        <v>183</v>
      </c>
      <c r="H323">
        <v>204</v>
      </c>
      <c r="I323">
        <v>175</v>
      </c>
      <c r="J323">
        <v>160</v>
      </c>
      <c r="K323" s="445">
        <v>150</v>
      </c>
      <c r="M323" s="451">
        <f t="shared" si="333"/>
        <v>1.538461538461533E-2</v>
      </c>
      <c r="N323" s="357">
        <f t="shared" si="334"/>
        <v>-0.17647058823529416</v>
      </c>
      <c r="O323" s="357">
        <f t="shared" si="335"/>
        <v>-0.26923076923076927</v>
      </c>
      <c r="P323" s="357">
        <f t="shared" si="336"/>
        <v>-0.20454545454545459</v>
      </c>
      <c r="Q323" s="357">
        <f t="shared" si="337"/>
        <v>-9.852216748768472E-2</v>
      </c>
      <c r="R323" s="357">
        <f t="shared" si="338"/>
        <v>0</v>
      </c>
      <c r="S323" s="357">
        <f t="shared" si="339"/>
        <v>1.744186046511631E-2</v>
      </c>
      <c r="T323" s="357">
        <f t="shared" si="340"/>
        <v>0</v>
      </c>
      <c r="U323" s="379">
        <f t="shared" si="341"/>
        <v>1.3513513513513598E-2</v>
      </c>
      <c r="W323" s="451">
        <f t="shared" si="342"/>
        <v>1.5267472130788381E-2</v>
      </c>
      <c r="X323" s="357">
        <f t="shared" si="343"/>
        <v>-0.19415601444095751</v>
      </c>
      <c r="Y323" s="357">
        <f t="shared" si="344"/>
        <v>-0.31365755885504165</v>
      </c>
      <c r="Z323" s="357">
        <f t="shared" si="345"/>
        <v>-0.22884157242884753</v>
      </c>
      <c r="AA323" s="357">
        <f t="shared" si="346"/>
        <v>-0.10371982620036638</v>
      </c>
      <c r="AB323" s="357">
        <f t="shared" si="347"/>
        <v>0</v>
      </c>
      <c r="AC323" s="357">
        <f t="shared" si="348"/>
        <v>1.7291497110061043E-2</v>
      </c>
      <c r="AD323" s="357">
        <f t="shared" si="349"/>
        <v>0</v>
      </c>
      <c r="AE323" s="379">
        <f t="shared" si="350"/>
        <v>1.3423020332140771E-2</v>
      </c>
      <c r="AG323" s="451">
        <f t="shared" si="351"/>
        <v>-6.0874592929526274E-3</v>
      </c>
      <c r="AH323" s="357">
        <f t="shared" si="352"/>
        <v>-0.19758066515256742</v>
      </c>
      <c r="AI323" s="357">
        <f t="shared" si="353"/>
        <v>-0.28349597551988454</v>
      </c>
      <c r="AJ323" s="357">
        <f t="shared" si="354"/>
        <v>-0.21449404316829285</v>
      </c>
      <c r="AK323" s="357">
        <f t="shared" si="355"/>
        <v>-0.10497884077325148</v>
      </c>
      <c r="AL323" s="357">
        <f t="shared" si="356"/>
        <v>-4.4708067204976532E-4</v>
      </c>
      <c r="AM323" s="357">
        <f t="shared" si="357"/>
        <v>1.727121373001541E-2</v>
      </c>
      <c r="AN323" s="357">
        <f t="shared" si="358"/>
        <v>1.9070751392640699E-5</v>
      </c>
      <c r="AO323" s="379">
        <f t="shared" si="359"/>
        <v>1.3568225474561242E-2</v>
      </c>
    </row>
    <row r="324" spans="2:41" x14ac:dyDescent="0.25">
      <c r="B324" s="449">
        <v>44593</v>
      </c>
      <c r="C324">
        <v>65</v>
      </c>
      <c r="D324">
        <v>64</v>
      </c>
      <c r="E324">
        <v>78</v>
      </c>
      <c r="F324">
        <v>93</v>
      </c>
      <c r="G324">
        <v>171</v>
      </c>
      <c r="H324">
        <v>204</v>
      </c>
      <c r="I324">
        <v>175</v>
      </c>
      <c r="J324">
        <v>160</v>
      </c>
      <c r="K324" s="445">
        <v>150</v>
      </c>
      <c r="M324" s="451">
        <f t="shared" si="333"/>
        <v>-1.5151515151515138E-2</v>
      </c>
      <c r="N324" s="357">
        <f t="shared" si="334"/>
        <v>-8.5714285714285743E-2</v>
      </c>
      <c r="O324" s="357">
        <f t="shared" si="335"/>
        <v>-0.17894736842105263</v>
      </c>
      <c r="P324" s="357">
        <f t="shared" si="336"/>
        <v>-0.11428571428571432</v>
      </c>
      <c r="Q324" s="357">
        <f t="shared" si="337"/>
        <v>-6.557377049180324E-2</v>
      </c>
      <c r="R324" s="357">
        <f t="shared" si="338"/>
        <v>0</v>
      </c>
      <c r="S324" s="357">
        <f t="shared" si="339"/>
        <v>0</v>
      </c>
      <c r="T324" s="357">
        <f t="shared" si="340"/>
        <v>0</v>
      </c>
      <c r="U324" s="379">
        <f t="shared" si="341"/>
        <v>0</v>
      </c>
      <c r="W324" s="451">
        <f t="shared" si="342"/>
        <v>-1.5267472130788421E-2</v>
      </c>
      <c r="X324" s="357">
        <f t="shared" si="343"/>
        <v>-8.9612158689687166E-2</v>
      </c>
      <c r="Y324" s="357">
        <f t="shared" si="344"/>
        <v>-0.1971680649109491</v>
      </c>
      <c r="Z324" s="357">
        <f t="shared" si="345"/>
        <v>-0.12136085700426748</v>
      </c>
      <c r="AA324" s="357">
        <f t="shared" si="346"/>
        <v>-6.782259633876106E-2</v>
      </c>
      <c r="AB324" s="357">
        <f t="shared" si="347"/>
        <v>0</v>
      </c>
      <c r="AC324" s="357">
        <f t="shared" si="348"/>
        <v>0</v>
      </c>
      <c r="AD324" s="357">
        <f t="shared" si="349"/>
        <v>0</v>
      </c>
      <c r="AE324" s="379">
        <f t="shared" si="350"/>
        <v>0</v>
      </c>
      <c r="AG324" s="451">
        <f t="shared" si="351"/>
        <v>-3.6623589829083092E-2</v>
      </c>
      <c r="AH324" s="357">
        <f t="shared" si="352"/>
        <v>-0.10682436263155899</v>
      </c>
      <c r="AI324" s="357">
        <f t="shared" si="353"/>
        <v>-0.19321257471016789</v>
      </c>
      <c r="AJ324" s="357">
        <f t="shared" si="354"/>
        <v>-0.12423430290855259</v>
      </c>
      <c r="AK324" s="357">
        <f t="shared" si="355"/>
        <v>-7.2030443777370001E-2</v>
      </c>
      <c r="AL324" s="357">
        <f t="shared" si="356"/>
        <v>-4.4708067204976532E-4</v>
      </c>
      <c r="AM324" s="357">
        <f t="shared" si="357"/>
        <v>-1.7064673510089895E-4</v>
      </c>
      <c r="AN324" s="357">
        <f t="shared" si="358"/>
        <v>1.9070751392640699E-5</v>
      </c>
      <c r="AO324" s="379">
        <f t="shared" si="359"/>
        <v>5.4711961047645428E-5</v>
      </c>
    </row>
    <row r="325" spans="2:41" x14ac:dyDescent="0.25">
      <c r="B325" s="449">
        <v>44600</v>
      </c>
      <c r="C325">
        <v>60</v>
      </c>
      <c r="D325">
        <v>67</v>
      </c>
      <c r="E325">
        <v>75</v>
      </c>
      <c r="F325">
        <v>85</v>
      </c>
      <c r="G325">
        <v>165</v>
      </c>
      <c r="H325">
        <v>195</v>
      </c>
      <c r="I325">
        <v>175</v>
      </c>
      <c r="J325">
        <v>160</v>
      </c>
      <c r="K325" s="445">
        <v>150</v>
      </c>
      <c r="M325" s="451">
        <f t="shared" si="333"/>
        <v>-7.6923076923076872E-2</v>
      </c>
      <c r="N325" s="357">
        <f t="shared" si="334"/>
        <v>4.6875E-2</v>
      </c>
      <c r="O325" s="357">
        <f t="shared" si="335"/>
        <v>-3.8461538461538436E-2</v>
      </c>
      <c r="P325" s="357">
        <f t="shared" si="336"/>
        <v>-8.6021505376344121E-2</v>
      </c>
      <c r="Q325" s="357">
        <f t="shared" si="337"/>
        <v>-3.5087719298245612E-2</v>
      </c>
      <c r="R325" s="357">
        <f t="shared" si="338"/>
        <v>-4.4117647058823484E-2</v>
      </c>
      <c r="S325" s="357">
        <f t="shared" si="339"/>
        <v>0</v>
      </c>
      <c r="T325" s="357">
        <f t="shared" si="340"/>
        <v>0</v>
      </c>
      <c r="U325" s="379">
        <f t="shared" si="341"/>
        <v>0</v>
      </c>
      <c r="W325" s="451">
        <f t="shared" si="342"/>
        <v>-8.004270767353637E-2</v>
      </c>
      <c r="X325" s="357">
        <f t="shared" si="343"/>
        <v>4.5809536031294201E-2</v>
      </c>
      <c r="Y325" s="357">
        <f t="shared" si="344"/>
        <v>-3.9220713153281267E-2</v>
      </c>
      <c r="Z325" s="357">
        <f t="shared" si="345"/>
        <v>-8.9948236662939524E-2</v>
      </c>
      <c r="AA325" s="357">
        <f t="shared" si="346"/>
        <v>-3.5718082602079232E-2</v>
      </c>
      <c r="AB325" s="357">
        <f t="shared" si="347"/>
        <v>-4.5120435280469544E-2</v>
      </c>
      <c r="AC325" s="357">
        <f t="shared" si="348"/>
        <v>0</v>
      </c>
      <c r="AD325" s="357">
        <f t="shared" si="349"/>
        <v>0</v>
      </c>
      <c r="AE325" s="379">
        <f t="shared" si="350"/>
        <v>0</v>
      </c>
      <c r="AG325" s="451">
        <f t="shared" si="351"/>
        <v>-9.8395151600644826E-2</v>
      </c>
      <c r="AH325" s="357">
        <f t="shared" si="352"/>
        <v>2.5764923082726748E-2</v>
      </c>
      <c r="AI325" s="357">
        <f t="shared" si="353"/>
        <v>-5.2726744750653712E-2</v>
      </c>
      <c r="AJ325" s="357">
        <f t="shared" si="354"/>
        <v>-9.5970093999182382E-2</v>
      </c>
      <c r="AK325" s="357">
        <f t="shared" si="355"/>
        <v>-4.154439258381238E-2</v>
      </c>
      <c r="AL325" s="357">
        <f t="shared" si="356"/>
        <v>-4.4564727730873249E-2</v>
      </c>
      <c r="AM325" s="357">
        <f t="shared" si="357"/>
        <v>-1.7064673510089895E-4</v>
      </c>
      <c r="AN325" s="357">
        <f t="shared" si="358"/>
        <v>1.9070751392640699E-5</v>
      </c>
      <c r="AO325" s="379">
        <f t="shared" si="359"/>
        <v>5.4711961047645428E-5</v>
      </c>
    </row>
    <row r="326" spans="2:41" x14ac:dyDescent="0.25">
      <c r="B326" s="449">
        <v>44607</v>
      </c>
      <c r="C326">
        <v>58</v>
      </c>
      <c r="D326">
        <v>65</v>
      </c>
      <c r="E326">
        <v>80</v>
      </c>
      <c r="F326">
        <v>92</v>
      </c>
      <c r="G326">
        <v>168</v>
      </c>
      <c r="H326">
        <v>202</v>
      </c>
      <c r="I326">
        <v>175</v>
      </c>
      <c r="J326">
        <v>160</v>
      </c>
      <c r="K326" s="445">
        <v>150</v>
      </c>
      <c r="M326" s="451">
        <f t="shared" si="333"/>
        <v>-3.3333333333333326E-2</v>
      </c>
      <c r="N326" s="357">
        <f t="shared" si="334"/>
        <v>-2.9850746268656692E-2</v>
      </c>
      <c r="O326" s="357">
        <f t="shared" si="335"/>
        <v>6.6666666666666652E-2</v>
      </c>
      <c r="P326" s="357">
        <f t="shared" si="336"/>
        <v>8.2352941176470518E-2</v>
      </c>
      <c r="Q326" s="357">
        <f t="shared" si="337"/>
        <v>1.8181818181818077E-2</v>
      </c>
      <c r="R326" s="357">
        <f t="shared" si="338"/>
        <v>3.5897435897435992E-2</v>
      </c>
      <c r="S326" s="357">
        <f t="shared" si="339"/>
        <v>0</v>
      </c>
      <c r="T326" s="357">
        <f t="shared" si="340"/>
        <v>0</v>
      </c>
      <c r="U326" s="379">
        <f t="shared" si="341"/>
        <v>0</v>
      </c>
      <c r="W326" s="451">
        <f t="shared" si="342"/>
        <v>-3.3901551675681339E-2</v>
      </c>
      <c r="X326" s="357">
        <f t="shared" si="343"/>
        <v>-3.0305349495328922E-2</v>
      </c>
      <c r="Y326" s="357">
        <f t="shared" si="344"/>
        <v>6.4538521137571164E-2</v>
      </c>
      <c r="Z326" s="357">
        <f t="shared" si="345"/>
        <v>7.9137320558723787E-2</v>
      </c>
      <c r="AA326" s="357">
        <f t="shared" si="346"/>
        <v>1.8018505502678212E-2</v>
      </c>
      <c r="AB326" s="357">
        <f t="shared" si="347"/>
        <v>3.5268138837458052E-2</v>
      </c>
      <c r="AC326" s="357">
        <f t="shared" si="348"/>
        <v>0</v>
      </c>
      <c r="AD326" s="357">
        <f t="shared" si="349"/>
        <v>0</v>
      </c>
      <c r="AE326" s="379">
        <f t="shared" si="350"/>
        <v>0</v>
      </c>
      <c r="AG326" s="451">
        <f t="shared" si="351"/>
        <v>-5.480540801090128E-2</v>
      </c>
      <c r="AH326" s="357">
        <f t="shared" si="352"/>
        <v>-5.096082318592994E-2</v>
      </c>
      <c r="AI326" s="357">
        <f t="shared" si="353"/>
        <v>5.2401460377551376E-2</v>
      </c>
      <c r="AJ326" s="357">
        <f t="shared" si="354"/>
        <v>7.2404352553632256E-2</v>
      </c>
      <c r="AK326" s="357">
        <f t="shared" si="355"/>
        <v>1.1725144896251309E-2</v>
      </c>
      <c r="AL326" s="357">
        <f t="shared" si="356"/>
        <v>3.5450355225386226E-2</v>
      </c>
      <c r="AM326" s="357">
        <f t="shared" si="357"/>
        <v>-1.7064673510089895E-4</v>
      </c>
      <c r="AN326" s="357">
        <f t="shared" si="358"/>
        <v>1.9070751392640699E-5</v>
      </c>
      <c r="AO326" s="379">
        <f t="shared" si="359"/>
        <v>5.4711961047645428E-5</v>
      </c>
    </row>
    <row r="327" spans="2:41" x14ac:dyDescent="0.25">
      <c r="B327" s="449">
        <v>44614</v>
      </c>
      <c r="C327">
        <v>58</v>
      </c>
      <c r="D327">
        <v>64</v>
      </c>
      <c r="E327">
        <v>84</v>
      </c>
      <c r="F327">
        <v>97</v>
      </c>
      <c r="G327">
        <v>185</v>
      </c>
      <c r="H327">
        <v>215</v>
      </c>
      <c r="I327">
        <v>175</v>
      </c>
      <c r="J327">
        <v>160</v>
      </c>
      <c r="K327" s="445">
        <v>150</v>
      </c>
      <c r="M327" s="451">
        <f t="shared" si="333"/>
        <v>0</v>
      </c>
      <c r="N327" s="357">
        <f t="shared" si="334"/>
        <v>-1.538461538461533E-2</v>
      </c>
      <c r="O327" s="357">
        <f t="shared" si="335"/>
        <v>5.0000000000000044E-2</v>
      </c>
      <c r="P327" s="357">
        <f t="shared" si="336"/>
        <v>5.4347826086956541E-2</v>
      </c>
      <c r="Q327" s="357">
        <f t="shared" si="337"/>
        <v>0.10119047619047628</v>
      </c>
      <c r="R327" s="357">
        <f t="shared" si="338"/>
        <v>6.4356435643564414E-2</v>
      </c>
      <c r="S327" s="357">
        <f t="shared" si="339"/>
        <v>0</v>
      </c>
      <c r="T327" s="357">
        <f t="shared" si="340"/>
        <v>0</v>
      </c>
      <c r="U327" s="379">
        <f t="shared" si="341"/>
        <v>0</v>
      </c>
      <c r="W327" s="451">
        <f t="shared" si="342"/>
        <v>0</v>
      </c>
      <c r="X327" s="357">
        <f t="shared" si="343"/>
        <v>-1.5504186535965199E-2</v>
      </c>
      <c r="Y327" s="357">
        <f t="shared" si="344"/>
        <v>4.8790164169432049E-2</v>
      </c>
      <c r="Z327" s="357">
        <f t="shared" si="345"/>
        <v>5.292240145434253E-2</v>
      </c>
      <c r="AA327" s="357">
        <f t="shared" si="346"/>
        <v>9.6391845675065965E-2</v>
      </c>
      <c r="AB327" s="357">
        <f t="shared" si="347"/>
        <v>6.237033072645809E-2</v>
      </c>
      <c r="AC327" s="357">
        <f t="shared" si="348"/>
        <v>0</v>
      </c>
      <c r="AD327" s="357">
        <f t="shared" si="349"/>
        <v>0</v>
      </c>
      <c r="AE327" s="379">
        <f t="shared" si="350"/>
        <v>0</v>
      </c>
      <c r="AG327" s="451">
        <f t="shared" si="351"/>
        <v>-2.1472074677567957E-2</v>
      </c>
      <c r="AH327" s="357">
        <f t="shared" si="352"/>
        <v>-3.6494692301888579E-2</v>
      </c>
      <c r="AI327" s="357">
        <f t="shared" si="353"/>
        <v>3.5734793710884769E-2</v>
      </c>
      <c r="AJ327" s="357">
        <f t="shared" si="354"/>
        <v>4.439923746411828E-2</v>
      </c>
      <c r="AK327" s="357">
        <f t="shared" si="355"/>
        <v>9.4733802904909514E-2</v>
      </c>
      <c r="AL327" s="357">
        <f t="shared" si="356"/>
        <v>6.3909354971514648E-2</v>
      </c>
      <c r="AM327" s="357">
        <f t="shared" si="357"/>
        <v>-1.7064673510089895E-4</v>
      </c>
      <c r="AN327" s="357">
        <f t="shared" si="358"/>
        <v>1.9070751392640699E-5</v>
      </c>
      <c r="AO327" s="379">
        <f t="shared" si="359"/>
        <v>5.4711961047645428E-5</v>
      </c>
    </row>
    <row r="328" spans="2:41" x14ac:dyDescent="0.25">
      <c r="B328" s="449">
        <v>44628</v>
      </c>
      <c r="C328">
        <v>57</v>
      </c>
      <c r="D328">
        <v>58</v>
      </c>
      <c r="E328">
        <v>72</v>
      </c>
      <c r="F328">
        <v>88</v>
      </c>
      <c r="G328">
        <v>180</v>
      </c>
      <c r="H328">
        <v>220</v>
      </c>
      <c r="I328">
        <v>180</v>
      </c>
      <c r="J328">
        <v>163</v>
      </c>
      <c r="K328" s="445">
        <v>153</v>
      </c>
      <c r="M328" s="451">
        <f t="shared" si="333"/>
        <v>-1.7241379310344862E-2</v>
      </c>
      <c r="N328" s="357">
        <f t="shared" si="334"/>
        <v>-9.375E-2</v>
      </c>
      <c r="O328" s="357">
        <f t="shared" si="335"/>
        <v>-0.1428571428571429</v>
      </c>
      <c r="P328" s="357">
        <f t="shared" si="336"/>
        <v>-9.2783505154639179E-2</v>
      </c>
      <c r="Q328" s="357">
        <f t="shared" si="337"/>
        <v>-2.7027027027026973E-2</v>
      </c>
      <c r="R328" s="357">
        <f t="shared" si="338"/>
        <v>2.3255813953488413E-2</v>
      </c>
      <c r="S328" s="357">
        <f t="shared" si="339"/>
        <v>2.857142857142847E-2</v>
      </c>
      <c r="T328" s="357">
        <f t="shared" si="340"/>
        <v>1.8750000000000044E-2</v>
      </c>
      <c r="U328" s="379">
        <f t="shared" si="341"/>
        <v>2.0000000000000018E-2</v>
      </c>
      <c r="W328" s="451">
        <f t="shared" si="342"/>
        <v>-1.7391742711869222E-2</v>
      </c>
      <c r="X328" s="357">
        <f t="shared" si="343"/>
        <v>-9.8440072813252524E-2</v>
      </c>
      <c r="Y328" s="357">
        <f t="shared" si="344"/>
        <v>-0.15415067982725836</v>
      </c>
      <c r="Z328" s="357">
        <f t="shared" si="345"/>
        <v>-9.737416402517636E-2</v>
      </c>
      <c r="AA328" s="357">
        <f t="shared" si="346"/>
        <v>-2.7398974188114388E-2</v>
      </c>
      <c r="AB328" s="357">
        <f t="shared" si="347"/>
        <v>2.2989518224698781E-2</v>
      </c>
      <c r="AC328" s="357">
        <f t="shared" si="348"/>
        <v>2.8170876966696224E-2</v>
      </c>
      <c r="AD328" s="357">
        <f t="shared" si="349"/>
        <v>1.8576385572935457E-2</v>
      </c>
      <c r="AE328" s="379">
        <f t="shared" si="350"/>
        <v>1.980262729617973E-2</v>
      </c>
      <c r="AG328" s="451">
        <f t="shared" si="351"/>
        <v>-3.8713453987912816E-2</v>
      </c>
      <c r="AH328" s="357">
        <f t="shared" si="352"/>
        <v>-0.11486007691727325</v>
      </c>
      <c r="AI328" s="357">
        <f t="shared" si="353"/>
        <v>-0.15712234914625817</v>
      </c>
      <c r="AJ328" s="357">
        <f t="shared" si="354"/>
        <v>-0.10273209377747744</v>
      </c>
      <c r="AK328" s="357">
        <f t="shared" si="355"/>
        <v>-3.3483700312593741E-2</v>
      </c>
      <c r="AL328" s="357">
        <f t="shared" si="356"/>
        <v>2.2808733281438648E-2</v>
      </c>
      <c r="AM328" s="357">
        <f t="shared" si="357"/>
        <v>2.840078183632757E-2</v>
      </c>
      <c r="AN328" s="357">
        <f t="shared" si="358"/>
        <v>1.8769070751392686E-2</v>
      </c>
      <c r="AO328" s="379">
        <f t="shared" si="359"/>
        <v>2.0054711961047664E-2</v>
      </c>
    </row>
    <row r="329" spans="2:41" x14ac:dyDescent="0.25">
      <c r="B329" s="449">
        <v>44635</v>
      </c>
      <c r="C329">
        <v>58</v>
      </c>
      <c r="D329">
        <v>66</v>
      </c>
      <c r="E329">
        <v>76</v>
      </c>
      <c r="F329">
        <v>114</v>
      </c>
      <c r="G329">
        <v>173</v>
      </c>
      <c r="H329">
        <v>225</v>
      </c>
      <c r="I329">
        <v>180</v>
      </c>
      <c r="J329">
        <v>163</v>
      </c>
      <c r="K329" s="573">
        <v>153</v>
      </c>
      <c r="M329" s="591">
        <f t="shared" si="333"/>
        <v>1.7543859649122862E-2</v>
      </c>
      <c r="N329" s="357">
        <f t="shared" si="334"/>
        <v>0.13793103448275867</v>
      </c>
      <c r="O329" s="357">
        <f t="shared" si="335"/>
        <v>5.555555555555558E-2</v>
      </c>
      <c r="P329" s="357">
        <f t="shared" si="336"/>
        <v>0.29545454545454541</v>
      </c>
      <c r="Q329" s="357">
        <f t="shared" si="337"/>
        <v>-3.8888888888888862E-2</v>
      </c>
      <c r="R329" s="357">
        <f t="shared" si="338"/>
        <v>2.2727272727272707E-2</v>
      </c>
      <c r="S329" s="357">
        <f t="shared" si="339"/>
        <v>0</v>
      </c>
      <c r="T329" s="357">
        <f t="shared" si="340"/>
        <v>0</v>
      </c>
      <c r="U329" s="574">
        <f t="shared" si="341"/>
        <v>0</v>
      </c>
      <c r="W329" s="591">
        <f t="shared" si="342"/>
        <v>1.7391742711869239E-2</v>
      </c>
      <c r="X329" s="357">
        <f t="shared" si="343"/>
        <v>0.12921173148000625</v>
      </c>
      <c r="Y329" s="357">
        <f t="shared" si="344"/>
        <v>5.4067221270275793E-2</v>
      </c>
      <c r="Z329" s="357">
        <f t="shared" si="345"/>
        <v>0.25886163391628897</v>
      </c>
      <c r="AA329" s="357">
        <f t="shared" si="346"/>
        <v>-3.9665256392431403E-2</v>
      </c>
      <c r="AB329" s="357">
        <f t="shared" si="347"/>
        <v>2.2472855852058576E-2</v>
      </c>
      <c r="AC329" s="357">
        <f t="shared" si="348"/>
        <v>0</v>
      </c>
      <c r="AD329" s="357">
        <f t="shared" si="349"/>
        <v>0</v>
      </c>
      <c r="AE329" s="574">
        <f t="shared" si="350"/>
        <v>0</v>
      </c>
      <c r="AG329" s="591">
        <f t="shared" si="351"/>
        <v>-3.9282150284450958E-3</v>
      </c>
      <c r="AH329" s="357">
        <f t="shared" si="352"/>
        <v>0.11682095756548543</v>
      </c>
      <c r="AI329" s="357">
        <f t="shared" si="353"/>
        <v>4.1290349266440304E-2</v>
      </c>
      <c r="AJ329" s="357">
        <f t="shared" si="354"/>
        <v>0.28550595683170715</v>
      </c>
      <c r="AK329" s="357">
        <f t="shared" si="355"/>
        <v>-4.5345562174455629E-2</v>
      </c>
      <c r="AL329" s="357">
        <f t="shared" si="356"/>
        <v>2.2280192055222942E-2</v>
      </c>
      <c r="AM329" s="357">
        <f t="shared" si="357"/>
        <v>-1.7064673510089895E-4</v>
      </c>
      <c r="AN329" s="357">
        <f t="shared" si="358"/>
        <v>1.9070751392640699E-5</v>
      </c>
      <c r="AO329" s="574">
        <f t="shared" si="359"/>
        <v>5.4711961047645428E-5</v>
      </c>
    </row>
    <row r="330" spans="2:41" x14ac:dyDescent="0.25">
      <c r="B330" s="449">
        <v>44642</v>
      </c>
      <c r="C330">
        <v>57</v>
      </c>
      <c r="D330">
        <v>62</v>
      </c>
      <c r="E330">
        <v>71</v>
      </c>
      <c r="F330">
        <v>96</v>
      </c>
      <c r="G330">
        <v>155</v>
      </c>
      <c r="H330">
        <v>217</v>
      </c>
      <c r="I330">
        <v>182</v>
      </c>
      <c r="J330">
        <v>163</v>
      </c>
      <c r="K330" s="573">
        <v>153</v>
      </c>
      <c r="M330" s="591">
        <f t="shared" si="333"/>
        <v>-1.7241379310344862E-2</v>
      </c>
      <c r="N330" s="357">
        <f t="shared" si="334"/>
        <v>-6.0606060606060552E-2</v>
      </c>
      <c r="O330" s="357">
        <f t="shared" si="335"/>
        <v>-6.5789473684210509E-2</v>
      </c>
      <c r="P330" s="357">
        <f t="shared" si="336"/>
        <v>-0.15789473684210531</v>
      </c>
      <c r="Q330" s="357">
        <f t="shared" si="337"/>
        <v>-0.10404624277456642</v>
      </c>
      <c r="R330" s="357">
        <f t="shared" si="338"/>
        <v>-3.5555555555555562E-2</v>
      </c>
      <c r="S330" s="357">
        <f t="shared" si="339"/>
        <v>1.1111111111111072E-2</v>
      </c>
      <c r="T330" s="357">
        <f t="shared" si="340"/>
        <v>0</v>
      </c>
      <c r="U330" s="574">
        <f t="shared" si="341"/>
        <v>0</v>
      </c>
      <c r="W330" s="591">
        <f t="shared" si="342"/>
        <v>-1.7391742711869222E-2</v>
      </c>
      <c r="X330" s="357">
        <f t="shared" si="343"/>
        <v>-6.252035698133393E-2</v>
      </c>
      <c r="Y330" s="357">
        <f t="shared" si="344"/>
        <v>-6.8053463245015641E-2</v>
      </c>
      <c r="Z330" s="357">
        <f t="shared" si="345"/>
        <v>-0.17185025692665928</v>
      </c>
      <c r="AA330" s="357">
        <f t="shared" si="346"/>
        <v>-0.10986647757853227</v>
      </c>
      <c r="AB330" s="357">
        <f t="shared" si="347"/>
        <v>-3.6203048663960589E-2</v>
      </c>
      <c r="AC330" s="357">
        <f t="shared" si="348"/>
        <v>1.1049836186584935E-2</v>
      </c>
      <c r="AD330" s="357">
        <f t="shared" si="349"/>
        <v>0</v>
      </c>
      <c r="AE330" s="574">
        <f t="shared" si="350"/>
        <v>0</v>
      </c>
      <c r="AG330" s="591">
        <f t="shared" si="351"/>
        <v>-3.8713453987912816E-2</v>
      </c>
      <c r="AH330" s="357">
        <f t="shared" si="352"/>
        <v>-8.1716137523333801E-2</v>
      </c>
      <c r="AI330" s="357">
        <f t="shared" si="353"/>
        <v>-8.0054679973325785E-2</v>
      </c>
      <c r="AJ330" s="357">
        <f t="shared" si="354"/>
        <v>-0.16784332546494357</v>
      </c>
      <c r="AK330" s="357">
        <f t="shared" si="355"/>
        <v>-0.11050291606013318</v>
      </c>
      <c r="AL330" s="357">
        <f t="shared" si="356"/>
        <v>-3.6002636227605328E-2</v>
      </c>
      <c r="AM330" s="357">
        <f t="shared" si="357"/>
        <v>1.0940464376010173E-2</v>
      </c>
      <c r="AN330" s="357">
        <f t="shared" si="358"/>
        <v>1.9070751392640699E-5</v>
      </c>
      <c r="AO330" s="574">
        <f t="shared" si="359"/>
        <v>5.4711961047645428E-5</v>
      </c>
    </row>
    <row r="331" spans="2:41" x14ac:dyDescent="0.25">
      <c r="B331" s="449">
        <v>44649</v>
      </c>
      <c r="C331">
        <v>57</v>
      </c>
      <c r="D331">
        <v>60</v>
      </c>
      <c r="E331">
        <v>66</v>
      </c>
      <c r="F331">
        <v>89</v>
      </c>
      <c r="G331">
        <v>154</v>
      </c>
      <c r="H331">
        <v>215</v>
      </c>
      <c r="I331">
        <v>187</v>
      </c>
      <c r="J331">
        <v>163</v>
      </c>
      <c r="K331" s="573">
        <v>153</v>
      </c>
      <c r="M331" s="591">
        <f t="shared" si="333"/>
        <v>0</v>
      </c>
      <c r="N331" s="357">
        <f t="shared" si="334"/>
        <v>-3.2258064516129004E-2</v>
      </c>
      <c r="O331" s="357">
        <f t="shared" si="335"/>
        <v>-7.0422535211267623E-2</v>
      </c>
      <c r="P331" s="357">
        <f t="shared" si="336"/>
        <v>-7.291666666666663E-2</v>
      </c>
      <c r="Q331" s="357">
        <f t="shared" si="337"/>
        <v>-6.4516129032258229E-3</v>
      </c>
      <c r="R331" s="357">
        <f t="shared" si="338"/>
        <v>-9.2165898617511122E-3</v>
      </c>
      <c r="S331" s="357">
        <f t="shared" si="339"/>
        <v>2.7472527472527375E-2</v>
      </c>
      <c r="T331" s="357">
        <f t="shared" si="340"/>
        <v>0</v>
      </c>
      <c r="U331" s="574">
        <f t="shared" si="341"/>
        <v>0</v>
      </c>
      <c r="W331" s="591">
        <f t="shared" si="342"/>
        <v>0</v>
      </c>
      <c r="X331" s="357">
        <f t="shared" si="343"/>
        <v>-3.2789822822990838E-2</v>
      </c>
      <c r="Y331" s="357">
        <f t="shared" si="344"/>
        <v>-7.30251350148899E-2</v>
      </c>
      <c r="Z331" s="357">
        <f t="shared" si="345"/>
        <v>-7.5711821735696364E-2</v>
      </c>
      <c r="AA331" s="357">
        <f t="shared" si="346"/>
        <v>-6.4725145056174788E-3</v>
      </c>
      <c r="AB331" s="357">
        <f t="shared" si="347"/>
        <v>-9.2593254127967123E-3</v>
      </c>
      <c r="AC331" s="357">
        <f t="shared" si="348"/>
        <v>2.7101929777791179E-2</v>
      </c>
      <c r="AD331" s="357">
        <f t="shared" si="349"/>
        <v>0</v>
      </c>
      <c r="AE331" s="574">
        <f t="shared" si="350"/>
        <v>0</v>
      </c>
      <c r="AG331" s="591">
        <f t="shared" si="351"/>
        <v>-2.1472074677567957E-2</v>
      </c>
      <c r="AH331" s="357">
        <f t="shared" si="352"/>
        <v>-5.3368141433402252E-2</v>
      </c>
      <c r="AI331" s="357">
        <f t="shared" si="353"/>
        <v>-8.4687741500382899E-2</v>
      </c>
      <c r="AJ331" s="357">
        <f t="shared" si="354"/>
        <v>-8.2865255289504891E-2</v>
      </c>
      <c r="AK331" s="357">
        <f t="shared" si="355"/>
        <v>-1.2908286188792591E-2</v>
      </c>
      <c r="AL331" s="357">
        <f t="shared" si="356"/>
        <v>-9.6636705338008777E-3</v>
      </c>
      <c r="AM331" s="357">
        <f t="shared" si="357"/>
        <v>2.7301880737426475E-2</v>
      </c>
      <c r="AN331" s="357">
        <f t="shared" si="358"/>
        <v>1.9070751392640699E-5</v>
      </c>
      <c r="AO331" s="574">
        <f t="shared" si="359"/>
        <v>5.4711961047645428E-5</v>
      </c>
    </row>
    <row r="332" spans="2:41" x14ac:dyDescent="0.25">
      <c r="B332" s="449">
        <v>44656</v>
      </c>
      <c r="C332">
        <v>57</v>
      </c>
      <c r="D332">
        <v>58</v>
      </c>
      <c r="E332">
        <v>62</v>
      </c>
      <c r="F332">
        <v>77</v>
      </c>
      <c r="G332">
        <v>130</v>
      </c>
      <c r="H332">
        <v>212</v>
      </c>
      <c r="I332">
        <v>187</v>
      </c>
      <c r="J332">
        <v>163</v>
      </c>
      <c r="K332" s="573">
        <v>153</v>
      </c>
      <c r="M332" s="591">
        <f t="shared" si="333"/>
        <v>0</v>
      </c>
      <c r="N332" s="357">
        <f t="shared" si="334"/>
        <v>-3.3333333333333326E-2</v>
      </c>
      <c r="O332" s="357">
        <f t="shared" si="335"/>
        <v>-6.0606060606060552E-2</v>
      </c>
      <c r="P332" s="357">
        <f t="shared" si="336"/>
        <v>-0.1348314606741573</v>
      </c>
      <c r="Q332" s="357">
        <f t="shared" si="337"/>
        <v>-0.1558441558441559</v>
      </c>
      <c r="R332" s="357">
        <f t="shared" si="338"/>
        <v>-1.3953488372092981E-2</v>
      </c>
      <c r="S332" s="357">
        <f t="shared" si="339"/>
        <v>0</v>
      </c>
      <c r="T332" s="357">
        <f t="shared" si="340"/>
        <v>0</v>
      </c>
      <c r="U332" s="574">
        <f t="shared" si="341"/>
        <v>0</v>
      </c>
      <c r="W332" s="591">
        <f t="shared" si="342"/>
        <v>0</v>
      </c>
      <c r="X332" s="357">
        <f t="shared" si="343"/>
        <v>-3.3901551675681339E-2</v>
      </c>
      <c r="Y332" s="357">
        <f t="shared" si="344"/>
        <v>-6.252035698133393E-2</v>
      </c>
      <c r="Z332" s="357">
        <f t="shared" si="345"/>
        <v>-0.14483094787845599</v>
      </c>
      <c r="AA332" s="357">
        <f t="shared" si="346"/>
        <v>-0.1694181519580468</v>
      </c>
      <c r="AB332" s="357">
        <f t="shared" si="347"/>
        <v>-1.4051753455650302E-2</v>
      </c>
      <c r="AC332" s="357">
        <f t="shared" si="348"/>
        <v>0</v>
      </c>
      <c r="AD332" s="357">
        <f t="shared" si="349"/>
        <v>0</v>
      </c>
      <c r="AE332" s="574">
        <f t="shared" si="350"/>
        <v>0</v>
      </c>
      <c r="AG332" s="591">
        <f t="shared" si="351"/>
        <v>-2.1472074677567957E-2</v>
      </c>
      <c r="AH332" s="357">
        <f t="shared" si="352"/>
        <v>-5.4443410250606575E-2</v>
      </c>
      <c r="AI332" s="357">
        <f t="shared" si="353"/>
        <v>-7.4871266895175828E-2</v>
      </c>
      <c r="AJ332" s="357">
        <f t="shared" si="354"/>
        <v>-0.14478004929699556</v>
      </c>
      <c r="AK332" s="357">
        <f t="shared" si="355"/>
        <v>-0.16230082912972266</v>
      </c>
      <c r="AL332" s="357">
        <f t="shared" si="356"/>
        <v>-1.4400569044142747E-2</v>
      </c>
      <c r="AM332" s="357">
        <f t="shared" si="357"/>
        <v>-1.7064673510089895E-4</v>
      </c>
      <c r="AN332" s="357">
        <f t="shared" si="358"/>
        <v>1.9070751392640699E-5</v>
      </c>
      <c r="AO332" s="574">
        <f t="shared" si="359"/>
        <v>5.4711961047645428E-5</v>
      </c>
    </row>
    <row r="333" spans="2:41" x14ac:dyDescent="0.25">
      <c r="B333" s="449">
        <v>44663</v>
      </c>
      <c r="C333">
        <v>58</v>
      </c>
      <c r="D333">
        <v>63</v>
      </c>
      <c r="E333">
        <v>84</v>
      </c>
      <c r="F333">
        <v>107</v>
      </c>
      <c r="G333">
        <v>149</v>
      </c>
      <c r="H333">
        <v>205</v>
      </c>
      <c r="I333">
        <v>187</v>
      </c>
      <c r="J333">
        <v>163</v>
      </c>
      <c r="K333" s="573">
        <v>153</v>
      </c>
      <c r="M333" s="591">
        <f t="shared" si="333"/>
        <v>1.7543859649122862E-2</v>
      </c>
      <c r="N333" s="357">
        <f t="shared" si="334"/>
        <v>8.6206896551724199E-2</v>
      </c>
      <c r="O333" s="357">
        <f t="shared" si="335"/>
        <v>0.35483870967741926</v>
      </c>
      <c r="P333" s="357">
        <f t="shared" si="336"/>
        <v>0.38961038961038952</v>
      </c>
      <c r="Q333" s="357">
        <f t="shared" si="337"/>
        <v>0.14615384615384608</v>
      </c>
      <c r="R333" s="357">
        <f t="shared" si="338"/>
        <v>-3.301886792452835E-2</v>
      </c>
      <c r="S333" s="357">
        <f t="shared" si="339"/>
        <v>0</v>
      </c>
      <c r="T333" s="357">
        <f t="shared" si="340"/>
        <v>0</v>
      </c>
      <c r="U333" s="574">
        <f t="shared" si="341"/>
        <v>0</v>
      </c>
      <c r="W333" s="591">
        <f t="shared" si="342"/>
        <v>1.7391742711869239E-2</v>
      </c>
      <c r="X333" s="357">
        <f t="shared" si="343"/>
        <v>8.2691715845113409E-2</v>
      </c>
      <c r="Y333" s="357">
        <f t="shared" si="344"/>
        <v>0.30368241379822197</v>
      </c>
      <c r="Z333" s="357">
        <f t="shared" si="345"/>
        <v>0.32902341260822227</v>
      </c>
      <c r="AA333" s="357">
        <f t="shared" si="346"/>
        <v>0.13641185548987667</v>
      </c>
      <c r="AB333" s="357">
        <f t="shared" si="347"/>
        <v>-3.3576295533604326E-2</v>
      </c>
      <c r="AC333" s="357">
        <f t="shared" si="348"/>
        <v>0</v>
      </c>
      <c r="AD333" s="357">
        <f t="shared" si="349"/>
        <v>0</v>
      </c>
      <c r="AE333" s="574">
        <f t="shared" si="350"/>
        <v>0</v>
      </c>
      <c r="AG333" s="591">
        <f t="shared" si="351"/>
        <v>-3.9282150284450958E-3</v>
      </c>
      <c r="AH333" s="357">
        <f t="shared" si="352"/>
        <v>6.509681963445095E-2</v>
      </c>
      <c r="AI333" s="357">
        <f t="shared" si="353"/>
        <v>0.340573503388304</v>
      </c>
      <c r="AJ333" s="357">
        <f t="shared" si="354"/>
        <v>0.37966180098755126</v>
      </c>
      <c r="AK333" s="357">
        <f t="shared" si="355"/>
        <v>0.13969717286827932</v>
      </c>
      <c r="AL333" s="357">
        <f t="shared" si="356"/>
        <v>-3.3465948596578116E-2</v>
      </c>
      <c r="AM333" s="357">
        <f t="shared" si="357"/>
        <v>-1.7064673510089895E-4</v>
      </c>
      <c r="AN333" s="357">
        <f t="shared" si="358"/>
        <v>1.9070751392640699E-5</v>
      </c>
      <c r="AO333" s="574">
        <f t="shared" si="359"/>
        <v>5.4711961047645428E-5</v>
      </c>
    </row>
    <row r="334" spans="2:41" x14ac:dyDescent="0.25">
      <c r="B334" s="449">
        <v>44670</v>
      </c>
      <c r="C334">
        <v>58</v>
      </c>
      <c r="D334">
        <v>61</v>
      </c>
      <c r="E334">
        <v>75</v>
      </c>
      <c r="F334">
        <v>96</v>
      </c>
      <c r="G334">
        <v>131</v>
      </c>
      <c r="H334">
        <v>200</v>
      </c>
      <c r="I334">
        <v>187</v>
      </c>
      <c r="J334">
        <v>163</v>
      </c>
      <c r="K334" s="573">
        <v>153</v>
      </c>
      <c r="M334" s="591">
        <f t="shared" si="333"/>
        <v>0</v>
      </c>
      <c r="N334" s="357">
        <f t="shared" si="334"/>
        <v>-3.1746031746031744E-2</v>
      </c>
      <c r="O334" s="357">
        <f t="shared" si="335"/>
        <v>-0.1071428571428571</v>
      </c>
      <c r="P334" s="357">
        <f t="shared" si="336"/>
        <v>-0.10280373831775702</v>
      </c>
      <c r="Q334" s="357">
        <f t="shared" si="337"/>
        <v>-0.12080536912751683</v>
      </c>
      <c r="R334" s="357">
        <f t="shared" si="338"/>
        <v>-2.4390243902439046E-2</v>
      </c>
      <c r="S334" s="357">
        <f t="shared" si="339"/>
        <v>0</v>
      </c>
      <c r="T334" s="357">
        <f t="shared" si="340"/>
        <v>0</v>
      </c>
      <c r="U334" s="574">
        <f t="shared" si="341"/>
        <v>0</v>
      </c>
      <c r="W334" s="591">
        <f t="shared" si="342"/>
        <v>0</v>
      </c>
      <c r="X334" s="357">
        <f t="shared" si="343"/>
        <v>-3.2260862218221435E-2</v>
      </c>
      <c r="Y334" s="357">
        <f t="shared" si="344"/>
        <v>-0.11332868530700312</v>
      </c>
      <c r="Z334" s="357">
        <f t="shared" si="345"/>
        <v>-0.10848064299406995</v>
      </c>
      <c r="AA334" s="357">
        <f t="shared" si="346"/>
        <v>-0.12874898274430766</v>
      </c>
      <c r="AB334" s="357">
        <f t="shared" si="347"/>
        <v>-2.4692612590371522E-2</v>
      </c>
      <c r="AC334" s="357">
        <f t="shared" si="348"/>
        <v>0</v>
      </c>
      <c r="AD334" s="357">
        <f t="shared" si="349"/>
        <v>0</v>
      </c>
      <c r="AE334" s="574">
        <f t="shared" si="350"/>
        <v>0</v>
      </c>
      <c r="AG334" s="591">
        <f t="shared" si="351"/>
        <v>-2.1472074677567957E-2</v>
      </c>
      <c r="AH334" s="357">
        <f t="shared" si="352"/>
        <v>-5.2856108663304993E-2</v>
      </c>
      <c r="AI334" s="357">
        <f t="shared" si="353"/>
        <v>-0.12140806343197237</v>
      </c>
      <c r="AJ334" s="357">
        <f t="shared" si="354"/>
        <v>-0.11275232694059528</v>
      </c>
      <c r="AK334" s="357">
        <f t="shared" si="355"/>
        <v>-0.12726204241308359</v>
      </c>
      <c r="AL334" s="357">
        <f t="shared" si="356"/>
        <v>-2.4837324574488812E-2</v>
      </c>
      <c r="AM334" s="357">
        <f t="shared" si="357"/>
        <v>-1.7064673510089895E-4</v>
      </c>
      <c r="AN334" s="357">
        <f t="shared" si="358"/>
        <v>1.9070751392640699E-5</v>
      </c>
      <c r="AO334" s="574">
        <f t="shared" si="359"/>
        <v>5.4711961047645428E-5</v>
      </c>
    </row>
    <row r="335" spans="2:41" x14ac:dyDescent="0.25">
      <c r="B335" s="449">
        <v>44677</v>
      </c>
      <c r="C335">
        <v>58</v>
      </c>
      <c r="D335">
        <v>60</v>
      </c>
      <c r="E335">
        <v>75</v>
      </c>
      <c r="F335">
        <v>97</v>
      </c>
      <c r="G335">
        <v>131</v>
      </c>
      <c r="H335">
        <v>192</v>
      </c>
      <c r="I335">
        <v>187</v>
      </c>
      <c r="J335">
        <v>163</v>
      </c>
      <c r="K335" s="573">
        <v>153</v>
      </c>
      <c r="M335" s="591">
        <f t="shared" si="333"/>
        <v>0</v>
      </c>
      <c r="N335" s="357">
        <f t="shared" si="334"/>
        <v>-1.6393442622950838E-2</v>
      </c>
      <c r="O335" s="357">
        <f t="shared" si="335"/>
        <v>0</v>
      </c>
      <c r="P335" s="357">
        <f t="shared" si="336"/>
        <v>1.0416666666666741E-2</v>
      </c>
      <c r="Q335" s="357">
        <f t="shared" si="337"/>
        <v>0</v>
      </c>
      <c r="R335" s="357">
        <f t="shared" si="338"/>
        <v>-4.0000000000000036E-2</v>
      </c>
      <c r="S335" s="357">
        <f t="shared" si="339"/>
        <v>0</v>
      </c>
      <c r="T335" s="357">
        <f t="shared" si="340"/>
        <v>0</v>
      </c>
      <c r="U335" s="574">
        <f t="shared" si="341"/>
        <v>0</v>
      </c>
      <c r="W335" s="591">
        <f t="shared" si="342"/>
        <v>0</v>
      </c>
      <c r="X335" s="357">
        <f t="shared" si="343"/>
        <v>-1.6529301951210582E-2</v>
      </c>
      <c r="Y335" s="357">
        <f t="shared" si="344"/>
        <v>0</v>
      </c>
      <c r="Z335" s="357">
        <f t="shared" si="345"/>
        <v>1.0362787035546658E-2</v>
      </c>
      <c r="AA335" s="357">
        <f t="shared" si="346"/>
        <v>0</v>
      </c>
      <c r="AB335" s="357">
        <f t="shared" si="347"/>
        <v>-4.0821994520255166E-2</v>
      </c>
      <c r="AC335" s="357">
        <f t="shared" si="348"/>
        <v>0</v>
      </c>
      <c r="AD335" s="357">
        <f t="shared" si="349"/>
        <v>0</v>
      </c>
      <c r="AE335" s="574">
        <f t="shared" si="350"/>
        <v>0</v>
      </c>
      <c r="AG335" s="591">
        <f t="shared" si="351"/>
        <v>-2.1472074677567957E-2</v>
      </c>
      <c r="AH335" s="357">
        <f t="shared" si="352"/>
        <v>-3.7503519540224087E-2</v>
      </c>
      <c r="AI335" s="357">
        <f t="shared" si="353"/>
        <v>-1.4265206289115274E-2</v>
      </c>
      <c r="AJ335" s="357">
        <f t="shared" si="354"/>
        <v>4.6807804382847581E-4</v>
      </c>
      <c r="AK335" s="357">
        <f t="shared" si="355"/>
        <v>-6.4566732855667669E-3</v>
      </c>
      <c r="AL335" s="357">
        <f t="shared" si="356"/>
        <v>-4.0447080672049801E-2</v>
      </c>
      <c r="AM335" s="357">
        <f t="shared" si="357"/>
        <v>-1.7064673510089895E-4</v>
      </c>
      <c r="AN335" s="357">
        <f t="shared" si="358"/>
        <v>1.9070751392640699E-5</v>
      </c>
      <c r="AO335" s="574">
        <f t="shared" si="359"/>
        <v>5.4711961047645428E-5</v>
      </c>
    </row>
    <row r="336" spans="2:41" x14ac:dyDescent="0.25">
      <c r="B336" s="449">
        <v>44684</v>
      </c>
      <c r="C336">
        <v>57</v>
      </c>
      <c r="D336">
        <v>60</v>
      </c>
      <c r="E336">
        <v>81</v>
      </c>
      <c r="F336">
        <v>105</v>
      </c>
      <c r="G336">
        <v>136</v>
      </c>
      <c r="H336">
        <v>187</v>
      </c>
      <c r="I336">
        <v>187</v>
      </c>
      <c r="J336">
        <v>163</v>
      </c>
      <c r="K336" s="573">
        <v>153</v>
      </c>
      <c r="M336" s="591">
        <f t="shared" si="333"/>
        <v>-1.7241379310344862E-2</v>
      </c>
      <c r="N336" s="357">
        <f t="shared" si="334"/>
        <v>0</v>
      </c>
      <c r="O336" s="357">
        <f t="shared" si="335"/>
        <v>8.0000000000000071E-2</v>
      </c>
      <c r="P336" s="357">
        <f t="shared" si="336"/>
        <v>8.247422680412364E-2</v>
      </c>
      <c r="Q336" s="357">
        <f t="shared" si="337"/>
        <v>3.8167938931297662E-2</v>
      </c>
      <c r="R336" s="357">
        <f t="shared" si="338"/>
        <v>-2.604166666666663E-2</v>
      </c>
      <c r="S336" s="357">
        <f t="shared" si="339"/>
        <v>0</v>
      </c>
      <c r="T336" s="357">
        <f t="shared" si="340"/>
        <v>0</v>
      </c>
      <c r="U336" s="574">
        <f t="shared" si="341"/>
        <v>0</v>
      </c>
      <c r="W336" s="591">
        <f t="shared" si="342"/>
        <v>-1.7391742711869222E-2</v>
      </c>
      <c r="X336" s="357">
        <f t="shared" si="343"/>
        <v>0</v>
      </c>
      <c r="Y336" s="357">
        <f t="shared" si="344"/>
        <v>7.6961041136128394E-2</v>
      </c>
      <c r="Z336" s="357">
        <f t="shared" si="345"/>
        <v>7.9249371654140477E-2</v>
      </c>
      <c r="AA336" s="357">
        <f t="shared" si="346"/>
        <v>3.7457562534900415E-2</v>
      </c>
      <c r="AB336" s="357">
        <f t="shared" si="347"/>
        <v>-2.6386755173194887E-2</v>
      </c>
      <c r="AC336" s="357">
        <f t="shared" si="348"/>
        <v>0</v>
      </c>
      <c r="AD336" s="357">
        <f t="shared" si="349"/>
        <v>0</v>
      </c>
      <c r="AE336" s="574">
        <f t="shared" si="350"/>
        <v>0</v>
      </c>
      <c r="AG336" s="591">
        <f t="shared" si="351"/>
        <v>-3.8713453987912816E-2</v>
      </c>
      <c r="AH336" s="357">
        <f t="shared" si="352"/>
        <v>-2.1110076917273252E-2</v>
      </c>
      <c r="AI336" s="357">
        <f t="shared" si="353"/>
        <v>6.5734793710884795E-2</v>
      </c>
      <c r="AJ336" s="357">
        <f t="shared" si="354"/>
        <v>7.2525638181285379E-2</v>
      </c>
      <c r="AK336" s="357">
        <f t="shared" si="355"/>
        <v>3.1711265645730895E-2</v>
      </c>
      <c r="AL336" s="357">
        <f t="shared" si="356"/>
        <v>-2.6488747338716395E-2</v>
      </c>
      <c r="AM336" s="357">
        <f t="shared" si="357"/>
        <v>-1.7064673510089895E-4</v>
      </c>
      <c r="AN336" s="357">
        <f t="shared" si="358"/>
        <v>1.9070751392640699E-5</v>
      </c>
      <c r="AO336" s="574">
        <f t="shared" si="359"/>
        <v>5.4711961047645428E-5</v>
      </c>
    </row>
    <row r="337" spans="2:41" x14ac:dyDescent="0.25">
      <c r="B337" s="449">
        <v>44691</v>
      </c>
      <c r="C337">
        <v>58</v>
      </c>
      <c r="D337">
        <v>82</v>
      </c>
      <c r="E337">
        <v>111</v>
      </c>
      <c r="F337">
        <v>132</v>
      </c>
      <c r="G337">
        <v>148</v>
      </c>
      <c r="H337">
        <v>195</v>
      </c>
      <c r="I337">
        <v>183</v>
      </c>
      <c r="J337">
        <v>163</v>
      </c>
      <c r="K337" s="573">
        <v>153</v>
      </c>
      <c r="M337" s="591">
        <f t="shared" si="333"/>
        <v>1.7543859649122862E-2</v>
      </c>
      <c r="N337" s="357">
        <f t="shared" si="334"/>
        <v>0.3666666666666667</v>
      </c>
      <c r="O337" s="357">
        <f t="shared" si="335"/>
        <v>0.37037037037037046</v>
      </c>
      <c r="P337" s="357">
        <f t="shared" si="336"/>
        <v>0.25714285714285712</v>
      </c>
      <c r="Q337" s="357">
        <f t="shared" si="337"/>
        <v>8.8235294117646967E-2</v>
      </c>
      <c r="R337" s="357">
        <f t="shared" si="338"/>
        <v>4.2780748663101553E-2</v>
      </c>
      <c r="S337" s="357">
        <f t="shared" si="339"/>
        <v>-2.1390374331550777E-2</v>
      </c>
      <c r="T337" s="357">
        <f t="shared" si="340"/>
        <v>0</v>
      </c>
      <c r="U337" s="574">
        <f t="shared" si="341"/>
        <v>0</v>
      </c>
      <c r="W337" s="591">
        <f t="shared" si="342"/>
        <v>1.7391742711869239E-2</v>
      </c>
      <c r="X337" s="357">
        <f t="shared" si="343"/>
        <v>0.31237468504215243</v>
      </c>
      <c r="Y337" s="357">
        <f t="shared" si="344"/>
        <v>0.31508104663989545</v>
      </c>
      <c r="Z337" s="357">
        <f t="shared" si="345"/>
        <v>0.22884157242884745</v>
      </c>
      <c r="AA337" s="357">
        <f t="shared" si="346"/>
        <v>8.4557388028062966E-2</v>
      </c>
      <c r="AB337" s="357">
        <f t="shared" si="347"/>
        <v>4.1890941709160127E-2</v>
      </c>
      <c r="AC337" s="357">
        <f t="shared" si="348"/>
        <v>-2.1622464013165657E-2</v>
      </c>
      <c r="AD337" s="357">
        <f t="shared" si="349"/>
        <v>0</v>
      </c>
      <c r="AE337" s="574">
        <f t="shared" si="350"/>
        <v>0</v>
      </c>
      <c r="AG337" s="591">
        <f t="shared" si="351"/>
        <v>-3.9282150284450958E-3</v>
      </c>
      <c r="AH337" s="357">
        <f t="shared" si="352"/>
        <v>0.34555658974939346</v>
      </c>
      <c r="AI337" s="357">
        <f t="shared" si="353"/>
        <v>0.3561051640812552</v>
      </c>
      <c r="AJ337" s="357">
        <f t="shared" si="354"/>
        <v>0.24719426852001886</v>
      </c>
      <c r="AK337" s="357">
        <f t="shared" si="355"/>
        <v>8.1778620832080207E-2</v>
      </c>
      <c r="AL337" s="357">
        <f t="shared" si="356"/>
        <v>4.2333667991051788E-2</v>
      </c>
      <c r="AM337" s="357">
        <f t="shared" si="357"/>
        <v>-2.1561021066651677E-2</v>
      </c>
      <c r="AN337" s="357">
        <f t="shared" si="358"/>
        <v>1.9070751392640699E-5</v>
      </c>
      <c r="AO337" s="574">
        <f t="shared" si="359"/>
        <v>5.4711961047645428E-5</v>
      </c>
    </row>
    <row r="338" spans="2:41" x14ac:dyDescent="0.25">
      <c r="B338" s="449">
        <v>44698</v>
      </c>
      <c r="C338">
        <v>60</v>
      </c>
      <c r="D338">
        <v>85</v>
      </c>
      <c r="E338">
        <v>120</v>
      </c>
      <c r="F338">
        <v>137</v>
      </c>
      <c r="G338">
        <v>157</v>
      </c>
      <c r="H338">
        <v>205</v>
      </c>
      <c r="I338">
        <v>185</v>
      </c>
      <c r="J338">
        <v>163</v>
      </c>
      <c r="K338" s="573">
        <v>153</v>
      </c>
      <c r="M338" s="591">
        <f t="shared" si="333"/>
        <v>3.4482758620689724E-2</v>
      </c>
      <c r="N338" s="357">
        <f t="shared" si="334"/>
        <v>3.6585365853658569E-2</v>
      </c>
      <c r="O338" s="357">
        <f t="shared" si="335"/>
        <v>8.1081081081081141E-2</v>
      </c>
      <c r="P338" s="357">
        <f t="shared" si="336"/>
        <v>3.7878787878787845E-2</v>
      </c>
      <c r="Q338" s="357">
        <f t="shared" si="337"/>
        <v>6.0810810810810745E-2</v>
      </c>
      <c r="R338" s="357">
        <f t="shared" si="338"/>
        <v>5.1282051282051322E-2</v>
      </c>
      <c r="S338" s="357">
        <f t="shared" si="339"/>
        <v>1.0928961748633892E-2</v>
      </c>
      <c r="T338" s="357">
        <f t="shared" si="340"/>
        <v>0</v>
      </c>
      <c r="U338" s="574">
        <f t="shared" si="341"/>
        <v>0</v>
      </c>
      <c r="W338" s="591">
        <f t="shared" si="342"/>
        <v>3.3901551675681416E-2</v>
      </c>
      <c r="X338" s="357">
        <f t="shared" si="343"/>
        <v>3.593200922606337E-2</v>
      </c>
      <c r="Y338" s="357">
        <f t="shared" si="344"/>
        <v>7.7961541469711917E-2</v>
      </c>
      <c r="Z338" s="357">
        <f t="shared" si="345"/>
        <v>3.7179003241754029E-2</v>
      </c>
      <c r="AA338" s="357">
        <f t="shared" si="346"/>
        <v>5.903353158419293E-2</v>
      </c>
      <c r="AB338" s="357">
        <f t="shared" si="347"/>
        <v>5.0010420574661416E-2</v>
      </c>
      <c r="AC338" s="357">
        <f t="shared" si="348"/>
        <v>1.0869672236903891E-2</v>
      </c>
      <c r="AD338" s="357">
        <f t="shared" si="349"/>
        <v>0</v>
      </c>
      <c r="AE338" s="574">
        <f t="shared" si="350"/>
        <v>0</v>
      </c>
      <c r="AG338" s="591">
        <f t="shared" si="351"/>
        <v>1.3010683943121767E-2</v>
      </c>
      <c r="AH338" s="357">
        <f t="shared" si="352"/>
        <v>1.5475288936385317E-2</v>
      </c>
      <c r="AI338" s="357">
        <f t="shared" si="353"/>
        <v>6.6815874791965865E-2</v>
      </c>
      <c r="AJ338" s="357">
        <f t="shared" si="354"/>
        <v>2.793019925594958E-2</v>
      </c>
      <c r="AK338" s="357">
        <f t="shared" si="355"/>
        <v>5.4354137525243977E-2</v>
      </c>
      <c r="AL338" s="357">
        <f t="shared" si="356"/>
        <v>5.0834970610001556E-2</v>
      </c>
      <c r="AM338" s="357">
        <f t="shared" si="357"/>
        <v>1.0758315013532993E-2</v>
      </c>
      <c r="AN338" s="357">
        <f t="shared" si="358"/>
        <v>1.9070751392640699E-5</v>
      </c>
      <c r="AO338" s="574">
        <f t="shared" si="359"/>
        <v>5.4711961047645428E-5</v>
      </c>
    </row>
    <row r="339" spans="2:41" x14ac:dyDescent="0.25">
      <c r="B339" s="449">
        <v>44705</v>
      </c>
      <c r="C339">
        <v>58</v>
      </c>
      <c r="D339">
        <v>68</v>
      </c>
      <c r="E339">
        <v>95</v>
      </c>
      <c r="F339">
        <v>115</v>
      </c>
      <c r="G339">
        <v>140</v>
      </c>
      <c r="H339">
        <v>193</v>
      </c>
      <c r="I339">
        <v>185</v>
      </c>
      <c r="J339">
        <v>163</v>
      </c>
      <c r="K339" s="573">
        <v>153</v>
      </c>
      <c r="M339" s="591">
        <f t="shared" si="333"/>
        <v>-3.3333333333333326E-2</v>
      </c>
      <c r="N339" s="357">
        <f t="shared" si="334"/>
        <v>-0.19999999999999996</v>
      </c>
      <c r="O339" s="357">
        <f t="shared" si="335"/>
        <v>-0.20833333333333337</v>
      </c>
      <c r="P339" s="357">
        <f t="shared" si="336"/>
        <v>-0.16058394160583944</v>
      </c>
      <c r="Q339" s="357">
        <f t="shared" si="337"/>
        <v>-0.10828025477707004</v>
      </c>
      <c r="R339" s="357">
        <f t="shared" si="338"/>
        <v>-5.8536585365853711E-2</v>
      </c>
      <c r="S339" s="357">
        <f t="shared" si="339"/>
        <v>0</v>
      </c>
      <c r="T339" s="357">
        <f t="shared" si="340"/>
        <v>0</v>
      </c>
      <c r="U339" s="574">
        <f t="shared" si="341"/>
        <v>0</v>
      </c>
      <c r="W339" s="591">
        <f t="shared" si="342"/>
        <v>-3.3901551675681339E-2</v>
      </c>
      <c r="X339" s="357">
        <f t="shared" si="343"/>
        <v>-0.22314355131420971</v>
      </c>
      <c r="Y339" s="357">
        <f t="shared" si="344"/>
        <v>-0.23361485118150521</v>
      </c>
      <c r="Z339" s="357">
        <f t="shared" si="345"/>
        <v>-0.17504879746487489</v>
      </c>
      <c r="AA339" s="357">
        <f t="shared" si="346"/>
        <v>-0.11460338273900374</v>
      </c>
      <c r="AB339" s="357">
        <f t="shared" si="347"/>
        <v>-6.0319790233522678E-2</v>
      </c>
      <c r="AC339" s="357">
        <f t="shared" si="348"/>
        <v>0</v>
      </c>
      <c r="AD339" s="357">
        <f t="shared" si="349"/>
        <v>0</v>
      </c>
      <c r="AE339" s="574">
        <f t="shared" si="350"/>
        <v>0</v>
      </c>
      <c r="AG339" s="591">
        <f t="shared" si="351"/>
        <v>-5.480540801090128E-2</v>
      </c>
      <c r="AH339" s="357">
        <f t="shared" si="352"/>
        <v>-0.22111007691727322</v>
      </c>
      <c r="AI339" s="357">
        <f t="shared" si="353"/>
        <v>-0.22259853962244863</v>
      </c>
      <c r="AJ339" s="357">
        <f t="shared" si="354"/>
        <v>-0.1705325302286777</v>
      </c>
      <c r="AK339" s="357">
        <f t="shared" si="355"/>
        <v>-0.1147369280626368</v>
      </c>
      <c r="AL339" s="357">
        <f t="shared" si="356"/>
        <v>-5.8983666037903476E-2</v>
      </c>
      <c r="AM339" s="357">
        <f t="shared" si="357"/>
        <v>-1.7064673510089895E-4</v>
      </c>
      <c r="AN339" s="357">
        <f t="shared" si="358"/>
        <v>1.9070751392640699E-5</v>
      </c>
      <c r="AO339" s="574">
        <f t="shared" si="359"/>
        <v>5.4711961047645428E-5</v>
      </c>
    </row>
    <row r="340" spans="2:41" x14ac:dyDescent="0.25">
      <c r="B340" s="449">
        <v>44712</v>
      </c>
      <c r="C340">
        <v>57</v>
      </c>
      <c r="D340">
        <v>63</v>
      </c>
      <c r="E340">
        <v>83</v>
      </c>
      <c r="F340">
        <v>108</v>
      </c>
      <c r="G340">
        <v>132</v>
      </c>
      <c r="H340">
        <v>185</v>
      </c>
      <c r="I340">
        <v>185</v>
      </c>
      <c r="J340">
        <v>163</v>
      </c>
      <c r="K340" s="573">
        <v>153</v>
      </c>
      <c r="M340" s="591">
        <f t="shared" si="333"/>
        <v>-1.7241379310344862E-2</v>
      </c>
      <c r="N340" s="357">
        <f t="shared" si="334"/>
        <v>-7.3529411764705843E-2</v>
      </c>
      <c r="O340" s="357">
        <f t="shared" si="335"/>
        <v>-0.12631578947368416</v>
      </c>
      <c r="P340" s="357">
        <f t="shared" si="336"/>
        <v>-6.0869565217391286E-2</v>
      </c>
      <c r="Q340" s="357">
        <f t="shared" si="337"/>
        <v>-5.7142857142857162E-2</v>
      </c>
      <c r="R340" s="357">
        <f t="shared" si="338"/>
        <v>-4.1450777202072575E-2</v>
      </c>
      <c r="S340" s="357">
        <f t="shared" si="339"/>
        <v>0</v>
      </c>
      <c r="T340" s="357">
        <f t="shared" si="340"/>
        <v>0</v>
      </c>
      <c r="U340" s="574">
        <f t="shared" si="341"/>
        <v>0</v>
      </c>
      <c r="W340" s="591">
        <f t="shared" si="342"/>
        <v>-1.7391742711869222E-2</v>
      </c>
      <c r="X340" s="357">
        <f t="shared" si="343"/>
        <v>-7.6372978784573969E-2</v>
      </c>
      <c r="Y340" s="357">
        <f t="shared" si="344"/>
        <v>-0.13503628380394286</v>
      </c>
      <c r="Z340" s="357">
        <f t="shared" si="345"/>
        <v>-6.2800901239030357E-2</v>
      </c>
      <c r="AA340" s="357">
        <f t="shared" si="346"/>
        <v>-5.8840500022933465E-2</v>
      </c>
      <c r="AB340" s="357">
        <f t="shared" si="347"/>
        <v>-4.2334363826560771E-2</v>
      </c>
      <c r="AC340" s="357">
        <f t="shared" si="348"/>
        <v>0</v>
      </c>
      <c r="AD340" s="357">
        <f t="shared" si="349"/>
        <v>0</v>
      </c>
      <c r="AE340" s="574">
        <f t="shared" si="350"/>
        <v>0</v>
      </c>
      <c r="AG340" s="591">
        <f t="shared" si="351"/>
        <v>-3.8713453987912816E-2</v>
      </c>
      <c r="AH340" s="357">
        <f t="shared" si="352"/>
        <v>-9.4639488681979092E-2</v>
      </c>
      <c r="AI340" s="357">
        <f t="shared" si="353"/>
        <v>-0.14058099576279942</v>
      </c>
      <c r="AJ340" s="357">
        <f t="shared" si="354"/>
        <v>-7.0818153840229547E-2</v>
      </c>
      <c r="AK340" s="357">
        <f t="shared" si="355"/>
        <v>-6.3599530428423923E-2</v>
      </c>
      <c r="AL340" s="357">
        <f t="shared" si="356"/>
        <v>-4.1897857874122341E-2</v>
      </c>
      <c r="AM340" s="357">
        <f t="shared" si="357"/>
        <v>-1.7064673510089895E-4</v>
      </c>
      <c r="AN340" s="357">
        <f t="shared" si="358"/>
        <v>1.9070751392640699E-5</v>
      </c>
      <c r="AO340" s="574">
        <f t="shared" si="359"/>
        <v>5.4711961047645428E-5</v>
      </c>
    </row>
    <row r="341" spans="2:41" x14ac:dyDescent="0.25">
      <c r="B341" s="449">
        <v>44719</v>
      </c>
      <c r="C341">
        <v>60</v>
      </c>
      <c r="D341">
        <v>76</v>
      </c>
      <c r="E341">
        <v>100</v>
      </c>
      <c r="F341">
        <v>110</v>
      </c>
      <c r="G341">
        <v>134</v>
      </c>
      <c r="H341">
        <v>190</v>
      </c>
      <c r="I341">
        <v>184</v>
      </c>
      <c r="J341">
        <v>163</v>
      </c>
      <c r="K341" s="573">
        <v>153</v>
      </c>
      <c r="M341" s="591">
        <f t="shared" si="333"/>
        <v>5.2631578947368363E-2</v>
      </c>
      <c r="N341" s="357">
        <f t="shared" si="334"/>
        <v>0.20634920634920628</v>
      </c>
      <c r="O341" s="357">
        <f t="shared" si="335"/>
        <v>0.20481927710843384</v>
      </c>
      <c r="P341" s="357">
        <f t="shared" si="336"/>
        <v>1.8518518518518601E-2</v>
      </c>
      <c r="Q341" s="357">
        <f t="shared" si="337"/>
        <v>1.5151515151515138E-2</v>
      </c>
      <c r="R341" s="357">
        <f t="shared" si="338"/>
        <v>2.7027027027026973E-2</v>
      </c>
      <c r="S341" s="357">
        <f t="shared" si="339"/>
        <v>-5.4054054054053502E-3</v>
      </c>
      <c r="T341" s="357">
        <f t="shared" si="340"/>
        <v>0</v>
      </c>
      <c r="U341" s="574">
        <f t="shared" si="341"/>
        <v>0</v>
      </c>
      <c r="W341" s="591">
        <f t="shared" si="342"/>
        <v>5.1293294387550481E-2</v>
      </c>
      <c r="X341" s="357">
        <f t="shared" si="343"/>
        <v>0.18759861389479834</v>
      </c>
      <c r="Y341" s="357">
        <f t="shared" si="344"/>
        <v>0.18632957819149354</v>
      </c>
      <c r="Z341" s="357">
        <f t="shared" si="345"/>
        <v>1.8349138668196617E-2</v>
      </c>
      <c r="AA341" s="357">
        <f t="shared" si="346"/>
        <v>1.5037877364540502E-2</v>
      </c>
      <c r="AB341" s="357">
        <f t="shared" si="347"/>
        <v>2.6668247082161273E-2</v>
      </c>
      <c r="AC341" s="357">
        <f t="shared" si="348"/>
        <v>-5.4200674693391446E-3</v>
      </c>
      <c r="AD341" s="357">
        <f t="shared" si="349"/>
        <v>0</v>
      </c>
      <c r="AE341" s="574">
        <f t="shared" si="350"/>
        <v>0</v>
      </c>
      <c r="AG341" s="591">
        <f t="shared" si="351"/>
        <v>3.1159504269800405E-2</v>
      </c>
      <c r="AH341" s="357">
        <f t="shared" si="352"/>
        <v>0.18523912943193302</v>
      </c>
      <c r="AI341" s="357">
        <f t="shared" si="353"/>
        <v>0.19055407081931858</v>
      </c>
      <c r="AJ341" s="357">
        <f t="shared" si="354"/>
        <v>8.5699298956803359E-3</v>
      </c>
      <c r="AK341" s="357">
        <f t="shared" si="355"/>
        <v>8.6948418659483703E-3</v>
      </c>
      <c r="AL341" s="357">
        <f t="shared" si="356"/>
        <v>2.6579946354977207E-2</v>
      </c>
      <c r="AM341" s="357">
        <f t="shared" si="357"/>
        <v>-5.5760521405062487E-3</v>
      </c>
      <c r="AN341" s="357">
        <f t="shared" si="358"/>
        <v>1.9070751392640699E-5</v>
      </c>
      <c r="AO341" s="574">
        <f t="shared" si="359"/>
        <v>5.4711961047645428E-5</v>
      </c>
    </row>
    <row r="342" spans="2:41" x14ac:dyDescent="0.25">
      <c r="B342" s="449">
        <v>44726</v>
      </c>
      <c r="C342">
        <v>58</v>
      </c>
      <c r="D342">
        <v>64</v>
      </c>
      <c r="E342">
        <v>81</v>
      </c>
      <c r="F342">
        <v>92</v>
      </c>
      <c r="G342">
        <v>117</v>
      </c>
      <c r="H342">
        <v>180</v>
      </c>
      <c r="I342">
        <v>184</v>
      </c>
      <c r="J342">
        <v>163</v>
      </c>
      <c r="K342" s="573">
        <v>153</v>
      </c>
      <c r="M342" s="591">
        <f t="shared" si="333"/>
        <v>-3.3333333333333326E-2</v>
      </c>
      <c r="N342" s="357">
        <f t="shared" si="334"/>
        <v>-0.15789473684210531</v>
      </c>
      <c r="O342" s="357">
        <f t="shared" si="335"/>
        <v>-0.18999999999999995</v>
      </c>
      <c r="P342" s="357">
        <f t="shared" si="336"/>
        <v>-0.16363636363636369</v>
      </c>
      <c r="Q342" s="357">
        <f t="shared" si="337"/>
        <v>-0.12686567164179108</v>
      </c>
      <c r="R342" s="357">
        <f t="shared" si="338"/>
        <v>-5.2631578947368474E-2</v>
      </c>
      <c r="S342" s="357">
        <f t="shared" si="339"/>
        <v>0</v>
      </c>
      <c r="T342" s="357">
        <f t="shared" si="340"/>
        <v>0</v>
      </c>
      <c r="U342" s="574">
        <f t="shared" si="341"/>
        <v>0</v>
      </c>
      <c r="W342" s="591">
        <f t="shared" si="342"/>
        <v>-3.3901551675681339E-2</v>
      </c>
      <c r="X342" s="357">
        <f t="shared" si="343"/>
        <v>-0.17185025692665928</v>
      </c>
      <c r="Y342" s="357">
        <f t="shared" si="344"/>
        <v>-0.21072103131565253</v>
      </c>
      <c r="Z342" s="357">
        <f t="shared" si="345"/>
        <v>-0.17869178874337599</v>
      </c>
      <c r="AA342" s="357">
        <f t="shared" si="346"/>
        <v>-0.13566586515315529</v>
      </c>
      <c r="AB342" s="357">
        <f t="shared" si="347"/>
        <v>-5.4067221270275821E-2</v>
      </c>
      <c r="AC342" s="357">
        <f t="shared" si="348"/>
        <v>0</v>
      </c>
      <c r="AD342" s="357">
        <f t="shared" si="349"/>
        <v>0</v>
      </c>
      <c r="AE342" s="574">
        <f t="shared" si="350"/>
        <v>0</v>
      </c>
      <c r="AG342" s="591">
        <f t="shared" si="351"/>
        <v>-5.480540801090128E-2</v>
      </c>
      <c r="AH342" s="357">
        <f t="shared" si="352"/>
        <v>-0.17900481375937857</v>
      </c>
      <c r="AI342" s="357">
        <f t="shared" si="353"/>
        <v>-0.20426520628911521</v>
      </c>
      <c r="AJ342" s="357">
        <f t="shared" si="354"/>
        <v>-0.17358495225920195</v>
      </c>
      <c r="AK342" s="357">
        <f t="shared" si="355"/>
        <v>-0.13332234492735784</v>
      </c>
      <c r="AL342" s="357">
        <f t="shared" si="356"/>
        <v>-5.3078659619418239E-2</v>
      </c>
      <c r="AM342" s="357">
        <f t="shared" si="357"/>
        <v>-1.7064673510089895E-4</v>
      </c>
      <c r="AN342" s="357">
        <f t="shared" si="358"/>
        <v>1.9070751392640699E-5</v>
      </c>
      <c r="AO342" s="574">
        <f t="shared" si="359"/>
        <v>5.4711961047645428E-5</v>
      </c>
    </row>
    <row r="343" spans="2:41" x14ac:dyDescent="0.25">
      <c r="B343" s="449">
        <v>44733</v>
      </c>
      <c r="C343">
        <v>57</v>
      </c>
      <c r="D343">
        <v>61</v>
      </c>
      <c r="E343">
        <v>75</v>
      </c>
      <c r="F343">
        <v>86</v>
      </c>
      <c r="G343">
        <v>113</v>
      </c>
      <c r="H343">
        <v>180</v>
      </c>
      <c r="I343">
        <v>176</v>
      </c>
      <c r="J343">
        <v>162</v>
      </c>
      <c r="K343" s="573">
        <v>152</v>
      </c>
      <c r="M343" s="591">
        <f t="shared" si="333"/>
        <v>-1.7241379310344862E-2</v>
      </c>
      <c r="N343" s="357">
        <f t="shared" si="334"/>
        <v>-4.6875E-2</v>
      </c>
      <c r="O343" s="357">
        <f t="shared" si="335"/>
        <v>-7.407407407407407E-2</v>
      </c>
      <c r="P343" s="357">
        <f t="shared" si="336"/>
        <v>-6.5217391304347783E-2</v>
      </c>
      <c r="Q343" s="357">
        <f t="shared" si="337"/>
        <v>-3.4188034188034178E-2</v>
      </c>
      <c r="R343" s="357">
        <f t="shared" si="338"/>
        <v>0</v>
      </c>
      <c r="S343" s="357">
        <f t="shared" si="339"/>
        <v>-4.3478260869565188E-2</v>
      </c>
      <c r="T343" s="357">
        <f t="shared" si="340"/>
        <v>-6.1349693251533388E-3</v>
      </c>
      <c r="U343" s="574">
        <f t="shared" si="341"/>
        <v>-6.5359477124182774E-3</v>
      </c>
      <c r="W343" s="591">
        <f t="shared" si="342"/>
        <v>-1.7391742711869222E-2</v>
      </c>
      <c r="X343" s="357">
        <f t="shared" si="343"/>
        <v>-4.8009219186360606E-2</v>
      </c>
      <c r="Y343" s="357">
        <f t="shared" si="344"/>
        <v>-7.6961041136128325E-2</v>
      </c>
      <c r="Z343" s="357">
        <f t="shared" si="345"/>
        <v>-6.7441280795532535E-2</v>
      </c>
      <c r="AA343" s="357">
        <f t="shared" si="346"/>
        <v>-3.4786116085415542E-2</v>
      </c>
      <c r="AB343" s="357">
        <f t="shared" si="347"/>
        <v>0</v>
      </c>
      <c r="AC343" s="357">
        <f t="shared" si="348"/>
        <v>-4.445176257083381E-2</v>
      </c>
      <c r="AD343" s="357">
        <f t="shared" si="349"/>
        <v>-6.1538655743782235E-3</v>
      </c>
      <c r="AE343" s="574">
        <f t="shared" si="350"/>
        <v>-6.5574005461590517E-3</v>
      </c>
      <c r="AG343" s="591">
        <f t="shared" si="351"/>
        <v>-3.8713453987912816E-2</v>
      </c>
      <c r="AH343" s="357">
        <f t="shared" si="352"/>
        <v>-6.7985076917273249E-2</v>
      </c>
      <c r="AI343" s="357">
        <f t="shared" si="353"/>
        <v>-8.8339280363189346E-2</v>
      </c>
      <c r="AJ343" s="357">
        <f t="shared" si="354"/>
        <v>-7.5165979927186044E-2</v>
      </c>
      <c r="AK343" s="357">
        <f t="shared" si="355"/>
        <v>-4.0644707473600945E-2</v>
      </c>
      <c r="AL343" s="357">
        <f t="shared" si="356"/>
        <v>-4.4708067204976532E-4</v>
      </c>
      <c r="AM343" s="357">
        <f t="shared" si="357"/>
        <v>-4.3648907604666089E-2</v>
      </c>
      <c r="AN343" s="357">
        <f t="shared" si="358"/>
        <v>-6.1158985737606985E-3</v>
      </c>
      <c r="AO343" s="574">
        <f t="shared" si="359"/>
        <v>-6.4812357513706316E-3</v>
      </c>
    </row>
    <row r="344" spans="2:41" x14ac:dyDescent="0.25">
      <c r="B344" s="449">
        <v>44740</v>
      </c>
      <c r="C344">
        <v>56</v>
      </c>
      <c r="D344">
        <v>59</v>
      </c>
      <c r="E344">
        <v>70</v>
      </c>
      <c r="F344">
        <v>78</v>
      </c>
      <c r="G344">
        <v>100</v>
      </c>
      <c r="H344">
        <v>175</v>
      </c>
      <c r="I344">
        <v>176</v>
      </c>
      <c r="J344">
        <v>162</v>
      </c>
      <c r="K344" s="573">
        <v>152</v>
      </c>
      <c r="M344" s="591">
        <f t="shared" si="333"/>
        <v>-1.7543859649122862E-2</v>
      </c>
      <c r="N344" s="357">
        <f t="shared" si="334"/>
        <v>-3.2786885245901676E-2</v>
      </c>
      <c r="O344" s="357">
        <f t="shared" si="335"/>
        <v>-6.6666666666666652E-2</v>
      </c>
      <c r="P344" s="357">
        <f t="shared" si="336"/>
        <v>-9.3023255813953543E-2</v>
      </c>
      <c r="Q344" s="357">
        <f t="shared" si="337"/>
        <v>-0.11504424778761058</v>
      </c>
      <c r="R344" s="357">
        <f t="shared" si="338"/>
        <v>-2.777777777777779E-2</v>
      </c>
      <c r="S344" s="357">
        <f t="shared" si="339"/>
        <v>0</v>
      </c>
      <c r="T344" s="357">
        <f t="shared" si="340"/>
        <v>0</v>
      </c>
      <c r="U344" s="574">
        <f t="shared" si="341"/>
        <v>0</v>
      </c>
      <c r="W344" s="591">
        <f t="shared" si="342"/>
        <v>-1.7699577099400975E-2</v>
      </c>
      <c r="X344" s="357">
        <f t="shared" si="343"/>
        <v>-3.3336420267591836E-2</v>
      </c>
      <c r="Y344" s="357">
        <f t="shared" si="344"/>
        <v>-6.8992871486951435E-2</v>
      </c>
      <c r="Z344" s="357">
        <f t="shared" si="345"/>
        <v>-9.7638469563916058E-2</v>
      </c>
      <c r="AA344" s="357">
        <f t="shared" si="346"/>
        <v>-0.12221763272424915</v>
      </c>
      <c r="AB344" s="357">
        <f t="shared" si="347"/>
        <v>-2.8170876966696335E-2</v>
      </c>
      <c r="AC344" s="357">
        <f t="shared" si="348"/>
        <v>0</v>
      </c>
      <c r="AD344" s="357">
        <f t="shared" si="349"/>
        <v>0</v>
      </c>
      <c r="AE344" s="574">
        <f t="shared" si="350"/>
        <v>0</v>
      </c>
      <c r="AG344" s="591">
        <f t="shared" si="351"/>
        <v>-3.9015934326690815E-2</v>
      </c>
      <c r="AH344" s="357">
        <f t="shared" si="352"/>
        <v>-5.3896962163174925E-2</v>
      </c>
      <c r="AI344" s="357">
        <f t="shared" si="353"/>
        <v>-8.0931872955781928E-2</v>
      </c>
      <c r="AJ344" s="357">
        <f t="shared" si="354"/>
        <v>-0.1029718444367918</v>
      </c>
      <c r="AK344" s="357">
        <f t="shared" si="355"/>
        <v>-0.12150092107317734</v>
      </c>
      <c r="AL344" s="357">
        <f t="shared" si="356"/>
        <v>-2.8224858449827556E-2</v>
      </c>
      <c r="AM344" s="357">
        <f t="shared" si="357"/>
        <v>-1.7064673510089895E-4</v>
      </c>
      <c r="AN344" s="357">
        <f t="shared" si="358"/>
        <v>1.9070751392640699E-5</v>
      </c>
      <c r="AO344" s="574">
        <f t="shared" si="359"/>
        <v>5.4711961047645428E-5</v>
      </c>
    </row>
    <row r="345" spans="2:41" x14ac:dyDescent="0.25">
      <c r="B345" s="449">
        <v>44747</v>
      </c>
      <c r="C345">
        <v>63</v>
      </c>
      <c r="D345">
        <v>84</v>
      </c>
      <c r="E345">
        <v>89</v>
      </c>
      <c r="F345">
        <v>107</v>
      </c>
      <c r="G345">
        <v>106</v>
      </c>
      <c r="H345">
        <v>172</v>
      </c>
      <c r="I345">
        <v>176</v>
      </c>
      <c r="J345">
        <v>162</v>
      </c>
      <c r="K345" s="573">
        <v>152</v>
      </c>
      <c r="M345" s="591">
        <f t="shared" si="333"/>
        <v>0.125</v>
      </c>
      <c r="N345" s="357">
        <f t="shared" si="334"/>
        <v>0.42372881355932202</v>
      </c>
      <c r="O345" s="357">
        <f t="shared" si="335"/>
        <v>0.27142857142857135</v>
      </c>
      <c r="P345" s="357">
        <f t="shared" si="336"/>
        <v>0.37179487179487181</v>
      </c>
      <c r="Q345" s="357">
        <f t="shared" si="337"/>
        <v>6.0000000000000053E-2</v>
      </c>
      <c r="R345" s="357">
        <f t="shared" si="338"/>
        <v>-1.7142857142857126E-2</v>
      </c>
      <c r="S345" s="357">
        <f t="shared" si="339"/>
        <v>0</v>
      </c>
      <c r="T345" s="357">
        <f t="shared" si="340"/>
        <v>0</v>
      </c>
      <c r="U345" s="574">
        <f t="shared" si="341"/>
        <v>0</v>
      </c>
      <c r="W345" s="591">
        <f t="shared" si="342"/>
        <v>0.11778303565638346</v>
      </c>
      <c r="X345" s="357">
        <f t="shared" si="343"/>
        <v>0.35327935493759416</v>
      </c>
      <c r="Y345" s="357">
        <f t="shared" si="344"/>
        <v>0.24014112768278079</v>
      </c>
      <c r="Z345" s="357">
        <f t="shared" si="345"/>
        <v>0.31612000777231447</v>
      </c>
      <c r="AA345" s="357">
        <f t="shared" si="346"/>
        <v>5.8268908123975824E-2</v>
      </c>
      <c r="AB345" s="357">
        <f t="shared" si="347"/>
        <v>-1.7291497110060994E-2</v>
      </c>
      <c r="AC345" s="357">
        <f t="shared" si="348"/>
        <v>0</v>
      </c>
      <c r="AD345" s="357">
        <f t="shared" si="349"/>
        <v>0</v>
      </c>
      <c r="AE345" s="574">
        <f t="shared" si="350"/>
        <v>0</v>
      </c>
      <c r="AG345" s="591">
        <f t="shared" si="351"/>
        <v>0.10352792532243205</v>
      </c>
      <c r="AH345" s="357">
        <f t="shared" si="352"/>
        <v>0.40261873664204878</v>
      </c>
      <c r="AI345" s="357">
        <f t="shared" si="353"/>
        <v>0.25716336513945609</v>
      </c>
      <c r="AJ345" s="357">
        <f t="shared" si="354"/>
        <v>0.36184628317203354</v>
      </c>
      <c r="AK345" s="357">
        <f t="shared" si="355"/>
        <v>5.3543326714433286E-2</v>
      </c>
      <c r="AL345" s="357">
        <f t="shared" si="356"/>
        <v>-1.7589937814906892E-2</v>
      </c>
      <c r="AM345" s="357">
        <f t="shared" si="357"/>
        <v>-1.7064673510089895E-4</v>
      </c>
      <c r="AN345" s="357">
        <f t="shared" si="358"/>
        <v>1.9070751392640699E-5</v>
      </c>
      <c r="AO345" s="574">
        <f t="shared" si="359"/>
        <v>5.4711961047645428E-5</v>
      </c>
    </row>
    <row r="346" spans="2:41" x14ac:dyDescent="0.25">
      <c r="B346" s="449">
        <v>44754</v>
      </c>
      <c r="C346">
        <v>62</v>
      </c>
      <c r="D346">
        <v>83</v>
      </c>
      <c r="E346">
        <v>86</v>
      </c>
      <c r="F346">
        <v>103</v>
      </c>
      <c r="G346">
        <v>103</v>
      </c>
      <c r="H346">
        <v>172</v>
      </c>
      <c r="I346">
        <v>170</v>
      </c>
      <c r="J346">
        <v>160</v>
      </c>
      <c r="K346" s="573">
        <v>152</v>
      </c>
      <c r="M346" s="591">
        <f t="shared" si="333"/>
        <v>-1.5873015873015928E-2</v>
      </c>
      <c r="N346" s="357">
        <f t="shared" si="334"/>
        <v>-1.1904761904761862E-2</v>
      </c>
      <c r="O346" s="357">
        <f t="shared" si="335"/>
        <v>-3.3707865168539297E-2</v>
      </c>
      <c r="P346" s="357">
        <f t="shared" si="336"/>
        <v>-3.7383177570093462E-2</v>
      </c>
      <c r="Q346" s="357">
        <f t="shared" si="337"/>
        <v>-2.8301886792452824E-2</v>
      </c>
      <c r="R346" s="357">
        <f t="shared" si="338"/>
        <v>0</v>
      </c>
      <c r="S346" s="357">
        <f t="shared" si="339"/>
        <v>-3.4090909090909061E-2</v>
      </c>
      <c r="T346" s="357">
        <f t="shared" si="340"/>
        <v>-1.2345679012345734E-2</v>
      </c>
      <c r="U346" s="574">
        <f t="shared" si="341"/>
        <v>0</v>
      </c>
      <c r="W346" s="591">
        <f t="shared" si="342"/>
        <v>-1.6000341346441189E-2</v>
      </c>
      <c r="X346" s="357">
        <f t="shared" si="343"/>
        <v>-1.1976191046715649E-2</v>
      </c>
      <c r="Y346" s="357">
        <f t="shared" si="344"/>
        <v>-3.4289073478632075E-2</v>
      </c>
      <c r="Z346" s="357">
        <f t="shared" si="345"/>
        <v>-3.8099846232270404E-2</v>
      </c>
      <c r="AA346" s="357">
        <f t="shared" si="346"/>
        <v>-2.8710105882431367E-2</v>
      </c>
      <c r="AB346" s="357">
        <f t="shared" si="347"/>
        <v>0</v>
      </c>
      <c r="AC346" s="357">
        <f t="shared" si="348"/>
        <v>-3.4685557987889984E-2</v>
      </c>
      <c r="AD346" s="357">
        <f t="shared" si="349"/>
        <v>-1.2422519998557209E-2</v>
      </c>
      <c r="AE346" s="574">
        <f t="shared" si="350"/>
        <v>0</v>
      </c>
      <c r="AG346" s="591">
        <f t="shared" si="351"/>
        <v>-3.7345090550583881E-2</v>
      </c>
      <c r="AH346" s="357">
        <f t="shared" si="352"/>
        <v>-3.3014838822035111E-2</v>
      </c>
      <c r="AI346" s="357">
        <f t="shared" si="353"/>
        <v>-4.7973071457654573E-2</v>
      </c>
      <c r="AJ346" s="357">
        <f t="shared" si="354"/>
        <v>-4.7331766192931723E-2</v>
      </c>
      <c r="AK346" s="357">
        <f t="shared" si="355"/>
        <v>-3.4758560078019592E-2</v>
      </c>
      <c r="AL346" s="357">
        <f t="shared" si="356"/>
        <v>-4.4708067204976532E-4</v>
      </c>
      <c r="AM346" s="357">
        <f t="shared" si="357"/>
        <v>-3.4261555826009961E-2</v>
      </c>
      <c r="AN346" s="357">
        <f t="shared" si="358"/>
        <v>-1.2326608260953094E-2</v>
      </c>
      <c r="AO346" s="574">
        <f t="shared" si="359"/>
        <v>5.4711961047645428E-5</v>
      </c>
    </row>
    <row r="347" spans="2:41" x14ac:dyDescent="0.25">
      <c r="B347" s="449">
        <v>44761</v>
      </c>
      <c r="C347">
        <v>66</v>
      </c>
      <c r="D347">
        <v>95</v>
      </c>
      <c r="E347">
        <v>96</v>
      </c>
      <c r="F347">
        <v>119</v>
      </c>
      <c r="G347">
        <v>119</v>
      </c>
      <c r="H347">
        <v>177</v>
      </c>
      <c r="I347">
        <v>170</v>
      </c>
      <c r="J347">
        <v>160</v>
      </c>
      <c r="K347" s="573">
        <v>152</v>
      </c>
      <c r="M347" s="591">
        <f t="shared" si="333"/>
        <v>6.4516129032258007E-2</v>
      </c>
      <c r="N347" s="357">
        <f t="shared" si="334"/>
        <v>0.14457831325301207</v>
      </c>
      <c r="O347" s="357">
        <f t="shared" si="335"/>
        <v>0.11627906976744184</v>
      </c>
      <c r="P347" s="357">
        <f t="shared" si="336"/>
        <v>0.15533980582524265</v>
      </c>
      <c r="Q347" s="357">
        <f t="shared" si="337"/>
        <v>0.15533980582524265</v>
      </c>
      <c r="R347" s="357">
        <f t="shared" si="338"/>
        <v>2.9069767441860517E-2</v>
      </c>
      <c r="S347" s="357">
        <f t="shared" si="339"/>
        <v>0</v>
      </c>
      <c r="T347" s="357">
        <f t="shared" si="340"/>
        <v>0</v>
      </c>
      <c r="U347" s="574">
        <f t="shared" si="341"/>
        <v>0</v>
      </c>
      <c r="W347" s="591">
        <f t="shared" si="342"/>
        <v>6.252035698133393E-2</v>
      </c>
      <c r="X347" s="357">
        <f t="shared" si="343"/>
        <v>0.13503628380394292</v>
      </c>
      <c r="Y347" s="357">
        <f t="shared" si="344"/>
        <v>0.11000089521432849</v>
      </c>
      <c r="Z347" s="357">
        <f t="shared" si="345"/>
        <v>0.14439450488189357</v>
      </c>
      <c r="AA347" s="357">
        <f t="shared" si="346"/>
        <v>0.14439450488189357</v>
      </c>
      <c r="AB347" s="357">
        <f t="shared" si="347"/>
        <v>2.8655255760376148E-2</v>
      </c>
      <c r="AC347" s="357">
        <f t="shared" si="348"/>
        <v>0</v>
      </c>
      <c r="AD347" s="357">
        <f t="shared" si="349"/>
        <v>0</v>
      </c>
      <c r="AE347" s="574">
        <f t="shared" si="350"/>
        <v>0</v>
      </c>
      <c r="AG347" s="591">
        <f t="shared" si="351"/>
        <v>4.3044054354690053E-2</v>
      </c>
      <c r="AH347" s="357">
        <f t="shared" si="352"/>
        <v>0.12346823633573882</v>
      </c>
      <c r="AI347" s="357">
        <f t="shared" si="353"/>
        <v>0.10201386347832657</v>
      </c>
      <c r="AJ347" s="357">
        <f t="shared" si="354"/>
        <v>0.14539121720240439</v>
      </c>
      <c r="AK347" s="357">
        <f t="shared" si="355"/>
        <v>0.14888313253967589</v>
      </c>
      <c r="AL347" s="357">
        <f t="shared" si="356"/>
        <v>2.8622686769810751E-2</v>
      </c>
      <c r="AM347" s="357">
        <f t="shared" si="357"/>
        <v>-1.7064673510089895E-4</v>
      </c>
      <c r="AN347" s="357">
        <f t="shared" si="358"/>
        <v>1.9070751392640699E-5</v>
      </c>
      <c r="AO347" s="574">
        <f t="shared" si="359"/>
        <v>5.4711961047645428E-5</v>
      </c>
    </row>
    <row r="348" spans="2:41" x14ac:dyDescent="0.25">
      <c r="B348" s="449">
        <v>44768</v>
      </c>
      <c r="C348">
        <v>66</v>
      </c>
      <c r="D348">
        <v>95</v>
      </c>
      <c r="E348">
        <v>95</v>
      </c>
      <c r="F348">
        <v>115</v>
      </c>
      <c r="G348">
        <v>116</v>
      </c>
      <c r="H348">
        <v>165</v>
      </c>
      <c r="I348">
        <v>170</v>
      </c>
      <c r="J348">
        <v>162</v>
      </c>
      <c r="K348" s="573">
        <v>152</v>
      </c>
      <c r="M348" s="591">
        <f t="shared" si="333"/>
        <v>0</v>
      </c>
      <c r="N348" s="357">
        <f t="shared" si="334"/>
        <v>0</v>
      </c>
      <c r="O348" s="357">
        <f t="shared" si="335"/>
        <v>-1.041666666666663E-2</v>
      </c>
      <c r="P348" s="357">
        <f t="shared" si="336"/>
        <v>-3.3613445378151252E-2</v>
      </c>
      <c r="Q348" s="357">
        <f t="shared" si="337"/>
        <v>-2.5210084033613467E-2</v>
      </c>
      <c r="R348" s="357">
        <f t="shared" si="338"/>
        <v>-6.7796610169491567E-2</v>
      </c>
      <c r="S348" s="357">
        <f t="shared" si="339"/>
        <v>0</v>
      </c>
      <c r="T348" s="357">
        <f t="shared" si="340"/>
        <v>1.2499999999999956E-2</v>
      </c>
      <c r="U348" s="574">
        <f t="shared" si="341"/>
        <v>0</v>
      </c>
      <c r="W348" s="591">
        <f t="shared" si="342"/>
        <v>0</v>
      </c>
      <c r="X348" s="357">
        <f t="shared" si="343"/>
        <v>0</v>
      </c>
      <c r="Y348" s="357">
        <f t="shared" si="344"/>
        <v>-1.0471299867295366E-2</v>
      </c>
      <c r="Z348" s="357">
        <f t="shared" si="345"/>
        <v>-3.4191364748279308E-2</v>
      </c>
      <c r="AA348" s="357">
        <f t="shared" si="346"/>
        <v>-2.5533302005164762E-2</v>
      </c>
      <c r="AB348" s="357">
        <f t="shared" si="347"/>
        <v>-7.0204258673248573E-2</v>
      </c>
      <c r="AC348" s="357">
        <f t="shared" si="348"/>
        <v>0</v>
      </c>
      <c r="AD348" s="357">
        <f t="shared" si="349"/>
        <v>1.242251999855711E-2</v>
      </c>
      <c r="AE348" s="574">
        <f t="shared" si="350"/>
        <v>0</v>
      </c>
      <c r="AG348" s="591">
        <f t="shared" si="351"/>
        <v>-2.1472074677567957E-2</v>
      </c>
      <c r="AH348" s="357">
        <f t="shared" si="352"/>
        <v>-2.1110076917273252E-2</v>
      </c>
      <c r="AI348" s="357">
        <f t="shared" si="353"/>
        <v>-2.4681872955781906E-2</v>
      </c>
      <c r="AJ348" s="357">
        <f t="shared" si="354"/>
        <v>-4.3562034000989514E-2</v>
      </c>
      <c r="AK348" s="357">
        <f t="shared" si="355"/>
        <v>-3.1666757319180235E-2</v>
      </c>
      <c r="AL348" s="357">
        <f t="shared" si="356"/>
        <v>-6.8243690841541332E-2</v>
      </c>
      <c r="AM348" s="357">
        <f t="shared" si="357"/>
        <v>-1.7064673510089895E-4</v>
      </c>
      <c r="AN348" s="357">
        <f t="shared" si="358"/>
        <v>1.2519070751392596E-2</v>
      </c>
      <c r="AO348" s="574">
        <f t="shared" si="359"/>
        <v>5.4711961047645428E-5</v>
      </c>
    </row>
    <row r="349" spans="2:41" x14ac:dyDescent="0.25">
      <c r="B349" s="449">
        <v>44775</v>
      </c>
      <c r="C349">
        <v>100</v>
      </c>
      <c r="D349">
        <v>93</v>
      </c>
      <c r="E349">
        <v>112</v>
      </c>
      <c r="F349">
        <v>117</v>
      </c>
      <c r="G349">
        <v>105</v>
      </c>
      <c r="H349">
        <v>165</v>
      </c>
      <c r="I349">
        <v>170</v>
      </c>
      <c r="J349">
        <v>162</v>
      </c>
      <c r="K349" s="573">
        <v>152</v>
      </c>
      <c r="M349" s="591">
        <f t="shared" si="333"/>
        <v>0.51515151515151514</v>
      </c>
      <c r="N349" s="357">
        <f t="shared" si="334"/>
        <v>-2.1052631578947323E-2</v>
      </c>
      <c r="O349" s="357">
        <f t="shared" si="335"/>
        <v>0.17894736842105252</v>
      </c>
      <c r="P349" s="357">
        <f t="shared" si="336"/>
        <v>1.7391304347825987E-2</v>
      </c>
      <c r="Q349" s="357">
        <f t="shared" si="337"/>
        <v>-9.4827586206896575E-2</v>
      </c>
      <c r="R349" s="357">
        <f t="shared" si="338"/>
        <v>0</v>
      </c>
      <c r="S349" s="357">
        <f t="shared" si="339"/>
        <v>0</v>
      </c>
      <c r="T349" s="357">
        <f t="shared" si="340"/>
        <v>0</v>
      </c>
      <c r="U349" s="574">
        <f t="shared" si="341"/>
        <v>0</v>
      </c>
      <c r="W349" s="591">
        <f t="shared" si="342"/>
        <v>0.41551544396166579</v>
      </c>
      <c r="X349" s="357">
        <f t="shared" si="343"/>
        <v>-2.1277398447284851E-2</v>
      </c>
      <c r="Y349" s="357">
        <f t="shared" si="344"/>
        <v>0.16462197969455361</v>
      </c>
      <c r="Z349" s="357">
        <f t="shared" si="345"/>
        <v>1.7241806434505954E-2</v>
      </c>
      <c r="AA349" s="357">
        <f t="shared" si="346"/>
        <v>-9.9629840948841294E-2</v>
      </c>
      <c r="AB349" s="357">
        <f t="shared" si="347"/>
        <v>0</v>
      </c>
      <c r="AC349" s="357">
        <f t="shared" si="348"/>
        <v>0</v>
      </c>
      <c r="AD349" s="357">
        <f t="shared" si="349"/>
        <v>0</v>
      </c>
      <c r="AE349" s="574">
        <f t="shared" si="350"/>
        <v>0</v>
      </c>
      <c r="AG349" s="591">
        <f t="shared" si="351"/>
        <v>0.49367944047394718</v>
      </c>
      <c r="AH349" s="357">
        <f t="shared" si="352"/>
        <v>-4.2162708496220572E-2</v>
      </c>
      <c r="AI349" s="357">
        <f t="shared" si="353"/>
        <v>0.16468216213193726</v>
      </c>
      <c r="AJ349" s="357">
        <f t="shared" si="354"/>
        <v>7.4427157249877217E-3</v>
      </c>
      <c r="AK349" s="357">
        <f t="shared" si="355"/>
        <v>-0.10128425949246334</v>
      </c>
      <c r="AL349" s="357">
        <f t="shared" si="356"/>
        <v>-4.4708067204976532E-4</v>
      </c>
      <c r="AM349" s="357">
        <f t="shared" si="357"/>
        <v>-1.7064673510089895E-4</v>
      </c>
      <c r="AN349" s="357">
        <f t="shared" si="358"/>
        <v>1.9070751392640699E-5</v>
      </c>
      <c r="AO349" s="574">
        <f t="shared" si="359"/>
        <v>5.4711961047645428E-5</v>
      </c>
    </row>
    <row r="350" spans="2:41" x14ac:dyDescent="0.25">
      <c r="B350" s="449">
        <v>44782</v>
      </c>
      <c r="C350">
        <v>84</v>
      </c>
      <c r="D350">
        <v>81</v>
      </c>
      <c r="E350">
        <v>100</v>
      </c>
      <c r="F350">
        <v>105</v>
      </c>
      <c r="G350">
        <v>97</v>
      </c>
      <c r="H350">
        <v>163</v>
      </c>
      <c r="I350">
        <v>169</v>
      </c>
      <c r="J350">
        <v>162</v>
      </c>
      <c r="K350" s="573">
        <v>152</v>
      </c>
      <c r="M350" s="591">
        <f t="shared" si="333"/>
        <v>-0.16000000000000003</v>
      </c>
      <c r="N350" s="357">
        <f t="shared" si="334"/>
        <v>-0.12903225806451613</v>
      </c>
      <c r="O350" s="357">
        <f t="shared" si="335"/>
        <v>-0.1071428571428571</v>
      </c>
      <c r="P350" s="357">
        <f t="shared" si="336"/>
        <v>-0.10256410256410253</v>
      </c>
      <c r="Q350" s="357">
        <f t="shared" si="337"/>
        <v>-7.6190476190476142E-2</v>
      </c>
      <c r="R350" s="357">
        <f t="shared" si="338"/>
        <v>-1.2121212121212088E-2</v>
      </c>
      <c r="S350" s="357">
        <f t="shared" si="339"/>
        <v>-5.8823529411764497E-3</v>
      </c>
      <c r="T350" s="357">
        <f t="shared" si="340"/>
        <v>0</v>
      </c>
      <c r="U350" s="574">
        <f t="shared" si="341"/>
        <v>0</v>
      </c>
      <c r="W350" s="591">
        <f t="shared" si="342"/>
        <v>-0.1743533871447778</v>
      </c>
      <c r="X350" s="357">
        <f t="shared" si="343"/>
        <v>-0.13815033848081718</v>
      </c>
      <c r="Y350" s="357">
        <f t="shared" si="344"/>
        <v>-0.11332868530700312</v>
      </c>
      <c r="Z350" s="357">
        <f t="shared" si="345"/>
        <v>-0.10821358464023272</v>
      </c>
      <c r="AA350" s="357">
        <f t="shared" si="346"/>
        <v>-7.9249371654140491E-2</v>
      </c>
      <c r="AB350" s="357">
        <f t="shared" si="347"/>
        <v>-1.2195273093818243E-2</v>
      </c>
      <c r="AC350" s="357">
        <f t="shared" si="348"/>
        <v>-5.8997221271882708E-3</v>
      </c>
      <c r="AD350" s="357">
        <f t="shared" si="349"/>
        <v>0</v>
      </c>
      <c r="AE350" s="574">
        <f t="shared" si="350"/>
        <v>0</v>
      </c>
      <c r="AG350" s="591">
        <f t="shared" si="351"/>
        <v>-0.18147207467756798</v>
      </c>
      <c r="AH350" s="357">
        <f t="shared" si="352"/>
        <v>-0.15014233498178939</v>
      </c>
      <c r="AI350" s="357">
        <f t="shared" si="353"/>
        <v>-0.12140806343197237</v>
      </c>
      <c r="AJ350" s="357">
        <f t="shared" si="354"/>
        <v>-0.11251269118694079</v>
      </c>
      <c r="AK350" s="357">
        <f t="shared" si="355"/>
        <v>-8.2647149476042903E-2</v>
      </c>
      <c r="AL350" s="357">
        <f t="shared" si="356"/>
        <v>-1.2568292793261854E-2</v>
      </c>
      <c r="AM350" s="357">
        <f t="shared" si="357"/>
        <v>-6.0529996762773482E-3</v>
      </c>
      <c r="AN350" s="357">
        <f t="shared" si="358"/>
        <v>1.9070751392640699E-5</v>
      </c>
      <c r="AO350" s="574">
        <f t="shared" si="359"/>
        <v>5.4711961047645428E-5</v>
      </c>
    </row>
    <row r="351" spans="2:41" x14ac:dyDescent="0.25">
      <c r="B351" s="449">
        <v>44789</v>
      </c>
      <c r="C351">
        <v>80</v>
      </c>
      <c r="D351">
        <v>74</v>
      </c>
      <c r="E351">
        <v>97</v>
      </c>
      <c r="F351">
        <v>103</v>
      </c>
      <c r="G351">
        <v>95</v>
      </c>
      <c r="H351">
        <v>160</v>
      </c>
      <c r="I351">
        <v>169</v>
      </c>
      <c r="J351">
        <v>163</v>
      </c>
      <c r="K351" s="573">
        <v>153</v>
      </c>
      <c r="M351" s="591">
        <f t="shared" si="333"/>
        <v>-4.7619047619047672E-2</v>
      </c>
      <c r="N351" s="357">
        <f t="shared" si="334"/>
        <v>-8.6419753086419804E-2</v>
      </c>
      <c r="O351" s="357">
        <f t="shared" si="335"/>
        <v>-3.0000000000000027E-2</v>
      </c>
      <c r="P351" s="357">
        <f t="shared" si="336"/>
        <v>-1.9047619047619091E-2</v>
      </c>
      <c r="Q351" s="357">
        <f t="shared" si="337"/>
        <v>-2.0618556701030966E-2</v>
      </c>
      <c r="R351" s="357">
        <f t="shared" si="338"/>
        <v>-1.8404907975460127E-2</v>
      </c>
      <c r="S351" s="357">
        <f t="shared" si="339"/>
        <v>0</v>
      </c>
      <c r="T351" s="357">
        <f t="shared" si="340"/>
        <v>6.1728395061728669E-3</v>
      </c>
      <c r="U351" s="574">
        <f t="shared" si="341"/>
        <v>6.5789473684210176E-3</v>
      </c>
      <c r="W351" s="591">
        <f t="shared" si="342"/>
        <v>-4.8790164169432056E-2</v>
      </c>
      <c r="X351" s="357">
        <f t="shared" si="343"/>
        <v>-9.0384061468269064E-2</v>
      </c>
      <c r="Y351" s="357">
        <f t="shared" si="344"/>
        <v>-3.0459207484708574E-2</v>
      </c>
      <c r="Z351" s="357">
        <f t="shared" si="345"/>
        <v>-1.9231361927887644E-2</v>
      </c>
      <c r="AA351" s="357">
        <f t="shared" si="346"/>
        <v>-2.0834086902842025E-2</v>
      </c>
      <c r="AB351" s="357">
        <f t="shared" si="347"/>
        <v>-1.8576385572935419E-2</v>
      </c>
      <c r="AC351" s="357">
        <f t="shared" si="348"/>
        <v>0</v>
      </c>
      <c r="AD351" s="357">
        <f t="shared" si="349"/>
        <v>6.1538655743782859E-3</v>
      </c>
      <c r="AE351" s="574">
        <f t="shared" si="350"/>
        <v>6.5574005461590396E-3</v>
      </c>
      <c r="AG351" s="591">
        <f t="shared" si="351"/>
        <v>-6.9091122296615626E-2</v>
      </c>
      <c r="AH351" s="357">
        <f t="shared" si="352"/>
        <v>-0.10752983000369305</v>
      </c>
      <c r="AI351" s="357">
        <f t="shared" si="353"/>
        <v>-4.4265206289115303E-2</v>
      </c>
      <c r="AJ351" s="357">
        <f t="shared" si="354"/>
        <v>-2.8996207670457356E-2</v>
      </c>
      <c r="AK351" s="357">
        <f t="shared" si="355"/>
        <v>-2.7075229986597733E-2</v>
      </c>
      <c r="AL351" s="357">
        <f t="shared" si="356"/>
        <v>-1.8851988647509893E-2</v>
      </c>
      <c r="AM351" s="357">
        <f t="shared" si="357"/>
        <v>-1.7064673510089895E-4</v>
      </c>
      <c r="AN351" s="357">
        <f t="shared" si="358"/>
        <v>6.1919102575655072E-3</v>
      </c>
      <c r="AO351" s="574">
        <f t="shared" si="359"/>
        <v>6.6336593294686634E-3</v>
      </c>
    </row>
    <row r="352" spans="2:41" x14ac:dyDescent="0.25">
      <c r="B352" s="449">
        <v>44796</v>
      </c>
      <c r="C352">
        <v>77</v>
      </c>
      <c r="D352">
        <v>65</v>
      </c>
      <c r="E352">
        <v>93</v>
      </c>
      <c r="F352">
        <v>96</v>
      </c>
      <c r="G352">
        <v>91</v>
      </c>
      <c r="H352">
        <v>157</v>
      </c>
      <c r="I352">
        <v>169</v>
      </c>
      <c r="J352">
        <v>163</v>
      </c>
      <c r="K352" s="573">
        <v>153</v>
      </c>
      <c r="M352" s="591">
        <f t="shared" si="333"/>
        <v>-3.7499999999999978E-2</v>
      </c>
      <c r="N352" s="357">
        <f t="shared" si="334"/>
        <v>-0.1216216216216216</v>
      </c>
      <c r="O352" s="357">
        <f t="shared" si="335"/>
        <v>-4.123711340206182E-2</v>
      </c>
      <c r="P352" s="357">
        <f t="shared" si="336"/>
        <v>-6.7961165048543659E-2</v>
      </c>
      <c r="Q352" s="357">
        <f t="shared" si="337"/>
        <v>-4.2105263157894757E-2</v>
      </c>
      <c r="R352" s="357">
        <f t="shared" si="338"/>
        <v>-1.8750000000000044E-2</v>
      </c>
      <c r="S352" s="357">
        <f t="shared" si="339"/>
        <v>0</v>
      </c>
      <c r="T352" s="357">
        <f t="shared" si="340"/>
        <v>0</v>
      </c>
      <c r="U352" s="574">
        <f t="shared" si="341"/>
        <v>0</v>
      </c>
      <c r="W352" s="591">
        <f t="shared" si="342"/>
        <v>-3.8221212820197741E-2</v>
      </c>
      <c r="X352" s="357">
        <f t="shared" si="343"/>
        <v>-0.12967782330853261</v>
      </c>
      <c r="Y352" s="357">
        <f t="shared" si="344"/>
        <v>-4.2111485350126848E-2</v>
      </c>
      <c r="Z352" s="357">
        <f t="shared" si="345"/>
        <v>-7.0380796761799494E-2</v>
      </c>
      <c r="AA352" s="357">
        <f t="shared" si="346"/>
        <v>-4.3017385083690816E-2</v>
      </c>
      <c r="AB352" s="357">
        <f t="shared" si="347"/>
        <v>-1.8928009885518911E-2</v>
      </c>
      <c r="AC352" s="357">
        <f t="shared" si="348"/>
        <v>0</v>
      </c>
      <c r="AD352" s="357">
        <f t="shared" si="349"/>
        <v>0</v>
      </c>
      <c r="AE352" s="574">
        <f t="shared" si="350"/>
        <v>0</v>
      </c>
      <c r="AG352" s="591">
        <f t="shared" si="351"/>
        <v>-5.8972074677567932E-2</v>
      </c>
      <c r="AH352" s="357">
        <f t="shared" si="352"/>
        <v>-0.14273169853889486</v>
      </c>
      <c r="AI352" s="357">
        <f t="shared" si="353"/>
        <v>-5.5502319691177096E-2</v>
      </c>
      <c r="AJ352" s="357">
        <f t="shared" si="354"/>
        <v>-7.7909753671381921E-2</v>
      </c>
      <c r="AK352" s="357">
        <f t="shared" si="355"/>
        <v>-4.8561936443461524E-2</v>
      </c>
      <c r="AL352" s="357">
        <f t="shared" si="356"/>
        <v>-1.919708067204981E-2</v>
      </c>
      <c r="AM352" s="357">
        <f t="shared" si="357"/>
        <v>-1.7064673510089895E-4</v>
      </c>
      <c r="AN352" s="357">
        <f t="shared" si="358"/>
        <v>1.9070751392640699E-5</v>
      </c>
      <c r="AO352" s="574">
        <f t="shared" si="359"/>
        <v>5.4711961047645428E-5</v>
      </c>
    </row>
    <row r="353" spans="2:41" x14ac:dyDescent="0.25">
      <c r="B353" s="449">
        <v>44803</v>
      </c>
      <c r="C353">
        <v>77</v>
      </c>
      <c r="D353">
        <v>64</v>
      </c>
      <c r="E353">
        <v>86</v>
      </c>
      <c r="F353">
        <v>92</v>
      </c>
      <c r="G353">
        <v>85</v>
      </c>
      <c r="H353">
        <v>151</v>
      </c>
      <c r="I353">
        <v>169</v>
      </c>
      <c r="J353">
        <v>163</v>
      </c>
      <c r="K353" s="573">
        <v>153</v>
      </c>
      <c r="M353" s="591">
        <f t="shared" si="333"/>
        <v>0</v>
      </c>
      <c r="N353" s="357">
        <f t="shared" si="334"/>
        <v>-1.538461538461533E-2</v>
      </c>
      <c r="O353" s="357">
        <f t="shared" si="335"/>
        <v>-7.5268817204301119E-2</v>
      </c>
      <c r="P353" s="357">
        <f t="shared" si="336"/>
        <v>-4.166666666666663E-2</v>
      </c>
      <c r="Q353" s="357">
        <f t="shared" si="337"/>
        <v>-6.5934065934065922E-2</v>
      </c>
      <c r="R353" s="357">
        <f t="shared" si="338"/>
        <v>-3.8216560509554132E-2</v>
      </c>
      <c r="S353" s="357">
        <f t="shared" si="339"/>
        <v>0</v>
      </c>
      <c r="T353" s="357">
        <f t="shared" si="340"/>
        <v>0</v>
      </c>
      <c r="U353" s="574">
        <f t="shared" si="341"/>
        <v>0</v>
      </c>
      <c r="W353" s="591">
        <f t="shared" si="342"/>
        <v>0</v>
      </c>
      <c r="X353" s="357">
        <f t="shared" si="343"/>
        <v>-1.5504186535965199E-2</v>
      </c>
      <c r="Y353" s="357">
        <f t="shared" si="344"/>
        <v>-7.8252196899748258E-2</v>
      </c>
      <c r="Z353" s="357">
        <f t="shared" si="345"/>
        <v>-4.2559614418795889E-2</v>
      </c>
      <c r="AA353" s="357">
        <f t="shared" si="346"/>
        <v>-6.8208250026533579E-2</v>
      </c>
      <c r="AB353" s="357">
        <f t="shared" si="347"/>
        <v>-3.8965968533383723E-2</v>
      </c>
      <c r="AC353" s="357">
        <f t="shared" si="348"/>
        <v>0</v>
      </c>
      <c r="AD353" s="357">
        <f t="shared" si="349"/>
        <v>0</v>
      </c>
      <c r="AE353" s="574">
        <f t="shared" si="350"/>
        <v>0</v>
      </c>
      <c r="AG353" s="591">
        <f t="shared" si="351"/>
        <v>-2.1472074677567957E-2</v>
      </c>
      <c r="AH353" s="357">
        <f t="shared" si="352"/>
        <v>-3.6494692301888579E-2</v>
      </c>
      <c r="AI353" s="357">
        <f t="shared" si="353"/>
        <v>-8.9534023493416395E-2</v>
      </c>
      <c r="AJ353" s="357">
        <f t="shared" si="354"/>
        <v>-5.1615255289504891E-2</v>
      </c>
      <c r="AK353" s="357">
        <f t="shared" si="355"/>
        <v>-7.2390739219632683E-2</v>
      </c>
      <c r="AL353" s="357">
        <f t="shared" si="356"/>
        <v>-3.8663641181603897E-2</v>
      </c>
      <c r="AM353" s="357">
        <f t="shared" si="357"/>
        <v>-1.7064673510089895E-4</v>
      </c>
      <c r="AN353" s="357">
        <f t="shared" si="358"/>
        <v>1.9070751392640699E-5</v>
      </c>
      <c r="AO353" s="574">
        <f t="shared" si="359"/>
        <v>5.4711961047645428E-5</v>
      </c>
    </row>
    <row r="354" spans="2:41" x14ac:dyDescent="0.25">
      <c r="B354" s="449">
        <v>44810</v>
      </c>
      <c r="C354">
        <v>59</v>
      </c>
      <c r="D354">
        <v>76</v>
      </c>
      <c r="E354">
        <v>79</v>
      </c>
      <c r="F354">
        <v>75</v>
      </c>
      <c r="G354">
        <v>147</v>
      </c>
      <c r="H354">
        <v>158</v>
      </c>
      <c r="I354">
        <v>163</v>
      </c>
      <c r="J354">
        <v>153</v>
      </c>
      <c r="K354" s="573">
        <v>150</v>
      </c>
      <c r="M354" s="591">
        <f t="shared" si="333"/>
        <v>-0.23376623376623373</v>
      </c>
      <c r="N354" s="357">
        <f t="shared" si="334"/>
        <v>0.1875</v>
      </c>
      <c r="O354" s="357">
        <f t="shared" si="335"/>
        <v>-8.1395348837209336E-2</v>
      </c>
      <c r="P354" s="357">
        <f t="shared" si="336"/>
        <v>-0.18478260869565222</v>
      </c>
      <c r="Q354" s="357">
        <f t="shared" si="337"/>
        <v>0.72941176470588243</v>
      </c>
      <c r="R354" s="357">
        <f t="shared" si="338"/>
        <v>4.635761589403975E-2</v>
      </c>
      <c r="S354" s="357">
        <f t="shared" si="339"/>
        <v>-3.5502958579881616E-2</v>
      </c>
      <c r="T354" s="357">
        <f t="shared" si="340"/>
        <v>-6.1349693251533721E-2</v>
      </c>
      <c r="U354" s="574">
        <f t="shared" si="341"/>
        <v>-1.9607843137254943E-2</v>
      </c>
      <c r="W354" s="591">
        <f t="shared" si="342"/>
        <v>-0.26626797794796436</v>
      </c>
      <c r="X354" s="357">
        <f t="shared" si="343"/>
        <v>0.17185025692665923</v>
      </c>
      <c r="Y354" s="357">
        <f t="shared" si="344"/>
        <v>-8.489944378648627E-2</v>
      </c>
      <c r="Z354" s="357">
        <f t="shared" si="345"/>
        <v>-0.20430046351272993</v>
      </c>
      <c r="AA354" s="357">
        <f t="shared" si="346"/>
        <v>0.54778133028841991</v>
      </c>
      <c r="AB354" s="357">
        <f t="shared" si="347"/>
        <v>4.531519621204249E-2</v>
      </c>
      <c r="AC354" s="357">
        <f t="shared" si="348"/>
        <v>-3.6148514116311092E-2</v>
      </c>
      <c r="AD354" s="357">
        <f t="shared" si="349"/>
        <v>-6.331227941432685E-2</v>
      </c>
      <c r="AE354" s="574">
        <f t="shared" si="350"/>
        <v>-1.9802627296179754E-2</v>
      </c>
      <c r="AG354" s="591">
        <f t="shared" si="351"/>
        <v>-0.25523830844380169</v>
      </c>
      <c r="AH354" s="357">
        <f t="shared" si="352"/>
        <v>0.16638992308272674</v>
      </c>
      <c r="AI354" s="357">
        <f t="shared" si="353"/>
        <v>-9.5660555126324612E-2</v>
      </c>
      <c r="AJ354" s="357">
        <f t="shared" si="354"/>
        <v>-0.19473119731849048</v>
      </c>
      <c r="AK354" s="357">
        <f t="shared" si="355"/>
        <v>0.72295509142031567</v>
      </c>
      <c r="AL354" s="357">
        <f t="shared" si="356"/>
        <v>4.5910535221989984E-2</v>
      </c>
      <c r="AM354" s="357">
        <f t="shared" si="357"/>
        <v>-3.5673605314982516E-2</v>
      </c>
      <c r="AN354" s="357">
        <f t="shared" si="358"/>
        <v>-6.1330622500141083E-2</v>
      </c>
      <c r="AO354" s="574">
        <f t="shared" si="359"/>
        <v>-1.9553131176207297E-2</v>
      </c>
    </row>
    <row r="355" spans="2:41" x14ac:dyDescent="0.25">
      <c r="B355" s="449">
        <v>44817</v>
      </c>
      <c r="C355">
        <v>58</v>
      </c>
      <c r="D355">
        <v>77</v>
      </c>
      <c r="E355">
        <v>78</v>
      </c>
      <c r="F355">
        <v>76</v>
      </c>
      <c r="G355">
        <v>143</v>
      </c>
      <c r="H355">
        <v>156</v>
      </c>
      <c r="I355">
        <v>163</v>
      </c>
      <c r="J355">
        <v>153</v>
      </c>
      <c r="K355" s="573">
        <v>150</v>
      </c>
      <c r="M355" s="591">
        <f t="shared" si="333"/>
        <v>-1.6949152542372836E-2</v>
      </c>
      <c r="N355" s="357">
        <f t="shared" si="334"/>
        <v>1.3157894736842035E-2</v>
      </c>
      <c r="O355" s="357">
        <f t="shared" si="335"/>
        <v>-1.2658227848101222E-2</v>
      </c>
      <c r="P355" s="357">
        <f t="shared" si="336"/>
        <v>1.3333333333333419E-2</v>
      </c>
      <c r="Q355" s="357">
        <f t="shared" si="337"/>
        <v>-2.7210884353741527E-2</v>
      </c>
      <c r="R355" s="357">
        <f t="shared" si="338"/>
        <v>-1.2658227848101222E-2</v>
      </c>
      <c r="S355" s="357">
        <f t="shared" si="339"/>
        <v>0</v>
      </c>
      <c r="T355" s="357">
        <f t="shared" si="340"/>
        <v>0</v>
      </c>
      <c r="U355" s="574">
        <f t="shared" si="341"/>
        <v>0</v>
      </c>
      <c r="W355" s="591">
        <f t="shared" si="342"/>
        <v>-1.7094433359300068E-2</v>
      </c>
      <c r="X355" s="357">
        <f t="shared" si="343"/>
        <v>1.3072081567352701E-2</v>
      </c>
      <c r="Y355" s="357">
        <f t="shared" si="344"/>
        <v>-1.2739025777429714E-2</v>
      </c>
      <c r="Z355" s="357">
        <f t="shared" si="345"/>
        <v>1.3245226750020723E-2</v>
      </c>
      <c r="AA355" s="357">
        <f t="shared" si="346"/>
        <v>-2.7587956518829053E-2</v>
      </c>
      <c r="AB355" s="357">
        <f t="shared" si="347"/>
        <v>-1.2739025777429714E-2</v>
      </c>
      <c r="AC355" s="357">
        <f t="shared" si="348"/>
        <v>0</v>
      </c>
      <c r="AD355" s="357">
        <f t="shared" si="349"/>
        <v>0</v>
      </c>
      <c r="AE355" s="574">
        <f t="shared" si="350"/>
        <v>0</v>
      </c>
      <c r="AG355" s="591">
        <f t="shared" si="351"/>
        <v>-3.842122721994079E-2</v>
      </c>
      <c r="AH355" s="357">
        <f t="shared" si="352"/>
        <v>-7.9521821804312172E-3</v>
      </c>
      <c r="AI355" s="357">
        <f t="shared" si="353"/>
        <v>-2.6923434137216498E-2</v>
      </c>
      <c r="AJ355" s="357">
        <f t="shared" si="354"/>
        <v>3.3847447104951543E-3</v>
      </c>
      <c r="AK355" s="357">
        <f t="shared" si="355"/>
        <v>-3.3667557639308295E-2</v>
      </c>
      <c r="AL355" s="357">
        <f t="shared" si="356"/>
        <v>-1.3105308520150988E-2</v>
      </c>
      <c r="AM355" s="357">
        <f t="shared" si="357"/>
        <v>-1.7064673510089895E-4</v>
      </c>
      <c r="AN355" s="357">
        <f t="shared" si="358"/>
        <v>1.9070751392640699E-5</v>
      </c>
      <c r="AO355" s="574">
        <f t="shared" si="359"/>
        <v>5.4711961047645428E-5</v>
      </c>
    </row>
    <row r="356" spans="2:41" x14ac:dyDescent="0.25">
      <c r="B356" s="449">
        <v>44824</v>
      </c>
      <c r="C356">
        <v>56</v>
      </c>
      <c r="D356">
        <v>60</v>
      </c>
      <c r="E356">
        <v>65</v>
      </c>
      <c r="F356">
        <v>65</v>
      </c>
      <c r="G356">
        <v>136</v>
      </c>
      <c r="H356">
        <v>154</v>
      </c>
      <c r="I356">
        <v>163</v>
      </c>
      <c r="J356">
        <v>153</v>
      </c>
      <c r="K356" s="573">
        <v>150</v>
      </c>
      <c r="M356" s="591">
        <f t="shared" si="333"/>
        <v>-3.4482758620689613E-2</v>
      </c>
      <c r="N356" s="357">
        <f t="shared" si="334"/>
        <v>-0.22077922077922074</v>
      </c>
      <c r="O356" s="357">
        <f t="shared" si="335"/>
        <v>-0.16666666666666663</v>
      </c>
      <c r="P356" s="357">
        <f t="shared" si="336"/>
        <v>-0.14473684210526316</v>
      </c>
      <c r="Q356" s="357">
        <f t="shared" si="337"/>
        <v>-4.8951048951048959E-2</v>
      </c>
      <c r="R356" s="357">
        <f t="shared" si="338"/>
        <v>-1.2820512820512775E-2</v>
      </c>
      <c r="S356" s="357">
        <f t="shared" si="339"/>
        <v>0</v>
      </c>
      <c r="T356" s="357">
        <f t="shared" si="340"/>
        <v>0</v>
      </c>
      <c r="U356" s="574">
        <f t="shared" si="341"/>
        <v>0</v>
      </c>
      <c r="W356" s="591">
        <f t="shared" si="342"/>
        <v>-3.5091319811270061E-2</v>
      </c>
      <c r="X356" s="357">
        <f t="shared" si="343"/>
        <v>-0.24946085963158313</v>
      </c>
      <c r="Y356" s="357">
        <f t="shared" si="344"/>
        <v>-0.18232155679395459</v>
      </c>
      <c r="Z356" s="357">
        <f t="shared" si="345"/>
        <v>-0.15634607039069398</v>
      </c>
      <c r="AA356" s="357">
        <f t="shared" si="346"/>
        <v>-5.018974452385528E-2</v>
      </c>
      <c r="AB356" s="357">
        <f t="shared" si="347"/>
        <v>-1.2903404835907841E-2</v>
      </c>
      <c r="AC356" s="357">
        <f t="shared" si="348"/>
        <v>0</v>
      </c>
      <c r="AD356" s="357">
        <f t="shared" si="349"/>
        <v>0</v>
      </c>
      <c r="AE356" s="574">
        <f t="shared" si="350"/>
        <v>0</v>
      </c>
      <c r="AG356" s="591">
        <f t="shared" si="351"/>
        <v>-5.5954833298257567E-2</v>
      </c>
      <c r="AH356" s="357">
        <f t="shared" si="352"/>
        <v>-0.241889297696494</v>
      </c>
      <c r="AI356" s="357">
        <f t="shared" si="353"/>
        <v>-0.18093187295578189</v>
      </c>
      <c r="AJ356" s="357">
        <f t="shared" si="354"/>
        <v>-0.15468543072810143</v>
      </c>
      <c r="AK356" s="357">
        <f t="shared" si="355"/>
        <v>-5.5407722236615727E-2</v>
      </c>
      <c r="AL356" s="357">
        <f t="shared" si="356"/>
        <v>-1.3267593492562541E-2</v>
      </c>
      <c r="AM356" s="357">
        <f t="shared" si="357"/>
        <v>-1.7064673510089895E-4</v>
      </c>
      <c r="AN356" s="357">
        <f t="shared" si="358"/>
        <v>1.9070751392640699E-5</v>
      </c>
      <c r="AO356" s="574">
        <f t="shared" si="359"/>
        <v>5.4711961047645428E-5</v>
      </c>
    </row>
    <row r="357" spans="2:41" x14ac:dyDescent="0.25">
      <c r="B357" s="449">
        <v>44831</v>
      </c>
      <c r="C357">
        <v>56</v>
      </c>
      <c r="D357">
        <v>58</v>
      </c>
      <c r="E357">
        <v>61</v>
      </c>
      <c r="F357">
        <v>64</v>
      </c>
      <c r="G357">
        <v>125</v>
      </c>
      <c r="H357">
        <v>149</v>
      </c>
      <c r="I357">
        <v>160</v>
      </c>
      <c r="J357">
        <v>152</v>
      </c>
      <c r="K357" s="573">
        <v>150</v>
      </c>
      <c r="M357" s="591">
        <f t="shared" si="333"/>
        <v>0</v>
      </c>
      <c r="N357" s="357">
        <f t="shared" si="334"/>
        <v>-3.3333333333333326E-2</v>
      </c>
      <c r="O357" s="357">
        <f t="shared" si="335"/>
        <v>-6.1538461538461542E-2</v>
      </c>
      <c r="P357" s="357">
        <f t="shared" si="336"/>
        <v>-1.538461538461533E-2</v>
      </c>
      <c r="Q357" s="357">
        <f t="shared" si="337"/>
        <v>-8.0882352941176516E-2</v>
      </c>
      <c r="R357" s="357">
        <f t="shared" si="338"/>
        <v>-3.2467532467532423E-2</v>
      </c>
      <c r="S357" s="357">
        <f t="shared" si="339"/>
        <v>-1.8404907975460127E-2</v>
      </c>
      <c r="T357" s="357">
        <f t="shared" si="340"/>
        <v>-6.5359477124182774E-3</v>
      </c>
      <c r="U357" s="574">
        <f t="shared" si="341"/>
        <v>0</v>
      </c>
      <c r="W357" s="591">
        <f t="shared" si="342"/>
        <v>0</v>
      </c>
      <c r="X357" s="357">
        <f t="shared" si="343"/>
        <v>-3.3901551675681339E-2</v>
      </c>
      <c r="Y357" s="357">
        <f t="shared" si="344"/>
        <v>-6.3513405722325861E-2</v>
      </c>
      <c r="Z357" s="357">
        <f t="shared" si="345"/>
        <v>-1.5504186535965199E-2</v>
      </c>
      <c r="AA357" s="357">
        <f t="shared" si="346"/>
        <v>-8.4341148433750929E-2</v>
      </c>
      <c r="AB357" s="357">
        <f t="shared" si="347"/>
        <v>-3.3006296468169972E-2</v>
      </c>
      <c r="AC357" s="357">
        <f t="shared" si="348"/>
        <v>-1.8576385572935419E-2</v>
      </c>
      <c r="AD357" s="357">
        <f t="shared" si="349"/>
        <v>-6.5574005461590517E-3</v>
      </c>
      <c r="AE357" s="574">
        <f t="shared" si="350"/>
        <v>0</v>
      </c>
      <c r="AG357" s="591">
        <f t="shared" si="351"/>
        <v>-2.1472074677567957E-2</v>
      </c>
      <c r="AH357" s="357">
        <f t="shared" si="352"/>
        <v>-5.4443410250606575E-2</v>
      </c>
      <c r="AI357" s="357">
        <f t="shared" si="353"/>
        <v>-7.5803667827576818E-2</v>
      </c>
      <c r="AJ357" s="357">
        <f t="shared" si="354"/>
        <v>-2.5333204007453595E-2</v>
      </c>
      <c r="AK357" s="357">
        <f t="shared" si="355"/>
        <v>-8.7339026226743277E-2</v>
      </c>
      <c r="AL357" s="357">
        <f t="shared" si="356"/>
        <v>-3.2914613139582188E-2</v>
      </c>
      <c r="AM357" s="357">
        <f t="shared" si="357"/>
        <v>-1.8575554710561028E-2</v>
      </c>
      <c r="AN357" s="357">
        <f t="shared" si="358"/>
        <v>-6.5168769610256371E-3</v>
      </c>
      <c r="AO357" s="574">
        <f t="shared" si="359"/>
        <v>5.4711961047645428E-5</v>
      </c>
    </row>
    <row r="358" spans="2:41" x14ac:dyDescent="0.25">
      <c r="B358" s="449">
        <v>44838</v>
      </c>
      <c r="C358">
        <v>57</v>
      </c>
      <c r="D358">
        <v>59</v>
      </c>
      <c r="E358">
        <v>61</v>
      </c>
      <c r="F358">
        <v>70</v>
      </c>
      <c r="G358">
        <v>111</v>
      </c>
      <c r="H358">
        <v>147</v>
      </c>
      <c r="I358">
        <v>148</v>
      </c>
      <c r="J358">
        <v>148</v>
      </c>
      <c r="K358" s="573">
        <v>148</v>
      </c>
      <c r="M358" s="591">
        <f t="shared" si="333"/>
        <v>1.7857142857142794E-2</v>
      </c>
      <c r="N358" s="357">
        <f t="shared" si="334"/>
        <v>1.7241379310344751E-2</v>
      </c>
      <c r="O358" s="357">
        <f t="shared" si="335"/>
        <v>0</v>
      </c>
      <c r="P358" s="357">
        <f t="shared" si="336"/>
        <v>9.375E-2</v>
      </c>
      <c r="Q358" s="357">
        <f t="shared" si="337"/>
        <v>-0.11199999999999999</v>
      </c>
      <c r="R358" s="357">
        <f t="shared" si="338"/>
        <v>-1.3422818791946289E-2</v>
      </c>
      <c r="S358" s="357">
        <f t="shared" si="339"/>
        <v>-7.4999999999999956E-2</v>
      </c>
      <c r="T358" s="357">
        <f t="shared" si="340"/>
        <v>-2.6315789473684181E-2</v>
      </c>
      <c r="U358" s="574">
        <f t="shared" si="341"/>
        <v>-1.3333333333333308E-2</v>
      </c>
      <c r="W358" s="591">
        <f t="shared" si="342"/>
        <v>1.7699577099400857E-2</v>
      </c>
      <c r="X358" s="357">
        <f t="shared" si="343"/>
        <v>1.709443335930004E-2</v>
      </c>
      <c r="Y358" s="357">
        <f t="shared" si="344"/>
        <v>0</v>
      </c>
      <c r="Z358" s="357">
        <f t="shared" si="345"/>
        <v>8.9612158689687138E-2</v>
      </c>
      <c r="AA358" s="357">
        <f t="shared" si="346"/>
        <v>-0.11878353598996698</v>
      </c>
      <c r="AB358" s="357">
        <f t="shared" si="347"/>
        <v>-1.351371916672282E-2</v>
      </c>
      <c r="AC358" s="357">
        <f t="shared" si="348"/>
        <v>-7.7961541469711806E-2</v>
      </c>
      <c r="AD358" s="357">
        <f t="shared" si="349"/>
        <v>-2.6668247082161294E-2</v>
      </c>
      <c r="AE358" s="574">
        <f t="shared" si="350"/>
        <v>-1.3423020332140661E-2</v>
      </c>
      <c r="AG358" s="591">
        <f t="shared" si="351"/>
        <v>-3.6149318204251636E-3</v>
      </c>
      <c r="AH358" s="357">
        <f t="shared" si="352"/>
        <v>-3.8686976069285013E-3</v>
      </c>
      <c r="AI358" s="357">
        <f t="shared" si="353"/>
        <v>-1.4265206289115274E-2</v>
      </c>
      <c r="AJ358" s="357">
        <f t="shared" si="354"/>
        <v>8.3801411377161739E-2</v>
      </c>
      <c r="AK358" s="357">
        <f t="shared" si="355"/>
        <v>-0.11845667328556675</v>
      </c>
      <c r="AL358" s="357">
        <f t="shared" si="356"/>
        <v>-1.3869899463996055E-2</v>
      </c>
      <c r="AM358" s="357">
        <f t="shared" si="357"/>
        <v>-7.5170646735100849E-2</v>
      </c>
      <c r="AN358" s="357">
        <f t="shared" si="358"/>
        <v>-2.6296718722291539E-2</v>
      </c>
      <c r="AO358" s="574">
        <f t="shared" si="359"/>
        <v>-1.3278621372285663E-2</v>
      </c>
    </row>
    <row r="359" spans="2:41" x14ac:dyDescent="0.25">
      <c r="B359" s="449">
        <v>44845</v>
      </c>
      <c r="C359">
        <v>56</v>
      </c>
      <c r="D359">
        <v>57</v>
      </c>
      <c r="E359">
        <v>58</v>
      </c>
      <c r="F359">
        <v>66</v>
      </c>
      <c r="G359">
        <v>102</v>
      </c>
      <c r="H359">
        <v>137</v>
      </c>
      <c r="I359">
        <v>148</v>
      </c>
      <c r="J359">
        <v>148</v>
      </c>
      <c r="K359" s="573">
        <v>148</v>
      </c>
      <c r="M359" s="591">
        <f t="shared" si="333"/>
        <v>-1.7543859649122862E-2</v>
      </c>
      <c r="N359" s="357">
        <f t="shared" si="334"/>
        <v>-3.3898305084745783E-2</v>
      </c>
      <c r="O359" s="357">
        <f t="shared" si="335"/>
        <v>-4.9180327868852514E-2</v>
      </c>
      <c r="P359" s="357">
        <f t="shared" si="336"/>
        <v>-5.7142857142857162E-2</v>
      </c>
      <c r="Q359" s="357">
        <f t="shared" si="337"/>
        <v>-8.108108108108103E-2</v>
      </c>
      <c r="R359" s="357">
        <f t="shared" si="338"/>
        <v>-6.8027210884353706E-2</v>
      </c>
      <c r="S359" s="357">
        <f t="shared" si="339"/>
        <v>0</v>
      </c>
      <c r="T359" s="357">
        <f t="shared" si="340"/>
        <v>0</v>
      </c>
      <c r="U359" s="574">
        <f t="shared" si="341"/>
        <v>0</v>
      </c>
      <c r="W359" s="591">
        <f t="shared" si="342"/>
        <v>-1.7699577099400975E-2</v>
      </c>
      <c r="X359" s="357">
        <f t="shared" si="343"/>
        <v>-3.4486176071169321E-2</v>
      </c>
      <c r="Y359" s="357">
        <f t="shared" si="344"/>
        <v>-5.0430853626891967E-2</v>
      </c>
      <c r="Z359" s="357">
        <f t="shared" si="345"/>
        <v>-5.8840500022933465E-2</v>
      </c>
      <c r="AA359" s="357">
        <f t="shared" si="346"/>
        <v>-8.4557388028062994E-2</v>
      </c>
      <c r="AB359" s="357">
        <f t="shared" si="347"/>
        <v>-7.0451660950611353E-2</v>
      </c>
      <c r="AC359" s="357">
        <f t="shared" si="348"/>
        <v>0</v>
      </c>
      <c r="AD359" s="357">
        <f t="shared" si="349"/>
        <v>0</v>
      </c>
      <c r="AE359" s="574">
        <f t="shared" si="350"/>
        <v>0</v>
      </c>
      <c r="AG359" s="591">
        <f t="shared" si="351"/>
        <v>-3.9015934326690815E-2</v>
      </c>
      <c r="AH359" s="357">
        <f t="shared" si="352"/>
        <v>-5.5008382002019032E-2</v>
      </c>
      <c r="AI359" s="357">
        <f t="shared" si="353"/>
        <v>-6.344553415796779E-2</v>
      </c>
      <c r="AJ359" s="357">
        <f t="shared" si="354"/>
        <v>-6.7091445765695423E-2</v>
      </c>
      <c r="AK359" s="357">
        <f t="shared" si="355"/>
        <v>-8.7537754366647791E-2</v>
      </c>
      <c r="AL359" s="357">
        <f t="shared" si="356"/>
        <v>-6.8474291556403472E-2</v>
      </c>
      <c r="AM359" s="357">
        <f t="shared" si="357"/>
        <v>-1.7064673510089895E-4</v>
      </c>
      <c r="AN359" s="357">
        <f t="shared" si="358"/>
        <v>1.9070751392640699E-5</v>
      </c>
      <c r="AO359" s="574">
        <f t="shared" si="359"/>
        <v>5.4711961047645428E-5</v>
      </c>
    </row>
    <row r="360" spans="2:41" x14ac:dyDescent="0.25">
      <c r="B360" s="449">
        <v>44852</v>
      </c>
      <c r="C360">
        <v>56</v>
      </c>
      <c r="D360">
        <v>57</v>
      </c>
      <c r="E360">
        <v>57</v>
      </c>
      <c r="F360">
        <v>65</v>
      </c>
      <c r="G360">
        <v>97</v>
      </c>
      <c r="H360">
        <v>135</v>
      </c>
      <c r="I360">
        <v>145</v>
      </c>
      <c r="J360">
        <v>142</v>
      </c>
      <c r="K360" s="573">
        <v>142</v>
      </c>
      <c r="M360" s="591">
        <f t="shared" si="333"/>
        <v>0</v>
      </c>
      <c r="N360" s="357">
        <f t="shared" si="334"/>
        <v>0</v>
      </c>
      <c r="O360" s="357">
        <f t="shared" si="335"/>
        <v>-1.7241379310344862E-2</v>
      </c>
      <c r="P360" s="357">
        <f t="shared" si="336"/>
        <v>-1.5151515151515138E-2</v>
      </c>
      <c r="Q360" s="357">
        <f t="shared" si="337"/>
        <v>-4.9019607843137303E-2</v>
      </c>
      <c r="R360" s="357">
        <f t="shared" si="338"/>
        <v>-1.4598540145985384E-2</v>
      </c>
      <c r="S360" s="357">
        <f t="shared" si="339"/>
        <v>-2.0270270270270285E-2</v>
      </c>
      <c r="T360" s="357">
        <f t="shared" si="340"/>
        <v>-4.0540540540540571E-2</v>
      </c>
      <c r="U360" s="574">
        <f t="shared" si="341"/>
        <v>-4.0540540540540571E-2</v>
      </c>
      <c r="W360" s="591">
        <f t="shared" si="342"/>
        <v>0</v>
      </c>
      <c r="X360" s="357">
        <f t="shared" si="343"/>
        <v>0</v>
      </c>
      <c r="Y360" s="357">
        <f t="shared" si="344"/>
        <v>-1.7391742711869222E-2</v>
      </c>
      <c r="Z360" s="357">
        <f t="shared" si="345"/>
        <v>-1.5267472130788421E-2</v>
      </c>
      <c r="AA360" s="357">
        <f t="shared" si="346"/>
        <v>-5.0261834780888311E-2</v>
      </c>
      <c r="AB360" s="357">
        <f t="shared" si="347"/>
        <v>-1.4706147389695449E-2</v>
      </c>
      <c r="AC360" s="357">
        <f t="shared" si="348"/>
        <v>-2.0478531343540676E-2</v>
      </c>
      <c r="AD360" s="357">
        <f t="shared" si="349"/>
        <v>-4.1385216162854364E-2</v>
      </c>
      <c r="AE360" s="574">
        <f t="shared" si="350"/>
        <v>-4.1385216162854364E-2</v>
      </c>
      <c r="AG360" s="591">
        <f t="shared" si="351"/>
        <v>-2.1472074677567957E-2</v>
      </c>
      <c r="AH360" s="357">
        <f t="shared" si="352"/>
        <v>-2.1110076917273252E-2</v>
      </c>
      <c r="AI360" s="357">
        <f t="shared" si="353"/>
        <v>-3.1506585599460138E-2</v>
      </c>
      <c r="AJ360" s="357">
        <f t="shared" si="354"/>
        <v>-2.5100103774353403E-2</v>
      </c>
      <c r="AK360" s="357">
        <f t="shared" si="355"/>
        <v>-5.5476281128704071E-2</v>
      </c>
      <c r="AL360" s="357">
        <f t="shared" si="356"/>
        <v>-1.5045620818035149E-2</v>
      </c>
      <c r="AM360" s="357">
        <f t="shared" si="357"/>
        <v>-2.0440917005371186E-2</v>
      </c>
      <c r="AN360" s="357">
        <f t="shared" si="358"/>
        <v>-4.0521469789147932E-2</v>
      </c>
      <c r="AO360" s="574">
        <f t="shared" si="359"/>
        <v>-4.0485828579492927E-2</v>
      </c>
    </row>
    <row r="361" spans="2:41" x14ac:dyDescent="0.25">
      <c r="B361" s="449">
        <v>44859</v>
      </c>
      <c r="C361">
        <v>56</v>
      </c>
      <c r="D361">
        <v>57</v>
      </c>
      <c r="E361">
        <v>57</v>
      </c>
      <c r="F361">
        <v>66</v>
      </c>
      <c r="G361">
        <v>100</v>
      </c>
      <c r="H361">
        <v>135</v>
      </c>
      <c r="I361">
        <v>144</v>
      </c>
      <c r="J361">
        <v>143</v>
      </c>
      <c r="K361" s="573">
        <v>142</v>
      </c>
      <c r="M361" s="591">
        <f t="shared" si="333"/>
        <v>0</v>
      </c>
      <c r="N361" s="357">
        <f t="shared" si="334"/>
        <v>0</v>
      </c>
      <c r="O361" s="357">
        <f t="shared" si="335"/>
        <v>0</v>
      </c>
      <c r="P361" s="357">
        <f t="shared" si="336"/>
        <v>1.538461538461533E-2</v>
      </c>
      <c r="Q361" s="357">
        <f t="shared" si="337"/>
        <v>3.0927835051546282E-2</v>
      </c>
      <c r="R361" s="357">
        <f t="shared" si="338"/>
        <v>0</v>
      </c>
      <c r="S361" s="357">
        <f t="shared" si="339"/>
        <v>-6.8965517241379448E-3</v>
      </c>
      <c r="T361" s="357">
        <f t="shared" si="340"/>
        <v>7.0422535211267512E-3</v>
      </c>
      <c r="U361" s="574">
        <f t="shared" si="341"/>
        <v>0</v>
      </c>
      <c r="W361" s="591">
        <f t="shared" si="342"/>
        <v>0</v>
      </c>
      <c r="X361" s="357">
        <f t="shared" si="343"/>
        <v>0</v>
      </c>
      <c r="Y361" s="357">
        <f t="shared" si="344"/>
        <v>0</v>
      </c>
      <c r="Z361" s="357">
        <f t="shared" si="345"/>
        <v>1.5267472130788381E-2</v>
      </c>
      <c r="AA361" s="357">
        <f t="shared" si="346"/>
        <v>3.0459207484708439E-2</v>
      </c>
      <c r="AB361" s="357">
        <f t="shared" si="347"/>
        <v>0</v>
      </c>
      <c r="AC361" s="357">
        <f t="shared" si="348"/>
        <v>-6.9204428445737952E-3</v>
      </c>
      <c r="AD361" s="357">
        <f t="shared" si="349"/>
        <v>7.0175726586465398E-3</v>
      </c>
      <c r="AE361" s="574">
        <f t="shared" si="350"/>
        <v>0</v>
      </c>
      <c r="AG361" s="591">
        <f t="shared" si="351"/>
        <v>-2.1472074677567957E-2</v>
      </c>
      <c r="AH361" s="357">
        <f t="shared" si="352"/>
        <v>-2.1110076917273252E-2</v>
      </c>
      <c r="AI361" s="357">
        <f t="shared" si="353"/>
        <v>-1.4265206289115274E-2</v>
      </c>
      <c r="AJ361" s="357">
        <f t="shared" si="354"/>
        <v>5.4360267617770651E-3</v>
      </c>
      <c r="AK361" s="357">
        <f t="shared" si="355"/>
        <v>2.4471161765979514E-2</v>
      </c>
      <c r="AL361" s="357">
        <f t="shared" si="356"/>
        <v>-4.4708067204976532E-4</v>
      </c>
      <c r="AM361" s="357">
        <f t="shared" si="357"/>
        <v>-7.0671984592388434E-3</v>
      </c>
      <c r="AN361" s="357">
        <f t="shared" si="358"/>
        <v>7.0613242725193915E-3</v>
      </c>
      <c r="AO361" s="574">
        <f t="shared" si="359"/>
        <v>5.4711961047645428E-5</v>
      </c>
    </row>
    <row r="362" spans="2:41" x14ac:dyDescent="0.25">
      <c r="B362" s="449">
        <v>44866</v>
      </c>
      <c r="C362">
        <v>56</v>
      </c>
      <c r="D362">
        <v>56</v>
      </c>
      <c r="E362">
        <v>57</v>
      </c>
      <c r="F362">
        <v>63</v>
      </c>
      <c r="G362">
        <v>100</v>
      </c>
      <c r="H362">
        <v>137</v>
      </c>
      <c r="I362">
        <v>142</v>
      </c>
      <c r="J362">
        <v>143</v>
      </c>
      <c r="K362" s="573">
        <v>142</v>
      </c>
      <c r="M362" s="591">
        <f t="shared" si="333"/>
        <v>0</v>
      </c>
      <c r="N362" s="357">
        <f t="shared" si="334"/>
        <v>-1.7543859649122862E-2</v>
      </c>
      <c r="O362" s="357">
        <f t="shared" si="335"/>
        <v>0</v>
      </c>
      <c r="P362" s="357">
        <f t="shared" si="336"/>
        <v>-4.5454545454545414E-2</v>
      </c>
      <c r="Q362" s="357">
        <f t="shared" si="337"/>
        <v>0</v>
      </c>
      <c r="R362" s="357">
        <f t="shared" si="338"/>
        <v>1.4814814814814836E-2</v>
      </c>
      <c r="S362" s="357">
        <f t="shared" si="339"/>
        <v>-1.388888888888884E-2</v>
      </c>
      <c r="T362" s="357">
        <f t="shared" si="340"/>
        <v>0</v>
      </c>
      <c r="U362" s="574">
        <f t="shared" si="341"/>
        <v>0</v>
      </c>
      <c r="W362" s="591">
        <f t="shared" si="342"/>
        <v>0</v>
      </c>
      <c r="X362" s="357">
        <f t="shared" si="343"/>
        <v>-1.7699577099400975E-2</v>
      </c>
      <c r="Y362" s="357">
        <f t="shared" si="344"/>
        <v>0</v>
      </c>
      <c r="Z362" s="357">
        <f t="shared" si="345"/>
        <v>-4.6520015634892817E-2</v>
      </c>
      <c r="AA362" s="357">
        <f t="shared" si="346"/>
        <v>0</v>
      </c>
      <c r="AB362" s="357">
        <f t="shared" si="347"/>
        <v>1.4706147389695487E-2</v>
      </c>
      <c r="AC362" s="357">
        <f t="shared" si="348"/>
        <v>-1.3986241974739839E-2</v>
      </c>
      <c r="AD362" s="357">
        <f t="shared" si="349"/>
        <v>0</v>
      </c>
      <c r="AE362" s="574">
        <f t="shared" si="350"/>
        <v>0</v>
      </c>
      <c r="AG362" s="591">
        <f t="shared" si="351"/>
        <v>-2.1472074677567957E-2</v>
      </c>
      <c r="AH362" s="357">
        <f t="shared" si="352"/>
        <v>-3.865393656639611E-2</v>
      </c>
      <c r="AI362" s="357">
        <f t="shared" si="353"/>
        <v>-1.4265206289115274E-2</v>
      </c>
      <c r="AJ362" s="357">
        <f t="shared" si="354"/>
        <v>-5.5403134077383676E-2</v>
      </c>
      <c r="AK362" s="357">
        <f t="shared" si="355"/>
        <v>-6.4566732855667669E-3</v>
      </c>
      <c r="AL362" s="357">
        <f t="shared" si="356"/>
        <v>1.4367734142765071E-2</v>
      </c>
      <c r="AM362" s="357">
        <f t="shared" si="357"/>
        <v>-1.4059535623989738E-2</v>
      </c>
      <c r="AN362" s="357">
        <f t="shared" si="358"/>
        <v>1.9070751392640699E-5</v>
      </c>
      <c r="AO362" s="574">
        <f t="shared" si="359"/>
        <v>5.4711961047645428E-5</v>
      </c>
    </row>
    <row r="363" spans="2:41" x14ac:dyDescent="0.25">
      <c r="B363" s="449">
        <v>44873</v>
      </c>
      <c r="C363">
        <v>56</v>
      </c>
      <c r="D363">
        <v>57</v>
      </c>
      <c r="E363">
        <v>61</v>
      </c>
      <c r="F363">
        <v>67</v>
      </c>
      <c r="G363">
        <v>97</v>
      </c>
      <c r="H363">
        <v>135</v>
      </c>
      <c r="I363">
        <v>142</v>
      </c>
      <c r="J363">
        <v>143</v>
      </c>
      <c r="K363" s="573">
        <v>143</v>
      </c>
      <c r="M363" s="591">
        <f t="shared" si="333"/>
        <v>0</v>
      </c>
      <c r="N363" s="357">
        <f t="shared" si="334"/>
        <v>1.7857142857142794E-2</v>
      </c>
      <c r="O363" s="357">
        <f t="shared" si="335"/>
        <v>7.0175438596491224E-2</v>
      </c>
      <c r="P363" s="357">
        <f t="shared" si="336"/>
        <v>6.3492063492063489E-2</v>
      </c>
      <c r="Q363" s="357">
        <f t="shared" si="337"/>
        <v>-3.0000000000000027E-2</v>
      </c>
      <c r="R363" s="357">
        <f t="shared" si="338"/>
        <v>-1.4598540145985384E-2</v>
      </c>
      <c r="S363" s="357">
        <f t="shared" si="339"/>
        <v>0</v>
      </c>
      <c r="T363" s="357">
        <f t="shared" si="340"/>
        <v>0</v>
      </c>
      <c r="U363" s="574">
        <f t="shared" si="341"/>
        <v>7.0422535211267512E-3</v>
      </c>
      <c r="W363" s="591">
        <f t="shared" si="342"/>
        <v>0</v>
      </c>
      <c r="X363" s="357">
        <f t="shared" si="343"/>
        <v>1.7699577099400857E-2</v>
      </c>
      <c r="Y363" s="357">
        <f t="shared" si="344"/>
        <v>6.7822596338761088E-2</v>
      </c>
      <c r="Z363" s="357">
        <f t="shared" si="345"/>
        <v>6.1557892999433365E-2</v>
      </c>
      <c r="AA363" s="357">
        <f t="shared" si="346"/>
        <v>-3.0459207484708574E-2</v>
      </c>
      <c r="AB363" s="357">
        <f t="shared" si="347"/>
        <v>-1.4706147389695449E-2</v>
      </c>
      <c r="AC363" s="357">
        <f t="shared" si="348"/>
        <v>0</v>
      </c>
      <c r="AD363" s="357">
        <f t="shared" si="349"/>
        <v>0</v>
      </c>
      <c r="AE363" s="574">
        <f t="shared" si="350"/>
        <v>7.0175726586465398E-3</v>
      </c>
      <c r="AG363" s="591">
        <f t="shared" si="351"/>
        <v>-2.1472074677567957E-2</v>
      </c>
      <c r="AH363" s="357">
        <f t="shared" si="352"/>
        <v>-3.2529340601304586E-3</v>
      </c>
      <c r="AI363" s="357">
        <f t="shared" si="353"/>
        <v>5.5910232307375948E-2</v>
      </c>
      <c r="AJ363" s="357">
        <f t="shared" si="354"/>
        <v>5.3543474869225227E-2</v>
      </c>
      <c r="AK363" s="357">
        <f t="shared" si="355"/>
        <v>-3.6456673285566794E-2</v>
      </c>
      <c r="AL363" s="357">
        <f t="shared" si="356"/>
        <v>-1.5045620818035149E-2</v>
      </c>
      <c r="AM363" s="357">
        <f t="shared" si="357"/>
        <v>-1.7064673510089895E-4</v>
      </c>
      <c r="AN363" s="357">
        <f t="shared" si="358"/>
        <v>1.9070751392640699E-5</v>
      </c>
      <c r="AO363" s="574">
        <f t="shared" si="359"/>
        <v>7.096965482174397E-3</v>
      </c>
    </row>
    <row r="364" spans="2:41" x14ac:dyDescent="0.25">
      <c r="B364" s="449">
        <v>44880</v>
      </c>
      <c r="C364">
        <v>56</v>
      </c>
      <c r="D364">
        <v>57</v>
      </c>
      <c r="E364">
        <v>62</v>
      </c>
      <c r="F364">
        <v>68</v>
      </c>
      <c r="G364">
        <v>96</v>
      </c>
      <c r="H364">
        <v>132</v>
      </c>
      <c r="I364">
        <v>142</v>
      </c>
      <c r="J364">
        <v>143</v>
      </c>
      <c r="K364" s="573">
        <v>142</v>
      </c>
      <c r="M364" s="591">
        <f t="shared" si="333"/>
        <v>0</v>
      </c>
      <c r="N364" s="357">
        <f t="shared" si="334"/>
        <v>0</v>
      </c>
      <c r="O364" s="357">
        <f t="shared" si="335"/>
        <v>1.6393442622950838E-2</v>
      </c>
      <c r="P364" s="357">
        <f t="shared" si="336"/>
        <v>1.4925373134328401E-2</v>
      </c>
      <c r="Q364" s="357">
        <f t="shared" si="337"/>
        <v>-1.0309278350515427E-2</v>
      </c>
      <c r="R364" s="357">
        <f t="shared" si="338"/>
        <v>-2.2222222222222254E-2</v>
      </c>
      <c r="S364" s="357">
        <f t="shared" si="339"/>
        <v>0</v>
      </c>
      <c r="T364" s="357">
        <f t="shared" si="340"/>
        <v>0</v>
      </c>
      <c r="U364" s="574">
        <f t="shared" si="341"/>
        <v>-6.9930069930069783E-3</v>
      </c>
      <c r="W364" s="591">
        <f t="shared" si="342"/>
        <v>0</v>
      </c>
      <c r="X364" s="357">
        <f t="shared" si="343"/>
        <v>0</v>
      </c>
      <c r="Y364" s="357">
        <f t="shared" si="344"/>
        <v>1.6260520871780326E-2</v>
      </c>
      <c r="Z364" s="357">
        <f t="shared" si="345"/>
        <v>1.4815085785140682E-2</v>
      </c>
      <c r="AA364" s="357">
        <f t="shared" si="346"/>
        <v>-1.0362787035546547E-2</v>
      </c>
      <c r="AB364" s="357">
        <f t="shared" si="347"/>
        <v>-2.2472855852058628E-2</v>
      </c>
      <c r="AC364" s="357">
        <f t="shared" si="348"/>
        <v>0</v>
      </c>
      <c r="AD364" s="357">
        <f t="shared" si="349"/>
        <v>0</v>
      </c>
      <c r="AE364" s="574">
        <f t="shared" si="350"/>
        <v>-7.0175726586465346E-3</v>
      </c>
      <c r="AG364" s="591">
        <f t="shared" si="351"/>
        <v>-2.1472074677567957E-2</v>
      </c>
      <c r="AH364" s="357">
        <f t="shared" si="352"/>
        <v>-2.1110076917273252E-2</v>
      </c>
      <c r="AI364" s="357">
        <f t="shared" si="353"/>
        <v>2.1282363338355637E-3</v>
      </c>
      <c r="AJ364" s="357">
        <f t="shared" si="354"/>
        <v>4.9767845114901364E-3</v>
      </c>
      <c r="AK364" s="357">
        <f t="shared" si="355"/>
        <v>-1.6765951636082195E-2</v>
      </c>
      <c r="AL364" s="357">
        <f t="shared" si="356"/>
        <v>-2.266930289427202E-2</v>
      </c>
      <c r="AM364" s="357">
        <f t="shared" si="357"/>
        <v>-1.7064673510089895E-4</v>
      </c>
      <c r="AN364" s="357">
        <f t="shared" si="358"/>
        <v>1.9070751392640699E-5</v>
      </c>
      <c r="AO364" s="574">
        <f t="shared" si="359"/>
        <v>-6.9382950319593325E-3</v>
      </c>
    </row>
    <row r="365" spans="2:41" x14ac:dyDescent="0.25">
      <c r="B365" s="449">
        <v>44887</v>
      </c>
      <c r="C365">
        <v>56</v>
      </c>
      <c r="D365">
        <v>56</v>
      </c>
      <c r="E365">
        <v>63</v>
      </c>
      <c r="F365">
        <v>67</v>
      </c>
      <c r="G365">
        <v>96</v>
      </c>
      <c r="H365">
        <v>130</v>
      </c>
      <c r="I365">
        <v>140</v>
      </c>
      <c r="J365">
        <v>142</v>
      </c>
      <c r="K365" s="573">
        <v>142</v>
      </c>
      <c r="M365" s="591">
        <f t="shared" si="333"/>
        <v>0</v>
      </c>
      <c r="N365" s="357">
        <f t="shared" si="334"/>
        <v>-1.7543859649122862E-2</v>
      </c>
      <c r="O365" s="357">
        <f t="shared" si="335"/>
        <v>1.6129032258064502E-2</v>
      </c>
      <c r="P365" s="357">
        <f t="shared" si="336"/>
        <v>-1.4705882352941124E-2</v>
      </c>
      <c r="Q365" s="357">
        <f t="shared" si="337"/>
        <v>0</v>
      </c>
      <c r="R365" s="357">
        <f t="shared" si="338"/>
        <v>-1.5151515151515138E-2</v>
      </c>
      <c r="S365" s="357">
        <f t="shared" si="339"/>
        <v>-1.4084507042253502E-2</v>
      </c>
      <c r="T365" s="357">
        <f t="shared" si="340"/>
        <v>-6.9930069930069783E-3</v>
      </c>
      <c r="U365" s="574">
        <f t="shared" si="341"/>
        <v>0</v>
      </c>
      <c r="W365" s="591">
        <f t="shared" si="342"/>
        <v>0</v>
      </c>
      <c r="X365" s="357">
        <f t="shared" si="343"/>
        <v>-1.7699577099400975E-2</v>
      </c>
      <c r="Y365" s="357">
        <f t="shared" si="344"/>
        <v>1.600034134644112E-2</v>
      </c>
      <c r="Z365" s="357">
        <f t="shared" si="345"/>
        <v>-1.4815085785140587E-2</v>
      </c>
      <c r="AA365" s="357">
        <f t="shared" si="346"/>
        <v>0</v>
      </c>
      <c r="AB365" s="357">
        <f t="shared" si="347"/>
        <v>-1.5267472130788421E-2</v>
      </c>
      <c r="AC365" s="357">
        <f t="shared" si="348"/>
        <v>-1.4184634991956413E-2</v>
      </c>
      <c r="AD365" s="357">
        <f t="shared" si="349"/>
        <v>-7.0175726586465346E-3</v>
      </c>
      <c r="AE365" s="574">
        <f t="shared" si="350"/>
        <v>0</v>
      </c>
      <c r="AG365" s="591">
        <f t="shared" si="351"/>
        <v>-2.1472074677567957E-2</v>
      </c>
      <c r="AH365" s="357">
        <f t="shared" si="352"/>
        <v>-3.865393656639611E-2</v>
      </c>
      <c r="AI365" s="357">
        <f t="shared" si="353"/>
        <v>1.8638259689492277E-3</v>
      </c>
      <c r="AJ365" s="357">
        <f t="shared" si="354"/>
        <v>-2.4654470975779389E-2</v>
      </c>
      <c r="AK365" s="357">
        <f t="shared" si="355"/>
        <v>-6.4566732855667669E-3</v>
      </c>
      <c r="AL365" s="357">
        <f t="shared" si="356"/>
        <v>-1.5598595823564904E-2</v>
      </c>
      <c r="AM365" s="357">
        <f t="shared" si="357"/>
        <v>-1.4255153777354401E-2</v>
      </c>
      <c r="AN365" s="357">
        <f t="shared" si="358"/>
        <v>-6.9739362416143379E-3</v>
      </c>
      <c r="AO365" s="574">
        <f t="shared" si="359"/>
        <v>5.4711961047645428E-5</v>
      </c>
    </row>
    <row r="366" spans="2:41" x14ac:dyDescent="0.25">
      <c r="B366" s="449">
        <v>44894</v>
      </c>
      <c r="C366">
        <v>56</v>
      </c>
      <c r="D366">
        <v>56</v>
      </c>
      <c r="E366">
        <v>62</v>
      </c>
      <c r="F366">
        <v>66</v>
      </c>
      <c r="G366">
        <v>96</v>
      </c>
      <c r="H366">
        <v>128</v>
      </c>
      <c r="I366">
        <v>140</v>
      </c>
      <c r="J366">
        <v>142</v>
      </c>
      <c r="K366" s="573">
        <v>142</v>
      </c>
      <c r="M366" s="591">
        <f t="shared" si="333"/>
        <v>0</v>
      </c>
      <c r="N366" s="357">
        <f t="shared" si="334"/>
        <v>0</v>
      </c>
      <c r="O366" s="357">
        <f t="shared" si="335"/>
        <v>-1.5873015873015928E-2</v>
      </c>
      <c r="P366" s="357">
        <f t="shared" si="336"/>
        <v>-1.4925373134328401E-2</v>
      </c>
      <c r="Q366" s="357">
        <f t="shared" si="337"/>
        <v>0</v>
      </c>
      <c r="R366" s="357">
        <f t="shared" si="338"/>
        <v>-1.538461538461533E-2</v>
      </c>
      <c r="S366" s="357">
        <f t="shared" si="339"/>
        <v>0</v>
      </c>
      <c r="T366" s="357">
        <f t="shared" si="340"/>
        <v>0</v>
      </c>
      <c r="U366" s="574">
        <f t="shared" si="341"/>
        <v>0</v>
      </c>
      <c r="W366" s="591">
        <f t="shared" si="342"/>
        <v>0</v>
      </c>
      <c r="X366" s="357">
        <f t="shared" si="343"/>
        <v>0</v>
      </c>
      <c r="Y366" s="357">
        <f t="shared" si="344"/>
        <v>-1.6000341346441189E-2</v>
      </c>
      <c r="Z366" s="357">
        <f t="shared" si="345"/>
        <v>-1.5037877364540559E-2</v>
      </c>
      <c r="AA366" s="357">
        <f t="shared" si="346"/>
        <v>0</v>
      </c>
      <c r="AB366" s="357">
        <f t="shared" si="347"/>
        <v>-1.5504186535965199E-2</v>
      </c>
      <c r="AC366" s="357">
        <f t="shared" si="348"/>
        <v>0</v>
      </c>
      <c r="AD366" s="357">
        <f t="shared" si="349"/>
        <v>0</v>
      </c>
      <c r="AE366" s="574">
        <f t="shared" si="350"/>
        <v>0</v>
      </c>
      <c r="AG366" s="591">
        <f t="shared" si="351"/>
        <v>-2.1472074677567957E-2</v>
      </c>
      <c r="AH366" s="357">
        <f t="shared" si="352"/>
        <v>-2.1110076917273252E-2</v>
      </c>
      <c r="AI366" s="357">
        <f t="shared" si="353"/>
        <v>-3.0138222162131204E-2</v>
      </c>
      <c r="AJ366" s="357">
        <f t="shared" si="354"/>
        <v>-2.4873961757166666E-2</v>
      </c>
      <c r="AK366" s="357">
        <f t="shared" si="355"/>
        <v>-6.4566732855667669E-3</v>
      </c>
      <c r="AL366" s="357">
        <f t="shared" si="356"/>
        <v>-1.5831696056665095E-2</v>
      </c>
      <c r="AM366" s="357">
        <f t="shared" si="357"/>
        <v>-1.7064673510089895E-4</v>
      </c>
      <c r="AN366" s="357">
        <f t="shared" si="358"/>
        <v>1.9070751392640699E-5</v>
      </c>
      <c r="AO366" s="574">
        <f t="shared" si="359"/>
        <v>5.4711961047645428E-5</v>
      </c>
    </row>
    <row r="367" spans="2:41" x14ac:dyDescent="0.25">
      <c r="B367" s="449">
        <v>44901</v>
      </c>
      <c r="C367">
        <v>56</v>
      </c>
      <c r="D367">
        <v>62</v>
      </c>
      <c r="E367">
        <v>65</v>
      </c>
      <c r="F367">
        <v>66</v>
      </c>
      <c r="G367">
        <v>91</v>
      </c>
      <c r="H367">
        <v>120</v>
      </c>
      <c r="I367">
        <v>136</v>
      </c>
      <c r="J367">
        <v>140</v>
      </c>
      <c r="K367" s="573">
        <v>140</v>
      </c>
      <c r="M367" s="591">
        <f t="shared" si="333"/>
        <v>0</v>
      </c>
      <c r="N367" s="357">
        <f t="shared" si="334"/>
        <v>0.10714285714285721</v>
      </c>
      <c r="O367" s="357">
        <f t="shared" si="335"/>
        <v>4.8387096774193505E-2</v>
      </c>
      <c r="P367" s="357">
        <f t="shared" si="336"/>
        <v>0</v>
      </c>
      <c r="Q367" s="357">
        <f t="shared" si="337"/>
        <v>-5.208333333333337E-2</v>
      </c>
      <c r="R367" s="357">
        <f t="shared" si="338"/>
        <v>-6.25E-2</v>
      </c>
      <c r="S367" s="357">
        <f t="shared" si="339"/>
        <v>-2.8571428571428581E-2</v>
      </c>
      <c r="T367" s="357">
        <f t="shared" si="340"/>
        <v>-1.4084507042253502E-2</v>
      </c>
      <c r="U367" s="574">
        <f t="shared" si="341"/>
        <v>-1.4084507042253502E-2</v>
      </c>
      <c r="W367" s="591">
        <f t="shared" si="342"/>
        <v>0</v>
      </c>
      <c r="X367" s="357">
        <f t="shared" si="343"/>
        <v>0.10178269430994238</v>
      </c>
      <c r="Y367" s="357">
        <f t="shared" si="344"/>
        <v>4.7252884850545511E-2</v>
      </c>
      <c r="Z367" s="357">
        <f t="shared" si="345"/>
        <v>0</v>
      </c>
      <c r="AA367" s="357">
        <f t="shared" si="346"/>
        <v>-5.3488684950986236E-2</v>
      </c>
      <c r="AB367" s="357">
        <f t="shared" si="347"/>
        <v>-6.4538521137571178E-2</v>
      </c>
      <c r="AC367" s="357">
        <f t="shared" si="348"/>
        <v>-2.8987536873252298E-2</v>
      </c>
      <c r="AD367" s="357">
        <f t="shared" si="349"/>
        <v>-1.4184634991956413E-2</v>
      </c>
      <c r="AE367" s="574">
        <f t="shared" si="350"/>
        <v>-1.4184634991956413E-2</v>
      </c>
      <c r="AG367" s="591">
        <f t="shared" si="351"/>
        <v>-2.1472074677567957E-2</v>
      </c>
      <c r="AH367" s="357">
        <f t="shared" si="352"/>
        <v>8.6032780225583957E-2</v>
      </c>
      <c r="AI367" s="357">
        <f t="shared" si="353"/>
        <v>3.412189048507823E-2</v>
      </c>
      <c r="AJ367" s="357">
        <f t="shared" si="354"/>
        <v>-9.9485886228382649E-3</v>
      </c>
      <c r="AK367" s="357">
        <f t="shared" si="355"/>
        <v>-5.8540006618900138E-2</v>
      </c>
      <c r="AL367" s="357">
        <f t="shared" si="356"/>
        <v>-6.2947080672049766E-2</v>
      </c>
      <c r="AM367" s="357">
        <f t="shared" si="357"/>
        <v>-2.8742075306529481E-2</v>
      </c>
      <c r="AN367" s="357">
        <f t="shared" si="358"/>
        <v>-1.4065436290860862E-2</v>
      </c>
      <c r="AO367" s="574">
        <f t="shared" si="359"/>
        <v>-1.4029795081205857E-2</v>
      </c>
    </row>
    <row r="368" spans="2:41" x14ac:dyDescent="0.25">
      <c r="B368" s="449">
        <v>44908</v>
      </c>
      <c r="C368">
        <v>56</v>
      </c>
      <c r="D368">
        <v>69</v>
      </c>
      <c r="E368">
        <v>70</v>
      </c>
      <c r="F368">
        <v>70</v>
      </c>
      <c r="G368">
        <v>89</v>
      </c>
      <c r="H368">
        <v>119</v>
      </c>
      <c r="I368">
        <v>130</v>
      </c>
      <c r="J368">
        <v>132</v>
      </c>
      <c r="K368" s="573">
        <v>132</v>
      </c>
      <c r="M368" s="591">
        <f t="shared" si="333"/>
        <v>0</v>
      </c>
      <c r="N368" s="357">
        <f t="shared" si="334"/>
        <v>0.11290322580645151</v>
      </c>
      <c r="O368" s="357">
        <f t="shared" si="335"/>
        <v>7.6923076923076872E-2</v>
      </c>
      <c r="P368" s="357">
        <f t="shared" si="336"/>
        <v>6.0606060606060552E-2</v>
      </c>
      <c r="Q368" s="357">
        <f t="shared" si="337"/>
        <v>-2.1978021978022011E-2</v>
      </c>
      <c r="R368" s="357">
        <f t="shared" si="338"/>
        <v>-8.3333333333333037E-3</v>
      </c>
      <c r="S368" s="357">
        <f t="shared" si="339"/>
        <v>-4.4117647058823484E-2</v>
      </c>
      <c r="T368" s="357">
        <f t="shared" si="340"/>
        <v>-5.7142857142857162E-2</v>
      </c>
      <c r="U368" s="574">
        <f t="shared" si="341"/>
        <v>-5.7142857142857162E-2</v>
      </c>
      <c r="W368" s="591">
        <f t="shared" si="342"/>
        <v>0</v>
      </c>
      <c r="X368" s="357">
        <f t="shared" si="343"/>
        <v>0.10697211955216773</v>
      </c>
      <c r="Y368" s="357">
        <f t="shared" si="344"/>
        <v>7.4107972153721835E-2</v>
      </c>
      <c r="Z368" s="357">
        <f t="shared" si="345"/>
        <v>5.8840500022933395E-2</v>
      </c>
      <c r="AA368" s="357">
        <f t="shared" si="346"/>
        <v>-2.2223136784710235E-2</v>
      </c>
      <c r="AB368" s="357">
        <f t="shared" si="347"/>
        <v>-8.3682496705165792E-3</v>
      </c>
      <c r="AC368" s="357">
        <f t="shared" si="348"/>
        <v>-4.5120435280469544E-2</v>
      </c>
      <c r="AD368" s="357">
        <f t="shared" si="349"/>
        <v>-5.8840500022933465E-2</v>
      </c>
      <c r="AE368" s="574">
        <f t="shared" si="350"/>
        <v>-5.8840500022933465E-2</v>
      </c>
      <c r="AG368" s="591">
        <f t="shared" si="351"/>
        <v>-2.1472074677567957E-2</v>
      </c>
      <c r="AH368" s="357">
        <f t="shared" si="352"/>
        <v>9.1793148889178264E-2</v>
      </c>
      <c r="AI368" s="357">
        <f t="shared" si="353"/>
        <v>6.2657870633961596E-2</v>
      </c>
      <c r="AJ368" s="357">
        <f t="shared" si="354"/>
        <v>5.0657471983222291E-2</v>
      </c>
      <c r="AK368" s="357">
        <f t="shared" si="355"/>
        <v>-2.8434695263588779E-2</v>
      </c>
      <c r="AL368" s="357">
        <f t="shared" si="356"/>
        <v>-8.7804140053830693E-3</v>
      </c>
      <c r="AM368" s="357">
        <f t="shared" si="357"/>
        <v>-4.4288293793924384E-2</v>
      </c>
      <c r="AN368" s="357">
        <f t="shared" si="358"/>
        <v>-5.7123786391464523E-2</v>
      </c>
      <c r="AO368" s="574">
        <f t="shared" si="359"/>
        <v>-5.7088145181809519E-2</v>
      </c>
    </row>
    <row r="369" spans="2:41" x14ac:dyDescent="0.25">
      <c r="B369" s="449">
        <v>44915</v>
      </c>
      <c r="C369">
        <v>56</v>
      </c>
      <c r="D369">
        <v>69</v>
      </c>
      <c r="E369">
        <v>70</v>
      </c>
      <c r="F369">
        <v>71</v>
      </c>
      <c r="G369">
        <v>85</v>
      </c>
      <c r="H369">
        <v>115</v>
      </c>
      <c r="I369">
        <v>130</v>
      </c>
      <c r="J369">
        <v>132</v>
      </c>
      <c r="K369" s="573">
        <v>132</v>
      </c>
      <c r="M369" s="591">
        <f t="shared" si="333"/>
        <v>0</v>
      </c>
      <c r="N369" s="357">
        <f t="shared" si="334"/>
        <v>0</v>
      </c>
      <c r="O369" s="357">
        <f t="shared" si="335"/>
        <v>0</v>
      </c>
      <c r="P369" s="357">
        <f t="shared" si="336"/>
        <v>1.4285714285714235E-2</v>
      </c>
      <c r="Q369" s="357">
        <f t="shared" si="337"/>
        <v>-4.49438202247191E-2</v>
      </c>
      <c r="R369" s="357">
        <f t="shared" si="338"/>
        <v>-3.3613445378151252E-2</v>
      </c>
      <c r="S369" s="357">
        <f t="shared" si="339"/>
        <v>0</v>
      </c>
      <c r="T369" s="357">
        <f t="shared" si="340"/>
        <v>0</v>
      </c>
      <c r="U369" s="574">
        <f t="shared" si="341"/>
        <v>0</v>
      </c>
      <c r="W369" s="591">
        <f t="shared" si="342"/>
        <v>0</v>
      </c>
      <c r="X369" s="357">
        <f t="shared" si="343"/>
        <v>0</v>
      </c>
      <c r="Y369" s="357">
        <f t="shared" si="344"/>
        <v>0</v>
      </c>
      <c r="Z369" s="357">
        <f t="shared" si="345"/>
        <v>1.4184634991956381E-2</v>
      </c>
      <c r="AA369" s="357">
        <f t="shared" si="346"/>
        <v>-4.5985113241823382E-2</v>
      </c>
      <c r="AB369" s="357">
        <f t="shared" si="347"/>
        <v>-3.4191364748279308E-2</v>
      </c>
      <c r="AC369" s="357">
        <f t="shared" si="348"/>
        <v>0</v>
      </c>
      <c r="AD369" s="357">
        <f t="shared" si="349"/>
        <v>0</v>
      </c>
      <c r="AE369" s="574">
        <f t="shared" si="350"/>
        <v>0</v>
      </c>
      <c r="AG369" s="591">
        <f t="shared" si="351"/>
        <v>-2.1472074677567957E-2</v>
      </c>
      <c r="AH369" s="357">
        <f t="shared" si="352"/>
        <v>-2.1110076917273252E-2</v>
      </c>
      <c r="AI369" s="357">
        <f t="shared" si="353"/>
        <v>-1.4265206289115274E-2</v>
      </c>
      <c r="AJ369" s="357">
        <f t="shared" si="354"/>
        <v>4.3371256628759701E-3</v>
      </c>
      <c r="AK369" s="357">
        <f t="shared" si="355"/>
        <v>-5.1400493510285868E-2</v>
      </c>
      <c r="AL369" s="357">
        <f t="shared" si="356"/>
        <v>-3.4060526050201018E-2</v>
      </c>
      <c r="AM369" s="357">
        <f t="shared" si="357"/>
        <v>-1.7064673510089895E-4</v>
      </c>
      <c r="AN369" s="357">
        <f t="shared" si="358"/>
        <v>1.9070751392640699E-5</v>
      </c>
      <c r="AO369" s="574">
        <f t="shared" si="359"/>
        <v>5.4711961047645428E-5</v>
      </c>
    </row>
  </sheetData>
  <mergeCells count="9">
    <mergeCell ref="BD2:BN2"/>
    <mergeCell ref="BD14:BN14"/>
    <mergeCell ref="AQ17:AZ17"/>
    <mergeCell ref="BD6:BD8"/>
    <mergeCell ref="B6:K6"/>
    <mergeCell ref="M6:U6"/>
    <mergeCell ref="W6:AE6"/>
    <mergeCell ref="AG6:AO6"/>
    <mergeCell ref="AQ2:AZ2"/>
  </mergeCells>
  <conditionalFormatting sqref="AT31:AT32">
    <cfRule type="cellIs" dxfId="56" priority="23" operator="notEqual">
      <formula>"OK"</formula>
    </cfRule>
    <cfRule type="cellIs" dxfId="55" priority="24" operator="equal">
      <formula>"OK"</formula>
    </cfRule>
  </conditionalFormatting>
  <conditionalFormatting sqref="AR62:AW62">
    <cfRule type="cellIs" dxfId="54" priority="21" operator="notEqual">
      <formula>TRUE</formula>
    </cfRule>
    <cfRule type="cellIs" dxfId="53" priority="22" operator="equal">
      <formula>TRUE</formula>
    </cfRule>
  </conditionalFormatting>
  <conditionalFormatting sqref="BB15">
    <cfRule type="cellIs" dxfId="52" priority="19" operator="notEqual">
      <formula>TRUE</formula>
    </cfRule>
    <cfRule type="cellIs" dxfId="51" priority="20" operator="equal">
      <formula>TRUE</formula>
    </cfRule>
  </conditionalFormatting>
  <conditionalFormatting sqref="BP27">
    <cfRule type="cellIs" dxfId="50" priority="13" operator="notEqual">
      <formula>TRUE</formula>
    </cfRule>
    <cfRule type="cellIs" dxfId="49" priority="14" operator="equal">
      <formula>TRUE</formula>
    </cfRule>
  </conditionalFormatting>
  <conditionalFormatting sqref="BP17">
    <cfRule type="cellIs" dxfId="48" priority="11" operator="notEqual">
      <formula>TRUE</formula>
    </cfRule>
    <cfRule type="cellIs" dxfId="47" priority="12" operator="equal">
      <formula>TRUE</formula>
    </cfRule>
  </conditionalFormatting>
  <conditionalFormatting sqref="AR70:AW70">
    <cfRule type="cellIs" dxfId="46" priority="9" operator="notEqual">
      <formula>TRUE</formula>
    </cfRule>
    <cfRule type="cellIs" dxfId="45" priority="10" operator="equal">
      <formula>TRUE</formula>
    </cfRule>
  </conditionalFormatting>
  <conditionalFormatting sqref="BP6">
    <cfRule type="cellIs" dxfId="44" priority="7" operator="notEqual">
      <formula>TRUE</formula>
    </cfRule>
    <cfRule type="cellIs" dxfId="43" priority="8" operator="equal">
      <formula>TRUE</formula>
    </cfRule>
  </conditionalFormatting>
  <conditionalFormatting sqref="BP10">
    <cfRule type="cellIs" dxfId="42" priority="5" operator="notEqual">
      <formula>TRUE</formula>
    </cfRule>
    <cfRule type="cellIs" dxfId="41" priority="6" operator="equal">
      <formula>TRUE</formula>
    </cfRule>
  </conditionalFormatting>
  <conditionalFormatting sqref="AX62:AZ62">
    <cfRule type="cellIs" dxfId="40" priority="3" operator="notEqual">
      <formula>TRUE</formula>
    </cfRule>
    <cfRule type="cellIs" dxfId="39" priority="4" operator="equal">
      <formula>TRUE</formula>
    </cfRule>
  </conditionalFormatting>
  <conditionalFormatting sqref="AX70:AZ70">
    <cfRule type="cellIs" dxfId="38" priority="1" operator="notEqual">
      <formula>TRUE</formula>
    </cfRule>
    <cfRule type="cellIs" dxfId="37" priority="2" operator="equal">
      <formula>TRUE</formula>
    </cfRule>
  </conditionalFormatting>
  <pageMargins left="0.7" right="0.7" top="0.75" bottom="0.75" header="0.3" footer="0.3"/>
  <pageSetup paperSize="9" orientation="portrait" horizontalDpi="200" verticalDpi="20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"/>
  <dimension ref="A1:N18"/>
  <sheetViews>
    <sheetView showGridLines="0" workbookViewId="0">
      <selection activeCell="K10" sqref="K10"/>
    </sheetView>
  </sheetViews>
  <sheetFormatPr defaultRowHeight="15" x14ac:dyDescent="0.25"/>
  <cols>
    <col min="1" max="1" width="10.7109375" bestFit="1" customWidth="1"/>
    <col min="2" max="2" width="4" customWidth="1"/>
    <col min="3" max="3" width="12.42578125" style="2" bestFit="1" customWidth="1"/>
    <col min="4" max="4" width="2.5703125" style="2" bestFit="1" customWidth="1"/>
    <col min="5" max="5" width="12.42578125" style="2" bestFit="1" customWidth="1"/>
    <col min="6" max="6" width="2.5703125" style="2" customWidth="1"/>
    <col min="7" max="7" width="13.28515625" style="2" customWidth="1"/>
    <col min="8" max="8" width="2.5703125" style="2" customWidth="1"/>
    <col min="9" max="9" width="19" style="2" customWidth="1"/>
    <col min="10" max="10" width="3.140625" style="2" bestFit="1" customWidth="1"/>
    <col min="11" max="11" width="20.5703125" style="2" bestFit="1" customWidth="1"/>
    <col min="12" max="12" width="5.140625" style="2" customWidth="1"/>
    <col min="13" max="13" width="26" style="2" bestFit="1" customWidth="1"/>
    <col min="14" max="14" width="8.140625" bestFit="1" customWidth="1"/>
  </cols>
  <sheetData>
    <row r="1" spans="1:14" ht="18.75" x14ac:dyDescent="0.3">
      <c r="A1" s="305" t="b">
        <f ca="1">C2=C3</f>
        <v>1</v>
      </c>
    </row>
    <row r="2" spans="1:14" x14ac:dyDescent="0.25">
      <c r="C2" s="295">
        <f ca="1">SUM(C4:N4)</f>
        <v>6</v>
      </c>
      <c r="D2" s="296"/>
      <c r="E2" s="314"/>
      <c r="F2" s="314"/>
      <c r="G2" s="314"/>
      <c r="H2" s="314"/>
      <c r="I2" s="296"/>
      <c r="J2" s="296"/>
      <c r="K2" s="296"/>
      <c r="L2" s="296"/>
      <c r="M2" s="296"/>
      <c r="N2" s="297"/>
    </row>
    <row r="3" spans="1:14" x14ac:dyDescent="0.25">
      <c r="C3" s="298">
        <f ca="1">COUNTA(C5:N5)</f>
        <v>6</v>
      </c>
      <c r="D3" s="299"/>
      <c r="E3" s="299"/>
      <c r="F3" s="299"/>
      <c r="G3" s="299"/>
      <c r="H3" s="299"/>
      <c r="I3" s="299"/>
      <c r="J3" s="299"/>
      <c r="K3" s="299"/>
      <c r="L3" s="299"/>
      <c r="M3" s="299"/>
      <c r="N3" s="300"/>
    </row>
    <row r="4" spans="1:14" x14ac:dyDescent="0.25">
      <c r="A4" s="594"/>
      <c r="C4" s="298">
        <f>IF(C5=TRUE,1,0)</f>
        <v>1</v>
      </c>
      <c r="D4" s="299">
        <f t="shared" ref="D4:N4" si="0">IF(D5=TRUE,1,0)</f>
        <v>0</v>
      </c>
      <c r="E4" s="299">
        <f t="shared" si="0"/>
        <v>1</v>
      </c>
      <c r="F4" s="299">
        <f t="shared" si="0"/>
        <v>0</v>
      </c>
      <c r="G4" s="299">
        <f>IF(G5=TRUE,1,0)</f>
        <v>1</v>
      </c>
      <c r="H4" s="299">
        <f>IF(H5=TRUE,1,0)</f>
        <v>0</v>
      </c>
      <c r="I4" s="299">
        <f>IF(I5=TRUE,1,0)</f>
        <v>1</v>
      </c>
      <c r="J4" s="299">
        <f>IF(J5=TRUE,1,0)</f>
        <v>0</v>
      </c>
      <c r="K4" s="299">
        <f t="shared" ca="1" si="0"/>
        <v>1</v>
      </c>
      <c r="L4" s="299">
        <f t="shared" si="0"/>
        <v>0</v>
      </c>
      <c r="M4" s="299">
        <f t="shared" si="0"/>
        <v>1</v>
      </c>
      <c r="N4" s="301">
        <f t="shared" si="0"/>
        <v>0</v>
      </c>
    </row>
    <row r="5" spans="1:14" x14ac:dyDescent="0.25">
      <c r="C5" s="276" t="b">
        <f>C6=D6</f>
        <v>1</v>
      </c>
      <c r="E5" s="2" t="b">
        <f>E6=F6</f>
        <v>1</v>
      </c>
      <c r="G5" s="2" t="b">
        <f>G6=H6</f>
        <v>1</v>
      </c>
      <c r="I5" s="2" t="b">
        <f>I6=J6</f>
        <v>1</v>
      </c>
      <c r="K5" s="2" t="b">
        <f ca="1">K6=L6</f>
        <v>1</v>
      </c>
      <c r="M5" s="2" t="b">
        <f>M6=N6</f>
        <v>1</v>
      </c>
      <c r="N5" s="277"/>
    </row>
    <row r="6" spans="1:14" x14ac:dyDescent="0.25">
      <c r="C6" s="298">
        <f>COUNTA(C8:C18)</f>
        <v>5</v>
      </c>
      <c r="D6" s="299">
        <f>SUM(D7:D18)</f>
        <v>5</v>
      </c>
      <c r="E6" s="299">
        <f t="shared" ref="E6:M6" si="1">COUNTA(E8:E18)</f>
        <v>1</v>
      </c>
      <c r="F6" s="299">
        <f>SUM(F7:F18)</f>
        <v>1</v>
      </c>
      <c r="G6" s="299">
        <f t="shared" si="1"/>
        <v>1</v>
      </c>
      <c r="H6" s="299">
        <f>SUM(H7:H18)</f>
        <v>1</v>
      </c>
      <c r="I6" s="299">
        <f t="shared" si="1"/>
        <v>1</v>
      </c>
      <c r="J6" s="299">
        <f>SUM(J7:J18)</f>
        <v>1</v>
      </c>
      <c r="K6" s="299">
        <f t="shared" ca="1" si="1"/>
        <v>11</v>
      </c>
      <c r="L6" s="299">
        <f ca="1">SUM(L7:L18)</f>
        <v>11</v>
      </c>
      <c r="M6" s="299">
        <f t="shared" si="1"/>
        <v>3</v>
      </c>
      <c r="N6" s="301">
        <f>SUM(N7:N18)</f>
        <v>3</v>
      </c>
    </row>
    <row r="7" spans="1:14" x14ac:dyDescent="0.25">
      <c r="C7" s="302" t="s">
        <v>308</v>
      </c>
      <c r="D7" s="99"/>
      <c r="E7" s="99" t="s">
        <v>340</v>
      </c>
      <c r="F7" s="99"/>
      <c r="G7" s="99" t="s">
        <v>234</v>
      </c>
      <c r="H7" s="99"/>
      <c r="I7" s="99" t="s">
        <v>317</v>
      </c>
      <c r="J7" s="99"/>
      <c r="K7" s="99" t="s">
        <v>307</v>
      </c>
      <c r="L7" s="99"/>
      <c r="M7" s="99" t="s">
        <v>383</v>
      </c>
      <c r="N7" s="277"/>
    </row>
    <row r="8" spans="1:14" x14ac:dyDescent="0.25">
      <c r="C8" s="276" t="b">
        <f>RESULTADO!B39</f>
        <v>1</v>
      </c>
      <c r="D8" s="299">
        <f>IF(C8=TRUE,1,0)</f>
        <v>1</v>
      </c>
      <c r="E8" s="2" t="b">
        <f>'GPH-VAR PAR'!H54</f>
        <v>1</v>
      </c>
      <c r="F8" s="299">
        <f>IF(E8=TRUE,1,0)</f>
        <v>1</v>
      </c>
      <c r="G8" s="2" t="b">
        <f>RELEASES!N2</f>
        <v>1</v>
      </c>
      <c r="H8" s="299">
        <f>IF(G8=TRUE,1,0)</f>
        <v>1</v>
      </c>
      <c r="I8" s="2" t="b">
        <f>'GPH-VOL'!B29</f>
        <v>1</v>
      </c>
      <c r="J8" s="299">
        <f>IF(I8=TRUE,1,0)</f>
        <v>1</v>
      </c>
      <c r="K8" s="2" t="b">
        <f>'VaR-Covar Matrix_FPC BER'!BP6</f>
        <v>1</v>
      </c>
      <c r="L8" s="299">
        <f>IF(K8=TRUE,1,0)</f>
        <v>1</v>
      </c>
      <c r="M8" s="2" t="b">
        <v>1</v>
      </c>
      <c r="N8" s="301">
        <f>IF(M8=TRUE,1,0)</f>
        <v>1</v>
      </c>
    </row>
    <row r="9" spans="1:14" x14ac:dyDescent="0.25">
      <c r="C9" s="276" t="b">
        <f>RESULTADO!BN39</f>
        <v>1</v>
      </c>
      <c r="D9" s="299">
        <f t="shared" ref="D9:D12" si="2">IF(C9=TRUE,1,0)</f>
        <v>1</v>
      </c>
      <c r="F9" s="299"/>
      <c r="G9"/>
      <c r="H9"/>
      <c r="J9" s="299"/>
      <c r="K9" s="2" t="b">
        <f>'VaR-Covar Matrix_FPC BER'!BP10</f>
        <v>1</v>
      </c>
      <c r="L9" s="299">
        <f t="shared" ref="L9:L18" si="3">IF(K9=TRUE,1,0)</f>
        <v>1</v>
      </c>
      <c r="M9" s="2" t="b">
        <v>1</v>
      </c>
      <c r="N9" s="301">
        <f>IF(M9=TRUE,1,0)</f>
        <v>1</v>
      </c>
    </row>
    <row r="10" spans="1:14" x14ac:dyDescent="0.25">
      <c r="C10" s="276" t="b">
        <f>RESULTADO!B77</f>
        <v>1</v>
      </c>
      <c r="D10" s="299">
        <f t="shared" si="2"/>
        <v>1</v>
      </c>
      <c r="E10" s="299"/>
      <c r="F10" s="299"/>
      <c r="G10"/>
      <c r="H10"/>
      <c r="J10" s="299"/>
      <c r="K10" s="2" t="b">
        <f>'VaR-Covar Matrix_FPC BER'!BP17</f>
        <v>1</v>
      </c>
      <c r="L10" s="299">
        <f t="shared" si="3"/>
        <v>1</v>
      </c>
      <c r="M10" s="2" t="b">
        <v>1</v>
      </c>
      <c r="N10" s="301">
        <f>IF(OR(M10=TRUE,M10="Verdadeiro",M10="True"),1,0)</f>
        <v>1</v>
      </c>
    </row>
    <row r="11" spans="1:14" x14ac:dyDescent="0.25">
      <c r="C11" s="276" t="b">
        <f>RESULTADO!BN77</f>
        <v>1</v>
      </c>
      <c r="D11" s="299">
        <f t="shared" si="2"/>
        <v>1</v>
      </c>
      <c r="E11" s="299"/>
      <c r="F11" s="299"/>
      <c r="J11" s="299"/>
      <c r="K11" s="2" t="b">
        <f>'VaR-Covar Matrix_FPC BER'!BP27</f>
        <v>1</v>
      </c>
      <c r="L11" s="299">
        <f t="shared" si="3"/>
        <v>1</v>
      </c>
      <c r="N11" s="301"/>
    </row>
    <row r="12" spans="1:14" x14ac:dyDescent="0.25">
      <c r="C12" s="276" t="b">
        <f>RESULTADO!B94</f>
        <v>1</v>
      </c>
      <c r="D12" s="299">
        <f t="shared" si="2"/>
        <v>1</v>
      </c>
      <c r="E12" s="299"/>
      <c r="F12" s="299"/>
      <c r="J12" s="299"/>
      <c r="K12" s="2" t="b">
        <f ca="1">'VaR-Covar Matrix_FPC BER'!AR62</f>
        <v>1</v>
      </c>
      <c r="L12" s="299">
        <f t="shared" ca="1" si="3"/>
        <v>1</v>
      </c>
      <c r="N12" s="301"/>
    </row>
    <row r="13" spans="1:14" x14ac:dyDescent="0.25">
      <c r="C13" s="276"/>
      <c r="J13" s="299"/>
      <c r="K13" s="2" t="b">
        <f ca="1">'VaR-Covar Matrix_FPC BER'!AS62</f>
        <v>1</v>
      </c>
      <c r="L13" s="299">
        <f t="shared" ca="1" si="3"/>
        <v>1</v>
      </c>
      <c r="N13" s="301"/>
    </row>
    <row r="14" spans="1:14" x14ac:dyDescent="0.25">
      <c r="C14" s="276"/>
      <c r="J14" s="299"/>
      <c r="K14" s="2" t="b">
        <f ca="1">'VaR-Covar Matrix_FPC BER'!AT62</f>
        <v>1</v>
      </c>
      <c r="L14" s="299">
        <f t="shared" ca="1" si="3"/>
        <v>1</v>
      </c>
      <c r="N14" s="301"/>
    </row>
    <row r="15" spans="1:14" x14ac:dyDescent="0.25">
      <c r="C15" s="276"/>
      <c r="J15" s="299"/>
      <c r="K15" s="2" t="b">
        <f ca="1">'VaR-Covar Matrix_FPC BER'!AU62</f>
        <v>1</v>
      </c>
      <c r="L15" s="299">
        <f t="shared" ca="1" si="3"/>
        <v>1</v>
      </c>
      <c r="N15" s="301"/>
    </row>
    <row r="16" spans="1:14" x14ac:dyDescent="0.25">
      <c r="C16" s="276"/>
      <c r="J16" s="299"/>
      <c r="K16" s="2" t="b">
        <f ca="1">'VaR-Covar Matrix_FPC BER'!AV62</f>
        <v>1</v>
      </c>
      <c r="L16" s="299">
        <f t="shared" ca="1" si="3"/>
        <v>1</v>
      </c>
      <c r="N16" s="301"/>
    </row>
    <row r="17" spans="3:14" x14ac:dyDescent="0.25">
      <c r="C17" s="276"/>
      <c r="J17" s="299"/>
      <c r="K17" s="2" t="b">
        <f ca="1">'VaR-Covar Matrix_FPC BER'!AW62</f>
        <v>1</v>
      </c>
      <c r="L17" s="299">
        <f t="shared" ca="1" si="3"/>
        <v>1</v>
      </c>
      <c r="N17" s="301"/>
    </row>
    <row r="18" spans="3:14" x14ac:dyDescent="0.25">
      <c r="C18" s="278"/>
      <c r="D18" s="275"/>
      <c r="E18" s="275"/>
      <c r="F18" s="275"/>
      <c r="G18" s="275"/>
      <c r="H18" s="275"/>
      <c r="I18" s="275"/>
      <c r="J18" s="303"/>
      <c r="K18" s="275" t="b">
        <f>'VaR-Covar Matrix_FPC BER'!BB15</f>
        <v>1</v>
      </c>
      <c r="L18" s="303">
        <f t="shared" si="3"/>
        <v>1</v>
      </c>
      <c r="M18" s="275"/>
      <c r="N18" s="304"/>
    </row>
  </sheetData>
  <sheetProtection algorithmName="SHA-512" hashValue="8jWxj7NUVjOmQluJ92mvlaI1ueg9yAlzhAWO8uWZAEqsEqNf6JoI2cams3k055rUXplDfmlqd4TUSGAnAKwkfQ==" saltValue="fbPajOCXRRcmBhZVTr3E2g==" spinCount="100000" sheet="1" objects="1" scenarios="1"/>
  <conditionalFormatting sqref="C5">
    <cfRule type="cellIs" dxfId="36" priority="43" operator="notEqual">
      <formula>TRUE</formula>
    </cfRule>
    <cfRule type="cellIs" dxfId="35" priority="44" operator="equal">
      <formula>TRUE</formula>
    </cfRule>
  </conditionalFormatting>
  <conditionalFormatting sqref="C8:C12">
    <cfRule type="cellIs" dxfId="34" priority="41" operator="notEqual">
      <formula>TRUE</formula>
    </cfRule>
    <cfRule type="cellIs" dxfId="33" priority="42" operator="equal">
      <formula>TRUE</formula>
    </cfRule>
  </conditionalFormatting>
  <conditionalFormatting sqref="K5">
    <cfRule type="cellIs" dxfId="32" priority="31" operator="notEqual">
      <formula>TRUE</formula>
    </cfRule>
    <cfRule type="cellIs" dxfId="31" priority="32" operator="equal">
      <formula>TRUE</formula>
    </cfRule>
  </conditionalFormatting>
  <conditionalFormatting sqref="K8:K18">
    <cfRule type="cellIs" dxfId="30" priority="29" operator="notEqual">
      <formula>TRUE</formula>
    </cfRule>
    <cfRule type="cellIs" dxfId="29" priority="30" operator="equal">
      <formula>TRUE</formula>
    </cfRule>
  </conditionalFormatting>
  <conditionalFormatting sqref="A1">
    <cfRule type="cellIs" dxfId="28" priority="27" operator="notEqual">
      <formula>TRUE</formula>
    </cfRule>
    <cfRule type="cellIs" dxfId="27" priority="28" operator="equal">
      <formula>TRUE</formula>
    </cfRule>
  </conditionalFormatting>
  <conditionalFormatting sqref="I8:I18">
    <cfRule type="cellIs" dxfId="26" priority="23" operator="notEqual">
      <formula>TRUE</formula>
    </cfRule>
    <cfRule type="cellIs" dxfId="25" priority="24" operator="equal">
      <formula>TRUE</formula>
    </cfRule>
  </conditionalFormatting>
  <conditionalFormatting sqref="I5">
    <cfRule type="cellIs" dxfId="24" priority="21" operator="notEqual">
      <formula>TRUE</formula>
    </cfRule>
    <cfRule type="cellIs" dxfId="23" priority="22" operator="equal">
      <formula>TRUE</formula>
    </cfRule>
  </conditionalFormatting>
  <conditionalFormatting sqref="G8">
    <cfRule type="cellIs" dxfId="22" priority="19" operator="notEqual">
      <formula>TRUE</formula>
    </cfRule>
    <cfRule type="cellIs" dxfId="21" priority="20" operator="equal">
      <formula>TRUE</formula>
    </cfRule>
  </conditionalFormatting>
  <conditionalFormatting sqref="G5">
    <cfRule type="cellIs" dxfId="20" priority="17" operator="notEqual">
      <formula>TRUE</formula>
    </cfRule>
    <cfRule type="cellIs" dxfId="19" priority="18" operator="equal">
      <formula>TRUE</formula>
    </cfRule>
  </conditionalFormatting>
  <conditionalFormatting sqref="E5">
    <cfRule type="cellIs" dxfId="18" priority="15" operator="notEqual">
      <formula>TRUE</formula>
    </cfRule>
    <cfRule type="cellIs" dxfId="17" priority="16" operator="equal">
      <formula>TRUE</formula>
    </cfRule>
  </conditionalFormatting>
  <conditionalFormatting sqref="E8:E9">
    <cfRule type="cellIs" dxfId="16" priority="13" operator="notEqual">
      <formula>TRUE</formula>
    </cfRule>
    <cfRule type="cellIs" dxfId="15" priority="14" operator="equal">
      <formula>TRUE</formula>
    </cfRule>
  </conditionalFormatting>
  <conditionalFormatting sqref="M5">
    <cfRule type="cellIs" dxfId="14" priority="9" operator="notEqual">
      <formula>TRUE</formula>
    </cfRule>
    <cfRule type="cellIs" dxfId="13" priority="10" operator="equal">
      <formula>TRUE</formula>
    </cfRule>
  </conditionalFormatting>
  <conditionalFormatting sqref="M8:M9 M11:M18">
    <cfRule type="cellIs" dxfId="12" priority="7" operator="notEqual">
      <formula>TRUE</formula>
    </cfRule>
    <cfRule type="cellIs" dxfId="11" priority="8" operator="equal">
      <formula>TRUE</formula>
    </cfRule>
  </conditionalFormatting>
  <conditionalFormatting sqref="M10">
    <cfRule type="cellIs" dxfId="10" priority="1" operator="notEqual">
      <formula>TRUE</formula>
    </cfRule>
    <cfRule type="cellIs" dxfId="9" priority="2" operator="equal">
      <formula>TRUE</formula>
    </cfRule>
  </conditionalFormatting>
  <pageMargins left="0.7" right="0.7" top="0.75" bottom="0.75" header="0.3" footer="0.3"/>
  <pageSetup paperSize="9" orientation="portrait" horizontalDpi="200" verticalDpi="200" r:id="rId1"/>
  <ignoredErrors>
    <ignoredError sqref="K8:K18" formula="1"/>
  </ignoredErrors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0"/>
  <dimension ref="A1:BC16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F16" sqref="F16"/>
    </sheetView>
  </sheetViews>
  <sheetFormatPr defaultColWidth="11.28515625" defaultRowHeight="15" x14ac:dyDescent="0.25"/>
  <sheetData>
    <row r="1" spans="1:55" s="411" customFormat="1" x14ac:dyDescent="0.25">
      <c r="A1" s="410"/>
      <c r="B1" s="492">
        <v>43647</v>
      </c>
      <c r="C1" s="492">
        <v>43678</v>
      </c>
      <c r="D1" s="492">
        <v>43709</v>
      </c>
      <c r="E1" s="492">
        <v>43739</v>
      </c>
      <c r="F1" s="492">
        <v>43770</v>
      </c>
      <c r="G1" s="492">
        <v>43800</v>
      </c>
      <c r="H1" s="492">
        <v>43831</v>
      </c>
      <c r="I1" s="492">
        <v>43862</v>
      </c>
      <c r="J1" s="492">
        <v>43891</v>
      </c>
      <c r="K1" s="492">
        <v>43922</v>
      </c>
      <c r="L1" s="492">
        <v>43952</v>
      </c>
      <c r="M1" s="492">
        <v>43983</v>
      </c>
      <c r="N1" s="492">
        <v>44013</v>
      </c>
      <c r="O1" s="492">
        <v>44044</v>
      </c>
      <c r="P1" s="492">
        <v>44075</v>
      </c>
      <c r="Q1" s="492">
        <v>44105</v>
      </c>
      <c r="R1" s="492">
        <v>44136</v>
      </c>
      <c r="S1" s="492">
        <v>44166</v>
      </c>
      <c r="T1" s="492">
        <v>44197</v>
      </c>
      <c r="U1" s="492">
        <v>44228</v>
      </c>
      <c r="V1" s="492">
        <v>44256</v>
      </c>
      <c r="W1" s="492">
        <v>44287</v>
      </c>
      <c r="X1" s="492">
        <v>44317</v>
      </c>
      <c r="Y1" s="492">
        <v>44348</v>
      </c>
      <c r="Z1" s="492">
        <v>44378</v>
      </c>
      <c r="AA1" s="492">
        <v>44409</v>
      </c>
      <c r="AB1" s="492">
        <v>44440</v>
      </c>
      <c r="AC1" s="492">
        <v>44470</v>
      </c>
      <c r="AD1" s="492">
        <v>44501</v>
      </c>
      <c r="AE1" s="492">
        <v>44531</v>
      </c>
      <c r="AF1" s="492">
        <v>44562</v>
      </c>
      <c r="AG1" s="492">
        <v>44593</v>
      </c>
      <c r="AH1" s="492">
        <v>44621</v>
      </c>
      <c r="AI1" s="492">
        <v>44652</v>
      </c>
      <c r="AJ1" s="492">
        <v>44682</v>
      </c>
      <c r="AK1" s="492">
        <v>44713</v>
      </c>
      <c r="AL1" s="492">
        <v>44743</v>
      </c>
      <c r="AM1" s="492">
        <v>44774</v>
      </c>
      <c r="AN1" s="492">
        <v>44805</v>
      </c>
      <c r="AO1" s="492">
        <v>44835</v>
      </c>
      <c r="AP1" s="492">
        <v>44866</v>
      </c>
      <c r="AQ1" s="492">
        <v>44896</v>
      </c>
      <c r="AR1" s="492">
        <v>44927</v>
      </c>
      <c r="AS1" s="492">
        <v>44958</v>
      </c>
      <c r="AT1" s="492">
        <v>44986</v>
      </c>
      <c r="AU1" s="492">
        <v>45017</v>
      </c>
      <c r="AV1" s="492">
        <v>45047</v>
      </c>
      <c r="AW1" s="492">
        <v>45078</v>
      </c>
      <c r="AX1" s="492">
        <v>45108</v>
      </c>
      <c r="AY1" s="492">
        <v>45139</v>
      </c>
      <c r="AZ1" s="492">
        <v>45170</v>
      </c>
      <c r="BA1" s="492">
        <v>45200</v>
      </c>
      <c r="BB1" s="492">
        <v>45231</v>
      </c>
      <c r="BC1" s="492">
        <v>45261</v>
      </c>
    </row>
    <row r="2" spans="1:55" s="411" customFormat="1" x14ac:dyDescent="0.25">
      <c r="A2" s="412" t="s">
        <v>25</v>
      </c>
      <c r="B2" s="575">
        <v>43647</v>
      </c>
      <c r="C2" s="575">
        <v>43678</v>
      </c>
      <c r="D2" s="575">
        <v>43709</v>
      </c>
      <c r="E2" s="575">
        <v>43739</v>
      </c>
      <c r="F2" s="575">
        <v>43770</v>
      </c>
      <c r="G2" s="575">
        <v>43800</v>
      </c>
      <c r="H2" s="576">
        <v>43831</v>
      </c>
      <c r="I2" s="576">
        <v>43862</v>
      </c>
      <c r="J2" s="576">
        <v>43891</v>
      </c>
      <c r="K2" s="576">
        <v>43922</v>
      </c>
      <c r="L2" s="576">
        <v>43952</v>
      </c>
      <c r="M2" s="576">
        <v>43983</v>
      </c>
      <c r="N2" s="576">
        <v>44013</v>
      </c>
      <c r="O2" s="576">
        <v>44044</v>
      </c>
      <c r="P2" s="576">
        <v>44075</v>
      </c>
      <c r="Q2" s="576">
        <v>44105</v>
      </c>
      <c r="R2" s="576">
        <v>44136</v>
      </c>
      <c r="S2" s="576">
        <v>44166</v>
      </c>
      <c r="T2" s="577">
        <v>44197</v>
      </c>
      <c r="U2" s="577">
        <v>44228</v>
      </c>
      <c r="V2" s="577">
        <v>44256</v>
      </c>
      <c r="W2" s="577">
        <v>44287</v>
      </c>
      <c r="X2" s="577">
        <v>44317</v>
      </c>
      <c r="Y2" s="577">
        <v>44348</v>
      </c>
      <c r="Z2" s="577">
        <v>44378</v>
      </c>
      <c r="AA2" s="577">
        <v>44409</v>
      </c>
      <c r="AB2" s="577">
        <v>44440</v>
      </c>
      <c r="AC2" s="577">
        <v>44470</v>
      </c>
      <c r="AD2" s="577">
        <v>44501</v>
      </c>
      <c r="AE2" s="577">
        <v>44531</v>
      </c>
      <c r="AF2" s="578">
        <v>44562</v>
      </c>
      <c r="AG2" s="578">
        <v>44593</v>
      </c>
      <c r="AH2" s="578">
        <v>44621</v>
      </c>
      <c r="AI2" s="578">
        <v>44652</v>
      </c>
      <c r="AJ2" s="578">
        <v>44682</v>
      </c>
      <c r="AK2" s="578">
        <v>44713</v>
      </c>
      <c r="AL2" s="578">
        <v>44743</v>
      </c>
      <c r="AM2" s="578">
        <v>44774</v>
      </c>
      <c r="AN2" s="578">
        <v>44805</v>
      </c>
      <c r="AO2" s="578">
        <v>44835</v>
      </c>
      <c r="AP2" s="578">
        <v>44866</v>
      </c>
      <c r="AQ2" s="578">
        <v>44896</v>
      </c>
      <c r="AR2" s="579">
        <v>44927</v>
      </c>
      <c r="AS2" s="579">
        <v>44958</v>
      </c>
      <c r="AT2" s="579">
        <v>44986</v>
      </c>
      <c r="AU2" s="579">
        <v>45017</v>
      </c>
      <c r="AV2" s="579">
        <v>45047</v>
      </c>
      <c r="AW2" s="579">
        <v>45078</v>
      </c>
      <c r="AX2" s="579">
        <v>45108</v>
      </c>
      <c r="AY2" s="579">
        <v>45139</v>
      </c>
      <c r="AZ2" s="579">
        <v>45170</v>
      </c>
      <c r="BA2" s="579">
        <v>45200</v>
      </c>
      <c r="BB2" s="579">
        <v>45231</v>
      </c>
      <c r="BC2" s="579">
        <v>45261</v>
      </c>
    </row>
    <row r="3" spans="1:55" s="411" customFormat="1" x14ac:dyDescent="0.25">
      <c r="A3" s="412" t="s">
        <v>26</v>
      </c>
      <c r="B3" s="575">
        <v>43678</v>
      </c>
      <c r="C3" s="575">
        <v>43709</v>
      </c>
      <c r="D3" s="575">
        <v>43739</v>
      </c>
      <c r="E3" s="575">
        <v>43770</v>
      </c>
      <c r="F3" s="575">
        <v>43800</v>
      </c>
      <c r="G3" s="576">
        <v>43831</v>
      </c>
      <c r="H3" s="576">
        <v>43862</v>
      </c>
      <c r="I3" s="576">
        <v>43891</v>
      </c>
      <c r="J3" s="576">
        <v>43922</v>
      </c>
      <c r="K3" s="576">
        <v>43952</v>
      </c>
      <c r="L3" s="576">
        <v>43983</v>
      </c>
      <c r="M3" s="576">
        <v>44013</v>
      </c>
      <c r="N3" s="576">
        <v>44044</v>
      </c>
      <c r="O3" s="576">
        <v>44075</v>
      </c>
      <c r="P3" s="576">
        <v>44105</v>
      </c>
      <c r="Q3" s="576">
        <v>44136</v>
      </c>
      <c r="R3" s="576">
        <v>44166</v>
      </c>
      <c r="S3" s="577">
        <v>44197</v>
      </c>
      <c r="T3" s="577">
        <v>44228</v>
      </c>
      <c r="U3" s="577">
        <v>44256</v>
      </c>
      <c r="V3" s="577">
        <v>44287</v>
      </c>
      <c r="W3" s="577">
        <v>44317</v>
      </c>
      <c r="X3" s="577">
        <v>44348</v>
      </c>
      <c r="Y3" s="577">
        <v>44378</v>
      </c>
      <c r="Z3" s="577">
        <v>44409</v>
      </c>
      <c r="AA3" s="577">
        <v>44440</v>
      </c>
      <c r="AB3" s="577">
        <v>44470</v>
      </c>
      <c r="AC3" s="577">
        <v>44501</v>
      </c>
      <c r="AD3" s="577">
        <v>44531</v>
      </c>
      <c r="AE3" s="578">
        <v>44562</v>
      </c>
      <c r="AF3" s="578">
        <v>44593</v>
      </c>
      <c r="AG3" s="578">
        <v>44621</v>
      </c>
      <c r="AH3" s="578">
        <v>44652</v>
      </c>
      <c r="AI3" s="578">
        <v>44682</v>
      </c>
      <c r="AJ3" s="578">
        <v>44713</v>
      </c>
      <c r="AK3" s="578">
        <v>44743</v>
      </c>
      <c r="AL3" s="578">
        <v>44774</v>
      </c>
      <c r="AM3" s="578">
        <v>44805</v>
      </c>
      <c r="AN3" s="578">
        <v>44835</v>
      </c>
      <c r="AO3" s="578">
        <v>44866</v>
      </c>
      <c r="AP3" s="578">
        <v>44896</v>
      </c>
      <c r="AQ3" s="579">
        <v>44927</v>
      </c>
      <c r="AR3" s="579">
        <v>44958</v>
      </c>
      <c r="AS3" s="579">
        <v>44986</v>
      </c>
      <c r="AT3" s="579">
        <v>45017</v>
      </c>
      <c r="AU3" s="579">
        <v>45047</v>
      </c>
      <c r="AV3" s="579">
        <v>45078</v>
      </c>
      <c r="AW3" s="579">
        <v>45108</v>
      </c>
      <c r="AX3" s="579">
        <v>45139</v>
      </c>
      <c r="AY3" s="579">
        <v>45170</v>
      </c>
      <c r="AZ3" s="579">
        <v>45200</v>
      </c>
      <c r="BA3" s="579">
        <v>45231</v>
      </c>
      <c r="BB3" s="579">
        <v>45261</v>
      </c>
      <c r="BC3" s="580">
        <v>45292</v>
      </c>
    </row>
    <row r="4" spans="1:55" s="411" customFormat="1" x14ac:dyDescent="0.25">
      <c r="A4" s="412" t="s">
        <v>27</v>
      </c>
      <c r="B4" s="575">
        <v>43709</v>
      </c>
      <c r="C4" s="575">
        <v>43739</v>
      </c>
      <c r="D4" s="575">
        <v>43770</v>
      </c>
      <c r="E4" s="575">
        <v>43800</v>
      </c>
      <c r="F4" s="576">
        <v>43831</v>
      </c>
      <c r="G4" s="576">
        <v>43862</v>
      </c>
      <c r="H4" s="576">
        <v>43891</v>
      </c>
      <c r="I4" s="576">
        <v>43922</v>
      </c>
      <c r="J4" s="576">
        <v>43952</v>
      </c>
      <c r="K4" s="576">
        <v>43983</v>
      </c>
      <c r="L4" s="576">
        <v>44013</v>
      </c>
      <c r="M4" s="576">
        <v>44044</v>
      </c>
      <c r="N4" s="576">
        <v>44075</v>
      </c>
      <c r="O4" s="576">
        <v>44105</v>
      </c>
      <c r="P4" s="576">
        <v>44136</v>
      </c>
      <c r="Q4" s="576">
        <v>44166</v>
      </c>
      <c r="R4" s="577">
        <v>44197</v>
      </c>
      <c r="S4" s="577">
        <v>44228</v>
      </c>
      <c r="T4" s="577">
        <v>44256</v>
      </c>
      <c r="U4" s="577">
        <v>44287</v>
      </c>
      <c r="V4" s="577">
        <v>44317</v>
      </c>
      <c r="W4" s="577">
        <v>44348</v>
      </c>
      <c r="X4" s="577">
        <v>44378</v>
      </c>
      <c r="Y4" s="577">
        <v>44409</v>
      </c>
      <c r="Z4" s="577">
        <v>44440</v>
      </c>
      <c r="AA4" s="577">
        <v>44470</v>
      </c>
      <c r="AB4" s="577">
        <v>44501</v>
      </c>
      <c r="AC4" s="577">
        <v>44531</v>
      </c>
      <c r="AD4" s="578">
        <v>44562</v>
      </c>
      <c r="AE4" s="578">
        <v>44593</v>
      </c>
      <c r="AF4" s="578">
        <v>44621</v>
      </c>
      <c r="AG4" s="578">
        <v>44652</v>
      </c>
      <c r="AH4" s="578">
        <v>44682</v>
      </c>
      <c r="AI4" s="578">
        <v>44713</v>
      </c>
      <c r="AJ4" s="578">
        <v>44743</v>
      </c>
      <c r="AK4" s="578">
        <v>44774</v>
      </c>
      <c r="AL4" s="578">
        <v>44805</v>
      </c>
      <c r="AM4" s="578">
        <v>44835</v>
      </c>
      <c r="AN4" s="578">
        <v>44866</v>
      </c>
      <c r="AO4" s="578">
        <v>44896</v>
      </c>
      <c r="AP4" s="579">
        <v>44927</v>
      </c>
      <c r="AQ4" s="579">
        <v>44958</v>
      </c>
      <c r="AR4" s="579">
        <v>44986</v>
      </c>
      <c r="AS4" s="579">
        <v>45017</v>
      </c>
      <c r="AT4" s="579">
        <v>45047</v>
      </c>
      <c r="AU4" s="579">
        <v>45078</v>
      </c>
      <c r="AV4" s="579">
        <v>45108</v>
      </c>
      <c r="AW4" s="579">
        <v>45139</v>
      </c>
      <c r="AX4" s="579">
        <v>45170</v>
      </c>
      <c r="AY4" s="579">
        <v>45200</v>
      </c>
      <c r="AZ4" s="579">
        <v>45231</v>
      </c>
      <c r="BA4" s="579">
        <v>45261</v>
      </c>
      <c r="BB4" s="580">
        <v>45292</v>
      </c>
      <c r="BC4" s="580">
        <v>45323</v>
      </c>
    </row>
    <row r="5" spans="1:55" s="411" customFormat="1" x14ac:dyDescent="0.25">
      <c r="A5" s="412" t="s">
        <v>28</v>
      </c>
      <c r="B5" s="575">
        <v>43739</v>
      </c>
      <c r="C5" s="575">
        <v>43770</v>
      </c>
      <c r="D5" s="575">
        <v>43800</v>
      </c>
      <c r="E5" s="576">
        <v>43831</v>
      </c>
      <c r="F5" s="576">
        <v>43862</v>
      </c>
      <c r="G5" s="576">
        <v>43891</v>
      </c>
      <c r="H5" s="576">
        <v>43922</v>
      </c>
      <c r="I5" s="576">
        <v>43952</v>
      </c>
      <c r="J5" s="576">
        <v>43983</v>
      </c>
      <c r="K5" s="576">
        <v>44013</v>
      </c>
      <c r="L5" s="576">
        <v>44044</v>
      </c>
      <c r="M5" s="576">
        <v>44075</v>
      </c>
      <c r="N5" s="576">
        <v>44105</v>
      </c>
      <c r="O5" s="576">
        <v>44136</v>
      </c>
      <c r="P5" s="576">
        <v>44166</v>
      </c>
      <c r="Q5" s="577">
        <v>44197</v>
      </c>
      <c r="R5" s="577">
        <v>44228</v>
      </c>
      <c r="S5" s="577">
        <v>44256</v>
      </c>
      <c r="T5" s="577">
        <v>44287</v>
      </c>
      <c r="U5" s="577">
        <v>44317</v>
      </c>
      <c r="V5" s="577">
        <v>44348</v>
      </c>
      <c r="W5" s="577">
        <v>44378</v>
      </c>
      <c r="X5" s="577">
        <v>44409</v>
      </c>
      <c r="Y5" s="577">
        <v>44440</v>
      </c>
      <c r="Z5" s="577">
        <v>44470</v>
      </c>
      <c r="AA5" s="577">
        <v>44501</v>
      </c>
      <c r="AB5" s="577">
        <v>44531</v>
      </c>
      <c r="AC5" s="578">
        <v>44562</v>
      </c>
      <c r="AD5" s="578">
        <v>44593</v>
      </c>
      <c r="AE5" s="578">
        <v>44621</v>
      </c>
      <c r="AF5" s="578">
        <v>44652</v>
      </c>
      <c r="AG5" s="578">
        <v>44682</v>
      </c>
      <c r="AH5" s="578">
        <v>44713</v>
      </c>
      <c r="AI5" s="578">
        <v>44743</v>
      </c>
      <c r="AJ5" s="578">
        <v>44774</v>
      </c>
      <c r="AK5" s="578">
        <v>44805</v>
      </c>
      <c r="AL5" s="578">
        <v>44835</v>
      </c>
      <c r="AM5" s="578">
        <v>44866</v>
      </c>
      <c r="AN5" s="578">
        <v>44896</v>
      </c>
      <c r="AO5" s="579">
        <v>44927</v>
      </c>
      <c r="AP5" s="579">
        <v>44958</v>
      </c>
      <c r="AQ5" s="579">
        <v>44986</v>
      </c>
      <c r="AR5" s="579">
        <v>45017</v>
      </c>
      <c r="AS5" s="579">
        <v>45047</v>
      </c>
      <c r="AT5" s="579">
        <v>45078</v>
      </c>
      <c r="AU5" s="579">
        <v>45108</v>
      </c>
      <c r="AV5" s="579">
        <v>45139</v>
      </c>
      <c r="AW5" s="579">
        <v>45170</v>
      </c>
      <c r="AX5" s="579">
        <v>45200</v>
      </c>
      <c r="AY5" s="579">
        <v>45231</v>
      </c>
      <c r="AZ5" s="579">
        <v>45261</v>
      </c>
      <c r="BA5" s="580">
        <v>45292</v>
      </c>
      <c r="BB5" s="580">
        <v>45323</v>
      </c>
      <c r="BC5" s="580">
        <v>45352</v>
      </c>
    </row>
    <row r="6" spans="1:55" x14ac:dyDescent="0.25">
      <c r="A6" s="413" t="s">
        <v>29</v>
      </c>
      <c r="B6" s="414" t="s">
        <v>416</v>
      </c>
      <c r="C6" s="493" t="s">
        <v>536</v>
      </c>
      <c r="D6" s="415">
        <v>2020</v>
      </c>
      <c r="E6" s="416" t="s">
        <v>454</v>
      </c>
      <c r="F6" s="416" t="s">
        <v>417</v>
      </c>
      <c r="G6" s="416" t="s">
        <v>418</v>
      </c>
      <c r="H6" s="417" t="s">
        <v>439</v>
      </c>
      <c r="I6" s="417" t="s">
        <v>419</v>
      </c>
      <c r="J6" s="417" t="s">
        <v>420</v>
      </c>
      <c r="K6" s="417" t="s">
        <v>442</v>
      </c>
      <c r="L6" s="417" t="s">
        <v>446</v>
      </c>
      <c r="M6" s="417" t="s">
        <v>450</v>
      </c>
      <c r="N6" s="417" t="s">
        <v>421</v>
      </c>
      <c r="O6" s="581" t="s">
        <v>537</v>
      </c>
      <c r="P6" s="418">
        <v>2021</v>
      </c>
      <c r="Q6" s="419" t="s">
        <v>455</v>
      </c>
      <c r="R6" s="419" t="s">
        <v>422</v>
      </c>
      <c r="S6" s="419" t="s">
        <v>423</v>
      </c>
      <c r="T6" s="419" t="s">
        <v>415</v>
      </c>
      <c r="U6" s="419" t="s">
        <v>424</v>
      </c>
      <c r="V6" s="419" t="s">
        <v>425</v>
      </c>
      <c r="W6" s="419" t="s">
        <v>443</v>
      </c>
      <c r="X6" s="419" t="s">
        <v>447</v>
      </c>
      <c r="Y6" s="419" t="s">
        <v>451</v>
      </c>
      <c r="Z6" s="419" t="s">
        <v>426</v>
      </c>
      <c r="AA6" s="582" t="s">
        <v>538</v>
      </c>
      <c r="AB6" s="420">
        <v>2022</v>
      </c>
      <c r="AC6" s="421" t="s">
        <v>456</v>
      </c>
      <c r="AD6" s="421" t="s">
        <v>427</v>
      </c>
      <c r="AE6" s="421" t="s">
        <v>428</v>
      </c>
      <c r="AF6" s="421" t="s">
        <v>440</v>
      </c>
      <c r="AG6" s="421" t="s">
        <v>429</v>
      </c>
      <c r="AH6" s="421" t="s">
        <v>430</v>
      </c>
      <c r="AI6" s="421" t="s">
        <v>444</v>
      </c>
      <c r="AJ6" s="421" t="s">
        <v>448</v>
      </c>
      <c r="AK6" s="421" t="s">
        <v>452</v>
      </c>
      <c r="AL6" s="421" t="s">
        <v>431</v>
      </c>
      <c r="AM6" s="583">
        <v>44896</v>
      </c>
      <c r="AN6" s="422">
        <v>2023</v>
      </c>
      <c r="AO6" s="423" t="s">
        <v>457</v>
      </c>
      <c r="AP6" s="423" t="s">
        <v>432</v>
      </c>
      <c r="AQ6" s="423" t="s">
        <v>433</v>
      </c>
      <c r="AR6" s="423" t="s">
        <v>441</v>
      </c>
      <c r="AS6" s="423" t="s">
        <v>434</v>
      </c>
      <c r="AT6" s="423" t="s">
        <v>435</v>
      </c>
      <c r="AU6" s="423" t="s">
        <v>445</v>
      </c>
      <c r="AV6" s="423" t="s">
        <v>449</v>
      </c>
      <c r="AW6" s="423" t="s">
        <v>453</v>
      </c>
      <c r="AX6" s="423" t="s">
        <v>436</v>
      </c>
      <c r="AY6" s="584" t="s">
        <v>539</v>
      </c>
      <c r="AZ6" s="424">
        <v>2024</v>
      </c>
      <c r="BA6" s="425" t="s">
        <v>458</v>
      </c>
      <c r="BB6" s="425" t="s">
        <v>437</v>
      </c>
      <c r="BC6" s="425" t="s">
        <v>438</v>
      </c>
    </row>
    <row r="7" spans="1:55" x14ac:dyDescent="0.25">
      <c r="A7" s="413" t="s">
        <v>30</v>
      </c>
      <c r="B7" s="426">
        <v>2020</v>
      </c>
      <c r="C7" s="426">
        <v>2020</v>
      </c>
      <c r="D7" s="426">
        <v>2021</v>
      </c>
      <c r="E7" s="426">
        <v>2021</v>
      </c>
      <c r="F7" s="426">
        <v>2021</v>
      </c>
      <c r="G7" s="426">
        <v>2021</v>
      </c>
      <c r="H7" s="426">
        <v>2021</v>
      </c>
      <c r="I7" s="426">
        <v>2021</v>
      </c>
      <c r="J7" s="426">
        <v>2021</v>
      </c>
      <c r="K7" s="426">
        <v>2021</v>
      </c>
      <c r="L7" s="426">
        <v>2021</v>
      </c>
      <c r="M7" s="426">
        <v>2021</v>
      </c>
      <c r="N7" s="426">
        <v>2021</v>
      </c>
      <c r="O7" s="426">
        <v>2021</v>
      </c>
      <c r="P7" s="426">
        <v>2022</v>
      </c>
      <c r="Q7" s="426">
        <v>2022</v>
      </c>
      <c r="R7" s="426">
        <v>2022</v>
      </c>
      <c r="S7" s="426">
        <v>2022</v>
      </c>
      <c r="T7" s="426">
        <v>2022</v>
      </c>
      <c r="U7" s="426">
        <v>2022</v>
      </c>
      <c r="V7" s="426">
        <v>2022</v>
      </c>
      <c r="W7" s="426">
        <v>2022</v>
      </c>
      <c r="X7" s="426">
        <v>2022</v>
      </c>
      <c r="Y7" s="426">
        <v>2022</v>
      </c>
      <c r="Z7" s="426">
        <v>2022</v>
      </c>
      <c r="AA7" s="426">
        <v>2022</v>
      </c>
      <c r="AB7" s="426">
        <v>2023</v>
      </c>
      <c r="AC7" s="426">
        <v>2023</v>
      </c>
      <c r="AD7" s="426">
        <v>2023</v>
      </c>
      <c r="AE7" s="426">
        <v>2023</v>
      </c>
      <c r="AF7" s="426">
        <v>2023</v>
      </c>
      <c r="AG7" s="426">
        <v>2023</v>
      </c>
      <c r="AH7" s="426">
        <v>2023</v>
      </c>
      <c r="AI7" s="426">
        <v>2023</v>
      </c>
      <c r="AJ7" s="426">
        <v>2023</v>
      </c>
      <c r="AK7" s="426">
        <v>2023</v>
      </c>
      <c r="AL7" s="426">
        <v>2023</v>
      </c>
      <c r="AM7" s="426">
        <v>2023</v>
      </c>
      <c r="AN7" s="426">
        <v>2024</v>
      </c>
      <c r="AO7" s="426">
        <v>2024</v>
      </c>
      <c r="AP7" s="426">
        <v>2024</v>
      </c>
      <c r="AQ7" s="426">
        <v>2024</v>
      </c>
      <c r="AR7" s="426">
        <v>2024</v>
      </c>
      <c r="AS7" s="426">
        <v>2024</v>
      </c>
      <c r="AT7" s="426">
        <v>2024</v>
      </c>
      <c r="AU7" s="426">
        <v>2024</v>
      </c>
      <c r="AV7" s="426">
        <v>2024</v>
      </c>
      <c r="AW7" s="426">
        <v>2024</v>
      </c>
      <c r="AX7" s="426">
        <v>2024</v>
      </c>
      <c r="AY7" s="426">
        <v>2024</v>
      </c>
      <c r="AZ7" s="426">
        <v>2025</v>
      </c>
      <c r="BA7" s="426">
        <v>2025</v>
      </c>
      <c r="BB7" s="426">
        <v>2025</v>
      </c>
      <c r="BC7" s="426">
        <v>2025</v>
      </c>
    </row>
    <row r="8" spans="1:55" x14ac:dyDescent="0.25">
      <c r="A8" s="413" t="s">
        <v>31</v>
      </c>
      <c r="B8" s="426">
        <v>2021</v>
      </c>
      <c r="C8" s="426">
        <v>2021</v>
      </c>
      <c r="D8" s="426">
        <v>2022</v>
      </c>
      <c r="E8" s="426">
        <v>2022</v>
      </c>
      <c r="F8" s="426">
        <v>2022</v>
      </c>
      <c r="G8" s="426">
        <v>2022</v>
      </c>
      <c r="H8" s="426">
        <v>2022</v>
      </c>
      <c r="I8" s="426">
        <v>2022</v>
      </c>
      <c r="J8" s="426">
        <v>2022</v>
      </c>
      <c r="K8" s="426">
        <v>2022</v>
      </c>
      <c r="L8" s="426">
        <v>2022</v>
      </c>
      <c r="M8" s="426">
        <v>2022</v>
      </c>
      <c r="N8" s="426">
        <v>2022</v>
      </c>
      <c r="O8" s="426">
        <v>2022</v>
      </c>
      <c r="P8" s="426">
        <v>2023</v>
      </c>
      <c r="Q8" s="426">
        <v>2023</v>
      </c>
      <c r="R8" s="426">
        <v>2023</v>
      </c>
      <c r="S8" s="426">
        <v>2023</v>
      </c>
      <c r="T8" s="426">
        <v>2023</v>
      </c>
      <c r="U8" s="426">
        <v>2023</v>
      </c>
      <c r="V8" s="426">
        <v>2023</v>
      </c>
      <c r="W8" s="426">
        <v>2023</v>
      </c>
      <c r="X8" s="426">
        <v>2023</v>
      </c>
      <c r="Y8" s="426">
        <v>2023</v>
      </c>
      <c r="Z8" s="426">
        <v>2023</v>
      </c>
      <c r="AA8" s="426">
        <v>2023</v>
      </c>
      <c r="AB8" s="426">
        <v>2024</v>
      </c>
      <c r="AC8" s="426">
        <v>2024</v>
      </c>
      <c r="AD8" s="426">
        <v>2024</v>
      </c>
      <c r="AE8" s="426">
        <v>2024</v>
      </c>
      <c r="AF8" s="426">
        <v>2024</v>
      </c>
      <c r="AG8" s="426">
        <v>2024</v>
      </c>
      <c r="AH8" s="426">
        <v>2024</v>
      </c>
      <c r="AI8" s="426">
        <v>2024</v>
      </c>
      <c r="AJ8" s="426">
        <v>2024</v>
      </c>
      <c r="AK8" s="426">
        <v>2024</v>
      </c>
      <c r="AL8" s="426">
        <v>2024</v>
      </c>
      <c r="AM8" s="426">
        <v>2024</v>
      </c>
      <c r="AN8" s="426">
        <v>2025</v>
      </c>
      <c r="AO8" s="426">
        <v>2025</v>
      </c>
      <c r="AP8" s="426">
        <v>2025</v>
      </c>
      <c r="AQ8" s="426">
        <v>2025</v>
      </c>
      <c r="AR8" s="426">
        <v>2025</v>
      </c>
      <c r="AS8" s="426">
        <v>2025</v>
      </c>
      <c r="AT8" s="426">
        <v>2025</v>
      </c>
      <c r="AU8" s="426">
        <v>2025</v>
      </c>
      <c r="AV8" s="426">
        <v>2025</v>
      </c>
      <c r="AW8" s="426">
        <v>2025</v>
      </c>
      <c r="AX8" s="426">
        <v>2025</v>
      </c>
      <c r="AY8" s="426">
        <v>2025</v>
      </c>
      <c r="AZ8" s="426">
        <v>2026</v>
      </c>
      <c r="BA8" s="426">
        <v>2026</v>
      </c>
      <c r="BB8" s="426">
        <v>2026</v>
      </c>
      <c r="BC8" s="426">
        <v>2026</v>
      </c>
    </row>
    <row r="9" spans="1:55" x14ac:dyDescent="0.25">
      <c r="A9" s="413" t="s">
        <v>32</v>
      </c>
      <c r="B9" s="426">
        <v>2022</v>
      </c>
      <c r="C9" s="426">
        <v>2022</v>
      </c>
      <c r="D9" s="426">
        <v>2023</v>
      </c>
      <c r="E9" s="426">
        <v>2023</v>
      </c>
      <c r="F9" s="426">
        <v>2023</v>
      </c>
      <c r="G9" s="426">
        <v>2023</v>
      </c>
      <c r="H9" s="426">
        <v>2023</v>
      </c>
      <c r="I9" s="426">
        <v>2023</v>
      </c>
      <c r="J9" s="426">
        <v>2023</v>
      </c>
      <c r="K9" s="426">
        <v>2023</v>
      </c>
      <c r="L9" s="426">
        <v>2023</v>
      </c>
      <c r="M9" s="426">
        <v>2023</v>
      </c>
      <c r="N9" s="426">
        <v>2023</v>
      </c>
      <c r="O9" s="426">
        <v>2023</v>
      </c>
      <c r="P9" s="426">
        <v>2024</v>
      </c>
      <c r="Q9" s="426">
        <v>2024</v>
      </c>
      <c r="R9" s="426">
        <v>2024</v>
      </c>
      <c r="S9" s="426">
        <v>2024</v>
      </c>
      <c r="T9" s="426">
        <v>2024</v>
      </c>
      <c r="U9" s="426">
        <v>2024</v>
      </c>
      <c r="V9" s="426">
        <v>2024</v>
      </c>
      <c r="W9" s="426">
        <v>2024</v>
      </c>
      <c r="X9" s="426">
        <v>2024</v>
      </c>
      <c r="Y9" s="426">
        <v>2024</v>
      </c>
      <c r="Z9" s="426">
        <v>2024</v>
      </c>
      <c r="AA9" s="426">
        <v>2024</v>
      </c>
      <c r="AB9" s="426">
        <v>2025</v>
      </c>
      <c r="AC9" s="426">
        <v>2025</v>
      </c>
      <c r="AD9" s="426">
        <v>2025</v>
      </c>
      <c r="AE9" s="426">
        <v>2025</v>
      </c>
      <c r="AF9" s="426">
        <v>2025</v>
      </c>
      <c r="AG9" s="426">
        <v>2025</v>
      </c>
      <c r="AH9" s="426">
        <v>2025</v>
      </c>
      <c r="AI9" s="426">
        <v>2025</v>
      </c>
      <c r="AJ9" s="426">
        <v>2025</v>
      </c>
      <c r="AK9" s="426">
        <v>2025</v>
      </c>
      <c r="AL9" s="426">
        <v>2025</v>
      </c>
      <c r="AM9" s="426">
        <v>2025</v>
      </c>
      <c r="AN9" s="426">
        <v>2026</v>
      </c>
      <c r="AO9" s="426">
        <v>2026</v>
      </c>
      <c r="AP9" s="426">
        <v>2026</v>
      </c>
      <c r="AQ9" s="426">
        <v>2026</v>
      </c>
      <c r="AR9" s="426">
        <v>2026</v>
      </c>
      <c r="AS9" s="426">
        <v>2026</v>
      </c>
      <c r="AT9" s="426">
        <v>2026</v>
      </c>
      <c r="AU9" s="426">
        <v>2026</v>
      </c>
      <c r="AV9" s="426">
        <v>2026</v>
      </c>
      <c r="AW9" s="426">
        <v>2026</v>
      </c>
      <c r="AX9" s="426">
        <v>2026</v>
      </c>
      <c r="AY9" s="426">
        <v>2026</v>
      </c>
      <c r="AZ9" s="426">
        <v>2027</v>
      </c>
      <c r="BA9" s="426">
        <v>2027</v>
      </c>
      <c r="BB9" s="426">
        <v>2027</v>
      </c>
      <c r="BC9" s="426">
        <v>2027</v>
      </c>
    </row>
    <row r="10" spans="1:55" x14ac:dyDescent="0.25">
      <c r="A10" s="413" t="s">
        <v>33</v>
      </c>
      <c r="B10" s="426">
        <v>2023</v>
      </c>
      <c r="C10" s="426">
        <v>2023</v>
      </c>
      <c r="D10" s="426">
        <v>2024</v>
      </c>
      <c r="E10" s="426">
        <v>2024</v>
      </c>
      <c r="F10" s="426">
        <v>2024</v>
      </c>
      <c r="G10" s="426">
        <v>2024</v>
      </c>
      <c r="H10" s="426">
        <v>2024</v>
      </c>
      <c r="I10" s="426">
        <v>2024</v>
      </c>
      <c r="J10" s="426">
        <v>2024</v>
      </c>
      <c r="K10" s="426">
        <v>2024</v>
      </c>
      <c r="L10" s="426">
        <v>2024</v>
      </c>
      <c r="M10" s="426">
        <v>2024</v>
      </c>
      <c r="N10" s="426">
        <v>2024</v>
      </c>
      <c r="O10" s="426">
        <v>2024</v>
      </c>
      <c r="P10" s="426">
        <v>2025</v>
      </c>
      <c r="Q10" s="426">
        <v>2025</v>
      </c>
      <c r="R10" s="426">
        <v>2025</v>
      </c>
      <c r="S10" s="426">
        <v>2025</v>
      </c>
      <c r="T10" s="426">
        <v>2025</v>
      </c>
      <c r="U10" s="426">
        <v>2025</v>
      </c>
      <c r="V10" s="426">
        <v>2025</v>
      </c>
      <c r="W10" s="426">
        <v>2025</v>
      </c>
      <c r="X10" s="426">
        <v>2025</v>
      </c>
      <c r="Y10" s="426">
        <v>2025</v>
      </c>
      <c r="Z10" s="426">
        <v>2025</v>
      </c>
      <c r="AA10" s="426">
        <v>2025</v>
      </c>
      <c r="AB10" s="426">
        <v>2026</v>
      </c>
      <c r="AC10" s="426">
        <v>2026</v>
      </c>
      <c r="AD10" s="426">
        <v>2026</v>
      </c>
      <c r="AE10" s="426">
        <v>2026</v>
      </c>
      <c r="AF10" s="426">
        <v>2026</v>
      </c>
      <c r="AG10" s="426">
        <v>2026</v>
      </c>
      <c r="AH10" s="426">
        <v>2026</v>
      </c>
      <c r="AI10" s="426">
        <v>2026</v>
      </c>
      <c r="AJ10" s="426">
        <v>2026</v>
      </c>
      <c r="AK10" s="426">
        <v>2026</v>
      </c>
      <c r="AL10" s="426">
        <v>2026</v>
      </c>
      <c r="AM10" s="426">
        <v>2026</v>
      </c>
      <c r="AN10" s="426">
        <v>2027</v>
      </c>
      <c r="AO10" s="426">
        <v>2027</v>
      </c>
      <c r="AP10" s="426">
        <v>2027</v>
      </c>
      <c r="AQ10" s="426">
        <v>2027</v>
      </c>
      <c r="AR10" s="426">
        <v>2027</v>
      </c>
      <c r="AS10" s="426">
        <v>2027</v>
      </c>
      <c r="AT10" s="426">
        <v>2027</v>
      </c>
      <c r="AU10" s="426">
        <v>2027</v>
      </c>
      <c r="AV10" s="426">
        <v>2027</v>
      </c>
      <c r="AW10" s="426">
        <v>2027</v>
      </c>
      <c r="AX10" s="426">
        <v>2027</v>
      </c>
      <c r="AY10" s="426">
        <v>2027</v>
      </c>
      <c r="AZ10" s="426">
        <v>2028</v>
      </c>
      <c r="BA10" s="426">
        <v>2028</v>
      </c>
      <c r="BB10" s="426">
        <v>2028</v>
      </c>
      <c r="BC10" s="426">
        <v>2028</v>
      </c>
    </row>
    <row r="13" spans="1:55" x14ac:dyDescent="0.25">
      <c r="A13" s="11"/>
    </row>
    <row r="14" spans="1:55" x14ac:dyDescent="0.25">
      <c r="A14" s="427">
        <f>'PAINEL DE CONTROLE'!S2</f>
        <v>44896</v>
      </c>
      <c r="B14" s="2">
        <v>2</v>
      </c>
      <c r="C14" s="2">
        <v>3</v>
      </c>
      <c r="D14" s="2">
        <v>4</v>
      </c>
      <c r="E14" s="2">
        <v>5</v>
      </c>
      <c r="F14" s="2">
        <v>6</v>
      </c>
      <c r="G14" s="2">
        <v>7</v>
      </c>
      <c r="H14" s="2">
        <v>8</v>
      </c>
      <c r="I14" s="2">
        <v>9</v>
      </c>
      <c r="J14" s="2">
        <v>10</v>
      </c>
    </row>
    <row r="15" spans="1:55" x14ac:dyDescent="0.25">
      <c r="A15" s="427"/>
      <c r="B15" s="2" t="s">
        <v>25</v>
      </c>
      <c r="C15" s="2" t="s">
        <v>26</v>
      </c>
      <c r="D15" s="2" t="s">
        <v>27</v>
      </c>
      <c r="E15" s="2" t="s">
        <v>28</v>
      </c>
      <c r="F15" s="2" t="s">
        <v>29</v>
      </c>
      <c r="G15" s="2" t="s">
        <v>30</v>
      </c>
      <c r="H15" s="2" t="s">
        <v>31</v>
      </c>
      <c r="I15" s="2" t="s">
        <v>32</v>
      </c>
      <c r="J15" s="2" t="s">
        <v>33</v>
      </c>
    </row>
    <row r="16" spans="1:55" x14ac:dyDescent="0.25">
      <c r="B16" s="428">
        <f>HLOOKUP(DATE(YEAR($A$14),MONTH($A$14),1),$B$1:$BC$10,B14,FALSE)</f>
        <v>44896</v>
      </c>
      <c r="C16" s="428">
        <f>HLOOKUP(DATE(YEAR($A$14),MONTH($A$14),1),$B$1:$BC$10,C14,FALSE)</f>
        <v>44927</v>
      </c>
      <c r="D16" s="428">
        <f t="shared" ref="D16:J16" si="0">HLOOKUP(DATE(YEAR($A$14),MONTH($A$14),1),$B$1:$BC$10,D14,FALSE)</f>
        <v>44958</v>
      </c>
      <c r="E16" s="428">
        <f t="shared" si="0"/>
        <v>44986</v>
      </c>
      <c r="F16" s="2" t="str">
        <f t="shared" si="0"/>
        <v>Abr-Dez 23</v>
      </c>
      <c r="G16" s="429">
        <f t="shared" si="0"/>
        <v>2024</v>
      </c>
      <c r="H16" s="429">
        <f t="shared" si="0"/>
        <v>2025</v>
      </c>
      <c r="I16" s="429">
        <f t="shared" si="0"/>
        <v>2026</v>
      </c>
      <c r="J16" s="429">
        <f t="shared" si="0"/>
        <v>2027</v>
      </c>
      <c r="K16" s="429"/>
      <c r="L16" s="429"/>
      <c r="M16" s="429"/>
    </row>
  </sheetData>
  <conditionalFormatting sqref="B7:BC10">
    <cfRule type="cellIs" dxfId="8" priority="1" operator="equal">
      <formula>2028</formula>
    </cfRule>
    <cfRule type="cellIs" dxfId="7" priority="2" operator="equal">
      <formula>2027</formula>
    </cfRule>
    <cfRule type="cellIs" dxfId="6" priority="3" operator="equal">
      <formula>2026</formula>
    </cfRule>
    <cfRule type="cellIs" dxfId="5" priority="4" operator="equal">
      <formula>2023</formula>
    </cfRule>
    <cfRule type="cellIs" dxfId="4" priority="5" operator="equal">
      <formula>2025</formula>
    </cfRule>
    <cfRule type="cellIs" dxfId="3" priority="6" operator="equal">
      <formula>2024</formula>
    </cfRule>
    <cfRule type="cellIs" dxfId="2" priority="7" operator="equal">
      <formula>2022</formula>
    </cfRule>
    <cfRule type="cellIs" dxfId="1" priority="9" operator="equal">
      <formula>2020</formula>
    </cfRule>
  </conditionalFormatting>
  <conditionalFormatting sqref="B7:BC10 B6:N6 P6:Z6 AB6:AL6 AN6:AX6 AZ6:BC6">
    <cfRule type="cellIs" dxfId="0" priority="8" operator="equal">
      <formula>2021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2">
    <tabColor theme="7" tint="-0.249977111117893"/>
  </sheetPr>
  <dimension ref="A1:P943"/>
  <sheetViews>
    <sheetView workbookViewId="0">
      <selection activeCell="E20" sqref="E20"/>
    </sheetView>
  </sheetViews>
  <sheetFormatPr defaultRowHeight="15" x14ac:dyDescent="0.25"/>
  <cols>
    <col min="1" max="1" width="56.28515625" bestFit="1" customWidth="1"/>
    <col min="2" max="2" width="6.5703125" bestFit="1" customWidth="1"/>
    <col min="3" max="3" width="2" customWidth="1"/>
    <col min="4" max="4" width="16.42578125" bestFit="1" customWidth="1"/>
    <col min="5" max="5" width="11.28515625" bestFit="1" customWidth="1"/>
    <col min="6" max="6" width="1.85546875" customWidth="1"/>
    <col min="7" max="7" width="28.85546875" bestFit="1" customWidth="1"/>
    <col min="8" max="8" width="15.28515625" bestFit="1" customWidth="1"/>
    <col min="9" max="9" width="2" customWidth="1"/>
    <col min="10" max="10" width="12.28515625" bestFit="1" customWidth="1"/>
    <col min="11" max="11" width="10.140625" bestFit="1" customWidth="1"/>
    <col min="14" max="14" width="13" customWidth="1"/>
    <col min="15" max="15" width="12.28515625" customWidth="1"/>
  </cols>
  <sheetData>
    <row r="1" spans="1:16" ht="15" customHeight="1" x14ac:dyDescent="0.25">
      <c r="A1" s="791" t="s">
        <v>150</v>
      </c>
      <c r="B1" s="791"/>
      <c r="C1" s="791"/>
      <c r="D1" s="791"/>
      <c r="E1" s="791"/>
      <c r="F1" s="791"/>
      <c r="G1" s="791"/>
      <c r="H1" s="791"/>
      <c r="I1" s="791"/>
      <c r="J1" s="791"/>
      <c r="K1" s="791"/>
      <c r="N1" s="819" t="s">
        <v>488</v>
      </c>
      <c r="O1" s="819"/>
      <c r="P1" s="819"/>
    </row>
    <row r="2" spans="1:16" x14ac:dyDescent="0.25">
      <c r="A2" s="90" t="s">
        <v>65</v>
      </c>
      <c r="B2" s="91" t="s">
        <v>38</v>
      </c>
      <c r="D2" s="90" t="s">
        <v>66</v>
      </c>
      <c r="E2" s="91" t="s">
        <v>93</v>
      </c>
      <c r="G2" s="90" t="s">
        <v>79</v>
      </c>
      <c r="H2" s="91" t="s">
        <v>80</v>
      </c>
      <c r="J2" s="90" t="s">
        <v>91</v>
      </c>
      <c r="K2" s="91" t="s">
        <v>91</v>
      </c>
      <c r="N2" s="819"/>
      <c r="O2" s="819"/>
      <c r="P2" s="819"/>
    </row>
    <row r="3" spans="1:16" x14ac:dyDescent="0.25">
      <c r="A3" s="92" t="s">
        <v>43</v>
      </c>
      <c r="B3" s="12" t="s">
        <v>40</v>
      </c>
      <c r="D3" s="93" t="s">
        <v>3</v>
      </c>
      <c r="E3" s="12" t="s">
        <v>3</v>
      </c>
      <c r="G3" s="93" t="s">
        <v>42</v>
      </c>
      <c r="H3" s="12" t="s">
        <v>81</v>
      </c>
      <c r="J3" s="93" t="s">
        <v>54</v>
      </c>
      <c r="K3" s="12" t="s">
        <v>54</v>
      </c>
      <c r="N3" s="551" t="s">
        <v>388</v>
      </c>
      <c r="O3" s="550" t="s">
        <v>389</v>
      </c>
      <c r="P3">
        <v>11691</v>
      </c>
    </row>
    <row r="4" spans="1:16" x14ac:dyDescent="0.25">
      <c r="A4" s="92" t="s">
        <v>46</v>
      </c>
      <c r="B4" s="12" t="s">
        <v>39</v>
      </c>
      <c r="D4" s="93" t="s">
        <v>482</v>
      </c>
      <c r="E4" s="12" t="s">
        <v>24</v>
      </c>
      <c r="G4" s="93" t="s">
        <v>45</v>
      </c>
      <c r="H4" s="12" t="s">
        <v>81</v>
      </c>
      <c r="J4" s="93" t="s">
        <v>55</v>
      </c>
      <c r="K4" s="12" t="s">
        <v>92</v>
      </c>
      <c r="N4" s="551" t="s">
        <v>390</v>
      </c>
      <c r="O4" s="550" t="s">
        <v>391</v>
      </c>
      <c r="P4">
        <v>11689</v>
      </c>
    </row>
    <row r="5" spans="1:16" x14ac:dyDescent="0.25">
      <c r="A5" s="92" t="s">
        <v>47</v>
      </c>
      <c r="B5" s="12" t="s">
        <v>40</v>
      </c>
      <c r="D5" s="93" t="s">
        <v>322</v>
      </c>
      <c r="E5" s="12" t="s">
        <v>5</v>
      </c>
      <c r="G5" s="93" t="s">
        <v>407</v>
      </c>
      <c r="H5" s="12" t="s">
        <v>83</v>
      </c>
      <c r="J5" s="93" t="s">
        <v>56</v>
      </c>
      <c r="K5" s="12" t="s">
        <v>56</v>
      </c>
      <c r="N5" s="551" t="s">
        <v>394</v>
      </c>
      <c r="O5" s="550" t="s">
        <v>358</v>
      </c>
      <c r="P5" t="s">
        <v>395</v>
      </c>
    </row>
    <row r="6" spans="1:16" x14ac:dyDescent="0.25">
      <c r="A6" s="93" t="s">
        <v>53</v>
      </c>
      <c r="B6" s="12" t="s">
        <v>39</v>
      </c>
      <c r="D6" s="93" t="s">
        <v>483</v>
      </c>
      <c r="E6" s="12" t="s">
        <v>6</v>
      </c>
      <c r="G6" s="93" t="s">
        <v>408</v>
      </c>
      <c r="H6" s="12" t="s">
        <v>83</v>
      </c>
      <c r="J6" s="93"/>
      <c r="K6" s="12"/>
      <c r="N6" s="551" t="s">
        <v>398</v>
      </c>
      <c r="O6" s="550" t="s">
        <v>358</v>
      </c>
      <c r="P6" t="s">
        <v>402</v>
      </c>
    </row>
    <row r="7" spans="1:16" x14ac:dyDescent="0.25">
      <c r="A7" t="s">
        <v>244</v>
      </c>
      <c r="B7" s="12" t="s">
        <v>39</v>
      </c>
      <c r="D7" s="93" t="s">
        <v>484</v>
      </c>
      <c r="E7" s="12" t="s">
        <v>67</v>
      </c>
      <c r="G7" s="93" t="s">
        <v>2</v>
      </c>
      <c r="H7" s="12" t="s">
        <v>84</v>
      </c>
      <c r="J7" s="93"/>
      <c r="K7" s="12"/>
      <c r="N7" s="551" t="s">
        <v>399</v>
      </c>
      <c r="O7" s="550" t="s">
        <v>358</v>
      </c>
      <c r="P7" t="s">
        <v>499</v>
      </c>
    </row>
    <row r="8" spans="1:16" x14ac:dyDescent="0.25">
      <c r="A8" s="93" t="s">
        <v>330</v>
      </c>
      <c r="B8" s="12" t="s">
        <v>39</v>
      </c>
      <c r="D8" s="93" t="s">
        <v>485</v>
      </c>
      <c r="E8" s="12" t="s">
        <v>68</v>
      </c>
      <c r="G8" s="93" t="s">
        <v>4</v>
      </c>
      <c r="H8" s="12" t="s">
        <v>85</v>
      </c>
      <c r="J8" s="93"/>
      <c r="K8" s="12"/>
      <c r="N8" s="551" t="s">
        <v>400</v>
      </c>
      <c r="O8" s="550" t="s">
        <v>358</v>
      </c>
      <c r="P8">
        <v>13917</v>
      </c>
    </row>
    <row r="9" spans="1:16" x14ac:dyDescent="0.25">
      <c r="A9" s="93" t="s">
        <v>331</v>
      </c>
      <c r="B9" s="12" t="s">
        <v>39</v>
      </c>
      <c r="D9" s="93"/>
      <c r="E9" s="12"/>
      <c r="G9" s="93" t="s">
        <v>49</v>
      </c>
      <c r="H9" s="12" t="s">
        <v>86</v>
      </c>
      <c r="J9" s="93"/>
      <c r="K9" s="12"/>
      <c r="N9" s="551" t="s">
        <v>461</v>
      </c>
      <c r="O9" s="550" t="s">
        <v>358</v>
      </c>
      <c r="P9" t="s">
        <v>500</v>
      </c>
    </row>
    <row r="10" spans="1:16" x14ac:dyDescent="0.25">
      <c r="A10" s="93" t="s">
        <v>332</v>
      </c>
      <c r="B10" s="12" t="s">
        <v>39</v>
      </c>
      <c r="D10" s="93"/>
      <c r="E10" s="12"/>
      <c r="G10" s="93" t="s">
        <v>412</v>
      </c>
      <c r="H10" s="12" t="s">
        <v>82</v>
      </c>
      <c r="J10" s="93"/>
      <c r="K10" s="12"/>
      <c r="N10" s="551" t="s">
        <v>462</v>
      </c>
      <c r="O10" s="550" t="s">
        <v>460</v>
      </c>
      <c r="P10" t="s">
        <v>463</v>
      </c>
    </row>
    <row r="11" spans="1:16" x14ac:dyDescent="0.25">
      <c r="A11" s="93" t="s">
        <v>333</v>
      </c>
      <c r="B11" s="12" t="s">
        <v>39</v>
      </c>
      <c r="D11" s="93"/>
      <c r="E11" s="12"/>
      <c r="G11" s="93" t="s">
        <v>50</v>
      </c>
      <c r="H11" s="12" t="s">
        <v>82</v>
      </c>
      <c r="J11" s="93"/>
      <c r="K11" s="12"/>
      <c r="N11" s="551" t="s">
        <v>650</v>
      </c>
      <c r="O11" s="550" t="s">
        <v>358</v>
      </c>
      <c r="P11" t="s">
        <v>514</v>
      </c>
    </row>
    <row r="12" spans="1:16" x14ac:dyDescent="0.25">
      <c r="A12" s="93" t="s">
        <v>334</v>
      </c>
      <c r="B12" s="12" t="s">
        <v>39</v>
      </c>
      <c r="D12" s="93"/>
      <c r="E12" s="12"/>
      <c r="G12" s="93" t="s">
        <v>51</v>
      </c>
      <c r="H12" s="12" t="s">
        <v>87</v>
      </c>
      <c r="J12" s="93"/>
      <c r="K12" s="12"/>
      <c r="N12" s="551" t="s">
        <v>651</v>
      </c>
      <c r="O12" s="550" t="s">
        <v>358</v>
      </c>
      <c r="P12" t="s">
        <v>515</v>
      </c>
    </row>
    <row r="13" spans="1:16" x14ac:dyDescent="0.25">
      <c r="A13" s="590" t="s">
        <v>459</v>
      </c>
      <c r="B13" s="589" t="s">
        <v>40</v>
      </c>
      <c r="D13" s="93"/>
      <c r="E13" s="12"/>
      <c r="G13" s="93" t="s">
        <v>52</v>
      </c>
      <c r="H13" s="12" t="s">
        <v>87</v>
      </c>
      <c r="J13" s="93"/>
      <c r="K13" s="12"/>
      <c r="N13" s="551" t="s">
        <v>652</v>
      </c>
      <c r="O13" s="550" t="s">
        <v>358</v>
      </c>
      <c r="P13" t="s">
        <v>516</v>
      </c>
    </row>
    <row r="14" spans="1:16" x14ac:dyDescent="0.25">
      <c r="A14" s="590" t="s">
        <v>548</v>
      </c>
      <c r="B14" s="589" t="s">
        <v>40</v>
      </c>
      <c r="D14" s="93"/>
      <c r="E14" s="12"/>
      <c r="G14" s="93" t="s">
        <v>413</v>
      </c>
      <c r="H14" s="12" t="s">
        <v>88</v>
      </c>
      <c r="J14" s="93"/>
      <c r="K14" s="12"/>
      <c r="N14" s="551" t="s">
        <v>653</v>
      </c>
      <c r="O14" s="550" t="s">
        <v>358</v>
      </c>
      <c r="P14" t="s">
        <v>517</v>
      </c>
    </row>
    <row r="15" spans="1:16" x14ac:dyDescent="0.25">
      <c r="A15" s="590" t="s">
        <v>549</v>
      </c>
      <c r="B15" s="589" t="s">
        <v>40</v>
      </c>
      <c r="D15" s="93"/>
      <c r="E15" s="12"/>
      <c r="G15" s="93" t="s">
        <v>414</v>
      </c>
      <c r="H15" s="12" t="s">
        <v>88</v>
      </c>
      <c r="J15" s="93"/>
      <c r="K15" s="12"/>
      <c r="N15" s="551" t="s">
        <v>654</v>
      </c>
      <c r="O15" s="550" t="s">
        <v>358</v>
      </c>
      <c r="P15" t="s">
        <v>518</v>
      </c>
    </row>
    <row r="16" spans="1:16" x14ac:dyDescent="0.25">
      <c r="A16" s="590" t="s">
        <v>512</v>
      </c>
      <c r="B16" s="589" t="s">
        <v>40</v>
      </c>
      <c r="D16" s="93"/>
      <c r="E16" s="12"/>
      <c r="G16" s="93" t="s">
        <v>90</v>
      </c>
      <c r="H16" s="12" t="s">
        <v>86</v>
      </c>
      <c r="J16" s="93"/>
      <c r="K16" s="12"/>
      <c r="N16" s="551" t="s">
        <v>655</v>
      </c>
      <c r="O16" s="550" t="s">
        <v>358</v>
      </c>
      <c r="P16" t="s">
        <v>519</v>
      </c>
    </row>
    <row r="17" spans="1:16" x14ac:dyDescent="0.25">
      <c r="A17" s="590" t="s">
        <v>532</v>
      </c>
      <c r="B17" s="12" t="s">
        <v>534</v>
      </c>
      <c r="D17" s="93"/>
      <c r="E17" s="12"/>
      <c r="G17" s="93" t="s">
        <v>51</v>
      </c>
      <c r="H17" s="12" t="s">
        <v>87</v>
      </c>
      <c r="J17" s="93"/>
      <c r="K17" s="12"/>
      <c r="N17" s="551" t="s">
        <v>656</v>
      </c>
      <c r="O17" s="550" t="s">
        <v>358</v>
      </c>
      <c r="P17" t="s">
        <v>520</v>
      </c>
    </row>
    <row r="18" spans="1:16" x14ac:dyDescent="0.25">
      <c r="A18" s="590" t="s">
        <v>535</v>
      </c>
      <c r="B18" s="12" t="s">
        <v>534</v>
      </c>
      <c r="D18" s="93"/>
      <c r="E18" s="12"/>
      <c r="G18" s="93" t="s">
        <v>52</v>
      </c>
      <c r="H18" s="12" t="s">
        <v>87</v>
      </c>
      <c r="J18" s="93"/>
      <c r="K18" s="12"/>
      <c r="N18" s="551" t="s">
        <v>657</v>
      </c>
      <c r="O18" s="550" t="s">
        <v>358</v>
      </c>
      <c r="P18">
        <v>16670</v>
      </c>
    </row>
    <row r="19" spans="1:16" x14ac:dyDescent="0.25">
      <c r="A19" s="590" t="s">
        <v>2473</v>
      </c>
      <c r="B19" s="12" t="s">
        <v>40</v>
      </c>
      <c r="D19" s="93"/>
      <c r="E19" s="12"/>
      <c r="G19" s="590" t="s">
        <v>545</v>
      </c>
      <c r="H19" s="589" t="s">
        <v>547</v>
      </c>
      <c r="J19" s="93"/>
      <c r="K19" s="12"/>
      <c r="N19" s="551" t="s">
        <v>658</v>
      </c>
      <c r="O19" s="550" t="s">
        <v>358</v>
      </c>
      <c r="P19" t="s">
        <v>521</v>
      </c>
    </row>
    <row r="20" spans="1:16" x14ac:dyDescent="0.25">
      <c r="A20" s="590"/>
      <c r="B20" s="12"/>
      <c r="D20" s="93"/>
      <c r="E20" s="12"/>
      <c r="G20" s="590" t="s">
        <v>546</v>
      </c>
      <c r="H20" s="589" t="s">
        <v>547</v>
      </c>
      <c r="J20" s="93"/>
      <c r="K20" s="12"/>
      <c r="N20" s="551" t="s">
        <v>659</v>
      </c>
      <c r="O20" s="550" t="s">
        <v>660</v>
      </c>
      <c r="P20">
        <v>18233</v>
      </c>
    </row>
    <row r="21" spans="1:16" x14ac:dyDescent="0.25">
      <c r="A21" s="93"/>
      <c r="B21" s="12"/>
      <c r="D21" s="93"/>
      <c r="E21" s="12"/>
      <c r="G21" s="93"/>
      <c r="H21" s="12"/>
      <c r="J21" s="93"/>
      <c r="K21" s="12"/>
      <c r="N21" s="551" t="s">
        <v>661</v>
      </c>
      <c r="O21" s="550" t="s">
        <v>662</v>
      </c>
      <c r="P21">
        <v>18235</v>
      </c>
    </row>
    <row r="22" spans="1:16" x14ac:dyDescent="0.25">
      <c r="A22" s="93"/>
      <c r="B22" s="12"/>
      <c r="D22" s="93"/>
      <c r="E22" s="12"/>
      <c r="G22" s="93"/>
      <c r="H22" s="12"/>
      <c r="J22" s="93"/>
      <c r="K22" s="12"/>
      <c r="N22" s="551" t="s">
        <v>663</v>
      </c>
      <c r="O22" s="550" t="s">
        <v>664</v>
      </c>
      <c r="P22">
        <v>17252</v>
      </c>
    </row>
    <row r="23" spans="1:16" x14ac:dyDescent="0.25">
      <c r="A23" s="93"/>
      <c r="B23" s="12"/>
      <c r="D23" s="93"/>
      <c r="E23" s="12"/>
      <c r="G23" s="93"/>
      <c r="H23" s="12"/>
      <c r="J23" s="93"/>
      <c r="K23" s="12"/>
      <c r="N23" s="551" t="s">
        <v>665</v>
      </c>
      <c r="O23" s="550" t="s">
        <v>666</v>
      </c>
      <c r="P23">
        <v>17976</v>
      </c>
    </row>
    <row r="24" spans="1:16" x14ac:dyDescent="0.25">
      <c r="A24" s="93"/>
      <c r="B24" s="12"/>
      <c r="D24" s="93"/>
      <c r="E24" s="12"/>
      <c r="G24" s="93"/>
      <c r="H24" s="12"/>
      <c r="J24" s="93"/>
      <c r="K24" s="12"/>
      <c r="N24" s="551" t="s">
        <v>667</v>
      </c>
      <c r="O24" s="550" t="s">
        <v>668</v>
      </c>
      <c r="P24">
        <v>17416</v>
      </c>
    </row>
    <row r="25" spans="1:16" x14ac:dyDescent="0.25">
      <c r="A25" s="93"/>
      <c r="B25" s="12"/>
      <c r="D25" s="93"/>
      <c r="E25" s="12"/>
      <c r="G25" s="93"/>
      <c r="H25" s="12"/>
      <c r="J25" s="93"/>
      <c r="K25" s="12"/>
      <c r="N25" s="551" t="s">
        <v>669</v>
      </c>
      <c r="O25" s="550" t="s">
        <v>670</v>
      </c>
      <c r="P25">
        <v>17104</v>
      </c>
    </row>
    <row r="26" spans="1:16" x14ac:dyDescent="0.25">
      <c r="A26" s="93"/>
      <c r="B26" s="12"/>
      <c r="D26" s="93"/>
      <c r="E26" s="12"/>
      <c r="G26" s="93"/>
      <c r="H26" s="12"/>
      <c r="J26" s="93"/>
      <c r="K26" s="12"/>
      <c r="N26" s="551" t="s">
        <v>671</v>
      </c>
      <c r="O26" s="550" t="s">
        <v>672</v>
      </c>
      <c r="P26" t="s">
        <v>522</v>
      </c>
    </row>
    <row r="27" spans="1:16" x14ac:dyDescent="0.25">
      <c r="A27" s="93"/>
      <c r="B27" s="12"/>
      <c r="D27" s="93"/>
      <c r="E27" s="12"/>
      <c r="G27" s="93"/>
      <c r="H27" s="12"/>
      <c r="J27" s="93"/>
      <c r="K27" s="12"/>
      <c r="N27" s="551" t="s">
        <v>673</v>
      </c>
      <c r="O27" s="550" t="s">
        <v>358</v>
      </c>
      <c r="P27" t="s">
        <v>523</v>
      </c>
    </row>
    <row r="28" spans="1:16" x14ac:dyDescent="0.25">
      <c r="A28" s="93"/>
      <c r="B28" s="12"/>
      <c r="D28" s="93"/>
      <c r="E28" s="12"/>
      <c r="G28" s="93"/>
      <c r="H28" s="12"/>
      <c r="J28" s="93"/>
      <c r="K28" s="12"/>
      <c r="N28" s="551" t="s">
        <v>674</v>
      </c>
      <c r="O28" s="550" t="s">
        <v>358</v>
      </c>
      <c r="P28" t="s">
        <v>524</v>
      </c>
    </row>
    <row r="29" spans="1:16" x14ac:dyDescent="0.25">
      <c r="A29" s="93"/>
      <c r="B29" s="12"/>
      <c r="D29" s="93"/>
      <c r="E29" s="12"/>
      <c r="G29" s="93"/>
      <c r="H29" s="12"/>
      <c r="J29" s="93"/>
      <c r="K29" s="12"/>
      <c r="N29" s="551" t="s">
        <v>675</v>
      </c>
      <c r="O29" s="550" t="s">
        <v>358</v>
      </c>
      <c r="P29">
        <v>17334</v>
      </c>
    </row>
    <row r="30" spans="1:16" x14ac:dyDescent="0.25">
      <c r="A30" s="93"/>
      <c r="B30" s="12"/>
      <c r="D30" s="93"/>
      <c r="E30" s="12"/>
      <c r="G30" s="93"/>
      <c r="H30" s="12"/>
      <c r="J30" s="93"/>
      <c r="K30" s="12"/>
      <c r="N30" s="551" t="s">
        <v>676</v>
      </c>
      <c r="O30" s="550" t="s">
        <v>677</v>
      </c>
      <c r="P30" t="s">
        <v>525</v>
      </c>
    </row>
    <row r="31" spans="1:16" x14ac:dyDescent="0.25">
      <c r="A31" s="93"/>
      <c r="B31" s="12"/>
      <c r="D31" s="93"/>
      <c r="E31" s="12"/>
      <c r="G31" s="93"/>
      <c r="H31" s="12"/>
      <c r="J31" s="93"/>
      <c r="K31" s="12"/>
      <c r="N31" s="551" t="s">
        <v>678</v>
      </c>
      <c r="O31" s="550" t="s">
        <v>358</v>
      </c>
      <c r="P31" t="s">
        <v>526</v>
      </c>
    </row>
    <row r="32" spans="1:16" x14ac:dyDescent="0.25">
      <c r="A32" s="93"/>
      <c r="B32" s="12"/>
      <c r="D32" s="93"/>
      <c r="E32" s="12"/>
      <c r="G32" s="93"/>
      <c r="H32" s="12"/>
      <c r="J32" s="93"/>
      <c r="K32" s="12"/>
      <c r="N32" s="551" t="s">
        <v>679</v>
      </c>
      <c r="O32" s="550" t="s">
        <v>358</v>
      </c>
      <c r="P32" t="s">
        <v>527</v>
      </c>
    </row>
    <row r="33" spans="1:16" x14ac:dyDescent="0.25">
      <c r="A33" s="93"/>
      <c r="B33" s="12"/>
      <c r="D33" s="93"/>
      <c r="E33" s="12"/>
      <c r="G33" s="93"/>
      <c r="H33" s="12"/>
      <c r="J33" s="93"/>
      <c r="K33" s="12"/>
      <c r="N33" s="551" t="s">
        <v>680</v>
      </c>
      <c r="O33" s="550" t="s">
        <v>681</v>
      </c>
      <c r="P33" t="s">
        <v>528</v>
      </c>
    </row>
    <row r="34" spans="1:16" x14ac:dyDescent="0.25">
      <c r="A34" s="93"/>
      <c r="B34" s="12"/>
      <c r="D34" s="93"/>
      <c r="E34" s="12"/>
      <c r="G34" s="93"/>
      <c r="H34" s="12"/>
      <c r="J34" s="93"/>
      <c r="K34" s="12"/>
      <c r="N34" s="551" t="s">
        <v>682</v>
      </c>
      <c r="O34" s="550" t="s">
        <v>683</v>
      </c>
      <c r="P34" t="s">
        <v>529</v>
      </c>
    </row>
    <row r="35" spans="1:16" x14ac:dyDescent="0.25">
      <c r="A35" s="93"/>
      <c r="B35" s="12"/>
      <c r="D35" s="93"/>
      <c r="E35" s="12"/>
      <c r="G35" s="93"/>
      <c r="H35" s="12"/>
      <c r="J35" s="93"/>
      <c r="K35" s="12"/>
      <c r="N35" s="551" t="s">
        <v>684</v>
      </c>
      <c r="O35" s="550" t="s">
        <v>685</v>
      </c>
      <c r="P35" t="s">
        <v>540</v>
      </c>
    </row>
    <row r="36" spans="1:16" x14ac:dyDescent="0.25">
      <c r="A36" s="93"/>
      <c r="B36" s="12"/>
      <c r="D36" s="93"/>
      <c r="E36" s="12"/>
      <c r="G36" s="93"/>
      <c r="H36" s="12"/>
      <c r="J36" s="93"/>
      <c r="K36" s="12"/>
      <c r="N36" s="551" t="s">
        <v>686</v>
      </c>
      <c r="O36" s="550" t="s">
        <v>687</v>
      </c>
      <c r="P36" t="s">
        <v>541</v>
      </c>
    </row>
    <row r="37" spans="1:16" x14ac:dyDescent="0.25">
      <c r="A37" s="93"/>
      <c r="B37" s="12"/>
      <c r="D37" s="93"/>
      <c r="E37" s="12"/>
      <c r="G37" s="93"/>
      <c r="H37" s="12"/>
      <c r="J37" s="93"/>
      <c r="K37" s="12"/>
      <c r="N37" s="551" t="s">
        <v>688</v>
      </c>
      <c r="O37" s="550" t="s">
        <v>689</v>
      </c>
      <c r="P37" t="s">
        <v>542</v>
      </c>
    </row>
    <row r="38" spans="1:16" x14ac:dyDescent="0.25">
      <c r="N38" s="551" t="s">
        <v>690</v>
      </c>
      <c r="O38" s="550" t="s">
        <v>691</v>
      </c>
      <c r="P38" t="s">
        <v>543</v>
      </c>
    </row>
    <row r="39" spans="1:16" x14ac:dyDescent="0.25">
      <c r="N39" s="551" t="s">
        <v>692</v>
      </c>
      <c r="O39" s="550" t="s">
        <v>358</v>
      </c>
      <c r="P39" t="s">
        <v>544</v>
      </c>
    </row>
    <row r="40" spans="1:16" x14ac:dyDescent="0.25">
      <c r="N40" s="551" t="s">
        <v>693</v>
      </c>
      <c r="O40" s="550" t="s">
        <v>358</v>
      </c>
      <c r="P40" t="s">
        <v>358</v>
      </c>
    </row>
    <row r="41" spans="1:16" x14ac:dyDescent="0.25">
      <c r="N41" s="551" t="s">
        <v>694</v>
      </c>
      <c r="O41" s="550" t="s">
        <v>358</v>
      </c>
      <c r="P41" t="s">
        <v>358</v>
      </c>
    </row>
    <row r="42" spans="1:16" x14ac:dyDescent="0.25">
      <c r="N42" s="551" t="s">
        <v>695</v>
      </c>
      <c r="O42" s="550" t="s">
        <v>358</v>
      </c>
      <c r="P42" t="s">
        <v>552</v>
      </c>
    </row>
    <row r="43" spans="1:16" x14ac:dyDescent="0.25">
      <c r="N43" s="551" t="s">
        <v>696</v>
      </c>
      <c r="O43" s="550" t="s">
        <v>358</v>
      </c>
      <c r="P43" t="s">
        <v>553</v>
      </c>
    </row>
    <row r="44" spans="1:16" x14ac:dyDescent="0.25">
      <c r="N44" s="551" t="s">
        <v>697</v>
      </c>
      <c r="O44" s="550" t="s">
        <v>358</v>
      </c>
      <c r="P44" t="s">
        <v>554</v>
      </c>
    </row>
    <row r="45" spans="1:16" x14ac:dyDescent="0.25">
      <c r="N45" s="551" t="s">
        <v>698</v>
      </c>
      <c r="O45" s="550" t="s">
        <v>358</v>
      </c>
      <c r="P45" t="s">
        <v>555</v>
      </c>
    </row>
    <row r="46" spans="1:16" x14ac:dyDescent="0.25">
      <c r="N46" s="551" t="s">
        <v>699</v>
      </c>
      <c r="O46" s="550" t="s">
        <v>700</v>
      </c>
      <c r="P46" t="s">
        <v>556</v>
      </c>
    </row>
    <row r="47" spans="1:16" x14ac:dyDescent="0.25">
      <c r="N47" s="551" t="s">
        <v>701</v>
      </c>
      <c r="O47" s="550" t="s">
        <v>702</v>
      </c>
      <c r="P47" t="s">
        <v>557</v>
      </c>
    </row>
    <row r="48" spans="1:16" x14ac:dyDescent="0.25">
      <c r="N48" s="551" t="s">
        <v>703</v>
      </c>
      <c r="O48" s="550" t="s">
        <v>704</v>
      </c>
      <c r="P48" t="s">
        <v>558</v>
      </c>
    </row>
    <row r="49" spans="14:16" x14ac:dyDescent="0.25">
      <c r="N49" s="551" t="s">
        <v>705</v>
      </c>
      <c r="O49" s="550" t="s">
        <v>706</v>
      </c>
      <c r="P49" t="s">
        <v>559</v>
      </c>
    </row>
    <row r="50" spans="14:16" x14ac:dyDescent="0.25">
      <c r="N50" s="551" t="s">
        <v>707</v>
      </c>
      <c r="O50" s="550" t="s">
        <v>708</v>
      </c>
      <c r="P50" t="s">
        <v>560</v>
      </c>
    </row>
    <row r="51" spans="14:16" x14ac:dyDescent="0.25">
      <c r="N51" s="551" t="s">
        <v>709</v>
      </c>
      <c r="O51" s="550" t="s">
        <v>710</v>
      </c>
      <c r="P51" t="s">
        <v>561</v>
      </c>
    </row>
    <row r="52" spans="14:16" x14ac:dyDescent="0.25">
      <c r="N52" s="551" t="s">
        <v>711</v>
      </c>
      <c r="O52" s="550" t="s">
        <v>712</v>
      </c>
      <c r="P52" t="s">
        <v>562</v>
      </c>
    </row>
    <row r="53" spans="14:16" x14ac:dyDescent="0.25">
      <c r="N53" s="551" t="s">
        <v>713</v>
      </c>
      <c r="O53" s="550" t="s">
        <v>714</v>
      </c>
      <c r="P53" t="s">
        <v>563</v>
      </c>
    </row>
    <row r="54" spans="14:16" x14ac:dyDescent="0.25">
      <c r="N54" s="551" t="s">
        <v>715</v>
      </c>
      <c r="O54" s="550" t="s">
        <v>716</v>
      </c>
      <c r="P54" t="s">
        <v>565</v>
      </c>
    </row>
    <row r="55" spans="14:16" x14ac:dyDescent="0.25">
      <c r="N55" s="551" t="s">
        <v>717</v>
      </c>
      <c r="O55" s="550" t="s">
        <v>718</v>
      </c>
      <c r="P55" t="s">
        <v>566</v>
      </c>
    </row>
    <row r="56" spans="14:16" x14ac:dyDescent="0.25">
      <c r="N56" s="551" t="s">
        <v>719</v>
      </c>
      <c r="O56" s="550" t="s">
        <v>358</v>
      </c>
      <c r="P56" t="s">
        <v>567</v>
      </c>
    </row>
    <row r="57" spans="14:16" x14ac:dyDescent="0.25">
      <c r="N57" s="551" t="s">
        <v>720</v>
      </c>
      <c r="O57" s="550" t="s">
        <v>358</v>
      </c>
      <c r="P57" t="s">
        <v>568</v>
      </c>
    </row>
    <row r="58" spans="14:16" x14ac:dyDescent="0.25">
      <c r="N58" s="551" t="s">
        <v>721</v>
      </c>
      <c r="O58" s="550" t="s">
        <v>722</v>
      </c>
      <c r="P58" t="s">
        <v>569</v>
      </c>
    </row>
    <row r="59" spans="14:16" x14ac:dyDescent="0.25">
      <c r="N59" s="551" t="s">
        <v>723</v>
      </c>
      <c r="O59" s="550" t="s">
        <v>724</v>
      </c>
      <c r="P59" t="s">
        <v>570</v>
      </c>
    </row>
    <row r="60" spans="14:16" x14ac:dyDescent="0.25">
      <c r="N60" s="551" t="s">
        <v>725</v>
      </c>
      <c r="O60" s="550" t="s">
        <v>726</v>
      </c>
      <c r="P60" t="s">
        <v>403</v>
      </c>
    </row>
    <row r="61" spans="14:16" x14ac:dyDescent="0.25">
      <c r="N61" s="551" t="s">
        <v>727</v>
      </c>
      <c r="O61" s="550" t="s">
        <v>728</v>
      </c>
      <c r="P61" t="s">
        <v>573</v>
      </c>
    </row>
    <row r="62" spans="14:16" x14ac:dyDescent="0.25">
      <c r="N62" s="551" t="s">
        <v>729</v>
      </c>
      <c r="O62" s="550" t="s">
        <v>730</v>
      </c>
      <c r="P62" t="s">
        <v>574</v>
      </c>
    </row>
    <row r="63" spans="14:16" x14ac:dyDescent="0.25">
      <c r="N63" s="551" t="s">
        <v>731</v>
      </c>
      <c r="O63" s="550" t="s">
        <v>732</v>
      </c>
      <c r="P63" t="s">
        <v>575</v>
      </c>
    </row>
    <row r="64" spans="14:16" x14ac:dyDescent="0.25">
      <c r="N64" s="551" t="s">
        <v>733</v>
      </c>
      <c r="O64" s="550" t="s">
        <v>734</v>
      </c>
      <c r="P64" t="s">
        <v>576</v>
      </c>
    </row>
    <row r="65" spans="14:16" x14ac:dyDescent="0.25">
      <c r="N65" s="551" t="s">
        <v>735</v>
      </c>
      <c r="O65" s="550" t="s">
        <v>736</v>
      </c>
      <c r="P65" t="s">
        <v>577</v>
      </c>
    </row>
    <row r="66" spans="14:16" x14ac:dyDescent="0.25">
      <c r="N66" s="551" t="s">
        <v>737</v>
      </c>
      <c r="O66" s="550" t="s">
        <v>358</v>
      </c>
      <c r="P66" t="s">
        <v>578</v>
      </c>
    </row>
    <row r="67" spans="14:16" x14ac:dyDescent="0.25">
      <c r="N67" s="551" t="s">
        <v>738</v>
      </c>
      <c r="O67" s="550" t="s">
        <v>739</v>
      </c>
      <c r="P67" t="s">
        <v>579</v>
      </c>
    </row>
    <row r="68" spans="14:16" x14ac:dyDescent="0.25">
      <c r="N68" s="551" t="s">
        <v>740</v>
      </c>
      <c r="O68" s="550" t="s">
        <v>741</v>
      </c>
      <c r="P68" t="s">
        <v>580</v>
      </c>
    </row>
    <row r="69" spans="14:16" x14ac:dyDescent="0.25">
      <c r="N69" s="551" t="s">
        <v>742</v>
      </c>
      <c r="O69" s="550" t="s">
        <v>743</v>
      </c>
      <c r="P69" t="s">
        <v>581</v>
      </c>
    </row>
    <row r="70" spans="14:16" x14ac:dyDescent="0.25">
      <c r="N70" s="551" t="s">
        <v>744</v>
      </c>
      <c r="O70" s="550" t="s">
        <v>745</v>
      </c>
      <c r="P70" t="s">
        <v>582</v>
      </c>
    </row>
    <row r="71" spans="14:16" x14ac:dyDescent="0.25">
      <c r="N71" s="551" t="s">
        <v>746</v>
      </c>
      <c r="O71" s="550" t="s">
        <v>747</v>
      </c>
      <c r="P71" t="s">
        <v>583</v>
      </c>
    </row>
    <row r="72" spans="14:16" x14ac:dyDescent="0.25">
      <c r="N72" s="551" t="s">
        <v>748</v>
      </c>
      <c r="O72" s="550" t="s">
        <v>749</v>
      </c>
      <c r="P72" t="s">
        <v>584</v>
      </c>
    </row>
    <row r="73" spans="14:16" x14ac:dyDescent="0.25">
      <c r="N73" s="551" t="s">
        <v>750</v>
      </c>
      <c r="O73" s="550" t="s">
        <v>751</v>
      </c>
      <c r="P73" t="s">
        <v>586</v>
      </c>
    </row>
    <row r="74" spans="14:16" x14ac:dyDescent="0.25">
      <c r="N74" s="551" t="s">
        <v>752</v>
      </c>
      <c r="O74" s="550" t="s">
        <v>753</v>
      </c>
      <c r="P74" t="s">
        <v>587</v>
      </c>
    </row>
    <row r="75" spans="14:16" x14ac:dyDescent="0.25">
      <c r="N75" s="551" t="s">
        <v>754</v>
      </c>
      <c r="O75" s="550" t="s">
        <v>755</v>
      </c>
      <c r="P75" t="s">
        <v>588</v>
      </c>
    </row>
    <row r="76" spans="14:16" x14ac:dyDescent="0.25">
      <c r="N76" s="551" t="s">
        <v>756</v>
      </c>
      <c r="O76" s="550" t="s">
        <v>757</v>
      </c>
      <c r="P76" t="s">
        <v>589</v>
      </c>
    </row>
    <row r="77" spans="14:16" x14ac:dyDescent="0.25">
      <c r="N77" s="551" t="s">
        <v>758</v>
      </c>
      <c r="O77" s="550" t="s">
        <v>759</v>
      </c>
      <c r="P77" t="s">
        <v>591</v>
      </c>
    </row>
    <row r="78" spans="14:16" x14ac:dyDescent="0.25">
      <c r="N78" s="551" t="s">
        <v>760</v>
      </c>
      <c r="O78" s="550" t="s">
        <v>358</v>
      </c>
      <c r="P78" t="s">
        <v>592</v>
      </c>
    </row>
    <row r="79" spans="14:16" x14ac:dyDescent="0.25">
      <c r="N79" s="551" t="s">
        <v>761</v>
      </c>
      <c r="O79" s="550" t="s">
        <v>762</v>
      </c>
      <c r="P79" t="s">
        <v>593</v>
      </c>
    </row>
    <row r="80" spans="14:16" x14ac:dyDescent="0.25">
      <c r="N80" s="551" t="s">
        <v>763</v>
      </c>
      <c r="O80" s="550" t="s">
        <v>764</v>
      </c>
      <c r="P80" t="s">
        <v>594</v>
      </c>
    </row>
    <row r="81" spans="14:16" x14ac:dyDescent="0.25">
      <c r="N81" s="551" t="s">
        <v>765</v>
      </c>
      <c r="O81" s="550" t="s">
        <v>766</v>
      </c>
      <c r="P81" t="s">
        <v>595</v>
      </c>
    </row>
    <row r="82" spans="14:16" x14ac:dyDescent="0.25">
      <c r="N82" s="551" t="s">
        <v>767</v>
      </c>
      <c r="O82" s="550" t="s">
        <v>768</v>
      </c>
      <c r="P82" t="s">
        <v>596</v>
      </c>
    </row>
    <row r="83" spans="14:16" x14ac:dyDescent="0.25">
      <c r="N83" s="551" t="s">
        <v>769</v>
      </c>
      <c r="O83" s="550" t="s">
        <v>770</v>
      </c>
      <c r="P83" t="s">
        <v>597</v>
      </c>
    </row>
    <row r="84" spans="14:16" x14ac:dyDescent="0.25">
      <c r="N84" s="551" t="s">
        <v>771</v>
      </c>
      <c r="O84" s="550" t="s">
        <v>772</v>
      </c>
      <c r="P84" t="s">
        <v>598</v>
      </c>
    </row>
    <row r="85" spans="14:16" x14ac:dyDescent="0.25">
      <c r="N85" s="551" t="s">
        <v>773</v>
      </c>
      <c r="O85" s="550" t="s">
        <v>774</v>
      </c>
      <c r="P85" t="s">
        <v>599</v>
      </c>
    </row>
    <row r="86" spans="14:16" x14ac:dyDescent="0.25">
      <c r="N86" s="551" t="s">
        <v>775</v>
      </c>
      <c r="O86" s="550" t="s">
        <v>776</v>
      </c>
      <c r="P86" t="s">
        <v>600</v>
      </c>
    </row>
    <row r="87" spans="14:16" x14ac:dyDescent="0.25">
      <c r="N87" s="551" t="s">
        <v>777</v>
      </c>
      <c r="O87" s="550" t="s">
        <v>778</v>
      </c>
      <c r="P87" t="s">
        <v>601</v>
      </c>
    </row>
    <row r="88" spans="14:16" x14ac:dyDescent="0.25">
      <c r="N88" s="551" t="s">
        <v>779</v>
      </c>
      <c r="O88" s="550" t="s">
        <v>780</v>
      </c>
      <c r="P88" t="s">
        <v>602</v>
      </c>
    </row>
    <row r="89" spans="14:16" x14ac:dyDescent="0.25">
      <c r="N89" s="551" t="s">
        <v>781</v>
      </c>
      <c r="O89" s="550" t="s">
        <v>782</v>
      </c>
      <c r="P89" t="s">
        <v>603</v>
      </c>
    </row>
    <row r="90" spans="14:16" x14ac:dyDescent="0.25">
      <c r="N90" s="551" t="s">
        <v>783</v>
      </c>
      <c r="O90" s="550" t="s">
        <v>784</v>
      </c>
      <c r="P90" t="s">
        <v>604</v>
      </c>
    </row>
    <row r="91" spans="14:16" x14ac:dyDescent="0.25">
      <c r="N91" s="551" t="s">
        <v>785</v>
      </c>
      <c r="O91" s="550" t="s">
        <v>786</v>
      </c>
      <c r="P91" t="s">
        <v>605</v>
      </c>
    </row>
    <row r="92" spans="14:16" x14ac:dyDescent="0.25">
      <c r="N92" s="551" t="s">
        <v>787</v>
      </c>
      <c r="O92" s="550" t="s">
        <v>788</v>
      </c>
      <c r="P92" t="s">
        <v>606</v>
      </c>
    </row>
    <row r="93" spans="14:16" x14ac:dyDescent="0.25">
      <c r="N93" s="551" t="s">
        <v>789</v>
      </c>
      <c r="O93" s="550" t="s">
        <v>790</v>
      </c>
      <c r="P93" t="s">
        <v>607</v>
      </c>
    </row>
    <row r="94" spans="14:16" x14ac:dyDescent="0.25">
      <c r="N94" s="551" t="s">
        <v>791</v>
      </c>
      <c r="O94" s="550" t="s">
        <v>792</v>
      </c>
      <c r="P94" t="s">
        <v>608</v>
      </c>
    </row>
    <row r="95" spans="14:16" x14ac:dyDescent="0.25">
      <c r="N95" s="551" t="s">
        <v>793</v>
      </c>
      <c r="O95" s="550" t="s">
        <v>794</v>
      </c>
      <c r="P95" t="s">
        <v>609</v>
      </c>
    </row>
    <row r="96" spans="14:16" x14ac:dyDescent="0.25">
      <c r="N96" s="551" t="s">
        <v>795</v>
      </c>
      <c r="O96" s="550" t="s">
        <v>796</v>
      </c>
      <c r="P96" t="s">
        <v>610</v>
      </c>
    </row>
    <row r="97" spans="14:16" x14ac:dyDescent="0.25">
      <c r="N97" s="551" t="s">
        <v>797</v>
      </c>
      <c r="O97" s="550" t="s">
        <v>798</v>
      </c>
      <c r="P97" t="s">
        <v>611</v>
      </c>
    </row>
    <row r="98" spans="14:16" x14ac:dyDescent="0.25">
      <c r="N98" s="551" t="s">
        <v>799</v>
      </c>
      <c r="O98" s="550" t="s">
        <v>800</v>
      </c>
      <c r="P98" t="s">
        <v>612</v>
      </c>
    </row>
    <row r="99" spans="14:16" x14ac:dyDescent="0.25">
      <c r="N99" s="551" t="s">
        <v>801</v>
      </c>
      <c r="O99" s="550" t="s">
        <v>802</v>
      </c>
      <c r="P99" t="s">
        <v>613</v>
      </c>
    </row>
    <row r="100" spans="14:16" x14ac:dyDescent="0.25">
      <c r="N100" s="551" t="s">
        <v>803</v>
      </c>
      <c r="O100" s="550" t="s">
        <v>804</v>
      </c>
      <c r="P100" t="s">
        <v>614</v>
      </c>
    </row>
    <row r="101" spans="14:16" x14ac:dyDescent="0.25">
      <c r="N101" s="551" t="s">
        <v>805</v>
      </c>
      <c r="O101" s="550" t="s">
        <v>806</v>
      </c>
      <c r="P101" t="s">
        <v>615</v>
      </c>
    </row>
    <row r="102" spans="14:16" x14ac:dyDescent="0.25">
      <c r="N102" s="551" t="s">
        <v>807</v>
      </c>
      <c r="O102" s="550" t="s">
        <v>808</v>
      </c>
      <c r="P102" t="s">
        <v>616</v>
      </c>
    </row>
    <row r="103" spans="14:16" x14ac:dyDescent="0.25">
      <c r="N103" s="551" t="s">
        <v>809</v>
      </c>
      <c r="O103" s="550" t="s">
        <v>358</v>
      </c>
      <c r="P103" t="s">
        <v>617</v>
      </c>
    </row>
    <row r="104" spans="14:16" x14ac:dyDescent="0.25">
      <c r="N104" s="551" t="s">
        <v>810</v>
      </c>
      <c r="O104" s="550" t="s">
        <v>358</v>
      </c>
      <c r="P104" t="s">
        <v>618</v>
      </c>
    </row>
    <row r="105" spans="14:16" x14ac:dyDescent="0.25">
      <c r="N105" s="551" t="s">
        <v>811</v>
      </c>
      <c r="O105" s="550" t="s">
        <v>812</v>
      </c>
      <c r="P105" t="s">
        <v>622</v>
      </c>
    </row>
    <row r="106" spans="14:16" x14ac:dyDescent="0.25">
      <c r="N106" s="551" t="s">
        <v>813</v>
      </c>
      <c r="O106" s="550" t="s">
        <v>814</v>
      </c>
      <c r="P106" t="s">
        <v>623</v>
      </c>
    </row>
    <row r="107" spans="14:16" x14ac:dyDescent="0.25">
      <c r="N107" s="551" t="s">
        <v>815</v>
      </c>
      <c r="O107" s="550" t="s">
        <v>358</v>
      </c>
      <c r="P107" t="s">
        <v>624</v>
      </c>
    </row>
    <row r="108" spans="14:16" x14ac:dyDescent="0.25">
      <c r="N108" s="551" t="s">
        <v>816</v>
      </c>
      <c r="O108" s="550" t="s">
        <v>817</v>
      </c>
      <c r="P108" t="s">
        <v>625</v>
      </c>
    </row>
    <row r="109" spans="14:16" x14ac:dyDescent="0.25">
      <c r="N109" s="551" t="s">
        <v>818</v>
      </c>
      <c r="O109" s="550" t="s">
        <v>819</v>
      </c>
      <c r="P109" t="s">
        <v>626</v>
      </c>
    </row>
    <row r="110" spans="14:16" x14ac:dyDescent="0.25">
      <c r="N110" s="551" t="s">
        <v>820</v>
      </c>
      <c r="O110" s="550" t="s">
        <v>821</v>
      </c>
      <c r="P110" t="s">
        <v>627</v>
      </c>
    </row>
    <row r="111" spans="14:16" x14ac:dyDescent="0.25">
      <c r="N111" s="551" t="s">
        <v>822</v>
      </c>
      <c r="O111" s="550" t="s">
        <v>823</v>
      </c>
      <c r="P111" t="s">
        <v>628</v>
      </c>
    </row>
    <row r="112" spans="14:16" x14ac:dyDescent="0.25">
      <c r="N112" s="551" t="s">
        <v>824</v>
      </c>
      <c r="O112" s="550" t="s">
        <v>825</v>
      </c>
      <c r="P112" t="s">
        <v>630</v>
      </c>
    </row>
    <row r="113" spans="14:16" x14ac:dyDescent="0.25">
      <c r="N113" s="551" t="s">
        <v>826</v>
      </c>
      <c r="O113" s="550" t="s">
        <v>358</v>
      </c>
      <c r="P113" t="s">
        <v>631</v>
      </c>
    </row>
    <row r="114" spans="14:16" x14ac:dyDescent="0.25">
      <c r="N114" s="551" t="s">
        <v>827</v>
      </c>
      <c r="O114" s="550" t="s">
        <v>358</v>
      </c>
      <c r="P114" t="s">
        <v>632</v>
      </c>
    </row>
    <row r="115" spans="14:16" x14ac:dyDescent="0.25">
      <c r="N115" s="551" t="s">
        <v>828</v>
      </c>
      <c r="O115" s="550" t="s">
        <v>358</v>
      </c>
      <c r="P115" t="s">
        <v>633</v>
      </c>
    </row>
    <row r="116" spans="14:16" x14ac:dyDescent="0.25">
      <c r="N116" s="551" t="s">
        <v>829</v>
      </c>
      <c r="O116" s="550" t="s">
        <v>358</v>
      </c>
      <c r="P116" t="s">
        <v>634</v>
      </c>
    </row>
    <row r="117" spans="14:16" x14ac:dyDescent="0.25">
      <c r="N117" s="551" t="s">
        <v>830</v>
      </c>
      <c r="O117" s="550" t="s">
        <v>358</v>
      </c>
      <c r="P117" t="s">
        <v>635</v>
      </c>
    </row>
    <row r="118" spans="14:16" x14ac:dyDescent="0.25">
      <c r="N118" s="551" t="s">
        <v>831</v>
      </c>
      <c r="O118" s="550" t="s">
        <v>358</v>
      </c>
      <c r="P118" t="s">
        <v>636</v>
      </c>
    </row>
    <row r="119" spans="14:16" x14ac:dyDescent="0.25">
      <c r="N119" s="551" t="s">
        <v>832</v>
      </c>
      <c r="O119" s="550" t="s">
        <v>358</v>
      </c>
      <c r="P119" t="s">
        <v>637</v>
      </c>
    </row>
    <row r="120" spans="14:16" x14ac:dyDescent="0.25">
      <c r="N120" s="551" t="s">
        <v>833</v>
      </c>
      <c r="O120" s="550" t="s">
        <v>358</v>
      </c>
      <c r="P120" t="s">
        <v>638</v>
      </c>
    </row>
    <row r="121" spans="14:16" x14ac:dyDescent="0.25">
      <c r="N121" s="551" t="s">
        <v>834</v>
      </c>
      <c r="O121" s="550" t="s">
        <v>358</v>
      </c>
      <c r="P121" t="s">
        <v>640</v>
      </c>
    </row>
    <row r="122" spans="14:16" x14ac:dyDescent="0.25">
      <c r="N122" s="551" t="s">
        <v>835</v>
      </c>
      <c r="O122" s="550" t="s">
        <v>358</v>
      </c>
      <c r="P122" t="s">
        <v>641</v>
      </c>
    </row>
    <row r="123" spans="14:16" x14ac:dyDescent="0.25">
      <c r="N123" s="551" t="s">
        <v>836</v>
      </c>
      <c r="O123" s="550" t="s">
        <v>358</v>
      </c>
      <c r="P123" t="s">
        <v>642</v>
      </c>
    </row>
    <row r="124" spans="14:16" x14ac:dyDescent="0.25">
      <c r="N124" s="551"/>
      <c r="O124" s="550"/>
    </row>
    <row r="125" spans="14:16" x14ac:dyDescent="0.25">
      <c r="N125" s="551"/>
      <c r="O125" s="550"/>
    </row>
    <row r="126" spans="14:16" x14ac:dyDescent="0.25">
      <c r="N126" s="551"/>
      <c r="O126" s="550"/>
    </row>
    <row r="127" spans="14:16" x14ac:dyDescent="0.25">
      <c r="N127" s="551"/>
      <c r="O127" s="550"/>
    </row>
    <row r="128" spans="14:16" x14ac:dyDescent="0.25">
      <c r="N128" s="551"/>
      <c r="O128" s="550"/>
    </row>
    <row r="129" spans="14:15" x14ac:dyDescent="0.25">
      <c r="N129" s="551"/>
      <c r="O129" s="550"/>
    </row>
    <row r="130" spans="14:15" x14ac:dyDescent="0.25">
      <c r="N130" s="551"/>
      <c r="O130" s="550"/>
    </row>
    <row r="131" spans="14:15" x14ac:dyDescent="0.25">
      <c r="N131" s="551"/>
      <c r="O131" s="550"/>
    </row>
    <row r="132" spans="14:15" x14ac:dyDescent="0.25">
      <c r="N132" s="551"/>
      <c r="O132" s="550"/>
    </row>
    <row r="133" spans="14:15" x14ac:dyDescent="0.25">
      <c r="N133" s="551"/>
      <c r="O133" s="550"/>
    </row>
    <row r="134" spans="14:15" x14ac:dyDescent="0.25">
      <c r="N134" s="551"/>
      <c r="O134" s="550"/>
    </row>
    <row r="135" spans="14:15" x14ac:dyDescent="0.25">
      <c r="N135" s="551"/>
      <c r="O135" s="550"/>
    </row>
    <row r="136" spans="14:15" x14ac:dyDescent="0.25">
      <c r="N136" s="551"/>
      <c r="O136" s="550"/>
    </row>
    <row r="137" spans="14:15" x14ac:dyDescent="0.25">
      <c r="N137" s="551"/>
      <c r="O137" s="550"/>
    </row>
    <row r="138" spans="14:15" x14ac:dyDescent="0.25">
      <c r="N138" s="551"/>
      <c r="O138" s="550"/>
    </row>
    <row r="139" spans="14:15" x14ac:dyDescent="0.25">
      <c r="N139" s="551"/>
    </row>
    <row r="140" spans="14:15" x14ac:dyDescent="0.25">
      <c r="N140" s="551"/>
    </row>
    <row r="141" spans="14:15" x14ac:dyDescent="0.25">
      <c r="N141" s="551"/>
    </row>
    <row r="142" spans="14:15" x14ac:dyDescent="0.25">
      <c r="N142" s="551"/>
    </row>
    <row r="143" spans="14:15" x14ac:dyDescent="0.25">
      <c r="N143" s="551"/>
    </row>
    <row r="144" spans="14:15" x14ac:dyDescent="0.25">
      <c r="N144" s="551"/>
    </row>
    <row r="145" spans="14:14" x14ac:dyDescent="0.25">
      <c r="N145" s="551"/>
    </row>
    <row r="146" spans="14:14" x14ac:dyDescent="0.25">
      <c r="N146" s="551"/>
    </row>
    <row r="147" spans="14:14" x14ac:dyDescent="0.25">
      <c r="N147" s="551"/>
    </row>
    <row r="148" spans="14:14" x14ac:dyDescent="0.25">
      <c r="N148" s="551"/>
    </row>
    <row r="149" spans="14:14" x14ac:dyDescent="0.25">
      <c r="N149" s="551"/>
    </row>
    <row r="150" spans="14:14" x14ac:dyDescent="0.25">
      <c r="N150" s="551"/>
    </row>
    <row r="151" spans="14:14" x14ac:dyDescent="0.25">
      <c r="N151" s="551"/>
    </row>
    <row r="152" spans="14:14" x14ac:dyDescent="0.25">
      <c r="N152" s="551"/>
    </row>
    <row r="153" spans="14:14" x14ac:dyDescent="0.25">
      <c r="N153" s="551"/>
    </row>
    <row r="154" spans="14:14" x14ac:dyDescent="0.25">
      <c r="N154" s="551"/>
    </row>
    <row r="155" spans="14:14" x14ac:dyDescent="0.25">
      <c r="N155" s="551"/>
    </row>
    <row r="156" spans="14:14" x14ac:dyDescent="0.25">
      <c r="N156" s="551"/>
    </row>
    <row r="157" spans="14:14" x14ac:dyDescent="0.25">
      <c r="N157" s="551"/>
    </row>
    <row r="158" spans="14:14" x14ac:dyDescent="0.25">
      <c r="N158" s="551"/>
    </row>
    <row r="159" spans="14:14" x14ac:dyDescent="0.25">
      <c r="N159" s="551"/>
    </row>
    <row r="160" spans="14:14" x14ac:dyDescent="0.25">
      <c r="N160" s="551"/>
    </row>
    <row r="161" spans="14:14" x14ac:dyDescent="0.25">
      <c r="N161" s="551"/>
    </row>
    <row r="162" spans="14:14" x14ac:dyDescent="0.25">
      <c r="N162" s="551"/>
    </row>
    <row r="163" spans="14:14" x14ac:dyDescent="0.25">
      <c r="N163" s="551"/>
    </row>
    <row r="164" spans="14:14" x14ac:dyDescent="0.25">
      <c r="N164" s="551"/>
    </row>
    <row r="165" spans="14:14" x14ac:dyDescent="0.25">
      <c r="N165" s="551"/>
    </row>
    <row r="166" spans="14:14" x14ac:dyDescent="0.25">
      <c r="N166" s="551"/>
    </row>
    <row r="167" spans="14:14" x14ac:dyDescent="0.25">
      <c r="N167" s="551"/>
    </row>
    <row r="168" spans="14:14" x14ac:dyDescent="0.25">
      <c r="N168" s="551"/>
    </row>
    <row r="169" spans="14:14" x14ac:dyDescent="0.25">
      <c r="N169" s="551"/>
    </row>
    <row r="170" spans="14:14" x14ac:dyDescent="0.25">
      <c r="N170" s="551"/>
    </row>
    <row r="171" spans="14:14" x14ac:dyDescent="0.25">
      <c r="N171" s="551"/>
    </row>
    <row r="172" spans="14:14" x14ac:dyDescent="0.25">
      <c r="N172" s="551"/>
    </row>
    <row r="173" spans="14:14" x14ac:dyDescent="0.25">
      <c r="N173" s="551"/>
    </row>
    <row r="174" spans="14:14" x14ac:dyDescent="0.25">
      <c r="N174" s="551"/>
    </row>
    <row r="175" spans="14:14" x14ac:dyDescent="0.25">
      <c r="N175" s="551"/>
    </row>
    <row r="176" spans="14:14" x14ac:dyDescent="0.25">
      <c r="N176" s="551"/>
    </row>
    <row r="177" spans="14:14" x14ac:dyDescent="0.25">
      <c r="N177" s="551"/>
    </row>
    <row r="178" spans="14:14" x14ac:dyDescent="0.25">
      <c r="N178" s="551"/>
    </row>
    <row r="179" spans="14:14" x14ac:dyDescent="0.25">
      <c r="N179" s="551"/>
    </row>
    <row r="180" spans="14:14" x14ac:dyDescent="0.25">
      <c r="N180" s="551"/>
    </row>
    <row r="181" spans="14:14" x14ac:dyDescent="0.25">
      <c r="N181" s="551"/>
    </row>
    <row r="182" spans="14:14" x14ac:dyDescent="0.25">
      <c r="N182" s="551"/>
    </row>
    <row r="183" spans="14:14" x14ac:dyDescent="0.25">
      <c r="N183" s="551"/>
    </row>
    <row r="184" spans="14:14" x14ac:dyDescent="0.25">
      <c r="N184" s="551"/>
    </row>
    <row r="185" spans="14:14" x14ac:dyDescent="0.25">
      <c r="N185" s="551"/>
    </row>
    <row r="186" spans="14:14" x14ac:dyDescent="0.25">
      <c r="N186" s="551"/>
    </row>
    <row r="187" spans="14:14" x14ac:dyDescent="0.25">
      <c r="N187" s="551"/>
    </row>
    <row r="188" spans="14:14" x14ac:dyDescent="0.25">
      <c r="N188" s="551"/>
    </row>
    <row r="189" spans="14:14" x14ac:dyDescent="0.25">
      <c r="N189" s="551"/>
    </row>
    <row r="190" spans="14:14" x14ac:dyDescent="0.25">
      <c r="N190" s="551"/>
    </row>
    <row r="191" spans="14:14" x14ac:dyDescent="0.25">
      <c r="N191" s="551"/>
    </row>
    <row r="192" spans="14:14" x14ac:dyDescent="0.25">
      <c r="N192" s="551"/>
    </row>
    <row r="193" spans="14:14" x14ac:dyDescent="0.25">
      <c r="N193" s="551"/>
    </row>
    <row r="194" spans="14:14" x14ac:dyDescent="0.25">
      <c r="N194" s="551"/>
    </row>
    <row r="195" spans="14:14" x14ac:dyDescent="0.25">
      <c r="N195" s="551"/>
    </row>
    <row r="196" spans="14:14" x14ac:dyDescent="0.25">
      <c r="N196" s="551"/>
    </row>
    <row r="197" spans="14:14" x14ac:dyDescent="0.25">
      <c r="N197" s="551"/>
    </row>
    <row r="198" spans="14:14" x14ac:dyDescent="0.25">
      <c r="N198" s="551"/>
    </row>
    <row r="199" spans="14:14" x14ac:dyDescent="0.25">
      <c r="N199" s="551"/>
    </row>
    <row r="200" spans="14:14" x14ac:dyDescent="0.25">
      <c r="N200" s="551"/>
    </row>
    <row r="201" spans="14:14" x14ac:dyDescent="0.25">
      <c r="N201" s="551"/>
    </row>
    <row r="202" spans="14:14" x14ac:dyDescent="0.25">
      <c r="N202" s="551"/>
    </row>
    <row r="203" spans="14:14" x14ac:dyDescent="0.25">
      <c r="N203" s="551"/>
    </row>
    <row r="204" spans="14:14" x14ac:dyDescent="0.25">
      <c r="N204" s="551"/>
    </row>
    <row r="205" spans="14:14" x14ac:dyDescent="0.25">
      <c r="N205" s="551"/>
    </row>
    <row r="206" spans="14:14" x14ac:dyDescent="0.25">
      <c r="N206" s="551"/>
    </row>
    <row r="207" spans="14:14" x14ac:dyDescent="0.25">
      <c r="N207" s="551"/>
    </row>
    <row r="208" spans="14:14" x14ac:dyDescent="0.25">
      <c r="N208" s="551"/>
    </row>
    <row r="209" spans="14:14" x14ac:dyDescent="0.25">
      <c r="N209" s="551"/>
    </row>
    <row r="210" spans="14:14" x14ac:dyDescent="0.25">
      <c r="N210" s="551"/>
    </row>
    <row r="211" spans="14:14" x14ac:dyDescent="0.25">
      <c r="N211" s="551"/>
    </row>
    <row r="212" spans="14:14" x14ac:dyDescent="0.25">
      <c r="N212" s="551"/>
    </row>
    <row r="213" spans="14:14" x14ac:dyDescent="0.25">
      <c r="N213" s="319"/>
    </row>
    <row r="214" spans="14:14" x14ac:dyDescent="0.25">
      <c r="N214" s="319"/>
    </row>
    <row r="215" spans="14:14" x14ac:dyDescent="0.25">
      <c r="N215" s="319"/>
    </row>
    <row r="216" spans="14:14" x14ac:dyDescent="0.25">
      <c r="N216" s="319"/>
    </row>
    <row r="217" spans="14:14" x14ac:dyDescent="0.25">
      <c r="N217" s="319"/>
    </row>
    <row r="218" spans="14:14" x14ac:dyDescent="0.25">
      <c r="N218" s="319"/>
    </row>
    <row r="219" spans="14:14" x14ac:dyDescent="0.25">
      <c r="N219" s="319"/>
    </row>
    <row r="220" spans="14:14" x14ac:dyDescent="0.25">
      <c r="N220" s="319"/>
    </row>
    <row r="221" spans="14:14" x14ac:dyDescent="0.25">
      <c r="N221" s="319"/>
    </row>
    <row r="222" spans="14:14" x14ac:dyDescent="0.25">
      <c r="N222" s="319"/>
    </row>
    <row r="223" spans="14:14" x14ac:dyDescent="0.25">
      <c r="N223" s="319"/>
    </row>
    <row r="224" spans="14:14" x14ac:dyDescent="0.25">
      <c r="N224" s="319"/>
    </row>
    <row r="225" spans="14:14" x14ac:dyDescent="0.25">
      <c r="N225" s="319"/>
    </row>
    <row r="226" spans="14:14" x14ac:dyDescent="0.25">
      <c r="N226" s="319"/>
    </row>
    <row r="227" spans="14:14" x14ac:dyDescent="0.25">
      <c r="N227" s="319"/>
    </row>
    <row r="228" spans="14:14" x14ac:dyDescent="0.25">
      <c r="N228" s="319"/>
    </row>
    <row r="229" spans="14:14" x14ac:dyDescent="0.25">
      <c r="N229" s="319"/>
    </row>
    <row r="230" spans="14:14" x14ac:dyDescent="0.25">
      <c r="N230" s="319"/>
    </row>
    <row r="231" spans="14:14" x14ac:dyDescent="0.25">
      <c r="N231" s="319"/>
    </row>
    <row r="232" spans="14:14" x14ac:dyDescent="0.25">
      <c r="N232" s="319"/>
    </row>
    <row r="233" spans="14:14" x14ac:dyDescent="0.25">
      <c r="N233" s="319"/>
    </row>
    <row r="234" spans="14:14" x14ac:dyDescent="0.25">
      <c r="N234" s="319"/>
    </row>
    <row r="235" spans="14:14" x14ac:dyDescent="0.25">
      <c r="N235" s="319"/>
    </row>
    <row r="236" spans="14:14" x14ac:dyDescent="0.25">
      <c r="N236" s="319"/>
    </row>
    <row r="237" spans="14:14" x14ac:dyDescent="0.25">
      <c r="N237" s="319"/>
    </row>
    <row r="238" spans="14:14" x14ac:dyDescent="0.25">
      <c r="N238" s="319"/>
    </row>
    <row r="239" spans="14:14" x14ac:dyDescent="0.25">
      <c r="N239" s="319"/>
    </row>
    <row r="240" spans="14:14" x14ac:dyDescent="0.25">
      <c r="N240" s="319"/>
    </row>
    <row r="241" spans="14:14" x14ac:dyDescent="0.25">
      <c r="N241" s="319"/>
    </row>
    <row r="242" spans="14:14" x14ac:dyDescent="0.25">
      <c r="N242" s="319"/>
    </row>
    <row r="243" spans="14:14" x14ac:dyDescent="0.25">
      <c r="N243" s="319"/>
    </row>
    <row r="244" spans="14:14" x14ac:dyDescent="0.25">
      <c r="N244" s="319"/>
    </row>
    <row r="245" spans="14:14" x14ac:dyDescent="0.25">
      <c r="N245" s="319"/>
    </row>
    <row r="246" spans="14:14" x14ac:dyDescent="0.25">
      <c r="N246" s="319"/>
    </row>
    <row r="247" spans="14:14" x14ac:dyDescent="0.25">
      <c r="N247" s="319"/>
    </row>
    <row r="248" spans="14:14" x14ac:dyDescent="0.25">
      <c r="N248" s="319"/>
    </row>
    <row r="249" spans="14:14" x14ac:dyDescent="0.25">
      <c r="N249" s="319"/>
    </row>
    <row r="250" spans="14:14" x14ac:dyDescent="0.25">
      <c r="N250" s="319"/>
    </row>
    <row r="251" spans="14:14" x14ac:dyDescent="0.25">
      <c r="N251" s="319"/>
    </row>
    <row r="252" spans="14:14" x14ac:dyDescent="0.25">
      <c r="N252" s="319"/>
    </row>
    <row r="253" spans="14:14" x14ac:dyDescent="0.25">
      <c r="N253" s="319"/>
    </row>
    <row r="254" spans="14:14" x14ac:dyDescent="0.25">
      <c r="N254" s="319"/>
    </row>
    <row r="255" spans="14:14" x14ac:dyDescent="0.25">
      <c r="N255" s="319"/>
    </row>
    <row r="256" spans="14:14" x14ac:dyDescent="0.25">
      <c r="N256" s="319"/>
    </row>
    <row r="257" spans="14:14" x14ac:dyDescent="0.25">
      <c r="N257" s="319"/>
    </row>
    <row r="258" spans="14:14" x14ac:dyDescent="0.25">
      <c r="N258" s="319"/>
    </row>
    <row r="259" spans="14:14" x14ac:dyDescent="0.25">
      <c r="N259" s="319"/>
    </row>
    <row r="260" spans="14:14" x14ac:dyDescent="0.25">
      <c r="N260" s="319"/>
    </row>
    <row r="261" spans="14:14" x14ac:dyDescent="0.25">
      <c r="N261" s="319"/>
    </row>
    <row r="262" spans="14:14" x14ac:dyDescent="0.25">
      <c r="N262" s="319"/>
    </row>
    <row r="263" spans="14:14" x14ac:dyDescent="0.25">
      <c r="N263" s="319"/>
    </row>
    <row r="264" spans="14:14" x14ac:dyDescent="0.25">
      <c r="N264" s="319"/>
    </row>
    <row r="265" spans="14:14" x14ac:dyDescent="0.25">
      <c r="N265" s="319"/>
    </row>
    <row r="266" spans="14:14" x14ac:dyDescent="0.25">
      <c r="N266" s="319"/>
    </row>
    <row r="267" spans="14:14" x14ac:dyDescent="0.25">
      <c r="N267" s="319"/>
    </row>
    <row r="268" spans="14:14" x14ac:dyDescent="0.25">
      <c r="N268" s="319"/>
    </row>
    <row r="269" spans="14:14" x14ac:dyDescent="0.25">
      <c r="N269" s="319"/>
    </row>
    <row r="270" spans="14:14" x14ac:dyDescent="0.25">
      <c r="N270" s="319"/>
    </row>
    <row r="271" spans="14:14" x14ac:dyDescent="0.25">
      <c r="N271" s="319"/>
    </row>
    <row r="272" spans="14:14" x14ac:dyDescent="0.25">
      <c r="N272" s="319"/>
    </row>
    <row r="273" spans="14:14" x14ac:dyDescent="0.25">
      <c r="N273" s="319"/>
    </row>
    <row r="274" spans="14:14" x14ac:dyDescent="0.25">
      <c r="N274" s="319"/>
    </row>
    <row r="275" spans="14:14" x14ac:dyDescent="0.25">
      <c r="N275" s="319"/>
    </row>
    <row r="276" spans="14:14" x14ac:dyDescent="0.25">
      <c r="N276" s="319"/>
    </row>
    <row r="277" spans="14:14" x14ac:dyDescent="0.25">
      <c r="N277" s="319"/>
    </row>
    <row r="278" spans="14:14" x14ac:dyDescent="0.25">
      <c r="N278" s="319"/>
    </row>
    <row r="279" spans="14:14" x14ac:dyDescent="0.25">
      <c r="N279" s="319"/>
    </row>
    <row r="280" spans="14:14" x14ac:dyDescent="0.25">
      <c r="N280" s="319"/>
    </row>
    <row r="281" spans="14:14" x14ac:dyDescent="0.25">
      <c r="N281" s="319"/>
    </row>
    <row r="282" spans="14:14" x14ac:dyDescent="0.25">
      <c r="N282" s="319"/>
    </row>
    <row r="283" spans="14:14" x14ac:dyDescent="0.25">
      <c r="N283" s="319"/>
    </row>
    <row r="284" spans="14:14" x14ac:dyDescent="0.25">
      <c r="N284" s="319"/>
    </row>
    <row r="285" spans="14:14" x14ac:dyDescent="0.25">
      <c r="N285" s="319"/>
    </row>
    <row r="286" spans="14:14" x14ac:dyDescent="0.25">
      <c r="N286" s="319"/>
    </row>
    <row r="287" spans="14:14" x14ac:dyDescent="0.25">
      <c r="N287" s="319"/>
    </row>
    <row r="288" spans="14:14" x14ac:dyDescent="0.25">
      <c r="N288" s="319"/>
    </row>
    <row r="289" spans="14:14" x14ac:dyDescent="0.25">
      <c r="N289" s="319"/>
    </row>
    <row r="290" spans="14:14" x14ac:dyDescent="0.25">
      <c r="N290" s="319"/>
    </row>
    <row r="291" spans="14:14" x14ac:dyDescent="0.25">
      <c r="N291" s="319"/>
    </row>
    <row r="292" spans="14:14" x14ac:dyDescent="0.25">
      <c r="N292" s="319"/>
    </row>
    <row r="293" spans="14:14" x14ac:dyDescent="0.25">
      <c r="N293" s="319"/>
    </row>
    <row r="294" spans="14:14" x14ac:dyDescent="0.25">
      <c r="N294" s="319"/>
    </row>
    <row r="295" spans="14:14" x14ac:dyDescent="0.25">
      <c r="N295" s="319"/>
    </row>
    <row r="296" spans="14:14" x14ac:dyDescent="0.25">
      <c r="N296" s="319"/>
    </row>
    <row r="297" spans="14:14" x14ac:dyDescent="0.25">
      <c r="N297" s="319"/>
    </row>
    <row r="298" spans="14:14" x14ac:dyDescent="0.25">
      <c r="N298" s="319"/>
    </row>
    <row r="299" spans="14:14" x14ac:dyDescent="0.25">
      <c r="N299" s="319"/>
    </row>
    <row r="300" spans="14:14" x14ac:dyDescent="0.25">
      <c r="N300" s="319"/>
    </row>
    <row r="301" spans="14:14" x14ac:dyDescent="0.25">
      <c r="N301" s="319"/>
    </row>
    <row r="302" spans="14:14" x14ac:dyDescent="0.25">
      <c r="N302" s="319"/>
    </row>
    <row r="303" spans="14:14" x14ac:dyDescent="0.25">
      <c r="N303" s="319"/>
    </row>
    <row r="304" spans="14:14" x14ac:dyDescent="0.25">
      <c r="N304" s="319"/>
    </row>
    <row r="305" spans="14:14" x14ac:dyDescent="0.25">
      <c r="N305" s="319"/>
    </row>
    <row r="306" spans="14:14" x14ac:dyDescent="0.25">
      <c r="N306" s="319"/>
    </row>
    <row r="307" spans="14:14" x14ac:dyDescent="0.25">
      <c r="N307" s="319"/>
    </row>
    <row r="308" spans="14:14" x14ac:dyDescent="0.25">
      <c r="N308" s="319"/>
    </row>
    <row r="309" spans="14:14" x14ac:dyDescent="0.25">
      <c r="N309" s="319"/>
    </row>
    <row r="310" spans="14:14" x14ac:dyDescent="0.25">
      <c r="N310" s="319"/>
    </row>
    <row r="311" spans="14:14" x14ac:dyDescent="0.25">
      <c r="N311" s="319"/>
    </row>
    <row r="312" spans="14:14" x14ac:dyDescent="0.25">
      <c r="N312" s="319"/>
    </row>
    <row r="313" spans="14:14" x14ac:dyDescent="0.25">
      <c r="N313" s="319"/>
    </row>
    <row r="314" spans="14:14" x14ac:dyDescent="0.25">
      <c r="N314" s="319"/>
    </row>
    <row r="315" spans="14:14" x14ac:dyDescent="0.25">
      <c r="N315" s="319"/>
    </row>
    <row r="316" spans="14:14" x14ac:dyDescent="0.25">
      <c r="N316" s="319"/>
    </row>
    <row r="317" spans="14:14" x14ac:dyDescent="0.25">
      <c r="N317" s="319"/>
    </row>
    <row r="318" spans="14:14" x14ac:dyDescent="0.25">
      <c r="N318" s="319"/>
    </row>
    <row r="319" spans="14:14" x14ac:dyDescent="0.25">
      <c r="N319" s="319"/>
    </row>
    <row r="320" spans="14:14" x14ac:dyDescent="0.25">
      <c r="N320" s="319"/>
    </row>
    <row r="321" spans="14:14" x14ac:dyDescent="0.25">
      <c r="N321" s="319"/>
    </row>
    <row r="322" spans="14:14" x14ac:dyDescent="0.25">
      <c r="N322" s="319"/>
    </row>
    <row r="323" spans="14:14" x14ac:dyDescent="0.25">
      <c r="N323" s="319"/>
    </row>
    <row r="324" spans="14:14" x14ac:dyDescent="0.25">
      <c r="N324" s="319"/>
    </row>
    <row r="325" spans="14:14" x14ac:dyDescent="0.25">
      <c r="N325" s="319"/>
    </row>
    <row r="326" spans="14:14" x14ac:dyDescent="0.25">
      <c r="N326" s="319"/>
    </row>
    <row r="327" spans="14:14" x14ac:dyDescent="0.25">
      <c r="N327" s="319"/>
    </row>
    <row r="328" spans="14:14" x14ac:dyDescent="0.25">
      <c r="N328" s="319"/>
    </row>
    <row r="329" spans="14:14" x14ac:dyDescent="0.25">
      <c r="N329" s="319"/>
    </row>
    <row r="330" spans="14:14" x14ac:dyDescent="0.25">
      <c r="N330" s="319"/>
    </row>
    <row r="331" spans="14:14" x14ac:dyDescent="0.25">
      <c r="N331" s="319"/>
    </row>
    <row r="332" spans="14:14" x14ac:dyDescent="0.25">
      <c r="N332" s="319"/>
    </row>
    <row r="333" spans="14:14" x14ac:dyDescent="0.25">
      <c r="N333" s="319"/>
    </row>
    <row r="334" spans="14:14" x14ac:dyDescent="0.25">
      <c r="N334" s="319"/>
    </row>
    <row r="335" spans="14:14" x14ac:dyDescent="0.25">
      <c r="N335" s="319"/>
    </row>
    <row r="336" spans="14:14" x14ac:dyDescent="0.25">
      <c r="N336" s="319"/>
    </row>
    <row r="337" spans="14:14" x14ac:dyDescent="0.25">
      <c r="N337" s="319"/>
    </row>
    <row r="338" spans="14:14" x14ac:dyDescent="0.25">
      <c r="N338" s="319"/>
    </row>
    <row r="339" spans="14:14" x14ac:dyDescent="0.25">
      <c r="N339" s="319"/>
    </row>
    <row r="340" spans="14:14" x14ac:dyDescent="0.25">
      <c r="N340" s="319"/>
    </row>
    <row r="341" spans="14:14" x14ac:dyDescent="0.25">
      <c r="N341" s="319"/>
    </row>
    <row r="342" spans="14:14" x14ac:dyDescent="0.25">
      <c r="N342" s="319"/>
    </row>
    <row r="343" spans="14:14" x14ac:dyDescent="0.25">
      <c r="N343" s="319"/>
    </row>
    <row r="344" spans="14:14" x14ac:dyDescent="0.25">
      <c r="N344" s="319"/>
    </row>
    <row r="345" spans="14:14" x14ac:dyDescent="0.25">
      <c r="N345" s="319"/>
    </row>
    <row r="346" spans="14:14" x14ac:dyDescent="0.25">
      <c r="N346" s="319"/>
    </row>
    <row r="347" spans="14:14" x14ac:dyDescent="0.25">
      <c r="N347" s="319"/>
    </row>
    <row r="348" spans="14:14" x14ac:dyDescent="0.25">
      <c r="N348" s="319"/>
    </row>
    <row r="349" spans="14:14" x14ac:dyDescent="0.25">
      <c r="N349" s="319"/>
    </row>
    <row r="350" spans="14:14" x14ac:dyDescent="0.25">
      <c r="N350" s="319"/>
    </row>
    <row r="351" spans="14:14" x14ac:dyDescent="0.25">
      <c r="N351" s="319"/>
    </row>
    <row r="352" spans="14:14" x14ac:dyDescent="0.25">
      <c r="N352" s="319"/>
    </row>
    <row r="353" spans="14:14" x14ac:dyDescent="0.25">
      <c r="N353" s="319"/>
    </row>
    <row r="354" spans="14:14" x14ac:dyDescent="0.25">
      <c r="N354" s="319"/>
    </row>
    <row r="355" spans="14:14" x14ac:dyDescent="0.25">
      <c r="N355" s="319"/>
    </row>
    <row r="356" spans="14:14" x14ac:dyDescent="0.25">
      <c r="N356" s="319"/>
    </row>
    <row r="357" spans="14:14" x14ac:dyDescent="0.25">
      <c r="N357" s="319"/>
    </row>
    <row r="358" spans="14:14" x14ac:dyDescent="0.25">
      <c r="N358" s="319"/>
    </row>
    <row r="359" spans="14:14" x14ac:dyDescent="0.25">
      <c r="N359" s="319"/>
    </row>
    <row r="360" spans="14:14" x14ac:dyDescent="0.25">
      <c r="N360" s="319"/>
    </row>
    <row r="361" spans="14:14" x14ac:dyDescent="0.25">
      <c r="N361" s="319"/>
    </row>
    <row r="362" spans="14:14" x14ac:dyDescent="0.25">
      <c r="N362" s="319"/>
    </row>
    <row r="363" spans="14:14" x14ac:dyDescent="0.25">
      <c r="N363" s="319"/>
    </row>
    <row r="364" spans="14:14" x14ac:dyDescent="0.25">
      <c r="N364" s="319"/>
    </row>
    <row r="365" spans="14:14" x14ac:dyDescent="0.25">
      <c r="N365" s="319"/>
    </row>
    <row r="366" spans="14:14" x14ac:dyDescent="0.25">
      <c r="N366" s="319"/>
    </row>
    <row r="367" spans="14:14" x14ac:dyDescent="0.25">
      <c r="N367" s="319"/>
    </row>
    <row r="368" spans="14:14" x14ac:dyDescent="0.25">
      <c r="N368" s="319"/>
    </row>
    <row r="369" spans="14:14" x14ac:dyDescent="0.25">
      <c r="N369" s="319"/>
    </row>
    <row r="370" spans="14:14" x14ac:dyDescent="0.25">
      <c r="N370" s="319"/>
    </row>
    <row r="371" spans="14:14" x14ac:dyDescent="0.25">
      <c r="N371" s="319"/>
    </row>
    <row r="372" spans="14:14" x14ac:dyDescent="0.25">
      <c r="N372" s="319"/>
    </row>
    <row r="373" spans="14:14" x14ac:dyDescent="0.25">
      <c r="N373" s="319"/>
    </row>
    <row r="374" spans="14:14" x14ac:dyDescent="0.25">
      <c r="N374" s="319"/>
    </row>
    <row r="375" spans="14:14" x14ac:dyDescent="0.25">
      <c r="N375" s="319"/>
    </row>
    <row r="376" spans="14:14" x14ac:dyDescent="0.25">
      <c r="N376" s="319"/>
    </row>
    <row r="377" spans="14:14" x14ac:dyDescent="0.25">
      <c r="N377" s="319"/>
    </row>
    <row r="378" spans="14:14" x14ac:dyDescent="0.25">
      <c r="N378" s="319"/>
    </row>
    <row r="379" spans="14:14" x14ac:dyDescent="0.25">
      <c r="N379" s="319"/>
    </row>
    <row r="380" spans="14:14" x14ac:dyDescent="0.25">
      <c r="N380" s="319"/>
    </row>
    <row r="381" spans="14:14" x14ac:dyDescent="0.25">
      <c r="N381" s="319"/>
    </row>
    <row r="382" spans="14:14" x14ac:dyDescent="0.25">
      <c r="N382" s="319"/>
    </row>
    <row r="383" spans="14:14" x14ac:dyDescent="0.25">
      <c r="N383" s="319"/>
    </row>
    <row r="384" spans="14:14" x14ac:dyDescent="0.25">
      <c r="N384" s="319"/>
    </row>
    <row r="385" spans="14:14" x14ac:dyDescent="0.25">
      <c r="N385" s="319"/>
    </row>
    <row r="386" spans="14:14" x14ac:dyDescent="0.25">
      <c r="N386" s="319"/>
    </row>
    <row r="387" spans="14:14" x14ac:dyDescent="0.25">
      <c r="N387" s="319"/>
    </row>
    <row r="388" spans="14:14" x14ac:dyDescent="0.25">
      <c r="N388" s="319"/>
    </row>
    <row r="389" spans="14:14" x14ac:dyDescent="0.25">
      <c r="N389" s="319"/>
    </row>
    <row r="390" spans="14:14" x14ac:dyDescent="0.25">
      <c r="N390" s="319"/>
    </row>
    <row r="391" spans="14:14" x14ac:dyDescent="0.25">
      <c r="N391" s="319"/>
    </row>
    <row r="392" spans="14:14" x14ac:dyDescent="0.25">
      <c r="N392" s="319"/>
    </row>
    <row r="393" spans="14:14" x14ac:dyDescent="0.25">
      <c r="N393" s="319"/>
    </row>
    <row r="394" spans="14:14" x14ac:dyDescent="0.25">
      <c r="N394" s="319"/>
    </row>
    <row r="395" spans="14:14" x14ac:dyDescent="0.25">
      <c r="N395" s="319"/>
    </row>
    <row r="396" spans="14:14" x14ac:dyDescent="0.25">
      <c r="N396" s="319"/>
    </row>
    <row r="397" spans="14:14" x14ac:dyDescent="0.25">
      <c r="N397" s="319"/>
    </row>
    <row r="398" spans="14:14" x14ac:dyDescent="0.25">
      <c r="N398" s="319"/>
    </row>
    <row r="399" spans="14:14" x14ac:dyDescent="0.25">
      <c r="N399" s="319"/>
    </row>
    <row r="400" spans="14:14" x14ac:dyDescent="0.25">
      <c r="N400" s="319"/>
    </row>
    <row r="401" spans="14:14" x14ac:dyDescent="0.25">
      <c r="N401" s="319"/>
    </row>
    <row r="402" spans="14:14" x14ac:dyDescent="0.25">
      <c r="N402" s="319"/>
    </row>
    <row r="403" spans="14:14" x14ac:dyDescent="0.25">
      <c r="N403" s="319"/>
    </row>
    <row r="404" spans="14:14" x14ac:dyDescent="0.25">
      <c r="N404" s="319"/>
    </row>
    <row r="405" spans="14:14" x14ac:dyDescent="0.25">
      <c r="N405" s="319"/>
    </row>
    <row r="406" spans="14:14" x14ac:dyDescent="0.25">
      <c r="N406" s="319"/>
    </row>
    <row r="407" spans="14:14" x14ac:dyDescent="0.25">
      <c r="N407" s="319"/>
    </row>
    <row r="408" spans="14:14" x14ac:dyDescent="0.25">
      <c r="N408" s="319"/>
    </row>
    <row r="409" spans="14:14" x14ac:dyDescent="0.25">
      <c r="N409" s="319"/>
    </row>
    <row r="410" spans="14:14" x14ac:dyDescent="0.25">
      <c r="N410" s="319"/>
    </row>
    <row r="411" spans="14:14" x14ac:dyDescent="0.25">
      <c r="N411" s="319"/>
    </row>
    <row r="412" spans="14:14" x14ac:dyDescent="0.25">
      <c r="N412" s="319"/>
    </row>
    <row r="413" spans="14:14" x14ac:dyDescent="0.25">
      <c r="N413" s="319"/>
    </row>
    <row r="414" spans="14:14" x14ac:dyDescent="0.25">
      <c r="N414" s="319"/>
    </row>
    <row r="415" spans="14:14" x14ac:dyDescent="0.25">
      <c r="N415" s="319"/>
    </row>
    <row r="416" spans="14:14" x14ac:dyDescent="0.25">
      <c r="N416" s="319"/>
    </row>
    <row r="417" spans="14:14" x14ac:dyDescent="0.25">
      <c r="N417" s="319"/>
    </row>
    <row r="418" spans="14:14" x14ac:dyDescent="0.25">
      <c r="N418" s="319"/>
    </row>
    <row r="419" spans="14:14" x14ac:dyDescent="0.25">
      <c r="N419" s="319"/>
    </row>
    <row r="420" spans="14:14" x14ac:dyDescent="0.25">
      <c r="N420" s="319"/>
    </row>
    <row r="421" spans="14:14" x14ac:dyDescent="0.25">
      <c r="N421" s="319"/>
    </row>
    <row r="422" spans="14:14" x14ac:dyDescent="0.25">
      <c r="N422" s="319"/>
    </row>
    <row r="423" spans="14:14" x14ac:dyDescent="0.25">
      <c r="N423" s="319"/>
    </row>
    <row r="424" spans="14:14" x14ac:dyDescent="0.25">
      <c r="N424" s="319"/>
    </row>
    <row r="425" spans="14:14" x14ac:dyDescent="0.25">
      <c r="N425" s="319"/>
    </row>
    <row r="426" spans="14:14" x14ac:dyDescent="0.25">
      <c r="N426" s="319"/>
    </row>
    <row r="427" spans="14:14" x14ac:dyDescent="0.25">
      <c r="N427" s="319"/>
    </row>
    <row r="428" spans="14:14" x14ac:dyDescent="0.25">
      <c r="N428" s="319"/>
    </row>
    <row r="429" spans="14:14" x14ac:dyDescent="0.25">
      <c r="N429" s="319"/>
    </row>
    <row r="430" spans="14:14" x14ac:dyDescent="0.25">
      <c r="N430" s="319"/>
    </row>
    <row r="431" spans="14:14" x14ac:dyDescent="0.25">
      <c r="N431" s="319"/>
    </row>
    <row r="432" spans="14:14" x14ac:dyDescent="0.25">
      <c r="N432" s="319"/>
    </row>
    <row r="433" spans="14:14" x14ac:dyDescent="0.25">
      <c r="N433" s="319"/>
    </row>
    <row r="434" spans="14:14" x14ac:dyDescent="0.25">
      <c r="N434" s="319"/>
    </row>
    <row r="435" spans="14:14" x14ac:dyDescent="0.25">
      <c r="N435" s="319"/>
    </row>
    <row r="436" spans="14:14" x14ac:dyDescent="0.25">
      <c r="N436" s="319"/>
    </row>
    <row r="437" spans="14:14" x14ac:dyDescent="0.25">
      <c r="N437" s="319"/>
    </row>
    <row r="438" spans="14:14" x14ac:dyDescent="0.25">
      <c r="N438" s="319"/>
    </row>
    <row r="439" spans="14:14" x14ac:dyDescent="0.25">
      <c r="N439" s="319"/>
    </row>
    <row r="440" spans="14:14" x14ac:dyDescent="0.25">
      <c r="N440" s="319"/>
    </row>
    <row r="441" spans="14:14" x14ac:dyDescent="0.25">
      <c r="N441" s="319"/>
    </row>
    <row r="442" spans="14:14" x14ac:dyDescent="0.25">
      <c r="N442" s="319"/>
    </row>
    <row r="443" spans="14:14" x14ac:dyDescent="0.25">
      <c r="N443" s="319"/>
    </row>
    <row r="444" spans="14:14" x14ac:dyDescent="0.25">
      <c r="N444" s="319"/>
    </row>
    <row r="445" spans="14:14" x14ac:dyDescent="0.25">
      <c r="N445" s="319"/>
    </row>
    <row r="446" spans="14:14" x14ac:dyDescent="0.25">
      <c r="N446" s="319"/>
    </row>
    <row r="447" spans="14:14" x14ac:dyDescent="0.25">
      <c r="N447" s="319"/>
    </row>
    <row r="448" spans="14:14" x14ac:dyDescent="0.25">
      <c r="N448" s="319"/>
    </row>
    <row r="449" spans="14:14" x14ac:dyDescent="0.25">
      <c r="N449" s="319"/>
    </row>
    <row r="450" spans="14:14" x14ac:dyDescent="0.25">
      <c r="N450" s="319"/>
    </row>
    <row r="451" spans="14:14" x14ac:dyDescent="0.25">
      <c r="N451" s="319"/>
    </row>
    <row r="452" spans="14:14" x14ac:dyDescent="0.25">
      <c r="N452" s="319"/>
    </row>
    <row r="453" spans="14:14" x14ac:dyDescent="0.25">
      <c r="N453" s="319"/>
    </row>
    <row r="454" spans="14:14" x14ac:dyDescent="0.25">
      <c r="N454" s="319"/>
    </row>
    <row r="455" spans="14:14" x14ac:dyDescent="0.25">
      <c r="N455" s="319"/>
    </row>
    <row r="456" spans="14:14" x14ac:dyDescent="0.25">
      <c r="N456" s="319"/>
    </row>
    <row r="457" spans="14:14" x14ac:dyDescent="0.25">
      <c r="N457" s="319"/>
    </row>
    <row r="458" spans="14:14" x14ac:dyDescent="0.25">
      <c r="N458" s="319"/>
    </row>
    <row r="459" spans="14:14" x14ac:dyDescent="0.25">
      <c r="N459" s="319"/>
    </row>
    <row r="460" spans="14:14" x14ac:dyDescent="0.25">
      <c r="N460" s="319"/>
    </row>
    <row r="461" spans="14:14" x14ac:dyDescent="0.25">
      <c r="N461" s="319"/>
    </row>
    <row r="462" spans="14:14" x14ac:dyDescent="0.25">
      <c r="N462" s="319"/>
    </row>
    <row r="463" spans="14:14" x14ac:dyDescent="0.25">
      <c r="N463" s="319"/>
    </row>
    <row r="464" spans="14:14" x14ac:dyDescent="0.25">
      <c r="N464" s="319"/>
    </row>
    <row r="465" spans="14:14" x14ac:dyDescent="0.25">
      <c r="N465" s="319"/>
    </row>
    <row r="466" spans="14:14" x14ac:dyDescent="0.25">
      <c r="N466" s="319"/>
    </row>
    <row r="467" spans="14:14" x14ac:dyDescent="0.25">
      <c r="N467" s="319"/>
    </row>
    <row r="468" spans="14:14" x14ac:dyDescent="0.25">
      <c r="N468" s="319"/>
    </row>
    <row r="469" spans="14:14" x14ac:dyDescent="0.25">
      <c r="N469" s="319"/>
    </row>
    <row r="470" spans="14:14" x14ac:dyDescent="0.25">
      <c r="N470" s="319"/>
    </row>
    <row r="471" spans="14:14" x14ac:dyDescent="0.25">
      <c r="N471" s="319"/>
    </row>
    <row r="472" spans="14:14" x14ac:dyDescent="0.25">
      <c r="N472" s="319"/>
    </row>
    <row r="473" spans="14:14" x14ac:dyDescent="0.25">
      <c r="N473" s="319"/>
    </row>
    <row r="474" spans="14:14" x14ac:dyDescent="0.25">
      <c r="N474" s="319"/>
    </row>
    <row r="475" spans="14:14" x14ac:dyDescent="0.25">
      <c r="N475" s="319"/>
    </row>
    <row r="476" spans="14:14" x14ac:dyDescent="0.25">
      <c r="N476" s="319"/>
    </row>
    <row r="477" spans="14:14" x14ac:dyDescent="0.25">
      <c r="N477" s="319"/>
    </row>
    <row r="478" spans="14:14" x14ac:dyDescent="0.25">
      <c r="N478" s="319"/>
    </row>
    <row r="479" spans="14:14" x14ac:dyDescent="0.25">
      <c r="N479" s="319"/>
    </row>
    <row r="480" spans="14:14" x14ac:dyDescent="0.25">
      <c r="N480" s="319"/>
    </row>
    <row r="481" spans="14:14" x14ac:dyDescent="0.25">
      <c r="N481" s="319"/>
    </row>
    <row r="482" spans="14:14" x14ac:dyDescent="0.25">
      <c r="N482" s="319"/>
    </row>
    <row r="483" spans="14:14" x14ac:dyDescent="0.25">
      <c r="N483" s="319"/>
    </row>
    <row r="484" spans="14:14" x14ac:dyDescent="0.25">
      <c r="N484" s="319"/>
    </row>
    <row r="485" spans="14:14" x14ac:dyDescent="0.25">
      <c r="N485" s="319"/>
    </row>
    <row r="486" spans="14:14" x14ac:dyDescent="0.25">
      <c r="N486" s="319"/>
    </row>
    <row r="487" spans="14:14" x14ac:dyDescent="0.25">
      <c r="N487" s="319"/>
    </row>
    <row r="488" spans="14:14" x14ac:dyDescent="0.25">
      <c r="N488" s="319"/>
    </row>
    <row r="489" spans="14:14" x14ac:dyDescent="0.25">
      <c r="N489" s="319"/>
    </row>
    <row r="490" spans="14:14" x14ac:dyDescent="0.25">
      <c r="N490" s="319"/>
    </row>
    <row r="491" spans="14:14" x14ac:dyDescent="0.25">
      <c r="N491" s="319"/>
    </row>
    <row r="492" spans="14:14" x14ac:dyDescent="0.25">
      <c r="N492" s="319"/>
    </row>
    <row r="493" spans="14:14" x14ac:dyDescent="0.25">
      <c r="N493" s="319"/>
    </row>
    <row r="494" spans="14:14" x14ac:dyDescent="0.25">
      <c r="N494" s="319"/>
    </row>
    <row r="495" spans="14:14" x14ac:dyDescent="0.25">
      <c r="N495" s="319"/>
    </row>
    <row r="496" spans="14:14" x14ac:dyDescent="0.25">
      <c r="N496" s="319"/>
    </row>
    <row r="497" spans="14:14" x14ac:dyDescent="0.25">
      <c r="N497" s="319"/>
    </row>
    <row r="498" spans="14:14" x14ac:dyDescent="0.25">
      <c r="N498" s="319"/>
    </row>
    <row r="499" spans="14:14" x14ac:dyDescent="0.25">
      <c r="N499" s="319"/>
    </row>
    <row r="500" spans="14:14" x14ac:dyDescent="0.25">
      <c r="N500" s="319"/>
    </row>
    <row r="501" spans="14:14" x14ac:dyDescent="0.25">
      <c r="N501" s="319"/>
    </row>
    <row r="502" spans="14:14" x14ac:dyDescent="0.25">
      <c r="N502" s="319"/>
    </row>
    <row r="503" spans="14:14" x14ac:dyDescent="0.25">
      <c r="N503" s="319"/>
    </row>
    <row r="504" spans="14:14" x14ac:dyDescent="0.25">
      <c r="N504" s="319"/>
    </row>
    <row r="505" spans="14:14" x14ac:dyDescent="0.25">
      <c r="N505" s="319"/>
    </row>
    <row r="506" spans="14:14" x14ac:dyDescent="0.25">
      <c r="N506" s="319"/>
    </row>
    <row r="507" spans="14:14" x14ac:dyDescent="0.25">
      <c r="N507" s="319"/>
    </row>
    <row r="508" spans="14:14" x14ac:dyDescent="0.25">
      <c r="N508" s="319"/>
    </row>
    <row r="509" spans="14:14" x14ac:dyDescent="0.25">
      <c r="N509" s="319"/>
    </row>
    <row r="510" spans="14:14" x14ac:dyDescent="0.25">
      <c r="N510" s="319"/>
    </row>
    <row r="511" spans="14:14" x14ac:dyDescent="0.25">
      <c r="N511" s="319"/>
    </row>
    <row r="512" spans="14:14" x14ac:dyDescent="0.25">
      <c r="N512" s="319"/>
    </row>
    <row r="513" spans="14:14" x14ac:dyDescent="0.25">
      <c r="N513" s="319"/>
    </row>
    <row r="514" spans="14:14" x14ac:dyDescent="0.25">
      <c r="N514" s="319"/>
    </row>
    <row r="515" spans="14:14" x14ac:dyDescent="0.25">
      <c r="N515" s="319"/>
    </row>
    <row r="516" spans="14:14" x14ac:dyDescent="0.25">
      <c r="N516" s="319"/>
    </row>
    <row r="517" spans="14:14" x14ac:dyDescent="0.25">
      <c r="N517" s="319"/>
    </row>
    <row r="518" spans="14:14" x14ac:dyDescent="0.25">
      <c r="N518" s="319"/>
    </row>
    <row r="519" spans="14:14" x14ac:dyDescent="0.25">
      <c r="N519" s="319"/>
    </row>
    <row r="520" spans="14:14" x14ac:dyDescent="0.25">
      <c r="N520" s="319"/>
    </row>
    <row r="521" spans="14:14" x14ac:dyDescent="0.25">
      <c r="N521" s="319"/>
    </row>
    <row r="522" spans="14:14" x14ac:dyDescent="0.25">
      <c r="N522" s="319"/>
    </row>
    <row r="523" spans="14:14" x14ac:dyDescent="0.25">
      <c r="N523" s="319"/>
    </row>
    <row r="524" spans="14:14" x14ac:dyDescent="0.25">
      <c r="N524" s="319"/>
    </row>
    <row r="525" spans="14:14" x14ac:dyDescent="0.25">
      <c r="N525" s="319"/>
    </row>
    <row r="526" spans="14:14" x14ac:dyDescent="0.25">
      <c r="N526" s="319"/>
    </row>
    <row r="527" spans="14:14" x14ac:dyDescent="0.25">
      <c r="N527" s="319"/>
    </row>
    <row r="528" spans="14:14" x14ac:dyDescent="0.25">
      <c r="N528" s="319"/>
    </row>
    <row r="529" spans="14:14" x14ac:dyDescent="0.25">
      <c r="N529" s="319"/>
    </row>
    <row r="530" spans="14:14" x14ac:dyDescent="0.25">
      <c r="N530" s="319"/>
    </row>
    <row r="531" spans="14:14" x14ac:dyDescent="0.25">
      <c r="N531" s="319"/>
    </row>
    <row r="532" spans="14:14" x14ac:dyDescent="0.25">
      <c r="N532" s="319"/>
    </row>
    <row r="533" spans="14:14" x14ac:dyDescent="0.25">
      <c r="N533" s="319"/>
    </row>
    <row r="534" spans="14:14" x14ac:dyDescent="0.25">
      <c r="N534" s="319"/>
    </row>
    <row r="535" spans="14:14" x14ac:dyDescent="0.25">
      <c r="N535" s="319"/>
    </row>
    <row r="536" spans="14:14" x14ac:dyDescent="0.25">
      <c r="N536" s="319"/>
    </row>
    <row r="537" spans="14:14" x14ac:dyDescent="0.25">
      <c r="N537" s="319"/>
    </row>
    <row r="538" spans="14:14" x14ac:dyDescent="0.25">
      <c r="N538" s="319"/>
    </row>
    <row r="539" spans="14:14" x14ac:dyDescent="0.25">
      <c r="N539" s="319"/>
    </row>
    <row r="540" spans="14:14" x14ac:dyDescent="0.25">
      <c r="N540" s="319"/>
    </row>
    <row r="541" spans="14:14" x14ac:dyDescent="0.25">
      <c r="N541" s="319"/>
    </row>
    <row r="542" spans="14:14" x14ac:dyDescent="0.25">
      <c r="N542" s="319"/>
    </row>
    <row r="543" spans="14:14" x14ac:dyDescent="0.25">
      <c r="N543" s="319"/>
    </row>
    <row r="544" spans="14:14" x14ac:dyDescent="0.25">
      <c r="N544" s="319"/>
    </row>
    <row r="545" spans="14:14" x14ac:dyDescent="0.25">
      <c r="N545" s="319"/>
    </row>
    <row r="546" spans="14:14" x14ac:dyDescent="0.25">
      <c r="N546" s="319"/>
    </row>
    <row r="547" spans="14:14" x14ac:dyDescent="0.25">
      <c r="N547" s="319"/>
    </row>
    <row r="548" spans="14:14" x14ac:dyDescent="0.25">
      <c r="N548" s="319"/>
    </row>
    <row r="549" spans="14:14" x14ac:dyDescent="0.25">
      <c r="N549" s="319"/>
    </row>
    <row r="550" spans="14:14" x14ac:dyDescent="0.25">
      <c r="N550" s="319"/>
    </row>
    <row r="551" spans="14:14" x14ac:dyDescent="0.25">
      <c r="N551" s="319"/>
    </row>
    <row r="552" spans="14:14" x14ac:dyDescent="0.25">
      <c r="N552" s="319"/>
    </row>
    <row r="553" spans="14:14" x14ac:dyDescent="0.25">
      <c r="N553" s="319"/>
    </row>
    <row r="554" spans="14:14" x14ac:dyDescent="0.25">
      <c r="N554" s="319"/>
    </row>
    <row r="555" spans="14:14" x14ac:dyDescent="0.25">
      <c r="N555" s="319"/>
    </row>
    <row r="556" spans="14:14" x14ac:dyDescent="0.25">
      <c r="N556" s="319"/>
    </row>
    <row r="557" spans="14:14" x14ac:dyDescent="0.25">
      <c r="N557" s="319"/>
    </row>
    <row r="558" spans="14:14" x14ac:dyDescent="0.25">
      <c r="N558" s="319"/>
    </row>
    <row r="559" spans="14:14" x14ac:dyDescent="0.25">
      <c r="N559" s="319"/>
    </row>
    <row r="560" spans="14:14" x14ac:dyDescent="0.25">
      <c r="N560" s="319"/>
    </row>
    <row r="561" spans="14:14" x14ac:dyDescent="0.25">
      <c r="N561" s="319"/>
    </row>
    <row r="562" spans="14:14" x14ac:dyDescent="0.25">
      <c r="N562" s="319"/>
    </row>
    <row r="563" spans="14:14" x14ac:dyDescent="0.25">
      <c r="N563" s="319"/>
    </row>
    <row r="564" spans="14:14" x14ac:dyDescent="0.25">
      <c r="N564" s="319"/>
    </row>
    <row r="565" spans="14:14" x14ac:dyDescent="0.25">
      <c r="N565" s="319"/>
    </row>
    <row r="566" spans="14:14" x14ac:dyDescent="0.25">
      <c r="N566" s="319"/>
    </row>
    <row r="567" spans="14:14" x14ac:dyDescent="0.25">
      <c r="N567" s="319"/>
    </row>
    <row r="568" spans="14:14" x14ac:dyDescent="0.25">
      <c r="N568" s="319"/>
    </row>
    <row r="569" spans="14:14" x14ac:dyDescent="0.25">
      <c r="N569" s="319"/>
    </row>
    <row r="570" spans="14:14" x14ac:dyDescent="0.25">
      <c r="N570" s="319"/>
    </row>
    <row r="571" spans="14:14" x14ac:dyDescent="0.25">
      <c r="N571" s="319"/>
    </row>
    <row r="572" spans="14:14" x14ac:dyDescent="0.25">
      <c r="N572" s="319"/>
    </row>
    <row r="573" spans="14:14" x14ac:dyDescent="0.25">
      <c r="N573" s="319"/>
    </row>
    <row r="574" spans="14:14" x14ac:dyDescent="0.25">
      <c r="N574" s="319"/>
    </row>
    <row r="575" spans="14:14" x14ac:dyDescent="0.25">
      <c r="N575" s="319"/>
    </row>
    <row r="576" spans="14:14" x14ac:dyDescent="0.25">
      <c r="N576" s="319"/>
    </row>
    <row r="577" spans="14:14" x14ac:dyDescent="0.25">
      <c r="N577" s="319"/>
    </row>
    <row r="578" spans="14:14" x14ac:dyDescent="0.25">
      <c r="N578" s="319"/>
    </row>
    <row r="579" spans="14:14" x14ac:dyDescent="0.25">
      <c r="N579" s="319"/>
    </row>
    <row r="580" spans="14:14" x14ac:dyDescent="0.25">
      <c r="N580" s="319"/>
    </row>
    <row r="581" spans="14:14" x14ac:dyDescent="0.25">
      <c r="N581" s="319"/>
    </row>
    <row r="582" spans="14:14" x14ac:dyDescent="0.25">
      <c r="N582" s="319"/>
    </row>
    <row r="583" spans="14:14" x14ac:dyDescent="0.25">
      <c r="N583" s="319"/>
    </row>
    <row r="584" spans="14:14" x14ac:dyDescent="0.25">
      <c r="N584" s="319"/>
    </row>
    <row r="585" spans="14:14" x14ac:dyDescent="0.25">
      <c r="N585" s="319"/>
    </row>
    <row r="586" spans="14:14" x14ac:dyDescent="0.25">
      <c r="N586" s="319"/>
    </row>
    <row r="587" spans="14:14" x14ac:dyDescent="0.25">
      <c r="N587" s="319"/>
    </row>
    <row r="588" spans="14:14" x14ac:dyDescent="0.25">
      <c r="N588" s="319"/>
    </row>
    <row r="589" spans="14:14" x14ac:dyDescent="0.25">
      <c r="N589" s="319"/>
    </row>
    <row r="590" spans="14:14" x14ac:dyDescent="0.25">
      <c r="N590" s="319"/>
    </row>
    <row r="591" spans="14:14" x14ac:dyDescent="0.25">
      <c r="N591" s="319"/>
    </row>
    <row r="592" spans="14:14" x14ac:dyDescent="0.25">
      <c r="N592" s="319"/>
    </row>
    <row r="593" spans="14:14" x14ac:dyDescent="0.25">
      <c r="N593" s="319"/>
    </row>
    <row r="594" spans="14:14" x14ac:dyDescent="0.25">
      <c r="N594" s="319"/>
    </row>
    <row r="595" spans="14:14" x14ac:dyDescent="0.25">
      <c r="N595" s="319"/>
    </row>
    <row r="596" spans="14:14" x14ac:dyDescent="0.25">
      <c r="N596" s="319"/>
    </row>
    <row r="597" spans="14:14" x14ac:dyDescent="0.25">
      <c r="N597" s="319"/>
    </row>
    <row r="598" spans="14:14" x14ac:dyDescent="0.25">
      <c r="N598" s="319"/>
    </row>
    <row r="599" spans="14:14" x14ac:dyDescent="0.25">
      <c r="N599" s="319"/>
    </row>
    <row r="600" spans="14:14" x14ac:dyDescent="0.25">
      <c r="N600" s="319"/>
    </row>
    <row r="601" spans="14:14" x14ac:dyDescent="0.25">
      <c r="N601" s="319"/>
    </row>
    <row r="602" spans="14:14" x14ac:dyDescent="0.25">
      <c r="N602" s="319"/>
    </row>
    <row r="603" spans="14:14" x14ac:dyDescent="0.25">
      <c r="N603" s="319"/>
    </row>
    <row r="604" spans="14:14" x14ac:dyDescent="0.25">
      <c r="N604" s="319"/>
    </row>
    <row r="605" spans="14:14" x14ac:dyDescent="0.25">
      <c r="N605" s="319"/>
    </row>
    <row r="606" spans="14:14" x14ac:dyDescent="0.25">
      <c r="N606" s="319"/>
    </row>
    <row r="607" spans="14:14" x14ac:dyDescent="0.25">
      <c r="N607" s="319"/>
    </row>
    <row r="608" spans="14:14" x14ac:dyDescent="0.25">
      <c r="N608" s="319"/>
    </row>
    <row r="609" spans="14:14" x14ac:dyDescent="0.25">
      <c r="N609" s="319"/>
    </row>
    <row r="610" spans="14:14" x14ac:dyDescent="0.25">
      <c r="N610" s="319"/>
    </row>
    <row r="611" spans="14:14" x14ac:dyDescent="0.25">
      <c r="N611" s="319"/>
    </row>
    <row r="612" spans="14:14" x14ac:dyDescent="0.25">
      <c r="N612" s="319"/>
    </row>
    <row r="613" spans="14:14" x14ac:dyDescent="0.25">
      <c r="N613" s="319"/>
    </row>
    <row r="614" spans="14:14" x14ac:dyDescent="0.25">
      <c r="N614" s="319"/>
    </row>
    <row r="615" spans="14:14" x14ac:dyDescent="0.25">
      <c r="N615" s="319"/>
    </row>
    <row r="616" spans="14:14" x14ac:dyDescent="0.25">
      <c r="N616" s="319"/>
    </row>
    <row r="617" spans="14:14" x14ac:dyDescent="0.25">
      <c r="N617" s="319"/>
    </row>
    <row r="618" spans="14:14" x14ac:dyDescent="0.25">
      <c r="N618" s="319"/>
    </row>
    <row r="619" spans="14:14" x14ac:dyDescent="0.25">
      <c r="N619" s="319"/>
    </row>
    <row r="620" spans="14:14" x14ac:dyDescent="0.25">
      <c r="N620" s="319"/>
    </row>
    <row r="621" spans="14:14" x14ac:dyDescent="0.25">
      <c r="N621" s="319"/>
    </row>
    <row r="622" spans="14:14" x14ac:dyDescent="0.25">
      <c r="N622" s="319"/>
    </row>
    <row r="623" spans="14:14" x14ac:dyDescent="0.25">
      <c r="N623" s="319"/>
    </row>
    <row r="624" spans="14:14" x14ac:dyDescent="0.25">
      <c r="N624" s="319"/>
    </row>
    <row r="625" spans="14:14" x14ac:dyDescent="0.25">
      <c r="N625" s="319"/>
    </row>
    <row r="626" spans="14:14" x14ac:dyDescent="0.25">
      <c r="N626" s="319"/>
    </row>
    <row r="627" spans="14:14" x14ac:dyDescent="0.25">
      <c r="N627" s="319"/>
    </row>
    <row r="628" spans="14:14" x14ac:dyDescent="0.25">
      <c r="N628" s="319"/>
    </row>
    <row r="629" spans="14:14" x14ac:dyDescent="0.25">
      <c r="N629" s="319"/>
    </row>
    <row r="630" spans="14:14" x14ac:dyDescent="0.25">
      <c r="N630" s="319"/>
    </row>
    <row r="631" spans="14:14" x14ac:dyDescent="0.25">
      <c r="N631" s="319"/>
    </row>
    <row r="632" spans="14:14" x14ac:dyDescent="0.25">
      <c r="N632" s="319"/>
    </row>
    <row r="633" spans="14:14" x14ac:dyDescent="0.25">
      <c r="N633" s="319"/>
    </row>
    <row r="634" spans="14:14" x14ac:dyDescent="0.25">
      <c r="N634" s="319"/>
    </row>
    <row r="635" spans="14:14" x14ac:dyDescent="0.25">
      <c r="N635" s="319"/>
    </row>
    <row r="636" spans="14:14" x14ac:dyDescent="0.25">
      <c r="N636" s="319"/>
    </row>
    <row r="637" spans="14:14" x14ac:dyDescent="0.25">
      <c r="N637" s="319"/>
    </row>
    <row r="638" spans="14:14" x14ac:dyDescent="0.25">
      <c r="N638" s="319"/>
    </row>
    <row r="639" spans="14:14" x14ac:dyDescent="0.25">
      <c r="N639" s="319"/>
    </row>
    <row r="640" spans="14:14" x14ac:dyDescent="0.25">
      <c r="N640" s="319"/>
    </row>
    <row r="641" spans="14:14" x14ac:dyDescent="0.25">
      <c r="N641" s="319"/>
    </row>
    <row r="642" spans="14:14" x14ac:dyDescent="0.25">
      <c r="N642" s="319"/>
    </row>
    <row r="643" spans="14:14" x14ac:dyDescent="0.25">
      <c r="N643" s="319"/>
    </row>
    <row r="644" spans="14:14" x14ac:dyDescent="0.25">
      <c r="N644" s="319"/>
    </row>
    <row r="645" spans="14:14" x14ac:dyDescent="0.25">
      <c r="N645" s="319"/>
    </row>
    <row r="646" spans="14:14" x14ac:dyDescent="0.25">
      <c r="N646" s="319"/>
    </row>
    <row r="647" spans="14:14" x14ac:dyDescent="0.25">
      <c r="N647" s="319"/>
    </row>
    <row r="648" spans="14:14" x14ac:dyDescent="0.25">
      <c r="N648" s="319"/>
    </row>
    <row r="649" spans="14:14" x14ac:dyDescent="0.25">
      <c r="N649" s="319"/>
    </row>
    <row r="650" spans="14:14" x14ac:dyDescent="0.25">
      <c r="N650" s="319"/>
    </row>
    <row r="651" spans="14:14" x14ac:dyDescent="0.25">
      <c r="N651" s="319"/>
    </row>
    <row r="652" spans="14:14" x14ac:dyDescent="0.25">
      <c r="N652" s="319"/>
    </row>
    <row r="653" spans="14:14" x14ac:dyDescent="0.25">
      <c r="N653" s="319"/>
    </row>
    <row r="654" spans="14:14" x14ac:dyDescent="0.25">
      <c r="N654" s="319"/>
    </row>
    <row r="655" spans="14:14" x14ac:dyDescent="0.25">
      <c r="N655" s="319"/>
    </row>
    <row r="656" spans="14:14" x14ac:dyDescent="0.25">
      <c r="N656" s="319"/>
    </row>
    <row r="657" spans="14:14" x14ac:dyDescent="0.25">
      <c r="N657" s="319"/>
    </row>
    <row r="658" spans="14:14" x14ac:dyDescent="0.25">
      <c r="N658" s="319"/>
    </row>
    <row r="659" spans="14:14" x14ac:dyDescent="0.25">
      <c r="N659" s="319"/>
    </row>
    <row r="660" spans="14:14" x14ac:dyDescent="0.25">
      <c r="N660" s="319"/>
    </row>
    <row r="661" spans="14:14" x14ac:dyDescent="0.25">
      <c r="N661" s="319"/>
    </row>
    <row r="662" spans="14:14" x14ac:dyDescent="0.25">
      <c r="N662" s="319"/>
    </row>
    <row r="663" spans="14:14" x14ac:dyDescent="0.25">
      <c r="N663" s="319"/>
    </row>
    <row r="664" spans="14:14" x14ac:dyDescent="0.25">
      <c r="N664" s="319"/>
    </row>
    <row r="665" spans="14:14" x14ac:dyDescent="0.25">
      <c r="N665" s="319"/>
    </row>
    <row r="666" spans="14:14" x14ac:dyDescent="0.25">
      <c r="N666" s="319"/>
    </row>
    <row r="667" spans="14:14" x14ac:dyDescent="0.25">
      <c r="N667" s="319"/>
    </row>
    <row r="668" spans="14:14" x14ac:dyDescent="0.25">
      <c r="N668" s="319"/>
    </row>
    <row r="669" spans="14:14" x14ac:dyDescent="0.25">
      <c r="N669" s="319"/>
    </row>
    <row r="670" spans="14:14" x14ac:dyDescent="0.25">
      <c r="N670" s="319"/>
    </row>
    <row r="671" spans="14:14" x14ac:dyDescent="0.25">
      <c r="N671" s="319"/>
    </row>
    <row r="672" spans="14:14" x14ac:dyDescent="0.25">
      <c r="N672" s="319"/>
    </row>
    <row r="673" spans="14:14" x14ac:dyDescent="0.25">
      <c r="N673" s="319"/>
    </row>
    <row r="674" spans="14:14" x14ac:dyDescent="0.25">
      <c r="N674" s="319"/>
    </row>
    <row r="675" spans="14:14" x14ac:dyDescent="0.25">
      <c r="N675" s="319"/>
    </row>
    <row r="676" spans="14:14" x14ac:dyDescent="0.25">
      <c r="N676" s="319"/>
    </row>
    <row r="677" spans="14:14" x14ac:dyDescent="0.25">
      <c r="N677" s="319"/>
    </row>
    <row r="678" spans="14:14" x14ac:dyDescent="0.25">
      <c r="N678" s="319"/>
    </row>
    <row r="679" spans="14:14" x14ac:dyDescent="0.25">
      <c r="N679" s="319"/>
    </row>
    <row r="680" spans="14:14" x14ac:dyDescent="0.25">
      <c r="N680" s="319"/>
    </row>
    <row r="681" spans="14:14" x14ac:dyDescent="0.25">
      <c r="N681" s="319"/>
    </row>
    <row r="682" spans="14:14" x14ac:dyDescent="0.25">
      <c r="N682" s="319"/>
    </row>
    <row r="683" spans="14:14" x14ac:dyDescent="0.25">
      <c r="N683" s="319"/>
    </row>
    <row r="684" spans="14:14" x14ac:dyDescent="0.25">
      <c r="N684" s="319"/>
    </row>
    <row r="685" spans="14:14" x14ac:dyDescent="0.25">
      <c r="N685" s="319"/>
    </row>
    <row r="686" spans="14:14" x14ac:dyDescent="0.25">
      <c r="N686" s="319"/>
    </row>
    <row r="687" spans="14:14" x14ac:dyDescent="0.25">
      <c r="N687" s="319"/>
    </row>
    <row r="688" spans="14:14" x14ac:dyDescent="0.25">
      <c r="N688" s="319"/>
    </row>
    <row r="689" spans="14:14" x14ac:dyDescent="0.25">
      <c r="N689" s="319"/>
    </row>
    <row r="690" spans="14:14" x14ac:dyDescent="0.25">
      <c r="N690" s="319"/>
    </row>
    <row r="691" spans="14:14" x14ac:dyDescent="0.25">
      <c r="N691" s="319"/>
    </row>
    <row r="692" spans="14:14" x14ac:dyDescent="0.25">
      <c r="N692" s="319"/>
    </row>
    <row r="693" spans="14:14" x14ac:dyDescent="0.25">
      <c r="N693" s="319"/>
    </row>
    <row r="694" spans="14:14" x14ac:dyDescent="0.25">
      <c r="N694" s="319"/>
    </row>
    <row r="695" spans="14:14" x14ac:dyDescent="0.25">
      <c r="N695" s="319"/>
    </row>
    <row r="696" spans="14:14" x14ac:dyDescent="0.25">
      <c r="N696" s="319"/>
    </row>
    <row r="697" spans="14:14" x14ac:dyDescent="0.25">
      <c r="N697" s="319"/>
    </row>
    <row r="698" spans="14:14" x14ac:dyDescent="0.25">
      <c r="N698" s="319"/>
    </row>
    <row r="699" spans="14:14" x14ac:dyDescent="0.25">
      <c r="N699" s="319"/>
    </row>
    <row r="700" spans="14:14" x14ac:dyDescent="0.25">
      <c r="N700" s="319"/>
    </row>
    <row r="701" spans="14:14" x14ac:dyDescent="0.25">
      <c r="N701" s="319"/>
    </row>
    <row r="702" spans="14:14" x14ac:dyDescent="0.25">
      <c r="N702" s="319"/>
    </row>
    <row r="703" spans="14:14" x14ac:dyDescent="0.25">
      <c r="N703" s="319"/>
    </row>
    <row r="704" spans="14:14" x14ac:dyDescent="0.25">
      <c r="N704" s="319"/>
    </row>
    <row r="705" spans="14:14" x14ac:dyDescent="0.25">
      <c r="N705" s="319"/>
    </row>
    <row r="706" spans="14:14" x14ac:dyDescent="0.25">
      <c r="N706" s="319"/>
    </row>
    <row r="707" spans="14:14" x14ac:dyDescent="0.25">
      <c r="N707" s="319"/>
    </row>
    <row r="708" spans="14:14" x14ac:dyDescent="0.25">
      <c r="N708" s="319"/>
    </row>
    <row r="709" spans="14:14" x14ac:dyDescent="0.25">
      <c r="N709" s="319"/>
    </row>
    <row r="710" spans="14:14" x14ac:dyDescent="0.25">
      <c r="N710" s="319"/>
    </row>
    <row r="711" spans="14:14" x14ac:dyDescent="0.25">
      <c r="N711" s="319"/>
    </row>
    <row r="712" spans="14:14" x14ac:dyDescent="0.25">
      <c r="N712" s="319"/>
    </row>
    <row r="713" spans="14:14" x14ac:dyDescent="0.25">
      <c r="N713" s="319"/>
    </row>
    <row r="714" spans="14:14" x14ac:dyDescent="0.25">
      <c r="N714" s="319"/>
    </row>
    <row r="715" spans="14:14" x14ac:dyDescent="0.25">
      <c r="N715" s="319"/>
    </row>
    <row r="716" spans="14:14" x14ac:dyDescent="0.25">
      <c r="N716" s="319"/>
    </row>
    <row r="717" spans="14:14" x14ac:dyDescent="0.25">
      <c r="N717" s="319"/>
    </row>
    <row r="718" spans="14:14" x14ac:dyDescent="0.25">
      <c r="N718" s="319"/>
    </row>
    <row r="719" spans="14:14" x14ac:dyDescent="0.25">
      <c r="N719" s="319"/>
    </row>
    <row r="720" spans="14:14" x14ac:dyDescent="0.25">
      <c r="N720" s="319"/>
    </row>
    <row r="721" spans="14:14" x14ac:dyDescent="0.25">
      <c r="N721" s="319"/>
    </row>
    <row r="722" spans="14:14" x14ac:dyDescent="0.25">
      <c r="N722" s="319"/>
    </row>
    <row r="723" spans="14:14" x14ac:dyDescent="0.25">
      <c r="N723" s="319"/>
    </row>
    <row r="724" spans="14:14" x14ac:dyDescent="0.25">
      <c r="N724" s="319"/>
    </row>
    <row r="725" spans="14:14" x14ac:dyDescent="0.25">
      <c r="N725" s="319"/>
    </row>
    <row r="726" spans="14:14" x14ac:dyDescent="0.25">
      <c r="N726" s="319"/>
    </row>
    <row r="727" spans="14:14" x14ac:dyDescent="0.25">
      <c r="N727" s="319"/>
    </row>
    <row r="728" spans="14:14" x14ac:dyDescent="0.25">
      <c r="N728" s="319"/>
    </row>
    <row r="729" spans="14:14" x14ac:dyDescent="0.25">
      <c r="N729" s="319"/>
    </row>
    <row r="730" spans="14:14" x14ac:dyDescent="0.25">
      <c r="N730" s="319"/>
    </row>
    <row r="731" spans="14:14" x14ac:dyDescent="0.25">
      <c r="N731" s="319"/>
    </row>
    <row r="732" spans="14:14" x14ac:dyDescent="0.25">
      <c r="N732" s="319"/>
    </row>
    <row r="733" spans="14:14" x14ac:dyDescent="0.25">
      <c r="N733" s="319"/>
    </row>
    <row r="734" spans="14:14" x14ac:dyDescent="0.25">
      <c r="N734" s="319"/>
    </row>
    <row r="735" spans="14:14" x14ac:dyDescent="0.25">
      <c r="N735" s="319"/>
    </row>
    <row r="736" spans="14:14" x14ac:dyDescent="0.25">
      <c r="N736" s="319"/>
    </row>
    <row r="737" spans="14:14" x14ac:dyDescent="0.25">
      <c r="N737" s="319"/>
    </row>
    <row r="738" spans="14:14" x14ac:dyDescent="0.25">
      <c r="N738" s="319"/>
    </row>
    <row r="739" spans="14:14" x14ac:dyDescent="0.25">
      <c r="N739" s="319"/>
    </row>
    <row r="740" spans="14:14" x14ac:dyDescent="0.25">
      <c r="N740" s="319"/>
    </row>
    <row r="741" spans="14:14" x14ac:dyDescent="0.25">
      <c r="N741" s="319"/>
    </row>
    <row r="742" spans="14:14" x14ac:dyDescent="0.25">
      <c r="N742" s="319"/>
    </row>
    <row r="743" spans="14:14" x14ac:dyDescent="0.25">
      <c r="N743" s="319"/>
    </row>
    <row r="744" spans="14:14" x14ac:dyDescent="0.25">
      <c r="N744" s="319"/>
    </row>
    <row r="745" spans="14:14" x14ac:dyDescent="0.25">
      <c r="N745" s="319"/>
    </row>
    <row r="746" spans="14:14" x14ac:dyDescent="0.25">
      <c r="N746" s="319"/>
    </row>
    <row r="747" spans="14:14" x14ac:dyDescent="0.25">
      <c r="N747" s="319"/>
    </row>
    <row r="748" spans="14:14" x14ac:dyDescent="0.25">
      <c r="N748" s="319"/>
    </row>
    <row r="749" spans="14:14" x14ac:dyDescent="0.25">
      <c r="N749" s="319"/>
    </row>
    <row r="750" spans="14:14" x14ac:dyDescent="0.25">
      <c r="N750" s="319"/>
    </row>
    <row r="751" spans="14:14" x14ac:dyDescent="0.25">
      <c r="N751" s="319"/>
    </row>
    <row r="752" spans="14:14" x14ac:dyDescent="0.25">
      <c r="N752" s="319"/>
    </row>
    <row r="753" spans="14:14" x14ac:dyDescent="0.25">
      <c r="N753" s="319"/>
    </row>
    <row r="754" spans="14:14" x14ac:dyDescent="0.25">
      <c r="N754" s="319"/>
    </row>
    <row r="755" spans="14:14" x14ac:dyDescent="0.25">
      <c r="N755" s="319"/>
    </row>
    <row r="756" spans="14:14" x14ac:dyDescent="0.25">
      <c r="N756" s="319"/>
    </row>
    <row r="757" spans="14:14" x14ac:dyDescent="0.25">
      <c r="N757" s="319"/>
    </row>
    <row r="758" spans="14:14" x14ac:dyDescent="0.25">
      <c r="N758" s="319"/>
    </row>
    <row r="759" spans="14:14" x14ac:dyDescent="0.25">
      <c r="N759" s="319"/>
    </row>
    <row r="760" spans="14:14" x14ac:dyDescent="0.25">
      <c r="N760" s="319"/>
    </row>
    <row r="761" spans="14:14" x14ac:dyDescent="0.25">
      <c r="N761" s="319"/>
    </row>
    <row r="762" spans="14:14" x14ac:dyDescent="0.25">
      <c r="N762" s="319"/>
    </row>
    <row r="763" spans="14:14" x14ac:dyDescent="0.25">
      <c r="N763" s="319"/>
    </row>
    <row r="764" spans="14:14" x14ac:dyDescent="0.25">
      <c r="N764" s="319"/>
    </row>
    <row r="765" spans="14:14" x14ac:dyDescent="0.25">
      <c r="N765" s="319"/>
    </row>
    <row r="766" spans="14:14" x14ac:dyDescent="0.25">
      <c r="N766" s="319"/>
    </row>
    <row r="767" spans="14:14" x14ac:dyDescent="0.25">
      <c r="N767" s="319"/>
    </row>
    <row r="768" spans="14:14" x14ac:dyDescent="0.25">
      <c r="N768" s="319"/>
    </row>
    <row r="769" spans="14:14" x14ac:dyDescent="0.25">
      <c r="N769" s="319"/>
    </row>
    <row r="770" spans="14:14" x14ac:dyDescent="0.25">
      <c r="N770" s="319"/>
    </row>
    <row r="771" spans="14:14" x14ac:dyDescent="0.25">
      <c r="N771" s="319"/>
    </row>
    <row r="772" spans="14:14" x14ac:dyDescent="0.25">
      <c r="N772" s="319"/>
    </row>
    <row r="773" spans="14:14" x14ac:dyDescent="0.25">
      <c r="N773" s="319"/>
    </row>
    <row r="774" spans="14:14" x14ac:dyDescent="0.25">
      <c r="N774" s="319"/>
    </row>
    <row r="775" spans="14:14" x14ac:dyDescent="0.25">
      <c r="N775" s="319"/>
    </row>
    <row r="776" spans="14:14" x14ac:dyDescent="0.25">
      <c r="N776" s="319"/>
    </row>
    <row r="777" spans="14:14" x14ac:dyDescent="0.25">
      <c r="N777" s="319"/>
    </row>
    <row r="778" spans="14:14" x14ac:dyDescent="0.25">
      <c r="N778" s="319"/>
    </row>
    <row r="779" spans="14:14" x14ac:dyDescent="0.25">
      <c r="N779" s="319"/>
    </row>
    <row r="780" spans="14:14" x14ac:dyDescent="0.25">
      <c r="N780" s="319"/>
    </row>
    <row r="781" spans="14:14" x14ac:dyDescent="0.25">
      <c r="N781" s="319"/>
    </row>
    <row r="782" spans="14:14" x14ac:dyDescent="0.25">
      <c r="N782" s="319"/>
    </row>
    <row r="783" spans="14:14" x14ac:dyDescent="0.25">
      <c r="N783" s="319"/>
    </row>
    <row r="784" spans="14:14" x14ac:dyDescent="0.25">
      <c r="N784" s="319"/>
    </row>
    <row r="785" spans="14:14" x14ac:dyDescent="0.25">
      <c r="N785" s="319"/>
    </row>
    <row r="786" spans="14:14" x14ac:dyDescent="0.25">
      <c r="N786" s="319"/>
    </row>
    <row r="787" spans="14:14" x14ac:dyDescent="0.25">
      <c r="N787" s="319"/>
    </row>
    <row r="788" spans="14:14" x14ac:dyDescent="0.25">
      <c r="N788" s="319"/>
    </row>
    <row r="789" spans="14:14" x14ac:dyDescent="0.25">
      <c r="N789" s="319"/>
    </row>
    <row r="790" spans="14:14" x14ac:dyDescent="0.25">
      <c r="N790" s="319"/>
    </row>
    <row r="791" spans="14:14" x14ac:dyDescent="0.25">
      <c r="N791" s="319"/>
    </row>
    <row r="792" spans="14:14" x14ac:dyDescent="0.25">
      <c r="N792" s="319"/>
    </row>
    <row r="793" spans="14:14" x14ac:dyDescent="0.25">
      <c r="N793" s="319"/>
    </row>
    <row r="794" spans="14:14" x14ac:dyDescent="0.25">
      <c r="N794" s="319"/>
    </row>
    <row r="795" spans="14:14" x14ac:dyDescent="0.25">
      <c r="N795" s="319"/>
    </row>
    <row r="796" spans="14:14" x14ac:dyDescent="0.25">
      <c r="N796" s="319"/>
    </row>
    <row r="797" spans="14:14" x14ac:dyDescent="0.25">
      <c r="N797" s="319"/>
    </row>
    <row r="798" spans="14:14" x14ac:dyDescent="0.25">
      <c r="N798" s="319"/>
    </row>
    <row r="799" spans="14:14" x14ac:dyDescent="0.25">
      <c r="N799" s="319"/>
    </row>
    <row r="800" spans="14:14" x14ac:dyDescent="0.25">
      <c r="N800" s="319"/>
    </row>
    <row r="801" spans="14:14" x14ac:dyDescent="0.25">
      <c r="N801" s="319"/>
    </row>
    <row r="802" spans="14:14" x14ac:dyDescent="0.25">
      <c r="N802" s="319"/>
    </row>
    <row r="803" spans="14:14" x14ac:dyDescent="0.25">
      <c r="N803" s="319"/>
    </row>
    <row r="804" spans="14:14" x14ac:dyDescent="0.25">
      <c r="N804" s="319"/>
    </row>
    <row r="805" spans="14:14" x14ac:dyDescent="0.25">
      <c r="N805" s="319"/>
    </row>
    <row r="806" spans="14:14" x14ac:dyDescent="0.25">
      <c r="N806" s="319"/>
    </row>
    <row r="807" spans="14:14" x14ac:dyDescent="0.25">
      <c r="N807" s="319"/>
    </row>
    <row r="808" spans="14:14" x14ac:dyDescent="0.25">
      <c r="N808" s="319"/>
    </row>
    <row r="809" spans="14:14" x14ac:dyDescent="0.25">
      <c r="N809" s="319"/>
    </row>
    <row r="810" spans="14:14" x14ac:dyDescent="0.25">
      <c r="N810" s="319"/>
    </row>
    <row r="811" spans="14:14" x14ac:dyDescent="0.25">
      <c r="N811" s="319"/>
    </row>
    <row r="812" spans="14:14" x14ac:dyDescent="0.25">
      <c r="N812" s="319"/>
    </row>
    <row r="813" spans="14:14" x14ac:dyDescent="0.25">
      <c r="N813" s="319"/>
    </row>
    <row r="814" spans="14:14" x14ac:dyDescent="0.25">
      <c r="N814" s="319"/>
    </row>
    <row r="815" spans="14:14" x14ac:dyDescent="0.25">
      <c r="N815" s="319"/>
    </row>
    <row r="816" spans="14:14" x14ac:dyDescent="0.25">
      <c r="N816" s="319"/>
    </row>
    <row r="817" spans="14:14" x14ac:dyDescent="0.25">
      <c r="N817" s="319"/>
    </row>
    <row r="818" spans="14:14" x14ac:dyDescent="0.25">
      <c r="N818" s="319"/>
    </row>
    <row r="819" spans="14:14" x14ac:dyDescent="0.25">
      <c r="N819" s="319"/>
    </row>
    <row r="820" spans="14:14" x14ac:dyDescent="0.25">
      <c r="N820" s="319"/>
    </row>
    <row r="821" spans="14:14" x14ac:dyDescent="0.25">
      <c r="N821" s="319"/>
    </row>
    <row r="822" spans="14:14" x14ac:dyDescent="0.25">
      <c r="N822" s="319"/>
    </row>
    <row r="823" spans="14:14" x14ac:dyDescent="0.25">
      <c r="N823" s="319"/>
    </row>
    <row r="824" spans="14:14" x14ac:dyDescent="0.25">
      <c r="N824" s="319"/>
    </row>
    <row r="825" spans="14:14" x14ac:dyDescent="0.25">
      <c r="N825" s="319"/>
    </row>
    <row r="826" spans="14:14" x14ac:dyDescent="0.25">
      <c r="N826" s="319"/>
    </row>
    <row r="827" spans="14:14" x14ac:dyDescent="0.25">
      <c r="N827" s="319"/>
    </row>
    <row r="828" spans="14:14" x14ac:dyDescent="0.25">
      <c r="N828" s="319"/>
    </row>
    <row r="829" spans="14:14" x14ac:dyDescent="0.25">
      <c r="N829" s="319"/>
    </row>
    <row r="830" spans="14:14" x14ac:dyDescent="0.25">
      <c r="N830" s="319"/>
    </row>
    <row r="831" spans="14:14" x14ac:dyDescent="0.25">
      <c r="N831" s="319"/>
    </row>
    <row r="832" spans="14:14" x14ac:dyDescent="0.25">
      <c r="N832" s="319"/>
    </row>
    <row r="833" spans="14:14" x14ac:dyDescent="0.25">
      <c r="N833" s="319"/>
    </row>
    <row r="834" spans="14:14" x14ac:dyDescent="0.25">
      <c r="N834" s="319"/>
    </row>
    <row r="835" spans="14:14" x14ac:dyDescent="0.25">
      <c r="N835" s="319"/>
    </row>
    <row r="836" spans="14:14" x14ac:dyDescent="0.25">
      <c r="N836" s="319"/>
    </row>
    <row r="837" spans="14:14" x14ac:dyDescent="0.25">
      <c r="N837" s="319"/>
    </row>
    <row r="838" spans="14:14" x14ac:dyDescent="0.25">
      <c r="N838" s="319"/>
    </row>
    <row r="839" spans="14:14" x14ac:dyDescent="0.25">
      <c r="N839" s="319"/>
    </row>
    <row r="840" spans="14:14" x14ac:dyDescent="0.25">
      <c r="N840" s="319"/>
    </row>
    <row r="841" spans="14:14" x14ac:dyDescent="0.25">
      <c r="N841" s="319"/>
    </row>
    <row r="842" spans="14:14" x14ac:dyDescent="0.25">
      <c r="N842" s="319"/>
    </row>
    <row r="843" spans="14:14" x14ac:dyDescent="0.25">
      <c r="N843" s="319"/>
    </row>
    <row r="844" spans="14:14" x14ac:dyDescent="0.25">
      <c r="N844" s="319"/>
    </row>
    <row r="845" spans="14:14" x14ac:dyDescent="0.25">
      <c r="N845" s="319"/>
    </row>
    <row r="846" spans="14:14" x14ac:dyDescent="0.25">
      <c r="N846" s="319"/>
    </row>
    <row r="847" spans="14:14" x14ac:dyDescent="0.25">
      <c r="N847" s="319"/>
    </row>
    <row r="848" spans="14:14" x14ac:dyDescent="0.25">
      <c r="N848" s="319"/>
    </row>
    <row r="849" spans="14:14" x14ac:dyDescent="0.25">
      <c r="N849" s="319"/>
    </row>
    <row r="850" spans="14:14" x14ac:dyDescent="0.25">
      <c r="N850" s="319"/>
    </row>
    <row r="851" spans="14:14" x14ac:dyDescent="0.25">
      <c r="N851" s="319"/>
    </row>
    <row r="852" spans="14:14" x14ac:dyDescent="0.25">
      <c r="N852" s="319"/>
    </row>
    <row r="853" spans="14:14" x14ac:dyDescent="0.25">
      <c r="N853" s="319"/>
    </row>
    <row r="854" spans="14:14" x14ac:dyDescent="0.25">
      <c r="N854" s="319"/>
    </row>
    <row r="855" spans="14:14" x14ac:dyDescent="0.25">
      <c r="N855" s="319"/>
    </row>
    <row r="856" spans="14:14" x14ac:dyDescent="0.25">
      <c r="N856" s="319"/>
    </row>
    <row r="857" spans="14:14" x14ac:dyDescent="0.25">
      <c r="N857" s="319"/>
    </row>
    <row r="858" spans="14:14" x14ac:dyDescent="0.25">
      <c r="N858" s="319"/>
    </row>
    <row r="859" spans="14:14" x14ac:dyDescent="0.25">
      <c r="N859" s="319"/>
    </row>
    <row r="860" spans="14:14" x14ac:dyDescent="0.25">
      <c r="N860" s="319"/>
    </row>
    <row r="861" spans="14:14" x14ac:dyDescent="0.25">
      <c r="N861" s="319"/>
    </row>
    <row r="862" spans="14:14" x14ac:dyDescent="0.25">
      <c r="N862" s="319"/>
    </row>
    <row r="863" spans="14:14" x14ac:dyDescent="0.25">
      <c r="N863" s="319"/>
    </row>
    <row r="864" spans="14:14" x14ac:dyDescent="0.25">
      <c r="N864" s="319"/>
    </row>
    <row r="865" spans="14:14" x14ac:dyDescent="0.25">
      <c r="N865" s="319"/>
    </row>
    <row r="866" spans="14:14" x14ac:dyDescent="0.25">
      <c r="N866" s="319"/>
    </row>
    <row r="867" spans="14:14" x14ac:dyDescent="0.25">
      <c r="N867" s="319"/>
    </row>
    <row r="868" spans="14:14" x14ac:dyDescent="0.25">
      <c r="N868" s="319"/>
    </row>
    <row r="869" spans="14:14" x14ac:dyDescent="0.25">
      <c r="N869" s="319"/>
    </row>
    <row r="870" spans="14:14" x14ac:dyDescent="0.25">
      <c r="N870" s="319"/>
    </row>
    <row r="871" spans="14:14" x14ac:dyDescent="0.25">
      <c r="N871" s="319"/>
    </row>
    <row r="872" spans="14:14" x14ac:dyDescent="0.25">
      <c r="N872" s="319"/>
    </row>
    <row r="873" spans="14:14" x14ac:dyDescent="0.25">
      <c r="N873" s="319"/>
    </row>
    <row r="874" spans="14:14" x14ac:dyDescent="0.25">
      <c r="N874" s="319"/>
    </row>
    <row r="875" spans="14:14" x14ac:dyDescent="0.25">
      <c r="N875" s="319"/>
    </row>
    <row r="876" spans="14:14" x14ac:dyDescent="0.25">
      <c r="N876" s="319"/>
    </row>
    <row r="877" spans="14:14" x14ac:dyDescent="0.25">
      <c r="N877" s="319"/>
    </row>
    <row r="878" spans="14:14" x14ac:dyDescent="0.25">
      <c r="N878" s="319"/>
    </row>
    <row r="879" spans="14:14" x14ac:dyDescent="0.25">
      <c r="N879" s="319"/>
    </row>
    <row r="880" spans="14:14" x14ac:dyDescent="0.25">
      <c r="N880" s="319"/>
    </row>
    <row r="881" spans="14:14" x14ac:dyDescent="0.25">
      <c r="N881" s="319"/>
    </row>
    <row r="882" spans="14:14" x14ac:dyDescent="0.25">
      <c r="N882" s="319"/>
    </row>
    <row r="883" spans="14:14" x14ac:dyDescent="0.25">
      <c r="N883" s="319"/>
    </row>
    <row r="884" spans="14:14" x14ac:dyDescent="0.25">
      <c r="N884" s="319"/>
    </row>
    <row r="885" spans="14:14" x14ac:dyDescent="0.25">
      <c r="N885" s="319"/>
    </row>
    <row r="886" spans="14:14" x14ac:dyDescent="0.25">
      <c r="N886" s="319"/>
    </row>
    <row r="887" spans="14:14" x14ac:dyDescent="0.25">
      <c r="N887" s="319"/>
    </row>
    <row r="888" spans="14:14" x14ac:dyDescent="0.25">
      <c r="N888" s="319"/>
    </row>
    <row r="889" spans="14:14" x14ac:dyDescent="0.25">
      <c r="N889" s="319"/>
    </row>
    <row r="890" spans="14:14" x14ac:dyDescent="0.25">
      <c r="N890" s="319"/>
    </row>
    <row r="891" spans="14:14" x14ac:dyDescent="0.25">
      <c r="N891" s="319"/>
    </row>
    <row r="892" spans="14:14" x14ac:dyDescent="0.25">
      <c r="N892" s="319"/>
    </row>
    <row r="893" spans="14:14" x14ac:dyDescent="0.25">
      <c r="N893" s="319"/>
    </row>
    <row r="894" spans="14:14" x14ac:dyDescent="0.25">
      <c r="N894" s="319"/>
    </row>
    <row r="895" spans="14:14" x14ac:dyDescent="0.25">
      <c r="N895" s="319"/>
    </row>
    <row r="896" spans="14:14" x14ac:dyDescent="0.25">
      <c r="N896" s="319"/>
    </row>
    <row r="897" spans="14:14" x14ac:dyDescent="0.25">
      <c r="N897" s="319"/>
    </row>
    <row r="898" spans="14:14" x14ac:dyDescent="0.25">
      <c r="N898" s="319"/>
    </row>
    <row r="899" spans="14:14" x14ac:dyDescent="0.25">
      <c r="N899" s="319"/>
    </row>
    <row r="900" spans="14:14" x14ac:dyDescent="0.25">
      <c r="N900" s="319"/>
    </row>
    <row r="901" spans="14:14" x14ac:dyDescent="0.25">
      <c r="N901" s="319"/>
    </row>
    <row r="902" spans="14:14" x14ac:dyDescent="0.25">
      <c r="N902" s="319"/>
    </row>
    <row r="903" spans="14:14" x14ac:dyDescent="0.25">
      <c r="N903" s="319"/>
    </row>
    <row r="904" spans="14:14" x14ac:dyDescent="0.25">
      <c r="N904" s="319"/>
    </row>
    <row r="905" spans="14:14" x14ac:dyDescent="0.25">
      <c r="N905" s="319"/>
    </row>
    <row r="906" spans="14:14" x14ac:dyDescent="0.25">
      <c r="N906" s="319"/>
    </row>
    <row r="907" spans="14:14" x14ac:dyDescent="0.25">
      <c r="N907" s="319"/>
    </row>
    <row r="908" spans="14:14" x14ac:dyDescent="0.25">
      <c r="N908" s="319"/>
    </row>
    <row r="909" spans="14:14" x14ac:dyDescent="0.25">
      <c r="N909" s="319"/>
    </row>
    <row r="910" spans="14:14" x14ac:dyDescent="0.25">
      <c r="N910" s="319"/>
    </row>
    <row r="911" spans="14:14" x14ac:dyDescent="0.25">
      <c r="N911" s="319"/>
    </row>
    <row r="912" spans="14:14" x14ac:dyDescent="0.25">
      <c r="N912" s="319"/>
    </row>
    <row r="913" spans="14:14" x14ac:dyDescent="0.25">
      <c r="N913" s="319"/>
    </row>
    <row r="914" spans="14:14" x14ac:dyDescent="0.25">
      <c r="N914" s="319"/>
    </row>
    <row r="915" spans="14:14" x14ac:dyDescent="0.25">
      <c r="N915" s="319"/>
    </row>
    <row r="916" spans="14:14" x14ac:dyDescent="0.25">
      <c r="N916" s="319"/>
    </row>
    <row r="917" spans="14:14" x14ac:dyDescent="0.25">
      <c r="N917" s="319"/>
    </row>
    <row r="918" spans="14:14" x14ac:dyDescent="0.25">
      <c r="N918" s="319"/>
    </row>
    <row r="919" spans="14:14" x14ac:dyDescent="0.25">
      <c r="N919" s="319"/>
    </row>
    <row r="920" spans="14:14" x14ac:dyDescent="0.25">
      <c r="N920" s="319"/>
    </row>
    <row r="921" spans="14:14" x14ac:dyDescent="0.25">
      <c r="N921" s="319"/>
    </row>
    <row r="922" spans="14:14" x14ac:dyDescent="0.25">
      <c r="N922" s="319"/>
    </row>
    <row r="923" spans="14:14" x14ac:dyDescent="0.25">
      <c r="N923" s="319"/>
    </row>
    <row r="924" spans="14:14" x14ac:dyDescent="0.25">
      <c r="N924" s="319"/>
    </row>
    <row r="925" spans="14:14" x14ac:dyDescent="0.25">
      <c r="N925" s="319"/>
    </row>
    <row r="926" spans="14:14" x14ac:dyDescent="0.25">
      <c r="N926" s="319"/>
    </row>
    <row r="927" spans="14:14" x14ac:dyDescent="0.25">
      <c r="N927" s="319"/>
    </row>
    <row r="928" spans="14:14" x14ac:dyDescent="0.25">
      <c r="N928" s="319"/>
    </row>
    <row r="929" spans="14:14" x14ac:dyDescent="0.25">
      <c r="N929" s="319"/>
    </row>
    <row r="930" spans="14:14" x14ac:dyDescent="0.25">
      <c r="N930" s="319"/>
    </row>
    <row r="931" spans="14:14" x14ac:dyDescent="0.25">
      <c r="N931" s="319"/>
    </row>
    <row r="932" spans="14:14" x14ac:dyDescent="0.25">
      <c r="N932" s="319"/>
    </row>
    <row r="933" spans="14:14" x14ac:dyDescent="0.25">
      <c r="N933" s="319"/>
    </row>
    <row r="934" spans="14:14" x14ac:dyDescent="0.25">
      <c r="N934" s="319"/>
    </row>
    <row r="935" spans="14:14" x14ac:dyDescent="0.25">
      <c r="N935" s="319"/>
    </row>
    <row r="936" spans="14:14" x14ac:dyDescent="0.25">
      <c r="N936" s="319"/>
    </row>
    <row r="937" spans="14:14" x14ac:dyDescent="0.25">
      <c r="N937" s="319"/>
    </row>
    <row r="938" spans="14:14" x14ac:dyDescent="0.25">
      <c r="N938" s="319"/>
    </row>
    <row r="939" spans="14:14" x14ac:dyDescent="0.25">
      <c r="N939" s="319"/>
    </row>
    <row r="940" spans="14:14" x14ac:dyDescent="0.25">
      <c r="N940" s="319"/>
    </row>
    <row r="941" spans="14:14" x14ac:dyDescent="0.25">
      <c r="N941" s="319"/>
    </row>
    <row r="942" spans="14:14" x14ac:dyDescent="0.25">
      <c r="N942" s="319"/>
    </row>
    <row r="943" spans="14:14" x14ac:dyDescent="0.25">
      <c r="N943" s="319"/>
    </row>
  </sheetData>
  <sheetProtection algorithmName="SHA-512" hashValue="8SioD9xmf31nm9wyMqDNghUzcRkH6majzBhiP3mi8FQYDI/v4lSuSNBeCE3xp5qoo7577AG70MuT8OiSQUrHbA==" saltValue="okVBAkIdGBlSy0M+AYKyhQ==" spinCount="100000" sheet="1" objects="1" scenarios="1"/>
  <mergeCells count="2">
    <mergeCell ref="A1:K1"/>
    <mergeCell ref="N1:P2"/>
  </mergeCells>
  <pageMargins left="0.7" right="0.7" top="0.75" bottom="0.75" header="0.3" footer="0.3"/>
  <pageSetup paperSize="9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A0FA36-44E9-456C-BA87-DDD01753C4BA}">
  <sheetPr codeName="Sheet4">
    <tabColor theme="3"/>
  </sheetPr>
  <dimension ref="A1:X4"/>
  <sheetViews>
    <sheetView workbookViewId="0">
      <selection activeCell="G3" sqref="G3"/>
    </sheetView>
  </sheetViews>
  <sheetFormatPr defaultRowHeight="15" x14ac:dyDescent="0.25"/>
  <cols>
    <col min="1" max="1" width="17" bestFit="1" customWidth="1"/>
    <col min="2" max="2" width="9.5703125" bestFit="1" customWidth="1"/>
    <col min="3" max="3" width="15.42578125" bestFit="1" customWidth="1"/>
    <col min="4" max="4" width="16.7109375" bestFit="1" customWidth="1"/>
    <col min="5" max="6" width="15.42578125" bestFit="1" customWidth="1"/>
    <col min="7" max="7" width="26.28515625" bestFit="1" customWidth="1"/>
    <col min="8" max="8" width="15.140625" bestFit="1" customWidth="1"/>
    <col min="9" max="9" width="24.5703125" bestFit="1" customWidth="1"/>
    <col min="10" max="10" width="22.140625" bestFit="1" customWidth="1"/>
    <col min="11" max="11" width="15.5703125" bestFit="1" customWidth="1"/>
    <col min="18" max="18" width="10.7109375" bestFit="1" customWidth="1"/>
  </cols>
  <sheetData>
    <row r="1" spans="1:24" x14ac:dyDescent="0.25">
      <c r="A1" s="503" t="s">
        <v>2002</v>
      </c>
      <c r="B1" s="504" t="s">
        <v>2003</v>
      </c>
      <c r="C1" s="503" t="s">
        <v>197</v>
      </c>
      <c r="D1" s="503" t="s">
        <v>343</v>
      </c>
      <c r="E1" s="503" t="s">
        <v>153</v>
      </c>
      <c r="F1" s="503" t="s">
        <v>2004</v>
      </c>
      <c r="G1" s="628" t="s">
        <v>2005</v>
      </c>
      <c r="H1" s="503" t="s">
        <v>2006</v>
      </c>
      <c r="I1" s="503" t="s">
        <v>2007</v>
      </c>
      <c r="J1" s="503" t="s">
        <v>2008</v>
      </c>
      <c r="K1" s="503" t="s">
        <v>2009</v>
      </c>
      <c r="M1" s="503" t="s">
        <v>2010</v>
      </c>
      <c r="N1" s="644" t="s">
        <v>2011</v>
      </c>
      <c r="O1" s="644" t="s">
        <v>2012</v>
      </c>
      <c r="P1" s="644" t="s">
        <v>56</v>
      </c>
      <c r="R1" s="645" t="s">
        <v>2013</v>
      </c>
      <c r="S1" s="645" t="s">
        <v>16</v>
      </c>
      <c r="U1" s="503" t="s">
        <v>2010</v>
      </c>
      <c r="V1" s="644" t="s">
        <v>2011</v>
      </c>
      <c r="W1" s="644" t="s">
        <v>2012</v>
      </c>
      <c r="X1" s="644" t="s">
        <v>56</v>
      </c>
    </row>
    <row r="2" spans="1:24" x14ac:dyDescent="0.25">
      <c r="A2" s="503">
        <f>YEAR(RESULTADO!$F$148)</f>
        <v>2022</v>
      </c>
      <c r="B2" s="504">
        <f>RESULTADO!$F$148</f>
        <v>44896</v>
      </c>
      <c r="C2" s="646">
        <f>RESULTADO!$D$159</f>
        <v>13137068.036868662</v>
      </c>
      <c r="D2" s="646">
        <f>RESULTADO!$H$98+RESULTADO!$H$99</f>
        <v>438804</v>
      </c>
      <c r="E2" s="646">
        <f>RESULTADO!$D$157</f>
        <v>-1713814.1668358743</v>
      </c>
      <c r="F2" s="646">
        <f>RESULTADO!$D$158</f>
        <v>14850882.203704536</v>
      </c>
      <c r="G2" s="628">
        <f>ROUND(SUMPRODUCT('GPH-VOL'!$C$16:$Z$16,'GPH-VOL'!$C$20:$Z$20),0)</f>
        <v>-135</v>
      </c>
      <c r="H2" s="503" t="str">
        <f>RESULTADO!$D$154</f>
        <v>SHORT</v>
      </c>
      <c r="I2" s="367">
        <f>ROUND('GPH-VOL'!$C$33,0)</f>
        <v>526</v>
      </c>
      <c r="J2" s="647">
        <f>'GPH-VOL'!$C$38</f>
        <v>0.49160319771689487</v>
      </c>
      <c r="K2" s="503" t="str">
        <f>IF(RESULTADO!$D$154="ZERADA","VOLUME ZERADO","FPC @ "&amp;TEXT(RESULTADO!$N$149,"#,00%")&amp;" tail")</f>
        <v>FPC @ 5,00% tail</v>
      </c>
      <c r="M2">
        <v>2022</v>
      </c>
      <c r="N2" s="632" t="str">
        <f>TEXT(ROUND('GPH-VOL'!$C$45-ABS(SUMPRODUCT('GPH-VOL'!$C$16:$N$16,'GPH-VOL'!$C$20:$N$20)),0),"#;- #;-")</f>
        <v>172</v>
      </c>
      <c r="O2" s="628" t="str">
        <f>TEXT(ROUND(SUMPRODUCT('GPH-VOL'!$C$16:$N$16,'GPH-VOL'!$C$20:$N$20),0),"#;- #;-")</f>
        <v>3</v>
      </c>
      <c r="P2" s="633" t="str">
        <f>TEXT(ROUND('GPH-VOL'!$C$51,2),"#%;-#%;-")</f>
        <v>2%</v>
      </c>
      <c r="R2" t="s">
        <v>320</v>
      </c>
      <c r="S2" s="103">
        <f>ROUND(SUMIFS(RESULTADO!$C$91:$BJ$91,RESULTADO!$C$81:$BJ$81,"&gt;="&amp;RESULTADO!$F$148),0)/1000</f>
        <v>-271.03500000000003</v>
      </c>
      <c r="T2" s="103"/>
      <c r="U2">
        <v>2022</v>
      </c>
      <c r="V2" s="648">
        <f>'GPH-VOL'!$C$45-ABS(SUMPRODUCT('GPH-VOL'!$C$16:$N$16,'GPH-VOL'!$C$20:$N$20))</f>
        <v>171.82968</v>
      </c>
      <c r="W2" s="648">
        <f>SUMPRODUCT('GPH-VOL'!$C$16:$N$16,'GPH-VOL'!$C$20:$N$20)</f>
        <v>3.3703199999999924</v>
      </c>
      <c r="X2" s="649">
        <f>'GPH-VOL'!$C$51</f>
        <v>1.9236986301369829E-2</v>
      </c>
    </row>
    <row r="3" spans="1:24" x14ac:dyDescent="0.25">
      <c r="M3">
        <v>2023</v>
      </c>
      <c r="N3" s="633" t="str">
        <f>TEXT(ROUND('GPH-VOL'!$D$45-ABS(SUMPRODUCT('GPH-VOL'!$O$16:$Z$16,'GPH-VOL'!$O$20:$Z$20)),1),"#;- #;-")</f>
        <v>36</v>
      </c>
      <c r="O3" s="628" t="str">
        <f>TEXT(ROUND(SUMPRODUCT('GPH-VOL'!$O$16:$Z$16,'GPH-VOL'!$O$20:$Z$20),1),"#;- #;-")</f>
        <v>- 139</v>
      </c>
      <c r="P3" s="633" t="str">
        <f>TEXT(ROUND('GPH-VOL'!$D$51,2),"#%;-#%;-")</f>
        <v>79%</v>
      </c>
      <c r="R3" t="s">
        <v>92</v>
      </c>
      <c r="S3">
        <f>SUMIFS(RESULTADO!$C$90:$Z$90,RESULTADO!$C$81:$Z$81,"&gt;="&amp;RESULTADO!$F$148)</f>
        <v>12648</v>
      </c>
      <c r="U3">
        <v>2023</v>
      </c>
      <c r="V3" s="649">
        <f>'GPH-VOL'!$D$45-ABS(SUMPRODUCT('GPH-VOL'!$O$16:$Z$16,'GPH-VOL'!$O$20:$Z$20))</f>
        <v>36.419039279999964</v>
      </c>
      <c r="W3" s="648">
        <f>SUMPRODUCT('GPH-VOL'!$O$16:$Z$16,'GPH-VOL'!$O$20:$Z$20)</f>
        <v>-138.78096072000002</v>
      </c>
      <c r="X3" s="649">
        <f>'GPH-VOL'!$D$51</f>
        <v>0.79212877123287684</v>
      </c>
    </row>
    <row r="4" spans="1:24" x14ac:dyDescent="0.25">
      <c r="M4">
        <v>2024</v>
      </c>
      <c r="N4" s="633" t="str">
        <f>TEXT(ROUND('GPH-VOL'!$E$45-ABS(SUMPRODUCT('GPH-VOL'!$AA$16:$AL$16,'GPH-VOL'!$AA$20:$AL$20)),1),"#;- #;-")</f>
        <v>52</v>
      </c>
      <c r="O4" s="628" t="str">
        <f>TEXT(ROUND(SUMPRODUCT('GPH-VOL'!$AA$16:$AL$16,'GPH-VOL'!$AA$20:$AL$20),1),"#;- #;-")</f>
        <v>- 123</v>
      </c>
      <c r="P4" s="633" t="str">
        <f>TEXT(ROUND('GPH-VOL'!$E$51,2),"#%;-#%;-")</f>
        <v>70%</v>
      </c>
      <c r="R4" t="s">
        <v>321</v>
      </c>
      <c r="S4">
        <f>SUMIFS(RESULTADO!$C$92:$Z$92,RESULTADO!$C$81:$Z$81,"&gt;="&amp;RESULTADO!$F$148)</f>
        <v>0</v>
      </c>
      <c r="U4">
        <v>2024</v>
      </c>
      <c r="V4" s="649">
        <f>'GPH-VOL'!$E$45-ABS(SUMPRODUCT('GPH-VOL'!$AA$16:$AL$16,'GPH-VOL'!$AA$20:$AL$20))</f>
        <v>52.224000000000004</v>
      </c>
      <c r="W4" s="648" t="str">
        <f>TEXT(ROUND(SUMPRODUCT('GPH-VOL'!$AA$16:$AL$16,'GPH-VOL'!$AA$20:$AL$20),1),"#;- #;-")</f>
        <v>- 123</v>
      </c>
      <c r="X4" s="649">
        <f>'GPH-VOL'!$E$51</f>
        <v>0.70191780821917804</v>
      </c>
    </row>
  </sheetData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1</vt:i4>
      </vt:variant>
    </vt:vector>
  </HeadingPairs>
  <TitlesOfParts>
    <vt:vector size="20" baseType="lpstr">
      <vt:lpstr>PAINEL DE CONTROLE</vt:lpstr>
      <vt:lpstr>RESULTADO</vt:lpstr>
      <vt:lpstr>DASHBOARD</vt:lpstr>
      <vt:lpstr>MtM</vt:lpstr>
      <vt:lpstr>MtM Releases</vt:lpstr>
      <vt:lpstr>HWM</vt:lpstr>
      <vt:lpstr>GPH-VOL</vt:lpstr>
      <vt:lpstr>GPH-VAR PAR</vt:lpstr>
      <vt:lpstr>GPH-SL</vt:lpstr>
      <vt:lpstr>pREFs</vt:lpstr>
      <vt:lpstr>pREFs_VaR</vt:lpstr>
      <vt:lpstr>DB</vt:lpstr>
      <vt:lpstr>RELEASES</vt:lpstr>
      <vt:lpstr>Email</vt:lpstr>
      <vt:lpstr>VaR-Covar Matrix_FPC BER</vt:lpstr>
      <vt:lpstr>CrossChecks</vt:lpstr>
      <vt:lpstr>Dates</vt:lpstr>
      <vt:lpstr>lookups</vt:lpstr>
      <vt:lpstr>BI</vt:lpstr>
      <vt:lpstr>MESES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Book de Risco - Trading</dc:title>
  <dc:creator>lucas.miliante@brookfieldenergia.com</dc:creator>
  <cp:lastModifiedBy>Lucas Miranda Miliante</cp:lastModifiedBy>
  <cp:lastPrinted>2023-01-06T12:58:51Z</cp:lastPrinted>
  <dcterms:created xsi:type="dcterms:W3CDTF">2006-09-16T00:00:00Z</dcterms:created>
  <dcterms:modified xsi:type="dcterms:W3CDTF">2023-01-11T13:40:37Z</dcterms:modified>
</cp:coreProperties>
</file>